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emfilyta.ad.umu.se\gem$\LH-kansliet\RTV\"/>
    </mc:Choice>
  </mc:AlternateContent>
  <bookViews>
    <workbookView xWindow="0" yWindow="0" windowWidth="28800" windowHeight="8295" tabRatio="867" firstSheet="1" activeTab="1"/>
  </bookViews>
  <sheets>
    <sheet name="underlag medverkande 2 föreg" sheetId="183" state="hidden" r:id="rId1"/>
    <sheet name="INFO RTV 2021" sheetId="188" r:id="rId2"/>
    <sheet name="Start" sheetId="3" r:id="rId3"/>
    <sheet name="Totalt per inst" sheetId="95" r:id="rId4"/>
    <sheet name="Bokforder Juni-- " sheetId="190" state="hidden" r:id="rId5"/>
    <sheet name="Bokforder Mars--" sheetId="189" state="hidden" r:id="rId6"/>
    <sheet name="Bokforder Sept--" sheetId="200" r:id="rId7"/>
    <sheet name="Bokforder Juni--" sheetId="197" state="hidden" r:id="rId8"/>
    <sheet name="Bokforder Mars-" sheetId="196" state="hidden" r:id="rId9"/>
    <sheet name="Bokforder Januari --" sheetId="187" state="hidden" r:id="rId10"/>
    <sheet name="Utfördelat tom aug" sheetId="199" r:id="rId11"/>
    <sheet name="Utfördelat tom maj" sheetId="181" state="hidden" r:id="rId12"/>
    <sheet name="Medv" sheetId="73" r:id="rId13"/>
    <sheet name="Kursansv till medv" sheetId="74" r:id="rId14"/>
    <sheet name="Inst per termin" sheetId="168" r:id="rId15"/>
    <sheet name="kurser alla" sheetId="178" r:id="rId16"/>
    <sheet name="Prislapp" sheetId="51" r:id="rId17"/>
    <sheet name="kurspris" sheetId="55" r:id="rId18"/>
    <sheet name="Orgenheter" sheetId="26" r:id="rId19"/>
    <sheet name="Program" sheetId="53" r:id="rId20"/>
    <sheet name="Ansvar kurs" sheetId="78" r:id="rId21"/>
    <sheet name="Totalt pivot" sheetId="83" r:id="rId22"/>
    <sheet name="Pivot Kursmedv % (2)" sheetId="162" r:id="rId23"/>
    <sheet name="Pivot Kursmedv %" sheetId="131" r:id="rId24"/>
    <sheet name="underlag medverkande 2" sheetId="70" r:id="rId25"/>
  </sheets>
  <externalReferences>
    <externalReference r:id="rId26"/>
  </externalReferences>
  <definedNames>
    <definedName name="_xlnm._FilterDatabase" localSheetId="20" hidden="1">'Ansvar kurs'!$A$1:$C$978</definedName>
    <definedName name="_xlnm._FilterDatabase" localSheetId="9" hidden="1">'Bokforder Januari --'!$A$4:$N$4</definedName>
    <definedName name="_xlnm._FilterDatabase" localSheetId="7" hidden="1">'Bokforder Juni--'!$A$4:$N$4</definedName>
    <definedName name="_xlnm._FilterDatabase" localSheetId="4" hidden="1">'Bokforder Juni-- '!$A$4:$N$4</definedName>
    <definedName name="_xlnm._FilterDatabase" localSheetId="8" hidden="1">'Bokforder Mars-'!$A$4:$N$4</definedName>
    <definedName name="_xlnm._FilterDatabase" localSheetId="5" hidden="1">'Bokforder Mars--'!$A$4:$N$4</definedName>
    <definedName name="_xlnm._FilterDatabase" localSheetId="6" hidden="1">'Bokforder Sept--'!$A$4:$N$4</definedName>
    <definedName name="_xlnm._FilterDatabase" localSheetId="15" hidden="1">'kurser alla'!$A$1:$BO$1044</definedName>
    <definedName name="_xlnm._FilterDatabase" localSheetId="17" hidden="1">kurspris!$A$1:$T$907</definedName>
    <definedName name="_xlnm._FilterDatabase" localSheetId="18" hidden="1">Orgenheter!$A$1:$G$1</definedName>
    <definedName name="_xlnm._FilterDatabase" localSheetId="2" hidden="1">Start!#REF!</definedName>
    <definedName name="_xlnm._FilterDatabase" localSheetId="24" hidden="1">'underlag medverkande 2'!$A$1:$T$120</definedName>
    <definedName name="_xlnm._FilterDatabase" localSheetId="0" hidden="1">'underlag medverkande 2 föreg'!$A$1:$T$132</definedName>
    <definedName name="_xlnm.Print_Area" localSheetId="20">'Ansvar kurs'!$A$1:$C$878</definedName>
    <definedName name="_xlnm.Print_Area" localSheetId="9">'Bokforder Januari --'!$A$1:$N$73</definedName>
    <definedName name="_xlnm.Print_Area" localSheetId="7">'Bokforder Juni--'!$A$1:$N$73</definedName>
    <definedName name="_xlnm.Print_Area" localSheetId="4">'Bokforder Juni-- '!$A$1:$N$73</definedName>
    <definedName name="_xlnm.Print_Area" localSheetId="8">'Bokforder Mars-'!$A$1:$N$73</definedName>
    <definedName name="_xlnm.Print_Area" localSheetId="5">'Bokforder Mars--'!$A$1:$N$73</definedName>
    <definedName name="_xlnm.Print_Area" localSheetId="6">'Bokforder Sept--'!$A$1:$N$73</definedName>
    <definedName name="_xlnm.Print_Area" localSheetId="15">'kurser alla'!$A$1:$AP$100</definedName>
    <definedName name="_xlnm.Print_Area" localSheetId="17">kurspris!$A$1:$N$907</definedName>
    <definedName name="_xlnm.Print_Area" localSheetId="12">Medv!$A$1:$K$28</definedName>
    <definedName name="_xlnm.Print_Area" localSheetId="2">Start!$B$1:$F$33</definedName>
    <definedName name="_xlnm.Print_Area" localSheetId="3">'Totalt per inst'!$A$2:$S$51</definedName>
    <definedName name="_xlnm.Print_Area" localSheetId="24">'underlag medverkande 2'!$A$1:$I$112</definedName>
    <definedName name="_xlnm.Print_Area" localSheetId="0">'underlag medverkande 2 föreg'!$A$1:$I$126</definedName>
    <definedName name="_xlnm.Print_Titles" localSheetId="20">'Ansvar kurs'!$1:$1</definedName>
    <definedName name="_xlnm.Print_Titles" localSheetId="9">'Bokforder Januari --'!$4:$4</definedName>
    <definedName name="_xlnm.Print_Titles" localSheetId="7">'Bokforder Juni--'!$4:$4</definedName>
    <definedName name="_xlnm.Print_Titles" localSheetId="4">'Bokforder Juni-- '!$4:$4</definedName>
    <definedName name="_xlnm.Print_Titles" localSheetId="8">'Bokforder Mars-'!$4:$4</definedName>
    <definedName name="_xlnm.Print_Titles" localSheetId="5">'Bokforder Mars--'!$4:$4</definedName>
    <definedName name="_xlnm.Print_Titles" localSheetId="6">'Bokforder Sept--'!$4:$4</definedName>
    <definedName name="_xlnm.Print_Titles" localSheetId="13">'Kursansv till medv'!$4:$4</definedName>
    <definedName name="_xlnm.Print_Titles" localSheetId="17">kurspris!$1:$1</definedName>
    <definedName name="_xlnm.Print_Titles" localSheetId="12">Medv!$3:$3</definedName>
    <definedName name="_xlnm.Print_Titles" localSheetId="22">'Pivot Kursmedv % (2)'!$3:$3</definedName>
    <definedName name="_xlnm.Print_Titles" localSheetId="21">'Totalt pivot'!$4:$4</definedName>
  </definedNames>
  <calcPr calcId="162913"/>
  <pivotCaches>
    <pivotCache cacheId="0" r:id="rId27"/>
    <pivotCache cacheId="1" r:id="rId28"/>
    <pivotCache cacheId="2" r:id="rId29"/>
    <pivotCache cacheId="3" r:id="rId30"/>
  </pivotCaches>
</workbook>
</file>

<file path=xl/calcChain.xml><?xml version="1.0" encoding="utf-8"?>
<calcChain xmlns="http://schemas.openxmlformats.org/spreadsheetml/2006/main">
  <c r="T687" i="178" l="1"/>
  <c r="U687" i="178" s="1"/>
  <c r="W687" i="178"/>
  <c r="X687" i="178"/>
  <c r="Y687" i="178"/>
  <c r="AA687" i="178"/>
  <c r="AD687" i="178"/>
  <c r="AE687" i="178"/>
  <c r="AF687" i="178"/>
  <c r="AG687" i="178"/>
  <c r="AH687" i="178"/>
  <c r="AI687" i="178"/>
  <c r="AJ687" i="178"/>
  <c r="AK687" i="178"/>
  <c r="AL687" i="178"/>
  <c r="AM687" i="178"/>
  <c r="AN687" i="178"/>
  <c r="AO687" i="178"/>
  <c r="Q687" i="178"/>
  <c r="B687" i="178"/>
  <c r="T646" i="178"/>
  <c r="U646" i="178" s="1"/>
  <c r="W646" i="178"/>
  <c r="X646" i="178"/>
  <c r="Y646" i="178"/>
  <c r="AA646" i="178"/>
  <c r="AD646" i="178"/>
  <c r="AE646" i="178"/>
  <c r="AF646" i="178"/>
  <c r="AG646" i="178"/>
  <c r="AH646" i="178"/>
  <c r="AI646" i="178"/>
  <c r="AJ646" i="178"/>
  <c r="AK646" i="178"/>
  <c r="AL646" i="178"/>
  <c r="AM646" i="178"/>
  <c r="AN646" i="178"/>
  <c r="AO646" i="178"/>
  <c r="Q646" i="178"/>
  <c r="B646" i="178"/>
  <c r="T573" i="178"/>
  <c r="U573" i="178" s="1"/>
  <c r="W573" i="178"/>
  <c r="X573" i="178"/>
  <c r="Y573" i="178"/>
  <c r="AA573" i="178"/>
  <c r="AD573" i="178"/>
  <c r="AE573" i="178"/>
  <c r="AF573" i="178"/>
  <c r="AG573" i="178"/>
  <c r="AH573" i="178"/>
  <c r="AI573" i="178"/>
  <c r="AJ573" i="178"/>
  <c r="AK573" i="178"/>
  <c r="AL573" i="178"/>
  <c r="AM573" i="178"/>
  <c r="AN573" i="178"/>
  <c r="AO573" i="178"/>
  <c r="Q573" i="178"/>
  <c r="B573" i="178"/>
  <c r="T547" i="178"/>
  <c r="U547" i="178" s="1"/>
  <c r="W547" i="178"/>
  <c r="X547" i="178"/>
  <c r="Y547" i="178"/>
  <c r="AA547" i="178"/>
  <c r="AD547" i="178"/>
  <c r="AE547" i="178"/>
  <c r="AF547" i="178"/>
  <c r="AG547" i="178"/>
  <c r="AH547" i="178"/>
  <c r="AI547" i="178"/>
  <c r="AJ547" i="178"/>
  <c r="AK547" i="178"/>
  <c r="AL547" i="178"/>
  <c r="AM547" i="178"/>
  <c r="AN547" i="178"/>
  <c r="AO547" i="178"/>
  <c r="Q547" i="178"/>
  <c r="B547" i="178"/>
  <c r="T543" i="178"/>
  <c r="U543" i="178" s="1"/>
  <c r="W543" i="178"/>
  <c r="X543" i="178"/>
  <c r="Y543" i="178"/>
  <c r="AA543" i="178"/>
  <c r="AD543" i="178"/>
  <c r="AE543" i="178"/>
  <c r="AF543" i="178"/>
  <c r="AG543" i="178"/>
  <c r="AH543" i="178"/>
  <c r="AI543" i="178"/>
  <c r="AJ543" i="178"/>
  <c r="AK543" i="178"/>
  <c r="AL543" i="178"/>
  <c r="AM543" i="178"/>
  <c r="AN543" i="178"/>
  <c r="AO543" i="178"/>
  <c r="Q543" i="178"/>
  <c r="B543" i="178"/>
  <c r="T517" i="178"/>
  <c r="U517" i="178" s="1"/>
  <c r="W517" i="178"/>
  <c r="X517" i="178"/>
  <c r="Y517" i="178"/>
  <c r="AA517" i="178"/>
  <c r="AD517" i="178"/>
  <c r="AE517" i="178"/>
  <c r="AF517" i="178"/>
  <c r="AG517" i="178"/>
  <c r="AH517" i="178"/>
  <c r="AI517" i="178"/>
  <c r="AJ517" i="178"/>
  <c r="AK517" i="178"/>
  <c r="AL517" i="178"/>
  <c r="AM517" i="178"/>
  <c r="AN517" i="178"/>
  <c r="AO517" i="178"/>
  <c r="Q517" i="178"/>
  <c r="B517" i="178"/>
  <c r="T507" i="178"/>
  <c r="U507" i="178" s="1"/>
  <c r="W507" i="178"/>
  <c r="X507" i="178"/>
  <c r="Y507" i="178"/>
  <c r="AA507" i="178"/>
  <c r="AD507" i="178"/>
  <c r="AE507" i="178"/>
  <c r="AF507" i="178"/>
  <c r="AG507" i="178"/>
  <c r="AH507" i="178"/>
  <c r="AI507" i="178"/>
  <c r="AJ507" i="178"/>
  <c r="AK507" i="178"/>
  <c r="AL507" i="178"/>
  <c r="AM507" i="178"/>
  <c r="AN507" i="178"/>
  <c r="AO507" i="178"/>
  <c r="Q507" i="178"/>
  <c r="B507" i="178"/>
  <c r="T357" i="178"/>
  <c r="U357" i="178" s="1"/>
  <c r="W357" i="178"/>
  <c r="X357" i="178"/>
  <c r="Y357" i="178"/>
  <c r="AA357" i="178"/>
  <c r="AD357" i="178"/>
  <c r="AE357" i="178"/>
  <c r="AF357" i="178"/>
  <c r="AG357" i="178"/>
  <c r="AH357" i="178"/>
  <c r="AI357" i="178"/>
  <c r="AJ357" i="178"/>
  <c r="AK357" i="178"/>
  <c r="AL357" i="178"/>
  <c r="AM357" i="178"/>
  <c r="AN357" i="178"/>
  <c r="AO357" i="178"/>
  <c r="Q357" i="178"/>
  <c r="B357" i="178"/>
  <c r="T155" i="178"/>
  <c r="U155" i="178" s="1"/>
  <c r="W155" i="178"/>
  <c r="X155" i="178"/>
  <c r="Y155" i="178"/>
  <c r="AA155" i="178"/>
  <c r="AD155" i="178"/>
  <c r="AE155" i="178"/>
  <c r="AF155" i="178"/>
  <c r="AG155" i="178"/>
  <c r="AH155" i="178"/>
  <c r="AI155" i="178"/>
  <c r="AJ155" i="178"/>
  <c r="AK155" i="178"/>
  <c r="AL155" i="178"/>
  <c r="AM155" i="178"/>
  <c r="AN155" i="178"/>
  <c r="AO155" i="178"/>
  <c r="Q155" i="178"/>
  <c r="B155" i="178"/>
  <c r="T1000" i="178"/>
  <c r="U1000" i="178" s="1"/>
  <c r="W1000" i="178"/>
  <c r="X1000" i="178"/>
  <c r="Y1000" i="178"/>
  <c r="AA1000" i="178"/>
  <c r="AD1000" i="178"/>
  <c r="AE1000" i="178"/>
  <c r="AF1000" i="178"/>
  <c r="AG1000" i="178"/>
  <c r="AH1000" i="178"/>
  <c r="AI1000" i="178"/>
  <c r="AJ1000" i="178"/>
  <c r="AK1000" i="178"/>
  <c r="AL1000" i="178"/>
  <c r="AM1000" i="178"/>
  <c r="AN1000" i="178"/>
  <c r="AO1000" i="178"/>
  <c r="Q1000" i="178"/>
  <c r="B1000" i="178"/>
  <c r="T876" i="178"/>
  <c r="U876" i="178" s="1"/>
  <c r="W876" i="178"/>
  <c r="X876" i="178"/>
  <c r="Y876" i="178"/>
  <c r="AA876" i="178"/>
  <c r="AD876" i="178"/>
  <c r="AE876" i="178"/>
  <c r="AF876" i="178"/>
  <c r="AG876" i="178"/>
  <c r="AH876" i="178"/>
  <c r="AI876" i="178"/>
  <c r="AJ876" i="178"/>
  <c r="AK876" i="178"/>
  <c r="AL876" i="178"/>
  <c r="AM876" i="178"/>
  <c r="AN876" i="178"/>
  <c r="AO876" i="178"/>
  <c r="T879" i="178"/>
  <c r="U879" i="178" s="1"/>
  <c r="W879" i="178"/>
  <c r="X879" i="178"/>
  <c r="Y879" i="178"/>
  <c r="AA879" i="178"/>
  <c r="AD879" i="178"/>
  <c r="AE879" i="178"/>
  <c r="AF879" i="178"/>
  <c r="AG879" i="178"/>
  <c r="AH879" i="178"/>
  <c r="AI879" i="178"/>
  <c r="AJ879" i="178"/>
  <c r="AK879" i="178"/>
  <c r="AL879" i="178"/>
  <c r="AM879" i="178"/>
  <c r="AN879" i="178"/>
  <c r="AO879" i="178"/>
  <c r="T882" i="178"/>
  <c r="U882" i="178" s="1"/>
  <c r="W882" i="178"/>
  <c r="X882" i="178"/>
  <c r="Y882" i="178"/>
  <c r="AA882" i="178"/>
  <c r="AD882" i="178"/>
  <c r="AE882" i="178"/>
  <c r="AF882" i="178"/>
  <c r="AG882" i="178"/>
  <c r="AH882" i="178"/>
  <c r="AI882" i="178"/>
  <c r="AJ882" i="178"/>
  <c r="AK882" i="178"/>
  <c r="AL882" i="178"/>
  <c r="AM882" i="178"/>
  <c r="AN882" i="178"/>
  <c r="AO882" i="178"/>
  <c r="Q882" i="178"/>
  <c r="Q879" i="178"/>
  <c r="Q876" i="178"/>
  <c r="AR876" i="178" s="1"/>
  <c r="B876" i="178"/>
  <c r="B879" i="178"/>
  <c r="B882" i="178"/>
  <c r="AB1000" i="178" l="1"/>
  <c r="AR573" i="178"/>
  <c r="AR646" i="178"/>
  <c r="AR687" i="178"/>
  <c r="BN687" i="178"/>
  <c r="BF687" i="178"/>
  <c r="AX687" i="178"/>
  <c r="AB687" i="178"/>
  <c r="BL687" i="178"/>
  <c r="BD687" i="178"/>
  <c r="AV687" i="178"/>
  <c r="AR547" i="178"/>
  <c r="BJ687" i="178"/>
  <c r="BB687" i="178"/>
  <c r="AT687" i="178"/>
  <c r="S687" i="178"/>
  <c r="BH687" i="178"/>
  <c r="AZ687" i="178"/>
  <c r="V687" i="178"/>
  <c r="BN646" i="178"/>
  <c r="BF646" i="178"/>
  <c r="AX646" i="178"/>
  <c r="AB646" i="178"/>
  <c r="BL646" i="178"/>
  <c r="BD646" i="178"/>
  <c r="AV646" i="178"/>
  <c r="AR543" i="178"/>
  <c r="BJ646" i="178"/>
  <c r="BB646" i="178"/>
  <c r="AT646" i="178"/>
  <c r="S646" i="178"/>
  <c r="BH646" i="178"/>
  <c r="AZ646" i="178"/>
  <c r="V646" i="178"/>
  <c r="BN573" i="178"/>
  <c r="BF573" i="178"/>
  <c r="AX573" i="178"/>
  <c r="AB573" i="178"/>
  <c r="BL573" i="178"/>
  <c r="BD573" i="178"/>
  <c r="AV573" i="178"/>
  <c r="AR517" i="178"/>
  <c r="BJ573" i="178"/>
  <c r="BB573" i="178"/>
  <c r="AT573" i="178"/>
  <c r="S573" i="178"/>
  <c r="BH573" i="178"/>
  <c r="AZ573" i="178"/>
  <c r="V573" i="178"/>
  <c r="BN547" i="178"/>
  <c r="BF547" i="178"/>
  <c r="AX547" i="178"/>
  <c r="AB547" i="178"/>
  <c r="BL547" i="178"/>
  <c r="BD547" i="178"/>
  <c r="AV547" i="178"/>
  <c r="BJ547" i="178"/>
  <c r="BB547" i="178"/>
  <c r="AT547" i="178"/>
  <c r="S547" i="178"/>
  <c r="Z547" i="178" s="1"/>
  <c r="BH547" i="178"/>
  <c r="AZ547" i="178"/>
  <c r="V547" i="178"/>
  <c r="BN543" i="178"/>
  <c r="BF543" i="178"/>
  <c r="AX543" i="178"/>
  <c r="BN517" i="178"/>
  <c r="AX517" i="178"/>
  <c r="AB543" i="178"/>
  <c r="BL543" i="178"/>
  <c r="BD543" i="178"/>
  <c r="AV543" i="178"/>
  <c r="AR507" i="178"/>
  <c r="BF517" i="178"/>
  <c r="AB517" i="178"/>
  <c r="BJ543" i="178"/>
  <c r="BB543" i="178"/>
  <c r="AT543" i="178"/>
  <c r="S543" i="178"/>
  <c r="Z543" i="178" s="1"/>
  <c r="BH543" i="178"/>
  <c r="AZ543" i="178"/>
  <c r="V543" i="178"/>
  <c r="AB357" i="178"/>
  <c r="BL517" i="178"/>
  <c r="BD517" i="178"/>
  <c r="AV517" i="178"/>
  <c r="BJ517" i="178"/>
  <c r="BB517" i="178"/>
  <c r="AT517" i="178"/>
  <c r="AR357" i="178"/>
  <c r="S517" i="178"/>
  <c r="Z517" i="178" s="1"/>
  <c r="AC517" i="178" s="1"/>
  <c r="BH517" i="178"/>
  <c r="AZ517" i="178"/>
  <c r="V517" i="178"/>
  <c r="AB507" i="178"/>
  <c r="BN507" i="178"/>
  <c r="BF507" i="178"/>
  <c r="AX507" i="178"/>
  <c r="BL507" i="178"/>
  <c r="BD507" i="178"/>
  <c r="AV507" i="178"/>
  <c r="AR155" i="178"/>
  <c r="BJ507" i="178"/>
  <c r="BB507" i="178"/>
  <c r="AT507" i="178"/>
  <c r="S507" i="178"/>
  <c r="BH507" i="178"/>
  <c r="AZ507" i="178"/>
  <c r="V507" i="178"/>
  <c r="BN357" i="178"/>
  <c r="BF357" i="178"/>
  <c r="AX357" i="178"/>
  <c r="BL357" i="178"/>
  <c r="BD357" i="178"/>
  <c r="AV357" i="178"/>
  <c r="AR1000" i="178"/>
  <c r="AB155" i="178"/>
  <c r="BJ357" i="178"/>
  <c r="BB357" i="178"/>
  <c r="AT357" i="178"/>
  <c r="S357" i="178"/>
  <c r="BH357" i="178"/>
  <c r="AZ357" i="178"/>
  <c r="V357" i="178"/>
  <c r="BN155" i="178"/>
  <c r="BF155" i="178"/>
  <c r="AX155" i="178"/>
  <c r="AR879" i="178"/>
  <c r="BL155" i="178"/>
  <c r="BD155" i="178"/>
  <c r="AV155" i="178"/>
  <c r="BJ155" i="178"/>
  <c r="BB155" i="178"/>
  <c r="AT155" i="178"/>
  <c r="S155" i="178"/>
  <c r="BH155" i="178"/>
  <c r="AZ155" i="178"/>
  <c r="V155" i="178"/>
  <c r="BN1000" i="178"/>
  <c r="BF1000" i="178"/>
  <c r="AX1000" i="178"/>
  <c r="BL1000" i="178"/>
  <c r="BD1000" i="178"/>
  <c r="AV1000" i="178"/>
  <c r="BJ1000" i="178"/>
  <c r="BB1000" i="178"/>
  <c r="AT1000" i="178"/>
  <c r="S1000" i="178"/>
  <c r="BH1000" i="178"/>
  <c r="AZ1000" i="178"/>
  <c r="V1000" i="178"/>
  <c r="AB882" i="178"/>
  <c r="AR882" i="178"/>
  <c r="AB876" i="178"/>
  <c r="BN882" i="178"/>
  <c r="BF882" i="178"/>
  <c r="AX882" i="178"/>
  <c r="BN879" i="178"/>
  <c r="BF879" i="178"/>
  <c r="AX879" i="178"/>
  <c r="BN876" i="178"/>
  <c r="BF876" i="178"/>
  <c r="AX876" i="178"/>
  <c r="S882" i="178"/>
  <c r="Z882" i="178" s="1"/>
  <c r="BL882" i="178"/>
  <c r="BD882" i="178"/>
  <c r="AV882" i="178"/>
  <c r="BL879" i="178"/>
  <c r="BD879" i="178"/>
  <c r="AV879" i="178"/>
  <c r="BL876" i="178"/>
  <c r="BD876" i="178"/>
  <c r="AV876" i="178"/>
  <c r="S879" i="178"/>
  <c r="BJ882" i="178"/>
  <c r="BB882" i="178"/>
  <c r="AT882" i="178"/>
  <c r="BJ879" i="178"/>
  <c r="BB879" i="178"/>
  <c r="AT879" i="178"/>
  <c r="BJ876" i="178"/>
  <c r="BB876" i="178"/>
  <c r="AT876" i="178"/>
  <c r="AB879" i="178"/>
  <c r="S876" i="178"/>
  <c r="Z876" i="178" s="1"/>
  <c r="BH882" i="178"/>
  <c r="AZ882" i="178"/>
  <c r="BH879" i="178"/>
  <c r="AZ879" i="178"/>
  <c r="BH876" i="178"/>
  <c r="AZ876" i="178"/>
  <c r="V876" i="178"/>
  <c r="V879" i="178"/>
  <c r="V882" i="178"/>
  <c r="T291" i="178"/>
  <c r="U291" i="178" s="1"/>
  <c r="W291" i="178"/>
  <c r="X291" i="178"/>
  <c r="Y291" i="178"/>
  <c r="AA291" i="178"/>
  <c r="AD291" i="178"/>
  <c r="AE291" i="178"/>
  <c r="AF291" i="178"/>
  <c r="AG291" i="178"/>
  <c r="AH291" i="178"/>
  <c r="AI291" i="178"/>
  <c r="AJ291" i="178"/>
  <c r="AK291" i="178"/>
  <c r="AL291" i="178"/>
  <c r="AM291" i="178"/>
  <c r="AN291" i="178"/>
  <c r="AO291" i="178"/>
  <c r="T292" i="178"/>
  <c r="U292" i="178" s="1"/>
  <c r="W292" i="178"/>
  <c r="X292" i="178"/>
  <c r="Y292" i="178"/>
  <c r="AA292" i="178"/>
  <c r="AD292" i="178"/>
  <c r="AE292" i="178"/>
  <c r="AF292" i="178"/>
  <c r="AG292" i="178"/>
  <c r="AH292" i="178"/>
  <c r="AI292" i="178"/>
  <c r="AJ292" i="178"/>
  <c r="AK292" i="178"/>
  <c r="AL292" i="178"/>
  <c r="AM292" i="178"/>
  <c r="AN292" i="178"/>
  <c r="AO292" i="178"/>
  <c r="T293" i="178"/>
  <c r="U293" i="178" s="1"/>
  <c r="W293" i="178"/>
  <c r="X293" i="178"/>
  <c r="Y293" i="178"/>
  <c r="AA293" i="178"/>
  <c r="AD293" i="178"/>
  <c r="AE293" i="178"/>
  <c r="AF293" i="178"/>
  <c r="AG293" i="178"/>
  <c r="AH293" i="178"/>
  <c r="AI293" i="178"/>
  <c r="AJ293" i="178"/>
  <c r="AK293" i="178"/>
  <c r="AL293" i="178"/>
  <c r="AM293" i="178"/>
  <c r="AN293" i="178"/>
  <c r="AO293" i="178"/>
  <c r="T294" i="178"/>
  <c r="V294" i="178" s="1"/>
  <c r="W294" i="178"/>
  <c r="X294" i="178"/>
  <c r="Y294" i="178"/>
  <c r="AA294" i="178"/>
  <c r="AD294" i="178"/>
  <c r="AE294" i="178"/>
  <c r="AF294" i="178"/>
  <c r="AG294" i="178"/>
  <c r="AH294" i="178"/>
  <c r="AI294" i="178"/>
  <c r="AJ294" i="178"/>
  <c r="AK294" i="178"/>
  <c r="AL294" i="178"/>
  <c r="AM294" i="178"/>
  <c r="AN294" i="178"/>
  <c r="AO294" i="178"/>
  <c r="Q291" i="178"/>
  <c r="Q292" i="178"/>
  <c r="Q293" i="178"/>
  <c r="Q294" i="178"/>
  <c r="AR291" i="178" l="1"/>
  <c r="AS687" i="178"/>
  <c r="BA687" i="178"/>
  <c r="BI687" i="178"/>
  <c r="AY687" i="178"/>
  <c r="BO687" i="178"/>
  <c r="AU687" i="178"/>
  <c r="BC687" i="178"/>
  <c r="BK687" i="178"/>
  <c r="AW687" i="178"/>
  <c r="BE687" i="178"/>
  <c r="BM687" i="178"/>
  <c r="BG687" i="178"/>
  <c r="Z687" i="178"/>
  <c r="AC687" i="178" s="1"/>
  <c r="AS646" i="178"/>
  <c r="BA646" i="178"/>
  <c r="BI646" i="178"/>
  <c r="AU646" i="178"/>
  <c r="BC646" i="178"/>
  <c r="BK646" i="178"/>
  <c r="AW646" i="178"/>
  <c r="BE646" i="178"/>
  <c r="BM646" i="178"/>
  <c r="AY646" i="178"/>
  <c r="BG646" i="178"/>
  <c r="BO646" i="178"/>
  <c r="AC547" i="178"/>
  <c r="Z646" i="178"/>
  <c r="AC646" i="178" s="1"/>
  <c r="AS573" i="178"/>
  <c r="BA573" i="178"/>
  <c r="BI573" i="178"/>
  <c r="AU573" i="178"/>
  <c r="BC573" i="178"/>
  <c r="BK573" i="178"/>
  <c r="AW573" i="178"/>
  <c r="BE573" i="178"/>
  <c r="BM573" i="178"/>
  <c r="AY573" i="178"/>
  <c r="BG573" i="178"/>
  <c r="BO573" i="178"/>
  <c r="Z573" i="178"/>
  <c r="AC573" i="178" s="1"/>
  <c r="AC543" i="178"/>
  <c r="AS547" i="178"/>
  <c r="BA547" i="178"/>
  <c r="BI547" i="178"/>
  <c r="AU547" i="178"/>
  <c r="BC547" i="178"/>
  <c r="BK547" i="178"/>
  <c r="AY547" i="178"/>
  <c r="BG547" i="178"/>
  <c r="BO547" i="178"/>
  <c r="AW547" i="178"/>
  <c r="BE547" i="178"/>
  <c r="BM547" i="178"/>
  <c r="AS543" i="178"/>
  <c r="BA543" i="178"/>
  <c r="BI543" i="178"/>
  <c r="AU543" i="178"/>
  <c r="BC543" i="178"/>
  <c r="BK543" i="178"/>
  <c r="AY543" i="178"/>
  <c r="BG543" i="178"/>
  <c r="BO543" i="178"/>
  <c r="AW543" i="178"/>
  <c r="BE543" i="178"/>
  <c r="BM543" i="178"/>
  <c r="AY517" i="178"/>
  <c r="BG517" i="178"/>
  <c r="BO517" i="178"/>
  <c r="AS517" i="178"/>
  <c r="BA517" i="178"/>
  <c r="BI517" i="178"/>
  <c r="AU517" i="178"/>
  <c r="BC517" i="178"/>
  <c r="BK517" i="178"/>
  <c r="AW517" i="178"/>
  <c r="BE517" i="178"/>
  <c r="BM517" i="178"/>
  <c r="AS507" i="178"/>
  <c r="BA507" i="178"/>
  <c r="BI507" i="178"/>
  <c r="AU507" i="178"/>
  <c r="BC507" i="178"/>
  <c r="BK507" i="178"/>
  <c r="AY507" i="178"/>
  <c r="BG507" i="178"/>
  <c r="BO507" i="178"/>
  <c r="AW507" i="178"/>
  <c r="BE507" i="178"/>
  <c r="BM507" i="178"/>
  <c r="Z507" i="178"/>
  <c r="AC507" i="178" s="1"/>
  <c r="AS357" i="178"/>
  <c r="BA357" i="178"/>
  <c r="BI357" i="178"/>
  <c r="AU357" i="178"/>
  <c r="BC357" i="178"/>
  <c r="BK357" i="178"/>
  <c r="AY357" i="178"/>
  <c r="BG357" i="178"/>
  <c r="BO357" i="178"/>
  <c r="AW357" i="178"/>
  <c r="BE357" i="178"/>
  <c r="BM357" i="178"/>
  <c r="Z357" i="178"/>
  <c r="AC357" i="178" s="1"/>
  <c r="AS155" i="178"/>
  <c r="BA155" i="178"/>
  <c r="BI155" i="178"/>
  <c r="AY155" i="178"/>
  <c r="BG155" i="178"/>
  <c r="BO155" i="178"/>
  <c r="AU155" i="178"/>
  <c r="BC155" i="178"/>
  <c r="BK155" i="178"/>
  <c r="AW155" i="178"/>
  <c r="BE155" i="178"/>
  <c r="BM155" i="178"/>
  <c r="Z155" i="178"/>
  <c r="AC155" i="178" s="1"/>
  <c r="AC882" i="178"/>
  <c r="AS1000" i="178"/>
  <c r="BA1000" i="178"/>
  <c r="BI1000" i="178"/>
  <c r="AU1000" i="178"/>
  <c r="BC1000" i="178"/>
  <c r="BK1000" i="178"/>
  <c r="AW1000" i="178"/>
  <c r="BE1000" i="178"/>
  <c r="BM1000" i="178"/>
  <c r="AY1000" i="178"/>
  <c r="BG1000" i="178"/>
  <c r="BO1000" i="178"/>
  <c r="AC876" i="178"/>
  <c r="Z1000" i="178"/>
  <c r="AC1000" i="178" s="1"/>
  <c r="AS879" i="178"/>
  <c r="BA879" i="178"/>
  <c r="BI879" i="178"/>
  <c r="BG879" i="178"/>
  <c r="BO879" i="178"/>
  <c r="AU879" i="178"/>
  <c r="BC879" i="178"/>
  <c r="BK879" i="178"/>
  <c r="AW879" i="178"/>
  <c r="BE879" i="178"/>
  <c r="BM879" i="178"/>
  <c r="AY879" i="178"/>
  <c r="AR294" i="178"/>
  <c r="AB294" i="178"/>
  <c r="AS882" i="178"/>
  <c r="BA882" i="178"/>
  <c r="BI882" i="178"/>
  <c r="AY882" i="178"/>
  <c r="BG882" i="178"/>
  <c r="AU882" i="178"/>
  <c r="BC882" i="178"/>
  <c r="BK882" i="178"/>
  <c r="AW882" i="178"/>
  <c r="BE882" i="178"/>
  <c r="BM882" i="178"/>
  <c r="BO882" i="178"/>
  <c r="AS876" i="178"/>
  <c r="BA876" i="178"/>
  <c r="BI876" i="178"/>
  <c r="AY876" i="178"/>
  <c r="BG876" i="178"/>
  <c r="BO876" i="178"/>
  <c r="AU876" i="178"/>
  <c r="BC876" i="178"/>
  <c r="BK876" i="178"/>
  <c r="AW876" i="178"/>
  <c r="BE876" i="178"/>
  <c r="BM876" i="178"/>
  <c r="Z879" i="178"/>
  <c r="AC879" i="178" s="1"/>
  <c r="AB293" i="178"/>
  <c r="AR292" i="178"/>
  <c r="AR293" i="178"/>
  <c r="AB291" i="178"/>
  <c r="BN294" i="178"/>
  <c r="BF294" i="178"/>
  <c r="AX294" i="178"/>
  <c r="BN293" i="178"/>
  <c r="BF293" i="178"/>
  <c r="AX293" i="178"/>
  <c r="BN292" i="178"/>
  <c r="BF292" i="178"/>
  <c r="AX292" i="178"/>
  <c r="BN291" i="178"/>
  <c r="BF291" i="178"/>
  <c r="AX291" i="178"/>
  <c r="BL294" i="178"/>
  <c r="BD294" i="178"/>
  <c r="AV294" i="178"/>
  <c r="BL293" i="178"/>
  <c r="BD293" i="178"/>
  <c r="AV293" i="178"/>
  <c r="BL292" i="178"/>
  <c r="BD292" i="178"/>
  <c r="AV292" i="178"/>
  <c r="BL291" i="178"/>
  <c r="BD291" i="178"/>
  <c r="AV291" i="178"/>
  <c r="S292" i="178"/>
  <c r="U294" i="178"/>
  <c r="BJ294" i="178"/>
  <c r="BB294" i="178"/>
  <c r="AT294" i="178"/>
  <c r="BJ293" i="178"/>
  <c r="BB293" i="178"/>
  <c r="AT293" i="178"/>
  <c r="BJ292" i="178"/>
  <c r="BB292" i="178"/>
  <c r="AT292" i="178"/>
  <c r="BJ291" i="178"/>
  <c r="BB291" i="178"/>
  <c r="AT291" i="178"/>
  <c r="S293" i="178"/>
  <c r="Z293" i="178" s="1"/>
  <c r="S294" i="178"/>
  <c r="AB292" i="178"/>
  <c r="S291" i="178"/>
  <c r="BH294" i="178"/>
  <c r="AZ294" i="178"/>
  <c r="BH293" i="178"/>
  <c r="AZ293" i="178"/>
  <c r="BH292" i="178"/>
  <c r="AZ292" i="178"/>
  <c r="BH291" i="178"/>
  <c r="AZ291" i="178"/>
  <c r="V291" i="178"/>
  <c r="V292" i="178"/>
  <c r="V293" i="178"/>
  <c r="B291" i="178"/>
  <c r="B292" i="178"/>
  <c r="B293" i="178"/>
  <c r="B294" i="178"/>
  <c r="T63" i="178"/>
  <c r="U63" i="178" s="1"/>
  <c r="W63" i="178"/>
  <c r="X63" i="178"/>
  <c r="Y63" i="178"/>
  <c r="AA63" i="178"/>
  <c r="AD63" i="178"/>
  <c r="AE63" i="178"/>
  <c r="AF63" i="178"/>
  <c r="AG63" i="178"/>
  <c r="AH63" i="178"/>
  <c r="AI63" i="178"/>
  <c r="AJ63" i="178"/>
  <c r="AK63" i="178"/>
  <c r="AL63" i="178"/>
  <c r="AM63" i="178"/>
  <c r="AN63" i="178"/>
  <c r="AO63" i="178"/>
  <c r="T136" i="178"/>
  <c r="U136" i="178" s="1"/>
  <c r="W136" i="178"/>
  <c r="X136" i="178"/>
  <c r="Y136" i="178"/>
  <c r="AA136" i="178"/>
  <c r="AD136" i="178"/>
  <c r="AE136" i="178"/>
  <c r="AF136" i="178"/>
  <c r="AG136" i="178"/>
  <c r="AH136" i="178"/>
  <c r="AI136" i="178"/>
  <c r="AJ136" i="178"/>
  <c r="AK136" i="178"/>
  <c r="AL136" i="178"/>
  <c r="AM136" i="178"/>
  <c r="AN136" i="178"/>
  <c r="AO136" i="178"/>
  <c r="T284" i="178"/>
  <c r="U284" i="178" s="1"/>
  <c r="W284" i="178"/>
  <c r="X284" i="178"/>
  <c r="Y284" i="178"/>
  <c r="AA284" i="178"/>
  <c r="AD284" i="178"/>
  <c r="AE284" i="178"/>
  <c r="AF284" i="178"/>
  <c r="AG284" i="178"/>
  <c r="AH284" i="178"/>
  <c r="AI284" i="178"/>
  <c r="AJ284" i="178"/>
  <c r="AK284" i="178"/>
  <c r="AL284" i="178"/>
  <c r="AM284" i="178"/>
  <c r="AN284" i="178"/>
  <c r="AO284" i="178"/>
  <c r="T285" i="178"/>
  <c r="V285" i="178" s="1"/>
  <c r="W285" i="178"/>
  <c r="X285" i="178"/>
  <c r="Y285" i="178"/>
  <c r="AA285" i="178"/>
  <c r="AD285" i="178"/>
  <c r="AE285" i="178"/>
  <c r="AF285" i="178"/>
  <c r="AG285" i="178"/>
  <c r="AH285" i="178"/>
  <c r="AI285" i="178"/>
  <c r="AJ285" i="178"/>
  <c r="AK285" i="178"/>
  <c r="AL285" i="178"/>
  <c r="AM285" i="178"/>
  <c r="AN285" i="178"/>
  <c r="AO285" i="178"/>
  <c r="T286" i="178"/>
  <c r="U286" i="178" s="1"/>
  <c r="W286" i="178"/>
  <c r="X286" i="178"/>
  <c r="Y286" i="178"/>
  <c r="AA286" i="178"/>
  <c r="AD286" i="178"/>
  <c r="AE286" i="178"/>
  <c r="AF286" i="178"/>
  <c r="AG286" i="178"/>
  <c r="AH286" i="178"/>
  <c r="AI286" i="178"/>
  <c r="AJ286" i="178"/>
  <c r="AK286" i="178"/>
  <c r="AL286" i="178"/>
  <c r="AM286" i="178"/>
  <c r="AN286" i="178"/>
  <c r="AO286" i="178"/>
  <c r="T287" i="178"/>
  <c r="U287" i="178" s="1"/>
  <c r="W287" i="178"/>
  <c r="X287" i="178"/>
  <c r="Y287" i="178"/>
  <c r="AA287" i="178"/>
  <c r="AD287" i="178"/>
  <c r="AE287" i="178"/>
  <c r="AF287" i="178"/>
  <c r="AG287" i="178"/>
  <c r="AH287" i="178"/>
  <c r="AI287" i="178"/>
  <c r="AJ287" i="178"/>
  <c r="AK287" i="178"/>
  <c r="AL287" i="178"/>
  <c r="AM287" i="178"/>
  <c r="AN287" i="178"/>
  <c r="AO287" i="178"/>
  <c r="Q63" i="178"/>
  <c r="Q136" i="178"/>
  <c r="Q284" i="178"/>
  <c r="Q285" i="178"/>
  <c r="AR285" i="178" s="1"/>
  <c r="Q286" i="178"/>
  <c r="Q287" i="178"/>
  <c r="B63" i="178"/>
  <c r="B136" i="178"/>
  <c r="B284" i="178"/>
  <c r="B285" i="178"/>
  <c r="B286" i="178"/>
  <c r="B287" i="178"/>
  <c r="T692" i="178"/>
  <c r="U692" i="178" s="1"/>
  <c r="W692" i="178"/>
  <c r="X692" i="178"/>
  <c r="Y692" i="178"/>
  <c r="AA692" i="178"/>
  <c r="AD692" i="178"/>
  <c r="AE692" i="178"/>
  <c r="AF692" i="178"/>
  <c r="AG692" i="178"/>
  <c r="AH692" i="178"/>
  <c r="AI692" i="178"/>
  <c r="AJ692" i="178"/>
  <c r="AK692" i="178"/>
  <c r="AL692" i="178"/>
  <c r="AM692" i="178"/>
  <c r="AN692" i="178"/>
  <c r="AO692" i="178"/>
  <c r="Q692" i="178"/>
  <c r="S692" i="178" s="1"/>
  <c r="B692" i="178"/>
  <c r="AR63" i="178" l="1"/>
  <c r="BL692" i="178"/>
  <c r="BH692" i="178"/>
  <c r="BD692" i="178"/>
  <c r="AC293" i="178"/>
  <c r="AR692" i="178"/>
  <c r="BF692" i="178"/>
  <c r="AR287" i="178"/>
  <c r="AS291" i="178"/>
  <c r="BA291" i="178"/>
  <c r="BI291" i="178"/>
  <c r="AW291" i="178"/>
  <c r="BE291" i="178"/>
  <c r="BM291" i="178"/>
  <c r="Z291" i="178"/>
  <c r="AC291" i="178" s="1"/>
  <c r="AU291" i="178"/>
  <c r="BC291" i="178"/>
  <c r="BK291" i="178"/>
  <c r="AY291" i="178"/>
  <c r="BG291" i="178"/>
  <c r="BO291" i="178"/>
  <c r="BB692" i="178"/>
  <c r="AS294" i="178"/>
  <c r="BA294" i="178"/>
  <c r="BI294" i="178"/>
  <c r="AW294" i="178"/>
  <c r="BE294" i="178"/>
  <c r="BM294" i="178"/>
  <c r="AU294" i="178"/>
  <c r="BC294" i="178"/>
  <c r="BK294" i="178"/>
  <c r="AY294" i="178"/>
  <c r="BG294" i="178"/>
  <c r="BO294" i="178"/>
  <c r="AS292" i="178"/>
  <c r="BA292" i="178"/>
  <c r="BI292" i="178"/>
  <c r="AW292" i="178"/>
  <c r="BE292" i="178"/>
  <c r="BM292" i="178"/>
  <c r="AU292" i="178"/>
  <c r="BC292" i="178"/>
  <c r="BK292" i="178"/>
  <c r="AY292" i="178"/>
  <c r="BG292" i="178"/>
  <c r="BO292" i="178"/>
  <c r="BN692" i="178"/>
  <c r="AX692" i="178"/>
  <c r="AR286" i="178"/>
  <c r="AS293" i="178"/>
  <c r="BA293" i="178"/>
  <c r="BI293" i="178"/>
  <c r="AW293" i="178"/>
  <c r="BE293" i="178"/>
  <c r="BM293" i="178"/>
  <c r="AU293" i="178"/>
  <c r="BC293" i="178"/>
  <c r="BK293" i="178"/>
  <c r="AY293" i="178"/>
  <c r="BG293" i="178"/>
  <c r="BO293" i="178"/>
  <c r="Z294" i="178"/>
  <c r="AC294" i="178" s="1"/>
  <c r="BJ692" i="178"/>
  <c r="AT692" i="178"/>
  <c r="Z292" i="178"/>
  <c r="AC292" i="178" s="1"/>
  <c r="AB692" i="178"/>
  <c r="AB284" i="178"/>
  <c r="AZ692" i="178"/>
  <c r="AB63" i="178"/>
  <c r="AV692" i="178"/>
  <c r="AR284" i="178"/>
  <c r="AR136" i="178"/>
  <c r="AB285" i="178"/>
  <c r="AB287" i="178"/>
  <c r="V286" i="178"/>
  <c r="S284" i="178"/>
  <c r="BN287" i="178"/>
  <c r="BF287" i="178"/>
  <c r="AX287" i="178"/>
  <c r="BN286" i="178"/>
  <c r="BF286" i="178"/>
  <c r="AX286" i="178"/>
  <c r="BN285" i="178"/>
  <c r="BF285" i="178"/>
  <c r="AX285" i="178"/>
  <c r="BN284" i="178"/>
  <c r="BF284" i="178"/>
  <c r="AX284" i="178"/>
  <c r="BN136" i="178"/>
  <c r="BF136" i="178"/>
  <c r="AX136" i="178"/>
  <c r="BN63" i="178"/>
  <c r="BF63" i="178"/>
  <c r="AX63" i="178"/>
  <c r="S286" i="178"/>
  <c r="Z286" i="178" s="1"/>
  <c r="S136" i="178"/>
  <c r="BL287" i="178"/>
  <c r="BD287" i="178"/>
  <c r="AV287" i="178"/>
  <c r="BL286" i="178"/>
  <c r="BD286" i="178"/>
  <c r="AV286" i="178"/>
  <c r="BL285" i="178"/>
  <c r="BD285" i="178"/>
  <c r="AV285" i="178"/>
  <c r="BL284" i="178"/>
  <c r="BD284" i="178"/>
  <c r="AV284" i="178"/>
  <c r="BL136" i="178"/>
  <c r="BD136" i="178"/>
  <c r="AV136" i="178"/>
  <c r="BL63" i="178"/>
  <c r="BD63" i="178"/>
  <c r="AV63" i="178"/>
  <c r="AB286" i="178"/>
  <c r="U285" i="178"/>
  <c r="BJ287" i="178"/>
  <c r="BB287" i="178"/>
  <c r="AT287" i="178"/>
  <c r="BJ286" i="178"/>
  <c r="BB286" i="178"/>
  <c r="AT286" i="178"/>
  <c r="BJ285" i="178"/>
  <c r="BB285" i="178"/>
  <c r="AT285" i="178"/>
  <c r="BJ284" i="178"/>
  <c r="BB284" i="178"/>
  <c r="AT284" i="178"/>
  <c r="BJ136" i="178"/>
  <c r="BB136" i="178"/>
  <c r="AT136" i="178"/>
  <c r="BJ63" i="178"/>
  <c r="BB63" i="178"/>
  <c r="AT63" i="178"/>
  <c r="S285" i="178"/>
  <c r="Z285" i="178" s="1"/>
  <c r="AB136" i="178"/>
  <c r="S287" i="178"/>
  <c r="Z287" i="178" s="1"/>
  <c r="S63" i="178"/>
  <c r="Z63" i="178" s="1"/>
  <c r="BH287" i="178"/>
  <c r="AZ287" i="178"/>
  <c r="BH286" i="178"/>
  <c r="AZ286" i="178"/>
  <c r="BH285" i="178"/>
  <c r="AZ285" i="178"/>
  <c r="BH284" i="178"/>
  <c r="AZ284" i="178"/>
  <c r="BH136" i="178"/>
  <c r="AZ136" i="178"/>
  <c r="BH63" i="178"/>
  <c r="AZ63" i="178"/>
  <c r="V287" i="178"/>
  <c r="V63" i="178"/>
  <c r="V136" i="178"/>
  <c r="V284" i="178"/>
  <c r="Z692" i="178"/>
  <c r="AY692" i="178"/>
  <c r="BO692" i="178"/>
  <c r="BG692" i="178"/>
  <c r="BM692" i="178"/>
  <c r="BE692" i="178"/>
  <c r="AW692" i="178"/>
  <c r="BK692" i="178"/>
  <c r="BC692" i="178"/>
  <c r="AU692" i="178"/>
  <c r="BI692" i="178"/>
  <c r="BA692" i="178"/>
  <c r="AS692" i="178"/>
  <c r="V692" i="178"/>
  <c r="P339" i="178"/>
  <c r="AC692" i="178" l="1"/>
  <c r="AC287" i="178"/>
  <c r="AC63" i="178"/>
  <c r="AC286" i="178"/>
  <c r="AC285" i="178"/>
  <c r="AS63" i="178"/>
  <c r="BA63" i="178"/>
  <c r="BI63" i="178"/>
  <c r="AU63" i="178"/>
  <c r="BC63" i="178"/>
  <c r="BK63" i="178"/>
  <c r="AY63" i="178"/>
  <c r="BG63" i="178"/>
  <c r="BO63" i="178"/>
  <c r="AW63" i="178"/>
  <c r="BE63" i="178"/>
  <c r="BM63" i="178"/>
  <c r="AS284" i="178"/>
  <c r="BA284" i="178"/>
  <c r="BI284" i="178"/>
  <c r="AU284" i="178"/>
  <c r="BC284" i="178"/>
  <c r="BK284" i="178"/>
  <c r="AY284" i="178"/>
  <c r="BG284" i="178"/>
  <c r="BO284" i="178"/>
  <c r="AW284" i="178"/>
  <c r="BE284" i="178"/>
  <c r="BM284" i="178"/>
  <c r="Z284" i="178"/>
  <c r="AC284" i="178" s="1"/>
  <c r="AS285" i="178"/>
  <c r="BA285" i="178"/>
  <c r="BI285" i="178"/>
  <c r="AU285" i="178"/>
  <c r="BC285" i="178"/>
  <c r="BK285" i="178"/>
  <c r="AY285" i="178"/>
  <c r="BG285" i="178"/>
  <c r="BO285" i="178"/>
  <c r="AW285" i="178"/>
  <c r="BE285" i="178"/>
  <c r="BM285" i="178"/>
  <c r="AS136" i="178"/>
  <c r="BA136" i="178"/>
  <c r="BI136" i="178"/>
  <c r="AU136" i="178"/>
  <c r="BC136" i="178"/>
  <c r="BK136" i="178"/>
  <c r="AY136" i="178"/>
  <c r="BG136" i="178"/>
  <c r="BO136" i="178"/>
  <c r="AW136" i="178"/>
  <c r="BE136" i="178"/>
  <c r="BM136" i="178"/>
  <c r="AS287" i="178"/>
  <c r="BA287" i="178"/>
  <c r="BI287" i="178"/>
  <c r="AU287" i="178"/>
  <c r="BC287" i="178"/>
  <c r="BK287" i="178"/>
  <c r="AY287" i="178"/>
  <c r="BG287" i="178"/>
  <c r="BO287" i="178"/>
  <c r="AW287" i="178"/>
  <c r="BE287" i="178"/>
  <c r="BM287" i="178"/>
  <c r="AS286" i="178"/>
  <c r="BA286" i="178"/>
  <c r="BI286" i="178"/>
  <c r="AU286" i="178"/>
  <c r="BC286" i="178"/>
  <c r="BK286" i="178"/>
  <c r="AY286" i="178"/>
  <c r="BG286" i="178"/>
  <c r="BO286" i="178"/>
  <c r="AW286" i="178"/>
  <c r="BE286" i="178"/>
  <c r="BM286" i="178"/>
  <c r="Z136" i="178"/>
  <c r="AC136" i="178" s="1"/>
  <c r="D30" i="3"/>
  <c r="C30" i="3"/>
  <c r="K38" i="200"/>
  <c r="K36" i="200"/>
  <c r="K34" i="200"/>
  <c r="K32" i="200"/>
  <c r="K30" i="200"/>
  <c r="K28" i="200"/>
  <c r="K26" i="200"/>
  <c r="K24" i="200"/>
  <c r="K22" i="200"/>
  <c r="K20" i="200"/>
  <c r="K18" i="200"/>
  <c r="K16" i="200"/>
  <c r="K62" i="200"/>
  <c r="K60" i="200"/>
  <c r="K58" i="200"/>
  <c r="K56" i="200"/>
  <c r="K54" i="200"/>
  <c r="K52" i="200"/>
  <c r="K50" i="200"/>
  <c r="K48" i="200"/>
  <c r="K44" i="200"/>
  <c r="K42" i="200"/>
  <c r="K12" i="200"/>
  <c r="K10" i="200"/>
  <c r="K8" i="200"/>
  <c r="K6" i="200"/>
  <c r="L28" i="199"/>
  <c r="L27" i="199"/>
  <c r="L26" i="199"/>
  <c r="L25" i="199"/>
  <c r="L24" i="199"/>
  <c r="L23" i="199"/>
  <c r="L22" i="199"/>
  <c r="L21" i="199"/>
  <c r="L20" i="199"/>
  <c r="L19" i="199"/>
  <c r="L17" i="199"/>
  <c r="L16" i="199"/>
  <c r="L15" i="199"/>
  <c r="L14" i="199"/>
  <c r="L13" i="199"/>
  <c r="L12" i="199"/>
  <c r="L11" i="199"/>
  <c r="L10" i="199"/>
  <c r="L9" i="199"/>
  <c r="L8" i="199"/>
  <c r="L7" i="199"/>
  <c r="L6" i="199"/>
  <c r="L5" i="199"/>
  <c r="L4" i="199"/>
  <c r="L3" i="199"/>
  <c r="K28" i="199"/>
  <c r="K27" i="199"/>
  <c r="K26" i="199"/>
  <c r="K25" i="199"/>
  <c r="K24" i="199"/>
  <c r="K23" i="199"/>
  <c r="K22" i="199"/>
  <c r="K21" i="199"/>
  <c r="K20" i="199"/>
  <c r="K19" i="199"/>
  <c r="K18" i="199"/>
  <c r="K17" i="199"/>
  <c r="K16" i="199"/>
  <c r="K15" i="199"/>
  <c r="K14" i="199"/>
  <c r="K13" i="199"/>
  <c r="K12" i="199"/>
  <c r="K11" i="199"/>
  <c r="K10" i="199"/>
  <c r="K9" i="199"/>
  <c r="K8" i="199"/>
  <c r="K7" i="199"/>
  <c r="K6" i="199"/>
  <c r="K5" i="199"/>
  <c r="K4" i="199"/>
  <c r="K3" i="199"/>
  <c r="J28" i="199"/>
  <c r="J27" i="199"/>
  <c r="J26" i="199"/>
  <c r="J25" i="199"/>
  <c r="J24" i="199"/>
  <c r="J23" i="199"/>
  <c r="J22" i="199"/>
  <c r="J21" i="199"/>
  <c r="J20" i="199"/>
  <c r="J19" i="199"/>
  <c r="J17" i="199"/>
  <c r="J16" i="199"/>
  <c r="J15" i="199"/>
  <c r="J14" i="199"/>
  <c r="J13" i="199"/>
  <c r="J12" i="199"/>
  <c r="J11" i="199"/>
  <c r="J10" i="199"/>
  <c r="J9" i="199"/>
  <c r="J8" i="199"/>
  <c r="J7" i="199"/>
  <c r="J6" i="199"/>
  <c r="J5" i="199"/>
  <c r="J4" i="199"/>
  <c r="J3" i="199"/>
  <c r="I18" i="199"/>
  <c r="E62" i="200" l="1"/>
  <c r="D62" i="200"/>
  <c r="E60" i="200"/>
  <c r="D60" i="200"/>
  <c r="E58" i="200"/>
  <c r="D58" i="200"/>
  <c r="E56" i="200"/>
  <c r="D56" i="200"/>
  <c r="T55" i="200"/>
  <c r="T54" i="200"/>
  <c r="E54" i="200"/>
  <c r="D54" i="200"/>
  <c r="T52" i="200"/>
  <c r="E52" i="200"/>
  <c r="D52" i="200"/>
  <c r="T50" i="200"/>
  <c r="E50" i="200"/>
  <c r="D50" i="200"/>
  <c r="C50" i="200"/>
  <c r="T49" i="200"/>
  <c r="T48" i="200"/>
  <c r="E48" i="200"/>
  <c r="D48" i="200"/>
  <c r="E44" i="200"/>
  <c r="D44" i="200"/>
  <c r="C44" i="200"/>
  <c r="T43" i="200"/>
  <c r="T42" i="200"/>
  <c r="E42" i="200"/>
  <c r="L42" i="200" s="1"/>
  <c r="D42" i="200"/>
  <c r="E36" i="200"/>
  <c r="D36" i="200"/>
  <c r="L36" i="200" s="1"/>
  <c r="L37" i="200" s="1"/>
  <c r="E34" i="200"/>
  <c r="D34" i="200"/>
  <c r="L33" i="200"/>
  <c r="E32" i="200"/>
  <c r="D32" i="200"/>
  <c r="L32" i="200" s="1"/>
  <c r="E30" i="200"/>
  <c r="D30" i="200"/>
  <c r="E28" i="200"/>
  <c r="D28" i="200"/>
  <c r="T26" i="200"/>
  <c r="L27" i="200"/>
  <c r="E26" i="200"/>
  <c r="D26" i="200"/>
  <c r="L26" i="200" s="1"/>
  <c r="T25" i="200"/>
  <c r="T24" i="200"/>
  <c r="E24" i="200"/>
  <c r="D24" i="200"/>
  <c r="L24" i="200" s="1"/>
  <c r="L25" i="200" s="1"/>
  <c r="T23" i="200"/>
  <c r="T22" i="200"/>
  <c r="E22" i="200"/>
  <c r="D22" i="200"/>
  <c r="L22" i="200" s="1"/>
  <c r="L23" i="200" s="1"/>
  <c r="T21" i="200"/>
  <c r="E20" i="200"/>
  <c r="D20" i="200"/>
  <c r="T19" i="200"/>
  <c r="T18" i="200"/>
  <c r="E18" i="200"/>
  <c r="D18" i="200"/>
  <c r="L18" i="200" s="1"/>
  <c r="L19" i="200" s="1"/>
  <c r="T17" i="200"/>
  <c r="T16" i="200"/>
  <c r="E16" i="200"/>
  <c r="E38" i="200" s="1"/>
  <c r="D16" i="200"/>
  <c r="L16" i="200" s="1"/>
  <c r="L17" i="200" s="1"/>
  <c r="E12" i="200"/>
  <c r="D12" i="200"/>
  <c r="E10" i="200"/>
  <c r="D10" i="200"/>
  <c r="T9" i="200"/>
  <c r="T8" i="200"/>
  <c r="E8" i="200"/>
  <c r="L8" i="200" s="1"/>
  <c r="L9" i="200" s="1"/>
  <c r="D8" i="200"/>
  <c r="T7" i="200"/>
  <c r="T6" i="200"/>
  <c r="E6" i="200"/>
  <c r="D6" i="200"/>
  <c r="F28" i="199"/>
  <c r="E28" i="199"/>
  <c r="G28" i="199" s="1"/>
  <c r="F27" i="199"/>
  <c r="E27" i="199"/>
  <c r="G27" i="199" s="1"/>
  <c r="F26" i="199"/>
  <c r="G26" i="199" s="1"/>
  <c r="E26" i="199"/>
  <c r="F25" i="199"/>
  <c r="E25" i="199"/>
  <c r="G25" i="199" s="1"/>
  <c r="F24" i="199"/>
  <c r="E24" i="199"/>
  <c r="G24" i="199" s="1"/>
  <c r="G23" i="199"/>
  <c r="F23" i="199"/>
  <c r="E23" i="199"/>
  <c r="F22" i="199"/>
  <c r="E22" i="199"/>
  <c r="G22" i="199" s="1"/>
  <c r="F21" i="199"/>
  <c r="E21" i="199"/>
  <c r="G21" i="199" s="1"/>
  <c r="F20" i="199"/>
  <c r="E20" i="199"/>
  <c r="G20" i="199" s="1"/>
  <c r="F19" i="199"/>
  <c r="E19" i="199"/>
  <c r="G19" i="199" s="1"/>
  <c r="F18" i="199"/>
  <c r="E18" i="199"/>
  <c r="D18" i="199"/>
  <c r="F17" i="199"/>
  <c r="E17" i="199"/>
  <c r="G17" i="199" s="1"/>
  <c r="F16" i="199"/>
  <c r="E16" i="199"/>
  <c r="G16" i="199" s="1"/>
  <c r="G15" i="199"/>
  <c r="F15" i="199"/>
  <c r="E15" i="199"/>
  <c r="F14" i="199"/>
  <c r="E14" i="199"/>
  <c r="G14" i="199" s="1"/>
  <c r="F13" i="199"/>
  <c r="E13" i="199"/>
  <c r="G13" i="199" s="1"/>
  <c r="F12" i="199"/>
  <c r="E12" i="199"/>
  <c r="G12" i="199" s="1"/>
  <c r="F11" i="199"/>
  <c r="E11" i="199"/>
  <c r="G11" i="199" s="1"/>
  <c r="F10" i="199"/>
  <c r="G10" i="199" s="1"/>
  <c r="E10" i="199"/>
  <c r="F9" i="199"/>
  <c r="E9" i="199"/>
  <c r="G9" i="199" s="1"/>
  <c r="F8" i="199"/>
  <c r="E8" i="199"/>
  <c r="G8" i="199" s="1"/>
  <c r="G7" i="199"/>
  <c r="F7" i="199"/>
  <c r="E7" i="199"/>
  <c r="F6" i="199"/>
  <c r="E6" i="199"/>
  <c r="G6" i="199" s="1"/>
  <c r="F5" i="199"/>
  <c r="E5" i="199"/>
  <c r="G5" i="199" s="1"/>
  <c r="F4" i="199"/>
  <c r="E4" i="199"/>
  <c r="G4" i="199" s="1"/>
  <c r="F3" i="199"/>
  <c r="E3" i="199"/>
  <c r="G3" i="199" s="1"/>
  <c r="L56" i="200" l="1"/>
  <c r="L52" i="200"/>
  <c r="L53" i="200" s="1"/>
  <c r="L48" i="200"/>
  <c r="L49" i="200" s="1"/>
  <c r="L58" i="200"/>
  <c r="L59" i="200" s="1"/>
  <c r="L61" i="200"/>
  <c r="L54" i="200"/>
  <c r="L55" i="200" s="1"/>
  <c r="L60" i="200"/>
  <c r="L50" i="200"/>
  <c r="L51" i="200" s="1"/>
  <c r="L57" i="200"/>
  <c r="L62" i="200"/>
  <c r="L63" i="200" s="1"/>
  <c r="L44" i="200"/>
  <c r="L45" i="200"/>
  <c r="L43" i="200"/>
  <c r="L20" i="200"/>
  <c r="L21" i="200" s="1"/>
  <c r="D66" i="200"/>
  <c r="L30" i="200"/>
  <c r="L31" i="200" s="1"/>
  <c r="L34" i="200"/>
  <c r="L35" i="200" s="1"/>
  <c r="L29" i="200"/>
  <c r="L28" i="200"/>
  <c r="L38" i="200"/>
  <c r="L39" i="200" s="1"/>
  <c r="L10" i="200"/>
  <c r="L11" i="200" s="1"/>
  <c r="L12" i="200"/>
  <c r="L13" i="200" s="1"/>
  <c r="L6" i="200"/>
  <c r="L7" i="200" s="1"/>
  <c r="E66" i="200"/>
  <c r="E67" i="200" l="1"/>
  <c r="E68" i="200" s="1"/>
  <c r="C231" i="78" l="1"/>
  <c r="O214" i="55"/>
  <c r="P214" i="55"/>
  <c r="Q214" i="55"/>
  <c r="R214" i="55"/>
  <c r="Q1040" i="178"/>
  <c r="Q781" i="178"/>
  <c r="Q782" i="178"/>
  <c r="Q783" i="178"/>
  <c r="Q784" i="178"/>
  <c r="Q785" i="178"/>
  <c r="Q786" i="178"/>
  <c r="Q809" i="178"/>
  <c r="Q810" i="178"/>
  <c r="Q811" i="178"/>
  <c r="Q812" i="178"/>
  <c r="Q813" i="178"/>
  <c r="Q814" i="178"/>
  <c r="Q815" i="178"/>
  <c r="Q816" i="178"/>
  <c r="Q817" i="178"/>
  <c r="Q819" i="178"/>
  <c r="Q820" i="178"/>
  <c r="Q821" i="178"/>
  <c r="Q822" i="178"/>
  <c r="Q834" i="178"/>
  <c r="Q835" i="178"/>
  <c r="Q836" i="178"/>
  <c r="Q837" i="178"/>
  <c r="Q838" i="178"/>
  <c r="Q839" i="178"/>
  <c r="Q840" i="178"/>
  <c r="Q846" i="178"/>
  <c r="Q847" i="178"/>
  <c r="Q848" i="178"/>
  <c r="Q849" i="178"/>
  <c r="Q850" i="178"/>
  <c r="Q851" i="178"/>
  <c r="Q852" i="178"/>
  <c r="Q853" i="178"/>
  <c r="Q854" i="178"/>
  <c r="Q922" i="178"/>
  <c r="Q923" i="178"/>
  <c r="Q924" i="178"/>
  <c r="Q940" i="178"/>
  <c r="Q941" i="178"/>
  <c r="Q942" i="178"/>
  <c r="Q943" i="178"/>
  <c r="Q944" i="178"/>
  <c r="Q961" i="178"/>
  <c r="Q962" i="178"/>
  <c r="Q963" i="178"/>
  <c r="Q964" i="178"/>
  <c r="Q965" i="178"/>
  <c r="Q966" i="178"/>
  <c r="Q967" i="178"/>
  <c r="Q968" i="178"/>
  <c r="Q1035" i="178"/>
  <c r="Q1039" i="178"/>
  <c r="O195" i="55"/>
  <c r="P195" i="55"/>
  <c r="Q195" i="55"/>
  <c r="R195" i="55"/>
  <c r="O196" i="55"/>
  <c r="P196" i="55"/>
  <c r="Q196" i="55"/>
  <c r="R196" i="55"/>
  <c r="O197" i="55"/>
  <c r="P197" i="55"/>
  <c r="Q197" i="55"/>
  <c r="R197" i="55"/>
  <c r="O193" i="55"/>
  <c r="P193" i="55"/>
  <c r="Q193" i="55"/>
  <c r="R193" i="55"/>
  <c r="C212" i="78"/>
  <c r="C213" i="78"/>
  <c r="C214" i="78"/>
  <c r="C210" i="78"/>
  <c r="O473" i="55" l="1"/>
  <c r="P473" i="55"/>
  <c r="Q473" i="55"/>
  <c r="R473" i="55"/>
  <c r="C500" i="78"/>
  <c r="O324" i="55" l="1"/>
  <c r="P324" i="55"/>
  <c r="Q324" i="55"/>
  <c r="R324" i="55"/>
  <c r="O325" i="55"/>
  <c r="P325" i="55"/>
  <c r="Q325" i="55"/>
  <c r="R325" i="55"/>
  <c r="O326" i="55"/>
  <c r="P326" i="55"/>
  <c r="Q326" i="55"/>
  <c r="R326" i="55"/>
  <c r="O327" i="55"/>
  <c r="P327" i="55"/>
  <c r="Q327" i="55"/>
  <c r="R327" i="55"/>
  <c r="O328" i="55"/>
  <c r="P328" i="55"/>
  <c r="Q328" i="55"/>
  <c r="R328" i="55"/>
  <c r="O329" i="55"/>
  <c r="P329" i="55"/>
  <c r="Q329" i="55"/>
  <c r="R329" i="55"/>
  <c r="O330" i="55"/>
  <c r="P330" i="55"/>
  <c r="Q330" i="55"/>
  <c r="R330" i="55"/>
  <c r="C350" i="78"/>
  <c r="C351" i="78"/>
  <c r="C352" i="78"/>
  <c r="C353" i="78"/>
  <c r="C354" i="78"/>
  <c r="C355" i="78"/>
  <c r="C356" i="78"/>
  <c r="O323" i="55"/>
  <c r="P323" i="55"/>
  <c r="Q323" i="55"/>
  <c r="R323" i="55"/>
  <c r="C349" i="78"/>
  <c r="C348" i="78"/>
  <c r="O322" i="55"/>
  <c r="P322" i="55"/>
  <c r="Q322" i="55"/>
  <c r="R322" i="55"/>
  <c r="C347" i="78"/>
  <c r="C357" i="78"/>
  <c r="O321" i="55"/>
  <c r="P321" i="55"/>
  <c r="Q321" i="55"/>
  <c r="R321" i="55"/>
  <c r="K62" i="197" l="1"/>
  <c r="K60" i="197"/>
  <c r="K58" i="197"/>
  <c r="K56" i="197"/>
  <c r="K54" i="197"/>
  <c r="K52" i="197"/>
  <c r="K50" i="197"/>
  <c r="K48" i="197"/>
  <c r="K44" i="197"/>
  <c r="K42" i="197"/>
  <c r="K38" i="197"/>
  <c r="K36" i="197"/>
  <c r="K34" i="197"/>
  <c r="K32" i="197"/>
  <c r="K30" i="197"/>
  <c r="K28" i="197"/>
  <c r="K26" i="197"/>
  <c r="K24" i="197"/>
  <c r="K22" i="197"/>
  <c r="K20" i="197"/>
  <c r="K18" i="197"/>
  <c r="K12" i="197"/>
  <c r="K10" i="197"/>
  <c r="K8" i="197"/>
  <c r="L16" i="196"/>
  <c r="L6" i="196"/>
  <c r="K16" i="197"/>
  <c r="K6" i="197"/>
  <c r="E30" i="3" l="1"/>
  <c r="E62" i="197" l="1"/>
  <c r="D62" i="197"/>
  <c r="E60" i="197"/>
  <c r="D60" i="197"/>
  <c r="E58" i="197"/>
  <c r="D58" i="197"/>
  <c r="L58" i="197" s="1"/>
  <c r="L59" i="197" s="1"/>
  <c r="E56" i="197"/>
  <c r="D56" i="197"/>
  <c r="L56" i="197" s="1"/>
  <c r="L57" i="197" s="1"/>
  <c r="T55" i="197"/>
  <c r="T54" i="197"/>
  <c r="E54" i="197"/>
  <c r="D54" i="197"/>
  <c r="T52" i="197"/>
  <c r="E52" i="197"/>
  <c r="D52" i="197"/>
  <c r="T50" i="197"/>
  <c r="E50" i="197"/>
  <c r="D50" i="197"/>
  <c r="C50" i="197"/>
  <c r="T49" i="197"/>
  <c r="T48" i="197"/>
  <c r="L49" i="197"/>
  <c r="E48" i="197"/>
  <c r="D48" i="197"/>
  <c r="L48" i="197" s="1"/>
  <c r="E44" i="197"/>
  <c r="D44" i="197"/>
  <c r="L44" i="197" s="1"/>
  <c r="L45" i="197" s="1"/>
  <c r="C44" i="197"/>
  <c r="T43" i="197"/>
  <c r="T42" i="197"/>
  <c r="E42" i="197"/>
  <c r="D42" i="197"/>
  <c r="L42" i="197" s="1"/>
  <c r="E36" i="197"/>
  <c r="D36" i="197"/>
  <c r="E34" i="197"/>
  <c r="D34" i="197"/>
  <c r="E32" i="197"/>
  <c r="D32" i="197"/>
  <c r="E30" i="197"/>
  <c r="D30" i="197"/>
  <c r="E28" i="197"/>
  <c r="D28" i="197"/>
  <c r="T26" i="197"/>
  <c r="E26" i="197"/>
  <c r="D26" i="197"/>
  <c r="L26" i="197" s="1"/>
  <c r="L27" i="197" s="1"/>
  <c r="T25" i="197"/>
  <c r="T24" i="197"/>
  <c r="E24" i="197"/>
  <c r="D24" i="197"/>
  <c r="T23" i="197"/>
  <c r="T22" i="197"/>
  <c r="E22" i="197"/>
  <c r="D22" i="197"/>
  <c r="L22" i="197" s="1"/>
  <c r="L23" i="197" s="1"/>
  <c r="T21" i="197"/>
  <c r="E20" i="197"/>
  <c r="D20" i="197"/>
  <c r="L20" i="197" s="1"/>
  <c r="L21" i="197" s="1"/>
  <c r="T19" i="197"/>
  <c r="T18" i="197"/>
  <c r="E18" i="197"/>
  <c r="D18" i="197"/>
  <c r="T17" i="197"/>
  <c r="T16" i="197"/>
  <c r="L17" i="197"/>
  <c r="E16" i="197"/>
  <c r="D16" i="197"/>
  <c r="L16" i="197" s="1"/>
  <c r="E12" i="197"/>
  <c r="D12" i="197"/>
  <c r="L12" i="197" s="1"/>
  <c r="L13" i="197" s="1"/>
  <c r="E10" i="197"/>
  <c r="D10" i="197"/>
  <c r="T9" i="197"/>
  <c r="T8" i="197"/>
  <c r="E8" i="197"/>
  <c r="D8" i="197"/>
  <c r="T7" i="197"/>
  <c r="T6" i="197"/>
  <c r="E6" i="197"/>
  <c r="D6" i="197"/>
  <c r="E62" i="196"/>
  <c r="D62" i="196"/>
  <c r="L62" i="196" s="1"/>
  <c r="L63" i="196" s="1"/>
  <c r="E60" i="196"/>
  <c r="D60" i="196"/>
  <c r="L60" i="196" s="1"/>
  <c r="L61" i="196" s="1"/>
  <c r="E58" i="196"/>
  <c r="D58" i="196"/>
  <c r="L58" i="196" s="1"/>
  <c r="L59" i="196" s="1"/>
  <c r="E56" i="196"/>
  <c r="D56" i="196"/>
  <c r="L56" i="196" s="1"/>
  <c r="L57" i="196" s="1"/>
  <c r="T55" i="196"/>
  <c r="T54" i="196"/>
  <c r="L54" i="196"/>
  <c r="L55" i="196" s="1"/>
  <c r="E54" i="196"/>
  <c r="D54" i="196"/>
  <c r="T52" i="196"/>
  <c r="E52" i="196"/>
  <c r="D52" i="196"/>
  <c r="L52" i="196" s="1"/>
  <c r="L53" i="196" s="1"/>
  <c r="T50" i="196"/>
  <c r="E50" i="196"/>
  <c r="D50" i="196"/>
  <c r="L50" i="196" s="1"/>
  <c r="L51" i="196" s="1"/>
  <c r="C50" i="196"/>
  <c r="T49" i="196"/>
  <c r="T48" i="196"/>
  <c r="L48" i="196"/>
  <c r="L49" i="196" s="1"/>
  <c r="E48" i="196"/>
  <c r="D48" i="196"/>
  <c r="L45" i="196"/>
  <c r="L44" i="196"/>
  <c r="E44" i="196"/>
  <c r="D44" i="196"/>
  <c r="C44" i="196"/>
  <c r="T43" i="196"/>
  <c r="T42" i="196"/>
  <c r="L42" i="196"/>
  <c r="L43" i="196" s="1"/>
  <c r="E42" i="196"/>
  <c r="D42" i="196"/>
  <c r="E36" i="196"/>
  <c r="D36" i="196"/>
  <c r="L36" i="196" s="1"/>
  <c r="L37" i="196" s="1"/>
  <c r="E34" i="196"/>
  <c r="D34" i="196"/>
  <c r="L34" i="196" s="1"/>
  <c r="L35" i="196" s="1"/>
  <c r="E32" i="196"/>
  <c r="D32" i="196"/>
  <c r="L32" i="196" s="1"/>
  <c r="L33" i="196" s="1"/>
  <c r="E30" i="196"/>
  <c r="D30" i="196"/>
  <c r="L30" i="196" s="1"/>
  <c r="L31" i="196" s="1"/>
  <c r="E28" i="196"/>
  <c r="D28" i="196"/>
  <c r="L28" i="196" s="1"/>
  <c r="L29" i="196" s="1"/>
  <c r="T26" i="196"/>
  <c r="L26" i="196"/>
  <c r="L27" i="196" s="1"/>
  <c r="E26" i="196"/>
  <c r="D26" i="196"/>
  <c r="T25" i="196"/>
  <c r="T24" i="196"/>
  <c r="E24" i="196"/>
  <c r="D24" i="196"/>
  <c r="L24" i="196" s="1"/>
  <c r="L25" i="196" s="1"/>
  <c r="T23" i="196"/>
  <c r="T22" i="196"/>
  <c r="L22" i="196"/>
  <c r="L23" i="196" s="1"/>
  <c r="E22" i="196"/>
  <c r="D22" i="196"/>
  <c r="T21" i="196"/>
  <c r="L21" i="196"/>
  <c r="L20" i="196"/>
  <c r="E20" i="196"/>
  <c r="D20" i="196"/>
  <c r="T19" i="196"/>
  <c r="T18" i="196"/>
  <c r="E18" i="196"/>
  <c r="E38" i="196" s="1"/>
  <c r="L38" i="196" s="1"/>
  <c r="L39" i="196" s="1"/>
  <c r="D18" i="196"/>
  <c r="L18" i="196" s="1"/>
  <c r="L19" i="196" s="1"/>
  <c r="T17" i="196"/>
  <c r="T16" i="196"/>
  <c r="L17" i="196"/>
  <c r="E16" i="196"/>
  <c r="D16" i="196"/>
  <c r="L13" i="196"/>
  <c r="L12" i="196"/>
  <c r="E12" i="196"/>
  <c r="D12" i="196"/>
  <c r="L11" i="196"/>
  <c r="L10" i="196"/>
  <c r="E10" i="196"/>
  <c r="D10" i="196"/>
  <c r="T9" i="196"/>
  <c r="T8" i="196"/>
  <c r="E8" i="196"/>
  <c r="D8" i="196"/>
  <c r="L8" i="196" s="1"/>
  <c r="L9" i="196" s="1"/>
  <c r="T7" i="196"/>
  <c r="T6" i="196"/>
  <c r="L7" i="196"/>
  <c r="E6" i="196"/>
  <c r="E66" i="196" s="1"/>
  <c r="D6" i="196"/>
  <c r="L62" i="197" l="1"/>
  <c r="L63" i="197" s="1"/>
  <c r="L52" i="197"/>
  <c r="L53" i="197" s="1"/>
  <c r="L60" i="197"/>
  <c r="L61" i="197" s="1"/>
  <c r="L54" i="197"/>
  <c r="L55" i="197" s="1"/>
  <c r="L50" i="197"/>
  <c r="L51" i="197" s="1"/>
  <c r="L43" i="197"/>
  <c r="E66" i="197"/>
  <c r="E38" i="197"/>
  <c r="L18" i="197"/>
  <c r="L19" i="197" s="1"/>
  <c r="L24" i="197"/>
  <c r="L25" i="197" s="1"/>
  <c r="L28" i="197"/>
  <c r="L29" i="197" s="1"/>
  <c r="L32" i="197"/>
  <c r="L33" i="197" s="1"/>
  <c r="L36" i="197"/>
  <c r="L37" i="197" s="1"/>
  <c r="L30" i="197"/>
  <c r="L31" i="197" s="1"/>
  <c r="L34" i="197"/>
  <c r="L35" i="197" s="1"/>
  <c r="L10" i="197"/>
  <c r="L11" i="197" s="1"/>
  <c r="D66" i="197"/>
  <c r="L6" i="197"/>
  <c r="L7" i="197" s="1"/>
  <c r="L8" i="197"/>
  <c r="L9" i="197" s="1"/>
  <c r="D66" i="196"/>
  <c r="E67" i="196" s="1"/>
  <c r="E68" i="196" s="1"/>
  <c r="E67" i="197" l="1"/>
  <c r="E68" i="197" s="1"/>
  <c r="L38" i="197"/>
  <c r="L39" i="197" s="1"/>
  <c r="C211" i="78"/>
  <c r="O194" i="55"/>
  <c r="P194" i="55"/>
  <c r="Q194" i="55"/>
  <c r="R194" i="55"/>
  <c r="O78" i="55"/>
  <c r="P78" i="55"/>
  <c r="Q78" i="55"/>
  <c r="R78" i="55"/>
  <c r="C89" i="78"/>
  <c r="O18" i="55" l="1"/>
  <c r="P18" i="55"/>
  <c r="Q18" i="55"/>
  <c r="R18" i="55"/>
  <c r="C25" i="78"/>
  <c r="O5" i="55"/>
  <c r="P5" i="55"/>
  <c r="Q5" i="55"/>
  <c r="R5" i="55"/>
  <c r="O6" i="55"/>
  <c r="P6" i="55"/>
  <c r="Q6" i="55"/>
  <c r="R6" i="55"/>
  <c r="C5" i="78"/>
  <c r="C6" i="78"/>
  <c r="F119" i="70" l="1"/>
  <c r="B929" i="178" l="1"/>
  <c r="B915" i="178"/>
  <c r="Q915" i="178"/>
  <c r="S915" i="178" s="1"/>
  <c r="T915" i="178"/>
  <c r="U915" i="178" s="1"/>
  <c r="W915" i="178"/>
  <c r="AD915" i="178"/>
  <c r="AE915" i="178"/>
  <c r="AF915" i="178"/>
  <c r="AG915" i="178"/>
  <c r="AH915" i="178"/>
  <c r="AI915" i="178"/>
  <c r="AJ915" i="178"/>
  <c r="AK915" i="178"/>
  <c r="AL915" i="178"/>
  <c r="AM915" i="178"/>
  <c r="AN915" i="178"/>
  <c r="AO915" i="178"/>
  <c r="B916" i="178"/>
  <c r="Q916" i="178"/>
  <c r="T916" i="178"/>
  <c r="U916" i="178" s="1"/>
  <c r="W916" i="178"/>
  <c r="AD916" i="178"/>
  <c r="AE916" i="178"/>
  <c r="AF916" i="178"/>
  <c r="AG916" i="178"/>
  <c r="AH916" i="178"/>
  <c r="AI916" i="178"/>
  <c r="AJ916" i="178"/>
  <c r="AK916" i="178"/>
  <c r="AL916" i="178"/>
  <c r="AM916" i="178"/>
  <c r="AN916" i="178"/>
  <c r="AO916" i="178"/>
  <c r="BL915" i="178" l="1"/>
  <c r="BD915" i="178"/>
  <c r="AV915" i="178"/>
  <c r="AT915" i="178"/>
  <c r="BH915" i="178"/>
  <c r="AZ915" i="178"/>
  <c r="AR915" i="178"/>
  <c r="BN915" i="178"/>
  <c r="BF915" i="178"/>
  <c r="BJ916" i="178"/>
  <c r="BB916" i="178"/>
  <c r="AT916" i="178"/>
  <c r="AR916" i="178"/>
  <c r="BI915" i="178"/>
  <c r="BA915" i="178"/>
  <c r="AS915" i="178"/>
  <c r="BO915" i="178"/>
  <c r="BG915" i="178"/>
  <c r="BN916" i="178"/>
  <c r="BF916" i="178"/>
  <c r="AX916" i="178"/>
  <c r="BK915" i="178"/>
  <c r="BC915" i="178"/>
  <c r="AU915" i="178"/>
  <c r="AX915" i="178"/>
  <c r="BL916" i="178"/>
  <c r="BD916" i="178"/>
  <c r="AV916" i="178"/>
  <c r="S916" i="178"/>
  <c r="BG916" i="178" s="1"/>
  <c r="BJ915" i="178"/>
  <c r="AY915" i="178"/>
  <c r="AZ916" i="178"/>
  <c r="BH916" i="178"/>
  <c r="BB915" i="178"/>
  <c r="BM915" i="178"/>
  <c r="BE915" i="178"/>
  <c r="AW915" i="178"/>
  <c r="V915" i="178"/>
  <c r="V916" i="178"/>
  <c r="O684" i="55"/>
  <c r="P684" i="55"/>
  <c r="Q684" i="55"/>
  <c r="R684" i="55"/>
  <c r="C711" i="78"/>
  <c r="O683" i="55"/>
  <c r="P683" i="55"/>
  <c r="Q683" i="55"/>
  <c r="R683" i="55"/>
  <c r="C710" i="78"/>
  <c r="AW916" i="178" l="1"/>
  <c r="BA916" i="178"/>
  <c r="BK916" i="178"/>
  <c r="BC916" i="178"/>
  <c r="BO916" i="178"/>
  <c r="BM916" i="178"/>
  <c r="AS916" i="178"/>
  <c r="BE916" i="178"/>
  <c r="AU916" i="178"/>
  <c r="BI916" i="178"/>
  <c r="AY916" i="178"/>
  <c r="J6" i="70"/>
  <c r="L6" i="70"/>
  <c r="J7" i="70"/>
  <c r="L7" i="70"/>
  <c r="J8" i="70"/>
  <c r="L8" i="70"/>
  <c r="J9" i="70"/>
  <c r="L9" i="70"/>
  <c r="E5" i="70"/>
  <c r="E6" i="70"/>
  <c r="E7" i="70"/>
  <c r="E8" i="70"/>
  <c r="E9" i="70"/>
  <c r="B6" i="70"/>
  <c r="D6" i="70"/>
  <c r="B7" i="70"/>
  <c r="D7" i="70"/>
  <c r="B8" i="70"/>
  <c r="D8" i="70"/>
  <c r="B9" i="70"/>
  <c r="D9" i="70"/>
  <c r="O198" i="55"/>
  <c r="N7" i="70" s="1"/>
  <c r="P198" i="55"/>
  <c r="O6" i="70" s="1"/>
  <c r="Q198" i="55"/>
  <c r="P6" i="70" s="1"/>
  <c r="R198" i="55"/>
  <c r="O199" i="55"/>
  <c r="N8" i="70" s="1"/>
  <c r="P199" i="55"/>
  <c r="O9" i="70" s="1"/>
  <c r="Q199" i="55"/>
  <c r="P9" i="70" s="1"/>
  <c r="R199" i="55"/>
  <c r="G6" i="70"/>
  <c r="I6" i="70" s="1"/>
  <c r="G7" i="70"/>
  <c r="H7" i="70" s="1"/>
  <c r="G8" i="70"/>
  <c r="I8" i="70" s="1"/>
  <c r="G9" i="70"/>
  <c r="H9" i="70" s="1"/>
  <c r="F9" i="70"/>
  <c r="F8" i="70"/>
  <c r="F7" i="70"/>
  <c r="F6" i="70"/>
  <c r="C215" i="78"/>
  <c r="C216" i="78"/>
  <c r="M9" i="70" l="1"/>
  <c r="M7" i="70"/>
  <c r="K9" i="70"/>
  <c r="T9" i="70" s="1"/>
  <c r="K7" i="70"/>
  <c r="M8" i="70"/>
  <c r="M6" i="70"/>
  <c r="K8" i="70"/>
  <c r="K6" i="70"/>
  <c r="T6" i="70" s="1"/>
  <c r="H6" i="70"/>
  <c r="N6" i="70"/>
  <c r="P8" i="70"/>
  <c r="N9" i="70"/>
  <c r="O8" i="70"/>
  <c r="P7" i="70"/>
  <c r="O7" i="70"/>
  <c r="I9" i="70"/>
  <c r="H8" i="70"/>
  <c r="I7" i="70"/>
  <c r="Q7" i="70" l="1"/>
  <c r="R7" i="70" s="1"/>
  <c r="S7" i="70" s="1"/>
  <c r="Q8" i="70"/>
  <c r="R8" i="70" s="1"/>
  <c r="S8" i="70" s="1"/>
  <c r="T8" i="70"/>
  <c r="Q9" i="70"/>
  <c r="R9" i="70" s="1"/>
  <c r="S9" i="70" s="1"/>
  <c r="T7" i="70"/>
  <c r="Q6" i="70"/>
  <c r="R6" i="70" s="1"/>
  <c r="S6" i="70" s="1"/>
  <c r="E67" i="187" l="1"/>
  <c r="C892" i="78" l="1"/>
  <c r="C893" i="78"/>
  <c r="O295" i="55"/>
  <c r="P295" i="55"/>
  <c r="Q295" i="55"/>
  <c r="R295" i="55"/>
  <c r="C319" i="78"/>
  <c r="C85" i="78"/>
  <c r="C86" i="78"/>
  <c r="O74" i="55"/>
  <c r="P74" i="55"/>
  <c r="Q74" i="55"/>
  <c r="R74" i="55"/>
  <c r="O75" i="55"/>
  <c r="P75" i="55"/>
  <c r="Q75" i="55"/>
  <c r="R75" i="55"/>
  <c r="C84" i="78"/>
  <c r="O73" i="55"/>
  <c r="P73" i="55"/>
  <c r="Q73" i="55"/>
  <c r="R73" i="55"/>
  <c r="C10" i="78"/>
  <c r="O10" i="55"/>
  <c r="P10" i="55"/>
  <c r="Q10" i="55"/>
  <c r="R10" i="55"/>
  <c r="W553" i="178" l="1"/>
  <c r="AD553" i="178"/>
  <c r="AE553" i="178"/>
  <c r="AF553" i="178"/>
  <c r="AG553" i="178"/>
  <c r="AH553" i="178"/>
  <c r="AI553" i="178"/>
  <c r="AJ553" i="178"/>
  <c r="AK553" i="178"/>
  <c r="AL553" i="178"/>
  <c r="AM553" i="178"/>
  <c r="AN553" i="178"/>
  <c r="AO553" i="178"/>
  <c r="T553" i="178"/>
  <c r="U553" i="178" s="1"/>
  <c r="Q553" i="178"/>
  <c r="S553" i="178" s="1"/>
  <c r="B553" i="178"/>
  <c r="S723" i="178"/>
  <c r="T723" i="178"/>
  <c r="V723" i="178" s="1"/>
  <c r="W723" i="178"/>
  <c r="AD723" i="178"/>
  <c r="AE723" i="178"/>
  <c r="AF723" i="178"/>
  <c r="AG723" i="178"/>
  <c r="AH723" i="178"/>
  <c r="AI723" i="178"/>
  <c r="AJ723" i="178"/>
  <c r="AK723" i="178"/>
  <c r="AL723" i="178"/>
  <c r="AM723" i="178"/>
  <c r="AN723" i="178"/>
  <c r="BL723" i="178" s="1"/>
  <c r="AO723" i="178"/>
  <c r="T725" i="178"/>
  <c r="V725" i="178" s="1"/>
  <c r="W725" i="178"/>
  <c r="AD725" i="178"/>
  <c r="AE725" i="178"/>
  <c r="AF725" i="178"/>
  <c r="AG725" i="178"/>
  <c r="AH725" i="178"/>
  <c r="AI725" i="178"/>
  <c r="AJ725" i="178"/>
  <c r="AK725" i="178"/>
  <c r="AL725" i="178"/>
  <c r="AM725" i="178"/>
  <c r="AN725" i="178"/>
  <c r="AO725" i="178"/>
  <c r="S735" i="178"/>
  <c r="T735" i="178"/>
  <c r="V735" i="178" s="1"/>
  <c r="W735" i="178"/>
  <c r="AD735" i="178"/>
  <c r="AE735" i="178"/>
  <c r="AF735" i="178"/>
  <c r="AG735" i="178"/>
  <c r="AH735" i="178"/>
  <c r="AI735" i="178"/>
  <c r="AJ735" i="178"/>
  <c r="AK735" i="178"/>
  <c r="AL735" i="178"/>
  <c r="AM735" i="178"/>
  <c r="AN735" i="178"/>
  <c r="AO735" i="178"/>
  <c r="S736" i="178"/>
  <c r="T736" i="178"/>
  <c r="V736" i="178" s="1"/>
  <c r="W736" i="178"/>
  <c r="AD736" i="178"/>
  <c r="AE736" i="178"/>
  <c r="AF736" i="178"/>
  <c r="AG736" i="178"/>
  <c r="AH736" i="178"/>
  <c r="AI736" i="178"/>
  <c r="AJ736" i="178"/>
  <c r="AK736" i="178"/>
  <c r="AL736" i="178"/>
  <c r="AM736" i="178"/>
  <c r="AN736" i="178"/>
  <c r="AO736" i="178"/>
  <c r="S739" i="178"/>
  <c r="T739" i="178"/>
  <c r="V739" i="178" s="1"/>
  <c r="W739" i="178"/>
  <c r="AD739" i="178"/>
  <c r="AE739" i="178"/>
  <c r="AF739" i="178"/>
  <c r="AG739" i="178"/>
  <c r="AH739" i="178"/>
  <c r="AI739" i="178"/>
  <c r="AJ739" i="178"/>
  <c r="AK739" i="178"/>
  <c r="AL739" i="178"/>
  <c r="AM739" i="178"/>
  <c r="AN739" i="178"/>
  <c r="AO739" i="178"/>
  <c r="S749" i="178"/>
  <c r="T749" i="178"/>
  <c r="V749" i="178" s="1"/>
  <c r="W749" i="178"/>
  <c r="AD749" i="178"/>
  <c r="AE749" i="178"/>
  <c r="AF749" i="178"/>
  <c r="AG749" i="178"/>
  <c r="AH749" i="178"/>
  <c r="AI749" i="178"/>
  <c r="AJ749" i="178"/>
  <c r="AK749" i="178"/>
  <c r="AL749" i="178"/>
  <c r="AM749" i="178"/>
  <c r="AN749" i="178"/>
  <c r="AO749" i="178"/>
  <c r="S794" i="178"/>
  <c r="T794" i="178"/>
  <c r="V794" i="178" s="1"/>
  <c r="W794" i="178"/>
  <c r="AD794" i="178"/>
  <c r="AE794" i="178"/>
  <c r="AF794" i="178"/>
  <c r="AG794" i="178"/>
  <c r="AH794" i="178"/>
  <c r="AI794" i="178"/>
  <c r="AJ794" i="178"/>
  <c r="AK794" i="178"/>
  <c r="AL794" i="178"/>
  <c r="AM794" i="178"/>
  <c r="AN794" i="178"/>
  <c r="AO794" i="178"/>
  <c r="S796" i="178"/>
  <c r="T796" i="178"/>
  <c r="V796" i="178" s="1"/>
  <c r="W796" i="178"/>
  <c r="AD796" i="178"/>
  <c r="AE796" i="178"/>
  <c r="AF796" i="178"/>
  <c r="AG796" i="178"/>
  <c r="AH796" i="178"/>
  <c r="AI796" i="178"/>
  <c r="AJ796" i="178"/>
  <c r="AK796" i="178"/>
  <c r="AL796" i="178"/>
  <c r="AM796" i="178"/>
  <c r="AN796" i="178"/>
  <c r="AO796" i="178"/>
  <c r="S797" i="178"/>
  <c r="T797" i="178"/>
  <c r="V797" i="178" s="1"/>
  <c r="W797" i="178"/>
  <c r="AD797" i="178"/>
  <c r="AE797" i="178"/>
  <c r="AF797" i="178"/>
  <c r="AG797" i="178"/>
  <c r="AH797" i="178"/>
  <c r="AI797" i="178"/>
  <c r="AJ797" i="178"/>
  <c r="AK797" i="178"/>
  <c r="AL797" i="178"/>
  <c r="AM797" i="178"/>
  <c r="AN797" i="178"/>
  <c r="AO797" i="178"/>
  <c r="S798" i="178"/>
  <c r="T798" i="178"/>
  <c r="V798" i="178" s="1"/>
  <c r="W798" i="178"/>
  <c r="AD798" i="178"/>
  <c r="AE798" i="178"/>
  <c r="AF798" i="178"/>
  <c r="AG798" i="178"/>
  <c r="AH798" i="178"/>
  <c r="AI798" i="178"/>
  <c r="AJ798" i="178"/>
  <c r="AK798" i="178"/>
  <c r="AL798" i="178"/>
  <c r="AM798" i="178"/>
  <c r="AN798" i="178"/>
  <c r="AO798" i="178"/>
  <c r="S799" i="178"/>
  <c r="T799" i="178"/>
  <c r="V799" i="178" s="1"/>
  <c r="W799" i="178"/>
  <c r="AD799" i="178"/>
  <c r="AE799" i="178"/>
  <c r="AF799" i="178"/>
  <c r="AG799" i="178"/>
  <c r="AH799" i="178"/>
  <c r="AI799" i="178"/>
  <c r="AJ799" i="178"/>
  <c r="AK799" i="178"/>
  <c r="AL799" i="178"/>
  <c r="AM799" i="178"/>
  <c r="AN799" i="178"/>
  <c r="AO799" i="178"/>
  <c r="S800" i="178"/>
  <c r="T800" i="178"/>
  <c r="V800" i="178" s="1"/>
  <c r="W800" i="178"/>
  <c r="AD800" i="178"/>
  <c r="AE800" i="178"/>
  <c r="AF800" i="178"/>
  <c r="AG800" i="178"/>
  <c r="AH800" i="178"/>
  <c r="AI800" i="178"/>
  <c r="AJ800" i="178"/>
  <c r="AK800" i="178"/>
  <c r="AL800" i="178"/>
  <c r="AM800" i="178"/>
  <c r="AN800" i="178"/>
  <c r="AO800" i="178"/>
  <c r="Q457" i="178"/>
  <c r="S457" i="178" s="1"/>
  <c r="T457" i="178"/>
  <c r="V457" i="178" s="1"/>
  <c r="W457" i="178"/>
  <c r="AD457" i="178"/>
  <c r="AE457" i="178"/>
  <c r="AF457" i="178"/>
  <c r="AG457" i="178"/>
  <c r="AH457" i="178"/>
  <c r="AI457" i="178"/>
  <c r="AJ457" i="178"/>
  <c r="AK457" i="178"/>
  <c r="AL457" i="178"/>
  <c r="AM457" i="178"/>
  <c r="AN457" i="178"/>
  <c r="AO457" i="178"/>
  <c r="Q747" i="178"/>
  <c r="S747" i="178" s="1"/>
  <c r="T747" i="178"/>
  <c r="V747" i="178" s="1"/>
  <c r="W747" i="178"/>
  <c r="AD747" i="178"/>
  <c r="AE747" i="178"/>
  <c r="AF747" i="178"/>
  <c r="AG747" i="178"/>
  <c r="AH747" i="178"/>
  <c r="AI747" i="178"/>
  <c r="AJ747" i="178"/>
  <c r="AK747" i="178"/>
  <c r="AL747" i="178"/>
  <c r="AM747" i="178"/>
  <c r="AN747" i="178"/>
  <c r="AO747" i="178"/>
  <c r="Q913" i="178"/>
  <c r="S913" i="178" s="1"/>
  <c r="T913" i="178"/>
  <c r="W913" i="178"/>
  <c r="AD913" i="178"/>
  <c r="AE913" i="178"/>
  <c r="AF913" i="178"/>
  <c r="AG913" i="178"/>
  <c r="AH913" i="178"/>
  <c r="AI913" i="178"/>
  <c r="AJ913" i="178"/>
  <c r="AK913" i="178"/>
  <c r="AL913" i="178"/>
  <c r="AM913" i="178"/>
  <c r="AN913" i="178"/>
  <c r="AO913" i="178"/>
  <c r="Q124" i="178"/>
  <c r="S124" i="178" s="1"/>
  <c r="T124" i="178"/>
  <c r="V124" i="178" s="1"/>
  <c r="W124" i="178"/>
  <c r="AD124" i="178"/>
  <c r="AE124" i="178"/>
  <c r="AF124" i="178"/>
  <c r="AG124" i="178"/>
  <c r="AH124" i="178"/>
  <c r="AI124" i="178"/>
  <c r="AJ124" i="178"/>
  <c r="AK124" i="178"/>
  <c r="AL124" i="178"/>
  <c r="AM124" i="178"/>
  <c r="AN124" i="178"/>
  <c r="AO124" i="178"/>
  <c r="Q477" i="178"/>
  <c r="S477" i="178" s="1"/>
  <c r="T477" i="178"/>
  <c r="W477" i="178"/>
  <c r="AD477" i="178"/>
  <c r="AE477" i="178"/>
  <c r="AF477" i="178"/>
  <c r="AG477" i="178"/>
  <c r="AH477" i="178"/>
  <c r="AI477" i="178"/>
  <c r="AJ477" i="178"/>
  <c r="AK477" i="178"/>
  <c r="AL477" i="178"/>
  <c r="AM477" i="178"/>
  <c r="AN477" i="178"/>
  <c r="AO477" i="178"/>
  <c r="Q748" i="178"/>
  <c r="S748" i="178" s="1"/>
  <c r="T748" i="178"/>
  <c r="W748" i="178"/>
  <c r="AD748" i="178"/>
  <c r="AE748" i="178"/>
  <c r="AF748" i="178"/>
  <c r="AG748" i="178"/>
  <c r="AH748" i="178"/>
  <c r="AI748" i="178"/>
  <c r="AJ748" i="178"/>
  <c r="AK748" i="178"/>
  <c r="AL748" i="178"/>
  <c r="AM748" i="178"/>
  <c r="AN748" i="178"/>
  <c r="AO748" i="178"/>
  <c r="Q125" i="178"/>
  <c r="S125" i="178" s="1"/>
  <c r="T125" i="178"/>
  <c r="V125" i="178" s="1"/>
  <c r="W125" i="178"/>
  <c r="AD125" i="178"/>
  <c r="AE125" i="178"/>
  <c r="AF125" i="178"/>
  <c r="AG125" i="178"/>
  <c r="AH125" i="178"/>
  <c r="AI125" i="178"/>
  <c r="AJ125" i="178"/>
  <c r="AK125" i="178"/>
  <c r="AL125" i="178"/>
  <c r="AM125" i="178"/>
  <c r="AN125" i="178"/>
  <c r="AO125" i="178"/>
  <c r="Q478" i="178"/>
  <c r="S478" i="178" s="1"/>
  <c r="T478" i="178"/>
  <c r="V478" i="178" s="1"/>
  <c r="W478" i="178"/>
  <c r="AD478" i="178"/>
  <c r="AE478" i="178"/>
  <c r="AF478" i="178"/>
  <c r="AG478" i="178"/>
  <c r="AH478" i="178"/>
  <c r="AI478" i="178"/>
  <c r="AJ478" i="178"/>
  <c r="AK478" i="178"/>
  <c r="AL478" i="178"/>
  <c r="AM478" i="178"/>
  <c r="AN478" i="178"/>
  <c r="AO478" i="178"/>
  <c r="Q751" i="178"/>
  <c r="S751" i="178" s="1"/>
  <c r="T751" i="178"/>
  <c r="W751" i="178"/>
  <c r="AD751" i="178"/>
  <c r="AE751" i="178"/>
  <c r="AF751" i="178"/>
  <c r="AG751" i="178"/>
  <c r="AH751" i="178"/>
  <c r="AI751" i="178"/>
  <c r="AJ751" i="178"/>
  <c r="AK751" i="178"/>
  <c r="AL751" i="178"/>
  <c r="AM751" i="178"/>
  <c r="AN751" i="178"/>
  <c r="AO751" i="178"/>
  <c r="Q126" i="178"/>
  <c r="S126" i="178" s="1"/>
  <c r="T126" i="178"/>
  <c r="V126" i="178" s="1"/>
  <c r="W126" i="178"/>
  <c r="AD126" i="178"/>
  <c r="AE126" i="178"/>
  <c r="AF126" i="178"/>
  <c r="AG126" i="178"/>
  <c r="AH126" i="178"/>
  <c r="AI126" i="178"/>
  <c r="AJ126" i="178"/>
  <c r="AK126" i="178"/>
  <c r="AL126" i="178"/>
  <c r="AM126" i="178"/>
  <c r="AN126" i="178"/>
  <c r="AO126" i="178"/>
  <c r="Q513" i="178"/>
  <c r="S513" i="178" s="1"/>
  <c r="T513" i="178"/>
  <c r="U513" i="178" s="1"/>
  <c r="W513" i="178"/>
  <c r="AD513" i="178"/>
  <c r="AE513" i="178"/>
  <c r="AF513" i="178"/>
  <c r="AG513" i="178"/>
  <c r="AH513" i="178"/>
  <c r="AI513" i="178"/>
  <c r="AJ513" i="178"/>
  <c r="AK513" i="178"/>
  <c r="AL513" i="178"/>
  <c r="AM513" i="178"/>
  <c r="AN513" i="178"/>
  <c r="AO513" i="178"/>
  <c r="Q505" i="178"/>
  <c r="S505" i="178" s="1"/>
  <c r="T505" i="178"/>
  <c r="U505" i="178" s="1"/>
  <c r="W505" i="178"/>
  <c r="AD505" i="178"/>
  <c r="AE505" i="178"/>
  <c r="AF505" i="178"/>
  <c r="AG505" i="178"/>
  <c r="AH505" i="178"/>
  <c r="AI505" i="178"/>
  <c r="AJ505" i="178"/>
  <c r="AK505" i="178"/>
  <c r="AL505" i="178"/>
  <c r="AM505" i="178"/>
  <c r="AN505" i="178"/>
  <c r="AO505" i="178"/>
  <c r="Q663" i="178"/>
  <c r="S663" i="178" s="1"/>
  <c r="T663" i="178"/>
  <c r="U663" i="178" s="1"/>
  <c r="W663" i="178"/>
  <c r="AD663" i="178"/>
  <c r="AE663" i="178"/>
  <c r="AF663" i="178"/>
  <c r="AG663" i="178"/>
  <c r="AH663" i="178"/>
  <c r="AI663" i="178"/>
  <c r="AJ663" i="178"/>
  <c r="AK663" i="178"/>
  <c r="AL663" i="178"/>
  <c r="AM663" i="178"/>
  <c r="AN663" i="178"/>
  <c r="AO663" i="178"/>
  <c r="Q664" i="178"/>
  <c r="S664" i="178" s="1"/>
  <c r="T664" i="178"/>
  <c r="U664" i="178" s="1"/>
  <c r="W664" i="178"/>
  <c r="AD664" i="178"/>
  <c r="AE664" i="178"/>
  <c r="AF664" i="178"/>
  <c r="AG664" i="178"/>
  <c r="AH664" i="178"/>
  <c r="AI664" i="178"/>
  <c r="AJ664" i="178"/>
  <c r="AK664" i="178"/>
  <c r="AL664" i="178"/>
  <c r="AM664" i="178"/>
  <c r="AN664" i="178"/>
  <c r="AO664" i="178"/>
  <c r="Q774" i="178"/>
  <c r="S774" i="178" s="1"/>
  <c r="T774" i="178"/>
  <c r="W774" i="178"/>
  <c r="AD774" i="178"/>
  <c r="AE774" i="178"/>
  <c r="AF774" i="178"/>
  <c r="AG774" i="178"/>
  <c r="AH774" i="178"/>
  <c r="AI774" i="178"/>
  <c r="AJ774" i="178"/>
  <c r="AK774" i="178"/>
  <c r="AL774" i="178"/>
  <c r="AM774" i="178"/>
  <c r="AN774" i="178"/>
  <c r="AO774" i="178"/>
  <c r="Q665" i="178"/>
  <c r="S665" i="178" s="1"/>
  <c r="T665" i="178"/>
  <c r="W665" i="178"/>
  <c r="AD665" i="178"/>
  <c r="AE665" i="178"/>
  <c r="AF665" i="178"/>
  <c r="AG665" i="178"/>
  <c r="AH665" i="178"/>
  <c r="AI665" i="178"/>
  <c r="AJ665" i="178"/>
  <c r="AK665" i="178"/>
  <c r="AL665" i="178"/>
  <c r="AM665" i="178"/>
  <c r="AN665" i="178"/>
  <c r="AO665" i="178"/>
  <c r="Q666" i="178"/>
  <c r="S666" i="178" s="1"/>
  <c r="T666" i="178"/>
  <c r="W666" i="178"/>
  <c r="AD666" i="178"/>
  <c r="AE666" i="178"/>
  <c r="AF666" i="178"/>
  <c r="AG666" i="178"/>
  <c r="AH666" i="178"/>
  <c r="AI666" i="178"/>
  <c r="AJ666" i="178"/>
  <c r="AK666" i="178"/>
  <c r="AL666" i="178"/>
  <c r="AM666" i="178"/>
  <c r="AN666" i="178"/>
  <c r="AO666" i="178"/>
  <c r="Q775" i="178"/>
  <c r="S775" i="178" s="1"/>
  <c r="T775" i="178"/>
  <c r="W775" i="178"/>
  <c r="AD775" i="178"/>
  <c r="AE775" i="178"/>
  <c r="AF775" i="178"/>
  <c r="AG775" i="178"/>
  <c r="AH775" i="178"/>
  <c r="AI775" i="178"/>
  <c r="AJ775" i="178"/>
  <c r="AK775" i="178"/>
  <c r="AL775" i="178"/>
  <c r="AM775" i="178"/>
  <c r="AN775" i="178"/>
  <c r="AO775" i="178"/>
  <c r="Q667" i="178"/>
  <c r="S667" i="178" s="1"/>
  <c r="T667" i="178"/>
  <c r="W667" i="178"/>
  <c r="AD667" i="178"/>
  <c r="AE667" i="178"/>
  <c r="AF667" i="178"/>
  <c r="AG667" i="178"/>
  <c r="AH667" i="178"/>
  <c r="AI667" i="178"/>
  <c r="AJ667" i="178"/>
  <c r="AK667" i="178"/>
  <c r="AL667" i="178"/>
  <c r="AM667" i="178"/>
  <c r="AN667" i="178"/>
  <c r="AO667" i="178"/>
  <c r="Q668" i="178"/>
  <c r="S668" i="178" s="1"/>
  <c r="T668" i="178"/>
  <c r="W668" i="178"/>
  <c r="AD668" i="178"/>
  <c r="AE668" i="178"/>
  <c r="AF668" i="178"/>
  <c r="AG668" i="178"/>
  <c r="AH668" i="178"/>
  <c r="AI668" i="178"/>
  <c r="AJ668" i="178"/>
  <c r="AK668" i="178"/>
  <c r="AL668" i="178"/>
  <c r="AM668" i="178"/>
  <c r="AN668" i="178"/>
  <c r="AO668" i="178"/>
  <c r="Q779" i="178"/>
  <c r="S779" i="178" s="1"/>
  <c r="T779" i="178"/>
  <c r="W779" i="178"/>
  <c r="AD779" i="178"/>
  <c r="AE779" i="178"/>
  <c r="AF779" i="178"/>
  <c r="AG779" i="178"/>
  <c r="AH779" i="178"/>
  <c r="AI779" i="178"/>
  <c r="AJ779" i="178"/>
  <c r="AK779" i="178"/>
  <c r="AL779" i="178"/>
  <c r="AM779" i="178"/>
  <c r="AN779" i="178"/>
  <c r="AO779" i="178"/>
  <c r="S440" i="178"/>
  <c r="T440" i="178"/>
  <c r="W440" i="178"/>
  <c r="AD440" i="178"/>
  <c r="AE440" i="178"/>
  <c r="AF440" i="178"/>
  <c r="AG440" i="178"/>
  <c r="AH440" i="178"/>
  <c r="AI440" i="178"/>
  <c r="AJ440" i="178"/>
  <c r="AK440" i="178"/>
  <c r="AL440" i="178"/>
  <c r="AM440" i="178"/>
  <c r="AN440" i="178"/>
  <c r="AO440" i="178"/>
  <c r="S955" i="178"/>
  <c r="T955" i="178"/>
  <c r="U955" i="178" s="1"/>
  <c r="W955" i="178"/>
  <c r="AD955" i="178"/>
  <c r="AE955" i="178"/>
  <c r="AF955" i="178"/>
  <c r="AG955" i="178"/>
  <c r="AH955" i="178"/>
  <c r="AI955" i="178"/>
  <c r="AJ955" i="178"/>
  <c r="AK955" i="178"/>
  <c r="AL955" i="178"/>
  <c r="AM955" i="178"/>
  <c r="AN955" i="178"/>
  <c r="AO955" i="178"/>
  <c r="T956" i="178"/>
  <c r="U956" i="178" s="1"/>
  <c r="W956" i="178"/>
  <c r="AD956" i="178"/>
  <c r="AE956" i="178"/>
  <c r="AF956" i="178"/>
  <c r="AG956" i="178"/>
  <c r="AH956" i="178"/>
  <c r="AI956" i="178"/>
  <c r="AJ956" i="178"/>
  <c r="AK956" i="178"/>
  <c r="AL956" i="178"/>
  <c r="AM956" i="178"/>
  <c r="AN956" i="178"/>
  <c r="AO956" i="178"/>
  <c r="S957" i="178"/>
  <c r="T957" i="178"/>
  <c r="V957" i="178" s="1"/>
  <c r="W957" i="178"/>
  <c r="AD957" i="178"/>
  <c r="AE957" i="178"/>
  <c r="AF957" i="178"/>
  <c r="AG957" i="178"/>
  <c r="AH957" i="178"/>
  <c r="AI957" i="178"/>
  <c r="AJ957" i="178"/>
  <c r="AK957" i="178"/>
  <c r="AL957" i="178"/>
  <c r="AM957" i="178"/>
  <c r="AN957" i="178"/>
  <c r="AO957" i="178"/>
  <c r="S958" i="178"/>
  <c r="T958" i="178"/>
  <c r="V958" i="178" s="1"/>
  <c r="W958" i="178"/>
  <c r="AD958" i="178"/>
  <c r="AE958" i="178"/>
  <c r="AF958" i="178"/>
  <c r="AG958" i="178"/>
  <c r="AH958" i="178"/>
  <c r="AI958" i="178"/>
  <c r="AJ958" i="178"/>
  <c r="AK958" i="178"/>
  <c r="AL958" i="178"/>
  <c r="AM958" i="178"/>
  <c r="AN958" i="178"/>
  <c r="AO958" i="178"/>
  <c r="Q409" i="178"/>
  <c r="S409" i="178" s="1"/>
  <c r="T409" i="178"/>
  <c r="V409" i="178" s="1"/>
  <c r="W409" i="178"/>
  <c r="AD409" i="178"/>
  <c r="AE409" i="178"/>
  <c r="AF409" i="178"/>
  <c r="AG409" i="178"/>
  <c r="AH409" i="178"/>
  <c r="AI409" i="178"/>
  <c r="AJ409" i="178"/>
  <c r="AK409" i="178"/>
  <c r="AL409" i="178"/>
  <c r="AM409" i="178"/>
  <c r="AN409" i="178"/>
  <c r="AO409" i="178"/>
  <c r="Q629" i="178"/>
  <c r="T629" i="178"/>
  <c r="V629" i="178" s="1"/>
  <c r="W629" i="178"/>
  <c r="AD629" i="178"/>
  <c r="AE629" i="178"/>
  <c r="AF629" i="178"/>
  <c r="AG629" i="178"/>
  <c r="AH629" i="178"/>
  <c r="AI629" i="178"/>
  <c r="AJ629" i="178"/>
  <c r="AK629" i="178"/>
  <c r="AL629" i="178"/>
  <c r="AM629" i="178"/>
  <c r="AN629" i="178"/>
  <c r="AO629" i="178"/>
  <c r="S959" i="178"/>
  <c r="T959" i="178"/>
  <c r="V959" i="178" s="1"/>
  <c r="W959" i="178"/>
  <c r="AD959" i="178"/>
  <c r="AE959" i="178"/>
  <c r="AF959" i="178"/>
  <c r="AG959" i="178"/>
  <c r="AH959" i="178"/>
  <c r="AI959" i="178"/>
  <c r="AJ959" i="178"/>
  <c r="AK959" i="178"/>
  <c r="AL959" i="178"/>
  <c r="AM959" i="178"/>
  <c r="AN959" i="178"/>
  <c r="AO959" i="178"/>
  <c r="S960" i="178"/>
  <c r="T960" i="178"/>
  <c r="V960" i="178" s="1"/>
  <c r="W960" i="178"/>
  <c r="AD960" i="178"/>
  <c r="AE960" i="178"/>
  <c r="AF960" i="178"/>
  <c r="AG960" i="178"/>
  <c r="AH960" i="178"/>
  <c r="AI960" i="178"/>
  <c r="AJ960" i="178"/>
  <c r="AK960" i="178"/>
  <c r="AL960" i="178"/>
  <c r="AM960" i="178"/>
  <c r="AN960" i="178"/>
  <c r="AO960" i="178"/>
  <c r="Q740" i="178"/>
  <c r="S740" i="178" s="1"/>
  <c r="T740" i="178"/>
  <c r="V740" i="178" s="1"/>
  <c r="W740" i="178"/>
  <c r="AD740" i="178"/>
  <c r="AE740" i="178"/>
  <c r="AF740" i="178"/>
  <c r="AG740" i="178"/>
  <c r="AH740" i="178"/>
  <c r="AI740" i="178"/>
  <c r="AJ740" i="178"/>
  <c r="AK740" i="178"/>
  <c r="AL740" i="178"/>
  <c r="AM740" i="178"/>
  <c r="AN740" i="178"/>
  <c r="AO740" i="178"/>
  <c r="Q741" i="178"/>
  <c r="S741" i="178" s="1"/>
  <c r="T741" i="178"/>
  <c r="V741" i="178" s="1"/>
  <c r="W741" i="178"/>
  <c r="AD741" i="178"/>
  <c r="AE741" i="178"/>
  <c r="AF741" i="178"/>
  <c r="AG741" i="178"/>
  <c r="AH741" i="178"/>
  <c r="AI741" i="178"/>
  <c r="AJ741" i="178"/>
  <c r="AK741" i="178"/>
  <c r="AL741" i="178"/>
  <c r="AM741" i="178"/>
  <c r="AN741" i="178"/>
  <c r="AO741" i="178"/>
  <c r="Q562" i="178"/>
  <c r="S562" i="178" s="1"/>
  <c r="T562" i="178"/>
  <c r="V562" i="178" s="1"/>
  <c r="W562" i="178"/>
  <c r="AD562" i="178"/>
  <c r="AE562" i="178"/>
  <c r="AF562" i="178"/>
  <c r="AG562" i="178"/>
  <c r="AH562" i="178"/>
  <c r="AI562" i="178"/>
  <c r="AJ562" i="178"/>
  <c r="AK562" i="178"/>
  <c r="AL562" i="178"/>
  <c r="AM562" i="178"/>
  <c r="AN562" i="178"/>
  <c r="AO562" i="178"/>
  <c r="Q743" i="178"/>
  <c r="S743" i="178" s="1"/>
  <c r="T743" i="178"/>
  <c r="V743" i="178" s="1"/>
  <c r="W743" i="178"/>
  <c r="AD743" i="178"/>
  <c r="AE743" i="178"/>
  <c r="AF743" i="178"/>
  <c r="AG743" i="178"/>
  <c r="AH743" i="178"/>
  <c r="AI743" i="178"/>
  <c r="AJ743" i="178"/>
  <c r="AK743" i="178"/>
  <c r="AL743" i="178"/>
  <c r="AM743" i="178"/>
  <c r="AN743" i="178"/>
  <c r="AO743" i="178"/>
  <c r="Q35" i="178"/>
  <c r="S35" i="178" s="1"/>
  <c r="T35" i="178"/>
  <c r="V35" i="178" s="1"/>
  <c r="W35" i="178"/>
  <c r="AD35" i="178"/>
  <c r="AE35" i="178"/>
  <c r="AF35" i="178"/>
  <c r="AG35" i="178"/>
  <c r="AH35" i="178"/>
  <c r="AI35" i="178"/>
  <c r="AJ35" i="178"/>
  <c r="AK35" i="178"/>
  <c r="AL35" i="178"/>
  <c r="AM35" i="178"/>
  <c r="AN35" i="178"/>
  <c r="AO35" i="178"/>
  <c r="Q410" i="178"/>
  <c r="S410" i="178" s="1"/>
  <c r="T410" i="178"/>
  <c r="V410" i="178" s="1"/>
  <c r="W410" i="178"/>
  <c r="AD410" i="178"/>
  <c r="AE410" i="178"/>
  <c r="AF410" i="178"/>
  <c r="AG410" i="178"/>
  <c r="AH410" i="178"/>
  <c r="AI410" i="178"/>
  <c r="AJ410" i="178"/>
  <c r="AK410" i="178"/>
  <c r="AL410" i="178"/>
  <c r="AM410" i="178"/>
  <c r="AN410" i="178"/>
  <c r="AO410" i="178"/>
  <c r="S142" i="178"/>
  <c r="T142" i="178"/>
  <c r="V142" i="178" s="1"/>
  <c r="W142" i="178"/>
  <c r="AD142" i="178"/>
  <c r="AE142" i="178"/>
  <c r="AF142" i="178"/>
  <c r="AG142" i="178"/>
  <c r="AH142" i="178"/>
  <c r="AI142" i="178"/>
  <c r="AJ142" i="178"/>
  <c r="AK142" i="178"/>
  <c r="AL142" i="178"/>
  <c r="AM142" i="178"/>
  <c r="AN142" i="178"/>
  <c r="AO142" i="178"/>
  <c r="T139" i="178"/>
  <c r="V139" i="178" s="1"/>
  <c r="W139" i="178"/>
  <c r="AD139" i="178"/>
  <c r="AE139" i="178"/>
  <c r="AF139" i="178"/>
  <c r="AG139" i="178"/>
  <c r="AH139" i="178"/>
  <c r="AI139" i="178"/>
  <c r="AJ139" i="178"/>
  <c r="AK139" i="178"/>
  <c r="AL139" i="178"/>
  <c r="AM139" i="178"/>
  <c r="AN139" i="178"/>
  <c r="AO139" i="178"/>
  <c r="S143" i="178"/>
  <c r="T143" i="178"/>
  <c r="V143" i="178" s="1"/>
  <c r="W143" i="178"/>
  <c r="AD143" i="178"/>
  <c r="AE143" i="178"/>
  <c r="AF143" i="178"/>
  <c r="AG143" i="178"/>
  <c r="AH143" i="178"/>
  <c r="AI143" i="178"/>
  <c r="AJ143" i="178"/>
  <c r="AK143" i="178"/>
  <c r="AL143" i="178"/>
  <c r="AM143" i="178"/>
  <c r="AN143" i="178"/>
  <c r="AO143" i="178"/>
  <c r="S144" i="178"/>
  <c r="T144" i="178"/>
  <c r="V144" i="178" s="1"/>
  <c r="W144" i="178"/>
  <c r="AD144" i="178"/>
  <c r="AE144" i="178"/>
  <c r="AF144" i="178"/>
  <c r="AG144" i="178"/>
  <c r="AH144" i="178"/>
  <c r="AI144" i="178"/>
  <c r="AJ144" i="178"/>
  <c r="AK144" i="178"/>
  <c r="AL144" i="178"/>
  <c r="AM144" i="178"/>
  <c r="AN144" i="178"/>
  <c r="AO144" i="178"/>
  <c r="Q302" i="178"/>
  <c r="S302" i="178" s="1"/>
  <c r="T302" i="178"/>
  <c r="V302" i="178" s="1"/>
  <c r="W302" i="178"/>
  <c r="AD302" i="178"/>
  <c r="AE302" i="178"/>
  <c r="AF302" i="178"/>
  <c r="AG302" i="178"/>
  <c r="AH302" i="178"/>
  <c r="AI302" i="178"/>
  <c r="AJ302" i="178"/>
  <c r="AK302" i="178"/>
  <c r="AL302" i="178"/>
  <c r="AM302" i="178"/>
  <c r="AN302" i="178"/>
  <c r="AO302" i="178"/>
  <c r="Q763" i="178"/>
  <c r="S763" i="178" s="1"/>
  <c r="T763" i="178"/>
  <c r="V763" i="178" s="1"/>
  <c r="W763" i="178"/>
  <c r="AD763" i="178"/>
  <c r="AE763" i="178"/>
  <c r="AF763" i="178"/>
  <c r="AG763" i="178"/>
  <c r="AH763" i="178"/>
  <c r="AI763" i="178"/>
  <c r="AJ763" i="178"/>
  <c r="AK763" i="178"/>
  <c r="AL763" i="178"/>
  <c r="AM763" i="178"/>
  <c r="AN763" i="178"/>
  <c r="AO763" i="178"/>
  <c r="Q149" i="178"/>
  <c r="S149" i="178" s="1"/>
  <c r="T149" i="178"/>
  <c r="V149" i="178" s="1"/>
  <c r="W149" i="178"/>
  <c r="AD149" i="178"/>
  <c r="AE149" i="178"/>
  <c r="AF149" i="178"/>
  <c r="AG149" i="178"/>
  <c r="AH149" i="178"/>
  <c r="AI149" i="178"/>
  <c r="AJ149" i="178"/>
  <c r="AK149" i="178"/>
  <c r="AL149" i="178"/>
  <c r="AM149" i="178"/>
  <c r="AN149" i="178"/>
  <c r="AO149" i="178"/>
  <c r="B723" i="178"/>
  <c r="B725" i="178"/>
  <c r="B735" i="178"/>
  <c r="B736" i="178"/>
  <c r="B739" i="178"/>
  <c r="B749" i="178"/>
  <c r="B794" i="178"/>
  <c r="B796" i="178"/>
  <c r="B797" i="178"/>
  <c r="B798" i="178"/>
  <c r="B799" i="178"/>
  <c r="B800" i="178"/>
  <c r="B457" i="178"/>
  <c r="B747" i="178"/>
  <c r="B913" i="178"/>
  <c r="B124" i="178"/>
  <c r="B477" i="178"/>
  <c r="B748" i="178"/>
  <c r="B125" i="178"/>
  <c r="B478" i="178"/>
  <c r="B751" i="178"/>
  <c r="B126" i="178"/>
  <c r="B513" i="178"/>
  <c r="B505" i="178"/>
  <c r="B663" i="178"/>
  <c r="B664" i="178"/>
  <c r="B774" i="178"/>
  <c r="B665" i="178"/>
  <c r="B666" i="178"/>
  <c r="B775" i="178"/>
  <c r="B667" i="178"/>
  <c r="B668" i="178"/>
  <c r="B779" i="178"/>
  <c r="B440" i="178"/>
  <c r="B955" i="178"/>
  <c r="B956" i="178"/>
  <c r="B957" i="178"/>
  <c r="B958" i="178"/>
  <c r="B409" i="178"/>
  <c r="B629" i="178"/>
  <c r="B959" i="178"/>
  <c r="B960" i="178"/>
  <c r="B740" i="178"/>
  <c r="B741" i="178"/>
  <c r="B562" i="178"/>
  <c r="B743" i="178"/>
  <c r="B35" i="178"/>
  <c r="B410" i="178"/>
  <c r="B142" i="178"/>
  <c r="B139" i="178"/>
  <c r="B143" i="178"/>
  <c r="B144" i="178"/>
  <c r="B302" i="178"/>
  <c r="B763" i="178"/>
  <c r="B149" i="178"/>
  <c r="B145" i="178"/>
  <c r="B146" i="178"/>
  <c r="B148" i="178"/>
  <c r="B159" i="178"/>
  <c r="B395" i="178"/>
  <c r="B396" i="178"/>
  <c r="B595" i="178"/>
  <c r="B397" i="178"/>
  <c r="B596" i="178"/>
  <c r="B597" i="178"/>
  <c r="B831" i="178"/>
  <c r="B832" i="178"/>
  <c r="B833" i="178"/>
  <c r="B624" i="178"/>
  <c r="B415" i="178"/>
  <c r="B416" i="178"/>
  <c r="B625" i="178"/>
  <c r="B407" i="178"/>
  <c r="B626" i="178"/>
  <c r="B408" i="178"/>
  <c r="B417" i="178"/>
  <c r="B627" i="178"/>
  <c r="B628" i="178"/>
  <c r="B783" i="178"/>
  <c r="B784" i="178"/>
  <c r="B785" i="178"/>
  <c r="B422" i="178"/>
  <c r="B633" i="178"/>
  <c r="Q584" i="178"/>
  <c r="S584" i="178" s="1"/>
  <c r="T584" i="178"/>
  <c r="V584" i="178" s="1"/>
  <c r="W584" i="178"/>
  <c r="AD584" i="178"/>
  <c r="AE584" i="178"/>
  <c r="AF584" i="178"/>
  <c r="AG584" i="178"/>
  <c r="AH584" i="178"/>
  <c r="AI584" i="178"/>
  <c r="AJ584" i="178"/>
  <c r="AK584" i="178"/>
  <c r="AL584" i="178"/>
  <c r="AM584" i="178"/>
  <c r="AN584" i="178"/>
  <c r="AO584" i="178"/>
  <c r="S174" i="178"/>
  <c r="T174" i="178"/>
  <c r="V174" i="178" s="1"/>
  <c r="W174" i="178"/>
  <c r="AD174" i="178"/>
  <c r="AE174" i="178"/>
  <c r="AF174" i="178"/>
  <c r="AG174" i="178"/>
  <c r="AH174" i="178"/>
  <c r="AI174" i="178"/>
  <c r="AJ174" i="178"/>
  <c r="AK174" i="178"/>
  <c r="AL174" i="178"/>
  <c r="AM174" i="178"/>
  <c r="AN174" i="178"/>
  <c r="AO174" i="178"/>
  <c r="S177" i="178"/>
  <c r="T177" i="178"/>
  <c r="V177" i="178" s="1"/>
  <c r="W177" i="178"/>
  <c r="AD177" i="178"/>
  <c r="AE177" i="178"/>
  <c r="AF177" i="178"/>
  <c r="AG177" i="178"/>
  <c r="AH177" i="178"/>
  <c r="AI177" i="178"/>
  <c r="AJ177" i="178"/>
  <c r="AK177" i="178"/>
  <c r="AL177" i="178"/>
  <c r="AM177" i="178"/>
  <c r="AN177" i="178"/>
  <c r="AO177" i="178"/>
  <c r="Q765" i="178"/>
  <c r="S765" i="178" s="1"/>
  <c r="T765" i="178"/>
  <c r="V765" i="178" s="1"/>
  <c r="W765" i="178"/>
  <c r="AD765" i="178"/>
  <c r="AE765" i="178"/>
  <c r="AF765" i="178"/>
  <c r="AG765" i="178"/>
  <c r="AH765" i="178"/>
  <c r="AI765" i="178"/>
  <c r="AJ765" i="178"/>
  <c r="AK765" i="178"/>
  <c r="AL765" i="178"/>
  <c r="AM765" i="178"/>
  <c r="AN765" i="178"/>
  <c r="AO765" i="178"/>
  <c r="S182" i="178"/>
  <c r="T182" i="178"/>
  <c r="V182" i="178" s="1"/>
  <c r="W182" i="178"/>
  <c r="AD182" i="178"/>
  <c r="AE182" i="178"/>
  <c r="AF182" i="178"/>
  <c r="AG182" i="178"/>
  <c r="AH182" i="178"/>
  <c r="AI182" i="178"/>
  <c r="AJ182" i="178"/>
  <c r="AK182" i="178"/>
  <c r="AL182" i="178"/>
  <c r="AM182" i="178"/>
  <c r="AN182" i="178"/>
  <c r="AO182" i="178"/>
  <c r="Q670" i="178"/>
  <c r="S670" i="178" s="1"/>
  <c r="T670" i="178"/>
  <c r="V670" i="178" s="1"/>
  <c r="W670" i="178"/>
  <c r="AD670" i="178"/>
  <c r="AE670" i="178"/>
  <c r="AF670" i="178"/>
  <c r="AG670" i="178"/>
  <c r="AH670" i="178"/>
  <c r="AI670" i="178"/>
  <c r="AJ670" i="178"/>
  <c r="AK670" i="178"/>
  <c r="AL670" i="178"/>
  <c r="AM670" i="178"/>
  <c r="AN670" i="178"/>
  <c r="AO670" i="178"/>
  <c r="S183" i="178"/>
  <c r="T183" i="178"/>
  <c r="V183" i="178" s="1"/>
  <c r="W183" i="178"/>
  <c r="AD183" i="178"/>
  <c r="AE183" i="178"/>
  <c r="AF183" i="178"/>
  <c r="AG183" i="178"/>
  <c r="AH183" i="178"/>
  <c r="AI183" i="178"/>
  <c r="AJ183" i="178"/>
  <c r="AK183" i="178"/>
  <c r="AL183" i="178"/>
  <c r="AM183" i="178"/>
  <c r="AN183" i="178"/>
  <c r="AO183" i="178"/>
  <c r="S435" i="178"/>
  <c r="T435" i="178"/>
  <c r="V435" i="178" s="1"/>
  <c r="W435" i="178"/>
  <c r="AD435" i="178"/>
  <c r="AE435" i="178"/>
  <c r="AF435" i="178"/>
  <c r="AG435" i="178"/>
  <c r="AH435" i="178"/>
  <c r="AI435" i="178"/>
  <c r="AJ435" i="178"/>
  <c r="AK435" i="178"/>
  <c r="AL435" i="178"/>
  <c r="AM435" i="178"/>
  <c r="AN435" i="178"/>
  <c r="AO435" i="178"/>
  <c r="S438" i="178"/>
  <c r="T438" i="178"/>
  <c r="V438" i="178" s="1"/>
  <c r="W438" i="178"/>
  <c r="AD438" i="178"/>
  <c r="AE438" i="178"/>
  <c r="AF438" i="178"/>
  <c r="AG438" i="178"/>
  <c r="AH438" i="178"/>
  <c r="AI438" i="178"/>
  <c r="AJ438" i="178"/>
  <c r="AK438" i="178"/>
  <c r="AL438" i="178"/>
  <c r="AM438" i="178"/>
  <c r="AN438" i="178"/>
  <c r="AO438" i="178"/>
  <c r="S439" i="178"/>
  <c r="T439" i="178"/>
  <c r="V439" i="178" s="1"/>
  <c r="W439" i="178"/>
  <c r="AD439" i="178"/>
  <c r="AE439" i="178"/>
  <c r="AF439" i="178"/>
  <c r="AG439" i="178"/>
  <c r="AH439" i="178"/>
  <c r="AI439" i="178"/>
  <c r="AJ439" i="178"/>
  <c r="AK439" i="178"/>
  <c r="AL439" i="178"/>
  <c r="AM439" i="178"/>
  <c r="AN439" i="178"/>
  <c r="AO439" i="178"/>
  <c r="S442" i="178"/>
  <c r="T442" i="178"/>
  <c r="V442" i="178" s="1"/>
  <c r="W442" i="178"/>
  <c r="AD442" i="178"/>
  <c r="AE442" i="178"/>
  <c r="AF442" i="178"/>
  <c r="AG442" i="178"/>
  <c r="AH442" i="178"/>
  <c r="AI442" i="178"/>
  <c r="AJ442" i="178"/>
  <c r="AK442" i="178"/>
  <c r="AL442" i="178"/>
  <c r="AM442" i="178"/>
  <c r="AN442" i="178"/>
  <c r="AO442" i="178"/>
  <c r="S479" i="178"/>
  <c r="T479" i="178"/>
  <c r="V479" i="178" s="1"/>
  <c r="W479" i="178"/>
  <c r="AD479" i="178"/>
  <c r="AE479" i="178"/>
  <c r="AF479" i="178"/>
  <c r="AG479" i="178"/>
  <c r="AH479" i="178"/>
  <c r="AI479" i="178"/>
  <c r="AJ479" i="178"/>
  <c r="AK479" i="178"/>
  <c r="AL479" i="178"/>
  <c r="AM479" i="178"/>
  <c r="AN479" i="178"/>
  <c r="AO479" i="178"/>
  <c r="Q600" i="178"/>
  <c r="S600" i="178" s="1"/>
  <c r="T600" i="178"/>
  <c r="V600" i="178" s="1"/>
  <c r="W600" i="178"/>
  <c r="AD600" i="178"/>
  <c r="AE600" i="178"/>
  <c r="AF600" i="178"/>
  <c r="AG600" i="178"/>
  <c r="AH600" i="178"/>
  <c r="AI600" i="178"/>
  <c r="AJ600" i="178"/>
  <c r="AK600" i="178"/>
  <c r="AL600" i="178"/>
  <c r="AM600" i="178"/>
  <c r="AN600" i="178"/>
  <c r="AO600" i="178"/>
  <c r="S480" i="178"/>
  <c r="T480" i="178"/>
  <c r="V480" i="178" s="1"/>
  <c r="W480" i="178"/>
  <c r="AD480" i="178"/>
  <c r="AE480" i="178"/>
  <c r="AF480" i="178"/>
  <c r="AG480" i="178"/>
  <c r="AH480" i="178"/>
  <c r="AI480" i="178"/>
  <c r="AJ480" i="178"/>
  <c r="AK480" i="178"/>
  <c r="AL480" i="178"/>
  <c r="AM480" i="178"/>
  <c r="AN480" i="178"/>
  <c r="AO480" i="178"/>
  <c r="S481" i="178"/>
  <c r="T481" i="178"/>
  <c r="V481" i="178" s="1"/>
  <c r="W481" i="178"/>
  <c r="AD481" i="178"/>
  <c r="AE481" i="178"/>
  <c r="AF481" i="178"/>
  <c r="AG481" i="178"/>
  <c r="AH481" i="178"/>
  <c r="AI481" i="178"/>
  <c r="AJ481" i="178"/>
  <c r="AK481" i="178"/>
  <c r="AL481" i="178"/>
  <c r="AM481" i="178"/>
  <c r="AN481" i="178"/>
  <c r="AO481" i="178"/>
  <c r="Q612" i="178"/>
  <c r="S612" i="178" s="1"/>
  <c r="T612" i="178"/>
  <c r="V612" i="178" s="1"/>
  <c r="W612" i="178"/>
  <c r="AD612" i="178"/>
  <c r="AE612" i="178"/>
  <c r="AF612" i="178"/>
  <c r="AG612" i="178"/>
  <c r="AH612" i="178"/>
  <c r="AI612" i="178"/>
  <c r="AJ612" i="178"/>
  <c r="AK612" i="178"/>
  <c r="AL612" i="178"/>
  <c r="AM612" i="178"/>
  <c r="AN612" i="178"/>
  <c r="AO612" i="178"/>
  <c r="S608" i="178"/>
  <c r="T608" i="178"/>
  <c r="V608" i="178" s="1"/>
  <c r="W608" i="178"/>
  <c r="AD608" i="178"/>
  <c r="AE608" i="178"/>
  <c r="AF608" i="178"/>
  <c r="AG608" i="178"/>
  <c r="AH608" i="178"/>
  <c r="AI608" i="178"/>
  <c r="AJ608" i="178"/>
  <c r="AK608" i="178"/>
  <c r="AL608" i="178"/>
  <c r="AM608" i="178"/>
  <c r="AN608" i="178"/>
  <c r="AO608" i="178"/>
  <c r="Q193" i="178"/>
  <c r="S193" i="178" s="1"/>
  <c r="T193" i="178"/>
  <c r="V193" i="178" s="1"/>
  <c r="W193" i="178"/>
  <c r="AD193" i="178"/>
  <c r="AE193" i="178"/>
  <c r="AF193" i="178"/>
  <c r="AG193" i="178"/>
  <c r="AH193" i="178"/>
  <c r="AI193" i="178"/>
  <c r="AJ193" i="178"/>
  <c r="AK193" i="178"/>
  <c r="AL193" i="178"/>
  <c r="AM193" i="178"/>
  <c r="AN193" i="178"/>
  <c r="AO193" i="178"/>
  <c r="T789" i="178"/>
  <c r="V789" i="178" s="1"/>
  <c r="W789" i="178"/>
  <c r="AD789" i="178"/>
  <c r="AE789" i="178"/>
  <c r="AF789" i="178"/>
  <c r="AG789" i="178"/>
  <c r="AH789" i="178"/>
  <c r="AI789" i="178"/>
  <c r="AJ789" i="178"/>
  <c r="AK789" i="178"/>
  <c r="AL789" i="178"/>
  <c r="AM789" i="178"/>
  <c r="AN789" i="178"/>
  <c r="AO789" i="178"/>
  <c r="S790" i="178"/>
  <c r="T790" i="178"/>
  <c r="V790" i="178" s="1"/>
  <c r="W790" i="178"/>
  <c r="AD790" i="178"/>
  <c r="AE790" i="178"/>
  <c r="AF790" i="178"/>
  <c r="AG790" i="178"/>
  <c r="AH790" i="178"/>
  <c r="AI790" i="178"/>
  <c r="AJ790" i="178"/>
  <c r="AK790" i="178"/>
  <c r="AL790" i="178"/>
  <c r="AM790" i="178"/>
  <c r="AN790" i="178"/>
  <c r="AO790" i="178"/>
  <c r="S804" i="178"/>
  <c r="T804" i="178"/>
  <c r="V804" i="178" s="1"/>
  <c r="W804" i="178"/>
  <c r="AD804" i="178"/>
  <c r="AE804" i="178"/>
  <c r="AF804" i="178"/>
  <c r="AG804" i="178"/>
  <c r="AH804" i="178"/>
  <c r="AI804" i="178"/>
  <c r="AJ804" i="178"/>
  <c r="AK804" i="178"/>
  <c r="AL804" i="178"/>
  <c r="AM804" i="178"/>
  <c r="AN804" i="178"/>
  <c r="AO804" i="178"/>
  <c r="S805" i="178"/>
  <c r="T805" i="178"/>
  <c r="V805" i="178" s="1"/>
  <c r="W805" i="178"/>
  <c r="AD805" i="178"/>
  <c r="AE805" i="178"/>
  <c r="AF805" i="178"/>
  <c r="AG805" i="178"/>
  <c r="AH805" i="178"/>
  <c r="AI805" i="178"/>
  <c r="AJ805" i="178"/>
  <c r="AK805" i="178"/>
  <c r="AL805" i="178"/>
  <c r="AM805" i="178"/>
  <c r="AN805" i="178"/>
  <c r="AO805" i="178"/>
  <c r="S806" i="178"/>
  <c r="T806" i="178"/>
  <c r="V806" i="178" s="1"/>
  <c r="W806" i="178"/>
  <c r="AD806" i="178"/>
  <c r="AE806" i="178"/>
  <c r="AF806" i="178"/>
  <c r="AG806" i="178"/>
  <c r="AH806" i="178"/>
  <c r="AI806" i="178"/>
  <c r="AJ806" i="178"/>
  <c r="AK806" i="178"/>
  <c r="AL806" i="178"/>
  <c r="AM806" i="178"/>
  <c r="AN806" i="178"/>
  <c r="AO806" i="178"/>
  <c r="S843" i="178"/>
  <c r="T843" i="178"/>
  <c r="V843" i="178" s="1"/>
  <c r="W843" i="178"/>
  <c r="AD843" i="178"/>
  <c r="AE843" i="178"/>
  <c r="AF843" i="178"/>
  <c r="AG843" i="178"/>
  <c r="AH843" i="178"/>
  <c r="AI843" i="178"/>
  <c r="AJ843" i="178"/>
  <c r="AK843" i="178"/>
  <c r="AL843" i="178"/>
  <c r="AM843" i="178"/>
  <c r="AN843" i="178"/>
  <c r="AO843" i="178"/>
  <c r="Q777" i="178"/>
  <c r="S777" i="178" s="1"/>
  <c r="T777" i="178"/>
  <c r="V777" i="178" s="1"/>
  <c r="W777" i="178"/>
  <c r="AD777" i="178"/>
  <c r="AE777" i="178"/>
  <c r="AF777" i="178"/>
  <c r="AG777" i="178"/>
  <c r="AH777" i="178"/>
  <c r="AI777" i="178"/>
  <c r="AJ777" i="178"/>
  <c r="AK777" i="178"/>
  <c r="AL777" i="178"/>
  <c r="AM777" i="178"/>
  <c r="AN777" i="178"/>
  <c r="AO777" i="178"/>
  <c r="S844" i="178"/>
  <c r="T844" i="178"/>
  <c r="V844" i="178" s="1"/>
  <c r="W844" i="178"/>
  <c r="AD844" i="178"/>
  <c r="AE844" i="178"/>
  <c r="AF844" i="178"/>
  <c r="AG844" i="178"/>
  <c r="AH844" i="178"/>
  <c r="AI844" i="178"/>
  <c r="AJ844" i="178"/>
  <c r="AK844" i="178"/>
  <c r="AL844" i="178"/>
  <c r="AM844" i="178"/>
  <c r="AN844" i="178"/>
  <c r="AO844" i="178"/>
  <c r="Q778" i="178"/>
  <c r="T778" i="178"/>
  <c r="V778" i="178" s="1"/>
  <c r="W778" i="178"/>
  <c r="AD778" i="178"/>
  <c r="AE778" i="178"/>
  <c r="AF778" i="178"/>
  <c r="AG778" i="178"/>
  <c r="AH778" i="178"/>
  <c r="AI778" i="178"/>
  <c r="AJ778" i="178"/>
  <c r="AK778" i="178"/>
  <c r="AL778" i="178"/>
  <c r="AM778" i="178"/>
  <c r="AN778" i="178"/>
  <c r="AO778" i="178"/>
  <c r="Q574" i="178"/>
  <c r="S574" i="178" s="1"/>
  <c r="T574" i="178"/>
  <c r="V574" i="178" s="1"/>
  <c r="W574" i="178"/>
  <c r="AD574" i="178"/>
  <c r="AE574" i="178"/>
  <c r="AF574" i="178"/>
  <c r="AG574" i="178"/>
  <c r="AH574" i="178"/>
  <c r="AI574" i="178"/>
  <c r="AJ574" i="178"/>
  <c r="AK574" i="178"/>
  <c r="AL574" i="178"/>
  <c r="AM574" i="178"/>
  <c r="AN574" i="178"/>
  <c r="AO574" i="178"/>
  <c r="Q198" i="178"/>
  <c r="S198" i="178" s="1"/>
  <c r="T198" i="178"/>
  <c r="V198" i="178" s="1"/>
  <c r="W198" i="178"/>
  <c r="AD198" i="178"/>
  <c r="AE198" i="178"/>
  <c r="AF198" i="178"/>
  <c r="AG198" i="178"/>
  <c r="AH198" i="178"/>
  <c r="AI198" i="178"/>
  <c r="AJ198" i="178"/>
  <c r="AK198" i="178"/>
  <c r="AL198" i="178"/>
  <c r="AM198" i="178"/>
  <c r="AN198" i="178"/>
  <c r="AO198" i="178"/>
  <c r="S860" i="178"/>
  <c r="T860" i="178"/>
  <c r="V860" i="178" s="1"/>
  <c r="W860" i="178"/>
  <c r="AD860" i="178"/>
  <c r="AE860" i="178"/>
  <c r="AF860" i="178"/>
  <c r="AG860" i="178"/>
  <c r="AH860" i="178"/>
  <c r="AI860" i="178"/>
  <c r="AJ860" i="178"/>
  <c r="AK860" i="178"/>
  <c r="AL860" i="178"/>
  <c r="AM860" i="178"/>
  <c r="AN860" i="178"/>
  <c r="AO860" i="178"/>
  <c r="Q769" i="178"/>
  <c r="S769" i="178" s="1"/>
  <c r="T769" i="178"/>
  <c r="V769" i="178" s="1"/>
  <c r="W769" i="178"/>
  <c r="AD769" i="178"/>
  <c r="AE769" i="178"/>
  <c r="AF769" i="178"/>
  <c r="AG769" i="178"/>
  <c r="AH769" i="178"/>
  <c r="AI769" i="178"/>
  <c r="AJ769" i="178"/>
  <c r="AK769" i="178"/>
  <c r="AL769" i="178"/>
  <c r="AM769" i="178"/>
  <c r="AN769" i="178"/>
  <c r="AO769" i="178"/>
  <c r="Q575" i="178"/>
  <c r="S575" i="178" s="1"/>
  <c r="T575" i="178"/>
  <c r="V575" i="178" s="1"/>
  <c r="W575" i="178"/>
  <c r="AD575" i="178"/>
  <c r="AE575" i="178"/>
  <c r="AF575" i="178"/>
  <c r="AG575" i="178"/>
  <c r="AH575" i="178"/>
  <c r="AI575" i="178"/>
  <c r="AJ575" i="178"/>
  <c r="AK575" i="178"/>
  <c r="AL575" i="178"/>
  <c r="AM575" i="178"/>
  <c r="AN575" i="178"/>
  <c r="AO575" i="178"/>
  <c r="Q199" i="178"/>
  <c r="S199" i="178" s="1"/>
  <c r="T199" i="178"/>
  <c r="V199" i="178" s="1"/>
  <c r="W199" i="178"/>
  <c r="AD199" i="178"/>
  <c r="AE199" i="178"/>
  <c r="AF199" i="178"/>
  <c r="AG199" i="178"/>
  <c r="AH199" i="178"/>
  <c r="AI199" i="178"/>
  <c r="AJ199" i="178"/>
  <c r="AK199" i="178"/>
  <c r="AL199" i="178"/>
  <c r="AM199" i="178"/>
  <c r="AN199" i="178"/>
  <c r="AO199" i="178"/>
  <c r="S861" i="178"/>
  <c r="T861" i="178"/>
  <c r="V861" i="178" s="1"/>
  <c r="W861" i="178"/>
  <c r="AD861" i="178"/>
  <c r="AE861" i="178"/>
  <c r="AF861" i="178"/>
  <c r="AG861" i="178"/>
  <c r="AH861" i="178"/>
  <c r="AI861" i="178"/>
  <c r="AJ861" i="178"/>
  <c r="AK861" i="178"/>
  <c r="AL861" i="178"/>
  <c r="AM861" i="178"/>
  <c r="AN861" i="178"/>
  <c r="AO861" i="178"/>
  <c r="Q770" i="178"/>
  <c r="S770" i="178" s="1"/>
  <c r="T770" i="178"/>
  <c r="V770" i="178" s="1"/>
  <c r="W770" i="178"/>
  <c r="AD770" i="178"/>
  <c r="AE770" i="178"/>
  <c r="AF770" i="178"/>
  <c r="AG770" i="178"/>
  <c r="AH770" i="178"/>
  <c r="AI770" i="178"/>
  <c r="AJ770" i="178"/>
  <c r="AK770" i="178"/>
  <c r="AL770" i="178"/>
  <c r="AM770" i="178"/>
  <c r="AN770" i="178"/>
  <c r="AO770" i="178"/>
  <c r="Q642" i="178"/>
  <c r="S642" i="178" s="1"/>
  <c r="T642" i="178"/>
  <c r="V642" i="178" s="1"/>
  <c r="W642" i="178"/>
  <c r="AD642" i="178"/>
  <c r="AE642" i="178"/>
  <c r="AF642" i="178"/>
  <c r="AG642" i="178"/>
  <c r="AH642" i="178"/>
  <c r="AI642" i="178"/>
  <c r="AJ642" i="178"/>
  <c r="AK642" i="178"/>
  <c r="AL642" i="178"/>
  <c r="AM642" i="178"/>
  <c r="AN642" i="178"/>
  <c r="AO642" i="178"/>
  <c r="S906" i="178"/>
  <c r="T906" i="178"/>
  <c r="V906" i="178" s="1"/>
  <c r="W906" i="178"/>
  <c r="AD906" i="178"/>
  <c r="AE906" i="178"/>
  <c r="AF906" i="178"/>
  <c r="AG906" i="178"/>
  <c r="AH906" i="178"/>
  <c r="AI906" i="178"/>
  <c r="AJ906" i="178"/>
  <c r="AK906" i="178"/>
  <c r="AL906" i="178"/>
  <c r="AM906" i="178"/>
  <c r="AN906" i="178"/>
  <c r="AO906" i="178"/>
  <c r="Q271" i="178"/>
  <c r="S271" i="178" s="1"/>
  <c r="T271" i="178"/>
  <c r="U271" i="178" s="1"/>
  <c r="W271" i="178"/>
  <c r="AD271" i="178"/>
  <c r="AE271" i="178"/>
  <c r="AF271" i="178"/>
  <c r="AG271" i="178"/>
  <c r="AH271" i="178"/>
  <c r="AI271" i="178"/>
  <c r="AJ271" i="178"/>
  <c r="AK271" i="178"/>
  <c r="AL271" i="178"/>
  <c r="AM271" i="178"/>
  <c r="AN271" i="178"/>
  <c r="AO271" i="178"/>
  <c r="S907" i="178"/>
  <c r="T907" i="178"/>
  <c r="U907" i="178" s="1"/>
  <c r="W907" i="178"/>
  <c r="AD907" i="178"/>
  <c r="AE907" i="178"/>
  <c r="AF907" i="178"/>
  <c r="AG907" i="178"/>
  <c r="AH907" i="178"/>
  <c r="AI907" i="178"/>
  <c r="AJ907" i="178"/>
  <c r="AK907" i="178"/>
  <c r="AL907" i="178"/>
  <c r="AM907" i="178"/>
  <c r="AN907" i="178"/>
  <c r="AO907" i="178"/>
  <c r="Q322" i="178"/>
  <c r="S322" i="178" s="1"/>
  <c r="T322" i="178"/>
  <c r="U322" i="178" s="1"/>
  <c r="W322" i="178"/>
  <c r="AD322" i="178"/>
  <c r="AE322" i="178"/>
  <c r="AF322" i="178"/>
  <c r="AG322" i="178"/>
  <c r="AH322" i="178"/>
  <c r="AI322" i="178"/>
  <c r="AJ322" i="178"/>
  <c r="AK322" i="178"/>
  <c r="AL322" i="178"/>
  <c r="AM322" i="178"/>
  <c r="AN322" i="178"/>
  <c r="AO322" i="178"/>
  <c r="S909" i="178"/>
  <c r="T909" i="178"/>
  <c r="U909" i="178" s="1"/>
  <c r="W909" i="178"/>
  <c r="AD909" i="178"/>
  <c r="AE909" i="178"/>
  <c r="AF909" i="178"/>
  <c r="AG909" i="178"/>
  <c r="AH909" i="178"/>
  <c r="AI909" i="178"/>
  <c r="AJ909" i="178"/>
  <c r="AK909" i="178"/>
  <c r="AL909" i="178"/>
  <c r="AM909" i="178"/>
  <c r="AN909" i="178"/>
  <c r="AO909" i="178"/>
  <c r="Q771" i="178"/>
  <c r="S771" i="178" s="1"/>
  <c r="T771" i="178"/>
  <c r="U771" i="178" s="1"/>
  <c r="W771" i="178"/>
  <c r="AD771" i="178"/>
  <c r="AE771" i="178"/>
  <c r="AF771" i="178"/>
  <c r="AG771" i="178"/>
  <c r="AH771" i="178"/>
  <c r="AI771" i="178"/>
  <c r="AJ771" i="178"/>
  <c r="AK771" i="178"/>
  <c r="AL771" i="178"/>
  <c r="AM771" i="178"/>
  <c r="AN771" i="178"/>
  <c r="AO771" i="178"/>
  <c r="S926" i="178"/>
  <c r="T926" i="178"/>
  <c r="U926" i="178" s="1"/>
  <c r="W926" i="178"/>
  <c r="AD926" i="178"/>
  <c r="AE926" i="178"/>
  <c r="AF926" i="178"/>
  <c r="AG926" i="178"/>
  <c r="AH926" i="178"/>
  <c r="AI926" i="178"/>
  <c r="AJ926" i="178"/>
  <c r="AK926" i="178"/>
  <c r="AL926" i="178"/>
  <c r="AM926" i="178"/>
  <c r="AN926" i="178"/>
  <c r="AO926" i="178"/>
  <c r="S927" i="178"/>
  <c r="T927" i="178"/>
  <c r="U927" i="178" s="1"/>
  <c r="W927" i="178"/>
  <c r="AD927" i="178"/>
  <c r="AE927" i="178"/>
  <c r="AF927" i="178"/>
  <c r="AG927" i="178"/>
  <c r="AH927" i="178"/>
  <c r="AI927" i="178"/>
  <c r="AJ927" i="178"/>
  <c r="AK927" i="178"/>
  <c r="AL927" i="178"/>
  <c r="AM927" i="178"/>
  <c r="AN927" i="178"/>
  <c r="AO927" i="178"/>
  <c r="Q780" i="178"/>
  <c r="S780" i="178" s="1"/>
  <c r="T780" i="178"/>
  <c r="U780" i="178" s="1"/>
  <c r="W780" i="178"/>
  <c r="AD780" i="178"/>
  <c r="AE780" i="178"/>
  <c r="AF780" i="178"/>
  <c r="AG780" i="178"/>
  <c r="AH780" i="178"/>
  <c r="AI780" i="178"/>
  <c r="AJ780" i="178"/>
  <c r="AK780" i="178"/>
  <c r="AL780" i="178"/>
  <c r="AM780" i="178"/>
  <c r="AN780" i="178"/>
  <c r="AO780" i="178"/>
  <c r="Q644" i="178"/>
  <c r="S644" i="178" s="1"/>
  <c r="T644" i="178"/>
  <c r="U644" i="178" s="1"/>
  <c r="W644" i="178"/>
  <c r="AD644" i="178"/>
  <c r="AE644" i="178"/>
  <c r="AF644" i="178"/>
  <c r="AG644" i="178"/>
  <c r="AH644" i="178"/>
  <c r="AI644" i="178"/>
  <c r="AJ644" i="178"/>
  <c r="AK644" i="178"/>
  <c r="AL644" i="178"/>
  <c r="AM644" i="178"/>
  <c r="AN644" i="178"/>
  <c r="AO644" i="178"/>
  <c r="Q401" i="178"/>
  <c r="S401" i="178" s="1"/>
  <c r="T401" i="178"/>
  <c r="U401" i="178" s="1"/>
  <c r="W401" i="178"/>
  <c r="AD401" i="178"/>
  <c r="AE401" i="178"/>
  <c r="AF401" i="178"/>
  <c r="AG401" i="178"/>
  <c r="AH401" i="178"/>
  <c r="AI401" i="178"/>
  <c r="AJ401" i="178"/>
  <c r="AK401" i="178"/>
  <c r="AL401" i="178"/>
  <c r="AM401" i="178"/>
  <c r="AN401" i="178"/>
  <c r="AO401" i="178"/>
  <c r="S929" i="178"/>
  <c r="T929" i="178"/>
  <c r="U929" i="178" s="1"/>
  <c r="W929" i="178"/>
  <c r="AD929" i="178"/>
  <c r="AE929" i="178"/>
  <c r="AF929" i="178"/>
  <c r="AG929" i="178"/>
  <c r="AH929" i="178"/>
  <c r="AI929" i="178"/>
  <c r="AJ929" i="178"/>
  <c r="AK929" i="178"/>
  <c r="AL929" i="178"/>
  <c r="AM929" i="178"/>
  <c r="AN929" i="178"/>
  <c r="AO929" i="178"/>
  <c r="Q772" i="178"/>
  <c r="S772" i="178" s="1"/>
  <c r="T772" i="178"/>
  <c r="W772" i="178"/>
  <c r="AD772" i="178"/>
  <c r="AE772" i="178"/>
  <c r="AF772" i="178"/>
  <c r="AG772" i="178"/>
  <c r="AH772" i="178"/>
  <c r="AI772" i="178"/>
  <c r="AJ772" i="178"/>
  <c r="AK772" i="178"/>
  <c r="AL772" i="178"/>
  <c r="AM772" i="178"/>
  <c r="AN772" i="178"/>
  <c r="AO772" i="178"/>
  <c r="Q49" i="178"/>
  <c r="S49" i="178" s="1"/>
  <c r="T49" i="178"/>
  <c r="W49" i="178"/>
  <c r="AD49" i="178"/>
  <c r="AE49" i="178"/>
  <c r="AF49" i="178"/>
  <c r="AG49" i="178"/>
  <c r="AH49" i="178"/>
  <c r="AI49" i="178"/>
  <c r="AJ49" i="178"/>
  <c r="AK49" i="178"/>
  <c r="AL49" i="178"/>
  <c r="AM49" i="178"/>
  <c r="AN49" i="178"/>
  <c r="AO49" i="178"/>
  <c r="Q411" i="178"/>
  <c r="S411" i="178" s="1"/>
  <c r="T411" i="178"/>
  <c r="W411" i="178"/>
  <c r="AD411" i="178"/>
  <c r="AE411" i="178"/>
  <c r="AF411" i="178"/>
  <c r="AG411" i="178"/>
  <c r="AH411" i="178"/>
  <c r="AI411" i="178"/>
  <c r="AJ411" i="178"/>
  <c r="AK411" i="178"/>
  <c r="AL411" i="178"/>
  <c r="AM411" i="178"/>
  <c r="AN411" i="178"/>
  <c r="AO411" i="178"/>
  <c r="S930" i="178"/>
  <c r="T930" i="178"/>
  <c r="W930" i="178"/>
  <c r="AD930" i="178"/>
  <c r="AE930" i="178"/>
  <c r="AF930" i="178"/>
  <c r="AG930" i="178"/>
  <c r="AH930" i="178"/>
  <c r="AI930" i="178"/>
  <c r="AJ930" i="178"/>
  <c r="AK930" i="178"/>
  <c r="AL930" i="178"/>
  <c r="AM930" i="178"/>
  <c r="AN930" i="178"/>
  <c r="AO930" i="178"/>
  <c r="Q558" i="178"/>
  <c r="S558" i="178" s="1"/>
  <c r="T558" i="178"/>
  <c r="W558" i="178"/>
  <c r="AD558" i="178"/>
  <c r="AE558" i="178"/>
  <c r="AF558" i="178"/>
  <c r="AG558" i="178"/>
  <c r="AH558" i="178"/>
  <c r="AI558" i="178"/>
  <c r="AJ558" i="178"/>
  <c r="AK558" i="178"/>
  <c r="AL558" i="178"/>
  <c r="AM558" i="178"/>
  <c r="AN558" i="178"/>
  <c r="AO558" i="178"/>
  <c r="S933" i="178"/>
  <c r="T933" i="178"/>
  <c r="W933" i="178"/>
  <c r="AD933" i="178"/>
  <c r="AE933" i="178"/>
  <c r="AF933" i="178"/>
  <c r="AG933" i="178"/>
  <c r="AH933" i="178"/>
  <c r="AI933" i="178"/>
  <c r="AJ933" i="178"/>
  <c r="AK933" i="178"/>
  <c r="AL933" i="178"/>
  <c r="AM933" i="178"/>
  <c r="AN933" i="178"/>
  <c r="AO933" i="178"/>
  <c r="Q717" i="178"/>
  <c r="S717" i="178" s="1"/>
  <c r="T717" i="178"/>
  <c r="W717" i="178"/>
  <c r="AD717" i="178"/>
  <c r="AE717" i="178"/>
  <c r="AF717" i="178"/>
  <c r="AG717" i="178"/>
  <c r="AH717" i="178"/>
  <c r="AI717" i="178"/>
  <c r="AJ717" i="178"/>
  <c r="AK717" i="178"/>
  <c r="AL717" i="178"/>
  <c r="AM717" i="178"/>
  <c r="AN717" i="178"/>
  <c r="AO717" i="178"/>
  <c r="Q767" i="178"/>
  <c r="S767" i="178" s="1"/>
  <c r="T767" i="178"/>
  <c r="U767" i="178" s="1"/>
  <c r="W767" i="178"/>
  <c r="AD767" i="178"/>
  <c r="AE767" i="178"/>
  <c r="AF767" i="178"/>
  <c r="AG767" i="178"/>
  <c r="AH767" i="178"/>
  <c r="AI767" i="178"/>
  <c r="AJ767" i="178"/>
  <c r="AK767" i="178"/>
  <c r="AL767" i="178"/>
  <c r="AM767" i="178"/>
  <c r="AN767" i="178"/>
  <c r="AO767" i="178"/>
  <c r="Q36" i="178"/>
  <c r="S36" i="178" s="1"/>
  <c r="T36" i="178"/>
  <c r="U36" i="178" s="1"/>
  <c r="W36" i="178"/>
  <c r="AD36" i="178"/>
  <c r="AE36" i="178"/>
  <c r="AF36" i="178"/>
  <c r="AG36" i="178"/>
  <c r="AH36" i="178"/>
  <c r="AI36" i="178"/>
  <c r="AJ36" i="178"/>
  <c r="AK36" i="178"/>
  <c r="AL36" i="178"/>
  <c r="AM36" i="178"/>
  <c r="AN36" i="178"/>
  <c r="AO36" i="178"/>
  <c r="Q718" i="178"/>
  <c r="S718" i="178" s="1"/>
  <c r="T718" i="178"/>
  <c r="U718" i="178" s="1"/>
  <c r="W718" i="178"/>
  <c r="AD718" i="178"/>
  <c r="AE718" i="178"/>
  <c r="AF718" i="178"/>
  <c r="AG718" i="178"/>
  <c r="AH718" i="178"/>
  <c r="AI718" i="178"/>
  <c r="AJ718" i="178"/>
  <c r="AK718" i="178"/>
  <c r="AL718" i="178"/>
  <c r="AM718" i="178"/>
  <c r="AN718" i="178"/>
  <c r="AO718" i="178"/>
  <c r="S969" i="178"/>
  <c r="T969" i="178"/>
  <c r="U969" i="178" s="1"/>
  <c r="W969" i="178"/>
  <c r="AD969" i="178"/>
  <c r="AE969" i="178"/>
  <c r="AF969" i="178"/>
  <c r="AG969" i="178"/>
  <c r="AH969" i="178"/>
  <c r="AI969" i="178"/>
  <c r="AJ969" i="178"/>
  <c r="AK969" i="178"/>
  <c r="AL969" i="178"/>
  <c r="AM969" i="178"/>
  <c r="AN969" i="178"/>
  <c r="AO969" i="178"/>
  <c r="S970" i="178"/>
  <c r="T970" i="178"/>
  <c r="U970" i="178" s="1"/>
  <c r="W970" i="178"/>
  <c r="AD970" i="178"/>
  <c r="AE970" i="178"/>
  <c r="AF970" i="178"/>
  <c r="AG970" i="178"/>
  <c r="AH970" i="178"/>
  <c r="AI970" i="178"/>
  <c r="AJ970" i="178"/>
  <c r="AK970" i="178"/>
  <c r="AL970" i="178"/>
  <c r="AM970" i="178"/>
  <c r="AN970" i="178"/>
  <c r="AO970" i="178"/>
  <c r="Q37" i="178"/>
  <c r="S37" i="178" s="1"/>
  <c r="T37" i="178"/>
  <c r="U37" i="178" s="1"/>
  <c r="W37" i="178"/>
  <c r="AD37" i="178"/>
  <c r="AE37" i="178"/>
  <c r="AF37" i="178"/>
  <c r="AG37" i="178"/>
  <c r="AH37" i="178"/>
  <c r="AI37" i="178"/>
  <c r="AJ37" i="178"/>
  <c r="AK37" i="178"/>
  <c r="AL37" i="178"/>
  <c r="AM37" i="178"/>
  <c r="AN37" i="178"/>
  <c r="AO37" i="178"/>
  <c r="Q719" i="178"/>
  <c r="S719" i="178" s="1"/>
  <c r="T719" i="178"/>
  <c r="U719" i="178" s="1"/>
  <c r="W719" i="178"/>
  <c r="AD719" i="178"/>
  <c r="AE719" i="178"/>
  <c r="AF719" i="178"/>
  <c r="AG719" i="178"/>
  <c r="AH719" i="178"/>
  <c r="AI719" i="178"/>
  <c r="AJ719" i="178"/>
  <c r="AK719" i="178"/>
  <c r="AL719" i="178"/>
  <c r="AM719" i="178"/>
  <c r="AN719" i="178"/>
  <c r="AO719" i="178"/>
  <c r="S971" i="178"/>
  <c r="T971" i="178"/>
  <c r="U971" i="178" s="1"/>
  <c r="W971" i="178"/>
  <c r="AD971" i="178"/>
  <c r="AE971" i="178"/>
  <c r="AF971" i="178"/>
  <c r="AG971" i="178"/>
  <c r="AH971" i="178"/>
  <c r="AI971" i="178"/>
  <c r="AJ971" i="178"/>
  <c r="AK971" i="178"/>
  <c r="AL971" i="178"/>
  <c r="AM971" i="178"/>
  <c r="AN971" i="178"/>
  <c r="AO971" i="178"/>
  <c r="S972" i="178"/>
  <c r="T972" i="178"/>
  <c r="U972" i="178" s="1"/>
  <c r="W972" i="178"/>
  <c r="AD972" i="178"/>
  <c r="AE972" i="178"/>
  <c r="AF972" i="178"/>
  <c r="AG972" i="178"/>
  <c r="AH972" i="178"/>
  <c r="AI972" i="178"/>
  <c r="AJ972" i="178"/>
  <c r="AK972" i="178"/>
  <c r="AL972" i="178"/>
  <c r="AM972" i="178"/>
  <c r="AN972" i="178"/>
  <c r="AO972" i="178"/>
  <c r="Q48" i="178"/>
  <c r="S48" i="178" s="1"/>
  <c r="T48" i="178"/>
  <c r="U48" i="178" s="1"/>
  <c r="W48" i="178"/>
  <c r="AD48" i="178"/>
  <c r="AE48" i="178"/>
  <c r="AF48" i="178"/>
  <c r="AG48" i="178"/>
  <c r="AH48" i="178"/>
  <c r="AI48" i="178"/>
  <c r="AJ48" i="178"/>
  <c r="AK48" i="178"/>
  <c r="AL48" i="178"/>
  <c r="AM48" i="178"/>
  <c r="AN48" i="178"/>
  <c r="AO48" i="178"/>
  <c r="Q720" i="178"/>
  <c r="S720" i="178" s="1"/>
  <c r="T720" i="178"/>
  <c r="U720" i="178" s="1"/>
  <c r="W720" i="178"/>
  <c r="AD720" i="178"/>
  <c r="AE720" i="178"/>
  <c r="AF720" i="178"/>
  <c r="AG720" i="178"/>
  <c r="AH720" i="178"/>
  <c r="AI720" i="178"/>
  <c r="AJ720" i="178"/>
  <c r="AK720" i="178"/>
  <c r="AL720" i="178"/>
  <c r="AM720" i="178"/>
  <c r="AN720" i="178"/>
  <c r="AO720" i="178"/>
  <c r="S973" i="178"/>
  <c r="T973" i="178"/>
  <c r="U973" i="178" s="1"/>
  <c r="W973" i="178"/>
  <c r="AD973" i="178"/>
  <c r="AE973" i="178"/>
  <c r="AF973" i="178"/>
  <c r="AG973" i="178"/>
  <c r="AH973" i="178"/>
  <c r="AI973" i="178"/>
  <c r="AJ973" i="178"/>
  <c r="AK973" i="178"/>
  <c r="AL973" i="178"/>
  <c r="AM973" i="178"/>
  <c r="AN973" i="178"/>
  <c r="AO973" i="178"/>
  <c r="S78" i="178"/>
  <c r="T78" i="178"/>
  <c r="U78" i="178" s="1"/>
  <c r="W78" i="178"/>
  <c r="AD78" i="178"/>
  <c r="AE78" i="178"/>
  <c r="AF78" i="178"/>
  <c r="AG78" i="178"/>
  <c r="AH78" i="178"/>
  <c r="AI78" i="178"/>
  <c r="AJ78" i="178"/>
  <c r="AK78" i="178"/>
  <c r="AL78" i="178"/>
  <c r="AM78" i="178"/>
  <c r="AN78" i="178"/>
  <c r="AO78" i="178"/>
  <c r="S79" i="178"/>
  <c r="T79" i="178"/>
  <c r="U79" i="178" s="1"/>
  <c r="W79" i="178"/>
  <c r="AD79" i="178"/>
  <c r="AE79" i="178"/>
  <c r="AF79" i="178"/>
  <c r="AG79" i="178"/>
  <c r="AH79" i="178"/>
  <c r="AI79" i="178"/>
  <c r="AJ79" i="178"/>
  <c r="AK79" i="178"/>
  <c r="AL79" i="178"/>
  <c r="AM79" i="178"/>
  <c r="AN79" i="178"/>
  <c r="AO79" i="178"/>
  <c r="Q551" i="178"/>
  <c r="S551" i="178" s="1"/>
  <c r="T551" i="178"/>
  <c r="U551" i="178" s="1"/>
  <c r="W551" i="178"/>
  <c r="AD551" i="178"/>
  <c r="AE551" i="178"/>
  <c r="AF551" i="178"/>
  <c r="AG551" i="178"/>
  <c r="AH551" i="178"/>
  <c r="AI551" i="178"/>
  <c r="AJ551" i="178"/>
  <c r="AK551" i="178"/>
  <c r="AL551" i="178"/>
  <c r="AM551" i="178"/>
  <c r="AN551" i="178"/>
  <c r="AO551" i="178"/>
  <c r="Q552" i="178"/>
  <c r="S552" i="178" s="1"/>
  <c r="T552" i="178"/>
  <c r="V552" i="178" s="1"/>
  <c r="W552" i="178"/>
  <c r="AD552" i="178"/>
  <c r="AE552" i="178"/>
  <c r="AF552" i="178"/>
  <c r="AG552" i="178"/>
  <c r="AH552" i="178"/>
  <c r="AI552" i="178"/>
  <c r="AJ552" i="178"/>
  <c r="AK552" i="178"/>
  <c r="AL552" i="178"/>
  <c r="AM552" i="178"/>
  <c r="AN552" i="178"/>
  <c r="AO552" i="178"/>
  <c r="Q753" i="178"/>
  <c r="S753" i="178" s="1"/>
  <c r="T753" i="178"/>
  <c r="V753" i="178" s="1"/>
  <c r="W753" i="178"/>
  <c r="AD753" i="178"/>
  <c r="AE753" i="178"/>
  <c r="AF753" i="178"/>
  <c r="AG753" i="178"/>
  <c r="AH753" i="178"/>
  <c r="AI753" i="178"/>
  <c r="AJ753" i="178"/>
  <c r="AK753" i="178"/>
  <c r="AL753" i="178"/>
  <c r="AM753" i="178"/>
  <c r="AN753" i="178"/>
  <c r="AO753" i="178"/>
  <c r="Q137" i="178"/>
  <c r="S137" i="178" s="1"/>
  <c r="T137" i="178"/>
  <c r="V137" i="178" s="1"/>
  <c r="W137" i="178"/>
  <c r="AD137" i="178"/>
  <c r="AE137" i="178"/>
  <c r="AF137" i="178"/>
  <c r="AG137" i="178"/>
  <c r="AH137" i="178"/>
  <c r="AI137" i="178"/>
  <c r="AJ137" i="178"/>
  <c r="AK137" i="178"/>
  <c r="AL137" i="178"/>
  <c r="AM137" i="178"/>
  <c r="AN137" i="178"/>
  <c r="AO137" i="178"/>
  <c r="Q150" i="178"/>
  <c r="S150" i="178" s="1"/>
  <c r="T150" i="178"/>
  <c r="V150" i="178" s="1"/>
  <c r="W150" i="178"/>
  <c r="AD150" i="178"/>
  <c r="AE150" i="178"/>
  <c r="AF150" i="178"/>
  <c r="AG150" i="178"/>
  <c r="AH150" i="178"/>
  <c r="AI150" i="178"/>
  <c r="AJ150" i="178"/>
  <c r="AK150" i="178"/>
  <c r="AL150" i="178"/>
  <c r="AM150" i="178"/>
  <c r="AN150" i="178"/>
  <c r="AO150" i="178"/>
  <c r="Q151" i="178"/>
  <c r="S151" i="178" s="1"/>
  <c r="T151" i="178"/>
  <c r="V151" i="178" s="1"/>
  <c r="W151" i="178"/>
  <c r="AD151" i="178"/>
  <c r="AE151" i="178"/>
  <c r="AF151" i="178"/>
  <c r="AG151" i="178"/>
  <c r="AH151" i="178"/>
  <c r="AI151" i="178"/>
  <c r="AJ151" i="178"/>
  <c r="AK151" i="178"/>
  <c r="AL151" i="178"/>
  <c r="AM151" i="178"/>
  <c r="AN151" i="178"/>
  <c r="AO151" i="178"/>
  <c r="Q590" i="178"/>
  <c r="S590" i="178" s="1"/>
  <c r="T590" i="178"/>
  <c r="V590" i="178" s="1"/>
  <c r="W590" i="178"/>
  <c r="AD590" i="178"/>
  <c r="AE590" i="178"/>
  <c r="AF590" i="178"/>
  <c r="AG590" i="178"/>
  <c r="AH590" i="178"/>
  <c r="AI590" i="178"/>
  <c r="AJ590" i="178"/>
  <c r="AK590" i="178"/>
  <c r="AL590" i="178"/>
  <c r="AM590" i="178"/>
  <c r="AN590" i="178"/>
  <c r="AO590" i="178"/>
  <c r="Q171" i="178"/>
  <c r="S171" i="178" s="1"/>
  <c r="T171" i="178"/>
  <c r="V171" i="178" s="1"/>
  <c r="W171" i="178"/>
  <c r="AD171" i="178"/>
  <c r="AE171" i="178"/>
  <c r="AF171" i="178"/>
  <c r="AG171" i="178"/>
  <c r="AH171" i="178"/>
  <c r="AI171" i="178"/>
  <c r="AJ171" i="178"/>
  <c r="AK171" i="178"/>
  <c r="AL171" i="178"/>
  <c r="AM171" i="178"/>
  <c r="AN171" i="178"/>
  <c r="AO171" i="178"/>
  <c r="Q591" i="178"/>
  <c r="S591" i="178" s="1"/>
  <c r="T591" i="178"/>
  <c r="V591" i="178" s="1"/>
  <c r="W591" i="178"/>
  <c r="AD591" i="178"/>
  <c r="AE591" i="178"/>
  <c r="AF591" i="178"/>
  <c r="AG591" i="178"/>
  <c r="AH591" i="178"/>
  <c r="AI591" i="178"/>
  <c r="AJ591" i="178"/>
  <c r="AK591" i="178"/>
  <c r="AL591" i="178"/>
  <c r="AM591" i="178"/>
  <c r="AN591" i="178"/>
  <c r="AO591" i="178"/>
  <c r="Q1017" i="178"/>
  <c r="S1017" i="178" s="1"/>
  <c r="T1017" i="178"/>
  <c r="V1017" i="178" s="1"/>
  <c r="W1017" i="178"/>
  <c r="AD1017" i="178"/>
  <c r="AE1017" i="178"/>
  <c r="AF1017" i="178"/>
  <c r="AG1017" i="178"/>
  <c r="AH1017" i="178"/>
  <c r="AI1017" i="178"/>
  <c r="AJ1017" i="178"/>
  <c r="AK1017" i="178"/>
  <c r="AL1017" i="178"/>
  <c r="AM1017" i="178"/>
  <c r="AN1017" i="178"/>
  <c r="AO1017" i="178"/>
  <c r="Q176" i="178"/>
  <c r="S176" i="178" s="1"/>
  <c r="T176" i="178"/>
  <c r="V176" i="178" s="1"/>
  <c r="W176" i="178"/>
  <c r="AD176" i="178"/>
  <c r="AE176" i="178"/>
  <c r="AF176" i="178"/>
  <c r="AG176" i="178"/>
  <c r="AH176" i="178"/>
  <c r="AI176" i="178"/>
  <c r="AJ176" i="178"/>
  <c r="AK176" i="178"/>
  <c r="AL176" i="178"/>
  <c r="AM176" i="178"/>
  <c r="AN176" i="178"/>
  <c r="AO176" i="178"/>
  <c r="Q598" i="178"/>
  <c r="S598" i="178" s="1"/>
  <c r="T598" i="178"/>
  <c r="V598" i="178" s="1"/>
  <c r="W598" i="178"/>
  <c r="AD598" i="178"/>
  <c r="AE598" i="178"/>
  <c r="AF598" i="178"/>
  <c r="AG598" i="178"/>
  <c r="AH598" i="178"/>
  <c r="AI598" i="178"/>
  <c r="AJ598" i="178"/>
  <c r="AK598" i="178"/>
  <c r="AL598" i="178"/>
  <c r="AM598" i="178"/>
  <c r="AN598" i="178"/>
  <c r="AO598" i="178"/>
  <c r="Q672" i="178"/>
  <c r="S672" i="178" s="1"/>
  <c r="T672" i="178"/>
  <c r="V672" i="178" s="1"/>
  <c r="W672" i="178"/>
  <c r="AD672" i="178"/>
  <c r="AE672" i="178"/>
  <c r="AF672" i="178"/>
  <c r="AG672" i="178"/>
  <c r="AH672" i="178"/>
  <c r="AI672" i="178"/>
  <c r="AJ672" i="178"/>
  <c r="AK672" i="178"/>
  <c r="AL672" i="178"/>
  <c r="AM672" i="178"/>
  <c r="AN672" i="178"/>
  <c r="AO672" i="178"/>
  <c r="S423" i="178"/>
  <c r="T423" i="178"/>
  <c r="V423" i="178" s="1"/>
  <c r="W423" i="178"/>
  <c r="AD423" i="178"/>
  <c r="AE423" i="178"/>
  <c r="AF423" i="178"/>
  <c r="AG423" i="178"/>
  <c r="AH423" i="178"/>
  <c r="AI423" i="178"/>
  <c r="AJ423" i="178"/>
  <c r="AK423" i="178"/>
  <c r="AL423" i="178"/>
  <c r="AM423" i="178"/>
  <c r="AN423" i="178"/>
  <c r="AO423" i="178"/>
  <c r="S441" i="178"/>
  <c r="T441" i="178"/>
  <c r="V441" i="178" s="1"/>
  <c r="W441" i="178"/>
  <c r="AD441" i="178"/>
  <c r="AE441" i="178"/>
  <c r="AF441" i="178"/>
  <c r="AG441" i="178"/>
  <c r="AH441" i="178"/>
  <c r="AI441" i="178"/>
  <c r="AJ441" i="178"/>
  <c r="AK441" i="178"/>
  <c r="AL441" i="178"/>
  <c r="AM441" i="178"/>
  <c r="AN441" i="178"/>
  <c r="AO441" i="178"/>
  <c r="S443" i="178"/>
  <c r="T443" i="178"/>
  <c r="V443" i="178" s="1"/>
  <c r="W443" i="178"/>
  <c r="AD443" i="178"/>
  <c r="AE443" i="178"/>
  <c r="AF443" i="178"/>
  <c r="AG443" i="178"/>
  <c r="AH443" i="178"/>
  <c r="AI443" i="178"/>
  <c r="AJ443" i="178"/>
  <c r="AK443" i="178"/>
  <c r="AL443" i="178"/>
  <c r="AM443" i="178"/>
  <c r="AN443" i="178"/>
  <c r="AO443" i="178"/>
  <c r="S444" i="178"/>
  <c r="T444" i="178"/>
  <c r="V444" i="178" s="1"/>
  <c r="W444" i="178"/>
  <c r="AD444" i="178"/>
  <c r="AE444" i="178"/>
  <c r="AF444" i="178"/>
  <c r="AG444" i="178"/>
  <c r="AH444" i="178"/>
  <c r="AI444" i="178"/>
  <c r="AJ444" i="178"/>
  <c r="AK444" i="178"/>
  <c r="AL444" i="178"/>
  <c r="AM444" i="178"/>
  <c r="AN444" i="178"/>
  <c r="AO444" i="178"/>
  <c r="S459" i="178"/>
  <c r="T459" i="178"/>
  <c r="V459" i="178" s="1"/>
  <c r="W459" i="178"/>
  <c r="AD459" i="178"/>
  <c r="AE459" i="178"/>
  <c r="AF459" i="178"/>
  <c r="AG459" i="178"/>
  <c r="AH459" i="178"/>
  <c r="AI459" i="178"/>
  <c r="AJ459" i="178"/>
  <c r="AK459" i="178"/>
  <c r="AL459" i="178"/>
  <c r="AM459" i="178"/>
  <c r="AN459" i="178"/>
  <c r="AO459" i="178"/>
  <c r="S460" i="178"/>
  <c r="T460" i="178"/>
  <c r="V460" i="178" s="1"/>
  <c r="W460" i="178"/>
  <c r="AD460" i="178"/>
  <c r="AE460" i="178"/>
  <c r="AF460" i="178"/>
  <c r="AG460" i="178"/>
  <c r="AH460" i="178"/>
  <c r="AI460" i="178"/>
  <c r="AJ460" i="178"/>
  <c r="AK460" i="178"/>
  <c r="AL460" i="178"/>
  <c r="AM460" i="178"/>
  <c r="AN460" i="178"/>
  <c r="AO460" i="178"/>
  <c r="S461" i="178"/>
  <c r="T461" i="178"/>
  <c r="V461" i="178" s="1"/>
  <c r="W461" i="178"/>
  <c r="AD461" i="178"/>
  <c r="AE461" i="178"/>
  <c r="AF461" i="178"/>
  <c r="AG461" i="178"/>
  <c r="AH461" i="178"/>
  <c r="AI461" i="178"/>
  <c r="AJ461" i="178"/>
  <c r="AK461" i="178"/>
  <c r="AL461" i="178"/>
  <c r="AM461" i="178"/>
  <c r="AN461" i="178"/>
  <c r="AO461" i="178"/>
  <c r="S473" i="178"/>
  <c r="T473" i="178"/>
  <c r="V473" i="178" s="1"/>
  <c r="W473" i="178"/>
  <c r="AD473" i="178"/>
  <c r="AE473" i="178"/>
  <c r="AF473" i="178"/>
  <c r="AG473" i="178"/>
  <c r="AH473" i="178"/>
  <c r="AI473" i="178"/>
  <c r="AJ473" i="178"/>
  <c r="AK473" i="178"/>
  <c r="AL473" i="178"/>
  <c r="AM473" i="178"/>
  <c r="AN473" i="178"/>
  <c r="AO473" i="178"/>
  <c r="S498" i="178"/>
  <c r="T498" i="178"/>
  <c r="W498" i="178"/>
  <c r="AD498" i="178"/>
  <c r="AE498" i="178"/>
  <c r="AF498" i="178"/>
  <c r="AG498" i="178"/>
  <c r="AH498" i="178"/>
  <c r="AI498" i="178"/>
  <c r="AJ498" i="178"/>
  <c r="AK498" i="178"/>
  <c r="AL498" i="178"/>
  <c r="AM498" i="178"/>
  <c r="AN498" i="178"/>
  <c r="AO498" i="178"/>
  <c r="Q603" i="178"/>
  <c r="S603" i="178" s="1"/>
  <c r="T603" i="178"/>
  <c r="W603" i="178"/>
  <c r="AD603" i="178"/>
  <c r="AE603" i="178"/>
  <c r="AF603" i="178"/>
  <c r="AG603" i="178"/>
  <c r="AH603" i="178"/>
  <c r="AI603" i="178"/>
  <c r="AJ603" i="178"/>
  <c r="AK603" i="178"/>
  <c r="AL603" i="178"/>
  <c r="AM603" i="178"/>
  <c r="AN603" i="178"/>
  <c r="AO603" i="178"/>
  <c r="S607" i="178"/>
  <c r="T607" i="178"/>
  <c r="W607" i="178"/>
  <c r="AD607" i="178"/>
  <c r="AE607" i="178"/>
  <c r="AF607" i="178"/>
  <c r="AG607" i="178"/>
  <c r="AH607" i="178"/>
  <c r="AI607" i="178"/>
  <c r="AJ607" i="178"/>
  <c r="AK607" i="178"/>
  <c r="AL607" i="178"/>
  <c r="AM607" i="178"/>
  <c r="AN607" i="178"/>
  <c r="AO607" i="178"/>
  <c r="Q604" i="178"/>
  <c r="S604" i="178" s="1"/>
  <c r="T604" i="178"/>
  <c r="W604" i="178"/>
  <c r="AD604" i="178"/>
  <c r="AE604" i="178"/>
  <c r="AF604" i="178"/>
  <c r="AG604" i="178"/>
  <c r="AH604" i="178"/>
  <c r="AI604" i="178"/>
  <c r="AJ604" i="178"/>
  <c r="AK604" i="178"/>
  <c r="AL604" i="178"/>
  <c r="AM604" i="178"/>
  <c r="AN604" i="178"/>
  <c r="AO604" i="178"/>
  <c r="Q729" i="178"/>
  <c r="S729" i="178" s="1"/>
  <c r="T729" i="178"/>
  <c r="W729" i="178"/>
  <c r="AD729" i="178"/>
  <c r="AE729" i="178"/>
  <c r="AF729" i="178"/>
  <c r="AG729" i="178"/>
  <c r="AH729" i="178"/>
  <c r="AI729" i="178"/>
  <c r="AJ729" i="178"/>
  <c r="AK729" i="178"/>
  <c r="AL729" i="178"/>
  <c r="AM729" i="178"/>
  <c r="AN729" i="178"/>
  <c r="AO729" i="178"/>
  <c r="Q189" i="178"/>
  <c r="S189" i="178" s="1"/>
  <c r="T189" i="178"/>
  <c r="W189" i="178"/>
  <c r="AD189" i="178"/>
  <c r="AE189" i="178"/>
  <c r="AF189" i="178"/>
  <c r="AG189" i="178"/>
  <c r="AH189" i="178"/>
  <c r="AI189" i="178"/>
  <c r="AJ189" i="178"/>
  <c r="AK189" i="178"/>
  <c r="AL189" i="178"/>
  <c r="AM189" i="178"/>
  <c r="AN189" i="178"/>
  <c r="AO189" i="178"/>
  <c r="Q605" i="178"/>
  <c r="S605" i="178" s="1"/>
  <c r="T605" i="178"/>
  <c r="W605" i="178"/>
  <c r="AD605" i="178"/>
  <c r="AE605" i="178"/>
  <c r="AF605" i="178"/>
  <c r="AG605" i="178"/>
  <c r="AH605" i="178"/>
  <c r="AI605" i="178"/>
  <c r="AJ605" i="178"/>
  <c r="AK605" i="178"/>
  <c r="AL605" i="178"/>
  <c r="AM605" i="178"/>
  <c r="AN605" i="178"/>
  <c r="AO605" i="178"/>
  <c r="Q673" i="178"/>
  <c r="S673" i="178" s="1"/>
  <c r="T673" i="178"/>
  <c r="W673" i="178"/>
  <c r="AD673" i="178"/>
  <c r="AE673" i="178"/>
  <c r="AF673" i="178"/>
  <c r="AG673" i="178"/>
  <c r="AH673" i="178"/>
  <c r="AI673" i="178"/>
  <c r="AJ673" i="178"/>
  <c r="AK673" i="178"/>
  <c r="AL673" i="178"/>
  <c r="AM673" i="178"/>
  <c r="AN673" i="178"/>
  <c r="AO673" i="178"/>
  <c r="Q609" i="178"/>
  <c r="S609" i="178" s="1"/>
  <c r="T609" i="178"/>
  <c r="W609" i="178"/>
  <c r="AD609" i="178"/>
  <c r="AE609" i="178"/>
  <c r="AF609" i="178"/>
  <c r="AG609" i="178"/>
  <c r="AH609" i="178"/>
  <c r="AI609" i="178"/>
  <c r="AJ609" i="178"/>
  <c r="AK609" i="178"/>
  <c r="AL609" i="178"/>
  <c r="AM609" i="178"/>
  <c r="AN609" i="178"/>
  <c r="AO609" i="178"/>
  <c r="Q610" i="178"/>
  <c r="T610" i="178"/>
  <c r="V610" i="178" s="1"/>
  <c r="W610" i="178"/>
  <c r="AD610" i="178"/>
  <c r="AE610" i="178"/>
  <c r="AF610" i="178"/>
  <c r="AG610" i="178"/>
  <c r="AH610" i="178"/>
  <c r="AI610" i="178"/>
  <c r="AJ610" i="178"/>
  <c r="AK610" i="178"/>
  <c r="AL610" i="178"/>
  <c r="AM610" i="178"/>
  <c r="AN610" i="178"/>
  <c r="AO610" i="178"/>
  <c r="Q424" i="178"/>
  <c r="T424" i="178"/>
  <c r="V424" i="178" s="1"/>
  <c r="W424" i="178"/>
  <c r="AD424" i="178"/>
  <c r="AE424" i="178"/>
  <c r="AF424" i="178"/>
  <c r="AG424" i="178"/>
  <c r="AH424" i="178"/>
  <c r="AI424" i="178"/>
  <c r="AJ424" i="178"/>
  <c r="AK424" i="178"/>
  <c r="AL424" i="178"/>
  <c r="AM424" i="178"/>
  <c r="AN424" i="178"/>
  <c r="AO424" i="178"/>
  <c r="Q190" i="178"/>
  <c r="T190" i="178"/>
  <c r="V190" i="178" s="1"/>
  <c r="W190" i="178"/>
  <c r="AD190" i="178"/>
  <c r="AE190" i="178"/>
  <c r="AF190" i="178"/>
  <c r="AG190" i="178"/>
  <c r="AH190" i="178"/>
  <c r="AI190" i="178"/>
  <c r="AJ190" i="178"/>
  <c r="AK190" i="178"/>
  <c r="AL190" i="178"/>
  <c r="AM190" i="178"/>
  <c r="AN190" i="178"/>
  <c r="AO190" i="178"/>
  <c r="Q611" i="178"/>
  <c r="T611" i="178"/>
  <c r="V611" i="178" s="1"/>
  <c r="W611" i="178"/>
  <c r="AD611" i="178"/>
  <c r="AE611" i="178"/>
  <c r="AF611" i="178"/>
  <c r="AG611" i="178"/>
  <c r="AH611" i="178"/>
  <c r="AI611" i="178"/>
  <c r="AJ611" i="178"/>
  <c r="AK611" i="178"/>
  <c r="AL611" i="178"/>
  <c r="AM611" i="178"/>
  <c r="AN611" i="178"/>
  <c r="AO611" i="178"/>
  <c r="S773" i="178"/>
  <c r="T773" i="178"/>
  <c r="V773" i="178" s="1"/>
  <c r="W773" i="178"/>
  <c r="AD773" i="178"/>
  <c r="AE773" i="178"/>
  <c r="AF773" i="178"/>
  <c r="AG773" i="178"/>
  <c r="AH773" i="178"/>
  <c r="AI773" i="178"/>
  <c r="AJ773" i="178"/>
  <c r="AK773" i="178"/>
  <c r="AL773" i="178"/>
  <c r="AM773" i="178"/>
  <c r="AN773" i="178"/>
  <c r="AO773" i="178"/>
  <c r="T787" i="178"/>
  <c r="U787" i="178" s="1"/>
  <c r="W787" i="178"/>
  <c r="AD787" i="178"/>
  <c r="AE787" i="178"/>
  <c r="AF787" i="178"/>
  <c r="AG787" i="178"/>
  <c r="AH787" i="178"/>
  <c r="AI787" i="178"/>
  <c r="AJ787" i="178"/>
  <c r="AK787" i="178"/>
  <c r="AL787" i="178"/>
  <c r="AM787" i="178"/>
  <c r="AN787" i="178"/>
  <c r="AO787" i="178"/>
  <c r="T788" i="178"/>
  <c r="U788" i="178" s="1"/>
  <c r="W788" i="178"/>
  <c r="AD788" i="178"/>
  <c r="AE788" i="178"/>
  <c r="AF788" i="178"/>
  <c r="AG788" i="178"/>
  <c r="AH788" i="178"/>
  <c r="AI788" i="178"/>
  <c r="AJ788" i="178"/>
  <c r="AK788" i="178"/>
  <c r="AL788" i="178"/>
  <c r="AM788" i="178"/>
  <c r="AN788" i="178"/>
  <c r="AO788" i="178"/>
  <c r="T795" i="178"/>
  <c r="U795" i="178" s="1"/>
  <c r="W795" i="178"/>
  <c r="AD795" i="178"/>
  <c r="AE795" i="178"/>
  <c r="AF795" i="178"/>
  <c r="AG795" i="178"/>
  <c r="AH795" i="178"/>
  <c r="AI795" i="178"/>
  <c r="AJ795" i="178"/>
  <c r="AK795" i="178"/>
  <c r="AL795" i="178"/>
  <c r="AM795" i="178"/>
  <c r="AN795" i="178"/>
  <c r="AO795" i="178"/>
  <c r="Q616" i="178"/>
  <c r="T616" i="178"/>
  <c r="U616" i="178" s="1"/>
  <c r="W616" i="178"/>
  <c r="AD616" i="178"/>
  <c r="AE616" i="178"/>
  <c r="AF616" i="178"/>
  <c r="AG616" i="178"/>
  <c r="AH616" i="178"/>
  <c r="AI616" i="178"/>
  <c r="AJ616" i="178"/>
  <c r="AK616" i="178"/>
  <c r="AL616" i="178"/>
  <c r="AM616" i="178"/>
  <c r="AN616" i="178"/>
  <c r="AO616" i="178"/>
  <c r="T801" i="178"/>
  <c r="U801" i="178" s="1"/>
  <c r="W801" i="178"/>
  <c r="AD801" i="178"/>
  <c r="AE801" i="178"/>
  <c r="AF801" i="178"/>
  <c r="AG801" i="178"/>
  <c r="AH801" i="178"/>
  <c r="AI801" i="178"/>
  <c r="AJ801" i="178"/>
  <c r="AK801" i="178"/>
  <c r="AL801" i="178"/>
  <c r="AM801" i="178"/>
  <c r="AN801" i="178"/>
  <c r="AO801" i="178"/>
  <c r="S803" i="178"/>
  <c r="T803" i="178"/>
  <c r="U803" i="178" s="1"/>
  <c r="W803" i="178"/>
  <c r="AD803" i="178"/>
  <c r="AE803" i="178"/>
  <c r="AF803" i="178"/>
  <c r="AG803" i="178"/>
  <c r="AH803" i="178"/>
  <c r="AI803" i="178"/>
  <c r="AJ803" i="178"/>
  <c r="AK803" i="178"/>
  <c r="AL803" i="178"/>
  <c r="AM803" i="178"/>
  <c r="AN803" i="178"/>
  <c r="AO803" i="178"/>
  <c r="S945" i="178"/>
  <c r="T945" i="178"/>
  <c r="U945" i="178" s="1"/>
  <c r="W945" i="178"/>
  <c r="AD945" i="178"/>
  <c r="AE945" i="178"/>
  <c r="AF945" i="178"/>
  <c r="AG945" i="178"/>
  <c r="AH945" i="178"/>
  <c r="AI945" i="178"/>
  <c r="AJ945" i="178"/>
  <c r="AK945" i="178"/>
  <c r="AL945" i="178"/>
  <c r="AM945" i="178"/>
  <c r="AN945" i="178"/>
  <c r="AO945" i="178"/>
  <c r="Q197" i="178"/>
  <c r="S197" i="178" s="1"/>
  <c r="T197" i="178"/>
  <c r="U197" i="178" s="1"/>
  <c r="W197" i="178"/>
  <c r="AD197" i="178"/>
  <c r="AE197" i="178"/>
  <c r="AF197" i="178"/>
  <c r="AG197" i="178"/>
  <c r="AH197" i="178"/>
  <c r="AI197" i="178"/>
  <c r="AJ197" i="178"/>
  <c r="AK197" i="178"/>
  <c r="AL197" i="178"/>
  <c r="AM197" i="178"/>
  <c r="AN197" i="178"/>
  <c r="AO197" i="178"/>
  <c r="Q618" i="178"/>
  <c r="T618" i="178"/>
  <c r="U618" i="178" s="1"/>
  <c r="W618" i="178"/>
  <c r="AD618" i="178"/>
  <c r="AE618" i="178"/>
  <c r="AF618" i="178"/>
  <c r="AG618" i="178"/>
  <c r="AH618" i="178"/>
  <c r="AI618" i="178"/>
  <c r="AJ618" i="178"/>
  <c r="AK618" i="178"/>
  <c r="AL618" i="178"/>
  <c r="AM618" i="178"/>
  <c r="AN618" i="178"/>
  <c r="AO618" i="178"/>
  <c r="T857" i="178"/>
  <c r="U857" i="178" s="1"/>
  <c r="W857" i="178"/>
  <c r="AD857" i="178"/>
  <c r="AE857" i="178"/>
  <c r="AF857" i="178"/>
  <c r="AG857" i="178"/>
  <c r="AH857" i="178"/>
  <c r="AI857" i="178"/>
  <c r="AJ857" i="178"/>
  <c r="AK857" i="178"/>
  <c r="AL857" i="178"/>
  <c r="AM857" i="178"/>
  <c r="AN857" i="178"/>
  <c r="AO857" i="178"/>
  <c r="Q431" i="178"/>
  <c r="T431" i="178"/>
  <c r="U431" i="178" s="1"/>
  <c r="W431" i="178"/>
  <c r="AD431" i="178"/>
  <c r="AE431" i="178"/>
  <c r="AF431" i="178"/>
  <c r="AG431" i="178"/>
  <c r="AH431" i="178"/>
  <c r="AI431" i="178"/>
  <c r="AJ431" i="178"/>
  <c r="AK431" i="178"/>
  <c r="AL431" i="178"/>
  <c r="AM431" i="178"/>
  <c r="AN431" i="178"/>
  <c r="AO431" i="178"/>
  <c r="Q826" i="178"/>
  <c r="T826" i="178"/>
  <c r="U826" i="178" s="1"/>
  <c r="W826" i="178"/>
  <c r="AD826" i="178"/>
  <c r="AE826" i="178"/>
  <c r="AF826" i="178"/>
  <c r="AG826" i="178"/>
  <c r="AH826" i="178"/>
  <c r="AI826" i="178"/>
  <c r="AJ826" i="178"/>
  <c r="AK826" i="178"/>
  <c r="AL826" i="178"/>
  <c r="AM826" i="178"/>
  <c r="AN826" i="178"/>
  <c r="AO826" i="178"/>
  <c r="T858" i="178"/>
  <c r="U858" i="178" s="1"/>
  <c r="W858" i="178"/>
  <c r="AD858" i="178"/>
  <c r="AE858" i="178"/>
  <c r="AF858" i="178"/>
  <c r="AG858" i="178"/>
  <c r="AH858" i="178"/>
  <c r="AI858" i="178"/>
  <c r="AJ858" i="178"/>
  <c r="AK858" i="178"/>
  <c r="AL858" i="178"/>
  <c r="AM858" i="178"/>
  <c r="AN858" i="178"/>
  <c r="AO858" i="178"/>
  <c r="Q619" i="178"/>
  <c r="T619" i="178"/>
  <c r="U619" i="178" s="1"/>
  <c r="W619" i="178"/>
  <c r="AD619" i="178"/>
  <c r="AE619" i="178"/>
  <c r="AF619" i="178"/>
  <c r="AG619" i="178"/>
  <c r="AH619" i="178"/>
  <c r="AI619" i="178"/>
  <c r="AJ619" i="178"/>
  <c r="AK619" i="178"/>
  <c r="AL619" i="178"/>
  <c r="AM619" i="178"/>
  <c r="AN619" i="178"/>
  <c r="AO619" i="178"/>
  <c r="T859" i="178"/>
  <c r="U859" i="178" s="1"/>
  <c r="W859" i="178"/>
  <c r="AD859" i="178"/>
  <c r="AE859" i="178"/>
  <c r="AF859" i="178"/>
  <c r="AG859" i="178"/>
  <c r="AH859" i="178"/>
  <c r="AI859" i="178"/>
  <c r="AJ859" i="178"/>
  <c r="AK859" i="178"/>
  <c r="AL859" i="178"/>
  <c r="AM859" i="178"/>
  <c r="AN859" i="178"/>
  <c r="AO859" i="178"/>
  <c r="Q827" i="178"/>
  <c r="T827" i="178"/>
  <c r="U827" i="178" s="1"/>
  <c r="W827" i="178"/>
  <c r="AD827" i="178"/>
  <c r="AE827" i="178"/>
  <c r="AF827" i="178"/>
  <c r="AG827" i="178"/>
  <c r="AH827" i="178"/>
  <c r="AI827" i="178"/>
  <c r="AJ827" i="178"/>
  <c r="AK827" i="178"/>
  <c r="AL827" i="178"/>
  <c r="AM827" i="178"/>
  <c r="AN827" i="178"/>
  <c r="AO827" i="178"/>
  <c r="Q200" i="178"/>
  <c r="T200" i="178"/>
  <c r="U200" i="178" s="1"/>
  <c r="W200" i="178"/>
  <c r="AD200" i="178"/>
  <c r="AE200" i="178"/>
  <c r="AF200" i="178"/>
  <c r="AG200" i="178"/>
  <c r="AH200" i="178"/>
  <c r="AI200" i="178"/>
  <c r="AJ200" i="178"/>
  <c r="AK200" i="178"/>
  <c r="AL200" i="178"/>
  <c r="AM200" i="178"/>
  <c r="AN200" i="178"/>
  <c r="AO200" i="178"/>
  <c r="T863" i="178"/>
  <c r="U863" i="178" s="1"/>
  <c r="W863" i="178"/>
  <c r="AD863" i="178"/>
  <c r="AE863" i="178"/>
  <c r="AF863" i="178"/>
  <c r="AG863" i="178"/>
  <c r="AH863" i="178"/>
  <c r="AI863" i="178"/>
  <c r="AJ863" i="178"/>
  <c r="AK863" i="178"/>
  <c r="AL863" i="178"/>
  <c r="AM863" i="178"/>
  <c r="AN863" i="178"/>
  <c r="AO863" i="178"/>
  <c r="T864" i="178"/>
  <c r="U864" i="178" s="1"/>
  <c r="W864" i="178"/>
  <c r="AD864" i="178"/>
  <c r="AE864" i="178"/>
  <c r="AF864" i="178"/>
  <c r="AG864" i="178"/>
  <c r="AH864" i="178"/>
  <c r="AI864" i="178"/>
  <c r="AJ864" i="178"/>
  <c r="AK864" i="178"/>
  <c r="AL864" i="178"/>
  <c r="AM864" i="178"/>
  <c r="AN864" i="178"/>
  <c r="AO864" i="178"/>
  <c r="T865" i="178"/>
  <c r="U865" i="178" s="1"/>
  <c r="W865" i="178"/>
  <c r="AD865" i="178"/>
  <c r="AE865" i="178"/>
  <c r="AF865" i="178"/>
  <c r="AG865" i="178"/>
  <c r="AH865" i="178"/>
  <c r="AI865" i="178"/>
  <c r="AJ865" i="178"/>
  <c r="AK865" i="178"/>
  <c r="AL865" i="178"/>
  <c r="AM865" i="178"/>
  <c r="AN865" i="178"/>
  <c r="AO865" i="178"/>
  <c r="T866" i="178"/>
  <c r="U866" i="178" s="1"/>
  <c r="W866" i="178"/>
  <c r="AD866" i="178"/>
  <c r="AE866" i="178"/>
  <c r="AF866" i="178"/>
  <c r="AG866" i="178"/>
  <c r="AH866" i="178"/>
  <c r="AI866" i="178"/>
  <c r="AJ866" i="178"/>
  <c r="AK866" i="178"/>
  <c r="AL866" i="178"/>
  <c r="AM866" i="178"/>
  <c r="AN866" i="178"/>
  <c r="AO866" i="178"/>
  <c r="T867" i="178"/>
  <c r="U867" i="178" s="1"/>
  <c r="W867" i="178"/>
  <c r="AD867" i="178"/>
  <c r="AE867" i="178"/>
  <c r="AF867" i="178"/>
  <c r="AG867" i="178"/>
  <c r="AH867" i="178"/>
  <c r="AI867" i="178"/>
  <c r="AJ867" i="178"/>
  <c r="AK867" i="178"/>
  <c r="AL867" i="178"/>
  <c r="AM867" i="178"/>
  <c r="AN867" i="178"/>
  <c r="AO867" i="178"/>
  <c r="T868" i="178"/>
  <c r="U868" i="178" s="1"/>
  <c r="W868" i="178"/>
  <c r="AD868" i="178"/>
  <c r="AE868" i="178"/>
  <c r="AF868" i="178"/>
  <c r="AG868" i="178"/>
  <c r="AH868" i="178"/>
  <c r="AI868" i="178"/>
  <c r="AJ868" i="178"/>
  <c r="AK868" i="178"/>
  <c r="AL868" i="178"/>
  <c r="AM868" i="178"/>
  <c r="AN868" i="178"/>
  <c r="AO868" i="178"/>
  <c r="T871" i="178"/>
  <c r="U871" i="178" s="1"/>
  <c r="W871" i="178"/>
  <c r="AD871" i="178"/>
  <c r="AE871" i="178"/>
  <c r="AF871" i="178"/>
  <c r="AG871" i="178"/>
  <c r="AH871" i="178"/>
  <c r="AI871" i="178"/>
  <c r="AJ871" i="178"/>
  <c r="AK871" i="178"/>
  <c r="AL871" i="178"/>
  <c r="AM871" i="178"/>
  <c r="AN871" i="178"/>
  <c r="AO871" i="178"/>
  <c r="T872" i="178"/>
  <c r="U872" i="178" s="1"/>
  <c r="W872" i="178"/>
  <c r="AD872" i="178"/>
  <c r="AE872" i="178"/>
  <c r="AF872" i="178"/>
  <c r="AG872" i="178"/>
  <c r="AH872" i="178"/>
  <c r="AI872" i="178"/>
  <c r="AJ872" i="178"/>
  <c r="AK872" i="178"/>
  <c r="AL872" i="178"/>
  <c r="AM872" i="178"/>
  <c r="AN872" i="178"/>
  <c r="AO872" i="178"/>
  <c r="T875" i="178"/>
  <c r="U875" i="178" s="1"/>
  <c r="W875" i="178"/>
  <c r="AD875" i="178"/>
  <c r="AE875" i="178"/>
  <c r="AF875" i="178"/>
  <c r="AG875" i="178"/>
  <c r="AH875" i="178"/>
  <c r="AI875" i="178"/>
  <c r="AJ875" i="178"/>
  <c r="AK875" i="178"/>
  <c r="AL875" i="178"/>
  <c r="AM875" i="178"/>
  <c r="AN875" i="178"/>
  <c r="AO875" i="178"/>
  <c r="S885" i="178"/>
  <c r="T885" i="178"/>
  <c r="U885" i="178" s="1"/>
  <c r="W885" i="178"/>
  <c r="AD885" i="178"/>
  <c r="AE885" i="178"/>
  <c r="AF885" i="178"/>
  <c r="AG885" i="178"/>
  <c r="AH885" i="178"/>
  <c r="AI885" i="178"/>
  <c r="AJ885" i="178"/>
  <c r="AK885" i="178"/>
  <c r="AL885" i="178"/>
  <c r="AM885" i="178"/>
  <c r="AN885" i="178"/>
  <c r="AO885" i="178"/>
  <c r="S886" i="178"/>
  <c r="T886" i="178"/>
  <c r="U886" i="178" s="1"/>
  <c r="W886" i="178"/>
  <c r="AD886" i="178"/>
  <c r="AE886" i="178"/>
  <c r="AF886" i="178"/>
  <c r="AG886" i="178"/>
  <c r="AH886" i="178"/>
  <c r="AI886" i="178"/>
  <c r="AJ886" i="178"/>
  <c r="AK886" i="178"/>
  <c r="AL886" i="178"/>
  <c r="AM886" i="178"/>
  <c r="AN886" i="178"/>
  <c r="AO886" i="178"/>
  <c r="S887" i="178"/>
  <c r="T887" i="178"/>
  <c r="U887" i="178" s="1"/>
  <c r="W887" i="178"/>
  <c r="AD887" i="178"/>
  <c r="AE887" i="178"/>
  <c r="AF887" i="178"/>
  <c r="AG887" i="178"/>
  <c r="AH887" i="178"/>
  <c r="AI887" i="178"/>
  <c r="AJ887" i="178"/>
  <c r="AK887" i="178"/>
  <c r="AL887" i="178"/>
  <c r="AM887" i="178"/>
  <c r="AN887" i="178"/>
  <c r="AO887" i="178"/>
  <c r="S892" i="178"/>
  <c r="T892" i="178"/>
  <c r="U892" i="178" s="1"/>
  <c r="W892" i="178"/>
  <c r="AD892" i="178"/>
  <c r="AE892" i="178"/>
  <c r="AF892" i="178"/>
  <c r="AG892" i="178"/>
  <c r="AH892" i="178"/>
  <c r="AI892" i="178"/>
  <c r="AJ892" i="178"/>
  <c r="AK892" i="178"/>
  <c r="AL892" i="178"/>
  <c r="AM892" i="178"/>
  <c r="AN892" i="178"/>
  <c r="AO892" i="178"/>
  <c r="S894" i="178"/>
  <c r="T894" i="178"/>
  <c r="U894" i="178" s="1"/>
  <c r="W894" i="178"/>
  <c r="AD894" i="178"/>
  <c r="AE894" i="178"/>
  <c r="AF894" i="178"/>
  <c r="AG894" i="178"/>
  <c r="AH894" i="178"/>
  <c r="AI894" i="178"/>
  <c r="AJ894" i="178"/>
  <c r="AK894" i="178"/>
  <c r="AL894" i="178"/>
  <c r="AM894" i="178"/>
  <c r="AN894" i="178"/>
  <c r="AO894" i="178"/>
  <c r="S895" i="178"/>
  <c r="T895" i="178"/>
  <c r="V895" i="178" s="1"/>
  <c r="W895" i="178"/>
  <c r="AD895" i="178"/>
  <c r="AE895" i="178"/>
  <c r="AF895" i="178"/>
  <c r="AG895" i="178"/>
  <c r="AH895" i="178"/>
  <c r="AI895" i="178"/>
  <c r="AJ895" i="178"/>
  <c r="AK895" i="178"/>
  <c r="AL895" i="178"/>
  <c r="AM895" i="178"/>
  <c r="AN895" i="178"/>
  <c r="AO895" i="178"/>
  <c r="S896" i="178"/>
  <c r="T896" i="178"/>
  <c r="U896" i="178" s="1"/>
  <c r="W896" i="178"/>
  <c r="AD896" i="178"/>
  <c r="AE896" i="178"/>
  <c r="AF896" i="178"/>
  <c r="AG896" i="178"/>
  <c r="AH896" i="178"/>
  <c r="AI896" i="178"/>
  <c r="AJ896" i="178"/>
  <c r="AK896" i="178"/>
  <c r="AL896" i="178"/>
  <c r="AM896" i="178"/>
  <c r="AN896" i="178"/>
  <c r="AO896" i="178"/>
  <c r="S897" i="178"/>
  <c r="T897" i="178"/>
  <c r="U897" i="178" s="1"/>
  <c r="W897" i="178"/>
  <c r="AD897" i="178"/>
  <c r="AE897" i="178"/>
  <c r="AF897" i="178"/>
  <c r="AG897" i="178"/>
  <c r="AH897" i="178"/>
  <c r="AI897" i="178"/>
  <c r="AJ897" i="178"/>
  <c r="AK897" i="178"/>
  <c r="AL897" i="178"/>
  <c r="AM897" i="178"/>
  <c r="AN897" i="178"/>
  <c r="AO897" i="178"/>
  <c r="Q399" i="178"/>
  <c r="S399" i="178" s="1"/>
  <c r="T399" i="178"/>
  <c r="U399" i="178" s="1"/>
  <c r="W399" i="178"/>
  <c r="AD399" i="178"/>
  <c r="AE399" i="178"/>
  <c r="AF399" i="178"/>
  <c r="AG399" i="178"/>
  <c r="AH399" i="178"/>
  <c r="AI399" i="178"/>
  <c r="AJ399" i="178"/>
  <c r="AK399" i="178"/>
  <c r="AL399" i="178"/>
  <c r="AM399" i="178"/>
  <c r="AN399" i="178"/>
  <c r="AO399" i="178"/>
  <c r="Q31" i="178"/>
  <c r="S31" i="178" s="1"/>
  <c r="T31" i="178"/>
  <c r="U31" i="178" s="1"/>
  <c r="W31" i="178"/>
  <c r="AD31" i="178"/>
  <c r="AE31" i="178"/>
  <c r="AF31" i="178"/>
  <c r="AG31" i="178"/>
  <c r="AH31" i="178"/>
  <c r="AI31" i="178"/>
  <c r="AJ31" i="178"/>
  <c r="AK31" i="178"/>
  <c r="AL31" i="178"/>
  <c r="AM31" i="178"/>
  <c r="AN31" i="178"/>
  <c r="AO31" i="178"/>
  <c r="Q400" i="178"/>
  <c r="S400" i="178" s="1"/>
  <c r="T400" i="178"/>
  <c r="U400" i="178" s="1"/>
  <c r="W400" i="178"/>
  <c r="AD400" i="178"/>
  <c r="AE400" i="178"/>
  <c r="AF400" i="178"/>
  <c r="AG400" i="178"/>
  <c r="AH400" i="178"/>
  <c r="AI400" i="178"/>
  <c r="AJ400" i="178"/>
  <c r="AK400" i="178"/>
  <c r="AL400" i="178"/>
  <c r="AM400" i="178"/>
  <c r="AN400" i="178"/>
  <c r="AO400" i="178"/>
  <c r="Q645" i="178"/>
  <c r="S645" i="178" s="1"/>
  <c r="T645" i="178"/>
  <c r="U645" i="178" s="1"/>
  <c r="W645" i="178"/>
  <c r="AD645" i="178"/>
  <c r="AE645" i="178"/>
  <c r="AF645" i="178"/>
  <c r="AG645" i="178"/>
  <c r="AH645" i="178"/>
  <c r="AI645" i="178"/>
  <c r="AJ645" i="178"/>
  <c r="AK645" i="178"/>
  <c r="AL645" i="178"/>
  <c r="AM645" i="178"/>
  <c r="AN645" i="178"/>
  <c r="AO645" i="178"/>
  <c r="Q557" i="178"/>
  <c r="S557" i="178" s="1"/>
  <c r="T557" i="178"/>
  <c r="U557" i="178" s="1"/>
  <c r="W557" i="178"/>
  <c r="AD557" i="178"/>
  <c r="AE557" i="178"/>
  <c r="AF557" i="178"/>
  <c r="AG557" i="178"/>
  <c r="AH557" i="178"/>
  <c r="AI557" i="178"/>
  <c r="AJ557" i="178"/>
  <c r="AK557" i="178"/>
  <c r="AL557" i="178"/>
  <c r="AM557" i="178"/>
  <c r="AN557" i="178"/>
  <c r="AO557" i="178"/>
  <c r="Q32" i="178"/>
  <c r="S32" i="178" s="1"/>
  <c r="T32" i="178"/>
  <c r="U32" i="178" s="1"/>
  <c r="W32" i="178"/>
  <c r="AD32" i="178"/>
  <c r="AE32" i="178"/>
  <c r="AF32" i="178"/>
  <c r="AG32" i="178"/>
  <c r="AH32" i="178"/>
  <c r="AI32" i="178"/>
  <c r="AJ32" i="178"/>
  <c r="AK32" i="178"/>
  <c r="AL32" i="178"/>
  <c r="AM32" i="178"/>
  <c r="AN32" i="178"/>
  <c r="AO32" i="178"/>
  <c r="Q623" i="178"/>
  <c r="S623" i="178" s="1"/>
  <c r="T623" i="178"/>
  <c r="U623" i="178" s="1"/>
  <c r="W623" i="178"/>
  <c r="AD623" i="178"/>
  <c r="AE623" i="178"/>
  <c r="AF623" i="178"/>
  <c r="AG623" i="178"/>
  <c r="AH623" i="178"/>
  <c r="AI623" i="178"/>
  <c r="AJ623" i="178"/>
  <c r="AK623" i="178"/>
  <c r="AL623" i="178"/>
  <c r="AM623" i="178"/>
  <c r="AN623" i="178"/>
  <c r="AO623" i="178"/>
  <c r="Q33" i="178"/>
  <c r="S33" i="178" s="1"/>
  <c r="T33" i="178"/>
  <c r="U33" i="178" s="1"/>
  <c r="W33" i="178"/>
  <c r="AD33" i="178"/>
  <c r="AE33" i="178"/>
  <c r="AF33" i="178"/>
  <c r="AG33" i="178"/>
  <c r="AH33" i="178"/>
  <c r="AI33" i="178"/>
  <c r="AJ33" i="178"/>
  <c r="AK33" i="178"/>
  <c r="AL33" i="178"/>
  <c r="AM33" i="178"/>
  <c r="AN33" i="178"/>
  <c r="AO33" i="178"/>
  <c r="S931" i="178"/>
  <c r="T931" i="178"/>
  <c r="U931" i="178" s="1"/>
  <c r="W931" i="178"/>
  <c r="AD931" i="178"/>
  <c r="AE931" i="178"/>
  <c r="AF931" i="178"/>
  <c r="AG931" i="178"/>
  <c r="AH931" i="178"/>
  <c r="AI931" i="178"/>
  <c r="AJ931" i="178"/>
  <c r="AK931" i="178"/>
  <c r="AL931" i="178"/>
  <c r="AM931" i="178"/>
  <c r="AN931" i="178"/>
  <c r="AO931" i="178"/>
  <c r="S934" i="178"/>
  <c r="T934" i="178"/>
  <c r="U934" i="178" s="1"/>
  <c r="W934" i="178"/>
  <c r="AD934" i="178"/>
  <c r="AE934" i="178"/>
  <c r="AF934" i="178"/>
  <c r="AG934" i="178"/>
  <c r="AH934" i="178"/>
  <c r="AI934" i="178"/>
  <c r="AJ934" i="178"/>
  <c r="AK934" i="178"/>
  <c r="AL934" i="178"/>
  <c r="AM934" i="178"/>
  <c r="AN934" i="178"/>
  <c r="AO934" i="178"/>
  <c r="S935" i="178"/>
  <c r="T935" i="178"/>
  <c r="U935" i="178" s="1"/>
  <c r="W935" i="178"/>
  <c r="AD935" i="178"/>
  <c r="AE935" i="178"/>
  <c r="AF935" i="178"/>
  <c r="AG935" i="178"/>
  <c r="AH935" i="178"/>
  <c r="AI935" i="178"/>
  <c r="AJ935" i="178"/>
  <c r="AK935" i="178"/>
  <c r="AL935" i="178"/>
  <c r="AM935" i="178"/>
  <c r="AN935" i="178"/>
  <c r="AO935" i="178"/>
  <c r="S937" i="178"/>
  <c r="T937" i="178"/>
  <c r="U937" i="178" s="1"/>
  <c r="W937" i="178"/>
  <c r="AD937" i="178"/>
  <c r="AE937" i="178"/>
  <c r="AF937" i="178"/>
  <c r="AG937" i="178"/>
  <c r="AH937" i="178"/>
  <c r="AI937" i="178"/>
  <c r="AJ937" i="178"/>
  <c r="AK937" i="178"/>
  <c r="AL937" i="178"/>
  <c r="AM937" i="178"/>
  <c r="AN937" i="178"/>
  <c r="AO937" i="178"/>
  <c r="S938" i="178"/>
  <c r="T938" i="178"/>
  <c r="U938" i="178" s="1"/>
  <c r="W938" i="178"/>
  <c r="AD938" i="178"/>
  <c r="AE938" i="178"/>
  <c r="AF938" i="178"/>
  <c r="AG938" i="178"/>
  <c r="AH938" i="178"/>
  <c r="AI938" i="178"/>
  <c r="AJ938" i="178"/>
  <c r="AK938" i="178"/>
  <c r="AL938" i="178"/>
  <c r="AM938" i="178"/>
  <c r="AN938" i="178"/>
  <c r="AO938" i="178"/>
  <c r="S946" i="178"/>
  <c r="T946" i="178"/>
  <c r="U946" i="178" s="1"/>
  <c r="W946" i="178"/>
  <c r="AD946" i="178"/>
  <c r="AE946" i="178"/>
  <c r="AF946" i="178"/>
  <c r="AG946" i="178"/>
  <c r="AH946" i="178"/>
  <c r="AI946" i="178"/>
  <c r="AJ946" i="178"/>
  <c r="AK946" i="178"/>
  <c r="AL946" i="178"/>
  <c r="AM946" i="178"/>
  <c r="AN946" i="178"/>
  <c r="AO946" i="178"/>
  <c r="S947" i="178"/>
  <c r="T947" i="178"/>
  <c r="U947" i="178" s="1"/>
  <c r="W947" i="178"/>
  <c r="AD947" i="178"/>
  <c r="AE947" i="178"/>
  <c r="AF947" i="178"/>
  <c r="AG947" i="178"/>
  <c r="AH947" i="178"/>
  <c r="AI947" i="178"/>
  <c r="AJ947" i="178"/>
  <c r="AK947" i="178"/>
  <c r="AL947" i="178"/>
  <c r="AM947" i="178"/>
  <c r="AN947" i="178"/>
  <c r="AO947" i="178"/>
  <c r="B584" i="178"/>
  <c r="B174" i="178"/>
  <c r="B177" i="178"/>
  <c r="B765" i="178"/>
  <c r="B182" i="178"/>
  <c r="B670" i="178"/>
  <c r="B183" i="178"/>
  <c r="B435" i="178"/>
  <c r="B438" i="178"/>
  <c r="B439" i="178"/>
  <c r="B442" i="178"/>
  <c r="B479" i="178"/>
  <c r="B600" i="178"/>
  <c r="B480" i="178"/>
  <c r="B481" i="178"/>
  <c r="B612" i="178"/>
  <c r="B608" i="178"/>
  <c r="B193" i="178"/>
  <c r="B789" i="178"/>
  <c r="B790" i="178"/>
  <c r="B804" i="178"/>
  <c r="B805" i="178"/>
  <c r="B806" i="178"/>
  <c r="B843" i="178"/>
  <c r="B777" i="178"/>
  <c r="B844" i="178"/>
  <c r="B778" i="178"/>
  <c r="B574" i="178"/>
  <c r="B198" i="178"/>
  <c r="B860" i="178"/>
  <c r="B769" i="178"/>
  <c r="B575" i="178"/>
  <c r="B199" i="178"/>
  <c r="B861" i="178"/>
  <c r="B770" i="178"/>
  <c r="B642" i="178"/>
  <c r="B906" i="178"/>
  <c r="B271" i="178"/>
  <c r="B907" i="178"/>
  <c r="B322" i="178"/>
  <c r="B909" i="178"/>
  <c r="B771" i="178"/>
  <c r="B926" i="178"/>
  <c r="B927" i="178"/>
  <c r="B780" i="178"/>
  <c r="B644" i="178"/>
  <c r="B401" i="178"/>
  <c r="B772" i="178"/>
  <c r="B49" i="178"/>
  <c r="B411" i="178"/>
  <c r="B930" i="178"/>
  <c r="B558" i="178"/>
  <c r="B933" i="178"/>
  <c r="B717" i="178"/>
  <c r="B767" i="178"/>
  <c r="B36" i="178"/>
  <c r="B718" i="178"/>
  <c r="B969" i="178"/>
  <c r="B970" i="178"/>
  <c r="B37" i="178"/>
  <c r="B719" i="178"/>
  <c r="B971" i="178"/>
  <c r="B972" i="178"/>
  <c r="B48" i="178"/>
  <c r="B720" i="178"/>
  <c r="B973" i="178"/>
  <c r="B78" i="178"/>
  <c r="B79" i="178"/>
  <c r="B551" i="178"/>
  <c r="B552" i="178"/>
  <c r="B753" i="178"/>
  <c r="B137" i="178"/>
  <c r="B150" i="178"/>
  <c r="B151" i="178"/>
  <c r="B590" i="178"/>
  <c r="B171" i="178"/>
  <c r="B591" i="178"/>
  <c r="B1017" i="178"/>
  <c r="B176" i="178"/>
  <c r="B598" i="178"/>
  <c r="B672" i="178"/>
  <c r="B423" i="178"/>
  <c r="B441" i="178"/>
  <c r="B443" i="178"/>
  <c r="B444" i="178"/>
  <c r="B459" i="178"/>
  <c r="B460" i="178"/>
  <c r="B461" i="178"/>
  <c r="B473" i="178"/>
  <c r="B498" i="178"/>
  <c r="B603" i="178"/>
  <c r="B607" i="178"/>
  <c r="B604" i="178"/>
  <c r="B729" i="178"/>
  <c r="B189" i="178"/>
  <c r="B605" i="178"/>
  <c r="B673" i="178"/>
  <c r="B609" i="178"/>
  <c r="B610" i="178"/>
  <c r="B424" i="178"/>
  <c r="B190" i="178"/>
  <c r="B611" i="178"/>
  <c r="B773" i="178"/>
  <c r="B787" i="178"/>
  <c r="B788" i="178"/>
  <c r="B795" i="178"/>
  <c r="B616" i="178"/>
  <c r="B801" i="178"/>
  <c r="B803" i="178"/>
  <c r="B945" i="178"/>
  <c r="B197" i="178"/>
  <c r="B618" i="178"/>
  <c r="B857" i="178"/>
  <c r="B431" i="178"/>
  <c r="B826" i="178"/>
  <c r="B858" i="178"/>
  <c r="B619" i="178"/>
  <c r="B859" i="178"/>
  <c r="B827" i="178"/>
  <c r="B200" i="178"/>
  <c r="B863" i="178"/>
  <c r="B864" i="178"/>
  <c r="B865" i="178"/>
  <c r="B866" i="178"/>
  <c r="B867" i="178"/>
  <c r="B868" i="178"/>
  <c r="B871" i="178"/>
  <c r="B872" i="178"/>
  <c r="B875" i="178"/>
  <c r="B885" i="178"/>
  <c r="B886" i="178"/>
  <c r="B887" i="178"/>
  <c r="B892" i="178"/>
  <c r="B894" i="178"/>
  <c r="B895" i="178"/>
  <c r="B896" i="178"/>
  <c r="B897" i="178"/>
  <c r="B399" i="178"/>
  <c r="B31" i="178"/>
  <c r="B400" i="178"/>
  <c r="B645" i="178"/>
  <c r="B557" i="178"/>
  <c r="B32" i="178"/>
  <c r="B623" i="178"/>
  <c r="B33" i="178"/>
  <c r="B931" i="178"/>
  <c r="B934" i="178"/>
  <c r="B935" i="178"/>
  <c r="B937" i="178"/>
  <c r="B938" i="178"/>
  <c r="B946" i="178"/>
  <c r="B947" i="178"/>
  <c r="B948" i="178"/>
  <c r="B977" i="178"/>
  <c r="B1009" i="178"/>
  <c r="B88" i="178"/>
  <c r="B658" i="178"/>
  <c r="B696" i="178"/>
  <c r="B89" i="178"/>
  <c r="B453" i="178"/>
  <c r="B659" i="178"/>
  <c r="B721" i="178"/>
  <c r="B660" i="178"/>
  <c r="B697" i="178"/>
  <c r="B454" i="178"/>
  <c r="B2" i="178"/>
  <c r="B3" i="178"/>
  <c r="B4" i="178"/>
  <c r="B5" i="178"/>
  <c r="B6" i="178"/>
  <c r="B7" i="178"/>
  <c r="S977" i="178"/>
  <c r="T977" i="178"/>
  <c r="V977" i="178" s="1"/>
  <c r="W977" i="178"/>
  <c r="AD977" i="178"/>
  <c r="AE977" i="178"/>
  <c r="AF977" i="178"/>
  <c r="AG977" i="178"/>
  <c r="AH977" i="178"/>
  <c r="AI977" i="178"/>
  <c r="AJ977" i="178"/>
  <c r="AK977" i="178"/>
  <c r="AL977" i="178"/>
  <c r="AM977" i="178"/>
  <c r="AN977" i="178"/>
  <c r="AO977" i="178"/>
  <c r="S1009" i="178"/>
  <c r="T1009" i="178"/>
  <c r="V1009" i="178" s="1"/>
  <c r="W1009" i="178"/>
  <c r="AD1009" i="178"/>
  <c r="AE1009" i="178"/>
  <c r="AF1009" i="178"/>
  <c r="AG1009" i="178"/>
  <c r="AH1009" i="178"/>
  <c r="AI1009" i="178"/>
  <c r="AJ1009" i="178"/>
  <c r="AK1009" i="178"/>
  <c r="AL1009" i="178"/>
  <c r="AM1009" i="178"/>
  <c r="AN1009" i="178"/>
  <c r="AO1009" i="178"/>
  <c r="Q88" i="178"/>
  <c r="S88" i="178" s="1"/>
  <c r="T88" i="178"/>
  <c r="V88" i="178" s="1"/>
  <c r="W88" i="178"/>
  <c r="AD88" i="178"/>
  <c r="AE88" i="178"/>
  <c r="AF88" i="178"/>
  <c r="AG88" i="178"/>
  <c r="AH88" i="178"/>
  <c r="AI88" i="178"/>
  <c r="AJ88" i="178"/>
  <c r="AK88" i="178"/>
  <c r="AL88" i="178"/>
  <c r="AM88" i="178"/>
  <c r="AN88" i="178"/>
  <c r="AO88" i="178"/>
  <c r="Q658" i="178"/>
  <c r="S658" i="178" s="1"/>
  <c r="T658" i="178"/>
  <c r="V658" i="178" s="1"/>
  <c r="W658" i="178"/>
  <c r="AD658" i="178"/>
  <c r="AE658" i="178"/>
  <c r="AF658" i="178"/>
  <c r="AG658" i="178"/>
  <c r="AH658" i="178"/>
  <c r="AI658" i="178"/>
  <c r="AJ658" i="178"/>
  <c r="AK658" i="178"/>
  <c r="AL658" i="178"/>
  <c r="AM658" i="178"/>
  <c r="AN658" i="178"/>
  <c r="AO658" i="178"/>
  <c r="Q696" i="178"/>
  <c r="S696" i="178" s="1"/>
  <c r="T696" i="178"/>
  <c r="V696" i="178" s="1"/>
  <c r="W696" i="178"/>
  <c r="AD696" i="178"/>
  <c r="AE696" i="178"/>
  <c r="AF696" i="178"/>
  <c r="AG696" i="178"/>
  <c r="AH696" i="178"/>
  <c r="AI696" i="178"/>
  <c r="AJ696" i="178"/>
  <c r="AK696" i="178"/>
  <c r="AL696" i="178"/>
  <c r="AM696" i="178"/>
  <c r="AN696" i="178"/>
  <c r="AO696" i="178"/>
  <c r="Q89" i="178"/>
  <c r="S89" i="178" s="1"/>
  <c r="T89" i="178"/>
  <c r="V89" i="178" s="1"/>
  <c r="W89" i="178"/>
  <c r="AD89" i="178"/>
  <c r="AE89" i="178"/>
  <c r="AF89" i="178"/>
  <c r="AG89" i="178"/>
  <c r="AH89" i="178"/>
  <c r="AI89" i="178"/>
  <c r="AJ89" i="178"/>
  <c r="AK89" i="178"/>
  <c r="AL89" i="178"/>
  <c r="AM89" i="178"/>
  <c r="AN89" i="178"/>
  <c r="AO89" i="178"/>
  <c r="Q453" i="178"/>
  <c r="S453" i="178" s="1"/>
  <c r="T453" i="178"/>
  <c r="W453" i="178"/>
  <c r="AD453" i="178"/>
  <c r="AE453" i="178"/>
  <c r="AF453" i="178"/>
  <c r="AG453" i="178"/>
  <c r="AH453" i="178"/>
  <c r="AI453" i="178"/>
  <c r="AJ453" i="178"/>
  <c r="AK453" i="178"/>
  <c r="AL453" i="178"/>
  <c r="AM453" i="178"/>
  <c r="AN453" i="178"/>
  <c r="AO453" i="178"/>
  <c r="Q659" i="178"/>
  <c r="S659" i="178" s="1"/>
  <c r="T659" i="178"/>
  <c r="V659" i="178" s="1"/>
  <c r="W659" i="178"/>
  <c r="AD659" i="178"/>
  <c r="AE659" i="178"/>
  <c r="AF659" i="178"/>
  <c r="AG659" i="178"/>
  <c r="AH659" i="178"/>
  <c r="AI659" i="178"/>
  <c r="AJ659" i="178"/>
  <c r="AK659" i="178"/>
  <c r="AL659" i="178"/>
  <c r="AM659" i="178"/>
  <c r="AN659" i="178"/>
  <c r="AO659" i="178"/>
  <c r="Q721" i="178"/>
  <c r="S721" i="178" s="1"/>
  <c r="T721" i="178"/>
  <c r="V721" i="178" s="1"/>
  <c r="W721" i="178"/>
  <c r="AD721" i="178"/>
  <c r="AE721" i="178"/>
  <c r="AF721" i="178"/>
  <c r="AG721" i="178"/>
  <c r="AH721" i="178"/>
  <c r="AI721" i="178"/>
  <c r="AJ721" i="178"/>
  <c r="AK721" i="178"/>
  <c r="AL721" i="178"/>
  <c r="AM721" i="178"/>
  <c r="AN721" i="178"/>
  <c r="AO721" i="178"/>
  <c r="Q660" i="178"/>
  <c r="S660" i="178" s="1"/>
  <c r="T660" i="178"/>
  <c r="V660" i="178" s="1"/>
  <c r="W660" i="178"/>
  <c r="AD660" i="178"/>
  <c r="AE660" i="178"/>
  <c r="AF660" i="178"/>
  <c r="AG660" i="178"/>
  <c r="AH660" i="178"/>
  <c r="AI660" i="178"/>
  <c r="AJ660" i="178"/>
  <c r="AK660" i="178"/>
  <c r="AL660" i="178"/>
  <c r="AM660" i="178"/>
  <c r="AN660" i="178"/>
  <c r="AO660" i="178"/>
  <c r="Q697" i="178"/>
  <c r="S697" i="178" s="1"/>
  <c r="T697" i="178"/>
  <c r="V697" i="178" s="1"/>
  <c r="W697" i="178"/>
  <c r="AD697" i="178"/>
  <c r="AE697" i="178"/>
  <c r="AF697" i="178"/>
  <c r="AG697" i="178"/>
  <c r="AH697" i="178"/>
  <c r="AI697" i="178"/>
  <c r="AJ697" i="178"/>
  <c r="AK697" i="178"/>
  <c r="AL697" i="178"/>
  <c r="AM697" i="178"/>
  <c r="AN697" i="178"/>
  <c r="AO697" i="178"/>
  <c r="Q454" i="178"/>
  <c r="S454" i="178" s="1"/>
  <c r="T454" i="178"/>
  <c r="V454" i="178" s="1"/>
  <c r="W454" i="178"/>
  <c r="AD454" i="178"/>
  <c r="AE454" i="178"/>
  <c r="AF454" i="178"/>
  <c r="AG454" i="178"/>
  <c r="AH454" i="178"/>
  <c r="AI454" i="178"/>
  <c r="AJ454" i="178"/>
  <c r="AK454" i="178"/>
  <c r="AL454" i="178"/>
  <c r="AM454" i="178"/>
  <c r="AN454" i="178"/>
  <c r="AO454" i="178"/>
  <c r="S2" i="178"/>
  <c r="T2" i="178"/>
  <c r="V2" i="178" s="1"/>
  <c r="W2" i="178"/>
  <c r="X2" i="178"/>
  <c r="Y2" i="178"/>
  <c r="AA2" i="178"/>
  <c r="AD2" i="178"/>
  <c r="AE2" i="178"/>
  <c r="AF2" i="178"/>
  <c r="AG2" i="178"/>
  <c r="AH2" i="178"/>
  <c r="AI2" i="178"/>
  <c r="AJ2" i="178"/>
  <c r="AK2" i="178"/>
  <c r="AL2" i="178"/>
  <c r="AM2" i="178"/>
  <c r="AN2" i="178"/>
  <c r="AO2" i="178"/>
  <c r="S3" i="178"/>
  <c r="T3" i="178"/>
  <c r="W3" i="178"/>
  <c r="X3" i="178"/>
  <c r="Y3" i="178"/>
  <c r="AA3" i="178"/>
  <c r="AD3" i="178"/>
  <c r="AE3" i="178"/>
  <c r="AF3" i="178"/>
  <c r="AG3" i="178"/>
  <c r="AH3" i="178"/>
  <c r="AI3" i="178"/>
  <c r="AJ3" i="178"/>
  <c r="AK3" i="178"/>
  <c r="AL3" i="178"/>
  <c r="AM3" i="178"/>
  <c r="AN3" i="178"/>
  <c r="AO3" i="178"/>
  <c r="S4" i="178"/>
  <c r="T4" i="178"/>
  <c r="V4" i="178" s="1"/>
  <c r="W4" i="178"/>
  <c r="AD4" i="178"/>
  <c r="AE4" i="178"/>
  <c r="AF4" i="178"/>
  <c r="AG4" i="178"/>
  <c r="AH4" i="178"/>
  <c r="AI4" i="178"/>
  <c r="AJ4" i="178"/>
  <c r="AK4" i="178"/>
  <c r="AL4" i="178"/>
  <c r="AM4" i="178"/>
  <c r="AN4" i="178"/>
  <c r="AO4" i="178"/>
  <c r="S5" i="178"/>
  <c r="T5" i="178"/>
  <c r="V5" i="178" s="1"/>
  <c r="W5" i="178"/>
  <c r="AD5" i="178"/>
  <c r="AE5" i="178"/>
  <c r="AF5" i="178"/>
  <c r="AG5" i="178"/>
  <c r="AH5" i="178"/>
  <c r="AI5" i="178"/>
  <c r="AJ5" i="178"/>
  <c r="AK5" i="178"/>
  <c r="AL5" i="178"/>
  <c r="AM5" i="178"/>
  <c r="AN5" i="178"/>
  <c r="AO5" i="178"/>
  <c r="S6" i="178"/>
  <c r="T6" i="178"/>
  <c r="W6" i="178"/>
  <c r="AD6" i="178"/>
  <c r="AE6" i="178"/>
  <c r="AF6" i="178"/>
  <c r="AG6" i="178"/>
  <c r="AH6" i="178"/>
  <c r="AI6" i="178"/>
  <c r="AJ6" i="178"/>
  <c r="AK6" i="178"/>
  <c r="AL6" i="178"/>
  <c r="AM6" i="178"/>
  <c r="AN6" i="178"/>
  <c r="AO6" i="178"/>
  <c r="S7" i="178"/>
  <c r="T7" i="178"/>
  <c r="V7" i="178" s="1"/>
  <c r="W7" i="178"/>
  <c r="AD7" i="178"/>
  <c r="AE7" i="178"/>
  <c r="AF7" i="178"/>
  <c r="AG7" i="178"/>
  <c r="AH7" i="178"/>
  <c r="AI7" i="178"/>
  <c r="AJ7" i="178"/>
  <c r="AK7" i="178"/>
  <c r="AL7" i="178"/>
  <c r="AM7" i="178"/>
  <c r="AN7" i="178"/>
  <c r="AO7" i="178"/>
  <c r="S8" i="178"/>
  <c r="T8" i="178"/>
  <c r="V8" i="178" s="1"/>
  <c r="W8" i="178"/>
  <c r="AD8" i="178"/>
  <c r="AE8" i="178"/>
  <c r="AF8" i="178"/>
  <c r="AG8" i="178"/>
  <c r="AH8" i="178"/>
  <c r="AI8" i="178"/>
  <c r="AJ8" i="178"/>
  <c r="AK8" i="178"/>
  <c r="AL8" i="178"/>
  <c r="AM8" i="178"/>
  <c r="AN8" i="178"/>
  <c r="AO8" i="178"/>
  <c r="T9" i="178"/>
  <c r="V9" i="178" s="1"/>
  <c r="W9" i="178"/>
  <c r="AD9" i="178"/>
  <c r="AE9" i="178"/>
  <c r="AF9" i="178"/>
  <c r="AG9" i="178"/>
  <c r="AH9" i="178"/>
  <c r="AI9" i="178"/>
  <c r="AJ9" i="178"/>
  <c r="AK9" i="178"/>
  <c r="AL9" i="178"/>
  <c r="AM9" i="178"/>
  <c r="AN9" i="178"/>
  <c r="AO9" i="178"/>
  <c r="S10" i="178"/>
  <c r="T10" i="178"/>
  <c r="V10" i="178" s="1"/>
  <c r="W10" i="178"/>
  <c r="AD10" i="178"/>
  <c r="AE10" i="178"/>
  <c r="AF10" i="178"/>
  <c r="AG10" i="178"/>
  <c r="AH10" i="178"/>
  <c r="AI10" i="178"/>
  <c r="AJ10" i="178"/>
  <c r="AK10" i="178"/>
  <c r="AL10" i="178"/>
  <c r="AM10" i="178"/>
  <c r="AN10" i="178"/>
  <c r="AO10" i="178"/>
  <c r="S11" i="178"/>
  <c r="T11" i="178"/>
  <c r="W11" i="178"/>
  <c r="AD11" i="178"/>
  <c r="AE11" i="178"/>
  <c r="AF11" i="178"/>
  <c r="AG11" i="178"/>
  <c r="AH11" i="178"/>
  <c r="AI11" i="178"/>
  <c r="AJ11" i="178"/>
  <c r="AK11" i="178"/>
  <c r="AL11" i="178"/>
  <c r="AM11" i="178"/>
  <c r="AN11" i="178"/>
  <c r="AO11" i="178"/>
  <c r="S12" i="178"/>
  <c r="T12" i="178"/>
  <c r="V12" i="178" s="1"/>
  <c r="W12" i="178"/>
  <c r="AD12" i="178"/>
  <c r="AE12" i="178"/>
  <c r="AF12" i="178"/>
  <c r="AG12" i="178"/>
  <c r="AH12" i="178"/>
  <c r="AI12" i="178"/>
  <c r="AJ12" i="178"/>
  <c r="AK12" i="178"/>
  <c r="AL12" i="178"/>
  <c r="AM12" i="178"/>
  <c r="AN12" i="178"/>
  <c r="AO12" i="178"/>
  <c r="S13" i="178"/>
  <c r="T13" i="178"/>
  <c r="V13" i="178" s="1"/>
  <c r="W13" i="178"/>
  <c r="AD13" i="178"/>
  <c r="AE13" i="178"/>
  <c r="AF13" i="178"/>
  <c r="AG13" i="178"/>
  <c r="AH13" i="178"/>
  <c r="AI13" i="178"/>
  <c r="AJ13" i="178"/>
  <c r="AK13" i="178"/>
  <c r="AL13" i="178"/>
  <c r="AM13" i="178"/>
  <c r="AN13" i="178"/>
  <c r="AO13" i="178"/>
  <c r="S14" i="178"/>
  <c r="T14" i="178"/>
  <c r="W14" i="178"/>
  <c r="AD14" i="178"/>
  <c r="AE14" i="178"/>
  <c r="AF14" i="178"/>
  <c r="AG14" i="178"/>
  <c r="AH14" i="178"/>
  <c r="AI14" i="178"/>
  <c r="AJ14" i="178"/>
  <c r="AK14" i="178"/>
  <c r="AL14" i="178"/>
  <c r="AM14" i="178"/>
  <c r="AN14" i="178"/>
  <c r="AO14" i="178"/>
  <c r="S15" i="178"/>
  <c r="T15" i="178"/>
  <c r="V15" i="178" s="1"/>
  <c r="W15" i="178"/>
  <c r="AD15" i="178"/>
  <c r="AE15" i="178"/>
  <c r="AF15" i="178"/>
  <c r="AG15" i="178"/>
  <c r="AH15" i="178"/>
  <c r="AI15" i="178"/>
  <c r="AJ15" i="178"/>
  <c r="AK15" i="178"/>
  <c r="AL15" i="178"/>
  <c r="AM15" i="178"/>
  <c r="AN15" i="178"/>
  <c r="AO15" i="178"/>
  <c r="T16" i="178"/>
  <c r="V16" i="178" s="1"/>
  <c r="W16" i="178"/>
  <c r="AD16" i="178"/>
  <c r="AE16" i="178"/>
  <c r="AF16" i="178"/>
  <c r="AG16" i="178"/>
  <c r="AH16" i="178"/>
  <c r="AI16" i="178"/>
  <c r="AJ16" i="178"/>
  <c r="AK16" i="178"/>
  <c r="AL16" i="178"/>
  <c r="AM16" i="178"/>
  <c r="AN16" i="178"/>
  <c r="AO16" i="178"/>
  <c r="T17" i="178"/>
  <c r="V17" i="178" s="1"/>
  <c r="W17" i="178"/>
  <c r="AD17" i="178"/>
  <c r="AE17" i="178"/>
  <c r="AF17" i="178"/>
  <c r="AG17" i="178"/>
  <c r="AH17" i="178"/>
  <c r="AI17" i="178"/>
  <c r="AJ17" i="178"/>
  <c r="AK17" i="178"/>
  <c r="AL17" i="178"/>
  <c r="AM17" i="178"/>
  <c r="AN17" i="178"/>
  <c r="AO17" i="178"/>
  <c r="Q127" i="178"/>
  <c r="S127" i="178" s="1"/>
  <c r="T127" i="178"/>
  <c r="V127" i="178" s="1"/>
  <c r="W127" i="178"/>
  <c r="AD127" i="178"/>
  <c r="AE127" i="178"/>
  <c r="AF127" i="178"/>
  <c r="AG127" i="178"/>
  <c r="AH127" i="178"/>
  <c r="AI127" i="178"/>
  <c r="AJ127" i="178"/>
  <c r="AK127" i="178"/>
  <c r="AL127" i="178"/>
  <c r="AM127" i="178"/>
  <c r="AN127" i="178"/>
  <c r="AO127" i="178"/>
  <c r="S18" i="178"/>
  <c r="T18" i="178"/>
  <c r="V18" i="178" s="1"/>
  <c r="W18" i="178"/>
  <c r="AD18" i="178"/>
  <c r="AE18" i="178"/>
  <c r="AF18" i="178"/>
  <c r="AG18" i="178"/>
  <c r="AH18" i="178"/>
  <c r="AI18" i="178"/>
  <c r="AJ18" i="178"/>
  <c r="AK18" i="178"/>
  <c r="AL18" i="178"/>
  <c r="AM18" i="178"/>
  <c r="AN18" i="178"/>
  <c r="AO18" i="178"/>
  <c r="S19" i="178"/>
  <c r="T19" i="178"/>
  <c r="V19" i="178" s="1"/>
  <c r="W19" i="178"/>
  <c r="AD19" i="178"/>
  <c r="AE19" i="178"/>
  <c r="AF19" i="178"/>
  <c r="AG19" i="178"/>
  <c r="AH19" i="178"/>
  <c r="AI19" i="178"/>
  <c r="AJ19" i="178"/>
  <c r="AK19" i="178"/>
  <c r="AL19" i="178"/>
  <c r="AM19" i="178"/>
  <c r="AN19" i="178"/>
  <c r="AO19" i="178"/>
  <c r="S20" i="178"/>
  <c r="T20" i="178"/>
  <c r="V20" i="178" s="1"/>
  <c r="W20" i="178"/>
  <c r="AD20" i="178"/>
  <c r="AE20" i="178"/>
  <c r="AF20" i="178"/>
  <c r="AG20" i="178"/>
  <c r="AH20" i="178"/>
  <c r="AI20" i="178"/>
  <c r="AJ20" i="178"/>
  <c r="AK20" i="178"/>
  <c r="AL20" i="178"/>
  <c r="AM20" i="178"/>
  <c r="AN20" i="178"/>
  <c r="AO20" i="178"/>
  <c r="S21" i="178"/>
  <c r="T21" i="178"/>
  <c r="V21" i="178" s="1"/>
  <c r="W21" i="178"/>
  <c r="AD21" i="178"/>
  <c r="AE21" i="178"/>
  <c r="AF21" i="178"/>
  <c r="AG21" i="178"/>
  <c r="AH21" i="178"/>
  <c r="AI21" i="178"/>
  <c r="AJ21" i="178"/>
  <c r="AK21" i="178"/>
  <c r="AL21" i="178"/>
  <c r="AM21" i="178"/>
  <c r="AN21" i="178"/>
  <c r="AO21" i="178"/>
  <c r="S22" i="178"/>
  <c r="T22" i="178"/>
  <c r="V22" i="178" s="1"/>
  <c r="W22" i="178"/>
  <c r="AD22" i="178"/>
  <c r="AE22" i="178"/>
  <c r="AF22" i="178"/>
  <c r="AG22" i="178"/>
  <c r="AH22" i="178"/>
  <c r="AI22" i="178"/>
  <c r="AJ22" i="178"/>
  <c r="AK22" i="178"/>
  <c r="AL22" i="178"/>
  <c r="AM22" i="178"/>
  <c r="AN22" i="178"/>
  <c r="AO22" i="178"/>
  <c r="S23" i="178"/>
  <c r="T23" i="178"/>
  <c r="V23" i="178" s="1"/>
  <c r="W23" i="178"/>
  <c r="AD23" i="178"/>
  <c r="AE23" i="178"/>
  <c r="AF23" i="178"/>
  <c r="AG23" i="178"/>
  <c r="AH23" i="178"/>
  <c r="AI23" i="178"/>
  <c r="AJ23" i="178"/>
  <c r="AK23" i="178"/>
  <c r="AL23" i="178"/>
  <c r="AM23" i="178"/>
  <c r="AN23" i="178"/>
  <c r="AO23" i="178"/>
  <c r="S24" i="178"/>
  <c r="T24" i="178"/>
  <c r="W24" i="178"/>
  <c r="AD24" i="178"/>
  <c r="AE24" i="178"/>
  <c r="AF24" i="178"/>
  <c r="AG24" i="178"/>
  <c r="AH24" i="178"/>
  <c r="AI24" i="178"/>
  <c r="AJ24" i="178"/>
  <c r="AK24" i="178"/>
  <c r="AL24" i="178"/>
  <c r="AM24" i="178"/>
  <c r="AN24" i="178"/>
  <c r="AO24" i="178"/>
  <c r="S25" i="178"/>
  <c r="T25" i="178"/>
  <c r="V25" i="178" s="1"/>
  <c r="W25" i="178"/>
  <c r="AD25" i="178"/>
  <c r="AE25" i="178"/>
  <c r="AF25" i="178"/>
  <c r="AG25" i="178"/>
  <c r="AH25" i="178"/>
  <c r="AI25" i="178"/>
  <c r="AJ25" i="178"/>
  <c r="AK25" i="178"/>
  <c r="AL25" i="178"/>
  <c r="AM25" i="178"/>
  <c r="AN25" i="178"/>
  <c r="AO25" i="178"/>
  <c r="S28" i="178"/>
  <c r="T28" i="178"/>
  <c r="W28" i="178"/>
  <c r="AD28" i="178"/>
  <c r="AE28" i="178"/>
  <c r="AF28" i="178"/>
  <c r="AG28" i="178"/>
  <c r="AH28" i="178"/>
  <c r="AI28" i="178"/>
  <c r="AJ28" i="178"/>
  <c r="AK28" i="178"/>
  <c r="AL28" i="178"/>
  <c r="AM28" i="178"/>
  <c r="AN28" i="178"/>
  <c r="AO28" i="178"/>
  <c r="S30" i="178"/>
  <c r="T30" i="178"/>
  <c r="V30" i="178" s="1"/>
  <c r="W30" i="178"/>
  <c r="AD30" i="178"/>
  <c r="AE30" i="178"/>
  <c r="AF30" i="178"/>
  <c r="AG30" i="178"/>
  <c r="AH30" i="178"/>
  <c r="AI30" i="178"/>
  <c r="AJ30" i="178"/>
  <c r="AK30" i="178"/>
  <c r="AL30" i="178"/>
  <c r="AM30" i="178"/>
  <c r="AN30" i="178"/>
  <c r="AO30" i="178"/>
  <c r="S38" i="178"/>
  <c r="T38" i="178"/>
  <c r="U38" i="178" s="1"/>
  <c r="W38" i="178"/>
  <c r="AD38" i="178"/>
  <c r="AE38" i="178"/>
  <c r="AF38" i="178"/>
  <c r="AG38" i="178"/>
  <c r="AH38" i="178"/>
  <c r="AI38" i="178"/>
  <c r="AJ38" i="178"/>
  <c r="AK38" i="178"/>
  <c r="AL38" i="178"/>
  <c r="AM38" i="178"/>
  <c r="AN38" i="178"/>
  <c r="AO38" i="178"/>
  <c r="S39" i="178"/>
  <c r="T39" i="178"/>
  <c r="U39" i="178" s="1"/>
  <c r="W39" i="178"/>
  <c r="AD39" i="178"/>
  <c r="AE39" i="178"/>
  <c r="AF39" i="178"/>
  <c r="AG39" i="178"/>
  <c r="AH39" i="178"/>
  <c r="AI39" i="178"/>
  <c r="AJ39" i="178"/>
  <c r="AK39" i="178"/>
  <c r="AL39" i="178"/>
  <c r="AM39" i="178"/>
  <c r="AN39" i="178"/>
  <c r="AO39" i="178"/>
  <c r="Q917" i="178"/>
  <c r="S917" i="178" s="1"/>
  <c r="T917" i="178"/>
  <c r="U917" i="178" s="1"/>
  <c r="W917" i="178"/>
  <c r="AD917" i="178"/>
  <c r="AE917" i="178"/>
  <c r="AF917" i="178"/>
  <c r="AG917" i="178"/>
  <c r="AH917" i="178"/>
  <c r="AI917" i="178"/>
  <c r="AJ917" i="178"/>
  <c r="AK917" i="178"/>
  <c r="AL917" i="178"/>
  <c r="AM917" i="178"/>
  <c r="AN917" i="178"/>
  <c r="AO917" i="178"/>
  <c r="Q128" i="178"/>
  <c r="S128" i="178" s="1"/>
  <c r="T128" i="178"/>
  <c r="U128" i="178" s="1"/>
  <c r="W128" i="178"/>
  <c r="AD128" i="178"/>
  <c r="AE128" i="178"/>
  <c r="AF128" i="178"/>
  <c r="AG128" i="178"/>
  <c r="AH128" i="178"/>
  <c r="AI128" i="178"/>
  <c r="AJ128" i="178"/>
  <c r="AK128" i="178"/>
  <c r="AL128" i="178"/>
  <c r="AM128" i="178"/>
  <c r="AN128" i="178"/>
  <c r="AO128" i="178"/>
  <c r="S40" i="178"/>
  <c r="T40" i="178"/>
  <c r="U40" i="178" s="1"/>
  <c r="W40" i="178"/>
  <c r="AD40" i="178"/>
  <c r="AE40" i="178"/>
  <c r="AF40" i="178"/>
  <c r="AG40" i="178"/>
  <c r="AH40" i="178"/>
  <c r="AI40" i="178"/>
  <c r="AJ40" i="178"/>
  <c r="AK40" i="178"/>
  <c r="AL40" i="178"/>
  <c r="AM40" i="178"/>
  <c r="AN40" i="178"/>
  <c r="AO40" i="178"/>
  <c r="S41" i="178"/>
  <c r="T41" i="178"/>
  <c r="U41" i="178" s="1"/>
  <c r="W41" i="178"/>
  <c r="AD41" i="178"/>
  <c r="AE41" i="178"/>
  <c r="AF41" i="178"/>
  <c r="AG41" i="178"/>
  <c r="AH41" i="178"/>
  <c r="AI41" i="178"/>
  <c r="AJ41" i="178"/>
  <c r="AK41" i="178"/>
  <c r="AL41" i="178"/>
  <c r="AM41" i="178"/>
  <c r="AN41" i="178"/>
  <c r="AO41" i="178"/>
  <c r="Q129" i="178"/>
  <c r="S129" i="178" s="1"/>
  <c r="T129" i="178"/>
  <c r="U129" i="178" s="1"/>
  <c r="W129" i="178"/>
  <c r="AD129" i="178"/>
  <c r="AE129" i="178"/>
  <c r="AF129" i="178"/>
  <c r="AG129" i="178"/>
  <c r="AH129" i="178"/>
  <c r="AI129" i="178"/>
  <c r="AJ129" i="178"/>
  <c r="AK129" i="178"/>
  <c r="AL129" i="178"/>
  <c r="AM129" i="178"/>
  <c r="AN129" i="178"/>
  <c r="AO129" i="178"/>
  <c r="Q752" i="178"/>
  <c r="S752" i="178" s="1"/>
  <c r="T752" i="178"/>
  <c r="U752" i="178" s="1"/>
  <c r="W752" i="178"/>
  <c r="AD752" i="178"/>
  <c r="AE752" i="178"/>
  <c r="AF752" i="178"/>
  <c r="AG752" i="178"/>
  <c r="AH752" i="178"/>
  <c r="AI752" i="178"/>
  <c r="AJ752" i="178"/>
  <c r="AK752" i="178"/>
  <c r="AL752" i="178"/>
  <c r="AM752" i="178"/>
  <c r="AN752" i="178"/>
  <c r="AO752" i="178"/>
  <c r="Q515" i="178"/>
  <c r="S515" i="178" s="1"/>
  <c r="T515" i="178"/>
  <c r="U515" i="178" s="1"/>
  <c r="W515" i="178"/>
  <c r="AD515" i="178"/>
  <c r="AE515" i="178"/>
  <c r="AF515" i="178"/>
  <c r="AG515" i="178"/>
  <c r="AH515" i="178"/>
  <c r="AI515" i="178"/>
  <c r="AJ515" i="178"/>
  <c r="AK515" i="178"/>
  <c r="AL515" i="178"/>
  <c r="AM515" i="178"/>
  <c r="AN515" i="178"/>
  <c r="AO515" i="178"/>
  <c r="Q919" i="178"/>
  <c r="S919" i="178" s="1"/>
  <c r="T919" i="178"/>
  <c r="U919" i="178" s="1"/>
  <c r="W919" i="178"/>
  <c r="AD919" i="178"/>
  <c r="AE919" i="178"/>
  <c r="AF919" i="178"/>
  <c r="AG919" i="178"/>
  <c r="AH919" i="178"/>
  <c r="AI919" i="178"/>
  <c r="AJ919" i="178"/>
  <c r="AK919" i="178"/>
  <c r="AL919" i="178"/>
  <c r="AM919" i="178"/>
  <c r="AN919" i="178"/>
  <c r="AO919" i="178"/>
  <c r="Q130" i="178"/>
  <c r="S130" i="178" s="1"/>
  <c r="T130" i="178"/>
  <c r="W130" i="178"/>
  <c r="AD130" i="178"/>
  <c r="AE130" i="178"/>
  <c r="AF130" i="178"/>
  <c r="AG130" i="178"/>
  <c r="AH130" i="178"/>
  <c r="AI130" i="178"/>
  <c r="AJ130" i="178"/>
  <c r="AK130" i="178"/>
  <c r="AL130" i="178"/>
  <c r="AM130" i="178"/>
  <c r="AN130" i="178"/>
  <c r="AO130" i="178"/>
  <c r="Q539" i="178"/>
  <c r="S539" i="178" s="1"/>
  <c r="T539" i="178"/>
  <c r="W539" i="178"/>
  <c r="AD539" i="178"/>
  <c r="AE539" i="178"/>
  <c r="AF539" i="178"/>
  <c r="AG539" i="178"/>
  <c r="AH539" i="178"/>
  <c r="AI539" i="178"/>
  <c r="AJ539" i="178"/>
  <c r="AK539" i="178"/>
  <c r="AL539" i="178"/>
  <c r="AM539" i="178"/>
  <c r="AN539" i="178"/>
  <c r="AO539" i="178"/>
  <c r="Q920" i="178"/>
  <c r="S920" i="178" s="1"/>
  <c r="T920" i="178"/>
  <c r="W920" i="178"/>
  <c r="AD920" i="178"/>
  <c r="AE920" i="178"/>
  <c r="AF920" i="178"/>
  <c r="AG920" i="178"/>
  <c r="AH920" i="178"/>
  <c r="AI920" i="178"/>
  <c r="AJ920" i="178"/>
  <c r="AK920" i="178"/>
  <c r="AL920" i="178"/>
  <c r="AM920" i="178"/>
  <c r="AN920" i="178"/>
  <c r="AO920" i="178"/>
  <c r="Q131" i="178"/>
  <c r="S131" i="178" s="1"/>
  <c r="T131" i="178"/>
  <c r="W131" i="178"/>
  <c r="AD131" i="178"/>
  <c r="AE131" i="178"/>
  <c r="AF131" i="178"/>
  <c r="AG131" i="178"/>
  <c r="AH131" i="178"/>
  <c r="AI131" i="178"/>
  <c r="AJ131" i="178"/>
  <c r="AK131" i="178"/>
  <c r="AL131" i="178"/>
  <c r="AM131" i="178"/>
  <c r="AN131" i="178"/>
  <c r="AO131" i="178"/>
  <c r="Q540" i="178"/>
  <c r="S540" i="178" s="1"/>
  <c r="T540" i="178"/>
  <c r="W540" i="178"/>
  <c r="AD540" i="178"/>
  <c r="AE540" i="178"/>
  <c r="AF540" i="178"/>
  <c r="AG540" i="178"/>
  <c r="AH540" i="178"/>
  <c r="AI540" i="178"/>
  <c r="AJ540" i="178"/>
  <c r="AK540" i="178"/>
  <c r="AL540" i="178"/>
  <c r="AM540" i="178"/>
  <c r="AN540" i="178"/>
  <c r="AO540" i="178"/>
  <c r="S43" i="178"/>
  <c r="T43" i="178"/>
  <c r="W43" i="178"/>
  <c r="AD43" i="178"/>
  <c r="AE43" i="178"/>
  <c r="AF43" i="178"/>
  <c r="AG43" i="178"/>
  <c r="AH43" i="178"/>
  <c r="AI43" i="178"/>
  <c r="AJ43" i="178"/>
  <c r="AK43" i="178"/>
  <c r="AL43" i="178"/>
  <c r="AM43" i="178"/>
  <c r="AN43" i="178"/>
  <c r="AO43" i="178"/>
  <c r="S44" i="178"/>
  <c r="T44" i="178"/>
  <c r="W44" i="178"/>
  <c r="AD44" i="178"/>
  <c r="AE44" i="178"/>
  <c r="AF44" i="178"/>
  <c r="AG44" i="178"/>
  <c r="AH44" i="178"/>
  <c r="AI44" i="178"/>
  <c r="AJ44" i="178"/>
  <c r="AK44" i="178"/>
  <c r="AL44" i="178"/>
  <c r="AM44" i="178"/>
  <c r="AN44" i="178"/>
  <c r="AO44" i="178"/>
  <c r="S45" i="178"/>
  <c r="T45" i="178"/>
  <c r="W45" i="178"/>
  <c r="AD45" i="178"/>
  <c r="AE45" i="178"/>
  <c r="AF45" i="178"/>
  <c r="AG45" i="178"/>
  <c r="AH45" i="178"/>
  <c r="AI45" i="178"/>
  <c r="AJ45" i="178"/>
  <c r="AK45" i="178"/>
  <c r="AL45" i="178"/>
  <c r="AM45" i="178"/>
  <c r="AN45" i="178"/>
  <c r="AO45" i="178"/>
  <c r="S46" i="178"/>
  <c r="T46" i="178"/>
  <c r="W46" i="178"/>
  <c r="AD46" i="178"/>
  <c r="AE46" i="178"/>
  <c r="AF46" i="178"/>
  <c r="AG46" i="178"/>
  <c r="AH46" i="178"/>
  <c r="AI46" i="178"/>
  <c r="AJ46" i="178"/>
  <c r="AK46" i="178"/>
  <c r="AL46" i="178"/>
  <c r="AM46" i="178"/>
  <c r="AN46" i="178"/>
  <c r="AO46" i="178"/>
  <c r="S47" i="178"/>
  <c r="T47" i="178"/>
  <c r="W47" i="178"/>
  <c r="AD47" i="178"/>
  <c r="AE47" i="178"/>
  <c r="AF47" i="178"/>
  <c r="AG47" i="178"/>
  <c r="AH47" i="178"/>
  <c r="AI47" i="178"/>
  <c r="AJ47" i="178"/>
  <c r="AK47" i="178"/>
  <c r="AL47" i="178"/>
  <c r="AM47" i="178"/>
  <c r="AN47" i="178"/>
  <c r="AO47" i="178"/>
  <c r="S64" i="178"/>
  <c r="T64" i="178"/>
  <c r="U64" i="178" s="1"/>
  <c r="W64" i="178"/>
  <c r="AD64" i="178"/>
  <c r="AE64" i="178"/>
  <c r="AF64" i="178"/>
  <c r="AG64" i="178"/>
  <c r="AH64" i="178"/>
  <c r="AI64" i="178"/>
  <c r="AJ64" i="178"/>
  <c r="AK64" i="178"/>
  <c r="AL64" i="178"/>
  <c r="AM64" i="178"/>
  <c r="AN64" i="178"/>
  <c r="AO64" i="178"/>
  <c r="S71" i="178"/>
  <c r="T71" i="178"/>
  <c r="U71" i="178" s="1"/>
  <c r="W71" i="178"/>
  <c r="AD71" i="178"/>
  <c r="AE71" i="178"/>
  <c r="AF71" i="178"/>
  <c r="AG71" i="178"/>
  <c r="AH71" i="178"/>
  <c r="AI71" i="178"/>
  <c r="AJ71" i="178"/>
  <c r="AK71" i="178"/>
  <c r="AL71" i="178"/>
  <c r="AM71" i="178"/>
  <c r="AN71" i="178"/>
  <c r="AO71" i="178"/>
  <c r="S72" i="178"/>
  <c r="T72" i="178"/>
  <c r="U72" i="178" s="1"/>
  <c r="W72" i="178"/>
  <c r="AD72" i="178"/>
  <c r="AE72" i="178"/>
  <c r="AF72" i="178"/>
  <c r="AG72" i="178"/>
  <c r="AH72" i="178"/>
  <c r="AI72" i="178"/>
  <c r="AJ72" i="178"/>
  <c r="AK72" i="178"/>
  <c r="AL72" i="178"/>
  <c r="AM72" i="178"/>
  <c r="AN72" i="178"/>
  <c r="AO72" i="178"/>
  <c r="S73" i="178"/>
  <c r="T73" i="178"/>
  <c r="W73" i="178"/>
  <c r="AD73" i="178"/>
  <c r="AE73" i="178"/>
  <c r="AF73" i="178"/>
  <c r="AG73" i="178"/>
  <c r="AH73" i="178"/>
  <c r="AI73" i="178"/>
  <c r="AJ73" i="178"/>
  <c r="AK73" i="178"/>
  <c r="AL73" i="178"/>
  <c r="AM73" i="178"/>
  <c r="AN73" i="178"/>
  <c r="AO73" i="178"/>
  <c r="S74" i="178"/>
  <c r="T74" i="178"/>
  <c r="W74" i="178"/>
  <c r="AD74" i="178"/>
  <c r="AE74" i="178"/>
  <c r="AF74" i="178"/>
  <c r="AG74" i="178"/>
  <c r="AH74" i="178"/>
  <c r="AI74" i="178"/>
  <c r="AJ74" i="178"/>
  <c r="AK74" i="178"/>
  <c r="AL74" i="178"/>
  <c r="AM74" i="178"/>
  <c r="AN74" i="178"/>
  <c r="AO74" i="178"/>
  <c r="S75" i="178"/>
  <c r="T75" i="178"/>
  <c r="W75" i="178"/>
  <c r="AD75" i="178"/>
  <c r="AE75" i="178"/>
  <c r="AF75" i="178"/>
  <c r="AG75" i="178"/>
  <c r="AH75" i="178"/>
  <c r="AI75" i="178"/>
  <c r="AJ75" i="178"/>
  <c r="AK75" i="178"/>
  <c r="AL75" i="178"/>
  <c r="AM75" i="178"/>
  <c r="AN75" i="178"/>
  <c r="AO75" i="178"/>
  <c r="S76" i="178"/>
  <c r="T76" i="178"/>
  <c r="W76" i="178"/>
  <c r="AD76" i="178"/>
  <c r="AE76" i="178"/>
  <c r="AF76" i="178"/>
  <c r="AG76" i="178"/>
  <c r="AH76" i="178"/>
  <c r="AI76" i="178"/>
  <c r="AJ76" i="178"/>
  <c r="AK76" i="178"/>
  <c r="AL76" i="178"/>
  <c r="AM76" i="178"/>
  <c r="AN76" i="178"/>
  <c r="AO76" i="178"/>
  <c r="Q133" i="178"/>
  <c r="S133" i="178" s="1"/>
  <c r="T133" i="178"/>
  <c r="W133" i="178"/>
  <c r="AD133" i="178"/>
  <c r="AE133" i="178"/>
  <c r="AF133" i="178"/>
  <c r="AG133" i="178"/>
  <c r="AH133" i="178"/>
  <c r="AI133" i="178"/>
  <c r="AJ133" i="178"/>
  <c r="AK133" i="178"/>
  <c r="AL133" i="178"/>
  <c r="AM133" i="178"/>
  <c r="AN133" i="178"/>
  <c r="AO133" i="178"/>
  <c r="Q519" i="178"/>
  <c r="S519" i="178" s="1"/>
  <c r="T519" i="178"/>
  <c r="W519" i="178"/>
  <c r="AD519" i="178"/>
  <c r="AE519" i="178"/>
  <c r="AF519" i="178"/>
  <c r="AG519" i="178"/>
  <c r="AH519" i="178"/>
  <c r="AI519" i="178"/>
  <c r="AJ519" i="178"/>
  <c r="AK519" i="178"/>
  <c r="AL519" i="178"/>
  <c r="AM519" i="178"/>
  <c r="AN519" i="178"/>
  <c r="AO519" i="178"/>
  <c r="Q921" i="178"/>
  <c r="S921" i="178" s="1"/>
  <c r="T921" i="178"/>
  <c r="W921" i="178"/>
  <c r="AD921" i="178"/>
  <c r="AE921" i="178"/>
  <c r="AF921" i="178"/>
  <c r="AG921" i="178"/>
  <c r="AH921" i="178"/>
  <c r="AI921" i="178"/>
  <c r="AJ921" i="178"/>
  <c r="AK921" i="178"/>
  <c r="AL921" i="178"/>
  <c r="AM921" i="178"/>
  <c r="AN921" i="178"/>
  <c r="AO921" i="178"/>
  <c r="Q105" i="178"/>
  <c r="S105" i="178" s="1"/>
  <c r="T105" i="178"/>
  <c r="W105" i="178"/>
  <c r="AD105" i="178"/>
  <c r="AE105" i="178"/>
  <c r="AF105" i="178"/>
  <c r="AG105" i="178"/>
  <c r="AH105" i="178"/>
  <c r="AI105" i="178"/>
  <c r="AJ105" i="178"/>
  <c r="AK105" i="178"/>
  <c r="AL105" i="178"/>
  <c r="AM105" i="178"/>
  <c r="AN105" i="178"/>
  <c r="AO105" i="178"/>
  <c r="Q106" i="178"/>
  <c r="S106" i="178" s="1"/>
  <c r="T106" i="178"/>
  <c r="W106" i="178"/>
  <c r="AD106" i="178"/>
  <c r="AE106" i="178"/>
  <c r="AF106" i="178"/>
  <c r="AG106" i="178"/>
  <c r="AH106" i="178"/>
  <c r="AI106" i="178"/>
  <c r="AJ106" i="178"/>
  <c r="AK106" i="178"/>
  <c r="AL106" i="178"/>
  <c r="AM106" i="178"/>
  <c r="AN106" i="178"/>
  <c r="AO106" i="178"/>
  <c r="Q107" i="178"/>
  <c r="S107" i="178" s="1"/>
  <c r="T107" i="178"/>
  <c r="W107" i="178"/>
  <c r="AD107" i="178"/>
  <c r="AE107" i="178"/>
  <c r="AF107" i="178"/>
  <c r="AG107" i="178"/>
  <c r="AH107" i="178"/>
  <c r="AI107" i="178"/>
  <c r="AJ107" i="178"/>
  <c r="AK107" i="178"/>
  <c r="AL107" i="178"/>
  <c r="AM107" i="178"/>
  <c r="AN107" i="178"/>
  <c r="AO107" i="178"/>
  <c r="Q108" i="178"/>
  <c r="S108" i="178" s="1"/>
  <c r="T108" i="178"/>
  <c r="U108" i="178" s="1"/>
  <c r="W108" i="178"/>
  <c r="AD108" i="178"/>
  <c r="AE108" i="178"/>
  <c r="AF108" i="178"/>
  <c r="AG108" i="178"/>
  <c r="AH108" i="178"/>
  <c r="AI108" i="178"/>
  <c r="AJ108" i="178"/>
  <c r="AK108" i="178"/>
  <c r="AL108" i="178"/>
  <c r="AM108" i="178"/>
  <c r="AN108" i="178"/>
  <c r="AO108" i="178"/>
  <c r="Q288" i="178"/>
  <c r="S288" i="178" s="1"/>
  <c r="T288" i="178"/>
  <c r="U288" i="178" s="1"/>
  <c r="W288" i="178"/>
  <c r="AD288" i="178"/>
  <c r="AE288" i="178"/>
  <c r="AF288" i="178"/>
  <c r="AG288" i="178"/>
  <c r="AH288" i="178"/>
  <c r="AI288" i="178"/>
  <c r="AJ288" i="178"/>
  <c r="AK288" i="178"/>
  <c r="AL288" i="178"/>
  <c r="AM288" i="178"/>
  <c r="AN288" i="178"/>
  <c r="AO288" i="178"/>
  <c r="Q295" i="178"/>
  <c r="S295" i="178" s="1"/>
  <c r="T295" i="178"/>
  <c r="U295" i="178" s="1"/>
  <c r="W295" i="178"/>
  <c r="AD295" i="178"/>
  <c r="AE295" i="178"/>
  <c r="AF295" i="178"/>
  <c r="AG295" i="178"/>
  <c r="AH295" i="178"/>
  <c r="AI295" i="178"/>
  <c r="AJ295" i="178"/>
  <c r="AK295" i="178"/>
  <c r="AL295" i="178"/>
  <c r="AM295" i="178"/>
  <c r="AN295" i="178"/>
  <c r="AO295" i="178"/>
  <c r="Q134" i="178"/>
  <c r="S134" i="178" s="1"/>
  <c r="T134" i="178"/>
  <c r="W134" i="178"/>
  <c r="AD134" i="178"/>
  <c r="AE134" i="178"/>
  <c r="AF134" i="178"/>
  <c r="AG134" i="178"/>
  <c r="AH134" i="178"/>
  <c r="AI134" i="178"/>
  <c r="AJ134" i="178"/>
  <c r="AK134" i="178"/>
  <c r="AL134" i="178"/>
  <c r="AM134" i="178"/>
  <c r="AN134" i="178"/>
  <c r="AO134" i="178"/>
  <c r="Q541" i="178"/>
  <c r="S541" i="178" s="1"/>
  <c r="T541" i="178"/>
  <c r="U541" i="178" s="1"/>
  <c r="W541" i="178"/>
  <c r="AD541" i="178"/>
  <c r="AE541" i="178"/>
  <c r="AF541" i="178"/>
  <c r="AG541" i="178"/>
  <c r="AH541" i="178"/>
  <c r="AI541" i="178"/>
  <c r="AJ541" i="178"/>
  <c r="AK541" i="178"/>
  <c r="AL541" i="178"/>
  <c r="AM541" i="178"/>
  <c r="AN541" i="178"/>
  <c r="AO541" i="178"/>
  <c r="Q135" i="178"/>
  <c r="S135" i="178" s="1"/>
  <c r="T135" i="178"/>
  <c r="U135" i="178" s="1"/>
  <c r="W135" i="178"/>
  <c r="AD135" i="178"/>
  <c r="AE135" i="178"/>
  <c r="AF135" i="178"/>
  <c r="AG135" i="178"/>
  <c r="AH135" i="178"/>
  <c r="AI135" i="178"/>
  <c r="AJ135" i="178"/>
  <c r="AK135" i="178"/>
  <c r="AL135" i="178"/>
  <c r="AM135" i="178"/>
  <c r="AN135" i="178"/>
  <c r="AO135" i="178"/>
  <c r="S81" i="178"/>
  <c r="T81" i="178"/>
  <c r="W81" i="178"/>
  <c r="AD81" i="178"/>
  <c r="AE81" i="178"/>
  <c r="AF81" i="178"/>
  <c r="AG81" i="178"/>
  <c r="AH81" i="178"/>
  <c r="AI81" i="178"/>
  <c r="AJ81" i="178"/>
  <c r="AK81" i="178"/>
  <c r="AL81" i="178"/>
  <c r="AM81" i="178"/>
  <c r="AN81" i="178"/>
  <c r="AO81" i="178"/>
  <c r="S82" i="178"/>
  <c r="T82" i="178"/>
  <c r="U82" i="178" s="1"/>
  <c r="W82" i="178"/>
  <c r="AD82" i="178"/>
  <c r="AE82" i="178"/>
  <c r="AF82" i="178"/>
  <c r="AG82" i="178"/>
  <c r="AH82" i="178"/>
  <c r="AI82" i="178"/>
  <c r="AJ82" i="178"/>
  <c r="AK82" i="178"/>
  <c r="AL82" i="178"/>
  <c r="AM82" i="178"/>
  <c r="AN82" i="178"/>
  <c r="AO82" i="178"/>
  <c r="S83" i="178"/>
  <c r="T83" i="178"/>
  <c r="U83" i="178" s="1"/>
  <c r="W83" i="178"/>
  <c r="AD83" i="178"/>
  <c r="AE83" i="178"/>
  <c r="AF83" i="178"/>
  <c r="AG83" i="178"/>
  <c r="AH83" i="178"/>
  <c r="AI83" i="178"/>
  <c r="AJ83" i="178"/>
  <c r="AK83" i="178"/>
  <c r="AL83" i="178"/>
  <c r="AM83" i="178"/>
  <c r="AN83" i="178"/>
  <c r="AO83" i="178"/>
  <c r="S84" i="178"/>
  <c r="T84" i="178"/>
  <c r="U84" i="178" s="1"/>
  <c r="W84" i="178"/>
  <c r="AD84" i="178"/>
  <c r="AE84" i="178"/>
  <c r="AF84" i="178"/>
  <c r="AG84" i="178"/>
  <c r="AH84" i="178"/>
  <c r="AI84" i="178"/>
  <c r="AJ84" i="178"/>
  <c r="AK84" i="178"/>
  <c r="AL84" i="178"/>
  <c r="AM84" i="178"/>
  <c r="AN84" i="178"/>
  <c r="AO84" i="178"/>
  <c r="S85" i="178"/>
  <c r="T85" i="178"/>
  <c r="U85" i="178" s="1"/>
  <c r="W85" i="178"/>
  <c r="AD85" i="178"/>
  <c r="AE85" i="178"/>
  <c r="AF85" i="178"/>
  <c r="AG85" i="178"/>
  <c r="AH85" i="178"/>
  <c r="AI85" i="178"/>
  <c r="AJ85" i="178"/>
  <c r="AK85" i="178"/>
  <c r="AL85" i="178"/>
  <c r="AM85" i="178"/>
  <c r="AN85" i="178"/>
  <c r="AO85" i="178"/>
  <c r="S86" i="178"/>
  <c r="T86" i="178"/>
  <c r="U86" i="178" s="1"/>
  <c r="W86" i="178"/>
  <c r="AD86" i="178"/>
  <c r="AE86" i="178"/>
  <c r="AF86" i="178"/>
  <c r="AG86" i="178"/>
  <c r="AH86" i="178"/>
  <c r="AI86" i="178"/>
  <c r="AJ86" i="178"/>
  <c r="AK86" i="178"/>
  <c r="AL86" i="178"/>
  <c r="AM86" i="178"/>
  <c r="AN86" i="178"/>
  <c r="AO86" i="178"/>
  <c r="S87" i="178"/>
  <c r="T87" i="178"/>
  <c r="U87" i="178" s="1"/>
  <c r="W87" i="178"/>
  <c r="AD87" i="178"/>
  <c r="AE87" i="178"/>
  <c r="AF87" i="178"/>
  <c r="AG87" i="178"/>
  <c r="AH87" i="178"/>
  <c r="AI87" i="178"/>
  <c r="AJ87" i="178"/>
  <c r="AK87" i="178"/>
  <c r="AL87" i="178"/>
  <c r="AM87" i="178"/>
  <c r="AN87" i="178"/>
  <c r="AO87" i="178"/>
  <c r="S90" i="178"/>
  <c r="T90" i="178"/>
  <c r="U90" i="178" s="1"/>
  <c r="W90" i="178"/>
  <c r="AD90" i="178"/>
  <c r="AE90" i="178"/>
  <c r="AF90" i="178"/>
  <c r="AG90" i="178"/>
  <c r="AH90" i="178"/>
  <c r="AI90" i="178"/>
  <c r="AJ90" i="178"/>
  <c r="AK90" i="178"/>
  <c r="AL90" i="178"/>
  <c r="AM90" i="178"/>
  <c r="AN90" i="178"/>
  <c r="AO90" i="178"/>
  <c r="S91" i="178"/>
  <c r="T91" i="178"/>
  <c r="U91" i="178" s="1"/>
  <c r="W91" i="178"/>
  <c r="AD91" i="178"/>
  <c r="AE91" i="178"/>
  <c r="AF91" i="178"/>
  <c r="AG91" i="178"/>
  <c r="AH91" i="178"/>
  <c r="AI91" i="178"/>
  <c r="AJ91" i="178"/>
  <c r="AK91" i="178"/>
  <c r="AL91" i="178"/>
  <c r="AM91" i="178"/>
  <c r="AN91" i="178"/>
  <c r="AO91" i="178"/>
  <c r="S94" i="178"/>
  <c r="T94" i="178"/>
  <c r="U94" i="178" s="1"/>
  <c r="W94" i="178"/>
  <c r="AD94" i="178"/>
  <c r="AE94" i="178"/>
  <c r="AF94" i="178"/>
  <c r="AG94" i="178"/>
  <c r="AH94" i="178"/>
  <c r="AI94" i="178"/>
  <c r="AJ94" i="178"/>
  <c r="AK94" i="178"/>
  <c r="AL94" i="178"/>
  <c r="AM94" i="178"/>
  <c r="AN94" i="178"/>
  <c r="AO94" i="178"/>
  <c r="S100" i="178"/>
  <c r="T100" i="178"/>
  <c r="U100" i="178" s="1"/>
  <c r="W100" i="178"/>
  <c r="AD100" i="178"/>
  <c r="AE100" i="178"/>
  <c r="AF100" i="178"/>
  <c r="AG100" i="178"/>
  <c r="AH100" i="178"/>
  <c r="AI100" i="178"/>
  <c r="AJ100" i="178"/>
  <c r="AK100" i="178"/>
  <c r="AL100" i="178"/>
  <c r="AM100" i="178"/>
  <c r="AN100" i="178"/>
  <c r="AO100" i="178"/>
  <c r="S101" i="178"/>
  <c r="T101" i="178"/>
  <c r="U101" i="178" s="1"/>
  <c r="W101" i="178"/>
  <c r="AD101" i="178"/>
  <c r="AE101" i="178"/>
  <c r="AF101" i="178"/>
  <c r="AG101" i="178"/>
  <c r="AH101" i="178"/>
  <c r="AI101" i="178"/>
  <c r="AJ101" i="178"/>
  <c r="AK101" i="178"/>
  <c r="AL101" i="178"/>
  <c r="AM101" i="178"/>
  <c r="AN101" i="178"/>
  <c r="AO101" i="178"/>
  <c r="S102" i="178"/>
  <c r="T102" i="178"/>
  <c r="U102" i="178" s="1"/>
  <c r="W102" i="178"/>
  <c r="AD102" i="178"/>
  <c r="AE102" i="178"/>
  <c r="AF102" i="178"/>
  <c r="AG102" i="178"/>
  <c r="AH102" i="178"/>
  <c r="AI102" i="178"/>
  <c r="AJ102" i="178"/>
  <c r="AK102" i="178"/>
  <c r="AL102" i="178"/>
  <c r="AM102" i="178"/>
  <c r="AN102" i="178"/>
  <c r="AO102" i="178"/>
  <c r="S103" i="178"/>
  <c r="T103" i="178"/>
  <c r="U103" i="178" s="1"/>
  <c r="W103" i="178"/>
  <c r="AD103" i="178"/>
  <c r="AE103" i="178"/>
  <c r="AF103" i="178"/>
  <c r="AG103" i="178"/>
  <c r="AH103" i="178"/>
  <c r="AI103" i="178"/>
  <c r="AJ103" i="178"/>
  <c r="AK103" i="178"/>
  <c r="AL103" i="178"/>
  <c r="AM103" i="178"/>
  <c r="AN103" i="178"/>
  <c r="AO103" i="178"/>
  <c r="S109" i="178"/>
  <c r="T109" i="178"/>
  <c r="U109" i="178" s="1"/>
  <c r="W109" i="178"/>
  <c r="AD109" i="178"/>
  <c r="AE109" i="178"/>
  <c r="AF109" i="178"/>
  <c r="AG109" i="178"/>
  <c r="AH109" i="178"/>
  <c r="AI109" i="178"/>
  <c r="AJ109" i="178"/>
  <c r="AK109" i="178"/>
  <c r="AL109" i="178"/>
  <c r="AM109" i="178"/>
  <c r="AN109" i="178"/>
  <c r="AO109" i="178"/>
  <c r="S110" i="178"/>
  <c r="T110" i="178"/>
  <c r="U110" i="178" s="1"/>
  <c r="W110" i="178"/>
  <c r="AD110" i="178"/>
  <c r="AE110" i="178"/>
  <c r="AF110" i="178"/>
  <c r="AG110" i="178"/>
  <c r="AH110" i="178"/>
  <c r="AI110" i="178"/>
  <c r="AJ110" i="178"/>
  <c r="AK110" i="178"/>
  <c r="AL110" i="178"/>
  <c r="AM110" i="178"/>
  <c r="AN110" i="178"/>
  <c r="AO110" i="178"/>
  <c r="S111" i="178"/>
  <c r="T111" i="178"/>
  <c r="U111" i="178" s="1"/>
  <c r="W111" i="178"/>
  <c r="AD111" i="178"/>
  <c r="AE111" i="178"/>
  <c r="AF111" i="178"/>
  <c r="AG111" i="178"/>
  <c r="AH111" i="178"/>
  <c r="AI111" i="178"/>
  <c r="AJ111" i="178"/>
  <c r="AK111" i="178"/>
  <c r="AL111" i="178"/>
  <c r="AM111" i="178"/>
  <c r="AN111" i="178"/>
  <c r="AO111" i="178"/>
  <c r="S112" i="178"/>
  <c r="T112" i="178"/>
  <c r="U112" i="178" s="1"/>
  <c r="W112" i="178"/>
  <c r="AD112" i="178"/>
  <c r="AE112" i="178"/>
  <c r="AF112" i="178"/>
  <c r="AG112" i="178"/>
  <c r="AH112" i="178"/>
  <c r="AI112" i="178"/>
  <c r="AJ112" i="178"/>
  <c r="AK112" i="178"/>
  <c r="AL112" i="178"/>
  <c r="AM112" i="178"/>
  <c r="AN112" i="178"/>
  <c r="AO112" i="178"/>
  <c r="S115" i="178"/>
  <c r="T115" i="178"/>
  <c r="U115" i="178" s="1"/>
  <c r="W115" i="178"/>
  <c r="AD115" i="178"/>
  <c r="AE115" i="178"/>
  <c r="AF115" i="178"/>
  <c r="AG115" i="178"/>
  <c r="AH115" i="178"/>
  <c r="AI115" i="178"/>
  <c r="AJ115" i="178"/>
  <c r="AK115" i="178"/>
  <c r="AL115" i="178"/>
  <c r="AM115" i="178"/>
  <c r="AN115" i="178"/>
  <c r="AO115" i="178"/>
  <c r="Q299" i="178"/>
  <c r="S299" i="178" s="1"/>
  <c r="T299" i="178"/>
  <c r="U299" i="178" s="1"/>
  <c r="W299" i="178"/>
  <c r="AD299" i="178"/>
  <c r="AE299" i="178"/>
  <c r="AF299" i="178"/>
  <c r="AG299" i="178"/>
  <c r="AH299" i="178"/>
  <c r="AI299" i="178"/>
  <c r="AJ299" i="178"/>
  <c r="AK299" i="178"/>
  <c r="AL299" i="178"/>
  <c r="AM299" i="178"/>
  <c r="AN299" i="178"/>
  <c r="AO299" i="178"/>
  <c r="S119" i="178"/>
  <c r="T119" i="178"/>
  <c r="U119" i="178" s="1"/>
  <c r="W119" i="178"/>
  <c r="AD119" i="178"/>
  <c r="AE119" i="178"/>
  <c r="AF119" i="178"/>
  <c r="AG119" i="178"/>
  <c r="AH119" i="178"/>
  <c r="AI119" i="178"/>
  <c r="AJ119" i="178"/>
  <c r="AK119" i="178"/>
  <c r="AL119" i="178"/>
  <c r="AM119" i="178"/>
  <c r="AN119" i="178"/>
  <c r="AO119" i="178"/>
  <c r="Q544" i="178"/>
  <c r="S544" i="178" s="1"/>
  <c r="T544" i="178"/>
  <c r="U544" i="178" s="1"/>
  <c r="W544" i="178"/>
  <c r="AD544" i="178"/>
  <c r="AE544" i="178"/>
  <c r="AF544" i="178"/>
  <c r="AG544" i="178"/>
  <c r="AH544" i="178"/>
  <c r="AI544" i="178"/>
  <c r="AJ544" i="178"/>
  <c r="AK544" i="178"/>
  <c r="AL544" i="178"/>
  <c r="AM544" i="178"/>
  <c r="AN544" i="178"/>
  <c r="AO544" i="178"/>
  <c r="S121" i="178"/>
  <c r="T121" i="178"/>
  <c r="U121" i="178" s="1"/>
  <c r="W121" i="178"/>
  <c r="AD121" i="178"/>
  <c r="AE121" i="178"/>
  <c r="AF121" i="178"/>
  <c r="AG121" i="178"/>
  <c r="AH121" i="178"/>
  <c r="AI121" i="178"/>
  <c r="AJ121" i="178"/>
  <c r="AK121" i="178"/>
  <c r="AL121" i="178"/>
  <c r="AM121" i="178"/>
  <c r="AN121" i="178"/>
  <c r="AO121" i="178"/>
  <c r="S132" i="178"/>
  <c r="T132" i="178"/>
  <c r="U132" i="178" s="1"/>
  <c r="W132" i="178"/>
  <c r="AD132" i="178"/>
  <c r="AE132" i="178"/>
  <c r="AF132" i="178"/>
  <c r="AG132" i="178"/>
  <c r="AH132" i="178"/>
  <c r="AI132" i="178"/>
  <c r="AJ132" i="178"/>
  <c r="AK132" i="178"/>
  <c r="AL132" i="178"/>
  <c r="AM132" i="178"/>
  <c r="AN132" i="178"/>
  <c r="AO132" i="178"/>
  <c r="Q756" i="178"/>
  <c r="T756" i="178"/>
  <c r="W756" i="178"/>
  <c r="AD756" i="178"/>
  <c r="AE756" i="178"/>
  <c r="AF756" i="178"/>
  <c r="AG756" i="178"/>
  <c r="AH756" i="178"/>
  <c r="AI756" i="178"/>
  <c r="AJ756" i="178"/>
  <c r="AK756" i="178"/>
  <c r="AL756" i="178"/>
  <c r="AM756" i="178"/>
  <c r="AN756" i="178"/>
  <c r="AO756" i="178"/>
  <c r="T138" i="178"/>
  <c r="U138" i="178" s="1"/>
  <c r="W138" i="178"/>
  <c r="AD138" i="178"/>
  <c r="AE138" i="178"/>
  <c r="AF138" i="178"/>
  <c r="AG138" i="178"/>
  <c r="AH138" i="178"/>
  <c r="AI138" i="178"/>
  <c r="AJ138" i="178"/>
  <c r="AK138" i="178"/>
  <c r="AL138" i="178"/>
  <c r="AM138" i="178"/>
  <c r="AN138" i="178"/>
  <c r="AO138" i="178"/>
  <c r="Q757" i="178"/>
  <c r="T757" i="178"/>
  <c r="U757" i="178" s="1"/>
  <c r="W757" i="178"/>
  <c r="AD757" i="178"/>
  <c r="AE757" i="178"/>
  <c r="AF757" i="178"/>
  <c r="AG757" i="178"/>
  <c r="AH757" i="178"/>
  <c r="AI757" i="178"/>
  <c r="AJ757" i="178"/>
  <c r="AK757" i="178"/>
  <c r="AL757" i="178"/>
  <c r="AM757" i="178"/>
  <c r="AN757" i="178"/>
  <c r="AO757" i="178"/>
  <c r="Q300" i="178"/>
  <c r="T300" i="178"/>
  <c r="U300" i="178" s="1"/>
  <c r="W300" i="178"/>
  <c r="AD300" i="178"/>
  <c r="AE300" i="178"/>
  <c r="AF300" i="178"/>
  <c r="AG300" i="178"/>
  <c r="AH300" i="178"/>
  <c r="AI300" i="178"/>
  <c r="AJ300" i="178"/>
  <c r="AK300" i="178"/>
  <c r="AL300" i="178"/>
  <c r="AM300" i="178"/>
  <c r="AN300" i="178"/>
  <c r="AO300" i="178"/>
  <c r="Q758" i="178"/>
  <c r="T758" i="178"/>
  <c r="W758" i="178"/>
  <c r="AD758" i="178"/>
  <c r="AE758" i="178"/>
  <c r="AF758" i="178"/>
  <c r="AG758" i="178"/>
  <c r="AH758" i="178"/>
  <c r="AI758" i="178"/>
  <c r="AJ758" i="178"/>
  <c r="AK758" i="178"/>
  <c r="AL758" i="178"/>
  <c r="AM758" i="178"/>
  <c r="AN758" i="178"/>
  <c r="AO758" i="178"/>
  <c r="T220" i="178"/>
  <c r="U220" i="178" s="1"/>
  <c r="W220" i="178"/>
  <c r="AD220" i="178"/>
  <c r="AE220" i="178"/>
  <c r="AF220" i="178"/>
  <c r="AG220" i="178"/>
  <c r="AH220" i="178"/>
  <c r="AI220" i="178"/>
  <c r="AJ220" i="178"/>
  <c r="AK220" i="178"/>
  <c r="AL220" i="178"/>
  <c r="AM220" i="178"/>
  <c r="AN220" i="178"/>
  <c r="AO220" i="178"/>
  <c r="Q303" i="178"/>
  <c r="T303" i="178"/>
  <c r="U303" i="178" s="1"/>
  <c r="W303" i="178"/>
  <c r="AD303" i="178"/>
  <c r="AE303" i="178"/>
  <c r="AF303" i="178"/>
  <c r="AG303" i="178"/>
  <c r="AH303" i="178"/>
  <c r="AI303" i="178"/>
  <c r="AJ303" i="178"/>
  <c r="AK303" i="178"/>
  <c r="AL303" i="178"/>
  <c r="AM303" i="178"/>
  <c r="AN303" i="178"/>
  <c r="AO303" i="178"/>
  <c r="Q304" i="178"/>
  <c r="T304" i="178"/>
  <c r="U304" i="178" s="1"/>
  <c r="W304" i="178"/>
  <c r="AD304" i="178"/>
  <c r="AE304" i="178"/>
  <c r="AF304" i="178"/>
  <c r="AG304" i="178"/>
  <c r="AH304" i="178"/>
  <c r="AI304" i="178"/>
  <c r="AJ304" i="178"/>
  <c r="AK304" i="178"/>
  <c r="AL304" i="178"/>
  <c r="AM304" i="178"/>
  <c r="AN304" i="178"/>
  <c r="AO304" i="178"/>
  <c r="Q764" i="178"/>
  <c r="T764" i="178"/>
  <c r="W764" i="178"/>
  <c r="AD764" i="178"/>
  <c r="AE764" i="178"/>
  <c r="AF764" i="178"/>
  <c r="AG764" i="178"/>
  <c r="AH764" i="178"/>
  <c r="AI764" i="178"/>
  <c r="AJ764" i="178"/>
  <c r="AK764" i="178"/>
  <c r="AL764" i="178"/>
  <c r="AM764" i="178"/>
  <c r="AN764" i="178"/>
  <c r="AO764" i="178"/>
  <c r="Q305" i="178"/>
  <c r="T305" i="178"/>
  <c r="U305" i="178" s="1"/>
  <c r="W305" i="178"/>
  <c r="AD305" i="178"/>
  <c r="AE305" i="178"/>
  <c r="AF305" i="178"/>
  <c r="AG305" i="178"/>
  <c r="AH305" i="178"/>
  <c r="AI305" i="178"/>
  <c r="AJ305" i="178"/>
  <c r="AK305" i="178"/>
  <c r="AL305" i="178"/>
  <c r="AM305" i="178"/>
  <c r="AN305" i="178"/>
  <c r="AO305" i="178"/>
  <c r="Q306" i="178"/>
  <c r="T306" i="178"/>
  <c r="U306" i="178" s="1"/>
  <c r="W306" i="178"/>
  <c r="AD306" i="178"/>
  <c r="AE306" i="178"/>
  <c r="AF306" i="178"/>
  <c r="AG306" i="178"/>
  <c r="AH306" i="178"/>
  <c r="AI306" i="178"/>
  <c r="AJ306" i="178"/>
  <c r="AK306" i="178"/>
  <c r="AL306" i="178"/>
  <c r="AM306" i="178"/>
  <c r="AN306" i="178"/>
  <c r="AO306" i="178"/>
  <c r="Q307" i="178"/>
  <c r="T307" i="178"/>
  <c r="U307" i="178" s="1"/>
  <c r="W307" i="178"/>
  <c r="AD307" i="178"/>
  <c r="AE307" i="178"/>
  <c r="AF307" i="178"/>
  <c r="AG307" i="178"/>
  <c r="AH307" i="178"/>
  <c r="AI307" i="178"/>
  <c r="AJ307" i="178"/>
  <c r="AK307" i="178"/>
  <c r="AL307" i="178"/>
  <c r="AM307" i="178"/>
  <c r="AN307" i="178"/>
  <c r="AO307" i="178"/>
  <c r="Q581" i="178"/>
  <c r="T581" i="178"/>
  <c r="W581" i="178"/>
  <c r="AD581" i="178"/>
  <c r="AE581" i="178"/>
  <c r="AF581" i="178"/>
  <c r="AG581" i="178"/>
  <c r="AH581" i="178"/>
  <c r="AI581" i="178"/>
  <c r="AJ581" i="178"/>
  <c r="AK581" i="178"/>
  <c r="AL581" i="178"/>
  <c r="AM581" i="178"/>
  <c r="AN581" i="178"/>
  <c r="AO581" i="178"/>
  <c r="Q308" i="178"/>
  <c r="T308" i="178"/>
  <c r="U308" i="178" s="1"/>
  <c r="W308" i="178"/>
  <c r="AD308" i="178"/>
  <c r="AE308" i="178"/>
  <c r="AF308" i="178"/>
  <c r="AG308" i="178"/>
  <c r="AH308" i="178"/>
  <c r="AI308" i="178"/>
  <c r="AJ308" i="178"/>
  <c r="AK308" i="178"/>
  <c r="AL308" i="178"/>
  <c r="AM308" i="178"/>
  <c r="AN308" i="178"/>
  <c r="AO308" i="178"/>
  <c r="Q309" i="178"/>
  <c r="T309" i="178"/>
  <c r="U309" i="178" s="1"/>
  <c r="W309" i="178"/>
  <c r="AD309" i="178"/>
  <c r="AE309" i="178"/>
  <c r="AF309" i="178"/>
  <c r="AG309" i="178"/>
  <c r="AH309" i="178"/>
  <c r="AI309" i="178"/>
  <c r="AJ309" i="178"/>
  <c r="AK309" i="178"/>
  <c r="AL309" i="178"/>
  <c r="AM309" i="178"/>
  <c r="AN309" i="178"/>
  <c r="AO309" i="178"/>
  <c r="Q310" i="178"/>
  <c r="T310" i="178"/>
  <c r="W310" i="178"/>
  <c r="AD310" i="178"/>
  <c r="AE310" i="178"/>
  <c r="AF310" i="178"/>
  <c r="AG310" i="178"/>
  <c r="AH310" i="178"/>
  <c r="AI310" i="178"/>
  <c r="AJ310" i="178"/>
  <c r="AK310" i="178"/>
  <c r="AL310" i="178"/>
  <c r="AM310" i="178"/>
  <c r="AN310" i="178"/>
  <c r="AO310" i="178"/>
  <c r="Q311" i="178"/>
  <c r="T311" i="178"/>
  <c r="U311" i="178" s="1"/>
  <c r="W311" i="178"/>
  <c r="AD311" i="178"/>
  <c r="AE311" i="178"/>
  <c r="AF311" i="178"/>
  <c r="AG311" i="178"/>
  <c r="AH311" i="178"/>
  <c r="AI311" i="178"/>
  <c r="AJ311" i="178"/>
  <c r="AK311" i="178"/>
  <c r="AL311" i="178"/>
  <c r="AM311" i="178"/>
  <c r="AN311" i="178"/>
  <c r="AO311" i="178"/>
  <c r="Q582" i="178"/>
  <c r="T582" i="178"/>
  <c r="U582" i="178" s="1"/>
  <c r="W582" i="178"/>
  <c r="AD582" i="178"/>
  <c r="AE582" i="178"/>
  <c r="AF582" i="178"/>
  <c r="AG582" i="178"/>
  <c r="AH582" i="178"/>
  <c r="AI582" i="178"/>
  <c r="AJ582" i="178"/>
  <c r="AK582" i="178"/>
  <c r="AL582" i="178"/>
  <c r="AM582" i="178"/>
  <c r="AN582" i="178"/>
  <c r="AO582" i="178"/>
  <c r="Q312" i="178"/>
  <c r="T312" i="178"/>
  <c r="U312" i="178" s="1"/>
  <c r="W312" i="178"/>
  <c r="AD312" i="178"/>
  <c r="AE312" i="178"/>
  <c r="AF312" i="178"/>
  <c r="AG312" i="178"/>
  <c r="AH312" i="178"/>
  <c r="AI312" i="178"/>
  <c r="AJ312" i="178"/>
  <c r="AK312" i="178"/>
  <c r="AL312" i="178"/>
  <c r="AM312" i="178"/>
  <c r="AN312" i="178"/>
  <c r="AO312" i="178"/>
  <c r="Q157" i="178"/>
  <c r="T157" i="178"/>
  <c r="W157" i="178"/>
  <c r="AD157" i="178"/>
  <c r="AE157" i="178"/>
  <c r="AF157" i="178"/>
  <c r="AG157" i="178"/>
  <c r="AH157" i="178"/>
  <c r="AI157" i="178"/>
  <c r="AJ157" i="178"/>
  <c r="AK157" i="178"/>
  <c r="AL157" i="178"/>
  <c r="AM157" i="178"/>
  <c r="AN157" i="178"/>
  <c r="AO157" i="178"/>
  <c r="Q583" i="178"/>
  <c r="T583" i="178"/>
  <c r="U583" i="178" s="1"/>
  <c r="W583" i="178"/>
  <c r="AD583" i="178"/>
  <c r="AE583" i="178"/>
  <c r="AF583" i="178"/>
  <c r="AG583" i="178"/>
  <c r="AH583" i="178"/>
  <c r="AI583" i="178"/>
  <c r="AJ583" i="178"/>
  <c r="AK583" i="178"/>
  <c r="AL583" i="178"/>
  <c r="AM583" i="178"/>
  <c r="AN583" i="178"/>
  <c r="AO583" i="178"/>
  <c r="T184" i="178"/>
  <c r="U184" i="178" s="1"/>
  <c r="W184" i="178"/>
  <c r="AD184" i="178"/>
  <c r="AE184" i="178"/>
  <c r="AF184" i="178"/>
  <c r="AG184" i="178"/>
  <c r="AH184" i="178"/>
  <c r="AI184" i="178"/>
  <c r="AJ184" i="178"/>
  <c r="AK184" i="178"/>
  <c r="AL184" i="178"/>
  <c r="AM184" i="178"/>
  <c r="AN184" i="178"/>
  <c r="AO184" i="178"/>
  <c r="T194" i="178"/>
  <c r="U194" i="178" s="1"/>
  <c r="W194" i="178"/>
  <c r="AD194" i="178"/>
  <c r="AE194" i="178"/>
  <c r="AF194" i="178"/>
  <c r="AG194" i="178"/>
  <c r="AH194" i="178"/>
  <c r="AI194" i="178"/>
  <c r="AJ194" i="178"/>
  <c r="AK194" i="178"/>
  <c r="AL194" i="178"/>
  <c r="AM194" i="178"/>
  <c r="AN194" i="178"/>
  <c r="AO194" i="178"/>
  <c r="T208" i="178"/>
  <c r="U208" i="178" s="1"/>
  <c r="W208" i="178"/>
  <c r="AD208" i="178"/>
  <c r="AE208" i="178"/>
  <c r="AF208" i="178"/>
  <c r="AG208" i="178"/>
  <c r="AH208" i="178"/>
  <c r="AI208" i="178"/>
  <c r="AJ208" i="178"/>
  <c r="AK208" i="178"/>
  <c r="AL208" i="178"/>
  <c r="AM208" i="178"/>
  <c r="AN208" i="178"/>
  <c r="AO208" i="178"/>
  <c r="T209" i="178"/>
  <c r="U209" i="178" s="1"/>
  <c r="W209" i="178"/>
  <c r="AD209" i="178"/>
  <c r="AE209" i="178"/>
  <c r="AF209" i="178"/>
  <c r="AG209" i="178"/>
  <c r="AH209" i="178"/>
  <c r="AI209" i="178"/>
  <c r="AJ209" i="178"/>
  <c r="AK209" i="178"/>
  <c r="AL209" i="178"/>
  <c r="AM209" i="178"/>
  <c r="AN209" i="178"/>
  <c r="AO209" i="178"/>
  <c r="T210" i="178"/>
  <c r="U210" i="178" s="1"/>
  <c r="W210" i="178"/>
  <c r="AD210" i="178"/>
  <c r="AE210" i="178"/>
  <c r="AF210" i="178"/>
  <c r="AG210" i="178"/>
  <c r="AH210" i="178"/>
  <c r="AI210" i="178"/>
  <c r="AJ210" i="178"/>
  <c r="AK210" i="178"/>
  <c r="AL210" i="178"/>
  <c r="AM210" i="178"/>
  <c r="AN210" i="178"/>
  <c r="AO210" i="178"/>
  <c r="T211" i="178"/>
  <c r="U211" i="178" s="1"/>
  <c r="W211" i="178"/>
  <c r="AD211" i="178"/>
  <c r="AE211" i="178"/>
  <c r="AF211" i="178"/>
  <c r="AG211" i="178"/>
  <c r="AH211" i="178"/>
  <c r="AI211" i="178"/>
  <c r="AJ211" i="178"/>
  <c r="AK211" i="178"/>
  <c r="AL211" i="178"/>
  <c r="AM211" i="178"/>
  <c r="AN211" i="178"/>
  <c r="AO211" i="178"/>
  <c r="T212" i="178"/>
  <c r="U212" i="178" s="1"/>
  <c r="W212" i="178"/>
  <c r="AD212" i="178"/>
  <c r="AE212" i="178"/>
  <c r="AF212" i="178"/>
  <c r="AG212" i="178"/>
  <c r="AH212" i="178"/>
  <c r="AI212" i="178"/>
  <c r="AJ212" i="178"/>
  <c r="AK212" i="178"/>
  <c r="AL212" i="178"/>
  <c r="AM212" i="178"/>
  <c r="AN212" i="178"/>
  <c r="AO212" i="178"/>
  <c r="T213" i="178"/>
  <c r="U213" i="178" s="1"/>
  <c r="W213" i="178"/>
  <c r="AD213" i="178"/>
  <c r="AE213" i="178"/>
  <c r="AF213" i="178"/>
  <c r="AG213" i="178"/>
  <c r="AH213" i="178"/>
  <c r="AI213" i="178"/>
  <c r="AJ213" i="178"/>
  <c r="AK213" i="178"/>
  <c r="AL213" i="178"/>
  <c r="AM213" i="178"/>
  <c r="AN213" i="178"/>
  <c r="AO213" i="178"/>
  <c r="T214" i="178"/>
  <c r="U214" i="178" s="1"/>
  <c r="W214" i="178"/>
  <c r="AD214" i="178"/>
  <c r="AE214" i="178"/>
  <c r="AF214" i="178"/>
  <c r="AG214" i="178"/>
  <c r="AH214" i="178"/>
  <c r="AI214" i="178"/>
  <c r="AJ214" i="178"/>
  <c r="AK214" i="178"/>
  <c r="AL214" i="178"/>
  <c r="AM214" i="178"/>
  <c r="AN214" i="178"/>
  <c r="AO214" i="178"/>
  <c r="T215" i="178"/>
  <c r="U215" i="178" s="1"/>
  <c r="W215" i="178"/>
  <c r="AD215" i="178"/>
  <c r="AE215" i="178"/>
  <c r="AF215" i="178"/>
  <c r="AG215" i="178"/>
  <c r="AH215" i="178"/>
  <c r="AI215" i="178"/>
  <c r="AJ215" i="178"/>
  <c r="AK215" i="178"/>
  <c r="AL215" i="178"/>
  <c r="AM215" i="178"/>
  <c r="AN215" i="178"/>
  <c r="AO215" i="178"/>
  <c r="T216" i="178"/>
  <c r="U216" i="178" s="1"/>
  <c r="W216" i="178"/>
  <c r="AD216" i="178"/>
  <c r="AE216" i="178"/>
  <c r="AF216" i="178"/>
  <c r="AG216" i="178"/>
  <c r="AH216" i="178"/>
  <c r="AI216" i="178"/>
  <c r="AJ216" i="178"/>
  <c r="AK216" i="178"/>
  <c r="AL216" i="178"/>
  <c r="AM216" i="178"/>
  <c r="AN216" i="178"/>
  <c r="AO216" i="178"/>
  <c r="T217" i="178"/>
  <c r="U217" i="178" s="1"/>
  <c r="W217" i="178"/>
  <c r="AD217" i="178"/>
  <c r="AE217" i="178"/>
  <c r="AF217" i="178"/>
  <c r="AG217" i="178"/>
  <c r="AH217" i="178"/>
  <c r="AI217" i="178"/>
  <c r="AJ217" i="178"/>
  <c r="AK217" i="178"/>
  <c r="AL217" i="178"/>
  <c r="AM217" i="178"/>
  <c r="AN217" i="178"/>
  <c r="AO217" i="178"/>
  <c r="T218" i="178"/>
  <c r="U218" i="178" s="1"/>
  <c r="W218" i="178"/>
  <c r="AD218" i="178"/>
  <c r="AE218" i="178"/>
  <c r="AF218" i="178"/>
  <c r="AG218" i="178"/>
  <c r="AH218" i="178"/>
  <c r="AI218" i="178"/>
  <c r="AJ218" i="178"/>
  <c r="AK218" i="178"/>
  <c r="AL218" i="178"/>
  <c r="AM218" i="178"/>
  <c r="AN218" i="178"/>
  <c r="AO218" i="178"/>
  <c r="Q153" i="178"/>
  <c r="T153" i="178"/>
  <c r="U153" i="178" s="1"/>
  <c r="W153" i="178"/>
  <c r="AD153" i="178"/>
  <c r="AE153" i="178"/>
  <c r="AF153" i="178"/>
  <c r="AG153" i="178"/>
  <c r="AH153" i="178"/>
  <c r="AI153" i="178"/>
  <c r="AJ153" i="178"/>
  <c r="AK153" i="178"/>
  <c r="AL153" i="178"/>
  <c r="AM153" i="178"/>
  <c r="AN153" i="178"/>
  <c r="AO153" i="178"/>
  <c r="Q545" i="178"/>
  <c r="T545" i="178"/>
  <c r="U545" i="178" s="1"/>
  <c r="W545" i="178"/>
  <c r="AD545" i="178"/>
  <c r="AE545" i="178"/>
  <c r="AF545" i="178"/>
  <c r="AG545" i="178"/>
  <c r="AH545" i="178"/>
  <c r="AI545" i="178"/>
  <c r="AJ545" i="178"/>
  <c r="AK545" i="178"/>
  <c r="AL545" i="178"/>
  <c r="AM545" i="178"/>
  <c r="AN545" i="178"/>
  <c r="AO545" i="178"/>
  <c r="Q548" i="178"/>
  <c r="T548" i="178"/>
  <c r="U548" i="178" s="1"/>
  <c r="W548" i="178"/>
  <c r="AD548" i="178"/>
  <c r="AE548" i="178"/>
  <c r="AF548" i="178"/>
  <c r="AG548" i="178"/>
  <c r="AH548" i="178"/>
  <c r="AI548" i="178"/>
  <c r="AJ548" i="178"/>
  <c r="AK548" i="178"/>
  <c r="AL548" i="178"/>
  <c r="AM548" i="178"/>
  <c r="AN548" i="178"/>
  <c r="AO548" i="178"/>
  <c r="Q549" i="178"/>
  <c r="S549" i="178" s="1"/>
  <c r="T549" i="178"/>
  <c r="U549" i="178" s="1"/>
  <c r="W549" i="178"/>
  <c r="AD549" i="178"/>
  <c r="AE549" i="178"/>
  <c r="AF549" i="178"/>
  <c r="AG549" i="178"/>
  <c r="AH549" i="178"/>
  <c r="AI549" i="178"/>
  <c r="AJ549" i="178"/>
  <c r="AK549" i="178"/>
  <c r="AL549" i="178"/>
  <c r="AM549" i="178"/>
  <c r="AN549" i="178"/>
  <c r="AO549" i="178"/>
  <c r="Q766" i="178"/>
  <c r="S766" i="178" s="1"/>
  <c r="T766" i="178"/>
  <c r="U766" i="178" s="1"/>
  <c r="W766" i="178"/>
  <c r="AD766" i="178"/>
  <c r="AE766" i="178"/>
  <c r="AF766" i="178"/>
  <c r="AG766" i="178"/>
  <c r="AH766" i="178"/>
  <c r="AI766" i="178"/>
  <c r="AJ766" i="178"/>
  <c r="AK766" i="178"/>
  <c r="AL766" i="178"/>
  <c r="AM766" i="178"/>
  <c r="AN766" i="178"/>
  <c r="AO766" i="178"/>
  <c r="Q66" i="178"/>
  <c r="S66" i="178" s="1"/>
  <c r="T66" i="178"/>
  <c r="W66" i="178"/>
  <c r="AD66" i="178"/>
  <c r="AE66" i="178"/>
  <c r="AF66" i="178"/>
  <c r="AG66" i="178"/>
  <c r="AH66" i="178"/>
  <c r="AI66" i="178"/>
  <c r="AJ66" i="178"/>
  <c r="AK66" i="178"/>
  <c r="AL66" i="178"/>
  <c r="AM66" i="178"/>
  <c r="AN66" i="178"/>
  <c r="AO66" i="178"/>
  <c r="Q67" i="178"/>
  <c r="S67" i="178" s="1"/>
  <c r="T67" i="178"/>
  <c r="U67" i="178" s="1"/>
  <c r="W67" i="178"/>
  <c r="AD67" i="178"/>
  <c r="AE67" i="178"/>
  <c r="AF67" i="178"/>
  <c r="AG67" i="178"/>
  <c r="AH67" i="178"/>
  <c r="AI67" i="178"/>
  <c r="AJ67" i="178"/>
  <c r="AK67" i="178"/>
  <c r="AL67" i="178"/>
  <c r="AM67" i="178"/>
  <c r="AN67" i="178"/>
  <c r="AO67" i="178"/>
  <c r="Q68" i="178"/>
  <c r="S68" i="178" s="1"/>
  <c r="T68" i="178"/>
  <c r="U68" i="178" s="1"/>
  <c r="W68" i="178"/>
  <c r="AD68" i="178"/>
  <c r="AE68" i="178"/>
  <c r="AF68" i="178"/>
  <c r="AG68" i="178"/>
  <c r="AH68" i="178"/>
  <c r="AI68" i="178"/>
  <c r="AJ68" i="178"/>
  <c r="AK68" i="178"/>
  <c r="AL68" i="178"/>
  <c r="AM68" i="178"/>
  <c r="AN68" i="178"/>
  <c r="AO68" i="178"/>
  <c r="Q69" i="178"/>
  <c r="T69" i="178"/>
  <c r="U69" i="178" s="1"/>
  <c r="W69" i="178"/>
  <c r="AD69" i="178"/>
  <c r="AE69" i="178"/>
  <c r="AF69" i="178"/>
  <c r="AG69" i="178"/>
  <c r="AH69" i="178"/>
  <c r="AI69" i="178"/>
  <c r="AJ69" i="178"/>
  <c r="AK69" i="178"/>
  <c r="AL69" i="178"/>
  <c r="AM69" i="178"/>
  <c r="AN69" i="178"/>
  <c r="AO69" i="178"/>
  <c r="Q116" i="178"/>
  <c r="S116" i="178" s="1"/>
  <c r="T116" i="178"/>
  <c r="W116" i="178"/>
  <c r="AD116" i="178"/>
  <c r="AE116" i="178"/>
  <c r="AF116" i="178"/>
  <c r="AG116" i="178"/>
  <c r="AH116" i="178"/>
  <c r="AI116" i="178"/>
  <c r="AJ116" i="178"/>
  <c r="AK116" i="178"/>
  <c r="AL116" i="178"/>
  <c r="AM116" i="178"/>
  <c r="AN116" i="178"/>
  <c r="AO116" i="178"/>
  <c r="Q117" i="178"/>
  <c r="S117" i="178" s="1"/>
  <c r="T117" i="178"/>
  <c r="V117" i="178" s="1"/>
  <c r="W117" i="178"/>
  <c r="AD117" i="178"/>
  <c r="AE117" i="178"/>
  <c r="AF117" i="178"/>
  <c r="AG117" i="178"/>
  <c r="AH117" i="178"/>
  <c r="AI117" i="178"/>
  <c r="AJ117" i="178"/>
  <c r="AK117" i="178"/>
  <c r="AL117" i="178"/>
  <c r="AM117" i="178"/>
  <c r="AN117" i="178"/>
  <c r="AO117" i="178"/>
  <c r="Q118" i="178"/>
  <c r="S118" i="178" s="1"/>
  <c r="T118" i="178"/>
  <c r="V118" i="178" s="1"/>
  <c r="W118" i="178"/>
  <c r="AD118" i="178"/>
  <c r="AE118" i="178"/>
  <c r="AF118" i="178"/>
  <c r="AG118" i="178"/>
  <c r="AH118" i="178"/>
  <c r="AI118" i="178"/>
  <c r="AJ118" i="178"/>
  <c r="AK118" i="178"/>
  <c r="AL118" i="178"/>
  <c r="AM118" i="178"/>
  <c r="AN118" i="178"/>
  <c r="AO118" i="178"/>
  <c r="Q313" i="178"/>
  <c r="T313" i="178"/>
  <c r="U313" i="178" s="1"/>
  <c r="W313" i="178"/>
  <c r="AD313" i="178"/>
  <c r="AE313" i="178"/>
  <c r="AF313" i="178"/>
  <c r="AG313" i="178"/>
  <c r="AH313" i="178"/>
  <c r="AI313" i="178"/>
  <c r="AJ313" i="178"/>
  <c r="AK313" i="178"/>
  <c r="AL313" i="178"/>
  <c r="AM313" i="178"/>
  <c r="AN313" i="178"/>
  <c r="AO313" i="178"/>
  <c r="Q314" i="178"/>
  <c r="S314" i="178" s="1"/>
  <c r="T314" i="178"/>
  <c r="W314" i="178"/>
  <c r="AD314" i="178"/>
  <c r="AE314" i="178"/>
  <c r="AF314" i="178"/>
  <c r="AG314" i="178"/>
  <c r="AH314" i="178"/>
  <c r="AI314" i="178"/>
  <c r="AJ314" i="178"/>
  <c r="AK314" i="178"/>
  <c r="AL314" i="178"/>
  <c r="AM314" i="178"/>
  <c r="AN314" i="178"/>
  <c r="AO314" i="178"/>
  <c r="Q903" i="178"/>
  <c r="T903" i="178"/>
  <c r="W903" i="178"/>
  <c r="AD903" i="178"/>
  <c r="AE903" i="178"/>
  <c r="AF903" i="178"/>
  <c r="AG903" i="178"/>
  <c r="AH903" i="178"/>
  <c r="AI903" i="178"/>
  <c r="AJ903" i="178"/>
  <c r="AK903" i="178"/>
  <c r="AL903" i="178"/>
  <c r="AM903" i="178"/>
  <c r="AN903" i="178"/>
  <c r="AO903" i="178"/>
  <c r="Q158" i="178"/>
  <c r="T158" i="178"/>
  <c r="U158" i="178" s="1"/>
  <c r="W158" i="178"/>
  <c r="AD158" i="178"/>
  <c r="AE158" i="178"/>
  <c r="AF158" i="178"/>
  <c r="AG158" i="178"/>
  <c r="AH158" i="178"/>
  <c r="AI158" i="178"/>
  <c r="AJ158" i="178"/>
  <c r="AK158" i="178"/>
  <c r="AL158" i="178"/>
  <c r="AM158" i="178"/>
  <c r="AN158" i="178"/>
  <c r="AO158" i="178"/>
  <c r="S233" i="178"/>
  <c r="T233" i="178"/>
  <c r="W233" i="178"/>
  <c r="AD233" i="178"/>
  <c r="AE233" i="178"/>
  <c r="AF233" i="178"/>
  <c r="AG233" i="178"/>
  <c r="AH233" i="178"/>
  <c r="AI233" i="178"/>
  <c r="AJ233" i="178"/>
  <c r="AK233" i="178"/>
  <c r="AL233" i="178"/>
  <c r="AM233" i="178"/>
  <c r="AN233" i="178"/>
  <c r="AO233" i="178"/>
  <c r="S234" i="178"/>
  <c r="T234" i="178"/>
  <c r="W234" i="178"/>
  <c r="AD234" i="178"/>
  <c r="AE234" i="178"/>
  <c r="AF234" i="178"/>
  <c r="AG234" i="178"/>
  <c r="AH234" i="178"/>
  <c r="AI234" i="178"/>
  <c r="AJ234" i="178"/>
  <c r="AK234" i="178"/>
  <c r="AL234" i="178"/>
  <c r="AM234" i="178"/>
  <c r="AN234" i="178"/>
  <c r="AO234" i="178"/>
  <c r="Q988" i="178"/>
  <c r="S988" i="178" s="1"/>
  <c r="T988" i="178"/>
  <c r="V988" i="178" s="1"/>
  <c r="W988" i="178"/>
  <c r="AD988" i="178"/>
  <c r="AE988" i="178"/>
  <c r="AF988" i="178"/>
  <c r="AG988" i="178"/>
  <c r="AH988" i="178"/>
  <c r="AI988" i="178"/>
  <c r="AJ988" i="178"/>
  <c r="AK988" i="178"/>
  <c r="AL988" i="178"/>
  <c r="AM988" i="178"/>
  <c r="AN988" i="178"/>
  <c r="AO988" i="178"/>
  <c r="Q585" i="178"/>
  <c r="T585" i="178"/>
  <c r="U585" i="178" s="1"/>
  <c r="W585" i="178"/>
  <c r="AD585" i="178"/>
  <c r="AE585" i="178"/>
  <c r="AF585" i="178"/>
  <c r="AG585" i="178"/>
  <c r="AH585" i="178"/>
  <c r="AI585" i="178"/>
  <c r="AJ585" i="178"/>
  <c r="AK585" i="178"/>
  <c r="AL585" i="178"/>
  <c r="AM585" i="178"/>
  <c r="AN585" i="178"/>
  <c r="AO585" i="178"/>
  <c r="Q989" i="178"/>
  <c r="S989" i="178" s="1"/>
  <c r="T989" i="178"/>
  <c r="U989" i="178" s="1"/>
  <c r="W989" i="178"/>
  <c r="AD989" i="178"/>
  <c r="AE989" i="178"/>
  <c r="AF989" i="178"/>
  <c r="AG989" i="178"/>
  <c r="AH989" i="178"/>
  <c r="AI989" i="178"/>
  <c r="AJ989" i="178"/>
  <c r="AK989" i="178"/>
  <c r="AL989" i="178"/>
  <c r="AM989" i="178"/>
  <c r="AN989" i="178"/>
  <c r="AO989" i="178"/>
  <c r="Q586" i="178"/>
  <c r="S586" i="178" s="1"/>
  <c r="T586" i="178"/>
  <c r="U586" i="178" s="1"/>
  <c r="W586" i="178"/>
  <c r="AD586" i="178"/>
  <c r="AE586" i="178"/>
  <c r="AF586" i="178"/>
  <c r="AG586" i="178"/>
  <c r="AH586" i="178"/>
  <c r="AI586" i="178"/>
  <c r="AJ586" i="178"/>
  <c r="AK586" i="178"/>
  <c r="AL586" i="178"/>
  <c r="AM586" i="178"/>
  <c r="AN586" i="178"/>
  <c r="AO586" i="178"/>
  <c r="S238" i="178"/>
  <c r="T238" i="178"/>
  <c r="W238" i="178"/>
  <c r="AD238" i="178"/>
  <c r="AE238" i="178"/>
  <c r="AF238" i="178"/>
  <c r="AG238" i="178"/>
  <c r="AH238" i="178"/>
  <c r="AI238" i="178"/>
  <c r="AJ238" i="178"/>
  <c r="AK238" i="178"/>
  <c r="AL238" i="178"/>
  <c r="AM238" i="178"/>
  <c r="AN238" i="178"/>
  <c r="AO238" i="178"/>
  <c r="S240" i="178"/>
  <c r="T240" i="178"/>
  <c r="W240" i="178"/>
  <c r="AD240" i="178"/>
  <c r="AE240" i="178"/>
  <c r="AF240" i="178"/>
  <c r="AG240" i="178"/>
  <c r="AH240" i="178"/>
  <c r="AI240" i="178"/>
  <c r="AJ240" i="178"/>
  <c r="AK240" i="178"/>
  <c r="AL240" i="178"/>
  <c r="AM240" i="178"/>
  <c r="AN240" i="178"/>
  <c r="AO240" i="178"/>
  <c r="S242" i="178"/>
  <c r="T242" i="178"/>
  <c r="U242" i="178" s="1"/>
  <c r="W242" i="178"/>
  <c r="AD242" i="178"/>
  <c r="AE242" i="178"/>
  <c r="AF242" i="178"/>
  <c r="AG242" i="178"/>
  <c r="AH242" i="178"/>
  <c r="AI242" i="178"/>
  <c r="AJ242" i="178"/>
  <c r="AK242" i="178"/>
  <c r="AL242" i="178"/>
  <c r="AM242" i="178"/>
  <c r="AN242" i="178"/>
  <c r="AO242" i="178"/>
  <c r="S243" i="178"/>
  <c r="T243" i="178"/>
  <c r="U243" i="178" s="1"/>
  <c r="W243" i="178"/>
  <c r="AD243" i="178"/>
  <c r="AE243" i="178"/>
  <c r="AF243" i="178"/>
  <c r="AG243" i="178"/>
  <c r="AH243" i="178"/>
  <c r="AI243" i="178"/>
  <c r="AJ243" i="178"/>
  <c r="AK243" i="178"/>
  <c r="AL243" i="178"/>
  <c r="AM243" i="178"/>
  <c r="AN243" i="178"/>
  <c r="AO243" i="178"/>
  <c r="Q990" i="178"/>
  <c r="T990" i="178"/>
  <c r="U990" i="178" s="1"/>
  <c r="W990" i="178"/>
  <c r="AD990" i="178"/>
  <c r="AE990" i="178"/>
  <c r="AF990" i="178"/>
  <c r="AG990" i="178"/>
  <c r="AH990" i="178"/>
  <c r="AI990" i="178"/>
  <c r="AJ990" i="178"/>
  <c r="AK990" i="178"/>
  <c r="AL990" i="178"/>
  <c r="AM990" i="178"/>
  <c r="AN990" i="178"/>
  <c r="AO990" i="178"/>
  <c r="Q587" i="178"/>
  <c r="S587" i="178" s="1"/>
  <c r="T587" i="178"/>
  <c r="U587" i="178" s="1"/>
  <c r="W587" i="178"/>
  <c r="AD587" i="178"/>
  <c r="AE587" i="178"/>
  <c r="AF587" i="178"/>
  <c r="AG587" i="178"/>
  <c r="AH587" i="178"/>
  <c r="AI587" i="178"/>
  <c r="AJ587" i="178"/>
  <c r="AK587" i="178"/>
  <c r="AL587" i="178"/>
  <c r="AM587" i="178"/>
  <c r="AN587" i="178"/>
  <c r="AO587" i="178"/>
  <c r="S244" i="178"/>
  <c r="T244" i="178"/>
  <c r="U244" i="178" s="1"/>
  <c r="W244" i="178"/>
  <c r="AD244" i="178"/>
  <c r="AE244" i="178"/>
  <c r="AF244" i="178"/>
  <c r="AG244" i="178"/>
  <c r="AH244" i="178"/>
  <c r="AI244" i="178"/>
  <c r="AJ244" i="178"/>
  <c r="AK244" i="178"/>
  <c r="AL244" i="178"/>
  <c r="AM244" i="178"/>
  <c r="AN244" i="178"/>
  <c r="AO244" i="178"/>
  <c r="S245" i="178"/>
  <c r="T245" i="178"/>
  <c r="U245" i="178" s="1"/>
  <c r="W245" i="178"/>
  <c r="AD245" i="178"/>
  <c r="AE245" i="178"/>
  <c r="AF245" i="178"/>
  <c r="AG245" i="178"/>
  <c r="AH245" i="178"/>
  <c r="AI245" i="178"/>
  <c r="AJ245" i="178"/>
  <c r="AK245" i="178"/>
  <c r="AL245" i="178"/>
  <c r="AM245" i="178"/>
  <c r="AN245" i="178"/>
  <c r="AO245" i="178"/>
  <c r="T239" i="178"/>
  <c r="U239" i="178" s="1"/>
  <c r="W239" i="178"/>
  <c r="AD239" i="178"/>
  <c r="AE239" i="178"/>
  <c r="AF239" i="178"/>
  <c r="AG239" i="178"/>
  <c r="AH239" i="178"/>
  <c r="AI239" i="178"/>
  <c r="AJ239" i="178"/>
  <c r="AK239" i="178"/>
  <c r="AL239" i="178"/>
  <c r="AM239" i="178"/>
  <c r="AN239" i="178"/>
  <c r="AO239" i="178"/>
  <c r="Q991" i="178"/>
  <c r="S991" i="178" s="1"/>
  <c r="T991" i="178"/>
  <c r="U991" i="178" s="1"/>
  <c r="W991" i="178"/>
  <c r="AD991" i="178"/>
  <c r="AE991" i="178"/>
  <c r="AF991" i="178"/>
  <c r="AG991" i="178"/>
  <c r="AH991" i="178"/>
  <c r="AI991" i="178"/>
  <c r="AJ991" i="178"/>
  <c r="AK991" i="178"/>
  <c r="AL991" i="178"/>
  <c r="AM991" i="178"/>
  <c r="AN991" i="178"/>
  <c r="AO991" i="178"/>
  <c r="Q588" i="178"/>
  <c r="S588" i="178" s="1"/>
  <c r="T588" i="178"/>
  <c r="U588" i="178" s="1"/>
  <c r="W588" i="178"/>
  <c r="AD588" i="178"/>
  <c r="AE588" i="178"/>
  <c r="AF588" i="178"/>
  <c r="AG588" i="178"/>
  <c r="AH588" i="178"/>
  <c r="AI588" i="178"/>
  <c r="AJ588" i="178"/>
  <c r="AK588" i="178"/>
  <c r="AL588" i="178"/>
  <c r="AM588" i="178"/>
  <c r="AN588" i="178"/>
  <c r="AO588" i="178"/>
  <c r="S259" i="178"/>
  <c r="T259" i="178"/>
  <c r="U259" i="178" s="1"/>
  <c r="W259" i="178"/>
  <c r="AD259" i="178"/>
  <c r="AE259" i="178"/>
  <c r="AF259" i="178"/>
  <c r="AG259" i="178"/>
  <c r="AH259" i="178"/>
  <c r="AI259" i="178"/>
  <c r="AJ259" i="178"/>
  <c r="AK259" i="178"/>
  <c r="AL259" i="178"/>
  <c r="AM259" i="178"/>
  <c r="AN259" i="178"/>
  <c r="AO259" i="178"/>
  <c r="T260" i="178"/>
  <c r="U260" i="178" s="1"/>
  <c r="W260" i="178"/>
  <c r="AD260" i="178"/>
  <c r="AE260" i="178"/>
  <c r="AF260" i="178"/>
  <c r="AG260" i="178"/>
  <c r="AH260" i="178"/>
  <c r="AI260" i="178"/>
  <c r="AJ260" i="178"/>
  <c r="AK260" i="178"/>
  <c r="AL260" i="178"/>
  <c r="AM260" i="178"/>
  <c r="AN260" i="178"/>
  <c r="AO260" i="178"/>
  <c r="S261" i="178"/>
  <c r="T261" i="178"/>
  <c r="U261" i="178" s="1"/>
  <c r="W261" i="178"/>
  <c r="AD261" i="178"/>
  <c r="AE261" i="178"/>
  <c r="AF261" i="178"/>
  <c r="AG261" i="178"/>
  <c r="AH261" i="178"/>
  <c r="AI261" i="178"/>
  <c r="AJ261" i="178"/>
  <c r="AK261" i="178"/>
  <c r="AL261" i="178"/>
  <c r="AM261" i="178"/>
  <c r="AN261" i="178"/>
  <c r="AO261" i="178"/>
  <c r="S262" i="178"/>
  <c r="T262" i="178"/>
  <c r="U262" i="178" s="1"/>
  <c r="W262" i="178"/>
  <c r="AD262" i="178"/>
  <c r="AE262" i="178"/>
  <c r="AF262" i="178"/>
  <c r="AG262" i="178"/>
  <c r="AH262" i="178"/>
  <c r="AI262" i="178"/>
  <c r="AJ262" i="178"/>
  <c r="AK262" i="178"/>
  <c r="AL262" i="178"/>
  <c r="AM262" i="178"/>
  <c r="AN262" i="178"/>
  <c r="AO262" i="178"/>
  <c r="T267" i="178"/>
  <c r="U267" i="178" s="1"/>
  <c r="W267" i="178"/>
  <c r="AD267" i="178"/>
  <c r="AE267" i="178"/>
  <c r="AF267" i="178"/>
  <c r="AG267" i="178"/>
  <c r="AH267" i="178"/>
  <c r="AI267" i="178"/>
  <c r="AJ267" i="178"/>
  <c r="AK267" i="178"/>
  <c r="AL267" i="178"/>
  <c r="AM267" i="178"/>
  <c r="AN267" i="178"/>
  <c r="AO267" i="178"/>
  <c r="Q228" i="178"/>
  <c r="S228" i="178" s="1"/>
  <c r="T228" i="178"/>
  <c r="U228" i="178" s="1"/>
  <c r="W228" i="178"/>
  <c r="AD228" i="178"/>
  <c r="AE228" i="178"/>
  <c r="AF228" i="178"/>
  <c r="AG228" i="178"/>
  <c r="AH228" i="178"/>
  <c r="AI228" i="178"/>
  <c r="AJ228" i="178"/>
  <c r="AK228" i="178"/>
  <c r="AL228" i="178"/>
  <c r="AM228" i="178"/>
  <c r="AN228" i="178"/>
  <c r="AO228" i="178"/>
  <c r="Q993" i="178"/>
  <c r="S993" i="178" s="1"/>
  <c r="T993" i="178"/>
  <c r="U993" i="178" s="1"/>
  <c r="W993" i="178"/>
  <c r="AD993" i="178"/>
  <c r="AE993" i="178"/>
  <c r="AF993" i="178"/>
  <c r="AG993" i="178"/>
  <c r="AH993" i="178"/>
  <c r="AI993" i="178"/>
  <c r="AJ993" i="178"/>
  <c r="AK993" i="178"/>
  <c r="AL993" i="178"/>
  <c r="AM993" i="178"/>
  <c r="AN993" i="178"/>
  <c r="AO993" i="178"/>
  <c r="Q994" i="178"/>
  <c r="T994" i="178"/>
  <c r="U994" i="178" s="1"/>
  <c r="W994" i="178"/>
  <c r="AD994" i="178"/>
  <c r="AE994" i="178"/>
  <c r="AF994" i="178"/>
  <c r="AG994" i="178"/>
  <c r="AH994" i="178"/>
  <c r="AI994" i="178"/>
  <c r="AJ994" i="178"/>
  <c r="AK994" i="178"/>
  <c r="AL994" i="178"/>
  <c r="AM994" i="178"/>
  <c r="AN994" i="178"/>
  <c r="AO994" i="178"/>
  <c r="Q162" i="178"/>
  <c r="S162" i="178" s="1"/>
  <c r="T162" i="178"/>
  <c r="U162" i="178" s="1"/>
  <c r="W162" i="178"/>
  <c r="AD162" i="178"/>
  <c r="AE162" i="178"/>
  <c r="AF162" i="178"/>
  <c r="AG162" i="178"/>
  <c r="AH162" i="178"/>
  <c r="AI162" i="178"/>
  <c r="AJ162" i="178"/>
  <c r="AK162" i="178"/>
  <c r="AL162" i="178"/>
  <c r="AM162" i="178"/>
  <c r="AN162" i="178"/>
  <c r="AO162" i="178"/>
  <c r="Q163" i="178"/>
  <c r="S163" i="178" s="1"/>
  <c r="T163" i="178"/>
  <c r="U163" i="178" s="1"/>
  <c r="W163" i="178"/>
  <c r="AD163" i="178"/>
  <c r="AE163" i="178"/>
  <c r="AF163" i="178"/>
  <c r="AG163" i="178"/>
  <c r="AH163" i="178"/>
  <c r="AI163" i="178"/>
  <c r="AJ163" i="178"/>
  <c r="AK163" i="178"/>
  <c r="AL163" i="178"/>
  <c r="AM163" i="178"/>
  <c r="AN163" i="178"/>
  <c r="AO163" i="178"/>
  <c r="Q671" i="178"/>
  <c r="S671" i="178" s="1"/>
  <c r="T671" i="178"/>
  <c r="U671" i="178" s="1"/>
  <c r="W671" i="178"/>
  <c r="AD671" i="178"/>
  <c r="AE671" i="178"/>
  <c r="AF671" i="178"/>
  <c r="AG671" i="178"/>
  <c r="AH671" i="178"/>
  <c r="AI671" i="178"/>
  <c r="AJ671" i="178"/>
  <c r="AK671" i="178"/>
  <c r="AL671" i="178"/>
  <c r="AM671" i="178"/>
  <c r="AN671" i="178"/>
  <c r="AO671" i="178"/>
  <c r="Q154" i="178"/>
  <c r="S154" i="178" s="1"/>
  <c r="T154" i="178"/>
  <c r="U154" i="178" s="1"/>
  <c r="W154" i="178"/>
  <c r="AD154" i="178"/>
  <c r="AE154" i="178"/>
  <c r="AF154" i="178"/>
  <c r="AG154" i="178"/>
  <c r="AH154" i="178"/>
  <c r="AI154" i="178"/>
  <c r="AJ154" i="178"/>
  <c r="AK154" i="178"/>
  <c r="AL154" i="178"/>
  <c r="AM154" i="178"/>
  <c r="AN154" i="178"/>
  <c r="AO154" i="178"/>
  <c r="Q995" i="178"/>
  <c r="S995" i="178" s="1"/>
  <c r="T995" i="178"/>
  <c r="U995" i="178" s="1"/>
  <c r="W995" i="178"/>
  <c r="AD995" i="178"/>
  <c r="AE995" i="178"/>
  <c r="AF995" i="178"/>
  <c r="AG995" i="178"/>
  <c r="AH995" i="178"/>
  <c r="AI995" i="178"/>
  <c r="AJ995" i="178"/>
  <c r="AK995" i="178"/>
  <c r="AL995" i="178"/>
  <c r="AM995" i="178"/>
  <c r="AN995" i="178"/>
  <c r="AO995" i="178"/>
  <c r="Q996" i="178"/>
  <c r="S996" i="178" s="1"/>
  <c r="T996" i="178"/>
  <c r="U996" i="178" s="1"/>
  <c r="W996" i="178"/>
  <c r="AD996" i="178"/>
  <c r="AE996" i="178"/>
  <c r="AF996" i="178"/>
  <c r="AG996" i="178"/>
  <c r="AH996" i="178"/>
  <c r="AI996" i="178"/>
  <c r="AJ996" i="178"/>
  <c r="AK996" i="178"/>
  <c r="AL996" i="178"/>
  <c r="AM996" i="178"/>
  <c r="AN996" i="178"/>
  <c r="AO996" i="178"/>
  <c r="Q998" i="178"/>
  <c r="S998" i="178" s="1"/>
  <c r="T998" i="178"/>
  <c r="U998" i="178" s="1"/>
  <c r="W998" i="178"/>
  <c r="AD998" i="178"/>
  <c r="AE998" i="178"/>
  <c r="AF998" i="178"/>
  <c r="AG998" i="178"/>
  <c r="AH998" i="178"/>
  <c r="AI998" i="178"/>
  <c r="AJ998" i="178"/>
  <c r="AK998" i="178"/>
  <c r="AL998" i="178"/>
  <c r="AM998" i="178"/>
  <c r="AN998" i="178"/>
  <c r="AO998" i="178"/>
  <c r="Q999" i="178"/>
  <c r="S999" i="178" s="1"/>
  <c r="T999" i="178"/>
  <c r="U999" i="178" s="1"/>
  <c r="W999" i="178"/>
  <c r="AD999" i="178"/>
  <c r="AE999" i="178"/>
  <c r="AF999" i="178"/>
  <c r="AG999" i="178"/>
  <c r="AH999" i="178"/>
  <c r="AI999" i="178"/>
  <c r="AJ999" i="178"/>
  <c r="AK999" i="178"/>
  <c r="AL999" i="178"/>
  <c r="AM999" i="178"/>
  <c r="AN999" i="178"/>
  <c r="AO999" i="178"/>
  <c r="Q589" i="178"/>
  <c r="S589" i="178" s="1"/>
  <c r="T589" i="178"/>
  <c r="U589" i="178" s="1"/>
  <c r="W589" i="178"/>
  <c r="AD589" i="178"/>
  <c r="AE589" i="178"/>
  <c r="AF589" i="178"/>
  <c r="AG589" i="178"/>
  <c r="AH589" i="178"/>
  <c r="AI589" i="178"/>
  <c r="AJ589" i="178"/>
  <c r="AK589" i="178"/>
  <c r="AL589" i="178"/>
  <c r="AM589" i="178"/>
  <c r="AN589" i="178"/>
  <c r="AO589" i="178"/>
  <c r="S268" i="178"/>
  <c r="T268" i="178"/>
  <c r="U268" i="178" s="1"/>
  <c r="W268" i="178"/>
  <c r="AD268" i="178"/>
  <c r="AE268" i="178"/>
  <c r="AF268" i="178"/>
  <c r="AG268" i="178"/>
  <c r="AH268" i="178"/>
  <c r="AI268" i="178"/>
  <c r="AJ268" i="178"/>
  <c r="AK268" i="178"/>
  <c r="AL268" i="178"/>
  <c r="AM268" i="178"/>
  <c r="AN268" i="178"/>
  <c r="AO268" i="178"/>
  <c r="S269" i="178"/>
  <c r="T269" i="178"/>
  <c r="U269" i="178" s="1"/>
  <c r="W269" i="178"/>
  <c r="AD269" i="178"/>
  <c r="AE269" i="178"/>
  <c r="AF269" i="178"/>
  <c r="AG269" i="178"/>
  <c r="AH269" i="178"/>
  <c r="AI269" i="178"/>
  <c r="AJ269" i="178"/>
  <c r="AK269" i="178"/>
  <c r="AL269" i="178"/>
  <c r="AM269" i="178"/>
  <c r="AN269" i="178"/>
  <c r="AO269" i="178"/>
  <c r="S272" i="178"/>
  <c r="T272" i="178"/>
  <c r="U272" i="178" s="1"/>
  <c r="W272" i="178"/>
  <c r="AD272" i="178"/>
  <c r="AE272" i="178"/>
  <c r="AF272" i="178"/>
  <c r="AG272" i="178"/>
  <c r="AH272" i="178"/>
  <c r="AI272" i="178"/>
  <c r="AJ272" i="178"/>
  <c r="AK272" i="178"/>
  <c r="AL272" i="178"/>
  <c r="AM272" i="178"/>
  <c r="AN272" i="178"/>
  <c r="AO272" i="178"/>
  <c r="S273" i="178"/>
  <c r="T273" i="178"/>
  <c r="U273" i="178" s="1"/>
  <c r="W273" i="178"/>
  <c r="AD273" i="178"/>
  <c r="AE273" i="178"/>
  <c r="AF273" i="178"/>
  <c r="AG273" i="178"/>
  <c r="AH273" i="178"/>
  <c r="AI273" i="178"/>
  <c r="AJ273" i="178"/>
  <c r="AK273" i="178"/>
  <c r="AL273" i="178"/>
  <c r="AM273" i="178"/>
  <c r="AN273" i="178"/>
  <c r="AO273" i="178"/>
  <c r="S274" i="178"/>
  <c r="T274" i="178"/>
  <c r="U274" i="178" s="1"/>
  <c r="W274" i="178"/>
  <c r="AD274" i="178"/>
  <c r="AE274" i="178"/>
  <c r="AF274" i="178"/>
  <c r="AG274" i="178"/>
  <c r="AH274" i="178"/>
  <c r="AI274" i="178"/>
  <c r="AJ274" i="178"/>
  <c r="AK274" i="178"/>
  <c r="AL274" i="178"/>
  <c r="AM274" i="178"/>
  <c r="AN274" i="178"/>
  <c r="AO274" i="178"/>
  <c r="S275" i="178"/>
  <c r="T275" i="178"/>
  <c r="U275" i="178" s="1"/>
  <c r="W275" i="178"/>
  <c r="AD275" i="178"/>
  <c r="AE275" i="178"/>
  <c r="AF275" i="178"/>
  <c r="AG275" i="178"/>
  <c r="AH275" i="178"/>
  <c r="AI275" i="178"/>
  <c r="AJ275" i="178"/>
  <c r="AK275" i="178"/>
  <c r="AL275" i="178"/>
  <c r="AM275" i="178"/>
  <c r="AN275" i="178"/>
  <c r="AO275" i="178"/>
  <c r="S276" i="178"/>
  <c r="T276" i="178"/>
  <c r="U276" i="178" s="1"/>
  <c r="W276" i="178"/>
  <c r="AD276" i="178"/>
  <c r="AE276" i="178"/>
  <c r="AF276" i="178"/>
  <c r="AG276" i="178"/>
  <c r="AH276" i="178"/>
  <c r="AI276" i="178"/>
  <c r="AJ276" i="178"/>
  <c r="AK276" i="178"/>
  <c r="AL276" i="178"/>
  <c r="AM276" i="178"/>
  <c r="AN276" i="178"/>
  <c r="AO276" i="178"/>
  <c r="S281" i="178"/>
  <c r="T281" i="178"/>
  <c r="U281" i="178" s="1"/>
  <c r="W281" i="178"/>
  <c r="AD281" i="178"/>
  <c r="AE281" i="178"/>
  <c r="AF281" i="178"/>
  <c r="AG281" i="178"/>
  <c r="AH281" i="178"/>
  <c r="AI281" i="178"/>
  <c r="AJ281" i="178"/>
  <c r="AK281" i="178"/>
  <c r="AL281" i="178"/>
  <c r="AM281" i="178"/>
  <c r="AN281" i="178"/>
  <c r="AO281" i="178"/>
  <c r="S282" i="178"/>
  <c r="T282" i="178"/>
  <c r="U282" i="178" s="1"/>
  <c r="W282" i="178"/>
  <c r="AD282" i="178"/>
  <c r="AE282" i="178"/>
  <c r="AF282" i="178"/>
  <c r="AG282" i="178"/>
  <c r="AH282" i="178"/>
  <c r="AI282" i="178"/>
  <c r="AJ282" i="178"/>
  <c r="AK282" i="178"/>
  <c r="AL282" i="178"/>
  <c r="AM282" i="178"/>
  <c r="AN282" i="178"/>
  <c r="AO282" i="178"/>
  <c r="S283" i="178"/>
  <c r="T283" i="178"/>
  <c r="U283" i="178" s="1"/>
  <c r="W283" i="178"/>
  <c r="AD283" i="178"/>
  <c r="AE283" i="178"/>
  <c r="AF283" i="178"/>
  <c r="AG283" i="178"/>
  <c r="AH283" i="178"/>
  <c r="AI283" i="178"/>
  <c r="AJ283" i="178"/>
  <c r="AK283" i="178"/>
  <c r="AL283" i="178"/>
  <c r="AM283" i="178"/>
  <c r="AN283" i="178"/>
  <c r="AO283" i="178"/>
  <c r="S290" i="178"/>
  <c r="T290" i="178"/>
  <c r="U290" i="178" s="1"/>
  <c r="W290" i="178"/>
  <c r="AD290" i="178"/>
  <c r="AE290" i="178"/>
  <c r="AF290" i="178"/>
  <c r="AG290" i="178"/>
  <c r="AH290" i="178"/>
  <c r="AI290" i="178"/>
  <c r="AJ290" i="178"/>
  <c r="AK290" i="178"/>
  <c r="AL290" i="178"/>
  <c r="AM290" i="178"/>
  <c r="AN290" i="178"/>
  <c r="AO290" i="178"/>
  <c r="S298" i="178"/>
  <c r="T298" i="178"/>
  <c r="U298" i="178" s="1"/>
  <c r="W298" i="178"/>
  <c r="AD298" i="178"/>
  <c r="AE298" i="178"/>
  <c r="AF298" i="178"/>
  <c r="AG298" i="178"/>
  <c r="AH298" i="178"/>
  <c r="AI298" i="178"/>
  <c r="AJ298" i="178"/>
  <c r="AK298" i="178"/>
  <c r="AL298" i="178"/>
  <c r="AM298" i="178"/>
  <c r="AN298" i="178"/>
  <c r="AO298" i="178"/>
  <c r="S301" i="178"/>
  <c r="T301" i="178"/>
  <c r="U301" i="178" s="1"/>
  <c r="W301" i="178"/>
  <c r="AD301" i="178"/>
  <c r="AE301" i="178"/>
  <c r="AF301" i="178"/>
  <c r="AG301" i="178"/>
  <c r="AH301" i="178"/>
  <c r="AI301" i="178"/>
  <c r="AJ301" i="178"/>
  <c r="AK301" i="178"/>
  <c r="AL301" i="178"/>
  <c r="AM301" i="178"/>
  <c r="AN301" i="178"/>
  <c r="AO301" i="178"/>
  <c r="S315" i="178"/>
  <c r="T315" i="178"/>
  <c r="U315" i="178" s="1"/>
  <c r="W315" i="178"/>
  <c r="AD315" i="178"/>
  <c r="AE315" i="178"/>
  <c r="AF315" i="178"/>
  <c r="AG315" i="178"/>
  <c r="AH315" i="178"/>
  <c r="AI315" i="178"/>
  <c r="AJ315" i="178"/>
  <c r="AK315" i="178"/>
  <c r="AL315" i="178"/>
  <c r="AM315" i="178"/>
  <c r="AN315" i="178"/>
  <c r="AO315" i="178"/>
  <c r="S320" i="178"/>
  <c r="T320" i="178"/>
  <c r="U320" i="178" s="1"/>
  <c r="W320" i="178"/>
  <c r="AD320" i="178"/>
  <c r="AE320" i="178"/>
  <c r="AF320" i="178"/>
  <c r="AG320" i="178"/>
  <c r="AH320" i="178"/>
  <c r="AI320" i="178"/>
  <c r="AJ320" i="178"/>
  <c r="AK320" i="178"/>
  <c r="AL320" i="178"/>
  <c r="AM320" i="178"/>
  <c r="AN320" i="178"/>
  <c r="AO320" i="178"/>
  <c r="S319" i="178"/>
  <c r="T319" i="178"/>
  <c r="U319" i="178" s="1"/>
  <c r="W319" i="178"/>
  <c r="AD319" i="178"/>
  <c r="AE319" i="178"/>
  <c r="AF319" i="178"/>
  <c r="AG319" i="178"/>
  <c r="AH319" i="178"/>
  <c r="AI319" i="178"/>
  <c r="AJ319" i="178"/>
  <c r="AK319" i="178"/>
  <c r="AL319" i="178"/>
  <c r="AM319" i="178"/>
  <c r="AN319" i="178"/>
  <c r="AO319" i="178"/>
  <c r="S325" i="178"/>
  <c r="T325" i="178"/>
  <c r="U325" i="178" s="1"/>
  <c r="W325" i="178"/>
  <c r="AD325" i="178"/>
  <c r="AE325" i="178"/>
  <c r="AF325" i="178"/>
  <c r="AG325" i="178"/>
  <c r="AH325" i="178"/>
  <c r="AI325" i="178"/>
  <c r="AJ325" i="178"/>
  <c r="AK325" i="178"/>
  <c r="AL325" i="178"/>
  <c r="AM325" i="178"/>
  <c r="AN325" i="178"/>
  <c r="AO325" i="178"/>
  <c r="S335" i="178"/>
  <c r="T335" i="178"/>
  <c r="U335" i="178" s="1"/>
  <c r="W335" i="178"/>
  <c r="AD335" i="178"/>
  <c r="AE335" i="178"/>
  <c r="AF335" i="178"/>
  <c r="AG335" i="178"/>
  <c r="AH335" i="178"/>
  <c r="AI335" i="178"/>
  <c r="AJ335" i="178"/>
  <c r="AK335" i="178"/>
  <c r="AL335" i="178"/>
  <c r="AM335" i="178"/>
  <c r="AN335" i="178"/>
  <c r="AO335" i="178"/>
  <c r="S340" i="178"/>
  <c r="T340" i="178"/>
  <c r="U340" i="178" s="1"/>
  <c r="W340" i="178"/>
  <c r="AD340" i="178"/>
  <c r="AE340" i="178"/>
  <c r="AF340" i="178"/>
  <c r="AG340" i="178"/>
  <c r="AH340" i="178"/>
  <c r="AI340" i="178"/>
  <c r="AJ340" i="178"/>
  <c r="AK340" i="178"/>
  <c r="AL340" i="178"/>
  <c r="AM340" i="178"/>
  <c r="AN340" i="178"/>
  <c r="AO340" i="178"/>
  <c r="Q156" i="178"/>
  <c r="S156" i="178" s="1"/>
  <c r="T156" i="178"/>
  <c r="U156" i="178" s="1"/>
  <c r="W156" i="178"/>
  <c r="AD156" i="178"/>
  <c r="AE156" i="178"/>
  <c r="AF156" i="178"/>
  <c r="AG156" i="178"/>
  <c r="AH156" i="178"/>
  <c r="AI156" i="178"/>
  <c r="AJ156" i="178"/>
  <c r="AK156" i="178"/>
  <c r="AL156" i="178"/>
  <c r="AM156" i="178"/>
  <c r="AN156" i="178"/>
  <c r="AO156" i="178"/>
  <c r="S343" i="178"/>
  <c r="T343" i="178"/>
  <c r="U343" i="178" s="1"/>
  <c r="W343" i="178"/>
  <c r="AD343" i="178"/>
  <c r="AE343" i="178"/>
  <c r="AF343" i="178"/>
  <c r="AG343" i="178"/>
  <c r="AH343" i="178"/>
  <c r="AI343" i="178"/>
  <c r="AJ343" i="178"/>
  <c r="AK343" i="178"/>
  <c r="AL343" i="178"/>
  <c r="AM343" i="178"/>
  <c r="AN343" i="178"/>
  <c r="AO343" i="178"/>
  <c r="S347" i="178"/>
  <c r="T347" i="178"/>
  <c r="U347" i="178" s="1"/>
  <c r="W347" i="178"/>
  <c r="AD347" i="178"/>
  <c r="AE347" i="178"/>
  <c r="AF347" i="178"/>
  <c r="AG347" i="178"/>
  <c r="AH347" i="178"/>
  <c r="AI347" i="178"/>
  <c r="AJ347" i="178"/>
  <c r="AK347" i="178"/>
  <c r="AL347" i="178"/>
  <c r="AM347" i="178"/>
  <c r="AN347" i="178"/>
  <c r="AO347" i="178"/>
  <c r="S351" i="178"/>
  <c r="T351" i="178"/>
  <c r="U351" i="178" s="1"/>
  <c r="W351" i="178"/>
  <c r="AD351" i="178"/>
  <c r="AE351" i="178"/>
  <c r="AF351" i="178"/>
  <c r="AG351" i="178"/>
  <c r="AH351" i="178"/>
  <c r="AI351" i="178"/>
  <c r="AJ351" i="178"/>
  <c r="AK351" i="178"/>
  <c r="AL351" i="178"/>
  <c r="AM351" i="178"/>
  <c r="AN351" i="178"/>
  <c r="AO351" i="178"/>
  <c r="S352" i="178"/>
  <c r="T352" i="178"/>
  <c r="U352" i="178" s="1"/>
  <c r="W352" i="178"/>
  <c r="AD352" i="178"/>
  <c r="AE352" i="178"/>
  <c r="AF352" i="178"/>
  <c r="AG352" i="178"/>
  <c r="AH352" i="178"/>
  <c r="AI352" i="178"/>
  <c r="AJ352" i="178"/>
  <c r="AK352" i="178"/>
  <c r="AL352" i="178"/>
  <c r="AM352" i="178"/>
  <c r="AN352" i="178"/>
  <c r="AO352" i="178"/>
  <c r="S353" i="178"/>
  <c r="T353" i="178"/>
  <c r="U353" i="178" s="1"/>
  <c r="W353" i="178"/>
  <c r="AD353" i="178"/>
  <c r="AE353" i="178"/>
  <c r="AF353" i="178"/>
  <c r="AG353" i="178"/>
  <c r="AH353" i="178"/>
  <c r="AI353" i="178"/>
  <c r="AJ353" i="178"/>
  <c r="AK353" i="178"/>
  <c r="AL353" i="178"/>
  <c r="AM353" i="178"/>
  <c r="AN353" i="178"/>
  <c r="AO353" i="178"/>
  <c r="S355" i="178"/>
  <c r="T355" i="178"/>
  <c r="U355" i="178" s="1"/>
  <c r="W355" i="178"/>
  <c r="AD355" i="178"/>
  <c r="AE355" i="178"/>
  <c r="AF355" i="178"/>
  <c r="AG355" i="178"/>
  <c r="AH355" i="178"/>
  <c r="AI355" i="178"/>
  <c r="AJ355" i="178"/>
  <c r="AK355" i="178"/>
  <c r="AL355" i="178"/>
  <c r="AM355" i="178"/>
  <c r="AN355" i="178"/>
  <c r="AO355" i="178"/>
  <c r="S356" i="178"/>
  <c r="T356" i="178"/>
  <c r="U356" i="178" s="1"/>
  <c r="W356" i="178"/>
  <c r="AD356" i="178"/>
  <c r="AE356" i="178"/>
  <c r="AF356" i="178"/>
  <c r="AG356" i="178"/>
  <c r="AH356" i="178"/>
  <c r="AI356" i="178"/>
  <c r="AJ356" i="178"/>
  <c r="AK356" i="178"/>
  <c r="AL356" i="178"/>
  <c r="AM356" i="178"/>
  <c r="AN356" i="178"/>
  <c r="AO356" i="178"/>
  <c r="S359" i="178"/>
  <c r="T359" i="178"/>
  <c r="U359" i="178" s="1"/>
  <c r="W359" i="178"/>
  <c r="AD359" i="178"/>
  <c r="AE359" i="178"/>
  <c r="AF359" i="178"/>
  <c r="AG359" i="178"/>
  <c r="AH359" i="178"/>
  <c r="AI359" i="178"/>
  <c r="AJ359" i="178"/>
  <c r="AK359" i="178"/>
  <c r="AL359" i="178"/>
  <c r="AM359" i="178"/>
  <c r="AN359" i="178"/>
  <c r="AO359" i="178"/>
  <c r="S366" i="178"/>
  <c r="T366" i="178"/>
  <c r="U366" i="178" s="1"/>
  <c r="W366" i="178"/>
  <c r="AD366" i="178"/>
  <c r="AE366" i="178"/>
  <c r="AF366" i="178"/>
  <c r="AG366" i="178"/>
  <c r="AH366" i="178"/>
  <c r="AI366" i="178"/>
  <c r="AJ366" i="178"/>
  <c r="AK366" i="178"/>
  <c r="AL366" i="178"/>
  <c r="AM366" i="178"/>
  <c r="AN366" i="178"/>
  <c r="AO366" i="178"/>
  <c r="S367" i="178"/>
  <c r="T367" i="178"/>
  <c r="U367" i="178" s="1"/>
  <c r="W367" i="178"/>
  <c r="AD367" i="178"/>
  <c r="AE367" i="178"/>
  <c r="AF367" i="178"/>
  <c r="AG367" i="178"/>
  <c r="AH367" i="178"/>
  <c r="AI367" i="178"/>
  <c r="AJ367" i="178"/>
  <c r="AK367" i="178"/>
  <c r="AL367" i="178"/>
  <c r="AM367" i="178"/>
  <c r="AN367" i="178"/>
  <c r="AO367" i="178"/>
  <c r="S368" i="178"/>
  <c r="T368" i="178"/>
  <c r="U368" i="178" s="1"/>
  <c r="W368" i="178"/>
  <c r="AD368" i="178"/>
  <c r="AE368" i="178"/>
  <c r="AF368" i="178"/>
  <c r="AG368" i="178"/>
  <c r="AH368" i="178"/>
  <c r="AI368" i="178"/>
  <c r="AJ368" i="178"/>
  <c r="AK368" i="178"/>
  <c r="AL368" i="178"/>
  <c r="AM368" i="178"/>
  <c r="AN368" i="178"/>
  <c r="AO368" i="178"/>
  <c r="S369" i="178"/>
  <c r="T369" i="178"/>
  <c r="U369" i="178" s="1"/>
  <c r="W369" i="178"/>
  <c r="AD369" i="178"/>
  <c r="AE369" i="178"/>
  <c r="AF369" i="178"/>
  <c r="AG369" i="178"/>
  <c r="AH369" i="178"/>
  <c r="AI369" i="178"/>
  <c r="AJ369" i="178"/>
  <c r="AK369" i="178"/>
  <c r="AL369" i="178"/>
  <c r="AM369" i="178"/>
  <c r="AN369" i="178"/>
  <c r="AO369" i="178"/>
  <c r="S370" i="178"/>
  <c r="T370" i="178"/>
  <c r="U370" i="178" s="1"/>
  <c r="W370" i="178"/>
  <c r="AD370" i="178"/>
  <c r="AE370" i="178"/>
  <c r="AF370" i="178"/>
  <c r="AG370" i="178"/>
  <c r="AH370" i="178"/>
  <c r="AI370" i="178"/>
  <c r="AJ370" i="178"/>
  <c r="AK370" i="178"/>
  <c r="AL370" i="178"/>
  <c r="AM370" i="178"/>
  <c r="AN370" i="178"/>
  <c r="AO370" i="178"/>
  <c r="S371" i="178"/>
  <c r="T371" i="178"/>
  <c r="U371" i="178" s="1"/>
  <c r="W371" i="178"/>
  <c r="AD371" i="178"/>
  <c r="AE371" i="178"/>
  <c r="AF371" i="178"/>
  <c r="AG371" i="178"/>
  <c r="AH371" i="178"/>
  <c r="AI371" i="178"/>
  <c r="AJ371" i="178"/>
  <c r="AK371" i="178"/>
  <c r="AL371" i="178"/>
  <c r="AM371" i="178"/>
  <c r="AN371" i="178"/>
  <c r="AO371" i="178"/>
  <c r="S372" i="178"/>
  <c r="T372" i="178"/>
  <c r="U372" i="178" s="1"/>
  <c r="W372" i="178"/>
  <c r="AD372" i="178"/>
  <c r="AE372" i="178"/>
  <c r="AF372" i="178"/>
  <c r="AG372" i="178"/>
  <c r="AH372" i="178"/>
  <c r="AI372" i="178"/>
  <c r="AJ372" i="178"/>
  <c r="AK372" i="178"/>
  <c r="AL372" i="178"/>
  <c r="AM372" i="178"/>
  <c r="AN372" i="178"/>
  <c r="AO372" i="178"/>
  <c r="S373" i="178"/>
  <c r="T373" i="178"/>
  <c r="U373" i="178" s="1"/>
  <c r="W373" i="178"/>
  <c r="AD373" i="178"/>
  <c r="AE373" i="178"/>
  <c r="AF373" i="178"/>
  <c r="AG373" i="178"/>
  <c r="AH373" i="178"/>
  <c r="AI373" i="178"/>
  <c r="AJ373" i="178"/>
  <c r="AK373" i="178"/>
  <c r="AL373" i="178"/>
  <c r="AM373" i="178"/>
  <c r="AN373" i="178"/>
  <c r="AO373" i="178"/>
  <c r="S374" i="178"/>
  <c r="T374" i="178"/>
  <c r="W374" i="178"/>
  <c r="AD374" i="178"/>
  <c r="AE374" i="178"/>
  <c r="AF374" i="178"/>
  <c r="AG374" i="178"/>
  <c r="AH374" i="178"/>
  <c r="AI374" i="178"/>
  <c r="AJ374" i="178"/>
  <c r="AK374" i="178"/>
  <c r="AL374" i="178"/>
  <c r="AM374" i="178"/>
  <c r="AN374" i="178"/>
  <c r="AO374" i="178"/>
  <c r="S375" i="178"/>
  <c r="T375" i="178"/>
  <c r="W375" i="178"/>
  <c r="AD375" i="178"/>
  <c r="AE375" i="178"/>
  <c r="AF375" i="178"/>
  <c r="AG375" i="178"/>
  <c r="AH375" i="178"/>
  <c r="AI375" i="178"/>
  <c r="AJ375" i="178"/>
  <c r="AK375" i="178"/>
  <c r="AL375" i="178"/>
  <c r="AM375" i="178"/>
  <c r="AN375" i="178"/>
  <c r="AO375" i="178"/>
  <c r="S376" i="178"/>
  <c r="T376" i="178"/>
  <c r="W376" i="178"/>
  <c r="AD376" i="178"/>
  <c r="AE376" i="178"/>
  <c r="AF376" i="178"/>
  <c r="AG376" i="178"/>
  <c r="AH376" i="178"/>
  <c r="AI376" i="178"/>
  <c r="AJ376" i="178"/>
  <c r="AK376" i="178"/>
  <c r="AL376" i="178"/>
  <c r="AM376" i="178"/>
  <c r="AN376" i="178"/>
  <c r="AO376" i="178"/>
  <c r="S377" i="178"/>
  <c r="T377" i="178"/>
  <c r="W377" i="178"/>
  <c r="AD377" i="178"/>
  <c r="AE377" i="178"/>
  <c r="AF377" i="178"/>
  <c r="AG377" i="178"/>
  <c r="AH377" i="178"/>
  <c r="AI377" i="178"/>
  <c r="AJ377" i="178"/>
  <c r="AK377" i="178"/>
  <c r="AL377" i="178"/>
  <c r="AM377" i="178"/>
  <c r="AN377" i="178"/>
  <c r="AO377" i="178"/>
  <c r="Q1001" i="178"/>
  <c r="S1001" i="178" s="1"/>
  <c r="T1001" i="178"/>
  <c r="W1001" i="178"/>
  <c r="AD1001" i="178"/>
  <c r="AE1001" i="178"/>
  <c r="AF1001" i="178"/>
  <c r="AG1001" i="178"/>
  <c r="AH1001" i="178"/>
  <c r="AI1001" i="178"/>
  <c r="AJ1001" i="178"/>
  <c r="AK1001" i="178"/>
  <c r="AL1001" i="178"/>
  <c r="AM1001" i="178"/>
  <c r="AN1001" i="178"/>
  <c r="AO1001" i="178"/>
  <c r="Q1002" i="178"/>
  <c r="S1002" i="178" s="1"/>
  <c r="T1002" i="178"/>
  <c r="W1002" i="178"/>
  <c r="AD1002" i="178"/>
  <c r="AE1002" i="178"/>
  <c r="AF1002" i="178"/>
  <c r="AG1002" i="178"/>
  <c r="AH1002" i="178"/>
  <c r="AI1002" i="178"/>
  <c r="AJ1002" i="178"/>
  <c r="AK1002" i="178"/>
  <c r="AL1002" i="178"/>
  <c r="AM1002" i="178"/>
  <c r="AN1002" i="178"/>
  <c r="AO1002" i="178"/>
  <c r="Q1011" i="178"/>
  <c r="S1011" i="178" s="1"/>
  <c r="T1011" i="178"/>
  <c r="W1011" i="178"/>
  <c r="AD1011" i="178"/>
  <c r="AE1011" i="178"/>
  <c r="AF1011" i="178"/>
  <c r="AG1011" i="178"/>
  <c r="AH1011" i="178"/>
  <c r="AI1011" i="178"/>
  <c r="AJ1011" i="178"/>
  <c r="AK1011" i="178"/>
  <c r="AL1011" i="178"/>
  <c r="AM1011" i="178"/>
  <c r="AN1011" i="178"/>
  <c r="AO1011" i="178"/>
  <c r="Q1012" i="178"/>
  <c r="S1012" i="178" s="1"/>
  <c r="T1012" i="178"/>
  <c r="W1012" i="178"/>
  <c r="AD1012" i="178"/>
  <c r="AE1012" i="178"/>
  <c r="AF1012" i="178"/>
  <c r="AG1012" i="178"/>
  <c r="AH1012" i="178"/>
  <c r="AI1012" i="178"/>
  <c r="AJ1012" i="178"/>
  <c r="AK1012" i="178"/>
  <c r="AL1012" i="178"/>
  <c r="AM1012" i="178"/>
  <c r="AN1012" i="178"/>
  <c r="AO1012" i="178"/>
  <c r="Q1013" i="178"/>
  <c r="S1013" i="178" s="1"/>
  <c r="T1013" i="178"/>
  <c r="W1013" i="178"/>
  <c r="AD1013" i="178"/>
  <c r="AE1013" i="178"/>
  <c r="AF1013" i="178"/>
  <c r="AG1013" i="178"/>
  <c r="AH1013" i="178"/>
  <c r="AI1013" i="178"/>
  <c r="AJ1013" i="178"/>
  <c r="AK1013" i="178"/>
  <c r="AL1013" i="178"/>
  <c r="AM1013" i="178"/>
  <c r="AN1013" i="178"/>
  <c r="AO1013" i="178"/>
  <c r="Q1014" i="178"/>
  <c r="S1014" i="178" s="1"/>
  <c r="T1014" i="178"/>
  <c r="W1014" i="178"/>
  <c r="AD1014" i="178"/>
  <c r="AE1014" i="178"/>
  <c r="AF1014" i="178"/>
  <c r="AG1014" i="178"/>
  <c r="AH1014" i="178"/>
  <c r="AI1014" i="178"/>
  <c r="AJ1014" i="178"/>
  <c r="AK1014" i="178"/>
  <c r="AL1014" i="178"/>
  <c r="AM1014" i="178"/>
  <c r="AN1014" i="178"/>
  <c r="AO1014" i="178"/>
  <c r="Q592" i="178"/>
  <c r="S592" i="178" s="1"/>
  <c r="T592" i="178"/>
  <c r="W592" i="178"/>
  <c r="AD592" i="178"/>
  <c r="AE592" i="178"/>
  <c r="AF592" i="178"/>
  <c r="AG592" i="178"/>
  <c r="AH592" i="178"/>
  <c r="AI592" i="178"/>
  <c r="AJ592" i="178"/>
  <c r="AK592" i="178"/>
  <c r="AL592" i="178"/>
  <c r="AM592" i="178"/>
  <c r="AN592" i="178"/>
  <c r="AO592" i="178"/>
  <c r="S380" i="178"/>
  <c r="T380" i="178"/>
  <c r="W380" i="178"/>
  <c r="AD380" i="178"/>
  <c r="AE380" i="178"/>
  <c r="AF380" i="178"/>
  <c r="AG380" i="178"/>
  <c r="AH380" i="178"/>
  <c r="AI380" i="178"/>
  <c r="AJ380" i="178"/>
  <c r="AK380" i="178"/>
  <c r="AL380" i="178"/>
  <c r="AM380" i="178"/>
  <c r="AN380" i="178"/>
  <c r="AO380" i="178"/>
  <c r="S381" i="178"/>
  <c r="T381" i="178"/>
  <c r="W381" i="178"/>
  <c r="AD381" i="178"/>
  <c r="AE381" i="178"/>
  <c r="AF381" i="178"/>
  <c r="AG381" i="178"/>
  <c r="AH381" i="178"/>
  <c r="AI381" i="178"/>
  <c r="AJ381" i="178"/>
  <c r="AK381" i="178"/>
  <c r="AL381" i="178"/>
  <c r="AM381" i="178"/>
  <c r="AN381" i="178"/>
  <c r="AO381" i="178"/>
  <c r="S382" i="178"/>
  <c r="T382" i="178"/>
  <c r="W382" i="178"/>
  <c r="AD382" i="178"/>
  <c r="AE382" i="178"/>
  <c r="AF382" i="178"/>
  <c r="AG382" i="178"/>
  <c r="AH382" i="178"/>
  <c r="AI382" i="178"/>
  <c r="AJ382" i="178"/>
  <c r="AK382" i="178"/>
  <c r="AL382" i="178"/>
  <c r="AM382" i="178"/>
  <c r="AN382" i="178"/>
  <c r="AO382" i="178"/>
  <c r="S383" i="178"/>
  <c r="T383" i="178"/>
  <c r="W383" i="178"/>
  <c r="AD383" i="178"/>
  <c r="AE383" i="178"/>
  <c r="AF383" i="178"/>
  <c r="AG383" i="178"/>
  <c r="AH383" i="178"/>
  <c r="AI383" i="178"/>
  <c r="AJ383" i="178"/>
  <c r="AK383" i="178"/>
  <c r="AL383" i="178"/>
  <c r="AM383" i="178"/>
  <c r="AN383" i="178"/>
  <c r="AO383" i="178"/>
  <c r="Q1015" i="178"/>
  <c r="S1015" i="178" s="1"/>
  <c r="T1015" i="178"/>
  <c r="W1015" i="178"/>
  <c r="AD1015" i="178"/>
  <c r="AE1015" i="178"/>
  <c r="AF1015" i="178"/>
  <c r="AG1015" i="178"/>
  <c r="AH1015" i="178"/>
  <c r="AI1015" i="178"/>
  <c r="AJ1015" i="178"/>
  <c r="AK1015" i="178"/>
  <c r="AL1015" i="178"/>
  <c r="AM1015" i="178"/>
  <c r="AN1015" i="178"/>
  <c r="AO1015" i="178"/>
  <c r="Q593" i="178"/>
  <c r="S593" i="178" s="1"/>
  <c r="T593" i="178"/>
  <c r="W593" i="178"/>
  <c r="AD593" i="178"/>
  <c r="AE593" i="178"/>
  <c r="AF593" i="178"/>
  <c r="AG593" i="178"/>
  <c r="AH593" i="178"/>
  <c r="AI593" i="178"/>
  <c r="AJ593" i="178"/>
  <c r="AK593" i="178"/>
  <c r="AL593" i="178"/>
  <c r="AM593" i="178"/>
  <c r="AN593" i="178"/>
  <c r="AO593" i="178"/>
  <c r="Q1016" i="178"/>
  <c r="S1016" i="178" s="1"/>
  <c r="T1016" i="178"/>
  <c r="W1016" i="178"/>
  <c r="AD1016" i="178"/>
  <c r="AE1016" i="178"/>
  <c r="AF1016" i="178"/>
  <c r="AG1016" i="178"/>
  <c r="AH1016" i="178"/>
  <c r="AI1016" i="178"/>
  <c r="AJ1016" i="178"/>
  <c r="AK1016" i="178"/>
  <c r="AL1016" i="178"/>
  <c r="AM1016" i="178"/>
  <c r="AN1016" i="178"/>
  <c r="AO1016" i="178"/>
  <c r="Q594" i="178"/>
  <c r="S594" i="178" s="1"/>
  <c r="T594" i="178"/>
  <c r="V594" i="178" s="1"/>
  <c r="W594" i="178"/>
  <c r="AD594" i="178"/>
  <c r="AE594" i="178"/>
  <c r="AF594" i="178"/>
  <c r="AG594" i="178"/>
  <c r="AH594" i="178"/>
  <c r="AI594" i="178"/>
  <c r="AJ594" i="178"/>
  <c r="AK594" i="178"/>
  <c r="AL594" i="178"/>
  <c r="AM594" i="178"/>
  <c r="AN594" i="178"/>
  <c r="AO594" i="178"/>
  <c r="S384" i="178"/>
  <c r="T384" i="178"/>
  <c r="V384" i="178" s="1"/>
  <c r="W384" i="178"/>
  <c r="AD384" i="178"/>
  <c r="AE384" i="178"/>
  <c r="AF384" i="178"/>
  <c r="AG384" i="178"/>
  <c r="AH384" i="178"/>
  <c r="AI384" i="178"/>
  <c r="AJ384" i="178"/>
  <c r="AK384" i="178"/>
  <c r="AL384" i="178"/>
  <c r="AM384" i="178"/>
  <c r="AN384" i="178"/>
  <c r="AO384" i="178"/>
  <c r="S385" i="178"/>
  <c r="T385" i="178"/>
  <c r="V385" i="178" s="1"/>
  <c r="W385" i="178"/>
  <c r="AD385" i="178"/>
  <c r="AE385" i="178"/>
  <c r="AF385" i="178"/>
  <c r="AG385" i="178"/>
  <c r="AH385" i="178"/>
  <c r="AI385" i="178"/>
  <c r="AJ385" i="178"/>
  <c r="AK385" i="178"/>
  <c r="AL385" i="178"/>
  <c r="AM385" i="178"/>
  <c r="AN385" i="178"/>
  <c r="AO385" i="178"/>
  <c r="S386" i="178"/>
  <c r="T386" i="178"/>
  <c r="V386" i="178" s="1"/>
  <c r="W386" i="178"/>
  <c r="AD386" i="178"/>
  <c r="AE386" i="178"/>
  <c r="AF386" i="178"/>
  <c r="AG386" i="178"/>
  <c r="AH386" i="178"/>
  <c r="AI386" i="178"/>
  <c r="AJ386" i="178"/>
  <c r="AK386" i="178"/>
  <c r="AL386" i="178"/>
  <c r="AM386" i="178"/>
  <c r="AN386" i="178"/>
  <c r="AO386" i="178"/>
  <c r="Q175" i="178"/>
  <c r="S175" i="178" s="1"/>
  <c r="T175" i="178"/>
  <c r="V175" i="178" s="1"/>
  <c r="W175" i="178"/>
  <c r="AD175" i="178"/>
  <c r="AE175" i="178"/>
  <c r="AF175" i="178"/>
  <c r="AG175" i="178"/>
  <c r="AH175" i="178"/>
  <c r="AI175" i="178"/>
  <c r="AJ175" i="178"/>
  <c r="AK175" i="178"/>
  <c r="AL175" i="178"/>
  <c r="AM175" i="178"/>
  <c r="AN175" i="178"/>
  <c r="AO175" i="178"/>
  <c r="S387" i="178"/>
  <c r="T387" i="178"/>
  <c r="V387" i="178" s="1"/>
  <c r="W387" i="178"/>
  <c r="AD387" i="178"/>
  <c r="AE387" i="178"/>
  <c r="AF387" i="178"/>
  <c r="AG387" i="178"/>
  <c r="AH387" i="178"/>
  <c r="AI387" i="178"/>
  <c r="AJ387" i="178"/>
  <c r="AK387" i="178"/>
  <c r="AL387" i="178"/>
  <c r="AM387" i="178"/>
  <c r="AN387" i="178"/>
  <c r="AO387" i="178"/>
  <c r="S388" i="178"/>
  <c r="T388" i="178"/>
  <c r="V388" i="178" s="1"/>
  <c r="W388" i="178"/>
  <c r="AD388" i="178"/>
  <c r="AE388" i="178"/>
  <c r="AF388" i="178"/>
  <c r="AG388" i="178"/>
  <c r="AH388" i="178"/>
  <c r="AI388" i="178"/>
  <c r="AJ388" i="178"/>
  <c r="AK388" i="178"/>
  <c r="AL388" i="178"/>
  <c r="AM388" i="178"/>
  <c r="AN388" i="178"/>
  <c r="AO388" i="178"/>
  <c r="S389" i="178"/>
  <c r="T389" i="178"/>
  <c r="V389" i="178" s="1"/>
  <c r="W389" i="178"/>
  <c r="AD389" i="178"/>
  <c r="AE389" i="178"/>
  <c r="AF389" i="178"/>
  <c r="AG389" i="178"/>
  <c r="AH389" i="178"/>
  <c r="AI389" i="178"/>
  <c r="AJ389" i="178"/>
  <c r="AK389" i="178"/>
  <c r="AL389" i="178"/>
  <c r="AM389" i="178"/>
  <c r="AN389" i="178"/>
  <c r="AO389" i="178"/>
  <c r="Q180" i="178"/>
  <c r="S180" i="178" s="1"/>
  <c r="T180" i="178"/>
  <c r="V180" i="178" s="1"/>
  <c r="W180" i="178"/>
  <c r="AD180" i="178"/>
  <c r="AE180" i="178"/>
  <c r="AF180" i="178"/>
  <c r="AG180" i="178"/>
  <c r="AH180" i="178"/>
  <c r="AI180" i="178"/>
  <c r="AJ180" i="178"/>
  <c r="AK180" i="178"/>
  <c r="AL180" i="178"/>
  <c r="AM180" i="178"/>
  <c r="AN180" i="178"/>
  <c r="AO180" i="178"/>
  <c r="Q181" i="178"/>
  <c r="S181" i="178" s="1"/>
  <c r="T181" i="178"/>
  <c r="V181" i="178" s="1"/>
  <c r="W181" i="178"/>
  <c r="AD181" i="178"/>
  <c r="AE181" i="178"/>
  <c r="AF181" i="178"/>
  <c r="AG181" i="178"/>
  <c r="AH181" i="178"/>
  <c r="AI181" i="178"/>
  <c r="AJ181" i="178"/>
  <c r="AK181" i="178"/>
  <c r="AL181" i="178"/>
  <c r="AM181" i="178"/>
  <c r="AN181" i="178"/>
  <c r="AO181" i="178"/>
  <c r="S462" i="178"/>
  <c r="T462" i="178"/>
  <c r="V462" i="178" s="1"/>
  <c r="W462" i="178"/>
  <c r="AD462" i="178"/>
  <c r="AE462" i="178"/>
  <c r="AF462" i="178"/>
  <c r="AG462" i="178"/>
  <c r="AH462" i="178"/>
  <c r="AI462" i="178"/>
  <c r="AJ462" i="178"/>
  <c r="AK462" i="178"/>
  <c r="AL462" i="178"/>
  <c r="AM462" i="178"/>
  <c r="AN462" i="178"/>
  <c r="AO462" i="178"/>
  <c r="Q568" i="178"/>
  <c r="S568" i="178" s="1"/>
  <c r="T568" i="178"/>
  <c r="V568" i="178" s="1"/>
  <c r="W568" i="178"/>
  <c r="AD568" i="178"/>
  <c r="AE568" i="178"/>
  <c r="AF568" i="178"/>
  <c r="AG568" i="178"/>
  <c r="AH568" i="178"/>
  <c r="AI568" i="178"/>
  <c r="AJ568" i="178"/>
  <c r="AK568" i="178"/>
  <c r="AL568" i="178"/>
  <c r="AM568" i="178"/>
  <c r="AN568" i="178"/>
  <c r="AO568" i="178"/>
  <c r="S463" i="178"/>
  <c r="T463" i="178"/>
  <c r="V463" i="178" s="1"/>
  <c r="W463" i="178"/>
  <c r="AD463" i="178"/>
  <c r="AE463" i="178"/>
  <c r="AF463" i="178"/>
  <c r="AG463" i="178"/>
  <c r="AH463" i="178"/>
  <c r="AI463" i="178"/>
  <c r="AJ463" i="178"/>
  <c r="AK463" i="178"/>
  <c r="AL463" i="178"/>
  <c r="AM463" i="178"/>
  <c r="AN463" i="178"/>
  <c r="AO463" i="178"/>
  <c r="Q230" i="178"/>
  <c r="S230" i="178" s="1"/>
  <c r="T230" i="178"/>
  <c r="V230" i="178" s="1"/>
  <c r="W230" i="178"/>
  <c r="AD230" i="178"/>
  <c r="AE230" i="178"/>
  <c r="AF230" i="178"/>
  <c r="AG230" i="178"/>
  <c r="AH230" i="178"/>
  <c r="AI230" i="178"/>
  <c r="AJ230" i="178"/>
  <c r="AK230" i="178"/>
  <c r="AL230" i="178"/>
  <c r="AM230" i="178"/>
  <c r="AN230" i="178"/>
  <c r="AO230" i="178"/>
  <c r="S464" i="178"/>
  <c r="T464" i="178"/>
  <c r="V464" i="178" s="1"/>
  <c r="W464" i="178"/>
  <c r="AD464" i="178"/>
  <c r="AE464" i="178"/>
  <c r="AF464" i="178"/>
  <c r="AG464" i="178"/>
  <c r="AH464" i="178"/>
  <c r="AI464" i="178"/>
  <c r="AJ464" i="178"/>
  <c r="AK464" i="178"/>
  <c r="AL464" i="178"/>
  <c r="AM464" i="178"/>
  <c r="AN464" i="178"/>
  <c r="AO464" i="178"/>
  <c r="Q1018" i="178"/>
  <c r="S1018" i="178" s="1"/>
  <c r="T1018" i="178"/>
  <c r="V1018" i="178" s="1"/>
  <c r="W1018" i="178"/>
  <c r="AD1018" i="178"/>
  <c r="AE1018" i="178"/>
  <c r="AF1018" i="178"/>
  <c r="AG1018" i="178"/>
  <c r="AH1018" i="178"/>
  <c r="AI1018" i="178"/>
  <c r="AJ1018" i="178"/>
  <c r="AK1018" i="178"/>
  <c r="AL1018" i="178"/>
  <c r="AM1018" i="178"/>
  <c r="AN1018" i="178"/>
  <c r="AO1018" i="178"/>
  <c r="S466" i="178"/>
  <c r="T466" i="178"/>
  <c r="V466" i="178" s="1"/>
  <c r="W466" i="178"/>
  <c r="AD466" i="178"/>
  <c r="AE466" i="178"/>
  <c r="AF466" i="178"/>
  <c r="AG466" i="178"/>
  <c r="AH466" i="178"/>
  <c r="AI466" i="178"/>
  <c r="AJ466" i="178"/>
  <c r="AK466" i="178"/>
  <c r="AL466" i="178"/>
  <c r="AM466" i="178"/>
  <c r="AN466" i="178"/>
  <c r="AO466" i="178"/>
  <c r="Q569" i="178"/>
  <c r="S569" i="178" s="1"/>
  <c r="T569" i="178"/>
  <c r="V569" i="178" s="1"/>
  <c r="W569" i="178"/>
  <c r="AD569" i="178"/>
  <c r="AE569" i="178"/>
  <c r="AF569" i="178"/>
  <c r="AG569" i="178"/>
  <c r="AH569" i="178"/>
  <c r="AI569" i="178"/>
  <c r="AJ569" i="178"/>
  <c r="AK569" i="178"/>
  <c r="AL569" i="178"/>
  <c r="AM569" i="178"/>
  <c r="AN569" i="178"/>
  <c r="AO569" i="178"/>
  <c r="S468" i="178"/>
  <c r="T468" i="178"/>
  <c r="V468" i="178" s="1"/>
  <c r="W468" i="178"/>
  <c r="AD468" i="178"/>
  <c r="AE468" i="178"/>
  <c r="AF468" i="178"/>
  <c r="AG468" i="178"/>
  <c r="AH468" i="178"/>
  <c r="AI468" i="178"/>
  <c r="AJ468" i="178"/>
  <c r="AK468" i="178"/>
  <c r="AL468" i="178"/>
  <c r="AM468" i="178"/>
  <c r="AN468" i="178"/>
  <c r="AO468" i="178"/>
  <c r="Q317" i="178"/>
  <c r="S317" i="178" s="1"/>
  <c r="T317" i="178"/>
  <c r="V317" i="178" s="1"/>
  <c r="W317" i="178"/>
  <c r="AD317" i="178"/>
  <c r="AE317" i="178"/>
  <c r="AF317" i="178"/>
  <c r="AG317" i="178"/>
  <c r="AH317" i="178"/>
  <c r="AI317" i="178"/>
  <c r="AJ317" i="178"/>
  <c r="AK317" i="178"/>
  <c r="AL317" i="178"/>
  <c r="AM317" i="178"/>
  <c r="AN317" i="178"/>
  <c r="AO317" i="178"/>
  <c r="Q599" i="178"/>
  <c r="S599" i="178" s="1"/>
  <c r="T599" i="178"/>
  <c r="V599" i="178" s="1"/>
  <c r="W599" i="178"/>
  <c r="AD599" i="178"/>
  <c r="AE599" i="178"/>
  <c r="AF599" i="178"/>
  <c r="AG599" i="178"/>
  <c r="AH599" i="178"/>
  <c r="AI599" i="178"/>
  <c r="AJ599" i="178"/>
  <c r="AK599" i="178"/>
  <c r="AL599" i="178"/>
  <c r="AM599" i="178"/>
  <c r="AN599" i="178"/>
  <c r="AO599" i="178"/>
  <c r="S474" i="178"/>
  <c r="T474" i="178"/>
  <c r="V474" i="178" s="1"/>
  <c r="W474" i="178"/>
  <c r="AD474" i="178"/>
  <c r="AE474" i="178"/>
  <c r="AF474" i="178"/>
  <c r="AG474" i="178"/>
  <c r="AH474" i="178"/>
  <c r="AI474" i="178"/>
  <c r="AJ474" i="178"/>
  <c r="AK474" i="178"/>
  <c r="AL474" i="178"/>
  <c r="AM474" i="178"/>
  <c r="AN474" i="178"/>
  <c r="AO474" i="178"/>
  <c r="Q318" i="178"/>
  <c r="S318" i="178" s="1"/>
  <c r="T318" i="178"/>
  <c r="V318" i="178" s="1"/>
  <c r="W318" i="178"/>
  <c r="AD318" i="178"/>
  <c r="AE318" i="178"/>
  <c r="AF318" i="178"/>
  <c r="AG318" i="178"/>
  <c r="AH318" i="178"/>
  <c r="AI318" i="178"/>
  <c r="AJ318" i="178"/>
  <c r="AK318" i="178"/>
  <c r="AL318" i="178"/>
  <c r="AM318" i="178"/>
  <c r="AN318" i="178"/>
  <c r="AO318" i="178"/>
  <c r="S476" i="178"/>
  <c r="T476" i="178"/>
  <c r="V476" i="178" s="1"/>
  <c r="W476" i="178"/>
  <c r="AD476" i="178"/>
  <c r="AE476" i="178"/>
  <c r="AF476" i="178"/>
  <c r="AG476" i="178"/>
  <c r="AH476" i="178"/>
  <c r="AI476" i="178"/>
  <c r="AJ476" i="178"/>
  <c r="AK476" i="178"/>
  <c r="AL476" i="178"/>
  <c r="AM476" i="178"/>
  <c r="AN476" i="178"/>
  <c r="AO476" i="178"/>
  <c r="S475" i="178"/>
  <c r="T475" i="178"/>
  <c r="V475" i="178" s="1"/>
  <c r="W475" i="178"/>
  <c r="AD475" i="178"/>
  <c r="AE475" i="178"/>
  <c r="AF475" i="178"/>
  <c r="AG475" i="178"/>
  <c r="AH475" i="178"/>
  <c r="AI475" i="178"/>
  <c r="AJ475" i="178"/>
  <c r="AK475" i="178"/>
  <c r="AL475" i="178"/>
  <c r="AM475" i="178"/>
  <c r="AN475" i="178"/>
  <c r="AO475" i="178"/>
  <c r="S484" i="178"/>
  <c r="T484" i="178"/>
  <c r="V484" i="178" s="1"/>
  <c r="W484" i="178"/>
  <c r="AD484" i="178"/>
  <c r="AE484" i="178"/>
  <c r="AF484" i="178"/>
  <c r="AG484" i="178"/>
  <c r="AH484" i="178"/>
  <c r="AI484" i="178"/>
  <c r="AJ484" i="178"/>
  <c r="AK484" i="178"/>
  <c r="AL484" i="178"/>
  <c r="AM484" i="178"/>
  <c r="AN484" i="178"/>
  <c r="AO484" i="178"/>
  <c r="Q324" i="178"/>
  <c r="S324" i="178" s="1"/>
  <c r="T324" i="178"/>
  <c r="V324" i="178" s="1"/>
  <c r="W324" i="178"/>
  <c r="AD324" i="178"/>
  <c r="AE324" i="178"/>
  <c r="AF324" i="178"/>
  <c r="AG324" i="178"/>
  <c r="AH324" i="178"/>
  <c r="AI324" i="178"/>
  <c r="AJ324" i="178"/>
  <c r="AK324" i="178"/>
  <c r="AL324" i="178"/>
  <c r="AM324" i="178"/>
  <c r="AN324" i="178"/>
  <c r="AO324" i="178"/>
  <c r="S485" i="178"/>
  <c r="T485" i="178"/>
  <c r="V485" i="178" s="1"/>
  <c r="W485" i="178"/>
  <c r="AD485" i="178"/>
  <c r="AE485" i="178"/>
  <c r="AF485" i="178"/>
  <c r="AG485" i="178"/>
  <c r="AH485" i="178"/>
  <c r="AI485" i="178"/>
  <c r="AJ485" i="178"/>
  <c r="AK485" i="178"/>
  <c r="AL485" i="178"/>
  <c r="AM485" i="178"/>
  <c r="AN485" i="178"/>
  <c r="AO485" i="178"/>
  <c r="S486" i="178"/>
  <c r="T486" i="178"/>
  <c r="V486" i="178" s="1"/>
  <c r="W486" i="178"/>
  <c r="AD486" i="178"/>
  <c r="AE486" i="178"/>
  <c r="AF486" i="178"/>
  <c r="AG486" i="178"/>
  <c r="AH486" i="178"/>
  <c r="AI486" i="178"/>
  <c r="AJ486" i="178"/>
  <c r="AK486" i="178"/>
  <c r="AL486" i="178"/>
  <c r="AM486" i="178"/>
  <c r="AN486" i="178"/>
  <c r="AO486" i="178"/>
  <c r="S487" i="178"/>
  <c r="T487" i="178"/>
  <c r="V487" i="178" s="1"/>
  <c r="W487" i="178"/>
  <c r="AD487" i="178"/>
  <c r="AE487" i="178"/>
  <c r="AF487" i="178"/>
  <c r="AG487" i="178"/>
  <c r="AH487" i="178"/>
  <c r="AI487" i="178"/>
  <c r="AJ487" i="178"/>
  <c r="AK487" i="178"/>
  <c r="AL487" i="178"/>
  <c r="AM487" i="178"/>
  <c r="AN487" i="178"/>
  <c r="AO487" i="178"/>
  <c r="Q328" i="178"/>
  <c r="S328" i="178" s="1"/>
  <c r="T328" i="178"/>
  <c r="V328" i="178" s="1"/>
  <c r="W328" i="178"/>
  <c r="AD328" i="178"/>
  <c r="AE328" i="178"/>
  <c r="AF328" i="178"/>
  <c r="AG328" i="178"/>
  <c r="AH328" i="178"/>
  <c r="AI328" i="178"/>
  <c r="AJ328" i="178"/>
  <c r="AK328" i="178"/>
  <c r="AL328" i="178"/>
  <c r="AM328" i="178"/>
  <c r="AN328" i="178"/>
  <c r="AO328" i="178"/>
  <c r="S490" i="178"/>
  <c r="T490" i="178"/>
  <c r="V490" i="178" s="1"/>
  <c r="W490" i="178"/>
  <c r="AD490" i="178"/>
  <c r="AE490" i="178"/>
  <c r="AF490" i="178"/>
  <c r="AG490" i="178"/>
  <c r="AH490" i="178"/>
  <c r="AI490" i="178"/>
  <c r="AJ490" i="178"/>
  <c r="AK490" i="178"/>
  <c r="AL490" i="178"/>
  <c r="AM490" i="178"/>
  <c r="AN490" i="178"/>
  <c r="AO490" i="178"/>
  <c r="Q1019" i="178"/>
  <c r="S1019" i="178" s="1"/>
  <c r="T1019" i="178"/>
  <c r="V1019" i="178" s="1"/>
  <c r="W1019" i="178"/>
  <c r="AD1019" i="178"/>
  <c r="AE1019" i="178"/>
  <c r="AF1019" i="178"/>
  <c r="AG1019" i="178"/>
  <c r="AH1019" i="178"/>
  <c r="AI1019" i="178"/>
  <c r="AJ1019" i="178"/>
  <c r="AK1019" i="178"/>
  <c r="AL1019" i="178"/>
  <c r="AM1019" i="178"/>
  <c r="AN1019" i="178"/>
  <c r="AO1019" i="178"/>
  <c r="S492" i="178"/>
  <c r="T492" i="178"/>
  <c r="V492" i="178" s="1"/>
  <c r="W492" i="178"/>
  <c r="AD492" i="178"/>
  <c r="AE492" i="178"/>
  <c r="AF492" i="178"/>
  <c r="AG492" i="178"/>
  <c r="AH492" i="178"/>
  <c r="AI492" i="178"/>
  <c r="AJ492" i="178"/>
  <c r="AK492" i="178"/>
  <c r="AL492" i="178"/>
  <c r="AM492" i="178"/>
  <c r="AN492" i="178"/>
  <c r="AO492" i="178"/>
  <c r="Q185" i="178"/>
  <c r="S185" i="178" s="1"/>
  <c r="T185" i="178"/>
  <c r="V185" i="178" s="1"/>
  <c r="W185" i="178"/>
  <c r="AD185" i="178"/>
  <c r="AE185" i="178"/>
  <c r="AF185" i="178"/>
  <c r="AG185" i="178"/>
  <c r="AH185" i="178"/>
  <c r="AI185" i="178"/>
  <c r="AJ185" i="178"/>
  <c r="AK185" i="178"/>
  <c r="AL185" i="178"/>
  <c r="AM185" i="178"/>
  <c r="AN185" i="178"/>
  <c r="AO185" i="178"/>
  <c r="S495" i="178"/>
  <c r="T495" i="178"/>
  <c r="V495" i="178" s="1"/>
  <c r="W495" i="178"/>
  <c r="AD495" i="178"/>
  <c r="AE495" i="178"/>
  <c r="AF495" i="178"/>
  <c r="AG495" i="178"/>
  <c r="AH495" i="178"/>
  <c r="AI495" i="178"/>
  <c r="AJ495" i="178"/>
  <c r="AK495" i="178"/>
  <c r="AL495" i="178"/>
  <c r="AM495" i="178"/>
  <c r="AN495" i="178"/>
  <c r="AO495" i="178"/>
  <c r="S496" i="178"/>
  <c r="T496" i="178"/>
  <c r="V496" i="178" s="1"/>
  <c r="W496" i="178"/>
  <c r="AD496" i="178"/>
  <c r="AE496" i="178"/>
  <c r="AF496" i="178"/>
  <c r="AG496" i="178"/>
  <c r="AH496" i="178"/>
  <c r="AI496" i="178"/>
  <c r="AJ496" i="178"/>
  <c r="AK496" i="178"/>
  <c r="AL496" i="178"/>
  <c r="AM496" i="178"/>
  <c r="AN496" i="178"/>
  <c r="AO496" i="178"/>
  <c r="S500" i="178"/>
  <c r="T500" i="178"/>
  <c r="V500" i="178" s="1"/>
  <c r="W500" i="178"/>
  <c r="AD500" i="178"/>
  <c r="AE500" i="178"/>
  <c r="AF500" i="178"/>
  <c r="AG500" i="178"/>
  <c r="AH500" i="178"/>
  <c r="AI500" i="178"/>
  <c r="AJ500" i="178"/>
  <c r="AK500" i="178"/>
  <c r="AL500" i="178"/>
  <c r="AM500" i="178"/>
  <c r="AN500" i="178"/>
  <c r="AO500" i="178"/>
  <c r="S501" i="178"/>
  <c r="T501" i="178"/>
  <c r="V501" i="178" s="1"/>
  <c r="W501" i="178"/>
  <c r="AD501" i="178"/>
  <c r="AE501" i="178"/>
  <c r="AF501" i="178"/>
  <c r="AG501" i="178"/>
  <c r="AH501" i="178"/>
  <c r="AI501" i="178"/>
  <c r="AJ501" i="178"/>
  <c r="AK501" i="178"/>
  <c r="AL501" i="178"/>
  <c r="AM501" i="178"/>
  <c r="AN501" i="178"/>
  <c r="AO501" i="178"/>
  <c r="S503" i="178"/>
  <c r="T503" i="178"/>
  <c r="V503" i="178" s="1"/>
  <c r="W503" i="178"/>
  <c r="AD503" i="178"/>
  <c r="AE503" i="178"/>
  <c r="AF503" i="178"/>
  <c r="AG503" i="178"/>
  <c r="AH503" i="178"/>
  <c r="AI503" i="178"/>
  <c r="AJ503" i="178"/>
  <c r="AK503" i="178"/>
  <c r="AL503" i="178"/>
  <c r="AM503" i="178"/>
  <c r="AN503" i="178"/>
  <c r="AO503" i="178"/>
  <c r="S509" i="178"/>
  <c r="T509" i="178"/>
  <c r="V509" i="178" s="1"/>
  <c r="W509" i="178"/>
  <c r="AD509" i="178"/>
  <c r="AE509" i="178"/>
  <c r="AF509" i="178"/>
  <c r="AG509" i="178"/>
  <c r="AH509" i="178"/>
  <c r="AI509" i="178"/>
  <c r="AJ509" i="178"/>
  <c r="AK509" i="178"/>
  <c r="AL509" i="178"/>
  <c r="AM509" i="178"/>
  <c r="AN509" i="178"/>
  <c r="AO509" i="178"/>
  <c r="S511" i="178"/>
  <c r="T511" i="178"/>
  <c r="V511" i="178" s="1"/>
  <c r="W511" i="178"/>
  <c r="AD511" i="178"/>
  <c r="AE511" i="178"/>
  <c r="AF511" i="178"/>
  <c r="AG511" i="178"/>
  <c r="AH511" i="178"/>
  <c r="AI511" i="178"/>
  <c r="AJ511" i="178"/>
  <c r="AK511" i="178"/>
  <c r="AL511" i="178"/>
  <c r="AM511" i="178"/>
  <c r="AN511" i="178"/>
  <c r="AO511" i="178"/>
  <c r="S520" i="178"/>
  <c r="T520" i="178"/>
  <c r="V520" i="178" s="1"/>
  <c r="W520" i="178"/>
  <c r="AD520" i="178"/>
  <c r="AE520" i="178"/>
  <c r="AF520" i="178"/>
  <c r="AG520" i="178"/>
  <c r="AH520" i="178"/>
  <c r="AI520" i="178"/>
  <c r="AJ520" i="178"/>
  <c r="AK520" i="178"/>
  <c r="AL520" i="178"/>
  <c r="AM520" i="178"/>
  <c r="AN520" i="178"/>
  <c r="AO520" i="178"/>
  <c r="S527" i="178"/>
  <c r="T527" i="178"/>
  <c r="V527" i="178" s="1"/>
  <c r="W527" i="178"/>
  <c r="AD527" i="178"/>
  <c r="AE527" i="178"/>
  <c r="AF527" i="178"/>
  <c r="AG527" i="178"/>
  <c r="AH527" i="178"/>
  <c r="AI527" i="178"/>
  <c r="AJ527" i="178"/>
  <c r="AK527" i="178"/>
  <c r="AL527" i="178"/>
  <c r="AM527" i="178"/>
  <c r="AN527" i="178"/>
  <c r="AO527" i="178"/>
  <c r="S528" i="178"/>
  <c r="T528" i="178"/>
  <c r="V528" i="178" s="1"/>
  <c r="W528" i="178"/>
  <c r="AD528" i="178"/>
  <c r="AE528" i="178"/>
  <c r="AF528" i="178"/>
  <c r="AG528" i="178"/>
  <c r="AH528" i="178"/>
  <c r="AI528" i="178"/>
  <c r="AJ528" i="178"/>
  <c r="AK528" i="178"/>
  <c r="AL528" i="178"/>
  <c r="AM528" i="178"/>
  <c r="AN528" i="178"/>
  <c r="AO528" i="178"/>
  <c r="S530" i="178"/>
  <c r="T530" i="178"/>
  <c r="V530" i="178" s="1"/>
  <c r="W530" i="178"/>
  <c r="AD530" i="178"/>
  <c r="AE530" i="178"/>
  <c r="AF530" i="178"/>
  <c r="AG530" i="178"/>
  <c r="AH530" i="178"/>
  <c r="AI530" i="178"/>
  <c r="AJ530" i="178"/>
  <c r="AK530" i="178"/>
  <c r="AL530" i="178"/>
  <c r="AM530" i="178"/>
  <c r="AN530" i="178"/>
  <c r="AO530" i="178"/>
  <c r="S531" i="178"/>
  <c r="T531" i="178"/>
  <c r="V531" i="178" s="1"/>
  <c r="W531" i="178"/>
  <c r="AD531" i="178"/>
  <c r="AE531" i="178"/>
  <c r="AF531" i="178"/>
  <c r="AG531" i="178"/>
  <c r="AH531" i="178"/>
  <c r="AI531" i="178"/>
  <c r="AJ531" i="178"/>
  <c r="AK531" i="178"/>
  <c r="AL531" i="178"/>
  <c r="AM531" i="178"/>
  <c r="AN531" i="178"/>
  <c r="AO531" i="178"/>
  <c r="S532" i="178"/>
  <c r="T532" i="178"/>
  <c r="V532" i="178" s="1"/>
  <c r="W532" i="178"/>
  <c r="AD532" i="178"/>
  <c r="AE532" i="178"/>
  <c r="AF532" i="178"/>
  <c r="AG532" i="178"/>
  <c r="AH532" i="178"/>
  <c r="AI532" i="178"/>
  <c r="AJ532" i="178"/>
  <c r="AK532" i="178"/>
  <c r="AL532" i="178"/>
  <c r="AM532" i="178"/>
  <c r="AN532" i="178"/>
  <c r="AO532" i="178"/>
  <c r="S533" i="178"/>
  <c r="T533" i="178"/>
  <c r="V533" i="178" s="1"/>
  <c r="W533" i="178"/>
  <c r="AD533" i="178"/>
  <c r="AE533" i="178"/>
  <c r="AF533" i="178"/>
  <c r="AG533" i="178"/>
  <c r="AH533" i="178"/>
  <c r="AI533" i="178"/>
  <c r="AJ533" i="178"/>
  <c r="AK533" i="178"/>
  <c r="AL533" i="178"/>
  <c r="AM533" i="178"/>
  <c r="AN533" i="178"/>
  <c r="AO533" i="178"/>
  <c r="S537" i="178"/>
  <c r="T537" i="178"/>
  <c r="V537" i="178" s="1"/>
  <c r="W537" i="178"/>
  <c r="AD537" i="178"/>
  <c r="AE537" i="178"/>
  <c r="AF537" i="178"/>
  <c r="AG537" i="178"/>
  <c r="AH537" i="178"/>
  <c r="AI537" i="178"/>
  <c r="AJ537" i="178"/>
  <c r="AK537" i="178"/>
  <c r="AL537" i="178"/>
  <c r="AM537" i="178"/>
  <c r="AN537" i="178"/>
  <c r="AO537" i="178"/>
  <c r="S538" i="178"/>
  <c r="T538" i="178"/>
  <c r="V538" i="178" s="1"/>
  <c r="W538" i="178"/>
  <c r="AD538" i="178"/>
  <c r="AE538" i="178"/>
  <c r="AF538" i="178"/>
  <c r="AG538" i="178"/>
  <c r="AH538" i="178"/>
  <c r="AI538" i="178"/>
  <c r="AJ538" i="178"/>
  <c r="AK538" i="178"/>
  <c r="AL538" i="178"/>
  <c r="AM538" i="178"/>
  <c r="AN538" i="178"/>
  <c r="AO538" i="178"/>
  <c r="S542" i="178"/>
  <c r="T542" i="178"/>
  <c r="V542" i="178" s="1"/>
  <c r="W542" i="178"/>
  <c r="AD542" i="178"/>
  <c r="AE542" i="178"/>
  <c r="AF542" i="178"/>
  <c r="AG542" i="178"/>
  <c r="AH542" i="178"/>
  <c r="AI542" i="178"/>
  <c r="AJ542" i="178"/>
  <c r="AK542" i="178"/>
  <c r="AL542" i="178"/>
  <c r="AM542" i="178"/>
  <c r="AN542" i="178"/>
  <c r="AO542" i="178"/>
  <c r="S546" i="178"/>
  <c r="T546" i="178"/>
  <c r="V546" i="178" s="1"/>
  <c r="W546" i="178"/>
  <c r="AD546" i="178"/>
  <c r="AE546" i="178"/>
  <c r="AF546" i="178"/>
  <c r="AG546" i="178"/>
  <c r="AH546" i="178"/>
  <c r="AI546" i="178"/>
  <c r="AJ546" i="178"/>
  <c r="AK546" i="178"/>
  <c r="AL546" i="178"/>
  <c r="AM546" i="178"/>
  <c r="AN546" i="178"/>
  <c r="AO546" i="178"/>
  <c r="S550" i="178"/>
  <c r="T550" i="178"/>
  <c r="V550" i="178" s="1"/>
  <c r="W550" i="178"/>
  <c r="AD550" i="178"/>
  <c r="AE550" i="178"/>
  <c r="AF550" i="178"/>
  <c r="AG550" i="178"/>
  <c r="AH550" i="178"/>
  <c r="AI550" i="178"/>
  <c r="AJ550" i="178"/>
  <c r="AK550" i="178"/>
  <c r="AL550" i="178"/>
  <c r="AM550" i="178"/>
  <c r="AN550" i="178"/>
  <c r="AO550" i="178"/>
  <c r="S554" i="178"/>
  <c r="T554" i="178"/>
  <c r="V554" i="178" s="1"/>
  <c r="W554" i="178"/>
  <c r="AD554" i="178"/>
  <c r="AE554" i="178"/>
  <c r="AF554" i="178"/>
  <c r="AG554" i="178"/>
  <c r="AH554" i="178"/>
  <c r="AI554" i="178"/>
  <c r="AJ554" i="178"/>
  <c r="AK554" i="178"/>
  <c r="AL554" i="178"/>
  <c r="AM554" i="178"/>
  <c r="AN554" i="178"/>
  <c r="AO554" i="178"/>
  <c r="S559" i="178"/>
  <c r="T559" i="178"/>
  <c r="V559" i="178" s="1"/>
  <c r="W559" i="178"/>
  <c r="AD559" i="178"/>
  <c r="AE559" i="178"/>
  <c r="AF559" i="178"/>
  <c r="AG559" i="178"/>
  <c r="AH559" i="178"/>
  <c r="AI559" i="178"/>
  <c r="AJ559" i="178"/>
  <c r="AK559" i="178"/>
  <c r="AL559" i="178"/>
  <c r="AM559" i="178"/>
  <c r="AN559" i="178"/>
  <c r="AO559" i="178"/>
  <c r="S564" i="178"/>
  <c r="T564" i="178"/>
  <c r="V564" i="178" s="1"/>
  <c r="W564" i="178"/>
  <c r="AD564" i="178"/>
  <c r="AE564" i="178"/>
  <c r="AF564" i="178"/>
  <c r="AG564" i="178"/>
  <c r="AH564" i="178"/>
  <c r="AI564" i="178"/>
  <c r="AJ564" i="178"/>
  <c r="AK564" i="178"/>
  <c r="AL564" i="178"/>
  <c r="AM564" i="178"/>
  <c r="AN564" i="178"/>
  <c r="AO564" i="178"/>
  <c r="S571" i="178"/>
  <c r="T571" i="178"/>
  <c r="V571" i="178" s="1"/>
  <c r="W571" i="178"/>
  <c r="AD571" i="178"/>
  <c r="AE571" i="178"/>
  <c r="AF571" i="178"/>
  <c r="AG571" i="178"/>
  <c r="AH571" i="178"/>
  <c r="AI571" i="178"/>
  <c r="AJ571" i="178"/>
  <c r="AK571" i="178"/>
  <c r="AL571" i="178"/>
  <c r="AM571" i="178"/>
  <c r="AN571" i="178"/>
  <c r="AO571" i="178"/>
  <c r="S577" i="178"/>
  <c r="T577" i="178"/>
  <c r="V577" i="178" s="1"/>
  <c r="W577" i="178"/>
  <c r="AD577" i="178"/>
  <c r="AE577" i="178"/>
  <c r="AF577" i="178"/>
  <c r="AG577" i="178"/>
  <c r="AH577" i="178"/>
  <c r="AI577" i="178"/>
  <c r="AJ577" i="178"/>
  <c r="AK577" i="178"/>
  <c r="AL577" i="178"/>
  <c r="AM577" i="178"/>
  <c r="AN577" i="178"/>
  <c r="AO577" i="178"/>
  <c r="S579" i="178"/>
  <c r="T579" i="178"/>
  <c r="V579" i="178" s="1"/>
  <c r="W579" i="178"/>
  <c r="AD579" i="178"/>
  <c r="AE579" i="178"/>
  <c r="AF579" i="178"/>
  <c r="AG579" i="178"/>
  <c r="AH579" i="178"/>
  <c r="AI579" i="178"/>
  <c r="AJ579" i="178"/>
  <c r="AK579" i="178"/>
  <c r="AL579" i="178"/>
  <c r="AM579" i="178"/>
  <c r="AN579" i="178"/>
  <c r="AO579" i="178"/>
  <c r="Q419" i="178"/>
  <c r="S419" i="178" s="1"/>
  <c r="T419" i="178"/>
  <c r="V419" i="178" s="1"/>
  <c r="W419" i="178"/>
  <c r="AD419" i="178"/>
  <c r="AE419" i="178"/>
  <c r="AF419" i="178"/>
  <c r="AG419" i="178"/>
  <c r="AH419" i="178"/>
  <c r="AI419" i="178"/>
  <c r="AJ419" i="178"/>
  <c r="AK419" i="178"/>
  <c r="AL419" i="178"/>
  <c r="AM419" i="178"/>
  <c r="AN419" i="178"/>
  <c r="AO419" i="178"/>
  <c r="Q1020" i="178"/>
  <c r="S1020" i="178" s="1"/>
  <c r="T1020" i="178"/>
  <c r="V1020" i="178" s="1"/>
  <c r="W1020" i="178"/>
  <c r="AD1020" i="178"/>
  <c r="AE1020" i="178"/>
  <c r="AF1020" i="178"/>
  <c r="AG1020" i="178"/>
  <c r="AH1020" i="178"/>
  <c r="AI1020" i="178"/>
  <c r="AJ1020" i="178"/>
  <c r="AK1020" i="178"/>
  <c r="AL1020" i="178"/>
  <c r="AM1020" i="178"/>
  <c r="AN1020" i="178"/>
  <c r="AO1020" i="178"/>
  <c r="Q737" i="178"/>
  <c r="S737" i="178" s="1"/>
  <c r="T737" i="178"/>
  <c r="U737" i="178" s="1"/>
  <c r="W737" i="178"/>
  <c r="AD737" i="178"/>
  <c r="AE737" i="178"/>
  <c r="AF737" i="178"/>
  <c r="AG737" i="178"/>
  <c r="AH737" i="178"/>
  <c r="AI737" i="178"/>
  <c r="AJ737" i="178"/>
  <c r="AK737" i="178"/>
  <c r="AL737" i="178"/>
  <c r="AM737" i="178"/>
  <c r="AN737" i="178"/>
  <c r="AO737" i="178"/>
  <c r="Q738" i="178"/>
  <c r="S738" i="178" s="1"/>
  <c r="T738" i="178"/>
  <c r="U738" i="178" s="1"/>
  <c r="W738" i="178"/>
  <c r="AD738" i="178"/>
  <c r="AE738" i="178"/>
  <c r="AF738" i="178"/>
  <c r="AG738" i="178"/>
  <c r="AH738" i="178"/>
  <c r="AI738" i="178"/>
  <c r="AJ738" i="178"/>
  <c r="AK738" i="178"/>
  <c r="AL738" i="178"/>
  <c r="AM738" i="178"/>
  <c r="AN738" i="178"/>
  <c r="AO738" i="178"/>
  <c r="B8" i="178"/>
  <c r="B9" i="178"/>
  <c r="B10" i="178"/>
  <c r="B11" i="178"/>
  <c r="B12" i="178"/>
  <c r="B13" i="178"/>
  <c r="B14" i="178"/>
  <c r="B15" i="178"/>
  <c r="B16" i="178"/>
  <c r="B17" i="178"/>
  <c r="B127" i="178"/>
  <c r="B18" i="178"/>
  <c r="B19" i="178"/>
  <c r="B20" i="178"/>
  <c r="B21" i="178"/>
  <c r="B22" i="178"/>
  <c r="B23" i="178"/>
  <c r="B24" i="178"/>
  <c r="B25" i="178"/>
  <c r="B28" i="178"/>
  <c r="B30" i="178"/>
  <c r="B38" i="178"/>
  <c r="B39" i="178"/>
  <c r="B917" i="178"/>
  <c r="B128" i="178"/>
  <c r="B40" i="178"/>
  <c r="B41" i="178"/>
  <c r="B129" i="178"/>
  <c r="B752" i="178"/>
  <c r="B515" i="178"/>
  <c r="B919" i="178"/>
  <c r="B130" i="178"/>
  <c r="B539" i="178"/>
  <c r="B920" i="178"/>
  <c r="B131" i="178"/>
  <c r="B540" i="178"/>
  <c r="B43" i="178"/>
  <c r="B44" i="178"/>
  <c r="B45" i="178"/>
  <c r="B46" i="178"/>
  <c r="B47" i="178"/>
  <c r="B64" i="178"/>
  <c r="B71" i="178"/>
  <c r="B72" i="178"/>
  <c r="B73" i="178"/>
  <c r="B74" i="178"/>
  <c r="B75" i="178"/>
  <c r="B76" i="178"/>
  <c r="B133" i="178"/>
  <c r="B519" i="178"/>
  <c r="B921" i="178"/>
  <c r="B105" i="178"/>
  <c r="B106" i="178"/>
  <c r="B107" i="178"/>
  <c r="B108" i="178"/>
  <c r="B288" i="178"/>
  <c r="B295" i="178"/>
  <c r="B134" i="178"/>
  <c r="B541" i="178"/>
  <c r="B135" i="178"/>
  <c r="B81" i="178"/>
  <c r="B82" i="178"/>
  <c r="B83" i="178"/>
  <c r="B84" i="178"/>
  <c r="B85" i="178"/>
  <c r="B86" i="178"/>
  <c r="B87" i="178"/>
  <c r="B90" i="178"/>
  <c r="B91" i="178"/>
  <c r="B94" i="178"/>
  <c r="B100" i="178"/>
  <c r="B101" i="178"/>
  <c r="B102" i="178"/>
  <c r="B103" i="178"/>
  <c r="B109" i="178"/>
  <c r="B110" i="178"/>
  <c r="B111" i="178"/>
  <c r="B112" i="178"/>
  <c r="B115" i="178"/>
  <c r="B299" i="178"/>
  <c r="B119" i="178"/>
  <c r="B544" i="178"/>
  <c r="B121" i="178"/>
  <c r="B132" i="178"/>
  <c r="B756" i="178"/>
  <c r="B138" i="178"/>
  <c r="B757" i="178"/>
  <c r="B300" i="178"/>
  <c r="B758" i="178"/>
  <c r="B220" i="178"/>
  <c r="B303" i="178"/>
  <c r="B304" i="178"/>
  <c r="B764" i="178"/>
  <c r="B305" i="178"/>
  <c r="B306" i="178"/>
  <c r="B307" i="178"/>
  <c r="B581" i="178"/>
  <c r="B308" i="178"/>
  <c r="B309" i="178"/>
  <c r="B310" i="178"/>
  <c r="B311" i="178"/>
  <c r="B582" i="178"/>
  <c r="B312" i="178"/>
  <c r="B157" i="178"/>
  <c r="B583" i="178"/>
  <c r="B184" i="178"/>
  <c r="B194" i="178"/>
  <c r="B208" i="178"/>
  <c r="B209" i="178"/>
  <c r="B210" i="178"/>
  <c r="B211" i="178"/>
  <c r="B212" i="178"/>
  <c r="B213" i="178"/>
  <c r="B214" i="178"/>
  <c r="B215" i="178"/>
  <c r="B216" i="178"/>
  <c r="B217" i="178"/>
  <c r="B218" i="178"/>
  <c r="B153" i="178"/>
  <c r="B545" i="178"/>
  <c r="B548" i="178"/>
  <c r="B549" i="178"/>
  <c r="B766" i="178"/>
  <c r="B66" i="178"/>
  <c r="B67" i="178"/>
  <c r="B68" i="178"/>
  <c r="B69" i="178"/>
  <c r="B116" i="178"/>
  <c r="B117" i="178"/>
  <c r="B118" i="178"/>
  <c r="B313" i="178"/>
  <c r="B314" i="178"/>
  <c r="B903" i="178"/>
  <c r="B158" i="178"/>
  <c r="B233" i="178"/>
  <c r="B234" i="178"/>
  <c r="B988" i="178"/>
  <c r="B585" i="178"/>
  <c r="B989" i="178"/>
  <c r="B586" i="178"/>
  <c r="B238" i="178"/>
  <c r="B240" i="178"/>
  <c r="B242" i="178"/>
  <c r="B243" i="178"/>
  <c r="B990" i="178"/>
  <c r="B587" i="178"/>
  <c r="B244" i="178"/>
  <c r="B245" i="178"/>
  <c r="B239" i="178"/>
  <c r="B991" i="178"/>
  <c r="B588" i="178"/>
  <c r="B259" i="178"/>
  <c r="B260" i="178"/>
  <c r="B261" i="178"/>
  <c r="B262" i="178"/>
  <c r="B267" i="178"/>
  <c r="B228" i="178"/>
  <c r="B993" i="178"/>
  <c r="B994" i="178"/>
  <c r="B162" i="178"/>
  <c r="B163" i="178"/>
  <c r="B671" i="178"/>
  <c r="B154" i="178"/>
  <c r="B995" i="178"/>
  <c r="B996" i="178"/>
  <c r="B998" i="178"/>
  <c r="B999" i="178"/>
  <c r="B589" i="178"/>
  <c r="B268" i="178"/>
  <c r="B269" i="178"/>
  <c r="B272" i="178"/>
  <c r="B273" i="178"/>
  <c r="B274" i="178"/>
  <c r="B275" i="178"/>
  <c r="B276" i="178"/>
  <c r="B281" i="178"/>
  <c r="B282" i="178"/>
  <c r="B283" i="178"/>
  <c r="B290" i="178"/>
  <c r="B298" i="178"/>
  <c r="B301" i="178"/>
  <c r="B315" i="178"/>
  <c r="B320" i="178"/>
  <c r="B319" i="178"/>
  <c r="B325" i="178"/>
  <c r="B335" i="178"/>
  <c r="B340" i="178"/>
  <c r="B156" i="178"/>
  <c r="B343" i="178"/>
  <c r="B347" i="178"/>
  <c r="B351" i="178"/>
  <c r="B352" i="178"/>
  <c r="B353" i="178"/>
  <c r="B355" i="178"/>
  <c r="B356" i="178"/>
  <c r="B359" i="178"/>
  <c r="B366" i="178"/>
  <c r="B367" i="178"/>
  <c r="B368" i="178"/>
  <c r="B369" i="178"/>
  <c r="B370" i="178"/>
  <c r="B371" i="178"/>
  <c r="B372" i="178"/>
  <c r="B373" i="178"/>
  <c r="B374" i="178"/>
  <c r="B375" i="178"/>
  <c r="B376" i="178"/>
  <c r="B377" i="178"/>
  <c r="B1001" i="178"/>
  <c r="B1002" i="178"/>
  <c r="B1011" i="178"/>
  <c r="B1012" i="178"/>
  <c r="B1013" i="178"/>
  <c r="B1014" i="178"/>
  <c r="B592" i="178"/>
  <c r="B380" i="178"/>
  <c r="B381" i="178"/>
  <c r="B382" i="178"/>
  <c r="B383" i="178"/>
  <c r="B1015" i="178"/>
  <c r="B593" i="178"/>
  <c r="B1016" i="178"/>
  <c r="B594" i="178"/>
  <c r="B384" i="178"/>
  <c r="B385" i="178"/>
  <c r="B386" i="178"/>
  <c r="B175" i="178"/>
  <c r="B387" i="178"/>
  <c r="B388" i="178"/>
  <c r="B389" i="178"/>
  <c r="B180" i="178"/>
  <c r="B181" i="178"/>
  <c r="B462" i="178"/>
  <c r="B568" i="178"/>
  <c r="B463" i="178"/>
  <c r="B230" i="178"/>
  <c r="B464" i="178"/>
  <c r="B1018" i="178"/>
  <c r="B466" i="178"/>
  <c r="B569" i="178"/>
  <c r="B468" i="178"/>
  <c r="B317" i="178"/>
  <c r="B599" i="178"/>
  <c r="B474" i="178"/>
  <c r="B318" i="178"/>
  <c r="B476" i="178"/>
  <c r="B475" i="178"/>
  <c r="B484" i="178"/>
  <c r="B324" i="178"/>
  <c r="B485" i="178"/>
  <c r="B486" i="178"/>
  <c r="B487" i="178"/>
  <c r="B328" i="178"/>
  <c r="B490" i="178"/>
  <c r="B1019" i="178"/>
  <c r="B492" i="178"/>
  <c r="B185" i="178"/>
  <c r="B495" i="178"/>
  <c r="B496" i="178"/>
  <c r="B500" i="178"/>
  <c r="B501" i="178"/>
  <c r="B503" i="178"/>
  <c r="B509" i="178"/>
  <c r="B511" i="178"/>
  <c r="B520" i="178"/>
  <c r="B527" i="178"/>
  <c r="B528" i="178"/>
  <c r="B530" i="178"/>
  <c r="B531" i="178"/>
  <c r="B532" i="178"/>
  <c r="B533" i="178"/>
  <c r="B537" i="178"/>
  <c r="B538" i="178"/>
  <c r="B542" i="178"/>
  <c r="B546" i="178"/>
  <c r="B550" i="178"/>
  <c r="B554" i="178"/>
  <c r="B559" i="178"/>
  <c r="B564" i="178"/>
  <c r="B571" i="178"/>
  <c r="B577" i="178"/>
  <c r="B579" i="178"/>
  <c r="B419" i="178"/>
  <c r="B1020" i="178"/>
  <c r="B737" i="178"/>
  <c r="B738" i="178"/>
  <c r="B186" i="178"/>
  <c r="B601" i="178"/>
  <c r="B606" i="178"/>
  <c r="B418" i="178"/>
  <c r="B742" i="178"/>
  <c r="B744" i="178"/>
  <c r="B745" i="178"/>
  <c r="B187" i="178"/>
  <c r="B602" i="178"/>
  <c r="B727" i="178"/>
  <c r="B188" i="178"/>
  <c r="B636" i="178"/>
  <c r="B637" i="178"/>
  <c r="B638" i="178"/>
  <c r="B639" i="178"/>
  <c r="B425" i="178"/>
  <c r="B730" i="178"/>
  <c r="B731" i="178"/>
  <c r="B732" i="178"/>
  <c r="B191" i="178"/>
  <c r="B613" i="178"/>
  <c r="B426" i="178"/>
  <c r="B733" i="178"/>
  <c r="Q601" i="178"/>
  <c r="S601" i="178" s="1"/>
  <c r="T601" i="178"/>
  <c r="V601" i="178" s="1"/>
  <c r="W601" i="178"/>
  <c r="AD601" i="178"/>
  <c r="AE601" i="178"/>
  <c r="AF601" i="178"/>
  <c r="AG601" i="178"/>
  <c r="AH601" i="178"/>
  <c r="AI601" i="178"/>
  <c r="AJ601" i="178"/>
  <c r="AK601" i="178"/>
  <c r="AL601" i="178"/>
  <c r="AM601" i="178"/>
  <c r="AN601" i="178"/>
  <c r="AO601" i="178"/>
  <c r="S606" i="178"/>
  <c r="T606" i="178"/>
  <c r="V606" i="178" s="1"/>
  <c r="W606" i="178"/>
  <c r="AD606" i="178"/>
  <c r="AE606" i="178"/>
  <c r="AF606" i="178"/>
  <c r="AG606" i="178"/>
  <c r="AH606" i="178"/>
  <c r="AI606" i="178"/>
  <c r="AJ606" i="178"/>
  <c r="AK606" i="178"/>
  <c r="AL606" i="178"/>
  <c r="AM606" i="178"/>
  <c r="AN606" i="178"/>
  <c r="AO606" i="178"/>
  <c r="Q418" i="178"/>
  <c r="S418" i="178" s="1"/>
  <c r="T418" i="178"/>
  <c r="W418" i="178"/>
  <c r="AD418" i="178"/>
  <c r="AE418" i="178"/>
  <c r="AF418" i="178"/>
  <c r="AG418" i="178"/>
  <c r="AH418" i="178"/>
  <c r="AI418" i="178"/>
  <c r="AJ418" i="178"/>
  <c r="AK418" i="178"/>
  <c r="AL418" i="178"/>
  <c r="AM418" i="178"/>
  <c r="AN418" i="178"/>
  <c r="AO418" i="178"/>
  <c r="Q742" i="178"/>
  <c r="T742" i="178"/>
  <c r="V742" i="178" s="1"/>
  <c r="W742" i="178"/>
  <c r="AD742" i="178"/>
  <c r="AE742" i="178"/>
  <c r="AF742" i="178"/>
  <c r="AG742" i="178"/>
  <c r="AH742" i="178"/>
  <c r="AI742" i="178"/>
  <c r="AJ742" i="178"/>
  <c r="AK742" i="178"/>
  <c r="AL742" i="178"/>
  <c r="AM742" i="178"/>
  <c r="AN742" i="178"/>
  <c r="AO742" i="178"/>
  <c r="Q744" i="178"/>
  <c r="S744" i="178" s="1"/>
  <c r="T744" i="178"/>
  <c r="V744" i="178" s="1"/>
  <c r="W744" i="178"/>
  <c r="AD744" i="178"/>
  <c r="AE744" i="178"/>
  <c r="AF744" i="178"/>
  <c r="AG744" i="178"/>
  <c r="AH744" i="178"/>
  <c r="AI744" i="178"/>
  <c r="AJ744" i="178"/>
  <c r="AK744" i="178"/>
  <c r="AL744" i="178"/>
  <c r="AM744" i="178"/>
  <c r="AN744" i="178"/>
  <c r="AO744" i="178"/>
  <c r="Q745" i="178"/>
  <c r="S745" i="178" s="1"/>
  <c r="T745" i="178"/>
  <c r="V745" i="178" s="1"/>
  <c r="W745" i="178"/>
  <c r="AD745" i="178"/>
  <c r="AE745" i="178"/>
  <c r="AF745" i="178"/>
  <c r="AG745" i="178"/>
  <c r="AH745" i="178"/>
  <c r="AI745" i="178"/>
  <c r="AJ745" i="178"/>
  <c r="AK745" i="178"/>
  <c r="AL745" i="178"/>
  <c r="AM745" i="178"/>
  <c r="AN745" i="178"/>
  <c r="AO745" i="178"/>
  <c r="Q187" i="178"/>
  <c r="S187" i="178" s="1"/>
  <c r="T187" i="178"/>
  <c r="V187" i="178" s="1"/>
  <c r="W187" i="178"/>
  <c r="AD187" i="178"/>
  <c r="AE187" i="178"/>
  <c r="AF187" i="178"/>
  <c r="AG187" i="178"/>
  <c r="AH187" i="178"/>
  <c r="AI187" i="178"/>
  <c r="AJ187" i="178"/>
  <c r="AK187" i="178"/>
  <c r="AL187" i="178"/>
  <c r="AM187" i="178"/>
  <c r="AN187" i="178"/>
  <c r="AO187" i="178"/>
  <c r="Q602" i="178"/>
  <c r="S602" i="178" s="1"/>
  <c r="T602" i="178"/>
  <c r="W602" i="178"/>
  <c r="AD602" i="178"/>
  <c r="AE602" i="178"/>
  <c r="AF602" i="178"/>
  <c r="AG602" i="178"/>
  <c r="AH602" i="178"/>
  <c r="AI602" i="178"/>
  <c r="AJ602" i="178"/>
  <c r="AK602" i="178"/>
  <c r="AL602" i="178"/>
  <c r="AM602" i="178"/>
  <c r="AN602" i="178"/>
  <c r="AO602" i="178"/>
  <c r="Q727" i="178"/>
  <c r="S727" i="178" s="1"/>
  <c r="T727" i="178"/>
  <c r="V727" i="178" s="1"/>
  <c r="W727" i="178"/>
  <c r="AD727" i="178"/>
  <c r="AE727" i="178"/>
  <c r="AF727" i="178"/>
  <c r="AG727" i="178"/>
  <c r="AH727" i="178"/>
  <c r="AI727" i="178"/>
  <c r="AJ727" i="178"/>
  <c r="AK727" i="178"/>
  <c r="AL727" i="178"/>
  <c r="AM727" i="178"/>
  <c r="AN727" i="178"/>
  <c r="AO727" i="178"/>
  <c r="Q188" i="178"/>
  <c r="S188" i="178" s="1"/>
  <c r="T188" i="178"/>
  <c r="V188" i="178" s="1"/>
  <c r="W188" i="178"/>
  <c r="AD188" i="178"/>
  <c r="AE188" i="178"/>
  <c r="AF188" i="178"/>
  <c r="AG188" i="178"/>
  <c r="AH188" i="178"/>
  <c r="AI188" i="178"/>
  <c r="AJ188" i="178"/>
  <c r="AK188" i="178"/>
  <c r="AL188" i="178"/>
  <c r="AM188" i="178"/>
  <c r="AN188" i="178"/>
  <c r="AO188" i="178"/>
  <c r="S636" i="178"/>
  <c r="T636" i="178"/>
  <c r="V636" i="178" s="1"/>
  <c r="W636" i="178"/>
  <c r="AD636" i="178"/>
  <c r="AE636" i="178"/>
  <c r="AF636" i="178"/>
  <c r="AG636" i="178"/>
  <c r="AH636" i="178"/>
  <c r="AI636" i="178"/>
  <c r="AJ636" i="178"/>
  <c r="AK636" i="178"/>
  <c r="AL636" i="178"/>
  <c r="AM636" i="178"/>
  <c r="AN636" i="178"/>
  <c r="AO636" i="178"/>
  <c r="S637" i="178"/>
  <c r="T637" i="178"/>
  <c r="V637" i="178" s="1"/>
  <c r="W637" i="178"/>
  <c r="AD637" i="178"/>
  <c r="AE637" i="178"/>
  <c r="AF637" i="178"/>
  <c r="AG637" i="178"/>
  <c r="AH637" i="178"/>
  <c r="AI637" i="178"/>
  <c r="AJ637" i="178"/>
  <c r="AK637" i="178"/>
  <c r="AL637" i="178"/>
  <c r="AM637" i="178"/>
  <c r="AN637" i="178"/>
  <c r="AO637" i="178"/>
  <c r="S638" i="178"/>
  <c r="T638" i="178"/>
  <c r="V638" i="178" s="1"/>
  <c r="W638" i="178"/>
  <c r="AD638" i="178"/>
  <c r="AE638" i="178"/>
  <c r="AF638" i="178"/>
  <c r="AG638" i="178"/>
  <c r="AH638" i="178"/>
  <c r="AI638" i="178"/>
  <c r="AJ638" i="178"/>
  <c r="AK638" i="178"/>
  <c r="AL638" i="178"/>
  <c r="AM638" i="178"/>
  <c r="AN638" i="178"/>
  <c r="AO638" i="178"/>
  <c r="S639" i="178"/>
  <c r="T639" i="178"/>
  <c r="W639" i="178"/>
  <c r="AD639" i="178"/>
  <c r="AE639" i="178"/>
  <c r="AF639" i="178"/>
  <c r="AG639" i="178"/>
  <c r="AH639" i="178"/>
  <c r="AI639" i="178"/>
  <c r="AJ639" i="178"/>
  <c r="AK639" i="178"/>
  <c r="AL639" i="178"/>
  <c r="AM639" i="178"/>
  <c r="AN639" i="178"/>
  <c r="AO639" i="178"/>
  <c r="Q425" i="178"/>
  <c r="S425" i="178" s="1"/>
  <c r="T425" i="178"/>
  <c r="V425" i="178" s="1"/>
  <c r="W425" i="178"/>
  <c r="AD425" i="178"/>
  <c r="AE425" i="178"/>
  <c r="AF425" i="178"/>
  <c r="AG425" i="178"/>
  <c r="AH425" i="178"/>
  <c r="AI425" i="178"/>
  <c r="AJ425" i="178"/>
  <c r="AK425" i="178"/>
  <c r="AL425" i="178"/>
  <c r="AM425" i="178"/>
  <c r="AN425" i="178"/>
  <c r="AO425" i="178"/>
  <c r="Q730" i="178"/>
  <c r="S730" i="178" s="1"/>
  <c r="T730" i="178"/>
  <c r="V730" i="178" s="1"/>
  <c r="W730" i="178"/>
  <c r="AD730" i="178"/>
  <c r="AE730" i="178"/>
  <c r="AF730" i="178"/>
  <c r="AG730" i="178"/>
  <c r="AH730" i="178"/>
  <c r="AI730" i="178"/>
  <c r="AJ730" i="178"/>
  <c r="AK730" i="178"/>
  <c r="AL730" i="178"/>
  <c r="AM730" i="178"/>
  <c r="AN730" i="178"/>
  <c r="AO730" i="178"/>
  <c r="Q731" i="178"/>
  <c r="S731" i="178" s="1"/>
  <c r="T731" i="178"/>
  <c r="W731" i="178"/>
  <c r="AD731" i="178"/>
  <c r="AE731" i="178"/>
  <c r="AF731" i="178"/>
  <c r="AG731" i="178"/>
  <c r="AH731" i="178"/>
  <c r="AI731" i="178"/>
  <c r="AJ731" i="178"/>
  <c r="AK731" i="178"/>
  <c r="AL731" i="178"/>
  <c r="AM731" i="178"/>
  <c r="AN731" i="178"/>
  <c r="AO731" i="178"/>
  <c r="Q732" i="178"/>
  <c r="S732" i="178" s="1"/>
  <c r="T732" i="178"/>
  <c r="V732" i="178" s="1"/>
  <c r="W732" i="178"/>
  <c r="AD732" i="178"/>
  <c r="AE732" i="178"/>
  <c r="AF732" i="178"/>
  <c r="AG732" i="178"/>
  <c r="AH732" i="178"/>
  <c r="AI732" i="178"/>
  <c r="AJ732" i="178"/>
  <c r="AK732" i="178"/>
  <c r="AL732" i="178"/>
  <c r="AM732" i="178"/>
  <c r="AN732" i="178"/>
  <c r="AO732" i="178"/>
  <c r="Q191" i="178"/>
  <c r="S191" i="178" s="1"/>
  <c r="T191" i="178"/>
  <c r="V191" i="178" s="1"/>
  <c r="W191" i="178"/>
  <c r="AD191" i="178"/>
  <c r="AE191" i="178"/>
  <c r="AF191" i="178"/>
  <c r="AG191" i="178"/>
  <c r="AH191" i="178"/>
  <c r="AI191" i="178"/>
  <c r="AJ191" i="178"/>
  <c r="AK191" i="178"/>
  <c r="AL191" i="178"/>
  <c r="AM191" i="178"/>
  <c r="AN191" i="178"/>
  <c r="AO191" i="178"/>
  <c r="Q613" i="178"/>
  <c r="T613" i="178"/>
  <c r="V613" i="178" s="1"/>
  <c r="W613" i="178"/>
  <c r="AD613" i="178"/>
  <c r="AE613" i="178"/>
  <c r="AF613" i="178"/>
  <c r="AG613" i="178"/>
  <c r="AH613" i="178"/>
  <c r="AI613" i="178"/>
  <c r="AJ613" i="178"/>
  <c r="AK613" i="178"/>
  <c r="AL613" i="178"/>
  <c r="AM613" i="178"/>
  <c r="AN613" i="178"/>
  <c r="AO613" i="178"/>
  <c r="Q426" i="178"/>
  <c r="S426" i="178" s="1"/>
  <c r="T426" i="178"/>
  <c r="V426" i="178" s="1"/>
  <c r="W426" i="178"/>
  <c r="AD426" i="178"/>
  <c r="AE426" i="178"/>
  <c r="AF426" i="178"/>
  <c r="AG426" i="178"/>
  <c r="AH426" i="178"/>
  <c r="AI426" i="178"/>
  <c r="AJ426" i="178"/>
  <c r="AK426" i="178"/>
  <c r="AL426" i="178"/>
  <c r="AM426" i="178"/>
  <c r="AN426" i="178"/>
  <c r="AO426" i="178"/>
  <c r="Q733" i="178"/>
  <c r="S733" i="178" s="1"/>
  <c r="T733" i="178"/>
  <c r="W733" i="178"/>
  <c r="AD733" i="178"/>
  <c r="AE733" i="178"/>
  <c r="AF733" i="178"/>
  <c r="AG733" i="178"/>
  <c r="AH733" i="178"/>
  <c r="AI733" i="178"/>
  <c r="AJ733" i="178"/>
  <c r="AK733" i="178"/>
  <c r="AL733" i="178"/>
  <c r="AM733" i="178"/>
  <c r="AN733" i="178"/>
  <c r="AO733" i="178"/>
  <c r="Q734" i="178"/>
  <c r="S734" i="178" s="1"/>
  <c r="T734" i="178"/>
  <c r="W734" i="178"/>
  <c r="AD734" i="178"/>
  <c r="AE734" i="178"/>
  <c r="AF734" i="178"/>
  <c r="AG734" i="178"/>
  <c r="AH734" i="178"/>
  <c r="AI734" i="178"/>
  <c r="AJ734" i="178"/>
  <c r="AK734" i="178"/>
  <c r="AL734" i="178"/>
  <c r="AM734" i="178"/>
  <c r="AN734" i="178"/>
  <c r="AO734" i="178"/>
  <c r="Q614" i="178"/>
  <c r="S614" i="178" s="1"/>
  <c r="T614" i="178"/>
  <c r="V614" i="178" s="1"/>
  <c r="W614" i="178"/>
  <c r="AD614" i="178"/>
  <c r="AE614" i="178"/>
  <c r="AF614" i="178"/>
  <c r="AG614" i="178"/>
  <c r="AH614" i="178"/>
  <c r="AI614" i="178"/>
  <c r="AJ614" i="178"/>
  <c r="AK614" i="178"/>
  <c r="AL614" i="178"/>
  <c r="AM614" i="178"/>
  <c r="AN614" i="178"/>
  <c r="AO614" i="178"/>
  <c r="S648" i="178"/>
  <c r="T648" i="178"/>
  <c r="W648" i="178"/>
  <c r="AD648" i="178"/>
  <c r="AE648" i="178"/>
  <c r="AF648" i="178"/>
  <c r="AG648" i="178"/>
  <c r="AH648" i="178"/>
  <c r="AI648" i="178"/>
  <c r="AJ648" i="178"/>
  <c r="AK648" i="178"/>
  <c r="AL648" i="178"/>
  <c r="AM648" i="178"/>
  <c r="AN648" i="178"/>
  <c r="AO648" i="178"/>
  <c r="S676" i="178"/>
  <c r="T676" i="178"/>
  <c r="V676" i="178" s="1"/>
  <c r="W676" i="178"/>
  <c r="AD676" i="178"/>
  <c r="AE676" i="178"/>
  <c r="AF676" i="178"/>
  <c r="AG676" i="178"/>
  <c r="AH676" i="178"/>
  <c r="AI676" i="178"/>
  <c r="AJ676" i="178"/>
  <c r="AK676" i="178"/>
  <c r="AL676" i="178"/>
  <c r="AM676" i="178"/>
  <c r="AN676" i="178"/>
  <c r="AO676" i="178"/>
  <c r="S680" i="178"/>
  <c r="T680" i="178"/>
  <c r="W680" i="178"/>
  <c r="AD680" i="178"/>
  <c r="AE680" i="178"/>
  <c r="AT680" i="178" s="1"/>
  <c r="AF680" i="178"/>
  <c r="AG680" i="178"/>
  <c r="AH680" i="178"/>
  <c r="AI680" i="178"/>
  <c r="AJ680" i="178"/>
  <c r="AK680" i="178"/>
  <c r="AL680" i="178"/>
  <c r="AM680" i="178"/>
  <c r="AN680" i="178"/>
  <c r="AO680" i="178"/>
  <c r="S690" i="178"/>
  <c r="T690" i="178"/>
  <c r="W690" i="178"/>
  <c r="AD690" i="178"/>
  <c r="AE690" i="178"/>
  <c r="AF690" i="178"/>
  <c r="AG690" i="178"/>
  <c r="AH690" i="178"/>
  <c r="AI690" i="178"/>
  <c r="AJ690" i="178"/>
  <c r="AK690" i="178"/>
  <c r="AL690" i="178"/>
  <c r="AM690" i="178"/>
  <c r="AN690" i="178"/>
  <c r="AO690" i="178"/>
  <c r="S691" i="178"/>
  <c r="T691" i="178"/>
  <c r="W691" i="178"/>
  <c r="AD691" i="178"/>
  <c r="AE691" i="178"/>
  <c r="AF691" i="178"/>
  <c r="AG691" i="178"/>
  <c r="AH691" i="178"/>
  <c r="AI691" i="178"/>
  <c r="AJ691" i="178"/>
  <c r="AK691" i="178"/>
  <c r="AL691" i="178"/>
  <c r="AM691" i="178"/>
  <c r="AN691" i="178"/>
  <c r="AO691" i="178"/>
  <c r="Q825" i="178"/>
  <c r="S825" i="178" s="1"/>
  <c r="T825" i="178"/>
  <c r="V825" i="178" s="1"/>
  <c r="W825" i="178"/>
  <c r="AD825" i="178"/>
  <c r="AE825" i="178"/>
  <c r="AF825" i="178"/>
  <c r="AG825" i="178"/>
  <c r="AH825" i="178"/>
  <c r="AI825" i="178"/>
  <c r="AJ825" i="178"/>
  <c r="AK825" i="178"/>
  <c r="AL825" i="178"/>
  <c r="AM825" i="178"/>
  <c r="AN825" i="178"/>
  <c r="AO825" i="178"/>
  <c r="Q615" i="178"/>
  <c r="S615" i="178" s="1"/>
  <c r="T615" i="178"/>
  <c r="W615" i="178"/>
  <c r="AD615" i="178"/>
  <c r="AE615" i="178"/>
  <c r="AF615" i="178"/>
  <c r="AG615" i="178"/>
  <c r="AH615" i="178"/>
  <c r="AI615" i="178"/>
  <c r="AJ615" i="178"/>
  <c r="AK615" i="178"/>
  <c r="AL615" i="178"/>
  <c r="AM615" i="178"/>
  <c r="AN615" i="178"/>
  <c r="AO615" i="178"/>
  <c r="Q427" i="178"/>
  <c r="S427" i="178" s="1"/>
  <c r="T427" i="178"/>
  <c r="V427" i="178" s="1"/>
  <c r="W427" i="178"/>
  <c r="AD427" i="178"/>
  <c r="AE427" i="178"/>
  <c r="AF427" i="178"/>
  <c r="AG427" i="178"/>
  <c r="AH427" i="178"/>
  <c r="AI427" i="178"/>
  <c r="AJ427" i="178"/>
  <c r="AK427" i="178"/>
  <c r="AL427" i="178"/>
  <c r="AM427" i="178"/>
  <c r="AN427" i="178"/>
  <c r="AO427" i="178"/>
  <c r="Q192" i="178"/>
  <c r="S192" i="178" s="1"/>
  <c r="T192" i="178"/>
  <c r="W192" i="178"/>
  <c r="AD192" i="178"/>
  <c r="AE192" i="178"/>
  <c r="AF192" i="178"/>
  <c r="AG192" i="178"/>
  <c r="AH192" i="178"/>
  <c r="AI192" i="178"/>
  <c r="AJ192" i="178"/>
  <c r="AK192" i="178"/>
  <c r="AL192" i="178"/>
  <c r="AM192" i="178"/>
  <c r="AN192" i="178"/>
  <c r="AO192" i="178"/>
  <c r="T754" i="178"/>
  <c r="W754" i="178"/>
  <c r="AD754" i="178"/>
  <c r="AE754" i="178"/>
  <c r="AF754" i="178"/>
  <c r="AG754" i="178"/>
  <c r="AH754" i="178"/>
  <c r="AI754" i="178"/>
  <c r="AJ754" i="178"/>
  <c r="AK754" i="178"/>
  <c r="AL754" i="178"/>
  <c r="AM754" i="178"/>
  <c r="AN754" i="178"/>
  <c r="AO754" i="178"/>
  <c r="S755" i="178"/>
  <c r="T755" i="178"/>
  <c r="W755" i="178"/>
  <c r="AD755" i="178"/>
  <c r="AE755" i="178"/>
  <c r="AF755" i="178"/>
  <c r="AG755" i="178"/>
  <c r="AH755" i="178"/>
  <c r="AI755" i="178"/>
  <c r="AJ755" i="178"/>
  <c r="AK755" i="178"/>
  <c r="AL755" i="178"/>
  <c r="AM755" i="178"/>
  <c r="AN755" i="178"/>
  <c r="AO755" i="178"/>
  <c r="S760" i="178"/>
  <c r="T760" i="178"/>
  <c r="W760" i="178"/>
  <c r="AD760" i="178"/>
  <c r="AE760" i="178"/>
  <c r="AF760" i="178"/>
  <c r="AG760" i="178"/>
  <c r="AH760" i="178"/>
  <c r="AI760" i="178"/>
  <c r="AJ760" i="178"/>
  <c r="AK760" i="178"/>
  <c r="AL760" i="178"/>
  <c r="AM760" i="178"/>
  <c r="AN760" i="178"/>
  <c r="AO760" i="178"/>
  <c r="S761" i="178"/>
  <c r="T761" i="178"/>
  <c r="W761" i="178"/>
  <c r="AD761" i="178"/>
  <c r="AE761" i="178"/>
  <c r="AF761" i="178"/>
  <c r="AG761" i="178"/>
  <c r="AH761" i="178"/>
  <c r="AI761" i="178"/>
  <c r="AJ761" i="178"/>
  <c r="AK761" i="178"/>
  <c r="AL761" i="178"/>
  <c r="AM761" i="178"/>
  <c r="AN761" i="178"/>
  <c r="AO761" i="178"/>
  <c r="Q428" i="178"/>
  <c r="S428" i="178" s="1"/>
  <c r="T428" i="178"/>
  <c r="U428" i="178" s="1"/>
  <c r="W428" i="178"/>
  <c r="AD428" i="178"/>
  <c r="AE428" i="178"/>
  <c r="AF428" i="178"/>
  <c r="AG428" i="178"/>
  <c r="AH428" i="178"/>
  <c r="AI428" i="178"/>
  <c r="AJ428" i="178"/>
  <c r="AK428" i="178"/>
  <c r="AL428" i="178"/>
  <c r="AM428" i="178"/>
  <c r="AN428" i="178"/>
  <c r="AO428" i="178"/>
  <c r="Q617" i="178"/>
  <c r="S617" i="178" s="1"/>
  <c r="T617" i="178"/>
  <c r="U617" i="178" s="1"/>
  <c r="W617" i="178"/>
  <c r="AD617" i="178"/>
  <c r="AE617" i="178"/>
  <c r="AF617" i="178"/>
  <c r="AG617" i="178"/>
  <c r="AH617" i="178"/>
  <c r="AI617" i="178"/>
  <c r="AJ617" i="178"/>
  <c r="AK617" i="178"/>
  <c r="AL617" i="178"/>
  <c r="AM617" i="178"/>
  <c r="AN617" i="178"/>
  <c r="AO617" i="178"/>
  <c r="Q195" i="178"/>
  <c r="S195" i="178" s="1"/>
  <c r="T195" i="178"/>
  <c r="U195" i="178" s="1"/>
  <c r="W195" i="178"/>
  <c r="AD195" i="178"/>
  <c r="AE195" i="178"/>
  <c r="AF195" i="178"/>
  <c r="AG195" i="178"/>
  <c r="AH195" i="178"/>
  <c r="AI195" i="178"/>
  <c r="AJ195" i="178"/>
  <c r="AK195" i="178"/>
  <c r="AL195" i="178"/>
  <c r="AM195" i="178"/>
  <c r="AN195" i="178"/>
  <c r="AO195" i="178"/>
  <c r="Q334" i="178"/>
  <c r="S334" i="178" s="1"/>
  <c r="T334" i="178"/>
  <c r="U334" i="178" s="1"/>
  <c r="W334" i="178"/>
  <c r="AD334" i="178"/>
  <c r="AE334" i="178"/>
  <c r="AF334" i="178"/>
  <c r="AG334" i="178"/>
  <c r="AH334" i="178"/>
  <c r="AI334" i="178"/>
  <c r="AJ334" i="178"/>
  <c r="AK334" i="178"/>
  <c r="AL334" i="178"/>
  <c r="AM334" i="178"/>
  <c r="AN334" i="178"/>
  <c r="AO334" i="178"/>
  <c r="S841" i="178"/>
  <c r="T841" i="178"/>
  <c r="W841" i="178"/>
  <c r="AD841" i="178"/>
  <c r="AE841" i="178"/>
  <c r="AF841" i="178"/>
  <c r="AG841" i="178"/>
  <c r="AH841" i="178"/>
  <c r="AI841" i="178"/>
  <c r="AJ841" i="178"/>
  <c r="AK841" i="178"/>
  <c r="AL841" i="178"/>
  <c r="AM841" i="178"/>
  <c r="AN841" i="178"/>
  <c r="AO841" i="178"/>
  <c r="Q570" i="178"/>
  <c r="S570" i="178" s="1"/>
  <c r="T570" i="178"/>
  <c r="W570" i="178"/>
  <c r="AD570" i="178"/>
  <c r="AE570" i="178"/>
  <c r="AF570" i="178"/>
  <c r="AG570" i="178"/>
  <c r="AH570" i="178"/>
  <c r="AI570" i="178"/>
  <c r="AJ570" i="178"/>
  <c r="AK570" i="178"/>
  <c r="AL570" i="178"/>
  <c r="AM570" i="178"/>
  <c r="AN570" i="178"/>
  <c r="AO570" i="178"/>
  <c r="S842" i="178"/>
  <c r="T842" i="178"/>
  <c r="W842" i="178"/>
  <c r="AD842" i="178"/>
  <c r="AE842" i="178"/>
  <c r="AF842" i="178"/>
  <c r="AG842" i="178"/>
  <c r="AH842" i="178"/>
  <c r="AI842" i="178"/>
  <c r="AJ842" i="178"/>
  <c r="AK842" i="178"/>
  <c r="AL842" i="178"/>
  <c r="AM842" i="178"/>
  <c r="AN842" i="178"/>
  <c r="AO842" i="178"/>
  <c r="Q429" i="178"/>
  <c r="S429" i="178" s="1"/>
  <c r="T429" i="178"/>
  <c r="W429" i="178"/>
  <c r="AD429" i="178"/>
  <c r="AE429" i="178"/>
  <c r="AF429" i="178"/>
  <c r="AG429" i="178"/>
  <c r="AH429" i="178"/>
  <c r="AI429" i="178"/>
  <c r="AJ429" i="178"/>
  <c r="AK429" i="178"/>
  <c r="AL429" i="178"/>
  <c r="AM429" i="178"/>
  <c r="AN429" i="178"/>
  <c r="AO429" i="178"/>
  <c r="Q572" i="178"/>
  <c r="S572" i="178" s="1"/>
  <c r="T572" i="178"/>
  <c r="W572" i="178"/>
  <c r="AD572" i="178"/>
  <c r="AE572" i="178"/>
  <c r="AF572" i="178"/>
  <c r="AG572" i="178"/>
  <c r="AH572" i="178"/>
  <c r="AI572" i="178"/>
  <c r="AJ572" i="178"/>
  <c r="AK572" i="178"/>
  <c r="AL572" i="178"/>
  <c r="AM572" i="178"/>
  <c r="AN572" i="178"/>
  <c r="AO572" i="178"/>
  <c r="S845" i="178"/>
  <c r="T845" i="178"/>
  <c r="W845" i="178"/>
  <c r="AD845" i="178"/>
  <c r="AE845" i="178"/>
  <c r="AF845" i="178"/>
  <c r="AG845" i="178"/>
  <c r="AH845" i="178"/>
  <c r="AI845" i="178"/>
  <c r="AJ845" i="178"/>
  <c r="AK845" i="178"/>
  <c r="AL845" i="178"/>
  <c r="AM845" i="178"/>
  <c r="AN845" i="178"/>
  <c r="AO845" i="178"/>
  <c r="Q430" i="178"/>
  <c r="S430" i="178" s="1"/>
  <c r="T430" i="178"/>
  <c r="W430" i="178"/>
  <c r="AD430" i="178"/>
  <c r="AE430" i="178"/>
  <c r="AF430" i="178"/>
  <c r="AG430" i="178"/>
  <c r="AH430" i="178"/>
  <c r="AI430" i="178"/>
  <c r="AJ430" i="178"/>
  <c r="AK430" i="178"/>
  <c r="AL430" i="178"/>
  <c r="AM430" i="178"/>
  <c r="AN430" i="178"/>
  <c r="AO430" i="178"/>
  <c r="Q196" i="178"/>
  <c r="S196" i="178" s="1"/>
  <c r="T196" i="178"/>
  <c r="W196" i="178"/>
  <c r="AD196" i="178"/>
  <c r="AE196" i="178"/>
  <c r="AF196" i="178"/>
  <c r="AG196" i="178"/>
  <c r="AH196" i="178"/>
  <c r="AI196" i="178"/>
  <c r="AJ196" i="178"/>
  <c r="AK196" i="178"/>
  <c r="AL196" i="178"/>
  <c r="AM196" i="178"/>
  <c r="AN196" i="178"/>
  <c r="AO196" i="178"/>
  <c r="S862" i="178"/>
  <c r="T862" i="178"/>
  <c r="W862" i="178"/>
  <c r="AD862" i="178"/>
  <c r="AE862" i="178"/>
  <c r="AF862" i="178"/>
  <c r="AG862" i="178"/>
  <c r="AH862" i="178"/>
  <c r="AI862" i="178"/>
  <c r="AJ862" i="178"/>
  <c r="AK862" i="178"/>
  <c r="AL862" i="178"/>
  <c r="AM862" i="178"/>
  <c r="AN862" i="178"/>
  <c r="AO862" i="178"/>
  <c r="Q640" i="178"/>
  <c r="S640" i="178" s="1"/>
  <c r="T640" i="178"/>
  <c r="W640" i="178"/>
  <c r="AD640" i="178"/>
  <c r="AE640" i="178"/>
  <c r="AF640" i="178"/>
  <c r="AG640" i="178"/>
  <c r="AH640" i="178"/>
  <c r="AI640" i="178"/>
  <c r="AJ640" i="178"/>
  <c r="AK640" i="178"/>
  <c r="AL640" i="178"/>
  <c r="AM640" i="178"/>
  <c r="AN640" i="178"/>
  <c r="AO640" i="178"/>
  <c r="Q358" i="178"/>
  <c r="S358" i="178" s="1"/>
  <c r="T358" i="178"/>
  <c r="W358" i="178"/>
  <c r="AD358" i="178"/>
  <c r="AE358" i="178"/>
  <c r="AF358" i="178"/>
  <c r="AG358" i="178"/>
  <c r="AH358" i="178"/>
  <c r="AI358" i="178"/>
  <c r="AJ358" i="178"/>
  <c r="AK358" i="178"/>
  <c r="AL358" i="178"/>
  <c r="AM358" i="178"/>
  <c r="AN358" i="178"/>
  <c r="AO358" i="178"/>
  <c r="Q432" i="178"/>
  <c r="S432" i="178" s="1"/>
  <c r="T432" i="178"/>
  <c r="W432" i="178"/>
  <c r="AD432" i="178"/>
  <c r="AE432" i="178"/>
  <c r="AF432" i="178"/>
  <c r="AG432" i="178"/>
  <c r="AH432" i="178"/>
  <c r="AI432" i="178"/>
  <c r="AJ432" i="178"/>
  <c r="AK432" i="178"/>
  <c r="AL432" i="178"/>
  <c r="AM432" i="178"/>
  <c r="AN432" i="178"/>
  <c r="AO432" i="178"/>
  <c r="Q888" i="178"/>
  <c r="S888" i="178" s="1"/>
  <c r="T888" i="178"/>
  <c r="W888" i="178"/>
  <c r="AD888" i="178"/>
  <c r="AE888" i="178"/>
  <c r="AF888" i="178"/>
  <c r="AG888" i="178"/>
  <c r="AH888" i="178"/>
  <c r="AI888" i="178"/>
  <c r="AJ888" i="178"/>
  <c r="AK888" i="178"/>
  <c r="AL888" i="178"/>
  <c r="AM888" i="178"/>
  <c r="AN888" i="178"/>
  <c r="AO888" i="178"/>
  <c r="Q889" i="178"/>
  <c r="S889" i="178" s="1"/>
  <c r="T889" i="178"/>
  <c r="W889" i="178"/>
  <c r="AD889" i="178"/>
  <c r="AE889" i="178"/>
  <c r="AF889" i="178"/>
  <c r="AG889" i="178"/>
  <c r="AH889" i="178"/>
  <c r="AI889" i="178"/>
  <c r="AJ889" i="178"/>
  <c r="AK889" i="178"/>
  <c r="AL889" i="178"/>
  <c r="AM889" i="178"/>
  <c r="AN889" i="178"/>
  <c r="AO889" i="178"/>
  <c r="Q890" i="178"/>
  <c r="S890" i="178" s="1"/>
  <c r="T890" i="178"/>
  <c r="W890" i="178"/>
  <c r="AD890" i="178"/>
  <c r="AE890" i="178"/>
  <c r="AF890" i="178"/>
  <c r="AG890" i="178"/>
  <c r="AH890" i="178"/>
  <c r="AI890" i="178"/>
  <c r="AJ890" i="178"/>
  <c r="AK890" i="178"/>
  <c r="AL890" i="178"/>
  <c r="AM890" i="178"/>
  <c r="AN890" i="178"/>
  <c r="AO890" i="178"/>
  <c r="Q891" i="178"/>
  <c r="S891" i="178" s="1"/>
  <c r="T891" i="178"/>
  <c r="U891" i="178" s="1"/>
  <c r="W891" i="178"/>
  <c r="AD891" i="178"/>
  <c r="AE891" i="178"/>
  <c r="AF891" i="178"/>
  <c r="AG891" i="178"/>
  <c r="AH891" i="178"/>
  <c r="AI891" i="178"/>
  <c r="AJ891" i="178"/>
  <c r="AK891" i="178"/>
  <c r="AL891" i="178"/>
  <c r="AM891" i="178"/>
  <c r="AN891" i="178"/>
  <c r="AO891" i="178"/>
  <c r="Q201" i="178"/>
  <c r="S201" i="178" s="1"/>
  <c r="T201" i="178"/>
  <c r="W201" i="178"/>
  <c r="AD201" i="178"/>
  <c r="AE201" i="178"/>
  <c r="AF201" i="178"/>
  <c r="AG201" i="178"/>
  <c r="AH201" i="178"/>
  <c r="AI201" i="178"/>
  <c r="AJ201" i="178"/>
  <c r="AK201" i="178"/>
  <c r="AL201" i="178"/>
  <c r="AM201" i="178"/>
  <c r="AN201" i="178"/>
  <c r="AO201" i="178"/>
  <c r="Q202" i="178"/>
  <c r="S202" i="178" s="1"/>
  <c r="T202" i="178"/>
  <c r="W202" i="178"/>
  <c r="AD202" i="178"/>
  <c r="AE202" i="178"/>
  <c r="AF202" i="178"/>
  <c r="AG202" i="178"/>
  <c r="AH202" i="178"/>
  <c r="AI202" i="178"/>
  <c r="AJ202" i="178"/>
  <c r="AK202" i="178"/>
  <c r="AL202" i="178"/>
  <c r="AM202" i="178"/>
  <c r="AN202" i="178"/>
  <c r="AO202" i="178"/>
  <c r="Q203" i="178"/>
  <c r="T203" i="178"/>
  <c r="W203" i="178"/>
  <c r="AD203" i="178"/>
  <c r="AE203" i="178"/>
  <c r="AF203" i="178"/>
  <c r="AG203" i="178"/>
  <c r="AH203" i="178"/>
  <c r="AI203" i="178"/>
  <c r="AJ203" i="178"/>
  <c r="AK203" i="178"/>
  <c r="AL203" i="178"/>
  <c r="AM203" i="178"/>
  <c r="AN203" i="178"/>
  <c r="AO203" i="178"/>
  <c r="Q204" i="178"/>
  <c r="S204" i="178" s="1"/>
  <c r="T204" i="178"/>
  <c r="W204" i="178"/>
  <c r="AD204" i="178"/>
  <c r="AE204" i="178"/>
  <c r="AF204" i="178"/>
  <c r="AG204" i="178"/>
  <c r="AH204" i="178"/>
  <c r="AI204" i="178"/>
  <c r="AJ204" i="178"/>
  <c r="AK204" i="178"/>
  <c r="AL204" i="178"/>
  <c r="AM204" i="178"/>
  <c r="AN204" i="178"/>
  <c r="AO204" i="178"/>
  <c r="Q205" i="178"/>
  <c r="S205" i="178" s="1"/>
  <c r="T205" i="178"/>
  <c r="W205" i="178"/>
  <c r="AD205" i="178"/>
  <c r="AE205" i="178"/>
  <c r="AF205" i="178"/>
  <c r="AG205" i="178"/>
  <c r="AH205" i="178"/>
  <c r="AI205" i="178"/>
  <c r="AJ205" i="178"/>
  <c r="AK205" i="178"/>
  <c r="AL205" i="178"/>
  <c r="AM205" i="178"/>
  <c r="AN205" i="178"/>
  <c r="AO205" i="178"/>
  <c r="Q206" i="178"/>
  <c r="S206" i="178" s="1"/>
  <c r="T206" i="178"/>
  <c r="W206" i="178"/>
  <c r="AD206" i="178"/>
  <c r="AE206" i="178"/>
  <c r="AF206" i="178"/>
  <c r="AG206" i="178"/>
  <c r="AH206" i="178"/>
  <c r="AI206" i="178"/>
  <c r="AJ206" i="178"/>
  <c r="AK206" i="178"/>
  <c r="AL206" i="178"/>
  <c r="AM206" i="178"/>
  <c r="AN206" i="178"/>
  <c r="AO206" i="178"/>
  <c r="Q207" i="178"/>
  <c r="S207" i="178" s="1"/>
  <c r="T207" i="178"/>
  <c r="W207" i="178"/>
  <c r="AD207" i="178"/>
  <c r="AE207" i="178"/>
  <c r="AF207" i="178"/>
  <c r="AG207" i="178"/>
  <c r="AH207" i="178"/>
  <c r="AI207" i="178"/>
  <c r="AJ207" i="178"/>
  <c r="AK207" i="178"/>
  <c r="AL207" i="178"/>
  <c r="AM207" i="178"/>
  <c r="AN207" i="178"/>
  <c r="AO207" i="178"/>
  <c r="Q221" i="178"/>
  <c r="S221" i="178" s="1"/>
  <c r="T221" i="178"/>
  <c r="W221" i="178"/>
  <c r="AD221" i="178"/>
  <c r="AE221" i="178"/>
  <c r="AF221" i="178"/>
  <c r="AG221" i="178"/>
  <c r="AH221" i="178"/>
  <c r="AI221" i="178"/>
  <c r="AJ221" i="178"/>
  <c r="AK221" i="178"/>
  <c r="AL221" i="178"/>
  <c r="AM221" i="178"/>
  <c r="AN221" i="178"/>
  <c r="AO221" i="178"/>
  <c r="Q222" i="178"/>
  <c r="S222" i="178" s="1"/>
  <c r="T222" i="178"/>
  <c r="W222" i="178"/>
  <c r="AD222" i="178"/>
  <c r="AE222" i="178"/>
  <c r="AF222" i="178"/>
  <c r="AG222" i="178"/>
  <c r="AH222" i="178"/>
  <c r="AI222" i="178"/>
  <c r="AJ222" i="178"/>
  <c r="AK222" i="178"/>
  <c r="AL222" i="178"/>
  <c r="AM222" i="178"/>
  <c r="AN222" i="178"/>
  <c r="AO222" i="178"/>
  <c r="Q223" i="178"/>
  <c r="S223" i="178" s="1"/>
  <c r="T223" i="178"/>
  <c r="W223" i="178"/>
  <c r="AD223" i="178"/>
  <c r="AE223" i="178"/>
  <c r="AF223" i="178"/>
  <c r="AG223" i="178"/>
  <c r="AH223" i="178"/>
  <c r="AI223" i="178"/>
  <c r="AJ223" i="178"/>
  <c r="AK223" i="178"/>
  <c r="AL223" i="178"/>
  <c r="AM223" i="178"/>
  <c r="AN223" i="178"/>
  <c r="AO223" i="178"/>
  <c r="Q224" i="178"/>
  <c r="S224" i="178" s="1"/>
  <c r="T224" i="178"/>
  <c r="W224" i="178"/>
  <c r="AD224" i="178"/>
  <c r="AE224" i="178"/>
  <c r="AF224" i="178"/>
  <c r="AG224" i="178"/>
  <c r="AH224" i="178"/>
  <c r="AI224" i="178"/>
  <c r="AJ224" i="178"/>
  <c r="AK224" i="178"/>
  <c r="AL224" i="178"/>
  <c r="AM224" i="178"/>
  <c r="AN224" i="178"/>
  <c r="AO224" i="178"/>
  <c r="Q225" i="178"/>
  <c r="S225" i="178" s="1"/>
  <c r="T225" i="178"/>
  <c r="W225" i="178"/>
  <c r="AD225" i="178"/>
  <c r="AE225" i="178"/>
  <c r="AF225" i="178"/>
  <c r="AG225" i="178"/>
  <c r="AH225" i="178"/>
  <c r="AI225" i="178"/>
  <c r="AJ225" i="178"/>
  <c r="AK225" i="178"/>
  <c r="AL225" i="178"/>
  <c r="AM225" i="178"/>
  <c r="AN225" i="178"/>
  <c r="AO225" i="178"/>
  <c r="Q226" i="178"/>
  <c r="S226" i="178" s="1"/>
  <c r="T226" i="178"/>
  <c r="W226" i="178"/>
  <c r="AD226" i="178"/>
  <c r="AE226" i="178"/>
  <c r="AF226" i="178"/>
  <c r="AG226" i="178"/>
  <c r="AH226" i="178"/>
  <c r="AI226" i="178"/>
  <c r="AJ226" i="178"/>
  <c r="AK226" i="178"/>
  <c r="AL226" i="178"/>
  <c r="AM226" i="178"/>
  <c r="AN226" i="178"/>
  <c r="AO226" i="178"/>
  <c r="Q620" i="178"/>
  <c r="S620" i="178" s="1"/>
  <c r="T620" i="178"/>
  <c r="W620" i="178"/>
  <c r="AD620" i="178"/>
  <c r="AE620" i="178"/>
  <c r="AF620" i="178"/>
  <c r="AG620" i="178"/>
  <c r="AH620" i="178"/>
  <c r="AI620" i="178"/>
  <c r="AJ620" i="178"/>
  <c r="AK620" i="178"/>
  <c r="AL620" i="178"/>
  <c r="AM620" i="178"/>
  <c r="AN620" i="178"/>
  <c r="AO620" i="178"/>
  <c r="Q674" i="178"/>
  <c r="S674" i="178" s="1"/>
  <c r="T674" i="178"/>
  <c r="W674" i="178"/>
  <c r="AD674" i="178"/>
  <c r="AE674" i="178"/>
  <c r="AF674" i="178"/>
  <c r="AG674" i="178"/>
  <c r="AH674" i="178"/>
  <c r="AI674" i="178"/>
  <c r="AJ674" i="178"/>
  <c r="AK674" i="178"/>
  <c r="AL674" i="178"/>
  <c r="AM674" i="178"/>
  <c r="AN674" i="178"/>
  <c r="AO674" i="178"/>
  <c r="S870" i="178"/>
  <c r="T870" i="178"/>
  <c r="W870" i="178"/>
  <c r="AD870" i="178"/>
  <c r="AE870" i="178"/>
  <c r="AF870" i="178"/>
  <c r="AG870" i="178"/>
  <c r="AH870" i="178"/>
  <c r="AI870" i="178"/>
  <c r="AJ870" i="178"/>
  <c r="AK870" i="178"/>
  <c r="AL870" i="178"/>
  <c r="AM870" i="178"/>
  <c r="AN870" i="178"/>
  <c r="AO870" i="178"/>
  <c r="Q641" i="178"/>
  <c r="S641" i="178" s="1"/>
  <c r="T641" i="178"/>
  <c r="W641" i="178"/>
  <c r="AD641" i="178"/>
  <c r="AE641" i="178"/>
  <c r="AF641" i="178"/>
  <c r="AG641" i="178"/>
  <c r="AH641" i="178"/>
  <c r="AI641" i="178"/>
  <c r="AJ641" i="178"/>
  <c r="AK641" i="178"/>
  <c r="AL641" i="178"/>
  <c r="AM641" i="178"/>
  <c r="AN641" i="178"/>
  <c r="AO641" i="178"/>
  <c r="Q434" i="178"/>
  <c r="S434" i="178" s="1"/>
  <c r="T434" i="178"/>
  <c r="W434" i="178"/>
  <c r="AD434" i="178"/>
  <c r="AE434" i="178"/>
  <c r="AF434" i="178"/>
  <c r="AG434" i="178"/>
  <c r="AH434" i="178"/>
  <c r="AI434" i="178"/>
  <c r="AJ434" i="178"/>
  <c r="AK434" i="178"/>
  <c r="AL434" i="178"/>
  <c r="AM434" i="178"/>
  <c r="AN434" i="178"/>
  <c r="AO434" i="178"/>
  <c r="Q433" i="178"/>
  <c r="S433" i="178" s="1"/>
  <c r="T433" i="178"/>
  <c r="W433" i="178"/>
  <c r="AD433" i="178"/>
  <c r="AE433" i="178"/>
  <c r="AF433" i="178"/>
  <c r="AG433" i="178"/>
  <c r="AH433" i="178"/>
  <c r="AI433" i="178"/>
  <c r="AJ433" i="178"/>
  <c r="AK433" i="178"/>
  <c r="AL433" i="178"/>
  <c r="AM433" i="178"/>
  <c r="AN433" i="178"/>
  <c r="AO433" i="178"/>
  <c r="Q898" i="178"/>
  <c r="S898" i="178" s="1"/>
  <c r="T898" i="178"/>
  <c r="W898" i="178"/>
  <c r="AD898" i="178"/>
  <c r="AE898" i="178"/>
  <c r="AF898" i="178"/>
  <c r="AG898" i="178"/>
  <c r="AH898" i="178"/>
  <c r="AI898" i="178"/>
  <c r="AJ898" i="178"/>
  <c r="AK898" i="178"/>
  <c r="AL898" i="178"/>
  <c r="AM898" i="178"/>
  <c r="AN898" i="178"/>
  <c r="AO898" i="178"/>
  <c r="Q899" i="178"/>
  <c r="S899" i="178" s="1"/>
  <c r="T899" i="178"/>
  <c r="W899" i="178"/>
  <c r="AD899" i="178"/>
  <c r="AE899" i="178"/>
  <c r="AF899" i="178"/>
  <c r="AG899" i="178"/>
  <c r="AH899" i="178"/>
  <c r="AI899" i="178"/>
  <c r="AJ899" i="178"/>
  <c r="AK899" i="178"/>
  <c r="AL899" i="178"/>
  <c r="AM899" i="178"/>
  <c r="AN899" i="178"/>
  <c r="AO899" i="178"/>
  <c r="Q900" i="178"/>
  <c r="S900" i="178" s="1"/>
  <c r="T900" i="178"/>
  <c r="W900" i="178"/>
  <c r="AD900" i="178"/>
  <c r="AE900" i="178"/>
  <c r="AF900" i="178"/>
  <c r="AG900" i="178"/>
  <c r="AH900" i="178"/>
  <c r="AI900" i="178"/>
  <c r="AJ900" i="178"/>
  <c r="AK900" i="178"/>
  <c r="AL900" i="178"/>
  <c r="AM900" i="178"/>
  <c r="AN900" i="178"/>
  <c r="AO900" i="178"/>
  <c r="Q901" i="178"/>
  <c r="S901" i="178" s="1"/>
  <c r="T901" i="178"/>
  <c r="W901" i="178"/>
  <c r="AD901" i="178"/>
  <c r="AE901" i="178"/>
  <c r="AF901" i="178"/>
  <c r="AG901" i="178"/>
  <c r="AH901" i="178"/>
  <c r="AI901" i="178"/>
  <c r="AJ901" i="178"/>
  <c r="AK901" i="178"/>
  <c r="AL901" i="178"/>
  <c r="AM901" i="178"/>
  <c r="AN901" i="178"/>
  <c r="AO901" i="178"/>
  <c r="Q902" i="178"/>
  <c r="S902" i="178" s="1"/>
  <c r="T902" i="178"/>
  <c r="W902" i="178"/>
  <c r="AD902" i="178"/>
  <c r="AE902" i="178"/>
  <c r="AF902" i="178"/>
  <c r="AG902" i="178"/>
  <c r="AH902" i="178"/>
  <c r="AI902" i="178"/>
  <c r="AJ902" i="178"/>
  <c r="AK902" i="178"/>
  <c r="AL902" i="178"/>
  <c r="AM902" i="178"/>
  <c r="AN902" i="178"/>
  <c r="AO902" i="178"/>
  <c r="Q247" i="178"/>
  <c r="S247" i="178" s="1"/>
  <c r="T247" i="178"/>
  <c r="W247" i="178"/>
  <c r="AD247" i="178"/>
  <c r="AE247" i="178"/>
  <c r="AF247" i="178"/>
  <c r="AG247" i="178"/>
  <c r="AH247" i="178"/>
  <c r="AI247" i="178"/>
  <c r="AJ247" i="178"/>
  <c r="AK247" i="178"/>
  <c r="AL247" i="178"/>
  <c r="AM247" i="178"/>
  <c r="AN247" i="178"/>
  <c r="AO247" i="178"/>
  <c r="Q248" i="178"/>
  <c r="S248" i="178" s="1"/>
  <c r="T248" i="178"/>
  <c r="W248" i="178"/>
  <c r="AD248" i="178"/>
  <c r="AE248" i="178"/>
  <c r="AF248" i="178"/>
  <c r="AG248" i="178"/>
  <c r="AH248" i="178"/>
  <c r="AI248" i="178"/>
  <c r="AJ248" i="178"/>
  <c r="AK248" i="178"/>
  <c r="AL248" i="178"/>
  <c r="AM248" i="178"/>
  <c r="AN248" i="178"/>
  <c r="AO248" i="178"/>
  <c r="Q249" i="178"/>
  <c r="S249" i="178" s="1"/>
  <c r="T249" i="178"/>
  <c r="W249" i="178"/>
  <c r="AD249" i="178"/>
  <c r="AE249" i="178"/>
  <c r="AF249" i="178"/>
  <c r="AG249" i="178"/>
  <c r="AH249" i="178"/>
  <c r="AI249" i="178"/>
  <c r="AJ249" i="178"/>
  <c r="AK249" i="178"/>
  <c r="AL249" i="178"/>
  <c r="AM249" i="178"/>
  <c r="AN249" i="178"/>
  <c r="AO249" i="178"/>
  <c r="Q250" i="178"/>
  <c r="S250" i="178" s="1"/>
  <c r="T250" i="178"/>
  <c r="W250" i="178"/>
  <c r="AD250" i="178"/>
  <c r="AE250" i="178"/>
  <c r="AF250" i="178"/>
  <c r="AG250" i="178"/>
  <c r="AH250" i="178"/>
  <c r="AI250" i="178"/>
  <c r="AJ250" i="178"/>
  <c r="AK250" i="178"/>
  <c r="AL250" i="178"/>
  <c r="AM250" i="178"/>
  <c r="AN250" i="178"/>
  <c r="AO250" i="178"/>
  <c r="Q251" i="178"/>
  <c r="S251" i="178" s="1"/>
  <c r="T251" i="178"/>
  <c r="W251" i="178"/>
  <c r="AD251" i="178"/>
  <c r="AE251" i="178"/>
  <c r="AF251" i="178"/>
  <c r="AG251" i="178"/>
  <c r="AH251" i="178"/>
  <c r="AI251" i="178"/>
  <c r="AJ251" i="178"/>
  <c r="AK251" i="178"/>
  <c r="AL251" i="178"/>
  <c r="AM251" i="178"/>
  <c r="AN251" i="178"/>
  <c r="AO251" i="178"/>
  <c r="Q252" i="178"/>
  <c r="S252" i="178" s="1"/>
  <c r="T252" i="178"/>
  <c r="W252" i="178"/>
  <c r="AD252" i="178"/>
  <c r="AE252" i="178"/>
  <c r="AF252" i="178"/>
  <c r="AG252" i="178"/>
  <c r="AH252" i="178"/>
  <c r="AI252" i="178"/>
  <c r="AJ252" i="178"/>
  <c r="AK252" i="178"/>
  <c r="AL252" i="178"/>
  <c r="AM252" i="178"/>
  <c r="AN252" i="178"/>
  <c r="AO252" i="178"/>
  <c r="Q253" i="178"/>
  <c r="S253" i="178" s="1"/>
  <c r="T253" i="178"/>
  <c r="W253" i="178"/>
  <c r="AD253" i="178"/>
  <c r="AE253" i="178"/>
  <c r="AF253" i="178"/>
  <c r="AG253" i="178"/>
  <c r="AH253" i="178"/>
  <c r="AI253" i="178"/>
  <c r="AJ253" i="178"/>
  <c r="AK253" i="178"/>
  <c r="AL253" i="178"/>
  <c r="AM253" i="178"/>
  <c r="AN253" i="178"/>
  <c r="AO253" i="178"/>
  <c r="Q254" i="178"/>
  <c r="S254" i="178" s="1"/>
  <c r="T254" i="178"/>
  <c r="W254" i="178"/>
  <c r="AD254" i="178"/>
  <c r="AE254" i="178"/>
  <c r="AF254" i="178"/>
  <c r="AG254" i="178"/>
  <c r="AH254" i="178"/>
  <c r="AI254" i="178"/>
  <c r="AJ254" i="178"/>
  <c r="AK254" i="178"/>
  <c r="AL254" i="178"/>
  <c r="AM254" i="178"/>
  <c r="AN254" i="178"/>
  <c r="AO254" i="178"/>
  <c r="Q263" i="178"/>
  <c r="S263" i="178" s="1"/>
  <c r="T263" i="178"/>
  <c r="W263" i="178"/>
  <c r="AD263" i="178"/>
  <c r="AE263" i="178"/>
  <c r="AF263" i="178"/>
  <c r="AG263" i="178"/>
  <c r="AH263" i="178"/>
  <c r="AI263" i="178"/>
  <c r="AJ263" i="178"/>
  <c r="AK263" i="178"/>
  <c r="AL263" i="178"/>
  <c r="AM263" i="178"/>
  <c r="AN263" i="178"/>
  <c r="AO263" i="178"/>
  <c r="Q264" i="178"/>
  <c r="S264" i="178" s="1"/>
  <c r="T264" i="178"/>
  <c r="W264" i="178"/>
  <c r="AD264" i="178"/>
  <c r="AE264" i="178"/>
  <c r="AF264" i="178"/>
  <c r="AG264" i="178"/>
  <c r="AH264" i="178"/>
  <c r="AI264" i="178"/>
  <c r="AJ264" i="178"/>
  <c r="AK264" i="178"/>
  <c r="AL264" i="178"/>
  <c r="AM264" i="178"/>
  <c r="AN264" i="178"/>
  <c r="AO264" i="178"/>
  <c r="Q265" i="178"/>
  <c r="S265" i="178" s="1"/>
  <c r="T265" i="178"/>
  <c r="W265" i="178"/>
  <c r="AD265" i="178"/>
  <c r="AE265" i="178"/>
  <c r="AF265" i="178"/>
  <c r="AG265" i="178"/>
  <c r="AH265" i="178"/>
  <c r="AI265" i="178"/>
  <c r="AJ265" i="178"/>
  <c r="AK265" i="178"/>
  <c r="AL265" i="178"/>
  <c r="AM265" i="178"/>
  <c r="AN265" i="178"/>
  <c r="AO265" i="178"/>
  <c r="Q266" i="178"/>
  <c r="S266" i="178" s="1"/>
  <c r="T266" i="178"/>
  <c r="W266" i="178"/>
  <c r="AD266" i="178"/>
  <c r="AE266" i="178"/>
  <c r="AF266" i="178"/>
  <c r="AG266" i="178"/>
  <c r="AH266" i="178"/>
  <c r="AI266" i="178"/>
  <c r="AJ266" i="178"/>
  <c r="AK266" i="178"/>
  <c r="AL266" i="178"/>
  <c r="AM266" i="178"/>
  <c r="AN266" i="178"/>
  <c r="AO266" i="178"/>
  <c r="Q270" i="178"/>
  <c r="S270" i="178" s="1"/>
  <c r="T270" i="178"/>
  <c r="W270" i="178"/>
  <c r="AD270" i="178"/>
  <c r="AE270" i="178"/>
  <c r="AF270" i="178"/>
  <c r="AG270" i="178"/>
  <c r="AH270" i="178"/>
  <c r="AI270" i="178"/>
  <c r="AJ270" i="178"/>
  <c r="AK270" i="178"/>
  <c r="AL270" i="178"/>
  <c r="AM270" i="178"/>
  <c r="AN270" i="178"/>
  <c r="AO270" i="178"/>
  <c r="Q621" i="178"/>
  <c r="T621" i="178"/>
  <c r="W621" i="178"/>
  <c r="AD621" i="178"/>
  <c r="AE621" i="178"/>
  <c r="AF621" i="178"/>
  <c r="AG621" i="178"/>
  <c r="AH621" i="178"/>
  <c r="AI621" i="178"/>
  <c r="AJ621" i="178"/>
  <c r="AK621" i="178"/>
  <c r="AL621" i="178"/>
  <c r="AM621" i="178"/>
  <c r="AN621" i="178"/>
  <c r="AO621" i="178"/>
  <c r="Q715" i="178"/>
  <c r="S715" i="178" s="1"/>
  <c r="T715" i="178"/>
  <c r="V715" i="178" s="1"/>
  <c r="W715" i="178"/>
  <c r="AD715" i="178"/>
  <c r="AE715" i="178"/>
  <c r="AF715" i="178"/>
  <c r="AG715" i="178"/>
  <c r="AH715" i="178"/>
  <c r="AI715" i="178"/>
  <c r="AJ715" i="178"/>
  <c r="AK715" i="178"/>
  <c r="AL715" i="178"/>
  <c r="AM715" i="178"/>
  <c r="AN715" i="178"/>
  <c r="AO715" i="178"/>
  <c r="S893" i="178"/>
  <c r="T893" i="178"/>
  <c r="W893" i="178"/>
  <c r="AD893" i="178"/>
  <c r="AE893" i="178"/>
  <c r="AF893" i="178"/>
  <c r="AG893" i="178"/>
  <c r="AH893" i="178"/>
  <c r="AI893" i="178"/>
  <c r="AJ893" i="178"/>
  <c r="AK893" i="178"/>
  <c r="AL893" i="178"/>
  <c r="AM893" i="178"/>
  <c r="AN893" i="178"/>
  <c r="AO893" i="178"/>
  <c r="Q643" i="178"/>
  <c r="S643" i="178" s="1"/>
  <c r="T643" i="178"/>
  <c r="V643" i="178" s="1"/>
  <c r="W643" i="178"/>
  <c r="AD643" i="178"/>
  <c r="AE643" i="178"/>
  <c r="AF643" i="178"/>
  <c r="AG643" i="178"/>
  <c r="AH643" i="178"/>
  <c r="AI643" i="178"/>
  <c r="AJ643" i="178"/>
  <c r="AK643" i="178"/>
  <c r="AL643" i="178"/>
  <c r="AM643" i="178"/>
  <c r="AN643" i="178"/>
  <c r="AO643" i="178"/>
  <c r="Q488" i="178"/>
  <c r="T488" i="178"/>
  <c r="U488" i="178" s="1"/>
  <c r="W488" i="178"/>
  <c r="AD488" i="178"/>
  <c r="AE488" i="178"/>
  <c r="AF488" i="178"/>
  <c r="AG488" i="178"/>
  <c r="AH488" i="178"/>
  <c r="AI488" i="178"/>
  <c r="AJ488" i="178"/>
  <c r="AK488" i="178"/>
  <c r="AL488" i="178"/>
  <c r="AM488" i="178"/>
  <c r="AN488" i="178"/>
  <c r="AO488" i="178"/>
  <c r="Q499" i="178"/>
  <c r="S499" i="178" s="1"/>
  <c r="T499" i="178"/>
  <c r="W499" i="178"/>
  <c r="AD499" i="178"/>
  <c r="AE499" i="178"/>
  <c r="AF499" i="178"/>
  <c r="AG499" i="178"/>
  <c r="AH499" i="178"/>
  <c r="AI499" i="178"/>
  <c r="AJ499" i="178"/>
  <c r="AK499" i="178"/>
  <c r="AL499" i="178"/>
  <c r="AM499" i="178"/>
  <c r="AN499" i="178"/>
  <c r="AO499" i="178"/>
  <c r="Q26" i="178"/>
  <c r="S26" i="178" s="1"/>
  <c r="T26" i="178"/>
  <c r="U26" i="178" s="1"/>
  <c r="W26" i="178"/>
  <c r="AD26" i="178"/>
  <c r="AE26" i="178"/>
  <c r="AF26" i="178"/>
  <c r="AG26" i="178"/>
  <c r="AH26" i="178"/>
  <c r="AI26" i="178"/>
  <c r="AJ26" i="178"/>
  <c r="AK26" i="178"/>
  <c r="AL26" i="178"/>
  <c r="AM26" i="178"/>
  <c r="AN26" i="178"/>
  <c r="AO26" i="178"/>
  <c r="Q27" i="178"/>
  <c r="S27" i="178" s="1"/>
  <c r="T27" i="178"/>
  <c r="V27" i="178" s="1"/>
  <c r="W27" i="178"/>
  <c r="AD27" i="178"/>
  <c r="AE27" i="178"/>
  <c r="AF27" i="178"/>
  <c r="AG27" i="178"/>
  <c r="AH27" i="178"/>
  <c r="AI27" i="178"/>
  <c r="AJ27" i="178"/>
  <c r="AK27" i="178"/>
  <c r="AL27" i="178"/>
  <c r="AM27" i="178"/>
  <c r="AN27" i="178"/>
  <c r="AO27" i="178"/>
  <c r="Q29" i="178"/>
  <c r="S29" i="178" s="1"/>
  <c r="T29" i="178"/>
  <c r="U29" i="178" s="1"/>
  <c r="W29" i="178"/>
  <c r="AD29" i="178"/>
  <c r="AE29" i="178"/>
  <c r="AF29" i="178"/>
  <c r="AG29" i="178"/>
  <c r="AH29" i="178"/>
  <c r="AI29" i="178"/>
  <c r="AJ29" i="178"/>
  <c r="AK29" i="178"/>
  <c r="AL29" i="178"/>
  <c r="AM29" i="178"/>
  <c r="AN29" i="178"/>
  <c r="AO29" i="178"/>
  <c r="Q332" i="178"/>
  <c r="S332" i="178" s="1"/>
  <c r="T332" i="178"/>
  <c r="V332" i="178" s="1"/>
  <c r="W332" i="178"/>
  <c r="AD332" i="178"/>
  <c r="AE332" i="178"/>
  <c r="AF332" i="178"/>
  <c r="AG332" i="178"/>
  <c r="AH332" i="178"/>
  <c r="AI332" i="178"/>
  <c r="AJ332" i="178"/>
  <c r="AK332" i="178"/>
  <c r="AL332" i="178"/>
  <c r="AM332" i="178"/>
  <c r="AN332" i="178"/>
  <c r="AO332" i="178"/>
  <c r="Q344" i="178"/>
  <c r="S344" i="178" s="1"/>
  <c r="T344" i="178"/>
  <c r="U344" i="178" s="1"/>
  <c r="W344" i="178"/>
  <c r="AD344" i="178"/>
  <c r="AE344" i="178"/>
  <c r="AF344" i="178"/>
  <c r="AG344" i="178"/>
  <c r="AH344" i="178"/>
  <c r="AI344" i="178"/>
  <c r="AJ344" i="178"/>
  <c r="AK344" i="178"/>
  <c r="AL344" i="178"/>
  <c r="AM344" i="178"/>
  <c r="AN344" i="178"/>
  <c r="AO344" i="178"/>
  <c r="Q345" i="178"/>
  <c r="S345" i="178" s="1"/>
  <c r="T345" i="178"/>
  <c r="V345" i="178" s="1"/>
  <c r="W345" i="178"/>
  <c r="AD345" i="178"/>
  <c r="AE345" i="178"/>
  <c r="AF345" i="178"/>
  <c r="AG345" i="178"/>
  <c r="AH345" i="178"/>
  <c r="AI345" i="178"/>
  <c r="AJ345" i="178"/>
  <c r="AK345" i="178"/>
  <c r="AL345" i="178"/>
  <c r="AM345" i="178"/>
  <c r="AN345" i="178"/>
  <c r="AO345" i="178"/>
  <c r="Q346" i="178"/>
  <c r="S346" i="178" s="1"/>
  <c r="T346" i="178"/>
  <c r="U346" i="178" s="1"/>
  <c r="W346" i="178"/>
  <c r="AD346" i="178"/>
  <c r="AE346" i="178"/>
  <c r="AF346" i="178"/>
  <c r="AG346" i="178"/>
  <c r="AH346" i="178"/>
  <c r="AI346" i="178"/>
  <c r="AJ346" i="178"/>
  <c r="AK346" i="178"/>
  <c r="AL346" i="178"/>
  <c r="AM346" i="178"/>
  <c r="AN346" i="178"/>
  <c r="AO346" i="178"/>
  <c r="Q348" i="178"/>
  <c r="S348" i="178" s="1"/>
  <c r="T348" i="178"/>
  <c r="U348" i="178" s="1"/>
  <c r="W348" i="178"/>
  <c r="AD348" i="178"/>
  <c r="AE348" i="178"/>
  <c r="AF348" i="178"/>
  <c r="AG348" i="178"/>
  <c r="AH348" i="178"/>
  <c r="AI348" i="178"/>
  <c r="AJ348" i="178"/>
  <c r="AK348" i="178"/>
  <c r="AL348" i="178"/>
  <c r="AM348" i="178"/>
  <c r="AN348" i="178"/>
  <c r="AO348" i="178"/>
  <c r="Q349" i="178"/>
  <c r="S349" i="178" s="1"/>
  <c r="T349" i="178"/>
  <c r="U349" i="178" s="1"/>
  <c r="W349" i="178"/>
  <c r="AD349" i="178"/>
  <c r="AE349" i="178"/>
  <c r="AF349" i="178"/>
  <c r="AG349" i="178"/>
  <c r="AH349" i="178"/>
  <c r="AI349" i="178"/>
  <c r="AJ349" i="178"/>
  <c r="AK349" i="178"/>
  <c r="AL349" i="178"/>
  <c r="AM349" i="178"/>
  <c r="AN349" i="178"/>
  <c r="AO349" i="178"/>
  <c r="Q350" i="178"/>
  <c r="S350" i="178" s="1"/>
  <c r="T350" i="178"/>
  <c r="V350" i="178" s="1"/>
  <c r="W350" i="178"/>
  <c r="AD350" i="178"/>
  <c r="AE350" i="178"/>
  <c r="AF350" i="178"/>
  <c r="AG350" i="178"/>
  <c r="AH350" i="178"/>
  <c r="AI350" i="178"/>
  <c r="AJ350" i="178"/>
  <c r="AK350" i="178"/>
  <c r="AL350" i="178"/>
  <c r="AM350" i="178"/>
  <c r="AN350" i="178"/>
  <c r="AO350" i="178"/>
  <c r="Q354" i="178"/>
  <c r="S354" i="178" s="1"/>
  <c r="T354" i="178"/>
  <c r="V354" i="178" s="1"/>
  <c r="W354" i="178"/>
  <c r="AD354" i="178"/>
  <c r="AE354" i="178"/>
  <c r="AF354" i="178"/>
  <c r="AG354" i="178"/>
  <c r="AH354" i="178"/>
  <c r="AI354" i="178"/>
  <c r="AJ354" i="178"/>
  <c r="AK354" i="178"/>
  <c r="AL354" i="178"/>
  <c r="AM354" i="178"/>
  <c r="AN354" i="178"/>
  <c r="AO354" i="178"/>
  <c r="Q363" i="178"/>
  <c r="S363" i="178" s="1"/>
  <c r="T363" i="178"/>
  <c r="V363" i="178" s="1"/>
  <c r="W363" i="178"/>
  <c r="AD363" i="178"/>
  <c r="AE363" i="178"/>
  <c r="AF363" i="178"/>
  <c r="AG363" i="178"/>
  <c r="AH363" i="178"/>
  <c r="AI363" i="178"/>
  <c r="AJ363" i="178"/>
  <c r="AK363" i="178"/>
  <c r="AL363" i="178"/>
  <c r="AM363" i="178"/>
  <c r="AN363" i="178"/>
  <c r="AO363" i="178"/>
  <c r="Q364" i="178"/>
  <c r="S364" i="178" s="1"/>
  <c r="T364" i="178"/>
  <c r="V364" i="178" s="1"/>
  <c r="W364" i="178"/>
  <c r="AD364" i="178"/>
  <c r="AE364" i="178"/>
  <c r="AF364" i="178"/>
  <c r="AG364" i="178"/>
  <c r="AH364" i="178"/>
  <c r="AI364" i="178"/>
  <c r="AJ364" i="178"/>
  <c r="AK364" i="178"/>
  <c r="AL364" i="178"/>
  <c r="AM364" i="178"/>
  <c r="AN364" i="178"/>
  <c r="AO364" i="178"/>
  <c r="Q622" i="178"/>
  <c r="S622" i="178" s="1"/>
  <c r="T622" i="178"/>
  <c r="V622" i="178" s="1"/>
  <c r="W622" i="178"/>
  <c r="AD622" i="178"/>
  <c r="AE622" i="178"/>
  <c r="AF622" i="178"/>
  <c r="AG622" i="178"/>
  <c r="AH622" i="178"/>
  <c r="AI622" i="178"/>
  <c r="AJ622" i="178"/>
  <c r="AK622" i="178"/>
  <c r="AL622" i="178"/>
  <c r="AM622" i="178"/>
  <c r="AN622" i="178"/>
  <c r="AO622" i="178"/>
  <c r="Q716" i="178"/>
  <c r="S716" i="178" s="1"/>
  <c r="T716" i="178"/>
  <c r="V716" i="178" s="1"/>
  <c r="W716" i="178"/>
  <c r="AD716" i="178"/>
  <c r="AE716" i="178"/>
  <c r="AF716" i="178"/>
  <c r="AG716" i="178"/>
  <c r="AH716" i="178"/>
  <c r="AI716" i="178"/>
  <c r="AJ716" i="178"/>
  <c r="AK716" i="178"/>
  <c r="AL716" i="178"/>
  <c r="AM716" i="178"/>
  <c r="AN716" i="178"/>
  <c r="AO716" i="178"/>
  <c r="Q34" i="178"/>
  <c r="S34" i="178" s="1"/>
  <c r="T34" i="178"/>
  <c r="V34" i="178" s="1"/>
  <c r="W34" i="178"/>
  <c r="AD34" i="178"/>
  <c r="AE34" i="178"/>
  <c r="AF34" i="178"/>
  <c r="AG34" i="178"/>
  <c r="AH34" i="178"/>
  <c r="AI34" i="178"/>
  <c r="AJ34" i="178"/>
  <c r="AK34" i="178"/>
  <c r="AL34" i="178"/>
  <c r="AM34" i="178"/>
  <c r="AN34" i="178"/>
  <c r="AO34" i="178"/>
  <c r="Q402" i="178"/>
  <c r="S402" i="178" s="1"/>
  <c r="T402" i="178"/>
  <c r="V402" i="178" s="1"/>
  <c r="W402" i="178"/>
  <c r="AD402" i="178"/>
  <c r="AE402" i="178"/>
  <c r="AF402" i="178"/>
  <c r="AG402" i="178"/>
  <c r="AH402" i="178"/>
  <c r="AI402" i="178"/>
  <c r="AJ402" i="178"/>
  <c r="AK402" i="178"/>
  <c r="AL402" i="178"/>
  <c r="AM402" i="178"/>
  <c r="AN402" i="178"/>
  <c r="AO402" i="178"/>
  <c r="Q489" i="178"/>
  <c r="S489" i="178" s="1"/>
  <c r="T489" i="178"/>
  <c r="V489" i="178" s="1"/>
  <c r="W489" i="178"/>
  <c r="AD489" i="178"/>
  <c r="AE489" i="178"/>
  <c r="AF489" i="178"/>
  <c r="AG489" i="178"/>
  <c r="AH489" i="178"/>
  <c r="AI489" i="178"/>
  <c r="AJ489" i="178"/>
  <c r="AK489" i="178"/>
  <c r="AL489" i="178"/>
  <c r="AM489" i="178"/>
  <c r="AN489" i="178"/>
  <c r="AO489" i="178"/>
  <c r="Q561" i="178"/>
  <c r="S561" i="178" s="1"/>
  <c r="T561" i="178"/>
  <c r="V561" i="178" s="1"/>
  <c r="W561" i="178"/>
  <c r="AD561" i="178"/>
  <c r="AE561" i="178"/>
  <c r="AF561" i="178"/>
  <c r="AG561" i="178"/>
  <c r="AH561" i="178"/>
  <c r="AI561" i="178"/>
  <c r="AJ561" i="178"/>
  <c r="AK561" i="178"/>
  <c r="AL561" i="178"/>
  <c r="AM561" i="178"/>
  <c r="AN561" i="178"/>
  <c r="AO561" i="178"/>
  <c r="Q403" i="178"/>
  <c r="S403" i="178" s="1"/>
  <c r="T403" i="178"/>
  <c r="V403" i="178" s="1"/>
  <c r="W403" i="178"/>
  <c r="AD403" i="178"/>
  <c r="AE403" i="178"/>
  <c r="AF403" i="178"/>
  <c r="AG403" i="178"/>
  <c r="AH403" i="178"/>
  <c r="AI403" i="178"/>
  <c r="AJ403" i="178"/>
  <c r="AK403" i="178"/>
  <c r="AL403" i="178"/>
  <c r="AM403" i="178"/>
  <c r="AN403" i="178"/>
  <c r="AO403" i="178"/>
  <c r="Q404" i="178"/>
  <c r="S404" i="178" s="1"/>
  <c r="T404" i="178"/>
  <c r="V404" i="178" s="1"/>
  <c r="W404" i="178"/>
  <c r="AD404" i="178"/>
  <c r="AE404" i="178"/>
  <c r="AF404" i="178"/>
  <c r="AG404" i="178"/>
  <c r="AH404" i="178"/>
  <c r="AI404" i="178"/>
  <c r="AJ404" i="178"/>
  <c r="AK404" i="178"/>
  <c r="AL404" i="178"/>
  <c r="AM404" i="178"/>
  <c r="AN404" i="178"/>
  <c r="AO404" i="178"/>
  <c r="Q51" i="178"/>
  <c r="S51" i="178" s="1"/>
  <c r="T51" i="178"/>
  <c r="V51" i="178" s="1"/>
  <c r="W51" i="178"/>
  <c r="AD51" i="178"/>
  <c r="AE51" i="178"/>
  <c r="AF51" i="178"/>
  <c r="AG51" i="178"/>
  <c r="AH51" i="178"/>
  <c r="AI51" i="178"/>
  <c r="AJ51" i="178"/>
  <c r="AK51" i="178"/>
  <c r="AL51" i="178"/>
  <c r="AM51" i="178"/>
  <c r="AN51" i="178"/>
  <c r="AO51" i="178"/>
  <c r="S978" i="178"/>
  <c r="T978" i="178"/>
  <c r="V978" i="178" s="1"/>
  <c r="W978" i="178"/>
  <c r="AD978" i="178"/>
  <c r="AE978" i="178"/>
  <c r="AF978" i="178"/>
  <c r="AG978" i="178"/>
  <c r="AH978" i="178"/>
  <c r="AI978" i="178"/>
  <c r="AJ978" i="178"/>
  <c r="AK978" i="178"/>
  <c r="AL978" i="178"/>
  <c r="AM978" i="178"/>
  <c r="AN978" i="178"/>
  <c r="AO978" i="178"/>
  <c r="Q686" i="178"/>
  <c r="S686" i="178" s="1"/>
  <c r="T686" i="178"/>
  <c r="V686" i="178" s="1"/>
  <c r="W686" i="178"/>
  <c r="AD686" i="178"/>
  <c r="AE686" i="178"/>
  <c r="AF686" i="178"/>
  <c r="AG686" i="178"/>
  <c r="AH686" i="178"/>
  <c r="AI686" i="178"/>
  <c r="AJ686" i="178"/>
  <c r="AK686" i="178"/>
  <c r="AL686" i="178"/>
  <c r="AM686" i="178"/>
  <c r="AN686" i="178"/>
  <c r="AO686" i="178"/>
  <c r="S979" i="178"/>
  <c r="T979" i="178"/>
  <c r="V979" i="178" s="1"/>
  <c r="W979" i="178"/>
  <c r="AD979" i="178"/>
  <c r="AE979" i="178"/>
  <c r="AF979" i="178"/>
  <c r="AG979" i="178"/>
  <c r="AH979" i="178"/>
  <c r="AI979" i="178"/>
  <c r="AJ979" i="178"/>
  <c r="AK979" i="178"/>
  <c r="AL979" i="178"/>
  <c r="AM979" i="178"/>
  <c r="AN979" i="178"/>
  <c r="AO979" i="178"/>
  <c r="Q563" i="178"/>
  <c r="S563" i="178" s="1"/>
  <c r="T563" i="178"/>
  <c r="V563" i="178" s="1"/>
  <c r="W563" i="178"/>
  <c r="AD563" i="178"/>
  <c r="AE563" i="178"/>
  <c r="AF563" i="178"/>
  <c r="AG563" i="178"/>
  <c r="AH563" i="178"/>
  <c r="AI563" i="178"/>
  <c r="AJ563" i="178"/>
  <c r="AK563" i="178"/>
  <c r="AL563" i="178"/>
  <c r="AM563" i="178"/>
  <c r="AN563" i="178"/>
  <c r="AO563" i="178"/>
  <c r="Q104" i="178"/>
  <c r="S104" i="178" s="1"/>
  <c r="T104" i="178"/>
  <c r="V104" i="178" s="1"/>
  <c r="W104" i="178"/>
  <c r="AD104" i="178"/>
  <c r="AE104" i="178"/>
  <c r="AF104" i="178"/>
  <c r="AG104" i="178"/>
  <c r="AH104" i="178"/>
  <c r="AI104" i="178"/>
  <c r="AJ104" i="178"/>
  <c r="AK104" i="178"/>
  <c r="AL104" i="178"/>
  <c r="AM104" i="178"/>
  <c r="AN104" i="178"/>
  <c r="AO104" i="178"/>
  <c r="Q414" i="178"/>
  <c r="S414" i="178" s="1"/>
  <c r="T414" i="178"/>
  <c r="V414" i="178" s="1"/>
  <c r="W414" i="178"/>
  <c r="AD414" i="178"/>
  <c r="AE414" i="178"/>
  <c r="AF414" i="178"/>
  <c r="AG414" i="178"/>
  <c r="AH414" i="178"/>
  <c r="AI414" i="178"/>
  <c r="AJ414" i="178"/>
  <c r="AK414" i="178"/>
  <c r="AL414" i="178"/>
  <c r="AM414" i="178"/>
  <c r="AN414" i="178"/>
  <c r="AO414" i="178"/>
  <c r="Q152" i="178"/>
  <c r="S152" i="178" s="1"/>
  <c r="T152" i="178"/>
  <c r="V152" i="178" s="1"/>
  <c r="W152" i="178"/>
  <c r="AD152" i="178"/>
  <c r="AE152" i="178"/>
  <c r="AF152" i="178"/>
  <c r="AG152" i="178"/>
  <c r="AH152" i="178"/>
  <c r="AI152" i="178"/>
  <c r="AJ152" i="178"/>
  <c r="AK152" i="178"/>
  <c r="AL152" i="178"/>
  <c r="AM152" i="178"/>
  <c r="AN152" i="178"/>
  <c r="AO152" i="178"/>
  <c r="Q565" i="178"/>
  <c r="S565" i="178" s="1"/>
  <c r="T565" i="178"/>
  <c r="V565" i="178" s="1"/>
  <c r="W565" i="178"/>
  <c r="AD565" i="178"/>
  <c r="AE565" i="178"/>
  <c r="AF565" i="178"/>
  <c r="AG565" i="178"/>
  <c r="AH565" i="178"/>
  <c r="AI565" i="178"/>
  <c r="BB565" i="178" s="1"/>
  <c r="AJ565" i="178"/>
  <c r="AK565" i="178"/>
  <c r="AL565" i="178"/>
  <c r="AM565" i="178"/>
  <c r="AN565" i="178"/>
  <c r="AO565" i="178"/>
  <c r="Q566" i="178"/>
  <c r="S566" i="178" s="1"/>
  <c r="T566" i="178"/>
  <c r="V566" i="178" s="1"/>
  <c r="W566" i="178"/>
  <c r="AD566" i="178"/>
  <c r="AE566" i="178"/>
  <c r="AF566" i="178"/>
  <c r="AG566" i="178"/>
  <c r="AH566" i="178"/>
  <c r="AI566" i="178"/>
  <c r="AJ566" i="178"/>
  <c r="AK566" i="178"/>
  <c r="AL566" i="178"/>
  <c r="AM566" i="178"/>
  <c r="AN566" i="178"/>
  <c r="AO566" i="178"/>
  <c r="Q52" i="178"/>
  <c r="S52" i="178" s="1"/>
  <c r="T52" i="178"/>
  <c r="V52" i="178" s="1"/>
  <c r="W52" i="178"/>
  <c r="AD52" i="178"/>
  <c r="AE52" i="178"/>
  <c r="AF52" i="178"/>
  <c r="AG52" i="178"/>
  <c r="AH52" i="178"/>
  <c r="AI52" i="178"/>
  <c r="AJ52" i="178"/>
  <c r="AK52" i="178"/>
  <c r="AL52" i="178"/>
  <c r="AM52" i="178"/>
  <c r="AN52" i="178"/>
  <c r="AO52" i="178"/>
  <c r="Q53" i="178"/>
  <c r="S53" i="178" s="1"/>
  <c r="T53" i="178"/>
  <c r="V53" i="178" s="1"/>
  <c r="W53" i="178"/>
  <c r="AD53" i="178"/>
  <c r="AE53" i="178"/>
  <c r="AF53" i="178"/>
  <c r="AG53" i="178"/>
  <c r="AH53" i="178"/>
  <c r="AI53" i="178"/>
  <c r="AJ53" i="178"/>
  <c r="AK53" i="178"/>
  <c r="AL53" i="178"/>
  <c r="AM53" i="178"/>
  <c r="AN53" i="178"/>
  <c r="AO53" i="178"/>
  <c r="Q54" i="178"/>
  <c r="S54" i="178" s="1"/>
  <c r="T54" i="178"/>
  <c r="V54" i="178" s="1"/>
  <c r="W54" i="178"/>
  <c r="AD54" i="178"/>
  <c r="AE54" i="178"/>
  <c r="AF54" i="178"/>
  <c r="AG54" i="178"/>
  <c r="AH54" i="178"/>
  <c r="AI54" i="178"/>
  <c r="AJ54" i="178"/>
  <c r="AK54" i="178"/>
  <c r="AL54" i="178"/>
  <c r="AM54" i="178"/>
  <c r="AN54" i="178"/>
  <c r="AO54" i="178"/>
  <c r="Q55" i="178"/>
  <c r="S55" i="178" s="1"/>
  <c r="T55" i="178"/>
  <c r="V55" i="178" s="1"/>
  <c r="W55" i="178"/>
  <c r="AD55" i="178"/>
  <c r="AE55" i="178"/>
  <c r="AF55" i="178"/>
  <c r="AG55" i="178"/>
  <c r="AH55" i="178"/>
  <c r="AI55" i="178"/>
  <c r="AJ55" i="178"/>
  <c r="AK55" i="178"/>
  <c r="AL55" i="178"/>
  <c r="AM55" i="178"/>
  <c r="AN55" i="178"/>
  <c r="AO55" i="178"/>
  <c r="Q420" i="178"/>
  <c r="S420" i="178" s="1"/>
  <c r="T420" i="178"/>
  <c r="V420" i="178" s="1"/>
  <c r="W420" i="178"/>
  <c r="AD420" i="178"/>
  <c r="AE420" i="178"/>
  <c r="AF420" i="178"/>
  <c r="AG420" i="178"/>
  <c r="AH420" i="178"/>
  <c r="AI420" i="178"/>
  <c r="AJ420" i="178"/>
  <c r="AK420" i="178"/>
  <c r="AL420" i="178"/>
  <c r="AM420" i="178"/>
  <c r="AN420" i="178"/>
  <c r="AO420" i="178"/>
  <c r="Q421" i="178"/>
  <c r="S421" i="178" s="1"/>
  <c r="T421" i="178"/>
  <c r="V421" i="178" s="1"/>
  <c r="W421" i="178"/>
  <c r="AD421" i="178"/>
  <c r="AE421" i="178"/>
  <c r="AF421" i="178"/>
  <c r="AG421" i="178"/>
  <c r="AH421" i="178"/>
  <c r="AI421" i="178"/>
  <c r="AJ421" i="178"/>
  <c r="AK421" i="178"/>
  <c r="AL421" i="178"/>
  <c r="AM421" i="178"/>
  <c r="AN421" i="178"/>
  <c r="AO421" i="178"/>
  <c r="Q630" i="178"/>
  <c r="S630" i="178" s="1"/>
  <c r="T630" i="178"/>
  <c r="W630" i="178"/>
  <c r="AD630" i="178"/>
  <c r="AE630" i="178"/>
  <c r="AF630" i="178"/>
  <c r="AG630" i="178"/>
  <c r="AH630" i="178"/>
  <c r="AI630" i="178"/>
  <c r="AJ630" i="178"/>
  <c r="AK630" i="178"/>
  <c r="AL630" i="178"/>
  <c r="AM630" i="178"/>
  <c r="AN630" i="178"/>
  <c r="AO630" i="178"/>
  <c r="Q768" i="178"/>
  <c r="S768" i="178" s="1"/>
  <c r="T768" i="178"/>
  <c r="V768" i="178" s="1"/>
  <c r="W768" i="178"/>
  <c r="AD768" i="178"/>
  <c r="AE768" i="178"/>
  <c r="AF768" i="178"/>
  <c r="AG768" i="178"/>
  <c r="AH768" i="178"/>
  <c r="AI768" i="178"/>
  <c r="AJ768" i="178"/>
  <c r="AK768" i="178"/>
  <c r="AL768" i="178"/>
  <c r="AM768" i="178"/>
  <c r="AN768" i="178"/>
  <c r="AO768" i="178"/>
  <c r="S982" i="178"/>
  <c r="T982" i="178"/>
  <c r="V982" i="178" s="1"/>
  <c r="W982" i="178"/>
  <c r="AD982" i="178"/>
  <c r="AE982" i="178"/>
  <c r="AF982" i="178"/>
  <c r="AG982" i="178"/>
  <c r="AH982" i="178"/>
  <c r="AI982" i="178"/>
  <c r="AJ982" i="178"/>
  <c r="AK982" i="178"/>
  <c r="AL982" i="178"/>
  <c r="AM982" i="178"/>
  <c r="AN982" i="178"/>
  <c r="AO982" i="178"/>
  <c r="S985" i="178"/>
  <c r="T985" i="178"/>
  <c r="V985" i="178" s="1"/>
  <c r="W985" i="178"/>
  <c r="AD985" i="178"/>
  <c r="AE985" i="178"/>
  <c r="AF985" i="178"/>
  <c r="AG985" i="178"/>
  <c r="AH985" i="178"/>
  <c r="AI985" i="178"/>
  <c r="AJ985" i="178"/>
  <c r="AK985" i="178"/>
  <c r="AL985" i="178"/>
  <c r="AM985" i="178"/>
  <c r="AN985" i="178"/>
  <c r="AO985" i="178"/>
  <c r="S984" i="178"/>
  <c r="T984" i="178"/>
  <c r="W984" i="178"/>
  <c r="AD984" i="178"/>
  <c r="AE984" i="178"/>
  <c r="AF984" i="178"/>
  <c r="AG984" i="178"/>
  <c r="AH984" i="178"/>
  <c r="AI984" i="178"/>
  <c r="AJ984" i="178"/>
  <c r="AK984" i="178"/>
  <c r="AL984" i="178"/>
  <c r="AM984" i="178"/>
  <c r="AN984" i="178"/>
  <c r="AO984" i="178"/>
  <c r="S983" i="178"/>
  <c r="T983" i="178"/>
  <c r="V983" i="178" s="1"/>
  <c r="W983" i="178"/>
  <c r="AD983" i="178"/>
  <c r="AE983" i="178"/>
  <c r="AF983" i="178"/>
  <c r="AG983" i="178"/>
  <c r="AH983" i="178"/>
  <c r="AI983" i="178"/>
  <c r="AJ983" i="178"/>
  <c r="AK983" i="178"/>
  <c r="AL983" i="178"/>
  <c r="AM983" i="178"/>
  <c r="AN983" i="178"/>
  <c r="AO983" i="178"/>
  <c r="S981" i="178"/>
  <c r="T981" i="178"/>
  <c r="V981" i="178" s="1"/>
  <c r="W981" i="178"/>
  <c r="AD981" i="178"/>
  <c r="AE981" i="178"/>
  <c r="AF981" i="178"/>
  <c r="AG981" i="178"/>
  <c r="AH981" i="178"/>
  <c r="AI981" i="178"/>
  <c r="AJ981" i="178"/>
  <c r="AK981" i="178"/>
  <c r="AL981" i="178"/>
  <c r="AM981" i="178"/>
  <c r="AN981" i="178"/>
  <c r="AO981" i="178"/>
  <c r="S986" i="178"/>
  <c r="T986" i="178"/>
  <c r="V986" i="178" s="1"/>
  <c r="W986" i="178"/>
  <c r="AD986" i="178"/>
  <c r="AE986" i="178"/>
  <c r="AF986" i="178"/>
  <c r="AG986" i="178"/>
  <c r="AH986" i="178"/>
  <c r="AI986" i="178"/>
  <c r="AJ986" i="178"/>
  <c r="AK986" i="178"/>
  <c r="AL986" i="178"/>
  <c r="AM986" i="178"/>
  <c r="AN986" i="178"/>
  <c r="AO986" i="178"/>
  <c r="S987" i="178"/>
  <c r="T987" i="178"/>
  <c r="W987" i="178"/>
  <c r="AD987" i="178"/>
  <c r="AE987" i="178"/>
  <c r="AF987" i="178"/>
  <c r="AG987" i="178"/>
  <c r="AH987" i="178"/>
  <c r="AI987" i="178"/>
  <c r="AJ987" i="178"/>
  <c r="AK987" i="178"/>
  <c r="AL987" i="178"/>
  <c r="AM987" i="178"/>
  <c r="AN987" i="178"/>
  <c r="AO987" i="178"/>
  <c r="S1005" i="178"/>
  <c r="T1005" i="178"/>
  <c r="V1005" i="178" s="1"/>
  <c r="W1005" i="178"/>
  <c r="AD1005" i="178"/>
  <c r="AE1005" i="178"/>
  <c r="AF1005" i="178"/>
  <c r="AG1005" i="178"/>
  <c r="AH1005" i="178"/>
  <c r="AI1005" i="178"/>
  <c r="AJ1005" i="178"/>
  <c r="AK1005" i="178"/>
  <c r="AL1005" i="178"/>
  <c r="AM1005" i="178"/>
  <c r="AN1005" i="178"/>
  <c r="AO1005" i="178"/>
  <c r="S1004" i="178"/>
  <c r="T1004" i="178"/>
  <c r="V1004" i="178" s="1"/>
  <c r="W1004" i="178"/>
  <c r="AD1004" i="178"/>
  <c r="AE1004" i="178"/>
  <c r="AF1004" i="178"/>
  <c r="AG1004" i="178"/>
  <c r="AH1004" i="178"/>
  <c r="AI1004" i="178"/>
  <c r="AJ1004" i="178"/>
  <c r="AK1004" i="178"/>
  <c r="AL1004" i="178"/>
  <c r="AM1004" i="178"/>
  <c r="AN1004" i="178"/>
  <c r="AO1004" i="178"/>
  <c r="S1006" i="178"/>
  <c r="T1006" i="178"/>
  <c r="V1006" i="178" s="1"/>
  <c r="W1006" i="178"/>
  <c r="AD1006" i="178"/>
  <c r="AE1006" i="178"/>
  <c r="AF1006" i="178"/>
  <c r="AG1006" i="178"/>
  <c r="AH1006" i="178"/>
  <c r="AI1006" i="178"/>
  <c r="AJ1006" i="178"/>
  <c r="AK1006" i="178"/>
  <c r="AL1006" i="178"/>
  <c r="AM1006" i="178"/>
  <c r="AN1006" i="178"/>
  <c r="AO1006" i="178"/>
  <c r="S1007" i="178"/>
  <c r="T1007" i="178"/>
  <c r="V1007" i="178" s="1"/>
  <c r="W1007" i="178"/>
  <c r="AD1007" i="178"/>
  <c r="AE1007" i="178"/>
  <c r="AF1007" i="178"/>
  <c r="AG1007" i="178"/>
  <c r="AH1007" i="178"/>
  <c r="AI1007" i="178"/>
  <c r="AJ1007" i="178"/>
  <c r="AK1007" i="178"/>
  <c r="AL1007" i="178"/>
  <c r="AM1007" i="178"/>
  <c r="AN1007" i="178"/>
  <c r="AO1007" i="178"/>
  <c r="S1008" i="178"/>
  <c r="T1008" i="178"/>
  <c r="W1008" i="178"/>
  <c r="AD1008" i="178"/>
  <c r="AE1008" i="178"/>
  <c r="AF1008" i="178"/>
  <c r="AG1008" i="178"/>
  <c r="AH1008" i="178"/>
  <c r="AI1008" i="178"/>
  <c r="AJ1008" i="178"/>
  <c r="AK1008" i="178"/>
  <c r="AL1008" i="178"/>
  <c r="AM1008" i="178"/>
  <c r="AN1008" i="178"/>
  <c r="AO1008" i="178"/>
  <c r="S1010" i="178"/>
  <c r="T1010" i="178"/>
  <c r="V1010" i="178" s="1"/>
  <c r="W1010" i="178"/>
  <c r="AD1010" i="178"/>
  <c r="AE1010" i="178"/>
  <c r="AF1010" i="178"/>
  <c r="AG1010" i="178"/>
  <c r="AH1010" i="178"/>
  <c r="AI1010" i="178"/>
  <c r="AJ1010" i="178"/>
  <c r="AK1010" i="178"/>
  <c r="AL1010" i="178"/>
  <c r="AM1010" i="178"/>
  <c r="AN1010" i="178"/>
  <c r="AO1010" i="178"/>
  <c r="S1022" i="178"/>
  <c r="T1022" i="178"/>
  <c r="V1022" i="178" s="1"/>
  <c r="W1022" i="178"/>
  <c r="AD1022" i="178"/>
  <c r="AE1022" i="178"/>
  <c r="AF1022" i="178"/>
  <c r="AG1022" i="178"/>
  <c r="AH1022" i="178"/>
  <c r="AI1022" i="178"/>
  <c r="AJ1022" i="178"/>
  <c r="AK1022" i="178"/>
  <c r="AL1022" i="178"/>
  <c r="AM1022" i="178"/>
  <c r="AN1022" i="178"/>
  <c r="AO1022" i="178"/>
  <c r="S1023" i="178"/>
  <c r="T1023" i="178"/>
  <c r="V1023" i="178" s="1"/>
  <c r="W1023" i="178"/>
  <c r="AD1023" i="178"/>
  <c r="AE1023" i="178"/>
  <c r="AF1023" i="178"/>
  <c r="AG1023" i="178"/>
  <c r="AH1023" i="178"/>
  <c r="AI1023" i="178"/>
  <c r="AJ1023" i="178"/>
  <c r="AK1023" i="178"/>
  <c r="AL1023" i="178"/>
  <c r="AM1023" i="178"/>
  <c r="AN1023" i="178"/>
  <c r="AO1023" i="178"/>
  <c r="S1025" i="178"/>
  <c r="T1025" i="178"/>
  <c r="W1025" i="178"/>
  <c r="AD1025" i="178"/>
  <c r="AE1025" i="178"/>
  <c r="AF1025" i="178"/>
  <c r="AG1025" i="178"/>
  <c r="AH1025" i="178"/>
  <c r="AI1025" i="178"/>
  <c r="AJ1025" i="178"/>
  <c r="AK1025" i="178"/>
  <c r="AL1025" i="178"/>
  <c r="AM1025" i="178"/>
  <c r="AN1025" i="178"/>
  <c r="AO1025" i="178"/>
  <c r="S1028" i="178"/>
  <c r="T1028" i="178"/>
  <c r="V1028" i="178" s="1"/>
  <c r="W1028" i="178"/>
  <c r="AD1028" i="178"/>
  <c r="AE1028" i="178"/>
  <c r="AF1028" i="178"/>
  <c r="AG1028" i="178"/>
  <c r="AH1028" i="178"/>
  <c r="AI1028" i="178"/>
  <c r="AJ1028" i="178"/>
  <c r="AK1028" i="178"/>
  <c r="AL1028" i="178"/>
  <c r="AM1028" i="178"/>
  <c r="AN1028" i="178"/>
  <c r="AO1028" i="178"/>
  <c r="S1026" i="178"/>
  <c r="T1026" i="178"/>
  <c r="V1026" i="178" s="1"/>
  <c r="W1026" i="178"/>
  <c r="AD1026" i="178"/>
  <c r="AE1026" i="178"/>
  <c r="AF1026" i="178"/>
  <c r="AG1026" i="178"/>
  <c r="AH1026" i="178"/>
  <c r="AI1026" i="178"/>
  <c r="AJ1026" i="178"/>
  <c r="AK1026" i="178"/>
  <c r="AL1026" i="178"/>
  <c r="AM1026" i="178"/>
  <c r="AN1026" i="178"/>
  <c r="AO1026" i="178"/>
  <c r="S1029" i="178"/>
  <c r="T1029" i="178"/>
  <c r="V1029" i="178" s="1"/>
  <c r="W1029" i="178"/>
  <c r="AD1029" i="178"/>
  <c r="AE1029" i="178"/>
  <c r="AF1029" i="178"/>
  <c r="AG1029" i="178"/>
  <c r="AH1029" i="178"/>
  <c r="AI1029" i="178"/>
  <c r="AJ1029" i="178"/>
  <c r="AK1029" i="178"/>
  <c r="AL1029" i="178"/>
  <c r="AM1029" i="178"/>
  <c r="AN1029" i="178"/>
  <c r="AO1029" i="178"/>
  <c r="S1033" i="178"/>
  <c r="T1033" i="178"/>
  <c r="W1033" i="178"/>
  <c r="AD1033" i="178"/>
  <c r="AE1033" i="178"/>
  <c r="AF1033" i="178"/>
  <c r="AG1033" i="178"/>
  <c r="AH1033" i="178"/>
  <c r="AI1033" i="178"/>
  <c r="AJ1033" i="178"/>
  <c r="AK1033" i="178"/>
  <c r="AL1033" i="178"/>
  <c r="AM1033" i="178"/>
  <c r="AN1033" i="178"/>
  <c r="AO1033" i="178"/>
  <c r="S1036" i="178"/>
  <c r="T1036" i="178"/>
  <c r="V1036" i="178" s="1"/>
  <c r="W1036" i="178"/>
  <c r="AD1036" i="178"/>
  <c r="AE1036" i="178"/>
  <c r="AF1036" i="178"/>
  <c r="AG1036" i="178"/>
  <c r="AH1036" i="178"/>
  <c r="AI1036" i="178"/>
  <c r="AJ1036" i="178"/>
  <c r="AK1036" i="178"/>
  <c r="AL1036" i="178"/>
  <c r="AM1036" i="178"/>
  <c r="AN1036" i="178"/>
  <c r="AO1036" i="178"/>
  <c r="S1037" i="178"/>
  <c r="T1037" i="178"/>
  <c r="V1037" i="178" s="1"/>
  <c r="W1037" i="178"/>
  <c r="AD1037" i="178"/>
  <c r="AE1037" i="178"/>
  <c r="AF1037" i="178"/>
  <c r="AG1037" i="178"/>
  <c r="AH1037" i="178"/>
  <c r="AI1037" i="178"/>
  <c r="AJ1037" i="178"/>
  <c r="AK1037" i="178"/>
  <c r="AL1037" i="178"/>
  <c r="AM1037" i="178"/>
  <c r="AN1037" i="178"/>
  <c r="AO1037" i="178"/>
  <c r="S1042" i="178"/>
  <c r="T1042" i="178"/>
  <c r="V1042" i="178" s="1"/>
  <c r="W1042" i="178"/>
  <c r="AD1042" i="178"/>
  <c r="AE1042" i="178"/>
  <c r="AF1042" i="178"/>
  <c r="AG1042" i="178"/>
  <c r="AH1042" i="178"/>
  <c r="AI1042" i="178"/>
  <c r="AJ1042" i="178"/>
  <c r="AK1042" i="178"/>
  <c r="AL1042" i="178"/>
  <c r="AM1042" i="178"/>
  <c r="AN1042" i="178"/>
  <c r="AO1042" i="178"/>
  <c r="Q56" i="178"/>
  <c r="S56" i="178" s="1"/>
  <c r="T56" i="178"/>
  <c r="W56" i="178"/>
  <c r="AD56" i="178"/>
  <c r="AE56" i="178"/>
  <c r="AF56" i="178"/>
  <c r="AG56" i="178"/>
  <c r="AH56" i="178"/>
  <c r="AI56" i="178"/>
  <c r="AJ56" i="178"/>
  <c r="AK56" i="178"/>
  <c r="AL56" i="178"/>
  <c r="AM56" i="178"/>
  <c r="AN56" i="178"/>
  <c r="AO56" i="178"/>
  <c r="Q57" i="178"/>
  <c r="S57" i="178" s="1"/>
  <c r="T57" i="178"/>
  <c r="V57" i="178" s="1"/>
  <c r="W57" i="178"/>
  <c r="AD57" i="178"/>
  <c r="AE57" i="178"/>
  <c r="AF57" i="178"/>
  <c r="AG57" i="178"/>
  <c r="AH57" i="178"/>
  <c r="AI57" i="178"/>
  <c r="AJ57" i="178"/>
  <c r="AK57" i="178"/>
  <c r="AL57" i="178"/>
  <c r="AM57" i="178"/>
  <c r="AN57" i="178"/>
  <c r="AO57" i="178"/>
  <c r="Q631" i="178"/>
  <c r="S631" i="178" s="1"/>
  <c r="T631" i="178"/>
  <c r="V631" i="178" s="1"/>
  <c r="W631" i="178"/>
  <c r="AD631" i="178"/>
  <c r="AE631" i="178"/>
  <c r="AF631" i="178"/>
  <c r="AG631" i="178"/>
  <c r="AH631" i="178"/>
  <c r="AI631" i="178"/>
  <c r="AJ631" i="178"/>
  <c r="AK631" i="178"/>
  <c r="AL631" i="178"/>
  <c r="AM631" i="178"/>
  <c r="AN631" i="178"/>
  <c r="AO631" i="178"/>
  <c r="Q688" i="178"/>
  <c r="S688" i="178" s="1"/>
  <c r="T688" i="178"/>
  <c r="V688" i="178" s="1"/>
  <c r="W688" i="178"/>
  <c r="AD688" i="178"/>
  <c r="AE688" i="178"/>
  <c r="AF688" i="178"/>
  <c r="AG688" i="178"/>
  <c r="AH688" i="178"/>
  <c r="AI688" i="178"/>
  <c r="AJ688" i="178"/>
  <c r="AK688" i="178"/>
  <c r="AL688" i="178"/>
  <c r="AM688" i="178"/>
  <c r="AN688" i="178"/>
  <c r="AO688" i="178"/>
  <c r="Q689" i="178"/>
  <c r="S689" i="178" s="1"/>
  <c r="T689" i="178"/>
  <c r="W689" i="178"/>
  <c r="AD689" i="178"/>
  <c r="AE689" i="178"/>
  <c r="AF689" i="178"/>
  <c r="AG689" i="178"/>
  <c r="AH689" i="178"/>
  <c r="AI689" i="178"/>
  <c r="AJ689" i="178"/>
  <c r="AK689" i="178"/>
  <c r="AL689" i="178"/>
  <c r="AM689" i="178"/>
  <c r="AN689" i="178"/>
  <c r="AO689" i="178"/>
  <c r="Q578" i="178"/>
  <c r="S578" i="178" s="1"/>
  <c r="T578" i="178"/>
  <c r="V578" i="178" s="1"/>
  <c r="W578" i="178"/>
  <c r="AD578" i="178"/>
  <c r="AE578" i="178"/>
  <c r="AF578" i="178"/>
  <c r="AG578" i="178"/>
  <c r="AH578" i="178"/>
  <c r="AI578" i="178"/>
  <c r="AJ578" i="178"/>
  <c r="AK578" i="178"/>
  <c r="AL578" i="178"/>
  <c r="AM578" i="178"/>
  <c r="AN578" i="178"/>
  <c r="AO578" i="178"/>
  <c r="Q682" i="178"/>
  <c r="S682" i="178" s="1"/>
  <c r="T682" i="178"/>
  <c r="V682" i="178" s="1"/>
  <c r="W682" i="178"/>
  <c r="AD682" i="178"/>
  <c r="AE682" i="178"/>
  <c r="AF682" i="178"/>
  <c r="AG682" i="178"/>
  <c r="AH682" i="178"/>
  <c r="AI682" i="178"/>
  <c r="AJ682" i="178"/>
  <c r="AK682" i="178"/>
  <c r="AL682" i="178"/>
  <c r="AM682" i="178"/>
  <c r="AN682" i="178"/>
  <c r="AO682" i="178"/>
  <c r="B734" i="178"/>
  <c r="B614" i="178"/>
  <c r="B648" i="178"/>
  <c r="B676" i="178"/>
  <c r="B680" i="178"/>
  <c r="B690" i="178"/>
  <c r="B691" i="178"/>
  <c r="B825" i="178"/>
  <c r="B615" i="178"/>
  <c r="B427" i="178"/>
  <c r="B192" i="178"/>
  <c r="B754" i="178"/>
  <c r="B755" i="178"/>
  <c r="B760" i="178"/>
  <c r="B761" i="178"/>
  <c r="B428" i="178"/>
  <c r="B617" i="178"/>
  <c r="B195" i="178"/>
  <c r="B334" i="178"/>
  <c r="B841" i="178"/>
  <c r="B570" i="178"/>
  <c r="B842" i="178"/>
  <c r="B429" i="178"/>
  <c r="B572" i="178"/>
  <c r="B845" i="178"/>
  <c r="B430" i="178"/>
  <c r="B196" i="178"/>
  <c r="B862" i="178"/>
  <c r="B640" i="178"/>
  <c r="B358" i="178"/>
  <c r="B432" i="178"/>
  <c r="B888" i="178"/>
  <c r="B889" i="178"/>
  <c r="B890" i="178"/>
  <c r="B891" i="178"/>
  <c r="B201" i="178"/>
  <c r="B202" i="178"/>
  <c r="B203" i="178"/>
  <c r="B204" i="178"/>
  <c r="B205" i="178"/>
  <c r="B206" i="178"/>
  <c r="B207" i="178"/>
  <c r="B221" i="178"/>
  <c r="B222" i="178"/>
  <c r="B223" i="178"/>
  <c r="B224" i="178"/>
  <c r="B225" i="178"/>
  <c r="B226" i="178"/>
  <c r="B620" i="178"/>
  <c r="B674" i="178"/>
  <c r="B870" i="178"/>
  <c r="B641" i="178"/>
  <c r="B434" i="178"/>
  <c r="B433" i="178"/>
  <c r="B898" i="178"/>
  <c r="B899" i="178"/>
  <c r="B900" i="178"/>
  <c r="B901" i="178"/>
  <c r="B902" i="178"/>
  <c r="B247" i="178"/>
  <c r="B248" i="178"/>
  <c r="B249" i="178"/>
  <c r="B250" i="178"/>
  <c r="B251" i="178"/>
  <c r="B252" i="178"/>
  <c r="B253" i="178"/>
  <c r="B254" i="178"/>
  <c r="B263" i="178"/>
  <c r="B264" i="178"/>
  <c r="B265" i="178"/>
  <c r="B266" i="178"/>
  <c r="B270" i="178"/>
  <c r="B621" i="178"/>
  <c r="B715" i="178"/>
  <c r="B893" i="178"/>
  <c r="B643" i="178"/>
  <c r="B488" i="178"/>
  <c r="B499" i="178"/>
  <c r="B26" i="178"/>
  <c r="B27" i="178"/>
  <c r="B29" i="178"/>
  <c r="B332" i="178"/>
  <c r="B344" i="178"/>
  <c r="B345" i="178"/>
  <c r="B346" i="178"/>
  <c r="B348" i="178"/>
  <c r="B349" i="178"/>
  <c r="B350" i="178"/>
  <c r="B354" i="178"/>
  <c r="B363" i="178"/>
  <c r="B364" i="178"/>
  <c r="B622" i="178"/>
  <c r="B716" i="178"/>
  <c r="B34" i="178"/>
  <c r="B402" i="178"/>
  <c r="B489" i="178"/>
  <c r="B561" i="178"/>
  <c r="B403" i="178"/>
  <c r="B404" i="178"/>
  <c r="B51" i="178"/>
  <c r="B978" i="178"/>
  <c r="B686" i="178"/>
  <c r="B979" i="178"/>
  <c r="B563" i="178"/>
  <c r="B104" i="178"/>
  <c r="B414" i="178"/>
  <c r="B152" i="178"/>
  <c r="B565" i="178"/>
  <c r="B566" i="178"/>
  <c r="B52" i="178"/>
  <c r="B53" i="178"/>
  <c r="B54" i="178"/>
  <c r="B55" i="178"/>
  <c r="B420" i="178"/>
  <c r="B421" i="178"/>
  <c r="B630" i="178"/>
  <c r="B768" i="178"/>
  <c r="B982" i="178"/>
  <c r="B985" i="178"/>
  <c r="B984" i="178"/>
  <c r="B983" i="178"/>
  <c r="B981" i="178"/>
  <c r="B986" i="178"/>
  <c r="B987" i="178"/>
  <c r="B1005" i="178"/>
  <c r="B1004" i="178"/>
  <c r="B1006" i="178"/>
  <c r="B1007" i="178"/>
  <c r="B1008" i="178"/>
  <c r="B1010" i="178"/>
  <c r="B1022" i="178"/>
  <c r="B1023" i="178"/>
  <c r="B1025" i="178"/>
  <c r="B1028" i="178"/>
  <c r="B1026" i="178"/>
  <c r="B1029" i="178"/>
  <c r="B1033" i="178"/>
  <c r="B1036" i="178"/>
  <c r="B1037" i="178"/>
  <c r="B1042" i="178"/>
  <c r="B56" i="178"/>
  <c r="B57" i="178"/>
  <c r="B631" i="178"/>
  <c r="B688" i="178"/>
  <c r="B689" i="178"/>
  <c r="B578" i="178"/>
  <c r="B682" i="178"/>
  <c r="B632" i="178"/>
  <c r="B683" i="178"/>
  <c r="B809" i="178"/>
  <c r="B810" i="178"/>
  <c r="B811" i="178"/>
  <c r="B812" i="178"/>
  <c r="B813" i="178"/>
  <c r="B814" i="178"/>
  <c r="B815" i="178"/>
  <c r="B816" i="178"/>
  <c r="B684" i="178"/>
  <c r="B58" i="178"/>
  <c r="B59" i="178"/>
  <c r="B60" i="178"/>
  <c r="B61" i="178"/>
  <c r="B446" i="178"/>
  <c r="B651" i="178"/>
  <c r="T948" i="178"/>
  <c r="W948" i="178"/>
  <c r="AD948" i="178"/>
  <c r="AE948" i="178"/>
  <c r="AF948" i="178"/>
  <c r="AG948" i="178"/>
  <c r="AH948" i="178"/>
  <c r="AI948" i="178"/>
  <c r="AJ948" i="178"/>
  <c r="AK948" i="178"/>
  <c r="AL948" i="178"/>
  <c r="AM948" i="178"/>
  <c r="AN948" i="178"/>
  <c r="AO948" i="178"/>
  <c r="Q186" i="178"/>
  <c r="S186" i="178" s="1"/>
  <c r="T186" i="178"/>
  <c r="V186" i="178" s="1"/>
  <c r="W186" i="178"/>
  <c r="AD186" i="178"/>
  <c r="AE186" i="178"/>
  <c r="AF186" i="178"/>
  <c r="AG186" i="178"/>
  <c r="AH186" i="178"/>
  <c r="AI186" i="178"/>
  <c r="AJ186" i="178"/>
  <c r="AK186" i="178"/>
  <c r="AL186" i="178"/>
  <c r="AM186" i="178"/>
  <c r="AN186" i="178"/>
  <c r="AO186" i="178"/>
  <c r="Q632" i="178"/>
  <c r="S632" i="178" s="1"/>
  <c r="T632" i="178"/>
  <c r="V632" i="178" s="1"/>
  <c r="W632" i="178"/>
  <c r="AD632" i="178"/>
  <c r="AE632" i="178"/>
  <c r="AF632" i="178"/>
  <c r="AG632" i="178"/>
  <c r="AH632" i="178"/>
  <c r="AI632" i="178"/>
  <c r="AJ632" i="178"/>
  <c r="AK632" i="178"/>
  <c r="AL632" i="178"/>
  <c r="AM632" i="178"/>
  <c r="AN632" i="178"/>
  <c r="AO632" i="178"/>
  <c r="Q683" i="178"/>
  <c r="S683" i="178" s="1"/>
  <c r="T683" i="178"/>
  <c r="V683" i="178" s="1"/>
  <c r="W683" i="178"/>
  <c r="AD683" i="178"/>
  <c r="AE683" i="178"/>
  <c r="AF683" i="178"/>
  <c r="AG683" i="178"/>
  <c r="AH683" i="178"/>
  <c r="AI683" i="178"/>
  <c r="AJ683" i="178"/>
  <c r="AK683" i="178"/>
  <c r="AL683" i="178"/>
  <c r="AM683" i="178"/>
  <c r="AN683" i="178"/>
  <c r="AO683" i="178"/>
  <c r="S809" i="178"/>
  <c r="T809" i="178"/>
  <c r="V809" i="178" s="1"/>
  <c r="W809" i="178"/>
  <c r="AD809" i="178"/>
  <c r="AE809" i="178"/>
  <c r="AF809" i="178"/>
  <c r="AG809" i="178"/>
  <c r="AH809" i="178"/>
  <c r="AI809" i="178"/>
  <c r="AJ809" i="178"/>
  <c r="AK809" i="178"/>
  <c r="AL809" i="178"/>
  <c r="AM809" i="178"/>
  <c r="AN809" i="178"/>
  <c r="AO809" i="178"/>
  <c r="T810" i="178"/>
  <c r="V810" i="178" s="1"/>
  <c r="W810" i="178"/>
  <c r="AD810" i="178"/>
  <c r="AE810" i="178"/>
  <c r="AF810" i="178"/>
  <c r="AG810" i="178"/>
  <c r="AH810" i="178"/>
  <c r="AI810" i="178"/>
  <c r="AJ810" i="178"/>
  <c r="AK810" i="178"/>
  <c r="AL810" i="178"/>
  <c r="AM810" i="178"/>
  <c r="AN810" i="178"/>
  <c r="AO810" i="178"/>
  <c r="S811" i="178"/>
  <c r="T811" i="178"/>
  <c r="V811" i="178" s="1"/>
  <c r="W811" i="178"/>
  <c r="AD811" i="178"/>
  <c r="AE811" i="178"/>
  <c r="AF811" i="178"/>
  <c r="AG811" i="178"/>
  <c r="AH811" i="178"/>
  <c r="AI811" i="178"/>
  <c r="AJ811" i="178"/>
  <c r="AK811" i="178"/>
  <c r="AL811" i="178"/>
  <c r="AM811" i="178"/>
  <c r="AN811" i="178"/>
  <c r="AO811" i="178"/>
  <c r="S812" i="178"/>
  <c r="T812" i="178"/>
  <c r="V812" i="178" s="1"/>
  <c r="W812" i="178"/>
  <c r="AD812" i="178"/>
  <c r="AE812" i="178"/>
  <c r="AF812" i="178"/>
  <c r="AG812" i="178"/>
  <c r="AH812" i="178"/>
  <c r="AI812" i="178"/>
  <c r="AJ812" i="178"/>
  <c r="AK812" i="178"/>
  <c r="AL812" i="178"/>
  <c r="AM812" i="178"/>
  <c r="AN812" i="178"/>
  <c r="AO812" i="178"/>
  <c r="S813" i="178"/>
  <c r="T813" i="178"/>
  <c r="V813" i="178" s="1"/>
  <c r="W813" i="178"/>
  <c r="AD813" i="178"/>
  <c r="AE813" i="178"/>
  <c r="AF813" i="178"/>
  <c r="AG813" i="178"/>
  <c r="AH813" i="178"/>
  <c r="AI813" i="178"/>
  <c r="AJ813" i="178"/>
  <c r="AK813" i="178"/>
  <c r="AL813" i="178"/>
  <c r="AM813" i="178"/>
  <c r="AN813" i="178"/>
  <c r="AO813" i="178"/>
  <c r="S814" i="178"/>
  <c r="T814" i="178"/>
  <c r="V814" i="178" s="1"/>
  <c r="W814" i="178"/>
  <c r="AD814" i="178"/>
  <c r="AE814" i="178"/>
  <c r="AF814" i="178"/>
  <c r="AG814" i="178"/>
  <c r="AH814" i="178"/>
  <c r="AI814" i="178"/>
  <c r="AJ814" i="178"/>
  <c r="AK814" i="178"/>
  <c r="AL814" i="178"/>
  <c r="AM814" i="178"/>
  <c r="AN814" i="178"/>
  <c r="AO814" i="178"/>
  <c r="T815" i="178"/>
  <c r="V815" i="178" s="1"/>
  <c r="W815" i="178"/>
  <c r="AD815" i="178"/>
  <c r="AE815" i="178"/>
  <c r="AF815" i="178"/>
  <c r="AG815" i="178"/>
  <c r="AH815" i="178"/>
  <c r="AI815" i="178"/>
  <c r="AJ815" i="178"/>
  <c r="AK815" i="178"/>
  <c r="AL815" i="178"/>
  <c r="AM815" i="178"/>
  <c r="AN815" i="178"/>
  <c r="AO815" i="178"/>
  <c r="S816" i="178"/>
  <c r="T816" i="178"/>
  <c r="V816" i="178" s="1"/>
  <c r="W816" i="178"/>
  <c r="AD816" i="178"/>
  <c r="AE816" i="178"/>
  <c r="AF816" i="178"/>
  <c r="AG816" i="178"/>
  <c r="AH816" i="178"/>
  <c r="AI816" i="178"/>
  <c r="AJ816" i="178"/>
  <c r="AK816" i="178"/>
  <c r="AL816" i="178"/>
  <c r="AM816" i="178"/>
  <c r="AN816" i="178"/>
  <c r="AO816" i="178"/>
  <c r="Q684" i="178"/>
  <c r="S684" i="178" s="1"/>
  <c r="T684" i="178"/>
  <c r="V684" i="178" s="1"/>
  <c r="W684" i="178"/>
  <c r="AD684" i="178"/>
  <c r="AE684" i="178"/>
  <c r="AF684" i="178"/>
  <c r="AG684" i="178"/>
  <c r="AH684" i="178"/>
  <c r="AI684" i="178"/>
  <c r="AJ684" i="178"/>
  <c r="AK684" i="178"/>
  <c r="AL684" i="178"/>
  <c r="AM684" i="178"/>
  <c r="AN684" i="178"/>
  <c r="AO684" i="178"/>
  <c r="Q58" i="178"/>
  <c r="T58" i="178"/>
  <c r="V58" i="178" s="1"/>
  <c r="W58" i="178"/>
  <c r="AD58" i="178"/>
  <c r="AE58" i="178"/>
  <c r="AF58" i="178"/>
  <c r="AG58" i="178"/>
  <c r="AH58" i="178"/>
  <c r="AI58" i="178"/>
  <c r="AJ58" i="178"/>
  <c r="AK58" i="178"/>
  <c r="AL58" i="178"/>
  <c r="AM58" i="178"/>
  <c r="AN58" i="178"/>
  <c r="AO58" i="178"/>
  <c r="Q59" i="178"/>
  <c r="S59" i="178" s="1"/>
  <c r="T59" i="178"/>
  <c r="V59" i="178" s="1"/>
  <c r="W59" i="178"/>
  <c r="AD59" i="178"/>
  <c r="AE59" i="178"/>
  <c r="AF59" i="178"/>
  <c r="AG59" i="178"/>
  <c r="AH59" i="178"/>
  <c r="AI59" i="178"/>
  <c r="AJ59" i="178"/>
  <c r="AK59" i="178"/>
  <c r="AL59" i="178"/>
  <c r="AM59" i="178"/>
  <c r="AN59" i="178"/>
  <c r="AO59" i="178"/>
  <c r="Q60" i="178"/>
  <c r="S60" i="178" s="1"/>
  <c r="T60" i="178"/>
  <c r="V60" i="178" s="1"/>
  <c r="W60" i="178"/>
  <c r="AD60" i="178"/>
  <c r="AE60" i="178"/>
  <c r="AF60" i="178"/>
  <c r="AG60" i="178"/>
  <c r="AH60" i="178"/>
  <c r="AI60" i="178"/>
  <c r="AJ60" i="178"/>
  <c r="AK60" i="178"/>
  <c r="AL60" i="178"/>
  <c r="AM60" i="178"/>
  <c r="AN60" i="178"/>
  <c r="AO60" i="178"/>
  <c r="Q61" i="178"/>
  <c r="S61" i="178" s="1"/>
  <c r="T61" i="178"/>
  <c r="V61" i="178" s="1"/>
  <c r="W61" i="178"/>
  <c r="AD61" i="178"/>
  <c r="AE61" i="178"/>
  <c r="AF61" i="178"/>
  <c r="AG61" i="178"/>
  <c r="AH61" i="178"/>
  <c r="AI61" i="178"/>
  <c r="AJ61" i="178"/>
  <c r="AK61" i="178"/>
  <c r="AL61" i="178"/>
  <c r="AM61" i="178"/>
  <c r="AN61" i="178"/>
  <c r="AO61" i="178"/>
  <c r="Q446" i="178"/>
  <c r="S446" i="178" s="1"/>
  <c r="T446" i="178"/>
  <c r="V446" i="178" s="1"/>
  <c r="W446" i="178"/>
  <c r="AD446" i="178"/>
  <c r="AE446" i="178"/>
  <c r="AF446" i="178"/>
  <c r="AG446" i="178"/>
  <c r="AH446" i="178"/>
  <c r="AI446" i="178"/>
  <c r="AJ446" i="178"/>
  <c r="AK446" i="178"/>
  <c r="AL446" i="178"/>
  <c r="AM446" i="178"/>
  <c r="AN446" i="178"/>
  <c r="AO446" i="178"/>
  <c r="Q651" i="178"/>
  <c r="T651" i="178"/>
  <c r="V651" i="178" s="1"/>
  <c r="W651" i="178"/>
  <c r="AD651" i="178"/>
  <c r="AE651" i="178"/>
  <c r="AF651" i="178"/>
  <c r="AG651" i="178"/>
  <c r="AH651" i="178"/>
  <c r="AI651" i="178"/>
  <c r="AJ651" i="178"/>
  <c r="AK651" i="178"/>
  <c r="AL651" i="178"/>
  <c r="AM651" i="178"/>
  <c r="AN651" i="178"/>
  <c r="AO651" i="178"/>
  <c r="S817" i="178"/>
  <c r="T817" i="178"/>
  <c r="V817" i="178" s="1"/>
  <c r="W817" i="178"/>
  <c r="AD817" i="178"/>
  <c r="AE817" i="178"/>
  <c r="AF817" i="178"/>
  <c r="AG817" i="178"/>
  <c r="AH817" i="178"/>
  <c r="AI817" i="178"/>
  <c r="AJ817" i="178"/>
  <c r="AK817" i="178"/>
  <c r="AL817" i="178"/>
  <c r="AM817" i="178"/>
  <c r="AN817" i="178"/>
  <c r="AO817" i="178"/>
  <c r="S819" i="178"/>
  <c r="T819" i="178"/>
  <c r="V819" i="178" s="1"/>
  <c r="W819" i="178"/>
  <c r="AD819" i="178"/>
  <c r="AE819" i="178"/>
  <c r="AF819" i="178"/>
  <c r="AG819" i="178"/>
  <c r="AH819" i="178"/>
  <c r="AI819" i="178"/>
  <c r="AJ819" i="178"/>
  <c r="AK819" i="178"/>
  <c r="AL819" i="178"/>
  <c r="AM819" i="178"/>
  <c r="AN819" i="178"/>
  <c r="AO819" i="178"/>
  <c r="T820" i="178"/>
  <c r="V820" i="178" s="1"/>
  <c r="W820" i="178"/>
  <c r="AD820" i="178"/>
  <c r="AE820" i="178"/>
  <c r="AF820" i="178"/>
  <c r="AG820" i="178"/>
  <c r="AH820" i="178"/>
  <c r="AI820" i="178"/>
  <c r="AJ820" i="178"/>
  <c r="AK820" i="178"/>
  <c r="AL820" i="178"/>
  <c r="AM820" i="178"/>
  <c r="AN820" i="178"/>
  <c r="AO820" i="178"/>
  <c r="S821" i="178"/>
  <c r="T821" i="178"/>
  <c r="V821" i="178" s="1"/>
  <c r="W821" i="178"/>
  <c r="AD821" i="178"/>
  <c r="AE821" i="178"/>
  <c r="AF821" i="178"/>
  <c r="AG821" i="178"/>
  <c r="AH821" i="178"/>
  <c r="AI821" i="178"/>
  <c r="AJ821" i="178"/>
  <c r="AK821" i="178"/>
  <c r="AL821" i="178"/>
  <c r="AM821" i="178"/>
  <c r="AN821" i="178"/>
  <c r="AO821" i="178"/>
  <c r="S822" i="178"/>
  <c r="T822" i="178"/>
  <c r="V822" i="178" s="1"/>
  <c r="W822" i="178"/>
  <c r="AD822" i="178"/>
  <c r="AE822" i="178"/>
  <c r="AF822" i="178"/>
  <c r="AG822" i="178"/>
  <c r="AH822" i="178"/>
  <c r="AI822" i="178"/>
  <c r="AJ822" i="178"/>
  <c r="AK822" i="178"/>
  <c r="AL822" i="178"/>
  <c r="AM822" i="178"/>
  <c r="AN822" i="178"/>
  <c r="AO822" i="178"/>
  <c r="T834" i="178"/>
  <c r="W834" i="178"/>
  <c r="AD834" i="178"/>
  <c r="AE834" i="178"/>
  <c r="AF834" i="178"/>
  <c r="AG834" i="178"/>
  <c r="AH834" i="178"/>
  <c r="AI834" i="178"/>
  <c r="AJ834" i="178"/>
  <c r="AK834" i="178"/>
  <c r="AL834" i="178"/>
  <c r="AM834" i="178"/>
  <c r="AN834" i="178"/>
  <c r="AO834" i="178"/>
  <c r="T835" i="178"/>
  <c r="V835" i="178" s="1"/>
  <c r="W835" i="178"/>
  <c r="AD835" i="178"/>
  <c r="AE835" i="178"/>
  <c r="AF835" i="178"/>
  <c r="AG835" i="178"/>
  <c r="AH835" i="178"/>
  <c r="AI835" i="178"/>
  <c r="AJ835" i="178"/>
  <c r="AK835" i="178"/>
  <c r="AL835" i="178"/>
  <c r="AM835" i="178"/>
  <c r="AN835" i="178"/>
  <c r="AO835" i="178"/>
  <c r="Q699" i="178"/>
  <c r="S699" i="178" s="1"/>
  <c r="T699" i="178"/>
  <c r="W699" i="178"/>
  <c r="AD699" i="178"/>
  <c r="AE699" i="178"/>
  <c r="AF699" i="178"/>
  <c r="AG699" i="178"/>
  <c r="AH699" i="178"/>
  <c r="AI699" i="178"/>
  <c r="AJ699" i="178"/>
  <c r="AK699" i="178"/>
  <c r="AL699" i="178"/>
  <c r="AM699" i="178"/>
  <c r="AN699" i="178"/>
  <c r="AO699" i="178"/>
  <c r="Q700" i="178"/>
  <c r="S700" i="178" s="1"/>
  <c r="T700" i="178"/>
  <c r="V700" i="178" s="1"/>
  <c r="W700" i="178"/>
  <c r="AD700" i="178"/>
  <c r="AE700" i="178"/>
  <c r="AF700" i="178"/>
  <c r="AG700" i="178"/>
  <c r="AH700" i="178"/>
  <c r="AI700" i="178"/>
  <c r="AJ700" i="178"/>
  <c r="AK700" i="178"/>
  <c r="AL700" i="178"/>
  <c r="AM700" i="178"/>
  <c r="AN700" i="178"/>
  <c r="AO700" i="178"/>
  <c r="Q701" i="178"/>
  <c r="S701" i="178" s="1"/>
  <c r="T701" i="178"/>
  <c r="W701" i="178"/>
  <c r="AD701" i="178"/>
  <c r="AE701" i="178"/>
  <c r="AF701" i="178"/>
  <c r="AG701" i="178"/>
  <c r="AH701" i="178"/>
  <c r="AI701" i="178"/>
  <c r="AJ701" i="178"/>
  <c r="AK701" i="178"/>
  <c r="AL701" i="178"/>
  <c r="AM701" i="178"/>
  <c r="AN701" i="178"/>
  <c r="AO701" i="178"/>
  <c r="Q693" i="178"/>
  <c r="S693" i="178" s="1"/>
  <c r="T693" i="178"/>
  <c r="V693" i="178" s="1"/>
  <c r="W693" i="178"/>
  <c r="AD693" i="178"/>
  <c r="AE693" i="178"/>
  <c r="AF693" i="178"/>
  <c r="AG693" i="178"/>
  <c r="AH693" i="178"/>
  <c r="AI693" i="178"/>
  <c r="AJ693" i="178"/>
  <c r="AK693" i="178"/>
  <c r="AL693" i="178"/>
  <c r="AM693" i="178"/>
  <c r="AN693" i="178"/>
  <c r="AO693" i="178"/>
  <c r="Q694" i="178"/>
  <c r="S694" i="178" s="1"/>
  <c r="T694" i="178"/>
  <c r="W694" i="178"/>
  <c r="AD694" i="178"/>
  <c r="AE694" i="178"/>
  <c r="AF694" i="178"/>
  <c r="AG694" i="178"/>
  <c r="AH694" i="178"/>
  <c r="AI694" i="178"/>
  <c r="AJ694" i="178"/>
  <c r="AK694" i="178"/>
  <c r="AL694" i="178"/>
  <c r="AM694" i="178"/>
  <c r="AN694" i="178"/>
  <c r="AO694" i="178"/>
  <c r="Q62" i="178"/>
  <c r="S62" i="178" s="1"/>
  <c r="T62" i="178"/>
  <c r="V62" i="178" s="1"/>
  <c r="W62" i="178"/>
  <c r="AD62" i="178"/>
  <c r="AE62" i="178"/>
  <c r="AF62" i="178"/>
  <c r="AG62" i="178"/>
  <c r="AH62" i="178"/>
  <c r="AI62" i="178"/>
  <c r="AJ62" i="178"/>
  <c r="AK62" i="178"/>
  <c r="AL62" i="178"/>
  <c r="AM62" i="178"/>
  <c r="AN62" i="178"/>
  <c r="AO62" i="178"/>
  <c r="Q447" i="178"/>
  <c r="T447" i="178"/>
  <c r="W447" i="178"/>
  <c r="AD447" i="178"/>
  <c r="AE447" i="178"/>
  <c r="AF447" i="178"/>
  <c r="AG447" i="178"/>
  <c r="AH447" i="178"/>
  <c r="AI447" i="178"/>
  <c r="AJ447" i="178"/>
  <c r="AK447" i="178"/>
  <c r="AL447" i="178"/>
  <c r="AM447" i="178"/>
  <c r="AN447" i="178"/>
  <c r="AO447" i="178"/>
  <c r="Q695" i="178"/>
  <c r="S695" i="178" s="1"/>
  <c r="T695" i="178"/>
  <c r="V695" i="178" s="1"/>
  <c r="W695" i="178"/>
  <c r="AD695" i="178"/>
  <c r="AE695" i="178"/>
  <c r="AF695" i="178"/>
  <c r="AG695" i="178"/>
  <c r="AH695" i="178"/>
  <c r="AI695" i="178"/>
  <c r="AJ695" i="178"/>
  <c r="AK695" i="178"/>
  <c r="AL695" i="178"/>
  <c r="AM695" i="178"/>
  <c r="AN695" i="178"/>
  <c r="AO695" i="178"/>
  <c r="T836" i="178"/>
  <c r="W836" i="178"/>
  <c r="AD836" i="178"/>
  <c r="AE836" i="178"/>
  <c r="AF836" i="178"/>
  <c r="AG836" i="178"/>
  <c r="AH836" i="178"/>
  <c r="AI836" i="178"/>
  <c r="AJ836" i="178"/>
  <c r="AK836" i="178"/>
  <c r="AL836" i="178"/>
  <c r="AM836" i="178"/>
  <c r="AN836" i="178"/>
  <c r="AO836" i="178"/>
  <c r="S837" i="178"/>
  <c r="T837" i="178"/>
  <c r="V837" i="178" s="1"/>
  <c r="W837" i="178"/>
  <c r="AD837" i="178"/>
  <c r="AE837" i="178"/>
  <c r="AF837" i="178"/>
  <c r="AG837" i="178"/>
  <c r="AH837" i="178"/>
  <c r="AI837" i="178"/>
  <c r="AJ837" i="178"/>
  <c r="AK837" i="178"/>
  <c r="AL837" i="178"/>
  <c r="AM837" i="178"/>
  <c r="AN837" i="178"/>
  <c r="AO837" i="178"/>
  <c r="T838" i="178"/>
  <c r="W838" i="178"/>
  <c r="AD838" i="178"/>
  <c r="AE838" i="178"/>
  <c r="AF838" i="178"/>
  <c r="AG838" i="178"/>
  <c r="AH838" i="178"/>
  <c r="AI838" i="178"/>
  <c r="AJ838" i="178"/>
  <c r="AK838" i="178"/>
  <c r="AL838" i="178"/>
  <c r="AM838" i="178"/>
  <c r="AN838" i="178"/>
  <c r="AO838" i="178"/>
  <c r="S839" i="178"/>
  <c r="T839" i="178"/>
  <c r="V839" i="178" s="1"/>
  <c r="W839" i="178"/>
  <c r="AD839" i="178"/>
  <c r="AE839" i="178"/>
  <c r="AF839" i="178"/>
  <c r="AG839" i="178"/>
  <c r="AH839" i="178"/>
  <c r="AI839" i="178"/>
  <c r="AJ839" i="178"/>
  <c r="AK839" i="178"/>
  <c r="AL839" i="178"/>
  <c r="AM839" i="178"/>
  <c r="AN839" i="178"/>
  <c r="AO839" i="178"/>
  <c r="T840" i="178"/>
  <c r="W840" i="178"/>
  <c r="AD840" i="178"/>
  <c r="AE840" i="178"/>
  <c r="AF840" i="178"/>
  <c r="AG840" i="178"/>
  <c r="AH840" i="178"/>
  <c r="AI840" i="178"/>
  <c r="AJ840" i="178"/>
  <c r="AK840" i="178"/>
  <c r="AL840" i="178"/>
  <c r="AM840" i="178"/>
  <c r="AN840" i="178"/>
  <c r="AO840" i="178"/>
  <c r="T846" i="178"/>
  <c r="W846" i="178"/>
  <c r="AD846" i="178"/>
  <c r="AE846" i="178"/>
  <c r="AF846" i="178"/>
  <c r="AG846" i="178"/>
  <c r="AH846" i="178"/>
  <c r="AI846" i="178"/>
  <c r="AJ846" i="178"/>
  <c r="AK846" i="178"/>
  <c r="AL846" i="178"/>
  <c r="AM846" i="178"/>
  <c r="AN846" i="178"/>
  <c r="AO846" i="178"/>
  <c r="S847" i="178"/>
  <c r="T847" i="178"/>
  <c r="V847" i="178" s="1"/>
  <c r="W847" i="178"/>
  <c r="AD847" i="178"/>
  <c r="AE847" i="178"/>
  <c r="AF847" i="178"/>
  <c r="AG847" i="178"/>
  <c r="AH847" i="178"/>
  <c r="AI847" i="178"/>
  <c r="AJ847" i="178"/>
  <c r="AK847" i="178"/>
  <c r="AL847" i="178"/>
  <c r="AM847" i="178"/>
  <c r="AN847" i="178"/>
  <c r="AO847" i="178"/>
  <c r="S848" i="178"/>
  <c r="T848" i="178"/>
  <c r="U848" i="178" s="1"/>
  <c r="W848" i="178"/>
  <c r="AD848" i="178"/>
  <c r="AE848" i="178"/>
  <c r="AF848" i="178"/>
  <c r="AG848" i="178"/>
  <c r="AH848" i="178"/>
  <c r="AI848" i="178"/>
  <c r="AJ848" i="178"/>
  <c r="AK848" i="178"/>
  <c r="AL848" i="178"/>
  <c r="AM848" i="178"/>
  <c r="AN848" i="178"/>
  <c r="AO848" i="178"/>
  <c r="S849" i="178"/>
  <c r="T849" i="178"/>
  <c r="U849" i="178" s="1"/>
  <c r="W849" i="178"/>
  <c r="AD849" i="178"/>
  <c r="AE849" i="178"/>
  <c r="AF849" i="178"/>
  <c r="AG849" i="178"/>
  <c r="AH849" i="178"/>
  <c r="AI849" i="178"/>
  <c r="AJ849" i="178"/>
  <c r="AK849" i="178"/>
  <c r="AL849" i="178"/>
  <c r="AM849" i="178"/>
  <c r="AN849" i="178"/>
  <c r="AO849" i="178"/>
  <c r="Q746" i="178"/>
  <c r="S746" i="178" s="1"/>
  <c r="T746" i="178"/>
  <c r="U746" i="178" s="1"/>
  <c r="W746" i="178"/>
  <c r="AD746" i="178"/>
  <c r="AE746" i="178"/>
  <c r="AF746" i="178"/>
  <c r="AG746" i="178"/>
  <c r="AH746" i="178"/>
  <c r="AI746" i="178"/>
  <c r="AJ746" i="178"/>
  <c r="AK746" i="178"/>
  <c r="AL746" i="178"/>
  <c r="AM746" i="178"/>
  <c r="AN746" i="178"/>
  <c r="AO746" i="178"/>
  <c r="T850" i="178"/>
  <c r="U850" i="178" s="1"/>
  <c r="W850" i="178"/>
  <c r="AD850" i="178"/>
  <c r="AE850" i="178"/>
  <c r="AF850" i="178"/>
  <c r="AG850" i="178"/>
  <c r="AH850" i="178"/>
  <c r="AI850" i="178"/>
  <c r="AJ850" i="178"/>
  <c r="AK850" i="178"/>
  <c r="AL850" i="178"/>
  <c r="AM850" i="178"/>
  <c r="AN850" i="178"/>
  <c r="AO850" i="178"/>
  <c r="S851" i="178"/>
  <c r="T851" i="178"/>
  <c r="U851" i="178" s="1"/>
  <c r="W851" i="178"/>
  <c r="AD851" i="178"/>
  <c r="AE851" i="178"/>
  <c r="AF851" i="178"/>
  <c r="AG851" i="178"/>
  <c r="AH851" i="178"/>
  <c r="AI851" i="178"/>
  <c r="AJ851" i="178"/>
  <c r="AK851" i="178"/>
  <c r="AL851" i="178"/>
  <c r="AM851" i="178"/>
  <c r="AN851" i="178"/>
  <c r="AO851" i="178"/>
  <c r="S852" i="178"/>
  <c r="T852" i="178"/>
  <c r="U852" i="178" s="1"/>
  <c r="W852" i="178"/>
  <c r="AD852" i="178"/>
  <c r="AE852" i="178"/>
  <c r="AF852" i="178"/>
  <c r="AG852" i="178"/>
  <c r="AH852" i="178"/>
  <c r="AI852" i="178"/>
  <c r="AJ852" i="178"/>
  <c r="AK852" i="178"/>
  <c r="AL852" i="178"/>
  <c r="AM852" i="178"/>
  <c r="AN852" i="178"/>
  <c r="AO852" i="178"/>
  <c r="S853" i="178"/>
  <c r="T853" i="178"/>
  <c r="U853" i="178" s="1"/>
  <c r="W853" i="178"/>
  <c r="AD853" i="178"/>
  <c r="AE853" i="178"/>
  <c r="AF853" i="178"/>
  <c r="AG853" i="178"/>
  <c r="AH853" i="178"/>
  <c r="AI853" i="178"/>
  <c r="AJ853" i="178"/>
  <c r="AK853" i="178"/>
  <c r="AL853" i="178"/>
  <c r="AM853" i="178"/>
  <c r="AN853" i="178"/>
  <c r="AO853" i="178"/>
  <c r="S854" i="178"/>
  <c r="T854" i="178"/>
  <c r="U854" i="178" s="1"/>
  <c r="W854" i="178"/>
  <c r="AD854" i="178"/>
  <c r="AE854" i="178"/>
  <c r="AF854" i="178"/>
  <c r="AG854" i="178"/>
  <c r="AH854" i="178"/>
  <c r="AI854" i="178"/>
  <c r="AJ854" i="178"/>
  <c r="AK854" i="178"/>
  <c r="AL854" i="178"/>
  <c r="AM854" i="178"/>
  <c r="AN854" i="178"/>
  <c r="AO854" i="178"/>
  <c r="S922" i="178"/>
  <c r="T922" i="178"/>
  <c r="U922" i="178" s="1"/>
  <c r="W922" i="178"/>
  <c r="AD922" i="178"/>
  <c r="AE922" i="178"/>
  <c r="AF922" i="178"/>
  <c r="AG922" i="178"/>
  <c r="AH922" i="178"/>
  <c r="AI922" i="178"/>
  <c r="AJ922" i="178"/>
  <c r="AK922" i="178"/>
  <c r="AL922" i="178"/>
  <c r="AM922" i="178"/>
  <c r="AN922" i="178"/>
  <c r="AO922" i="178"/>
  <c r="S923" i="178"/>
  <c r="T923" i="178"/>
  <c r="U923" i="178" s="1"/>
  <c r="W923" i="178"/>
  <c r="AD923" i="178"/>
  <c r="AE923" i="178"/>
  <c r="AF923" i="178"/>
  <c r="AG923" i="178"/>
  <c r="AH923" i="178"/>
  <c r="AI923" i="178"/>
  <c r="AJ923" i="178"/>
  <c r="AK923" i="178"/>
  <c r="AL923" i="178"/>
  <c r="AM923" i="178"/>
  <c r="AN923" i="178"/>
  <c r="AO923" i="178"/>
  <c r="T924" i="178"/>
  <c r="W924" i="178"/>
  <c r="AD924" i="178"/>
  <c r="AE924" i="178"/>
  <c r="AF924" i="178"/>
  <c r="AG924" i="178"/>
  <c r="AH924" i="178"/>
  <c r="AI924" i="178"/>
  <c r="AJ924" i="178"/>
  <c r="AK924" i="178"/>
  <c r="AL924" i="178"/>
  <c r="AM924" i="178"/>
  <c r="AN924" i="178"/>
  <c r="AO924" i="178"/>
  <c r="T940" i="178"/>
  <c r="W940" i="178"/>
  <c r="AD940" i="178"/>
  <c r="AE940" i="178"/>
  <c r="AF940" i="178"/>
  <c r="AG940" i="178"/>
  <c r="AH940" i="178"/>
  <c r="AI940" i="178"/>
  <c r="AJ940" i="178"/>
  <c r="AK940" i="178"/>
  <c r="AL940" i="178"/>
  <c r="AM940" i="178"/>
  <c r="AN940" i="178"/>
  <c r="AO940" i="178"/>
  <c r="T941" i="178"/>
  <c r="W941" i="178"/>
  <c r="AD941" i="178"/>
  <c r="AE941" i="178"/>
  <c r="AF941" i="178"/>
  <c r="AG941" i="178"/>
  <c r="AH941" i="178"/>
  <c r="AI941" i="178"/>
  <c r="AJ941" i="178"/>
  <c r="AK941" i="178"/>
  <c r="AL941" i="178"/>
  <c r="AM941" i="178"/>
  <c r="AN941" i="178"/>
  <c r="AO941" i="178"/>
  <c r="T942" i="178"/>
  <c r="W942" i="178"/>
  <c r="AD942" i="178"/>
  <c r="AE942" i="178"/>
  <c r="AF942" i="178"/>
  <c r="AG942" i="178"/>
  <c r="AH942" i="178"/>
  <c r="AI942" i="178"/>
  <c r="AJ942" i="178"/>
  <c r="AK942" i="178"/>
  <c r="AL942" i="178"/>
  <c r="AM942" i="178"/>
  <c r="AN942" i="178"/>
  <c r="AO942" i="178"/>
  <c r="T943" i="178"/>
  <c r="W943" i="178"/>
  <c r="AD943" i="178"/>
  <c r="AE943" i="178"/>
  <c r="AF943" i="178"/>
  <c r="AG943" i="178"/>
  <c r="AH943" i="178"/>
  <c r="AI943" i="178"/>
  <c r="AJ943" i="178"/>
  <c r="AK943" i="178"/>
  <c r="AL943" i="178"/>
  <c r="AM943" i="178"/>
  <c r="AN943" i="178"/>
  <c r="AO943" i="178"/>
  <c r="T944" i="178"/>
  <c r="W944" i="178"/>
  <c r="AD944" i="178"/>
  <c r="AE944" i="178"/>
  <c r="AF944" i="178"/>
  <c r="AG944" i="178"/>
  <c r="AH944" i="178"/>
  <c r="AI944" i="178"/>
  <c r="AJ944" i="178"/>
  <c r="AK944" i="178"/>
  <c r="AL944" i="178"/>
  <c r="AM944" i="178"/>
  <c r="AN944" i="178"/>
  <c r="AO944" i="178"/>
  <c r="T961" i="178"/>
  <c r="W961" i="178"/>
  <c r="AD961" i="178"/>
  <c r="AE961" i="178"/>
  <c r="AF961" i="178"/>
  <c r="AG961" i="178"/>
  <c r="AH961" i="178"/>
  <c r="AI961" i="178"/>
  <c r="AJ961" i="178"/>
  <c r="AK961" i="178"/>
  <c r="AL961" i="178"/>
  <c r="AM961" i="178"/>
  <c r="AN961" i="178"/>
  <c r="AO961" i="178"/>
  <c r="T962" i="178"/>
  <c r="W962" i="178"/>
  <c r="AD962" i="178"/>
  <c r="AE962" i="178"/>
  <c r="AF962" i="178"/>
  <c r="AG962" i="178"/>
  <c r="AH962" i="178"/>
  <c r="AI962" i="178"/>
  <c r="AJ962" i="178"/>
  <c r="AK962" i="178"/>
  <c r="AL962" i="178"/>
  <c r="AM962" i="178"/>
  <c r="AN962" i="178"/>
  <c r="AO962" i="178"/>
  <c r="Q455" i="178"/>
  <c r="T455" i="178"/>
  <c r="U455" i="178" s="1"/>
  <c r="W455" i="178"/>
  <c r="AD455" i="178"/>
  <c r="AE455" i="178"/>
  <c r="AF455" i="178"/>
  <c r="AG455" i="178"/>
  <c r="AH455" i="178"/>
  <c r="AI455" i="178"/>
  <c r="AJ455" i="178"/>
  <c r="AK455" i="178"/>
  <c r="AL455" i="178"/>
  <c r="AM455" i="178"/>
  <c r="AN455" i="178"/>
  <c r="AO455" i="178"/>
  <c r="Q456" i="178"/>
  <c r="S456" i="178" s="1"/>
  <c r="T456" i="178"/>
  <c r="W456" i="178"/>
  <c r="AD456" i="178"/>
  <c r="AE456" i="178"/>
  <c r="AF456" i="178"/>
  <c r="AG456" i="178"/>
  <c r="AH456" i="178"/>
  <c r="AI456" i="178"/>
  <c r="AJ456" i="178"/>
  <c r="AK456" i="178"/>
  <c r="AL456" i="178"/>
  <c r="AM456" i="178"/>
  <c r="AN456" i="178"/>
  <c r="AO456" i="178"/>
  <c r="Q458" i="178"/>
  <c r="T458" i="178"/>
  <c r="U458" i="178" s="1"/>
  <c r="W458" i="178"/>
  <c r="AD458" i="178"/>
  <c r="AE458" i="178"/>
  <c r="AF458" i="178"/>
  <c r="AG458" i="178"/>
  <c r="AH458" i="178"/>
  <c r="AI458" i="178"/>
  <c r="AJ458" i="178"/>
  <c r="AK458" i="178"/>
  <c r="AL458" i="178"/>
  <c r="AM458" i="178"/>
  <c r="AN458" i="178"/>
  <c r="AO458" i="178"/>
  <c r="Q92" i="178"/>
  <c r="S92" i="178" s="1"/>
  <c r="T92" i="178"/>
  <c r="W92" i="178"/>
  <c r="AD92" i="178"/>
  <c r="AE92" i="178"/>
  <c r="AF92" i="178"/>
  <c r="AG92" i="178"/>
  <c r="AH92" i="178"/>
  <c r="AI92" i="178"/>
  <c r="AJ92" i="178"/>
  <c r="AK92" i="178"/>
  <c r="AL92" i="178"/>
  <c r="AM92" i="178"/>
  <c r="AN92" i="178"/>
  <c r="AO92" i="178"/>
  <c r="Q706" i="178"/>
  <c r="S706" i="178" s="1"/>
  <c r="T706" i="178"/>
  <c r="W706" i="178"/>
  <c r="AD706" i="178"/>
  <c r="AE706" i="178"/>
  <c r="AF706" i="178"/>
  <c r="AG706" i="178"/>
  <c r="AH706" i="178"/>
  <c r="AI706" i="178"/>
  <c r="AJ706" i="178"/>
  <c r="AK706" i="178"/>
  <c r="AL706" i="178"/>
  <c r="AM706" i="178"/>
  <c r="AN706" i="178"/>
  <c r="AO706" i="178"/>
  <c r="Q93" i="178"/>
  <c r="S93" i="178" s="1"/>
  <c r="T93" i="178"/>
  <c r="W93" i="178"/>
  <c r="AD93" i="178"/>
  <c r="AE93" i="178"/>
  <c r="AF93" i="178"/>
  <c r="AG93" i="178"/>
  <c r="AH93" i="178"/>
  <c r="AI93" i="178"/>
  <c r="AJ93" i="178"/>
  <c r="AK93" i="178"/>
  <c r="AL93" i="178"/>
  <c r="AM93" i="178"/>
  <c r="AN93" i="178"/>
  <c r="AO93" i="178"/>
  <c r="Q95" i="178"/>
  <c r="S95" i="178" s="1"/>
  <c r="T95" i="178"/>
  <c r="W95" i="178"/>
  <c r="AD95" i="178"/>
  <c r="AE95" i="178"/>
  <c r="AF95" i="178"/>
  <c r="AG95" i="178"/>
  <c r="AH95" i="178"/>
  <c r="AI95" i="178"/>
  <c r="AJ95" i="178"/>
  <c r="AK95" i="178"/>
  <c r="AL95" i="178"/>
  <c r="AM95" i="178"/>
  <c r="AN95" i="178"/>
  <c r="AO95" i="178"/>
  <c r="Q96" i="178"/>
  <c r="S96" i="178" s="1"/>
  <c r="T96" i="178"/>
  <c r="W96" i="178"/>
  <c r="AD96" i="178"/>
  <c r="AE96" i="178"/>
  <c r="AF96" i="178"/>
  <c r="AG96" i="178"/>
  <c r="AH96" i="178"/>
  <c r="AI96" i="178"/>
  <c r="AJ96" i="178"/>
  <c r="AK96" i="178"/>
  <c r="AL96" i="178"/>
  <c r="AM96" i="178"/>
  <c r="AN96" i="178"/>
  <c r="AO96" i="178"/>
  <c r="Q661" i="178"/>
  <c r="S661" i="178" s="1"/>
  <c r="T661" i="178"/>
  <c r="W661" i="178"/>
  <c r="AD661" i="178"/>
  <c r="AE661" i="178"/>
  <c r="AF661" i="178"/>
  <c r="AG661" i="178"/>
  <c r="AH661" i="178"/>
  <c r="AI661" i="178"/>
  <c r="AJ661" i="178"/>
  <c r="AK661" i="178"/>
  <c r="AL661" i="178"/>
  <c r="AM661" i="178"/>
  <c r="AN661" i="178"/>
  <c r="AO661" i="178"/>
  <c r="Q912" i="178"/>
  <c r="S912" i="178" s="1"/>
  <c r="T912" i="178"/>
  <c r="W912" i="178"/>
  <c r="AD912" i="178"/>
  <c r="AE912" i="178"/>
  <c r="AF912" i="178"/>
  <c r="AG912" i="178"/>
  <c r="AH912" i="178"/>
  <c r="AI912" i="178"/>
  <c r="AJ912" i="178"/>
  <c r="AK912" i="178"/>
  <c r="AL912" i="178"/>
  <c r="AM912" i="178"/>
  <c r="AN912" i="178"/>
  <c r="AO912" i="178"/>
  <c r="Q97" i="178"/>
  <c r="S97" i="178" s="1"/>
  <c r="T97" i="178"/>
  <c r="W97" i="178"/>
  <c r="AD97" i="178"/>
  <c r="AE97" i="178"/>
  <c r="AF97" i="178"/>
  <c r="AG97" i="178"/>
  <c r="AH97" i="178"/>
  <c r="AI97" i="178"/>
  <c r="AJ97" i="178"/>
  <c r="AK97" i="178"/>
  <c r="AL97" i="178"/>
  <c r="AM97" i="178"/>
  <c r="AN97" i="178"/>
  <c r="AO97" i="178"/>
  <c r="Q98" i="178"/>
  <c r="S98" i="178" s="1"/>
  <c r="T98" i="178"/>
  <c r="W98" i="178"/>
  <c r="AD98" i="178"/>
  <c r="AE98" i="178"/>
  <c r="AF98" i="178"/>
  <c r="AG98" i="178"/>
  <c r="AH98" i="178"/>
  <c r="AI98" i="178"/>
  <c r="AJ98" i="178"/>
  <c r="AK98" i="178"/>
  <c r="AL98" i="178"/>
  <c r="AM98" i="178"/>
  <c r="AN98" i="178"/>
  <c r="AO98" i="178"/>
  <c r="Q122" i="178"/>
  <c r="S122" i="178" s="1"/>
  <c r="T122" i="178"/>
  <c r="W122" i="178"/>
  <c r="AD122" i="178"/>
  <c r="AE122" i="178"/>
  <c r="AF122" i="178"/>
  <c r="AG122" i="178"/>
  <c r="AH122" i="178"/>
  <c r="AI122" i="178"/>
  <c r="AJ122" i="178"/>
  <c r="AK122" i="178"/>
  <c r="AL122" i="178"/>
  <c r="AM122" i="178"/>
  <c r="AN122" i="178"/>
  <c r="AO122" i="178"/>
  <c r="Q123" i="178"/>
  <c r="S123" i="178" s="1"/>
  <c r="T123" i="178"/>
  <c r="W123" i="178"/>
  <c r="AD123" i="178"/>
  <c r="AE123" i="178"/>
  <c r="AF123" i="178"/>
  <c r="AG123" i="178"/>
  <c r="AH123" i="178"/>
  <c r="AI123" i="178"/>
  <c r="AJ123" i="178"/>
  <c r="AK123" i="178"/>
  <c r="AL123" i="178"/>
  <c r="AM123" i="178"/>
  <c r="AN123" i="178"/>
  <c r="AO123" i="178"/>
  <c r="Q471" i="178"/>
  <c r="S471" i="178" s="1"/>
  <c r="T471" i="178"/>
  <c r="W471" i="178"/>
  <c r="AD471" i="178"/>
  <c r="AE471" i="178"/>
  <c r="AF471" i="178"/>
  <c r="AG471" i="178"/>
  <c r="AH471" i="178"/>
  <c r="AI471" i="178"/>
  <c r="AJ471" i="178"/>
  <c r="AK471" i="178"/>
  <c r="AL471" i="178"/>
  <c r="AM471" i="178"/>
  <c r="AN471" i="178"/>
  <c r="AO471" i="178"/>
  <c r="Q472" i="178"/>
  <c r="S472" i="178" s="1"/>
  <c r="T472" i="178"/>
  <c r="W472" i="178"/>
  <c r="AD472" i="178"/>
  <c r="AE472" i="178"/>
  <c r="AF472" i="178"/>
  <c r="AG472" i="178"/>
  <c r="AH472" i="178"/>
  <c r="AI472" i="178"/>
  <c r="AJ472" i="178"/>
  <c r="AK472" i="178"/>
  <c r="AL472" i="178"/>
  <c r="AM472" i="178"/>
  <c r="AN472" i="178"/>
  <c r="AO472" i="178"/>
  <c r="Q662" i="178"/>
  <c r="S662" i="178" s="1"/>
  <c r="T662" i="178"/>
  <c r="W662" i="178"/>
  <c r="AD662" i="178"/>
  <c r="AE662" i="178"/>
  <c r="AF662" i="178"/>
  <c r="AG662" i="178"/>
  <c r="AH662" i="178"/>
  <c r="AI662" i="178"/>
  <c r="AJ662" i="178"/>
  <c r="AK662" i="178"/>
  <c r="AL662" i="178"/>
  <c r="AM662" i="178"/>
  <c r="AN662" i="178"/>
  <c r="AO662" i="178"/>
  <c r="Q506" i="178"/>
  <c r="S506" i="178" s="1"/>
  <c r="T506" i="178"/>
  <c r="U506" i="178" s="1"/>
  <c r="W506" i="178"/>
  <c r="AD506" i="178"/>
  <c r="AE506" i="178"/>
  <c r="AF506" i="178"/>
  <c r="AG506" i="178"/>
  <c r="AH506" i="178"/>
  <c r="AI506" i="178"/>
  <c r="AJ506" i="178"/>
  <c r="AK506" i="178"/>
  <c r="AL506" i="178"/>
  <c r="AM506" i="178"/>
  <c r="AN506" i="178"/>
  <c r="AO506" i="178"/>
  <c r="Q914" i="178"/>
  <c r="S914" i="178" s="1"/>
  <c r="T914" i="178"/>
  <c r="V914" i="178" s="1"/>
  <c r="W914" i="178"/>
  <c r="AD914" i="178"/>
  <c r="AE914" i="178"/>
  <c r="AF914" i="178"/>
  <c r="AG914" i="178"/>
  <c r="AH914" i="178"/>
  <c r="AI914" i="178"/>
  <c r="AJ914" i="178"/>
  <c r="AK914" i="178"/>
  <c r="AL914" i="178"/>
  <c r="AM914" i="178"/>
  <c r="AN914" i="178"/>
  <c r="AO914" i="178"/>
  <c r="Q669" i="178"/>
  <c r="S669" i="178" s="1"/>
  <c r="T669" i="178"/>
  <c r="V669" i="178" s="1"/>
  <c r="W669" i="178"/>
  <c r="AD669" i="178"/>
  <c r="AE669" i="178"/>
  <c r="AF669" i="178"/>
  <c r="AG669" i="178"/>
  <c r="AH669" i="178"/>
  <c r="AI669" i="178"/>
  <c r="AJ669" i="178"/>
  <c r="AK669" i="178"/>
  <c r="AL669" i="178"/>
  <c r="AM669" i="178"/>
  <c r="AN669" i="178"/>
  <c r="AO669" i="178"/>
  <c r="S709" i="178"/>
  <c r="T709" i="178"/>
  <c r="U709" i="178" s="1"/>
  <c r="W709" i="178"/>
  <c r="AD709" i="178"/>
  <c r="AE709" i="178"/>
  <c r="AF709" i="178"/>
  <c r="AG709" i="178"/>
  <c r="AH709" i="178"/>
  <c r="AI709" i="178"/>
  <c r="AJ709" i="178"/>
  <c r="AK709" i="178"/>
  <c r="AL709" i="178"/>
  <c r="AM709" i="178"/>
  <c r="AN709" i="178"/>
  <c r="AO709" i="178"/>
  <c r="S710" i="178"/>
  <c r="T710" i="178"/>
  <c r="V710" i="178" s="1"/>
  <c r="W710" i="178"/>
  <c r="AD710" i="178"/>
  <c r="AE710" i="178"/>
  <c r="AF710" i="178"/>
  <c r="AG710" i="178"/>
  <c r="AH710" i="178"/>
  <c r="AI710" i="178"/>
  <c r="AJ710" i="178"/>
  <c r="AK710" i="178"/>
  <c r="AL710" i="178"/>
  <c r="AM710" i="178"/>
  <c r="AN710" i="178"/>
  <c r="AO710" i="178"/>
  <c r="T145" i="178"/>
  <c r="U145" i="178" s="1"/>
  <c r="W145" i="178"/>
  <c r="AD145" i="178"/>
  <c r="AE145" i="178"/>
  <c r="AF145" i="178"/>
  <c r="AG145" i="178"/>
  <c r="AH145" i="178"/>
  <c r="AI145" i="178"/>
  <c r="AJ145" i="178"/>
  <c r="AK145" i="178"/>
  <c r="AL145" i="178"/>
  <c r="AM145" i="178"/>
  <c r="AN145" i="178"/>
  <c r="AO145" i="178"/>
  <c r="S146" i="178"/>
  <c r="T146" i="178"/>
  <c r="U146" i="178" s="1"/>
  <c r="W146" i="178"/>
  <c r="AD146" i="178"/>
  <c r="AE146" i="178"/>
  <c r="AF146" i="178"/>
  <c r="AG146" i="178"/>
  <c r="AH146" i="178"/>
  <c r="AI146" i="178"/>
  <c r="AJ146" i="178"/>
  <c r="AK146" i="178"/>
  <c r="AL146" i="178"/>
  <c r="AM146" i="178"/>
  <c r="AN146" i="178"/>
  <c r="AO146" i="178"/>
  <c r="S148" i="178"/>
  <c r="T148" i="178"/>
  <c r="U148" i="178" s="1"/>
  <c r="W148" i="178"/>
  <c r="AD148" i="178"/>
  <c r="AE148" i="178"/>
  <c r="AF148" i="178"/>
  <c r="AG148" i="178"/>
  <c r="AH148" i="178"/>
  <c r="AI148" i="178"/>
  <c r="AJ148" i="178"/>
  <c r="AK148" i="178"/>
  <c r="AL148" i="178"/>
  <c r="AM148" i="178"/>
  <c r="AN148" i="178"/>
  <c r="AO148" i="178"/>
  <c r="S159" i="178"/>
  <c r="T159" i="178"/>
  <c r="U159" i="178" s="1"/>
  <c r="W159" i="178"/>
  <c r="AD159" i="178"/>
  <c r="AE159" i="178"/>
  <c r="AF159" i="178"/>
  <c r="AG159" i="178"/>
  <c r="AH159" i="178"/>
  <c r="AI159" i="178"/>
  <c r="AJ159" i="178"/>
  <c r="AK159" i="178"/>
  <c r="AL159" i="178"/>
  <c r="AM159" i="178"/>
  <c r="AN159" i="178"/>
  <c r="AO159" i="178"/>
  <c r="S395" i="178"/>
  <c r="T395" i="178"/>
  <c r="U395" i="178" s="1"/>
  <c r="W395" i="178"/>
  <c r="AD395" i="178"/>
  <c r="AE395" i="178"/>
  <c r="AF395" i="178"/>
  <c r="AG395" i="178"/>
  <c r="AH395" i="178"/>
  <c r="AI395" i="178"/>
  <c r="AJ395" i="178"/>
  <c r="AK395" i="178"/>
  <c r="AL395" i="178"/>
  <c r="AM395" i="178"/>
  <c r="AN395" i="178"/>
  <c r="AO395" i="178"/>
  <c r="S396" i="178"/>
  <c r="T396" i="178"/>
  <c r="U396" i="178" s="1"/>
  <c r="W396" i="178"/>
  <c r="AD396" i="178"/>
  <c r="AE396" i="178"/>
  <c r="AF396" i="178"/>
  <c r="AG396" i="178"/>
  <c r="AH396" i="178"/>
  <c r="AI396" i="178"/>
  <c r="AJ396" i="178"/>
  <c r="AK396" i="178"/>
  <c r="AL396" i="178"/>
  <c r="AM396" i="178"/>
  <c r="AN396" i="178"/>
  <c r="AO396" i="178"/>
  <c r="Q595" i="178"/>
  <c r="S595" i="178" s="1"/>
  <c r="T595" i="178"/>
  <c r="U595" i="178" s="1"/>
  <c r="W595" i="178"/>
  <c r="AD595" i="178"/>
  <c r="AE595" i="178"/>
  <c r="AF595" i="178"/>
  <c r="AG595" i="178"/>
  <c r="AH595" i="178"/>
  <c r="AI595" i="178"/>
  <c r="AJ595" i="178"/>
  <c r="AK595" i="178"/>
  <c r="AL595" i="178"/>
  <c r="AM595" i="178"/>
  <c r="AN595" i="178"/>
  <c r="AO595" i="178"/>
  <c r="S397" i="178"/>
  <c r="T397" i="178"/>
  <c r="U397" i="178" s="1"/>
  <c r="W397" i="178"/>
  <c r="AD397" i="178"/>
  <c r="AE397" i="178"/>
  <c r="AF397" i="178"/>
  <c r="AG397" i="178"/>
  <c r="AH397" i="178"/>
  <c r="AI397" i="178"/>
  <c r="AJ397" i="178"/>
  <c r="AK397" i="178"/>
  <c r="AL397" i="178"/>
  <c r="AM397" i="178"/>
  <c r="AN397" i="178"/>
  <c r="AO397" i="178"/>
  <c r="Q596" i="178"/>
  <c r="S596" i="178" s="1"/>
  <c r="T596" i="178"/>
  <c r="U596" i="178" s="1"/>
  <c r="W596" i="178"/>
  <c r="AD596" i="178"/>
  <c r="AE596" i="178"/>
  <c r="AF596" i="178"/>
  <c r="AG596" i="178"/>
  <c r="AH596" i="178"/>
  <c r="AI596" i="178"/>
  <c r="AJ596" i="178"/>
  <c r="AK596" i="178"/>
  <c r="AL596" i="178"/>
  <c r="AM596" i="178"/>
  <c r="AN596" i="178"/>
  <c r="AO596" i="178"/>
  <c r="Q597" i="178"/>
  <c r="S597" i="178" s="1"/>
  <c r="T597" i="178"/>
  <c r="U597" i="178" s="1"/>
  <c r="W597" i="178"/>
  <c r="AD597" i="178"/>
  <c r="AE597" i="178"/>
  <c r="AF597" i="178"/>
  <c r="AG597" i="178"/>
  <c r="AH597" i="178"/>
  <c r="AI597" i="178"/>
  <c r="AJ597" i="178"/>
  <c r="AK597" i="178"/>
  <c r="AL597" i="178"/>
  <c r="AM597" i="178"/>
  <c r="AN597" i="178"/>
  <c r="AO597" i="178"/>
  <c r="S831" i="178"/>
  <c r="T831" i="178"/>
  <c r="V831" i="178" s="1"/>
  <c r="W831" i="178"/>
  <c r="AD831" i="178"/>
  <c r="AE831" i="178"/>
  <c r="AF831" i="178"/>
  <c r="AG831" i="178"/>
  <c r="AH831" i="178"/>
  <c r="AI831" i="178"/>
  <c r="AJ831" i="178"/>
  <c r="AK831" i="178"/>
  <c r="AL831" i="178"/>
  <c r="AM831" i="178"/>
  <c r="AN831" i="178"/>
  <c r="AO831" i="178"/>
  <c r="S832" i="178"/>
  <c r="T832" i="178"/>
  <c r="U832" i="178" s="1"/>
  <c r="W832" i="178"/>
  <c r="AD832" i="178"/>
  <c r="AE832" i="178"/>
  <c r="AF832" i="178"/>
  <c r="AG832" i="178"/>
  <c r="AH832" i="178"/>
  <c r="AI832" i="178"/>
  <c r="AJ832" i="178"/>
  <c r="AK832" i="178"/>
  <c r="AL832" i="178"/>
  <c r="AM832" i="178"/>
  <c r="AN832" i="178"/>
  <c r="AO832" i="178"/>
  <c r="S833" i="178"/>
  <c r="T833" i="178"/>
  <c r="U833" i="178" s="1"/>
  <c r="W833" i="178"/>
  <c r="AD833" i="178"/>
  <c r="AE833" i="178"/>
  <c r="AF833" i="178"/>
  <c r="AG833" i="178"/>
  <c r="AH833" i="178"/>
  <c r="AI833" i="178"/>
  <c r="AJ833" i="178"/>
  <c r="AK833" i="178"/>
  <c r="AL833" i="178"/>
  <c r="AM833" i="178"/>
  <c r="AN833" i="178"/>
  <c r="AO833" i="178"/>
  <c r="Q624" i="178"/>
  <c r="S624" i="178" s="1"/>
  <c r="T624" i="178"/>
  <c r="U624" i="178" s="1"/>
  <c r="W624" i="178"/>
  <c r="AD624" i="178"/>
  <c r="AE624" i="178"/>
  <c r="AF624" i="178"/>
  <c r="AG624" i="178"/>
  <c r="AH624" i="178"/>
  <c r="AI624" i="178"/>
  <c r="AJ624" i="178"/>
  <c r="AK624" i="178"/>
  <c r="AL624" i="178"/>
  <c r="AM624" i="178"/>
  <c r="AN624" i="178"/>
  <c r="AO624" i="178"/>
  <c r="Q415" i="178"/>
  <c r="S415" i="178" s="1"/>
  <c r="T415" i="178"/>
  <c r="V415" i="178" s="1"/>
  <c r="W415" i="178"/>
  <c r="AD415" i="178"/>
  <c r="AE415" i="178"/>
  <c r="AF415" i="178"/>
  <c r="AG415" i="178"/>
  <c r="AH415" i="178"/>
  <c r="AI415" i="178"/>
  <c r="AJ415" i="178"/>
  <c r="AK415" i="178"/>
  <c r="AL415" i="178"/>
  <c r="AM415" i="178"/>
  <c r="AN415" i="178"/>
  <c r="AO415" i="178"/>
  <c r="Q416" i="178"/>
  <c r="S416" i="178" s="1"/>
  <c r="T416" i="178"/>
  <c r="U416" i="178" s="1"/>
  <c r="W416" i="178"/>
  <c r="AD416" i="178"/>
  <c r="AE416" i="178"/>
  <c r="AF416" i="178"/>
  <c r="AG416" i="178"/>
  <c r="AH416" i="178"/>
  <c r="AI416" i="178"/>
  <c r="AJ416" i="178"/>
  <c r="AK416" i="178"/>
  <c r="AL416" i="178"/>
  <c r="AM416" i="178"/>
  <c r="AN416" i="178"/>
  <c r="AO416" i="178"/>
  <c r="Q625" i="178"/>
  <c r="S625" i="178" s="1"/>
  <c r="T625" i="178"/>
  <c r="U625" i="178" s="1"/>
  <c r="W625" i="178"/>
  <c r="AD625" i="178"/>
  <c r="AE625" i="178"/>
  <c r="AF625" i="178"/>
  <c r="AG625" i="178"/>
  <c r="AH625" i="178"/>
  <c r="AI625" i="178"/>
  <c r="AJ625" i="178"/>
  <c r="AK625" i="178"/>
  <c r="AL625" i="178"/>
  <c r="AM625" i="178"/>
  <c r="AN625" i="178"/>
  <c r="AO625" i="178"/>
  <c r="Q407" i="178"/>
  <c r="S407" i="178" s="1"/>
  <c r="T407" i="178"/>
  <c r="U407" i="178" s="1"/>
  <c r="W407" i="178"/>
  <c r="AD407" i="178"/>
  <c r="AE407" i="178"/>
  <c r="AF407" i="178"/>
  <c r="AG407" i="178"/>
  <c r="AH407" i="178"/>
  <c r="AI407" i="178"/>
  <c r="AJ407" i="178"/>
  <c r="AK407" i="178"/>
  <c r="AL407" i="178"/>
  <c r="AM407" i="178"/>
  <c r="AN407" i="178"/>
  <c r="AO407" i="178"/>
  <c r="Q626" i="178"/>
  <c r="S626" i="178" s="1"/>
  <c r="T626" i="178"/>
  <c r="U626" i="178" s="1"/>
  <c r="W626" i="178"/>
  <c r="AD626" i="178"/>
  <c r="AE626" i="178"/>
  <c r="AF626" i="178"/>
  <c r="AG626" i="178"/>
  <c r="AH626" i="178"/>
  <c r="AI626" i="178"/>
  <c r="AJ626" i="178"/>
  <c r="AK626" i="178"/>
  <c r="AL626" i="178"/>
  <c r="AM626" i="178"/>
  <c r="AN626" i="178"/>
  <c r="AO626" i="178"/>
  <c r="Q408" i="178"/>
  <c r="S408" i="178" s="1"/>
  <c r="T408" i="178"/>
  <c r="U408" i="178" s="1"/>
  <c r="W408" i="178"/>
  <c r="AD408" i="178"/>
  <c r="AE408" i="178"/>
  <c r="AF408" i="178"/>
  <c r="AG408" i="178"/>
  <c r="AH408" i="178"/>
  <c r="AI408" i="178"/>
  <c r="AJ408" i="178"/>
  <c r="AK408" i="178"/>
  <c r="AL408" i="178"/>
  <c r="AM408" i="178"/>
  <c r="AN408" i="178"/>
  <c r="AO408" i="178"/>
  <c r="Q417" i="178"/>
  <c r="S417" i="178" s="1"/>
  <c r="T417" i="178"/>
  <c r="U417" i="178" s="1"/>
  <c r="W417" i="178"/>
  <c r="AD417" i="178"/>
  <c r="AE417" i="178"/>
  <c r="AF417" i="178"/>
  <c r="AG417" i="178"/>
  <c r="AH417" i="178"/>
  <c r="AI417" i="178"/>
  <c r="AJ417" i="178"/>
  <c r="AK417" i="178"/>
  <c r="AL417" i="178"/>
  <c r="AM417" i="178"/>
  <c r="AN417" i="178"/>
  <c r="AO417" i="178"/>
  <c r="Q627" i="178"/>
  <c r="S627" i="178" s="1"/>
  <c r="T627" i="178"/>
  <c r="U627" i="178" s="1"/>
  <c r="W627" i="178"/>
  <c r="AD627" i="178"/>
  <c r="AE627" i="178"/>
  <c r="AF627" i="178"/>
  <c r="AG627" i="178"/>
  <c r="AH627" i="178"/>
  <c r="AI627" i="178"/>
  <c r="AJ627" i="178"/>
  <c r="AK627" i="178"/>
  <c r="AL627" i="178"/>
  <c r="AM627" i="178"/>
  <c r="AN627" i="178"/>
  <c r="AO627" i="178"/>
  <c r="Q628" i="178"/>
  <c r="S628" i="178" s="1"/>
  <c r="T628" i="178"/>
  <c r="U628" i="178" s="1"/>
  <c r="W628" i="178"/>
  <c r="AD628" i="178"/>
  <c r="AE628" i="178"/>
  <c r="AF628" i="178"/>
  <c r="AG628" i="178"/>
  <c r="AH628" i="178"/>
  <c r="AI628" i="178"/>
  <c r="AJ628" i="178"/>
  <c r="AK628" i="178"/>
  <c r="AL628" i="178"/>
  <c r="AM628" i="178"/>
  <c r="AN628" i="178"/>
  <c r="AO628" i="178"/>
  <c r="S783" i="178"/>
  <c r="T783" i="178"/>
  <c r="U783" i="178" s="1"/>
  <c r="W783" i="178"/>
  <c r="AD783" i="178"/>
  <c r="AE783" i="178"/>
  <c r="AF783" i="178"/>
  <c r="AG783" i="178"/>
  <c r="AH783" i="178"/>
  <c r="AI783" i="178"/>
  <c r="AJ783" i="178"/>
  <c r="AK783" i="178"/>
  <c r="AL783" i="178"/>
  <c r="AM783" i="178"/>
  <c r="AN783" i="178"/>
  <c r="AO783" i="178"/>
  <c r="S784" i="178"/>
  <c r="T784" i="178"/>
  <c r="U784" i="178" s="1"/>
  <c r="W784" i="178"/>
  <c r="AD784" i="178"/>
  <c r="AE784" i="178"/>
  <c r="AF784" i="178"/>
  <c r="AG784" i="178"/>
  <c r="AH784" i="178"/>
  <c r="AI784" i="178"/>
  <c r="AJ784" i="178"/>
  <c r="AK784" i="178"/>
  <c r="AL784" i="178"/>
  <c r="AM784" i="178"/>
  <c r="AN784" i="178"/>
  <c r="AO784" i="178"/>
  <c r="S785" i="178"/>
  <c r="T785" i="178"/>
  <c r="U785" i="178" s="1"/>
  <c r="W785" i="178"/>
  <c r="AD785" i="178"/>
  <c r="AE785" i="178"/>
  <c r="AF785" i="178"/>
  <c r="AG785" i="178"/>
  <c r="AH785" i="178"/>
  <c r="AI785" i="178"/>
  <c r="AJ785" i="178"/>
  <c r="AK785" i="178"/>
  <c r="AL785" i="178"/>
  <c r="AM785" i="178"/>
  <c r="AN785" i="178"/>
  <c r="AO785" i="178"/>
  <c r="Q422" i="178"/>
  <c r="S422" i="178" s="1"/>
  <c r="T422" i="178"/>
  <c r="U422" i="178" s="1"/>
  <c r="W422" i="178"/>
  <c r="AD422" i="178"/>
  <c r="AE422" i="178"/>
  <c r="AF422" i="178"/>
  <c r="AG422" i="178"/>
  <c r="AH422" i="178"/>
  <c r="AI422" i="178"/>
  <c r="AJ422" i="178"/>
  <c r="AK422" i="178"/>
  <c r="AL422" i="178"/>
  <c r="AM422" i="178"/>
  <c r="AN422" i="178"/>
  <c r="AO422" i="178"/>
  <c r="Q633" i="178"/>
  <c r="S633" i="178" s="1"/>
  <c r="T633" i="178"/>
  <c r="U633" i="178" s="1"/>
  <c r="W633" i="178"/>
  <c r="AD633" i="178"/>
  <c r="AE633" i="178"/>
  <c r="AF633" i="178"/>
  <c r="AG633" i="178"/>
  <c r="AH633" i="178"/>
  <c r="AI633" i="178"/>
  <c r="AJ633" i="178"/>
  <c r="AK633" i="178"/>
  <c r="AL633" i="178"/>
  <c r="AM633" i="178"/>
  <c r="AN633" i="178"/>
  <c r="AO633" i="178"/>
  <c r="Q649" i="178"/>
  <c r="S649" i="178" s="1"/>
  <c r="T649" i="178"/>
  <c r="U649" i="178" s="1"/>
  <c r="W649" i="178"/>
  <c r="AD649" i="178"/>
  <c r="AE649" i="178"/>
  <c r="AF649" i="178"/>
  <c r="AG649" i="178"/>
  <c r="AH649" i="178"/>
  <c r="AI649" i="178"/>
  <c r="AJ649" i="178"/>
  <c r="AK649" i="178"/>
  <c r="AL649" i="178"/>
  <c r="AM649" i="178"/>
  <c r="AN649" i="178"/>
  <c r="AO649" i="178"/>
  <c r="Q650" i="178"/>
  <c r="S650" i="178" s="1"/>
  <c r="T650" i="178"/>
  <c r="U650" i="178" s="1"/>
  <c r="W650" i="178"/>
  <c r="AD650" i="178"/>
  <c r="AE650" i="178"/>
  <c r="AF650" i="178"/>
  <c r="AG650" i="178"/>
  <c r="AH650" i="178"/>
  <c r="AI650" i="178"/>
  <c r="AJ650" i="178"/>
  <c r="AK650" i="178"/>
  <c r="AL650" i="178"/>
  <c r="AM650" i="178"/>
  <c r="AN650" i="178"/>
  <c r="AO650" i="178"/>
  <c r="S968" i="178"/>
  <c r="T968" i="178"/>
  <c r="U968" i="178" s="1"/>
  <c r="W968" i="178"/>
  <c r="AD968" i="178"/>
  <c r="AE968" i="178"/>
  <c r="AF968" i="178"/>
  <c r="AG968" i="178"/>
  <c r="AH968" i="178"/>
  <c r="AI968" i="178"/>
  <c r="AJ968" i="178"/>
  <c r="AK968" i="178"/>
  <c r="AL968" i="178"/>
  <c r="AM968" i="178"/>
  <c r="AN968" i="178"/>
  <c r="AO968" i="178"/>
  <c r="S1035" i="178"/>
  <c r="T1035" i="178"/>
  <c r="U1035" i="178" s="1"/>
  <c r="W1035" i="178"/>
  <c r="AD1035" i="178"/>
  <c r="AE1035" i="178"/>
  <c r="AF1035" i="178"/>
  <c r="AG1035" i="178"/>
  <c r="AH1035" i="178"/>
  <c r="AI1035" i="178"/>
  <c r="AJ1035" i="178"/>
  <c r="AK1035" i="178"/>
  <c r="AL1035" i="178"/>
  <c r="AM1035" i="178"/>
  <c r="AN1035" i="178"/>
  <c r="AO1035" i="178"/>
  <c r="Q652" i="178"/>
  <c r="S652" i="178" s="1"/>
  <c r="T652" i="178"/>
  <c r="U652" i="178" s="1"/>
  <c r="W652" i="178"/>
  <c r="AD652" i="178"/>
  <c r="AE652" i="178"/>
  <c r="AF652" i="178"/>
  <c r="AG652" i="178"/>
  <c r="AH652" i="178"/>
  <c r="AI652" i="178"/>
  <c r="AJ652" i="178"/>
  <c r="AK652" i="178"/>
  <c r="AL652" i="178"/>
  <c r="AM652" i="178"/>
  <c r="AN652" i="178"/>
  <c r="AO652" i="178"/>
  <c r="Q448" i="178"/>
  <c r="S448" i="178" s="1"/>
  <c r="T448" i="178"/>
  <c r="U448" i="178" s="1"/>
  <c r="W448" i="178"/>
  <c r="AD448" i="178"/>
  <c r="AE448" i="178"/>
  <c r="AF448" i="178"/>
  <c r="AG448" i="178"/>
  <c r="AH448" i="178"/>
  <c r="AI448" i="178"/>
  <c r="AJ448" i="178"/>
  <c r="AK448" i="178"/>
  <c r="AL448" i="178"/>
  <c r="AM448" i="178"/>
  <c r="AN448" i="178"/>
  <c r="AO448" i="178"/>
  <c r="Q653" i="178"/>
  <c r="S653" i="178" s="1"/>
  <c r="T653" i="178"/>
  <c r="U653" i="178" s="1"/>
  <c r="W653" i="178"/>
  <c r="AD653" i="178"/>
  <c r="AE653" i="178"/>
  <c r="AF653" i="178"/>
  <c r="AG653" i="178"/>
  <c r="AH653" i="178"/>
  <c r="AI653" i="178"/>
  <c r="AJ653" i="178"/>
  <c r="AK653" i="178"/>
  <c r="AL653" i="178"/>
  <c r="AM653" i="178"/>
  <c r="AN653" i="178"/>
  <c r="AO653" i="178"/>
  <c r="Q654" i="178"/>
  <c r="S654" i="178" s="1"/>
  <c r="T654" i="178"/>
  <c r="U654" i="178" s="1"/>
  <c r="W654" i="178"/>
  <c r="AD654" i="178"/>
  <c r="AE654" i="178"/>
  <c r="AF654" i="178"/>
  <c r="AG654" i="178"/>
  <c r="AH654" i="178"/>
  <c r="AI654" i="178"/>
  <c r="AJ654" i="178"/>
  <c r="AK654" i="178"/>
  <c r="AL654" i="178"/>
  <c r="AM654" i="178"/>
  <c r="AN654" i="178"/>
  <c r="AO654" i="178"/>
  <c r="Q655" i="178"/>
  <c r="S655" i="178" s="1"/>
  <c r="T655" i="178"/>
  <c r="U655" i="178" s="1"/>
  <c r="W655" i="178"/>
  <c r="AD655" i="178"/>
  <c r="AE655" i="178"/>
  <c r="AF655" i="178"/>
  <c r="AG655" i="178"/>
  <c r="AH655" i="178"/>
  <c r="AI655" i="178"/>
  <c r="AJ655" i="178"/>
  <c r="AK655" i="178"/>
  <c r="AL655" i="178"/>
  <c r="AM655" i="178"/>
  <c r="AN655" i="178"/>
  <c r="AO655" i="178"/>
  <c r="Q449" i="178"/>
  <c r="S449" i="178" s="1"/>
  <c r="T449" i="178"/>
  <c r="U449" i="178" s="1"/>
  <c r="W449" i="178"/>
  <c r="AD449" i="178"/>
  <c r="AE449" i="178"/>
  <c r="AF449" i="178"/>
  <c r="AG449" i="178"/>
  <c r="AH449" i="178"/>
  <c r="AI449" i="178"/>
  <c r="AJ449" i="178"/>
  <c r="AK449" i="178"/>
  <c r="AL449" i="178"/>
  <c r="AM449" i="178"/>
  <c r="AN449" i="178"/>
  <c r="AO449" i="178"/>
  <c r="Q450" i="178"/>
  <c r="S450" i="178" s="1"/>
  <c r="T450" i="178"/>
  <c r="U450" i="178" s="1"/>
  <c r="W450" i="178"/>
  <c r="AD450" i="178"/>
  <c r="AE450" i="178"/>
  <c r="AF450" i="178"/>
  <c r="AG450" i="178"/>
  <c r="AH450" i="178"/>
  <c r="AI450" i="178"/>
  <c r="AJ450" i="178"/>
  <c r="AK450" i="178"/>
  <c r="AL450" i="178"/>
  <c r="AM450" i="178"/>
  <c r="AN450" i="178"/>
  <c r="AO450" i="178"/>
  <c r="Q656" i="178"/>
  <c r="S656" i="178" s="1"/>
  <c r="T656" i="178"/>
  <c r="U656" i="178" s="1"/>
  <c r="W656" i="178"/>
  <c r="AD656" i="178"/>
  <c r="AE656" i="178"/>
  <c r="AF656" i="178"/>
  <c r="AG656" i="178"/>
  <c r="AH656" i="178"/>
  <c r="AI656" i="178"/>
  <c r="AJ656" i="178"/>
  <c r="AK656" i="178"/>
  <c r="AL656" i="178"/>
  <c r="AM656" i="178"/>
  <c r="AN656" i="178"/>
  <c r="AO656" i="178"/>
  <c r="Q451" i="178"/>
  <c r="S451" i="178" s="1"/>
  <c r="T451" i="178"/>
  <c r="U451" i="178" s="1"/>
  <c r="W451" i="178"/>
  <c r="AD451" i="178"/>
  <c r="AE451" i="178"/>
  <c r="AF451" i="178"/>
  <c r="AG451" i="178"/>
  <c r="AH451" i="178"/>
  <c r="AI451" i="178"/>
  <c r="AJ451" i="178"/>
  <c r="AK451" i="178"/>
  <c r="AL451" i="178"/>
  <c r="AM451" i="178"/>
  <c r="AN451" i="178"/>
  <c r="AO451" i="178"/>
  <c r="Q657" i="178"/>
  <c r="S657" i="178" s="1"/>
  <c r="T657" i="178"/>
  <c r="U657" i="178" s="1"/>
  <c r="W657" i="178"/>
  <c r="AD657" i="178"/>
  <c r="AE657" i="178"/>
  <c r="AF657" i="178"/>
  <c r="AG657" i="178"/>
  <c r="AH657" i="178"/>
  <c r="AI657" i="178"/>
  <c r="AJ657" i="178"/>
  <c r="AK657" i="178"/>
  <c r="AL657" i="178"/>
  <c r="AM657" i="178"/>
  <c r="AN657" i="178"/>
  <c r="AO657" i="178"/>
  <c r="S1039" i="178"/>
  <c r="T1039" i="178"/>
  <c r="U1039" i="178" s="1"/>
  <c r="W1039" i="178"/>
  <c r="AD1039" i="178"/>
  <c r="AE1039" i="178"/>
  <c r="AF1039" i="178"/>
  <c r="AG1039" i="178"/>
  <c r="AH1039" i="178"/>
  <c r="AI1039" i="178"/>
  <c r="AJ1039" i="178"/>
  <c r="AK1039" i="178"/>
  <c r="AL1039" i="178"/>
  <c r="AM1039" i="178"/>
  <c r="AN1039" i="178"/>
  <c r="AO1039" i="178"/>
  <c r="S1040" i="178"/>
  <c r="T1040" i="178"/>
  <c r="U1040" i="178" s="1"/>
  <c r="W1040" i="178"/>
  <c r="AD1040" i="178"/>
  <c r="AE1040" i="178"/>
  <c r="AF1040" i="178"/>
  <c r="AG1040" i="178"/>
  <c r="AH1040" i="178"/>
  <c r="AI1040" i="178"/>
  <c r="AJ1040" i="178"/>
  <c r="AK1040" i="178"/>
  <c r="AL1040" i="178"/>
  <c r="AM1040" i="178"/>
  <c r="AN1040" i="178"/>
  <c r="AO1040" i="178"/>
  <c r="S173" i="178"/>
  <c r="B173" i="178"/>
  <c r="B817" i="178"/>
  <c r="B819" i="178"/>
  <c r="B820" i="178"/>
  <c r="B821" i="178"/>
  <c r="B822" i="178"/>
  <c r="B834" i="178"/>
  <c r="B835" i="178"/>
  <c r="B699" i="178"/>
  <c r="B700" i="178"/>
  <c r="B701" i="178"/>
  <c r="B693" i="178"/>
  <c r="B694" i="178"/>
  <c r="B62" i="178"/>
  <c r="B447" i="178"/>
  <c r="B695" i="178"/>
  <c r="B836" i="178"/>
  <c r="B837" i="178"/>
  <c r="B838" i="178"/>
  <c r="B839" i="178"/>
  <c r="B840" i="178"/>
  <c r="B846" i="178"/>
  <c r="B847" i="178"/>
  <c r="B848" i="178"/>
  <c r="B849" i="178"/>
  <c r="B746" i="178"/>
  <c r="B850" i="178"/>
  <c r="B851" i="178"/>
  <c r="B852" i="178"/>
  <c r="B853" i="178"/>
  <c r="B854" i="178"/>
  <c r="B922" i="178"/>
  <c r="B923" i="178"/>
  <c r="B924" i="178"/>
  <c r="B940" i="178"/>
  <c r="B941" i="178"/>
  <c r="B942" i="178"/>
  <c r="B943" i="178"/>
  <c r="B944" i="178"/>
  <c r="B961" i="178"/>
  <c r="B962" i="178"/>
  <c r="B455" i="178"/>
  <c r="B456" i="178"/>
  <c r="B458" i="178"/>
  <c r="B92" i="178"/>
  <c r="B706" i="178"/>
  <c r="B93" i="178"/>
  <c r="B95" i="178"/>
  <c r="B96" i="178"/>
  <c r="B661" i="178"/>
  <c r="B912" i="178"/>
  <c r="B97" i="178"/>
  <c r="B98" i="178"/>
  <c r="B122" i="178"/>
  <c r="B123" i="178"/>
  <c r="B471" i="178"/>
  <c r="B472" i="178"/>
  <c r="B662" i="178"/>
  <c r="B506" i="178"/>
  <c r="B914" i="178"/>
  <c r="B669" i="178"/>
  <c r="B709" i="178"/>
  <c r="B710" i="178"/>
  <c r="B649" i="178"/>
  <c r="B650" i="178"/>
  <c r="B968" i="178"/>
  <c r="B1035" i="178"/>
  <c r="B652" i="178"/>
  <c r="B448" i="178"/>
  <c r="B653" i="178"/>
  <c r="B654" i="178"/>
  <c r="B655" i="178"/>
  <c r="B449" i="178"/>
  <c r="B450" i="178"/>
  <c r="B656" i="178"/>
  <c r="B451" i="178"/>
  <c r="B657" i="178"/>
  <c r="B1039" i="178"/>
  <c r="B1040" i="178"/>
  <c r="T172" i="178"/>
  <c r="U172" i="178" s="1"/>
  <c r="W172" i="178"/>
  <c r="AD172" i="178"/>
  <c r="AE172" i="178"/>
  <c r="AF172" i="178"/>
  <c r="AG172" i="178"/>
  <c r="AH172" i="178"/>
  <c r="AI172" i="178"/>
  <c r="AJ172" i="178"/>
  <c r="AK172" i="178"/>
  <c r="AL172" i="178"/>
  <c r="AM172" i="178"/>
  <c r="AN172" i="178"/>
  <c r="AO172" i="178"/>
  <c r="T173" i="178"/>
  <c r="U173" i="178" s="1"/>
  <c r="W173" i="178"/>
  <c r="AD173" i="178"/>
  <c r="AE173" i="178"/>
  <c r="AF173" i="178"/>
  <c r="AG173" i="178"/>
  <c r="AH173" i="178"/>
  <c r="AI173" i="178"/>
  <c r="AJ173" i="178"/>
  <c r="AK173" i="178"/>
  <c r="AL173" i="178"/>
  <c r="AM173" i="178"/>
  <c r="AN173" i="178"/>
  <c r="AO173" i="178"/>
  <c r="S172" i="178"/>
  <c r="B172" i="178"/>
  <c r="BK599" i="178" l="1"/>
  <c r="BK463" i="178"/>
  <c r="BK435" i="178"/>
  <c r="BK960" i="178"/>
  <c r="BK774" i="178"/>
  <c r="BK457" i="178"/>
  <c r="BK417" i="178"/>
  <c r="BK833" i="178"/>
  <c r="BK813" i="178"/>
  <c r="BK657" i="178"/>
  <c r="BK448" i="178"/>
  <c r="BK732" i="178"/>
  <c r="BK188" i="178"/>
  <c r="BK496" i="178"/>
  <c r="BK159" i="178"/>
  <c r="BK700" i="178"/>
  <c r="BK59" i="178"/>
  <c r="BK186" i="178"/>
  <c r="BK689" i="178"/>
  <c r="BK55" i="178"/>
  <c r="BK104" i="178"/>
  <c r="BK346" i="178"/>
  <c r="BK266" i="178"/>
  <c r="BK250" i="178"/>
  <c r="BK898" i="178"/>
  <c r="BK225" i="178"/>
  <c r="BK204" i="178"/>
  <c r="BK572" i="178"/>
  <c r="BK428" i="178"/>
  <c r="BK427" i="178"/>
  <c r="BK614" i="178"/>
  <c r="BK731" i="178"/>
  <c r="BK727" i="178"/>
  <c r="BK601" i="178"/>
  <c r="BK579" i="178"/>
  <c r="BK175" i="178"/>
  <c r="BK1015" i="178"/>
  <c r="BK1012" i="178"/>
  <c r="BK359" i="178"/>
  <c r="BK156" i="178"/>
  <c r="BK996" i="178"/>
  <c r="BK993" i="178"/>
  <c r="BK259" i="178"/>
  <c r="BK134" i="178"/>
  <c r="BK519" i="178"/>
  <c r="BK131" i="178"/>
  <c r="BK25" i="178"/>
  <c r="BK5" i="178"/>
  <c r="BK937" i="178"/>
  <c r="BK894" i="178"/>
  <c r="BK459" i="178"/>
  <c r="BK775" i="178"/>
  <c r="BK796" i="178"/>
  <c r="BK603" i="178"/>
  <c r="BK590" i="178"/>
  <c r="BK970" i="178"/>
  <c r="BK930" i="178"/>
  <c r="BK927" i="178"/>
  <c r="BK790" i="178"/>
  <c r="BK600" i="178"/>
  <c r="BK670" i="178"/>
  <c r="BK957" i="178"/>
  <c r="BK126" i="178"/>
  <c r="BK124" i="178"/>
  <c r="BK637" i="178"/>
  <c r="BK737" i="178"/>
  <c r="BK554" i="178"/>
  <c r="BK531" i="178"/>
  <c r="BK501" i="178"/>
  <c r="BK328" i="178"/>
  <c r="BK476" i="178"/>
  <c r="BK1018" i="178"/>
  <c r="BK162" i="178"/>
  <c r="BK261" i="178"/>
  <c r="BK245" i="178"/>
  <c r="BK586" i="178"/>
  <c r="BK132" i="178"/>
  <c r="BK90" i="178"/>
  <c r="BK106" i="178"/>
  <c r="BK74" i="178"/>
  <c r="BK44" i="178"/>
  <c r="BK8" i="178"/>
  <c r="BK696" i="178"/>
  <c r="BK947" i="178"/>
  <c r="BK473" i="178"/>
  <c r="BK861" i="178"/>
  <c r="BK844" i="178"/>
  <c r="BK442" i="178"/>
  <c r="BK144" i="178"/>
  <c r="BK562" i="178"/>
  <c r="BK395" i="178"/>
  <c r="BK669" i="178"/>
  <c r="BK122" i="178"/>
  <c r="BK837" i="178"/>
  <c r="BK701" i="178"/>
  <c r="BK60" i="178"/>
  <c r="BK617" i="178"/>
  <c r="BK374" i="178"/>
  <c r="BK67" i="178"/>
  <c r="BK594" i="178"/>
  <c r="BK592" i="178"/>
  <c r="BK76" i="178"/>
  <c r="BK46" i="178"/>
  <c r="BK130" i="178"/>
  <c r="BK453" i="178"/>
  <c r="BK399" i="178"/>
  <c r="BK197" i="178"/>
  <c r="BK632" i="178"/>
  <c r="BK683" i="178"/>
  <c r="AT565" i="178"/>
  <c r="BK901" i="178"/>
  <c r="BK890" i="178"/>
  <c r="BK366" i="178"/>
  <c r="BK343" i="178"/>
  <c r="BK301" i="178"/>
  <c r="BK274" i="178"/>
  <c r="BK544" i="178"/>
  <c r="BK103" i="178"/>
  <c r="BK86" i="178"/>
  <c r="BK541" i="178"/>
  <c r="BK921" i="178"/>
  <c r="BK540" i="178"/>
  <c r="BK129" i="178"/>
  <c r="BK28" i="178"/>
  <c r="BK18" i="178"/>
  <c r="BK13" i="178"/>
  <c r="BK6" i="178"/>
  <c r="BK697" i="178"/>
  <c r="BK557" i="178"/>
  <c r="BK608" i="178"/>
  <c r="BK740" i="178"/>
  <c r="BK96" i="178"/>
  <c r="BK848" i="178"/>
  <c r="BK694" i="178"/>
  <c r="BK1023" i="178"/>
  <c r="BK987" i="178"/>
  <c r="BK276" i="178"/>
  <c r="BK1039" i="178"/>
  <c r="BK450" i="178"/>
  <c r="BK407" i="178"/>
  <c r="BK597" i="178"/>
  <c r="BK922" i="178"/>
  <c r="BK819" i="178"/>
  <c r="BK1026" i="178"/>
  <c r="BK1006" i="178"/>
  <c r="BK985" i="178"/>
  <c r="BK979" i="178"/>
  <c r="BK760" i="178"/>
  <c r="BK571" i="178"/>
  <c r="BK511" i="178"/>
  <c r="BK492" i="178"/>
  <c r="BK484" i="178"/>
  <c r="BK468" i="178"/>
  <c r="BK462" i="178"/>
  <c r="BK386" i="178"/>
  <c r="BK382" i="178"/>
  <c r="BK371" i="178"/>
  <c r="BK355" i="178"/>
  <c r="BK335" i="178"/>
  <c r="BK283" i="178"/>
  <c r="BK269" i="178"/>
  <c r="BK242" i="178"/>
  <c r="BK116" i="178"/>
  <c r="BK83" i="178"/>
  <c r="BK659" i="178"/>
  <c r="BK31" i="178"/>
  <c r="BK443" i="178"/>
  <c r="BK171" i="178"/>
  <c r="BK37" i="178"/>
  <c r="BK558" i="178"/>
  <c r="BK198" i="178"/>
  <c r="BK183" i="178"/>
  <c r="BK799" i="178"/>
  <c r="BK800" i="178"/>
  <c r="BK736" i="178"/>
  <c r="BK72" i="178"/>
  <c r="BK189" i="178"/>
  <c r="BK176" i="178"/>
  <c r="BK753" i="178"/>
  <c r="BK972" i="178"/>
  <c r="BK767" i="178"/>
  <c r="BK929" i="178"/>
  <c r="BK322" i="178"/>
  <c r="BK575" i="178"/>
  <c r="BK174" i="178"/>
  <c r="BK653" i="178"/>
  <c r="BK633" i="178"/>
  <c r="BK627" i="178"/>
  <c r="BK624" i="178"/>
  <c r="BK396" i="178"/>
  <c r="BK95" i="178"/>
  <c r="BK853" i="178"/>
  <c r="BK847" i="178"/>
  <c r="BK822" i="178"/>
  <c r="BK814" i="178"/>
  <c r="BK682" i="178"/>
  <c r="BK1037" i="178"/>
  <c r="BK1022" i="178"/>
  <c r="BK986" i="178"/>
  <c r="BK889" i="178"/>
  <c r="BK676" i="178"/>
  <c r="BK636" i="178"/>
  <c r="BK550" i="178"/>
  <c r="BK530" i="178"/>
  <c r="BK500" i="178"/>
  <c r="BK464" i="178"/>
  <c r="BK375" i="178"/>
  <c r="BK367" i="178"/>
  <c r="BK347" i="178"/>
  <c r="BK315" i="178"/>
  <c r="BK275" i="178"/>
  <c r="BK989" i="178"/>
  <c r="BK314" i="178"/>
  <c r="BK121" i="178"/>
  <c r="BK109" i="178"/>
  <c r="BK87" i="178"/>
  <c r="BK43" i="178"/>
  <c r="BK454" i="178"/>
  <c r="BK658" i="178"/>
  <c r="BK946" i="178"/>
  <c r="BK32" i="178"/>
  <c r="BK896" i="178"/>
  <c r="BK605" i="178"/>
  <c r="BK598" i="178"/>
  <c r="BK137" i="178"/>
  <c r="BK36" i="178"/>
  <c r="BK909" i="178"/>
  <c r="BK199" i="178"/>
  <c r="BK777" i="178"/>
  <c r="BK193" i="178"/>
  <c r="BK143" i="178"/>
  <c r="BK741" i="178"/>
  <c r="BK783" i="178"/>
  <c r="BK397" i="178"/>
  <c r="BK472" i="178"/>
  <c r="BK62" i="178"/>
  <c r="BK809" i="178"/>
  <c r="BK56" i="178"/>
  <c r="BK768" i="178"/>
  <c r="BK34" i="178"/>
  <c r="BK29" i="178"/>
  <c r="BK254" i="178"/>
  <c r="BK902" i="178"/>
  <c r="BK221" i="178"/>
  <c r="BK891" i="178"/>
  <c r="BK862" i="178"/>
  <c r="BK841" i="178"/>
  <c r="BK690" i="178"/>
  <c r="BK426" i="178"/>
  <c r="BK638" i="178"/>
  <c r="BK744" i="178"/>
  <c r="BK738" i="178"/>
  <c r="BK559" i="178"/>
  <c r="BK490" i="178"/>
  <c r="BK384" i="178"/>
  <c r="BK377" i="178"/>
  <c r="BK352" i="178"/>
  <c r="BK319" i="178"/>
  <c r="BK589" i="178"/>
  <c r="BK163" i="178"/>
  <c r="BK262" i="178"/>
  <c r="BK238" i="178"/>
  <c r="BK919" i="178"/>
  <c r="BK885" i="178"/>
  <c r="BK945" i="178"/>
  <c r="BK498" i="178"/>
  <c r="BK423" i="178"/>
  <c r="BK969" i="178"/>
  <c r="BK926" i="178"/>
  <c r="BK479" i="178"/>
  <c r="BK182" i="178"/>
  <c r="BK302" i="178"/>
  <c r="BK743" i="178"/>
  <c r="BK958" i="178"/>
  <c r="BK667" i="178"/>
  <c r="BK449" i="178"/>
  <c r="BK968" i="178"/>
  <c r="BK596" i="178"/>
  <c r="BK662" i="178"/>
  <c r="BK912" i="178"/>
  <c r="BK456" i="178"/>
  <c r="BK746" i="178"/>
  <c r="BK817" i="178"/>
  <c r="BK1004" i="178"/>
  <c r="BK402" i="178"/>
  <c r="BK247" i="178"/>
  <c r="BK640" i="178"/>
  <c r="BK570" i="178"/>
  <c r="BK733" i="178"/>
  <c r="BK745" i="178"/>
  <c r="BK569" i="178"/>
  <c r="BK385" i="178"/>
  <c r="BK381" i="178"/>
  <c r="BK370" i="178"/>
  <c r="BK353" i="178"/>
  <c r="BK325" i="178"/>
  <c r="BK268" i="178"/>
  <c r="BK108" i="178"/>
  <c r="BK22" i="178"/>
  <c r="BK1035" i="178"/>
  <c r="BK92" i="178"/>
  <c r="BK923" i="178"/>
  <c r="BK811" i="178"/>
  <c r="BK688" i="178"/>
  <c r="BK1029" i="178"/>
  <c r="BK1007" i="178"/>
  <c r="BK984" i="178"/>
  <c r="BK563" i="178"/>
  <c r="BK561" i="178"/>
  <c r="BK499" i="178"/>
  <c r="BK433" i="178"/>
  <c r="BK432" i="178"/>
  <c r="BK429" i="178"/>
  <c r="BK761" i="178"/>
  <c r="BK577" i="178"/>
  <c r="BK538" i="178"/>
  <c r="BK520" i="178"/>
  <c r="BK185" i="178"/>
  <c r="BK317" i="178"/>
  <c r="BK383" i="178"/>
  <c r="BK1011" i="178"/>
  <c r="BK290" i="178"/>
  <c r="BK272" i="178"/>
  <c r="BK995" i="178"/>
  <c r="BK228" i="178"/>
  <c r="BK243" i="178"/>
  <c r="BK117" i="178"/>
  <c r="BK299" i="178"/>
  <c r="BK101" i="178"/>
  <c r="BK84" i="178"/>
  <c r="BK295" i="178"/>
  <c r="BK64" i="178"/>
  <c r="BK920" i="178"/>
  <c r="BK40" i="178"/>
  <c r="BK11" i="178"/>
  <c r="BK4" i="178"/>
  <c r="BK721" i="178"/>
  <c r="BK977" i="178"/>
  <c r="BK935" i="178"/>
  <c r="BK892" i="178"/>
  <c r="BK805" i="178"/>
  <c r="BK149" i="178"/>
  <c r="BK664" i="178"/>
  <c r="BK125" i="178"/>
  <c r="BK851" i="178"/>
  <c r="BK849" i="178"/>
  <c r="BK839" i="178"/>
  <c r="BK812" i="178"/>
  <c r="BK1040" i="178"/>
  <c r="BK252" i="178"/>
  <c r="BK650" i="178"/>
  <c r="BK98" i="178"/>
  <c r="BK364" i="178"/>
  <c r="BK515" i="178"/>
  <c r="BK88" i="178"/>
  <c r="BK33" i="178"/>
  <c r="BK717" i="178"/>
  <c r="BK769" i="178"/>
  <c r="BK584" i="178"/>
  <c r="BK410" i="178"/>
  <c r="BK779" i="178"/>
  <c r="BK478" i="178"/>
  <c r="BK451" i="178"/>
  <c r="BK655" i="178"/>
  <c r="BK652" i="178"/>
  <c r="BK422" i="178"/>
  <c r="BK660" i="178"/>
  <c r="BK609" i="178"/>
  <c r="BK151" i="178"/>
  <c r="BK552" i="178"/>
  <c r="BK770" i="178"/>
  <c r="BK612" i="178"/>
  <c r="BK666" i="178"/>
  <c r="BK663" i="178"/>
  <c r="BK411" i="178"/>
  <c r="BK631" i="178"/>
  <c r="BK421" i="178"/>
  <c r="BK53" i="178"/>
  <c r="BK248" i="178"/>
  <c r="BK718" i="178"/>
  <c r="BK661" i="178"/>
  <c r="BK26" i="178"/>
  <c r="BK223" i="178"/>
  <c r="BK206" i="178"/>
  <c r="BK181" i="178"/>
  <c r="BK593" i="178"/>
  <c r="BK671" i="178"/>
  <c r="BK672" i="178"/>
  <c r="BK150" i="178"/>
  <c r="BK720" i="178"/>
  <c r="BK719" i="178"/>
  <c r="BK408" i="178"/>
  <c r="BK93" i="178"/>
  <c r="BK630" i="178"/>
  <c r="BK54" i="178"/>
  <c r="BK51" i="178"/>
  <c r="BK716" i="178"/>
  <c r="BK350" i="178"/>
  <c r="BK345" i="178"/>
  <c r="BK27" i="178"/>
  <c r="BK265" i="178"/>
  <c r="BK253" i="178"/>
  <c r="BK249" i="178"/>
  <c r="BK224" i="178"/>
  <c r="BK196" i="178"/>
  <c r="BK615" i="178"/>
  <c r="BK602" i="178"/>
  <c r="BK656" i="178"/>
  <c r="BK622" i="178"/>
  <c r="BK363" i="178"/>
  <c r="BK349" i="178"/>
  <c r="BK344" i="178"/>
  <c r="BK264" i="178"/>
  <c r="BK620" i="178"/>
  <c r="BK202" i="178"/>
  <c r="BK587" i="178"/>
  <c r="BK673" i="178"/>
  <c r="BK771" i="178"/>
  <c r="BK416" i="178"/>
  <c r="BK471" i="178"/>
  <c r="BK446" i="178"/>
  <c r="BK674" i="178"/>
  <c r="BK207" i="178"/>
  <c r="BK135" i="178"/>
  <c r="BK729" i="178"/>
  <c r="BK900" i="178"/>
  <c r="BK734" i="178"/>
  <c r="BK730" i="178"/>
  <c r="BK991" i="178"/>
  <c r="BK1019" i="178"/>
  <c r="BK1013" i="178"/>
  <c r="BK1001" i="178"/>
  <c r="BK998" i="178"/>
  <c r="BK1017" i="178"/>
  <c r="BK107" i="178"/>
  <c r="BK230" i="178"/>
  <c r="BK419" i="178"/>
  <c r="BK66" i="178"/>
  <c r="BK699" i="178"/>
  <c r="BK489" i="178"/>
  <c r="BK766" i="178"/>
  <c r="BK645" i="178"/>
  <c r="BK152" i="178"/>
  <c r="BK434" i="178"/>
  <c r="BK334" i="178"/>
  <c r="BK568" i="178"/>
  <c r="BK763" i="178"/>
  <c r="BK747" i="178"/>
  <c r="BK628" i="178"/>
  <c r="BK506" i="178"/>
  <c r="BK420" i="178"/>
  <c r="BK686" i="178"/>
  <c r="BK354" i="178"/>
  <c r="BK348" i="178"/>
  <c r="BK643" i="178"/>
  <c r="BK270" i="178"/>
  <c r="BK641" i="178"/>
  <c r="BK226" i="178"/>
  <c r="BK205" i="178"/>
  <c r="BK430" i="178"/>
  <c r="BK195" i="178"/>
  <c r="BK192" i="178"/>
  <c r="BK425" i="178"/>
  <c r="BK418" i="178"/>
  <c r="BK318" i="178"/>
  <c r="BK588" i="178"/>
  <c r="BK549" i="178"/>
  <c r="BK539" i="178"/>
  <c r="BK128" i="178"/>
  <c r="BK89" i="178"/>
  <c r="BK623" i="178"/>
  <c r="BK604" i="178"/>
  <c r="BK271" i="178"/>
  <c r="BK654" i="178"/>
  <c r="BK626" i="178"/>
  <c r="BK415" i="178"/>
  <c r="BK693" i="178"/>
  <c r="BK201" i="178"/>
  <c r="BK825" i="178"/>
  <c r="BK187" i="178"/>
  <c r="BK1014" i="178"/>
  <c r="BK105" i="178"/>
  <c r="BK35" i="178"/>
  <c r="BK477" i="178"/>
  <c r="BK695" i="178"/>
  <c r="BK61" i="178"/>
  <c r="BK578" i="178"/>
  <c r="BK52" i="178"/>
  <c r="BK404" i="178"/>
  <c r="BK332" i="178"/>
  <c r="BK263" i="178"/>
  <c r="BK251" i="178"/>
  <c r="BK899" i="178"/>
  <c r="BK222" i="178"/>
  <c r="BK888" i="178"/>
  <c r="BK358" i="178"/>
  <c r="BK191" i="178"/>
  <c r="BK1020" i="178"/>
  <c r="BK1016" i="178"/>
  <c r="BK999" i="178"/>
  <c r="BK154" i="178"/>
  <c r="BK68" i="178"/>
  <c r="BK288" i="178"/>
  <c r="BK400" i="178"/>
  <c r="BK591" i="178"/>
  <c r="BK665" i="178"/>
  <c r="BK1002" i="178"/>
  <c r="BK118" i="178"/>
  <c r="BK133" i="178"/>
  <c r="BK551" i="178"/>
  <c r="BK49" i="178"/>
  <c r="BK914" i="178"/>
  <c r="BK123" i="178"/>
  <c r="BK649" i="178"/>
  <c r="BK595" i="178"/>
  <c r="BK706" i="178"/>
  <c r="BK684" i="178"/>
  <c r="BK57" i="178"/>
  <c r="BK988" i="178"/>
  <c r="BK752" i="178"/>
  <c r="BK644" i="178"/>
  <c r="BK765" i="178"/>
  <c r="BK409" i="178"/>
  <c r="BK668" i="178"/>
  <c r="BK487" i="178"/>
  <c r="BK47" i="178"/>
  <c r="BK24" i="178"/>
  <c r="BK444" i="178"/>
  <c r="BK860" i="178"/>
  <c r="BK710" i="178"/>
  <c r="BK537" i="178"/>
  <c r="BK115" i="178"/>
  <c r="BK15" i="178"/>
  <c r="BK38" i="178"/>
  <c r="BK1008" i="178"/>
  <c r="BK983" i="178"/>
  <c r="BK542" i="178"/>
  <c r="BK831" i="178"/>
  <c r="BK546" i="178"/>
  <c r="BK528" i="178"/>
  <c r="BK486" i="178"/>
  <c r="BK369" i="178"/>
  <c r="BK234" i="178"/>
  <c r="BK112" i="178"/>
  <c r="BK842" i="178"/>
  <c r="BK934" i="178"/>
  <c r="BK607" i="178"/>
  <c r="BK955" i="178"/>
  <c r="BK495" i="178"/>
  <c r="BK485" i="178"/>
  <c r="BK351" i="178"/>
  <c r="BK30" i="178"/>
  <c r="BK797" i="178"/>
  <c r="BK148" i="178"/>
  <c r="BK1010" i="178"/>
  <c r="BK564" i="178"/>
  <c r="BK533" i="178"/>
  <c r="BK509" i="178"/>
  <c r="BK475" i="178"/>
  <c r="BK474" i="178"/>
  <c r="BK380" i="178"/>
  <c r="BK373" i="178"/>
  <c r="BK244" i="178"/>
  <c r="BK94" i="178"/>
  <c r="BK82" i="178"/>
  <c r="BK20" i="178"/>
  <c r="BK887" i="178"/>
  <c r="BK461" i="178"/>
  <c r="BK79" i="178"/>
  <c r="BK933" i="178"/>
  <c r="BK481" i="178"/>
  <c r="BK798" i="178"/>
  <c r="BK749" i="178"/>
  <c r="BK119" i="178"/>
  <c r="BK102" i="178"/>
  <c r="BK81" i="178"/>
  <c r="BK75" i="178"/>
  <c r="BK45" i="178"/>
  <c r="BK41" i="178"/>
  <c r="BK938" i="178"/>
  <c r="BK709" i="178"/>
  <c r="BK821" i="178"/>
  <c r="BK845" i="178"/>
  <c r="BK691" i="178"/>
  <c r="BK639" i="178"/>
  <c r="BK503" i="178"/>
  <c r="BK320" i="178"/>
  <c r="BK527" i="178"/>
  <c r="BK368" i="178"/>
  <c r="BK340" i="178"/>
  <c r="BK298" i="178"/>
  <c r="BK85" i="178"/>
  <c r="BK23" i="178"/>
  <c r="BK19" i="178"/>
  <c r="BK895" i="178"/>
  <c r="BK78" i="178"/>
  <c r="BK480" i="178"/>
  <c r="BK177" i="178"/>
  <c r="BK959" i="178"/>
  <c r="BK466" i="178"/>
  <c r="BK931" i="178"/>
  <c r="BK142" i="178"/>
  <c r="BK146" i="178"/>
  <c r="BK854" i="178"/>
  <c r="BK852" i="178"/>
  <c r="BK1005" i="178"/>
  <c r="BK606" i="178"/>
  <c r="BK532" i="178"/>
  <c r="BK372" i="178"/>
  <c r="BK273" i="178"/>
  <c r="BK233" i="178"/>
  <c r="BK111" i="178"/>
  <c r="BK1009" i="178"/>
  <c r="BK441" i="178"/>
  <c r="BK906" i="178"/>
  <c r="BK816" i="178"/>
  <c r="BK1025" i="178"/>
  <c r="BK978" i="178"/>
  <c r="BK893" i="178"/>
  <c r="BK870" i="178"/>
  <c r="BK755" i="178"/>
  <c r="BK281" i="178"/>
  <c r="BK240" i="178"/>
  <c r="BK91" i="178"/>
  <c r="BK71" i="178"/>
  <c r="BK14" i="178"/>
  <c r="BK10" i="178"/>
  <c r="BK7" i="178"/>
  <c r="BK460" i="178"/>
  <c r="BK440" i="178"/>
  <c r="BL173" i="178"/>
  <c r="BK1033" i="178"/>
  <c r="BK973" i="178"/>
  <c r="BK897" i="178"/>
  <c r="BK843" i="178"/>
  <c r="BK832" i="178"/>
  <c r="BK806" i="178"/>
  <c r="BK803" i="178"/>
  <c r="BK648" i="178"/>
  <c r="BK376" i="178"/>
  <c r="BK356" i="178"/>
  <c r="BK110" i="178"/>
  <c r="BK100" i="178"/>
  <c r="BK73" i="178"/>
  <c r="BK21" i="178"/>
  <c r="BK127" i="178"/>
  <c r="BK173" i="178"/>
  <c r="BK172" i="178"/>
  <c r="BK3" i="178"/>
  <c r="BK389" i="178"/>
  <c r="BK387" i="178"/>
  <c r="BK917" i="178"/>
  <c r="BK39" i="178"/>
  <c r="BK2" i="178"/>
  <c r="BK388" i="178"/>
  <c r="BK553" i="178"/>
  <c r="BJ180" i="178"/>
  <c r="BK180" i="178"/>
  <c r="BJ886" i="178"/>
  <c r="BK886" i="178"/>
  <c r="BJ826" i="178"/>
  <c r="BJ801" i="178"/>
  <c r="BJ788" i="178"/>
  <c r="BJ971" i="178"/>
  <c r="BK971" i="178"/>
  <c r="BJ772" i="178"/>
  <c r="BK772" i="178"/>
  <c r="BJ780" i="178"/>
  <c r="BK780" i="178"/>
  <c r="BJ751" i="178"/>
  <c r="BK751" i="178"/>
  <c r="BJ748" i="178"/>
  <c r="BK748" i="178"/>
  <c r="BJ913" i="178"/>
  <c r="BK913" i="178"/>
  <c r="BJ785" i="178"/>
  <c r="BK785" i="178"/>
  <c r="BJ1042" i="178"/>
  <c r="BK1042" i="178"/>
  <c r="BJ565" i="178"/>
  <c r="BK565" i="178"/>
  <c r="BJ715" i="178"/>
  <c r="BK715" i="178"/>
  <c r="BJ282" i="178"/>
  <c r="BK282" i="178"/>
  <c r="BJ794" i="178"/>
  <c r="BK794" i="178"/>
  <c r="BJ735" i="178"/>
  <c r="BK735" i="178"/>
  <c r="BJ566" i="178"/>
  <c r="BK566" i="178"/>
  <c r="BJ403" i="178"/>
  <c r="BK403" i="178"/>
  <c r="BJ12" i="178"/>
  <c r="BK12" i="178"/>
  <c r="BJ773" i="178"/>
  <c r="BK773" i="178"/>
  <c r="BJ48" i="178"/>
  <c r="BK48" i="178"/>
  <c r="BJ401" i="178"/>
  <c r="BK401" i="178"/>
  <c r="BJ907" i="178"/>
  <c r="BK907" i="178"/>
  <c r="BJ642" i="178"/>
  <c r="BK642" i="178"/>
  <c r="BJ574" i="178"/>
  <c r="BK574" i="178"/>
  <c r="BJ804" i="178"/>
  <c r="BK804" i="178"/>
  <c r="BJ438" i="178"/>
  <c r="BK438" i="178"/>
  <c r="BJ513" i="178"/>
  <c r="BK513" i="178"/>
  <c r="BJ784" i="178"/>
  <c r="BK784" i="178"/>
  <c r="BJ625" i="178"/>
  <c r="BK625" i="178"/>
  <c r="BJ97" i="178"/>
  <c r="BK97" i="178"/>
  <c r="BJ1036" i="178"/>
  <c r="BK1036" i="178"/>
  <c r="BJ1028" i="178"/>
  <c r="BK1028" i="178"/>
  <c r="BJ981" i="178"/>
  <c r="BK981" i="178"/>
  <c r="BJ982" i="178"/>
  <c r="BK982" i="178"/>
  <c r="BJ414" i="178"/>
  <c r="BK414" i="178"/>
  <c r="BJ680" i="178"/>
  <c r="BK680" i="178"/>
  <c r="BJ324" i="178"/>
  <c r="BK324" i="178"/>
  <c r="BJ439" i="178"/>
  <c r="BK439" i="178"/>
  <c r="BJ505" i="178"/>
  <c r="BK505" i="178"/>
  <c r="BJ739" i="178"/>
  <c r="BK739" i="178"/>
  <c r="BJ723" i="178"/>
  <c r="BK723" i="178"/>
  <c r="BL56" i="178"/>
  <c r="BL938" i="178"/>
  <c r="BD938" i="178"/>
  <c r="AV938" i="178"/>
  <c r="BM931" i="178"/>
  <c r="BL633" i="178"/>
  <c r="BJ633" i="178"/>
  <c r="BJ328" i="178"/>
  <c r="BJ243" i="178"/>
  <c r="BL309" i="178"/>
  <c r="BL947" i="178"/>
  <c r="BE947" i="178"/>
  <c r="AW947" i="178"/>
  <c r="BL935" i="178"/>
  <c r="BE935" i="178"/>
  <c r="AW935" i="178"/>
  <c r="BM253" i="178"/>
  <c r="BM901" i="178"/>
  <c r="BD433" i="178"/>
  <c r="AV224" i="178"/>
  <c r="BD203" i="178"/>
  <c r="BL639" i="178"/>
  <c r="BJ1002" i="178"/>
  <c r="BL937" i="178"/>
  <c r="BD937" i="178"/>
  <c r="AV937" i="178"/>
  <c r="BJ435" i="178"/>
  <c r="BE56" i="178"/>
  <c r="AW56" i="178"/>
  <c r="BM553" i="178"/>
  <c r="BD553" i="178"/>
  <c r="AV553" i="178"/>
  <c r="BJ56" i="178"/>
  <c r="BL1005" i="178"/>
  <c r="BJ790" i="178"/>
  <c r="BJ553" i="178"/>
  <c r="BB553" i="178"/>
  <c r="AT553" i="178"/>
  <c r="BD52" i="178"/>
  <c r="AV52" i="178"/>
  <c r="BL254" i="178"/>
  <c r="BE254" i="178"/>
  <c r="AW254" i="178"/>
  <c r="BL902" i="178"/>
  <c r="BE902" i="178"/>
  <c r="AW902" i="178"/>
  <c r="BH553" i="178"/>
  <c r="AZ553" i="178"/>
  <c r="AR553" i="178"/>
  <c r="BJ52" i="178"/>
  <c r="BL109" i="178"/>
  <c r="BM946" i="178"/>
  <c r="BD946" i="178"/>
  <c r="AV946" i="178"/>
  <c r="BD934" i="178"/>
  <c r="AV934" i="178"/>
  <c r="BN553" i="178"/>
  <c r="BF553" i="178"/>
  <c r="AX553" i="178"/>
  <c r="V553" i="178"/>
  <c r="BG553" i="178"/>
  <c r="BO553" i="178"/>
  <c r="AY553" i="178"/>
  <c r="BL553" i="178"/>
  <c r="BC553" i="178"/>
  <c r="AU553" i="178"/>
  <c r="BI553" i="178"/>
  <c r="BE553" i="178"/>
  <c r="BA553" i="178"/>
  <c r="AW553" i="178"/>
  <c r="AS553" i="178"/>
  <c r="BJ655" i="178"/>
  <c r="BA763" i="178"/>
  <c r="BN451" i="178"/>
  <c r="BN655" i="178"/>
  <c r="BF655" i="178"/>
  <c r="AX655" i="178"/>
  <c r="BF1040" i="178"/>
  <c r="AX1040" i="178"/>
  <c r="BM655" i="178"/>
  <c r="BJ624" i="178"/>
  <c r="BJ832" i="178"/>
  <c r="BJ146" i="178"/>
  <c r="BD982" i="178"/>
  <c r="AV982" i="178"/>
  <c r="BJ55" i="178"/>
  <c r="BJ733" i="178"/>
  <c r="BJ564" i="178"/>
  <c r="BJ554" i="178"/>
  <c r="BJ388" i="178"/>
  <c r="BJ184" i="178"/>
  <c r="BJ89" i="178"/>
  <c r="BJ658" i="178"/>
  <c r="BJ947" i="178"/>
  <c r="BB947" i="178"/>
  <c r="V886" i="178"/>
  <c r="BL629" i="178"/>
  <c r="BJ845" i="178"/>
  <c r="BD139" i="178"/>
  <c r="U478" i="178"/>
  <c r="U124" i="178"/>
  <c r="BJ800" i="178"/>
  <c r="BJ798" i="178"/>
  <c r="BJ1040" i="178"/>
  <c r="BB1040" i="178"/>
  <c r="BH450" i="178"/>
  <c r="AZ450" i="178"/>
  <c r="AR450" i="178"/>
  <c r="BJ653" i="178"/>
  <c r="BF448" i="178"/>
  <c r="AX448" i="178"/>
  <c r="BJ652" i="178"/>
  <c r="BF968" i="178"/>
  <c r="AX968" i="178"/>
  <c r="BJ650" i="178"/>
  <c r="BJ596" i="178"/>
  <c r="BJ595" i="178"/>
  <c r="U914" i="178"/>
  <c r="BJ550" i="178"/>
  <c r="U125" i="178"/>
  <c r="BJ736" i="178"/>
  <c r="U442" i="178"/>
  <c r="BJ664" i="178"/>
  <c r="BB664" i="178"/>
  <c r="AT664" i="178"/>
  <c r="BD505" i="178"/>
  <c r="AV505" i="178"/>
  <c r="U126" i="178"/>
  <c r="U747" i="178"/>
  <c r="BJ799" i="178"/>
  <c r="BJ797" i="178"/>
  <c r="U796" i="178"/>
  <c r="BH725" i="178"/>
  <c r="BJ1039" i="178"/>
  <c r="BJ657" i="178"/>
  <c r="BB657" i="178"/>
  <c r="AT657" i="178"/>
  <c r="BJ628" i="178"/>
  <c r="BJ417" i="178"/>
  <c r="BJ626" i="178"/>
  <c r="BJ654" i="178"/>
  <c r="BJ448" i="178"/>
  <c r="BB448" i="178"/>
  <c r="AT448" i="178"/>
  <c r="BJ1035" i="178"/>
  <c r="BJ968" i="178"/>
  <c r="BB968" i="178"/>
  <c r="AT968" i="178"/>
  <c r="BN650" i="178"/>
  <c r="BF650" i="178"/>
  <c r="AX650" i="178"/>
  <c r="BI633" i="178"/>
  <c r="BJ422" i="178"/>
  <c r="BJ415" i="178"/>
  <c r="BF657" i="178"/>
  <c r="AX657" i="178"/>
  <c r="BJ451" i="178"/>
  <c r="BB451" i="178"/>
  <c r="AT451" i="178"/>
  <c r="BJ450" i="178"/>
  <c r="BM650" i="178"/>
  <c r="BJ649" i="178"/>
  <c r="BJ627" i="178"/>
  <c r="BJ408" i="178"/>
  <c r="AT652" i="178"/>
  <c r="BJ833" i="178"/>
  <c r="BM451" i="178"/>
  <c r="BJ656" i="178"/>
  <c r="BJ449" i="178"/>
  <c r="BB449" i="178"/>
  <c r="AT449" i="178"/>
  <c r="BJ783" i="178"/>
  <c r="BJ416" i="178"/>
  <c r="BB652" i="178"/>
  <c r="BN652" i="178"/>
  <c r="BJ831" i="178"/>
  <c r="AT1040" i="178"/>
  <c r="BF449" i="178"/>
  <c r="AX449" i="178"/>
  <c r="BM652" i="178"/>
  <c r="BJ397" i="178"/>
  <c r="BJ395" i="178"/>
  <c r="S139" i="178"/>
  <c r="BE139" i="178" s="1"/>
  <c r="AY149" i="178"/>
  <c r="AV763" i="178"/>
  <c r="BB143" i="178"/>
  <c r="AT149" i="178"/>
  <c r="BF144" i="178"/>
  <c r="BD302" i="178"/>
  <c r="BF142" i="178"/>
  <c r="S629" i="178"/>
  <c r="AS629" i="178" s="1"/>
  <c r="BN410" i="178"/>
  <c r="AX955" i="178"/>
  <c r="BI743" i="178"/>
  <c r="AR562" i="178"/>
  <c r="BE960" i="178"/>
  <c r="AV959" i="178"/>
  <c r="BA958" i="178"/>
  <c r="AR957" i="178"/>
  <c r="BO35" i="178"/>
  <c r="BO740" i="178"/>
  <c r="BF740" i="178"/>
  <c r="BB409" i="178"/>
  <c r="BJ477" i="178"/>
  <c r="BJ457" i="178"/>
  <c r="BJ779" i="178"/>
  <c r="BF664" i="178"/>
  <c r="AX664" i="178"/>
  <c r="BM664" i="178"/>
  <c r="BJ663" i="178"/>
  <c r="BJ668" i="178"/>
  <c r="BF125" i="178"/>
  <c r="AX125" i="178"/>
  <c r="BN748" i="178"/>
  <c r="BG748" i="178"/>
  <c r="AY748" i="178"/>
  <c r="BL477" i="178"/>
  <c r="BE477" i="178"/>
  <c r="AW477" i="178"/>
  <c r="BC913" i="178"/>
  <c r="AU800" i="178"/>
  <c r="BJ796" i="178"/>
  <c r="BH735" i="178"/>
  <c r="BJ749" i="178"/>
  <c r="BH665" i="178"/>
  <c r="AZ665" i="178"/>
  <c r="AR665" i="178"/>
  <c r="BN663" i="178"/>
  <c r="BG663" i="178"/>
  <c r="AY663" i="178"/>
  <c r="AV798" i="178"/>
  <c r="BJ709" i="178"/>
  <c r="BE749" i="178"/>
  <c r="AU656" i="178"/>
  <c r="BC654" i="178"/>
  <c r="BA653" i="178"/>
  <c r="AU1035" i="178"/>
  <c r="BC1039" i="178"/>
  <c r="BC656" i="178"/>
  <c r="AS653" i="178"/>
  <c r="BM1040" i="178"/>
  <c r="BE1040" i="178"/>
  <c r="AW1040" i="178"/>
  <c r="BH1039" i="178"/>
  <c r="AZ1039" i="178"/>
  <c r="AR1039" i="178"/>
  <c r="BL657" i="178"/>
  <c r="BE657" i="178"/>
  <c r="AW657" i="178"/>
  <c r="BH656" i="178"/>
  <c r="AZ656" i="178"/>
  <c r="AR656" i="178"/>
  <c r="BO450" i="178"/>
  <c r="BM449" i="178"/>
  <c r="BE449" i="178"/>
  <c r="AW449" i="178"/>
  <c r="BC655" i="178"/>
  <c r="AU655" i="178"/>
  <c r="BH654" i="178"/>
  <c r="AZ654" i="178"/>
  <c r="AR654" i="178"/>
  <c r="BO653" i="178"/>
  <c r="BL448" i="178"/>
  <c r="BE448" i="178"/>
  <c r="AW448" i="178"/>
  <c r="BH1035" i="178"/>
  <c r="AZ1035" i="178"/>
  <c r="AR1035" i="178"/>
  <c r="BM968" i="178"/>
  <c r="BE968" i="178"/>
  <c r="AW968" i="178"/>
  <c r="BC650" i="178"/>
  <c r="AU650" i="178"/>
  <c r="BH649" i="178"/>
  <c r="AZ649" i="178"/>
  <c r="AR649" i="178"/>
  <c r="BJ407" i="178"/>
  <c r="BN145" i="178"/>
  <c r="AT145" i="178"/>
  <c r="BD145" i="178"/>
  <c r="BJ145" i="178"/>
  <c r="AZ145" i="178"/>
  <c r="BF145" i="178"/>
  <c r="BL145" i="178"/>
  <c r="AV145" i="178"/>
  <c r="BB145" i="178"/>
  <c r="AR145" i="178"/>
  <c r="BH145" i="178"/>
  <c r="AX145" i="178"/>
  <c r="S145" i="178"/>
  <c r="BK145" i="178" s="1"/>
  <c r="AU1039" i="178"/>
  <c r="AU654" i="178"/>
  <c r="BI653" i="178"/>
  <c r="BC1035" i="178"/>
  <c r="BN1039" i="178"/>
  <c r="BG1039" i="178"/>
  <c r="AY1039" i="178"/>
  <c r="BO656" i="178"/>
  <c r="BG656" i="178"/>
  <c r="AY656" i="178"/>
  <c r="BL450" i="178"/>
  <c r="BE450" i="178"/>
  <c r="AW450" i="178"/>
  <c r="BN654" i="178"/>
  <c r="BG654" i="178"/>
  <c r="AY654" i="178"/>
  <c r="BL653" i="178"/>
  <c r="BD653" i="178"/>
  <c r="AV653" i="178"/>
  <c r="BO1035" i="178"/>
  <c r="BG1035" i="178"/>
  <c r="AY1035" i="178"/>
  <c r="BO649" i="178"/>
  <c r="BI1040" i="178"/>
  <c r="BA1040" i="178"/>
  <c r="AS1040" i="178"/>
  <c r="BD1039" i="178"/>
  <c r="AV1039" i="178"/>
  <c r="BI657" i="178"/>
  <c r="BA657" i="178"/>
  <c r="AS657" i="178"/>
  <c r="BG451" i="178"/>
  <c r="AY451" i="178"/>
  <c r="BD656" i="178"/>
  <c r="AV656" i="178"/>
  <c r="BI449" i="178"/>
  <c r="BA449" i="178"/>
  <c r="AS449" i="178"/>
  <c r="BD654" i="178"/>
  <c r="AV654" i="178"/>
  <c r="BI448" i="178"/>
  <c r="BA448" i="178"/>
  <c r="AS448" i="178"/>
  <c r="BG652" i="178"/>
  <c r="AY652" i="178"/>
  <c r="BD1035" i="178"/>
  <c r="AV1035" i="178"/>
  <c r="BI968" i="178"/>
  <c r="BA968" i="178"/>
  <c r="AS968" i="178"/>
  <c r="BD649" i="178"/>
  <c r="AV649" i="178"/>
  <c r="BJ597" i="178"/>
  <c r="BJ506" i="178"/>
  <c r="BJ148" i="178"/>
  <c r="BJ710" i="178"/>
  <c r="BJ1011" i="178"/>
  <c r="BJ268" i="178"/>
  <c r="BJ228" i="178"/>
  <c r="BJ17" i="178"/>
  <c r="BJ15" i="178"/>
  <c r="BJ13" i="178"/>
  <c r="BI667" i="178"/>
  <c r="BA667" i="178"/>
  <c r="AS667" i="178"/>
  <c r="BI774" i="178"/>
  <c r="BA774" i="178"/>
  <c r="AS774" i="178"/>
  <c r="U457" i="178"/>
  <c r="U799" i="178"/>
  <c r="BJ725" i="178"/>
  <c r="BH143" i="178"/>
  <c r="BL142" i="178"/>
  <c r="AZ562" i="178"/>
  <c r="BJ409" i="178"/>
  <c r="BF955" i="178"/>
  <c r="BJ265" i="178"/>
  <c r="BJ263" i="178"/>
  <c r="BJ253" i="178"/>
  <c r="BB253" i="178"/>
  <c r="AT253" i="178"/>
  <c r="BJ251" i="178"/>
  <c r="BJ249" i="178"/>
  <c r="BJ247" i="178"/>
  <c r="BJ901" i="178"/>
  <c r="BB901" i="178"/>
  <c r="BJ674" i="178"/>
  <c r="BJ614" i="178"/>
  <c r="BJ468" i="178"/>
  <c r="BJ619" i="178"/>
  <c r="BJ795" i="178"/>
  <c r="BJ787" i="178"/>
  <c r="BJ719" i="178"/>
  <c r="BJ970" i="178"/>
  <c r="BJ718" i="178"/>
  <c r="BJ767" i="178"/>
  <c r="BJ411" i="178"/>
  <c r="BM149" i="178"/>
  <c r="AU149" i="178"/>
  <c r="BA149" i="178"/>
  <c r="AW149" i="178"/>
  <c r="BG149" i="178"/>
  <c r="AS149" i="178"/>
  <c r="BC149" i="178"/>
  <c r="BI149" i="178"/>
  <c r="BO149" i="178"/>
  <c r="AU763" i="178"/>
  <c r="AY763" i="178"/>
  <c r="BC763" i="178"/>
  <c r="BG763" i="178"/>
  <c r="AW763" i="178"/>
  <c r="AS763" i="178"/>
  <c r="BI763" i="178"/>
  <c r="BO763" i="178"/>
  <c r="BE763" i="178"/>
  <c r="AS302" i="178"/>
  <c r="AW302" i="178"/>
  <c r="BA302" i="178"/>
  <c r="BE302" i="178"/>
  <c r="BI302" i="178"/>
  <c r="AU302" i="178"/>
  <c r="BG302" i="178"/>
  <c r="BM302" i="178"/>
  <c r="BC302" i="178"/>
  <c r="BO302" i="178"/>
  <c r="BM144" i="178"/>
  <c r="AW144" i="178"/>
  <c r="BG144" i="178"/>
  <c r="AS144" i="178"/>
  <c r="BC144" i="178"/>
  <c r="BI144" i="178"/>
  <c r="BO144" i="178"/>
  <c r="AY144" i="178"/>
  <c r="BE144" i="178"/>
  <c r="AU143" i="178"/>
  <c r="AY143" i="178"/>
  <c r="BC143" i="178"/>
  <c r="BG143" i="178"/>
  <c r="AS143" i="178"/>
  <c r="BI143" i="178"/>
  <c r="BO143" i="178"/>
  <c r="BE143" i="178"/>
  <c r="BA143" i="178"/>
  <c r="BM143" i="178"/>
  <c r="AS142" i="178"/>
  <c r="AW142" i="178"/>
  <c r="BA142" i="178"/>
  <c r="BE142" i="178"/>
  <c r="BI142" i="178"/>
  <c r="BG142" i="178"/>
  <c r="BM142" i="178"/>
  <c r="BC142" i="178"/>
  <c r="BO142" i="178"/>
  <c r="AY142" i="178"/>
  <c r="BM410" i="178"/>
  <c r="AS410" i="178"/>
  <c r="BC410" i="178"/>
  <c r="BI410" i="178"/>
  <c r="BO410" i="178"/>
  <c r="AY410" i="178"/>
  <c r="BE410" i="178"/>
  <c r="AU410" i="178"/>
  <c r="BA410" i="178"/>
  <c r="AU35" i="178"/>
  <c r="AY35" i="178"/>
  <c r="BC35" i="178"/>
  <c r="BG35" i="178"/>
  <c r="AW35" i="178"/>
  <c r="BE35" i="178"/>
  <c r="BM35" i="178"/>
  <c r="AS35" i="178"/>
  <c r="BA35" i="178"/>
  <c r="BO743" i="178"/>
  <c r="AU743" i="178"/>
  <c r="AY743" i="178"/>
  <c r="BC743" i="178"/>
  <c r="BG743" i="178"/>
  <c r="BM743" i="178"/>
  <c r="AW743" i="178"/>
  <c r="BE743" i="178"/>
  <c r="AS562" i="178"/>
  <c r="AW562" i="178"/>
  <c r="BA562" i="178"/>
  <c r="BE562" i="178"/>
  <c r="BI562" i="178"/>
  <c r="BO562" i="178"/>
  <c r="AU562" i="178"/>
  <c r="BC562" i="178"/>
  <c r="BM562" i="178"/>
  <c r="AY562" i="178"/>
  <c r="BG562" i="178"/>
  <c r="BM741" i="178"/>
  <c r="AS741" i="178"/>
  <c r="AW741" i="178"/>
  <c r="BA741" i="178"/>
  <c r="BE741" i="178"/>
  <c r="BI741" i="178"/>
  <c r="AU741" i="178"/>
  <c r="BC741" i="178"/>
  <c r="BO741" i="178"/>
  <c r="AU740" i="178"/>
  <c r="AY740" i="178"/>
  <c r="BC740" i="178"/>
  <c r="BG740" i="178"/>
  <c r="BM740" i="178"/>
  <c r="AS740" i="178"/>
  <c r="BA740" i="178"/>
  <c r="BI740" i="178"/>
  <c r="AW740" i="178"/>
  <c r="BE740" i="178"/>
  <c r="BO960" i="178"/>
  <c r="AU960" i="178"/>
  <c r="AY960" i="178"/>
  <c r="BC960" i="178"/>
  <c r="BG960" i="178"/>
  <c r="AS960" i="178"/>
  <c r="BA960" i="178"/>
  <c r="BI960" i="178"/>
  <c r="BM960" i="178"/>
  <c r="AS959" i="178"/>
  <c r="AW959" i="178"/>
  <c r="BA959" i="178"/>
  <c r="BE959" i="178"/>
  <c r="BI959" i="178"/>
  <c r="BO959" i="178"/>
  <c r="AY959" i="178"/>
  <c r="BG959" i="178"/>
  <c r="AU959" i="178"/>
  <c r="BC959" i="178"/>
  <c r="AU409" i="178"/>
  <c r="AY409" i="178"/>
  <c r="BC409" i="178"/>
  <c r="BG409" i="178"/>
  <c r="BM409" i="178"/>
  <c r="AW409" i="178"/>
  <c r="BE409" i="178"/>
  <c r="BO409" i="178"/>
  <c r="AS409" i="178"/>
  <c r="BA409" i="178"/>
  <c r="BI409" i="178"/>
  <c r="BO958" i="178"/>
  <c r="AU958" i="178"/>
  <c r="AY958" i="178"/>
  <c r="BC958" i="178"/>
  <c r="BG958" i="178"/>
  <c r="BM958" i="178"/>
  <c r="AW958" i="178"/>
  <c r="BE958" i="178"/>
  <c r="AS957" i="178"/>
  <c r="AW957" i="178"/>
  <c r="BA957" i="178"/>
  <c r="BE957" i="178"/>
  <c r="BI957" i="178"/>
  <c r="BO957" i="178"/>
  <c r="AU957" i="178"/>
  <c r="BC957" i="178"/>
  <c r="BM957" i="178"/>
  <c r="AY957" i="178"/>
  <c r="BG957" i="178"/>
  <c r="S956" i="178"/>
  <c r="BK956" i="178" s="1"/>
  <c r="AR956" i="178"/>
  <c r="AV956" i="178"/>
  <c r="AZ956" i="178"/>
  <c r="BD956" i="178"/>
  <c r="BH956" i="178"/>
  <c r="BN956" i="178"/>
  <c r="AT956" i="178"/>
  <c r="BB956" i="178"/>
  <c r="BJ956" i="178"/>
  <c r="BL956" i="178"/>
  <c r="AX956" i="178"/>
  <c r="BF956" i="178"/>
  <c r="AU955" i="178"/>
  <c r="AY955" i="178"/>
  <c r="BC955" i="178"/>
  <c r="BG955" i="178"/>
  <c r="BM955" i="178"/>
  <c r="AS955" i="178"/>
  <c r="BA955" i="178"/>
  <c r="BI955" i="178"/>
  <c r="AW955" i="178"/>
  <c r="BE955" i="178"/>
  <c r="AS440" i="178"/>
  <c r="AW440" i="178"/>
  <c r="BA440" i="178"/>
  <c r="BE440" i="178"/>
  <c r="BI440" i="178"/>
  <c r="BO440" i="178"/>
  <c r="AY440" i="178"/>
  <c r="BG440" i="178"/>
  <c r="AU440" i="178"/>
  <c r="BC440" i="178"/>
  <c r="BC779" i="178"/>
  <c r="AU779" i="178"/>
  <c r="BH668" i="178"/>
  <c r="AZ668" i="178"/>
  <c r="AR668" i="178"/>
  <c r="BF775" i="178"/>
  <c r="AX775" i="178"/>
  <c r="BN666" i="178"/>
  <c r="BG666" i="178"/>
  <c r="AY666" i="178"/>
  <c r="BO665" i="178"/>
  <c r="BM124" i="178"/>
  <c r="U798" i="178"/>
  <c r="U739" i="178"/>
  <c r="BF736" i="178"/>
  <c r="U736" i="178"/>
  <c r="BF735" i="178"/>
  <c r="U735" i="178"/>
  <c r="AY302" i="178"/>
  <c r="BA144" i="178"/>
  <c r="BG410" i="178"/>
  <c r="BI35" i="178"/>
  <c r="BA743" i="178"/>
  <c r="AW960" i="178"/>
  <c r="AS958" i="178"/>
  <c r="BM440" i="178"/>
  <c r="BJ54" i="178"/>
  <c r="U715" i="178"/>
  <c r="BJ428" i="178"/>
  <c r="U744" i="178"/>
  <c r="BJ175" i="178"/>
  <c r="BJ384" i="178"/>
  <c r="BJ273" i="178"/>
  <c r="BJ993" i="178"/>
  <c r="BJ239" i="178"/>
  <c r="BJ990" i="178"/>
  <c r="BJ23" i="178"/>
  <c r="BJ19" i="178"/>
  <c r="BJ88" i="178"/>
  <c r="BJ934" i="178"/>
  <c r="BB934" i="178"/>
  <c r="AT934" i="178"/>
  <c r="BJ789" i="178"/>
  <c r="BJ608" i="178"/>
  <c r="AR149" i="178"/>
  <c r="AV149" i="178"/>
  <c r="AZ149" i="178"/>
  <c r="BD149" i="178"/>
  <c r="BH149" i="178"/>
  <c r="BF149" i="178"/>
  <c r="BL149" i="178"/>
  <c r="BB149" i="178"/>
  <c r="BN149" i="178"/>
  <c r="AX149" i="178"/>
  <c r="BL763" i="178"/>
  <c r="AR763" i="178"/>
  <c r="BB763" i="178"/>
  <c r="BH763" i="178"/>
  <c r="BN763" i="178"/>
  <c r="AX763" i="178"/>
  <c r="BD763" i="178"/>
  <c r="AT763" i="178"/>
  <c r="AZ763" i="178"/>
  <c r="BJ763" i="178"/>
  <c r="BN302" i="178"/>
  <c r="AZ302" i="178"/>
  <c r="BF302" i="178"/>
  <c r="BL302" i="178"/>
  <c r="AV302" i="178"/>
  <c r="BB302" i="178"/>
  <c r="AR302" i="178"/>
  <c r="AX302" i="178"/>
  <c r="BH302" i="178"/>
  <c r="AR144" i="178"/>
  <c r="AV144" i="178"/>
  <c r="AZ144" i="178"/>
  <c r="BD144" i="178"/>
  <c r="BH144" i="178"/>
  <c r="BB144" i="178"/>
  <c r="BN144" i="178"/>
  <c r="AX144" i="178"/>
  <c r="AT144" i="178"/>
  <c r="BJ144" i="178"/>
  <c r="BL143" i="178"/>
  <c r="AX143" i="178"/>
  <c r="BD143" i="178"/>
  <c r="AT143" i="178"/>
  <c r="AZ143" i="178"/>
  <c r="BJ143" i="178"/>
  <c r="AV143" i="178"/>
  <c r="BF143" i="178"/>
  <c r="AT139" i="178"/>
  <c r="AX139" i="178"/>
  <c r="BB139" i="178"/>
  <c r="BF139" i="178"/>
  <c r="BJ139" i="178"/>
  <c r="AZ139" i="178"/>
  <c r="BL139" i="178"/>
  <c r="AV139" i="178"/>
  <c r="AR139" i="178"/>
  <c r="BH139" i="178"/>
  <c r="BN139" i="178"/>
  <c r="BN142" i="178"/>
  <c r="AV142" i="178"/>
  <c r="BB142" i="178"/>
  <c r="AR142" i="178"/>
  <c r="AX142" i="178"/>
  <c r="BH142" i="178"/>
  <c r="AT142" i="178"/>
  <c r="BD142" i="178"/>
  <c r="BJ142" i="178"/>
  <c r="AR410" i="178"/>
  <c r="AV410" i="178"/>
  <c r="AZ410" i="178"/>
  <c r="BD410" i="178"/>
  <c r="BH410" i="178"/>
  <c r="AX410" i="178"/>
  <c r="AT410" i="178"/>
  <c r="BJ410" i="178"/>
  <c r="BF410" i="178"/>
  <c r="BL410" i="178"/>
  <c r="BL35" i="178"/>
  <c r="AR35" i="178"/>
  <c r="AV35" i="178"/>
  <c r="AZ35" i="178"/>
  <c r="BD35" i="178"/>
  <c r="BJ35" i="178"/>
  <c r="AX35" i="178"/>
  <c r="BF35" i="178"/>
  <c r="BH35" i="178"/>
  <c r="BN35" i="178"/>
  <c r="AT743" i="178"/>
  <c r="AX743" i="178"/>
  <c r="BB743" i="178"/>
  <c r="BF743" i="178"/>
  <c r="BJ743" i="178"/>
  <c r="BL743" i="178"/>
  <c r="AV743" i="178"/>
  <c r="BD743" i="178"/>
  <c r="BN743" i="178"/>
  <c r="AR743" i="178"/>
  <c r="AZ743" i="178"/>
  <c r="BH743" i="178"/>
  <c r="BN562" i="178"/>
  <c r="AT562" i="178"/>
  <c r="AX562" i="178"/>
  <c r="BB562" i="178"/>
  <c r="BF562" i="178"/>
  <c r="BJ562" i="178"/>
  <c r="BL562" i="178"/>
  <c r="AV562" i="178"/>
  <c r="BD562" i="178"/>
  <c r="AR741" i="178"/>
  <c r="AV741" i="178"/>
  <c r="AZ741" i="178"/>
  <c r="BD741" i="178"/>
  <c r="BH741" i="178"/>
  <c r="BN741" i="178"/>
  <c r="AT741" i="178"/>
  <c r="BB741" i="178"/>
  <c r="BJ741" i="178"/>
  <c r="BL741" i="178"/>
  <c r="AX741" i="178"/>
  <c r="BF741" i="178"/>
  <c r="BL740" i="178"/>
  <c r="AR740" i="178"/>
  <c r="AV740" i="178"/>
  <c r="AZ740" i="178"/>
  <c r="BD740" i="178"/>
  <c r="BH740" i="178"/>
  <c r="AT740" i="178"/>
  <c r="BB740" i="178"/>
  <c r="BJ740" i="178"/>
  <c r="BN740" i="178"/>
  <c r="AT960" i="178"/>
  <c r="AX960" i="178"/>
  <c r="BB960" i="178"/>
  <c r="BF960" i="178"/>
  <c r="BJ960" i="178"/>
  <c r="BL960" i="178"/>
  <c r="AR960" i="178"/>
  <c r="AZ960" i="178"/>
  <c r="BH960" i="178"/>
  <c r="AV960" i="178"/>
  <c r="BD960" i="178"/>
  <c r="BN959" i="178"/>
  <c r="AT959" i="178"/>
  <c r="AX959" i="178"/>
  <c r="BB959" i="178"/>
  <c r="BF959" i="178"/>
  <c r="BJ959" i="178"/>
  <c r="AR959" i="178"/>
  <c r="AZ959" i="178"/>
  <c r="BH959" i="178"/>
  <c r="BL959" i="178"/>
  <c r="AR629" i="178"/>
  <c r="AV629" i="178"/>
  <c r="AZ629" i="178"/>
  <c r="BD629" i="178"/>
  <c r="BH629" i="178"/>
  <c r="BN629" i="178"/>
  <c r="AX629" i="178"/>
  <c r="BF629" i="178"/>
  <c r="AT629" i="178"/>
  <c r="BB629" i="178"/>
  <c r="BJ629" i="178"/>
  <c r="BL409" i="178"/>
  <c r="AR409" i="178"/>
  <c r="AV409" i="178"/>
  <c r="AZ409" i="178"/>
  <c r="BD409" i="178"/>
  <c r="BH409" i="178"/>
  <c r="BN409" i="178"/>
  <c r="AX409" i="178"/>
  <c r="BF409" i="178"/>
  <c r="AT958" i="178"/>
  <c r="AX958" i="178"/>
  <c r="BB958" i="178"/>
  <c r="BF958" i="178"/>
  <c r="BJ958" i="178"/>
  <c r="BL958" i="178"/>
  <c r="AV958" i="178"/>
  <c r="BD958" i="178"/>
  <c r="BN958" i="178"/>
  <c r="AR958" i="178"/>
  <c r="AZ958" i="178"/>
  <c r="BH958" i="178"/>
  <c r="BN957" i="178"/>
  <c r="AT957" i="178"/>
  <c r="AX957" i="178"/>
  <c r="BB957" i="178"/>
  <c r="BF957" i="178"/>
  <c r="BJ957" i="178"/>
  <c r="BL957" i="178"/>
  <c r="AV957" i="178"/>
  <c r="BD957" i="178"/>
  <c r="BL955" i="178"/>
  <c r="AR955" i="178"/>
  <c r="AV955" i="178"/>
  <c r="AZ955" i="178"/>
  <c r="BD955" i="178"/>
  <c r="BH955" i="178"/>
  <c r="AT955" i="178"/>
  <c r="BB955" i="178"/>
  <c r="BJ955" i="178"/>
  <c r="BN955" i="178"/>
  <c r="BN440" i="178"/>
  <c r="AT440" i="178"/>
  <c r="AX440" i="178"/>
  <c r="BB440" i="178"/>
  <c r="BF440" i="178"/>
  <c r="BJ440" i="178"/>
  <c r="AR440" i="178"/>
  <c r="AZ440" i="178"/>
  <c r="BH440" i="178"/>
  <c r="BL440" i="178"/>
  <c r="BO668" i="178"/>
  <c r="BL667" i="178"/>
  <c r="BE667" i="178"/>
  <c r="AW667" i="178"/>
  <c r="BM775" i="178"/>
  <c r="BD665" i="178"/>
  <c r="AV665" i="178"/>
  <c r="BL774" i="178"/>
  <c r="BE774" i="178"/>
  <c r="AW774" i="178"/>
  <c r="BC663" i="178"/>
  <c r="AU663" i="178"/>
  <c r="BM126" i="178"/>
  <c r="BJ478" i="178"/>
  <c r="BJ125" i="178"/>
  <c r="BJ124" i="178"/>
  <c r="BB124" i="178"/>
  <c r="AT124" i="178"/>
  <c r="BJ747" i="178"/>
  <c r="BJ149" i="178"/>
  <c r="BM763" i="178"/>
  <c r="AT302" i="178"/>
  <c r="AU144" i="178"/>
  <c r="AW143" i="178"/>
  <c r="AZ142" i="178"/>
  <c r="BB410" i="178"/>
  <c r="BB35" i="178"/>
  <c r="AS743" i="178"/>
  <c r="BG741" i="178"/>
  <c r="AX740" i="178"/>
  <c r="BM959" i="178"/>
  <c r="AT409" i="178"/>
  <c r="BH957" i="178"/>
  <c r="BD440" i="178"/>
  <c r="U426" i="178"/>
  <c r="U745" i="178"/>
  <c r="BJ49" i="178"/>
  <c r="BJ182" i="178"/>
  <c r="BJ177" i="178"/>
  <c r="BJ584" i="178"/>
  <c r="V956" i="178"/>
  <c r="BN779" i="178"/>
  <c r="BG779" i="178"/>
  <c r="AY779" i="178"/>
  <c r="BD668" i="178"/>
  <c r="AV668" i="178"/>
  <c r="BJ667" i="178"/>
  <c r="BJ775" i="178"/>
  <c r="BB775" i="178"/>
  <c r="AT775" i="178"/>
  <c r="BJ666" i="178"/>
  <c r="BC666" i="178"/>
  <c r="AU666" i="178"/>
  <c r="BJ665" i="178"/>
  <c r="BJ774" i="178"/>
  <c r="BO505" i="178"/>
  <c r="BL513" i="178"/>
  <c r="BE513" i="178"/>
  <c r="AW513" i="178"/>
  <c r="BJ126" i="178"/>
  <c r="BB126" i="178"/>
  <c r="AT126" i="178"/>
  <c r="BC751" i="178"/>
  <c r="AU751" i="178"/>
  <c r="BH478" i="178"/>
  <c r="AZ478" i="178"/>
  <c r="AR478" i="178"/>
  <c r="AU913" i="178"/>
  <c r="BH747" i="178"/>
  <c r="AZ747" i="178"/>
  <c r="AR747" i="178"/>
  <c r="BO457" i="178"/>
  <c r="BA796" i="178"/>
  <c r="AZ796" i="178"/>
  <c r="BD749" i="178"/>
  <c r="S725" i="178"/>
  <c r="AY725" i="178" s="1"/>
  <c r="BE149" i="178"/>
  <c r="BF763" i="178"/>
  <c r="BJ302" i="178"/>
  <c r="BL144" i="178"/>
  <c r="BN143" i="178"/>
  <c r="AR143" i="178"/>
  <c r="AU142" i="178"/>
  <c r="AW410" i="178"/>
  <c r="AT35" i="178"/>
  <c r="BH562" i="178"/>
  <c r="AY741" i="178"/>
  <c r="BN960" i="178"/>
  <c r="BD959" i="178"/>
  <c r="BI958" i="178"/>
  <c r="AZ957" i="178"/>
  <c r="BO955" i="178"/>
  <c r="AV440" i="178"/>
  <c r="BH779" i="178"/>
  <c r="BI779" i="178"/>
  <c r="AZ779" i="178"/>
  <c r="BA779" i="178"/>
  <c r="AR779" i="178"/>
  <c r="AS779" i="178"/>
  <c r="BH775" i="178"/>
  <c r="BI775" i="178"/>
  <c r="AZ775" i="178"/>
  <c r="BA775" i="178"/>
  <c r="AR775" i="178"/>
  <c r="AS775" i="178"/>
  <c r="BH666" i="178"/>
  <c r="BI666" i="178"/>
  <c r="AZ666" i="178"/>
  <c r="BA666" i="178"/>
  <c r="AR666" i="178"/>
  <c r="AS666" i="178"/>
  <c r="BH664" i="178"/>
  <c r="BI664" i="178"/>
  <c r="AZ664" i="178"/>
  <c r="BA664" i="178"/>
  <c r="AR664" i="178"/>
  <c r="AS664" i="178"/>
  <c r="BL505" i="178"/>
  <c r="BM505" i="178"/>
  <c r="BB513" i="178"/>
  <c r="BC513" i="178"/>
  <c r="AT513" i="178"/>
  <c r="AU513" i="178"/>
  <c r="BH126" i="178"/>
  <c r="BI126" i="178"/>
  <c r="AZ126" i="178"/>
  <c r="BA126" i="178"/>
  <c r="AR126" i="178"/>
  <c r="AS126" i="178"/>
  <c r="BH751" i="178"/>
  <c r="BI751" i="178"/>
  <c r="AZ751" i="178"/>
  <c r="BA751" i="178"/>
  <c r="AR751" i="178"/>
  <c r="AS751" i="178"/>
  <c r="BO478" i="178"/>
  <c r="BN478" i="178"/>
  <c r="BF478" i="178"/>
  <c r="BG478" i="178"/>
  <c r="AX478" i="178"/>
  <c r="AY478" i="178"/>
  <c r="BN125" i="178"/>
  <c r="BO125" i="178"/>
  <c r="BH748" i="178"/>
  <c r="BI748" i="178"/>
  <c r="AZ748" i="178"/>
  <c r="BA748" i="178"/>
  <c r="AR748" i="178"/>
  <c r="AS748" i="178"/>
  <c r="BI477" i="178"/>
  <c r="BH477" i="178"/>
  <c r="BA477" i="178"/>
  <c r="AZ477" i="178"/>
  <c r="AS477" i="178"/>
  <c r="AR477" i="178"/>
  <c r="BN124" i="178"/>
  <c r="BO124" i="178"/>
  <c r="BF124" i="178"/>
  <c r="BG124" i="178"/>
  <c r="AX124" i="178"/>
  <c r="AY124" i="178"/>
  <c r="BH913" i="178"/>
  <c r="BI913" i="178"/>
  <c r="AZ913" i="178"/>
  <c r="BA913" i="178"/>
  <c r="AR913" i="178"/>
  <c r="AS913" i="178"/>
  <c r="BO747" i="178"/>
  <c r="BN747" i="178"/>
  <c r="BF747" i="178"/>
  <c r="BG747" i="178"/>
  <c r="AX747" i="178"/>
  <c r="AY747" i="178"/>
  <c r="BL457" i="178"/>
  <c r="BM457" i="178"/>
  <c r="BD457" i="178"/>
  <c r="BE457" i="178"/>
  <c r="AV457" i="178"/>
  <c r="AW457" i="178"/>
  <c r="BI800" i="178"/>
  <c r="BH800" i="178"/>
  <c r="BA800" i="178"/>
  <c r="AZ800" i="178"/>
  <c r="AS800" i="178"/>
  <c r="AR800" i="178"/>
  <c r="BB799" i="178"/>
  <c r="BC799" i="178"/>
  <c r="AT799" i="178"/>
  <c r="AU799" i="178"/>
  <c r="BO798" i="178"/>
  <c r="BN798" i="178"/>
  <c r="BG798" i="178"/>
  <c r="BF798" i="178"/>
  <c r="AY798" i="178"/>
  <c r="AX798" i="178"/>
  <c r="BH797" i="178"/>
  <c r="BI797" i="178"/>
  <c r="AZ797" i="178"/>
  <c r="BA797" i="178"/>
  <c r="AR797" i="178"/>
  <c r="AS797" i="178"/>
  <c r="BM796" i="178"/>
  <c r="BL796" i="178"/>
  <c r="BE796" i="178"/>
  <c r="BD796" i="178"/>
  <c r="AW796" i="178"/>
  <c r="AV796" i="178"/>
  <c r="BO794" i="178"/>
  <c r="BN794" i="178"/>
  <c r="BF794" i="178"/>
  <c r="BG794" i="178"/>
  <c r="AX794" i="178"/>
  <c r="AY794" i="178"/>
  <c r="BC749" i="178"/>
  <c r="BB749" i="178"/>
  <c r="AU749" i="178"/>
  <c r="AT749" i="178"/>
  <c r="BM739" i="178"/>
  <c r="BL739" i="178"/>
  <c r="BD739" i="178"/>
  <c r="BE739" i="178"/>
  <c r="AV739" i="178"/>
  <c r="AW739" i="178"/>
  <c r="BI736" i="178"/>
  <c r="BH736" i="178"/>
  <c r="BA736" i="178"/>
  <c r="AZ736" i="178"/>
  <c r="AS736" i="178"/>
  <c r="AR736" i="178"/>
  <c r="BH723" i="178"/>
  <c r="BI723" i="178"/>
  <c r="AZ723" i="178"/>
  <c r="BA723" i="178"/>
  <c r="AR723" i="178"/>
  <c r="AS723" i="178"/>
  <c r="AT779" i="178"/>
  <c r="BA668" i="178"/>
  <c r="BH667" i="178"/>
  <c r="AR667" i="178"/>
  <c r="AY775" i="178"/>
  <c r="BF666" i="178"/>
  <c r="BN665" i="178"/>
  <c r="AW665" i="178"/>
  <c r="BD774" i="178"/>
  <c r="BL664" i="178"/>
  <c r="AU664" i="178"/>
  <c r="BB663" i="178"/>
  <c r="BN505" i="178"/>
  <c r="BD513" i="178"/>
  <c r="AU126" i="178"/>
  <c r="BI478" i="178"/>
  <c r="BO748" i="178"/>
  <c r="AV477" i="178"/>
  <c r="BA747" i="178"/>
  <c r="BF668" i="178"/>
  <c r="BG668" i="178"/>
  <c r="AX668" i="178"/>
  <c r="AY668" i="178"/>
  <c r="BN667" i="178"/>
  <c r="BO667" i="178"/>
  <c r="BF667" i="178"/>
  <c r="BG667" i="178"/>
  <c r="AX667" i="178"/>
  <c r="AY667" i="178"/>
  <c r="BN775" i="178"/>
  <c r="BO775" i="178"/>
  <c r="BF665" i="178"/>
  <c r="BG665" i="178"/>
  <c r="AX665" i="178"/>
  <c r="AY665" i="178"/>
  <c r="BN774" i="178"/>
  <c r="BO774" i="178"/>
  <c r="BF774" i="178"/>
  <c r="BG774" i="178"/>
  <c r="AX774" i="178"/>
  <c r="AY774" i="178"/>
  <c r="BN664" i="178"/>
  <c r="BO664" i="178"/>
  <c r="BL663" i="178"/>
  <c r="BM663" i="178"/>
  <c r="BD663" i="178"/>
  <c r="BE663" i="178"/>
  <c r="AV663" i="178"/>
  <c r="AW663" i="178"/>
  <c r="BB505" i="178"/>
  <c r="BC505" i="178"/>
  <c r="AT505" i="178"/>
  <c r="AU505" i="178"/>
  <c r="BI513" i="178"/>
  <c r="BH513" i="178"/>
  <c r="BA513" i="178"/>
  <c r="AZ513" i="178"/>
  <c r="AS513" i="178"/>
  <c r="AR513" i="178"/>
  <c r="BN126" i="178"/>
  <c r="BO126" i="178"/>
  <c r="BF126" i="178"/>
  <c r="BG126" i="178"/>
  <c r="AX126" i="178"/>
  <c r="AY126" i="178"/>
  <c r="BN751" i="178"/>
  <c r="BO751" i="178"/>
  <c r="BG751" i="178"/>
  <c r="BF751" i="178"/>
  <c r="AY751" i="178"/>
  <c r="AX751" i="178"/>
  <c r="BL478" i="178"/>
  <c r="BM478" i="178"/>
  <c r="BD478" i="178"/>
  <c r="BE478" i="178"/>
  <c r="AV478" i="178"/>
  <c r="AW478" i="178"/>
  <c r="BM125" i="178"/>
  <c r="BL125" i="178"/>
  <c r="BD125" i="178"/>
  <c r="BE125" i="178"/>
  <c r="AV125" i="178"/>
  <c r="AW125" i="178"/>
  <c r="BN477" i="178"/>
  <c r="BO477" i="178"/>
  <c r="BF477" i="178"/>
  <c r="BG477" i="178"/>
  <c r="AX477" i="178"/>
  <c r="AY477" i="178"/>
  <c r="BD124" i="178"/>
  <c r="BE124" i="178"/>
  <c r="AV124" i="178"/>
  <c r="AW124" i="178"/>
  <c r="BN913" i="178"/>
  <c r="BO913" i="178"/>
  <c r="BG913" i="178"/>
  <c r="BF913" i="178"/>
  <c r="AY913" i="178"/>
  <c r="AX913" i="178"/>
  <c r="BL747" i="178"/>
  <c r="BM747" i="178"/>
  <c r="BD747" i="178"/>
  <c r="BE747" i="178"/>
  <c r="AV747" i="178"/>
  <c r="AW747" i="178"/>
  <c r="BB457" i="178"/>
  <c r="BC457" i="178"/>
  <c r="AT457" i="178"/>
  <c r="AU457" i="178"/>
  <c r="BN800" i="178"/>
  <c r="BO800" i="178"/>
  <c r="BF800" i="178"/>
  <c r="BG800" i="178"/>
  <c r="AX800" i="178"/>
  <c r="AY800" i="178"/>
  <c r="BH799" i="178"/>
  <c r="BI799" i="178"/>
  <c r="AZ799" i="178"/>
  <c r="BA799" i="178"/>
  <c r="AR799" i="178"/>
  <c r="AS799" i="178"/>
  <c r="BL798" i="178"/>
  <c r="BM798" i="178"/>
  <c r="BD798" i="178"/>
  <c r="BE798" i="178"/>
  <c r="BO797" i="178"/>
  <c r="BN797" i="178"/>
  <c r="BF797" i="178"/>
  <c r="BG797" i="178"/>
  <c r="AX797" i="178"/>
  <c r="AY797" i="178"/>
  <c r="BB796" i="178"/>
  <c r="BC796" i="178"/>
  <c r="AT796" i="178"/>
  <c r="AU796" i="178"/>
  <c r="BM794" i="178"/>
  <c r="BL794" i="178"/>
  <c r="BD794" i="178"/>
  <c r="BE794" i="178"/>
  <c r="AV794" i="178"/>
  <c r="AW794" i="178"/>
  <c r="BH749" i="178"/>
  <c r="BI749" i="178"/>
  <c r="AZ749" i="178"/>
  <c r="BA749" i="178"/>
  <c r="AR749" i="178"/>
  <c r="AS749" i="178"/>
  <c r="BB739" i="178"/>
  <c r="BC739" i="178"/>
  <c r="AT739" i="178"/>
  <c r="AU739" i="178"/>
  <c r="BN736" i="178"/>
  <c r="BO736" i="178"/>
  <c r="BN735" i="178"/>
  <c r="BO735" i="178"/>
  <c r="BN725" i="178"/>
  <c r="BF725" i="178"/>
  <c r="AX725" i="178"/>
  <c r="BF779" i="178"/>
  <c r="BN668" i="178"/>
  <c r="AW668" i="178"/>
  <c r="BD667" i="178"/>
  <c r="BL775" i="178"/>
  <c r="AU775" i="178"/>
  <c r="BB666" i="178"/>
  <c r="BI665" i="178"/>
  <c r="AS665" i="178"/>
  <c r="AZ774" i="178"/>
  <c r="BG664" i="178"/>
  <c r="BO663" i="178"/>
  <c r="AX663" i="178"/>
  <c r="BE505" i="178"/>
  <c r="AV513" i="178"/>
  <c r="BA478" i="178"/>
  <c r="BF748" i="178"/>
  <c r="BL124" i="178"/>
  <c r="BB913" i="178"/>
  <c r="AS747" i="178"/>
  <c r="BN457" i="178"/>
  <c r="BL779" i="178"/>
  <c r="BM779" i="178"/>
  <c r="BD779" i="178"/>
  <c r="BE779" i="178"/>
  <c r="AV779" i="178"/>
  <c r="AW779" i="178"/>
  <c r="BL668" i="178"/>
  <c r="BM668" i="178"/>
  <c r="BD775" i="178"/>
  <c r="BE775" i="178"/>
  <c r="AV775" i="178"/>
  <c r="AW775" i="178"/>
  <c r="BL666" i="178"/>
  <c r="BM666" i="178"/>
  <c r="BD666" i="178"/>
  <c r="BE666" i="178"/>
  <c r="AV666" i="178"/>
  <c r="AW666" i="178"/>
  <c r="BL665" i="178"/>
  <c r="BM665" i="178"/>
  <c r="BD664" i="178"/>
  <c r="BE664" i="178"/>
  <c r="AV664" i="178"/>
  <c r="AW664" i="178"/>
  <c r="BH505" i="178"/>
  <c r="BI505" i="178"/>
  <c r="AZ505" i="178"/>
  <c r="BA505" i="178"/>
  <c r="AR505" i="178"/>
  <c r="AS505" i="178"/>
  <c r="BN513" i="178"/>
  <c r="BO513" i="178"/>
  <c r="BF513" i="178"/>
  <c r="BG513" i="178"/>
  <c r="AX513" i="178"/>
  <c r="AY513" i="178"/>
  <c r="BD126" i="178"/>
  <c r="BE126" i="178"/>
  <c r="AV126" i="178"/>
  <c r="AW126" i="178"/>
  <c r="BL751" i="178"/>
  <c r="BM751" i="178"/>
  <c r="BD751" i="178"/>
  <c r="BE751" i="178"/>
  <c r="AV751" i="178"/>
  <c r="AW751" i="178"/>
  <c r="BB478" i="178"/>
  <c r="BC478" i="178"/>
  <c r="AT478" i="178"/>
  <c r="AU478" i="178"/>
  <c r="BB125" i="178"/>
  <c r="BC125" i="178"/>
  <c r="AT125" i="178"/>
  <c r="AU125" i="178"/>
  <c r="BL748" i="178"/>
  <c r="BM748" i="178"/>
  <c r="BD748" i="178"/>
  <c r="BE748" i="178"/>
  <c r="AV748" i="178"/>
  <c r="AW748" i="178"/>
  <c r="BL913" i="178"/>
  <c r="BM913" i="178"/>
  <c r="BD913" i="178"/>
  <c r="BE913" i="178"/>
  <c r="AV913" i="178"/>
  <c r="AW913" i="178"/>
  <c r="BB747" i="178"/>
  <c r="BC747" i="178"/>
  <c r="AT747" i="178"/>
  <c r="AU747" i="178"/>
  <c r="BI457" i="178"/>
  <c r="BH457" i="178"/>
  <c r="AZ457" i="178"/>
  <c r="BA457" i="178"/>
  <c r="AS457" i="178"/>
  <c r="AR457" i="178"/>
  <c r="BL800" i="178"/>
  <c r="BM800" i="178"/>
  <c r="BE800" i="178"/>
  <c r="BD800" i="178"/>
  <c r="AW800" i="178"/>
  <c r="AV800" i="178"/>
  <c r="U800" i="178"/>
  <c r="BN799" i="178"/>
  <c r="BO799" i="178"/>
  <c r="BG799" i="178"/>
  <c r="BF799" i="178"/>
  <c r="AX799" i="178"/>
  <c r="AY799" i="178"/>
  <c r="BC798" i="178"/>
  <c r="BB798" i="178"/>
  <c r="AU798" i="178"/>
  <c r="AT798" i="178"/>
  <c r="BL797" i="178"/>
  <c r="BM797" i="178"/>
  <c r="BE797" i="178"/>
  <c r="BD797" i="178"/>
  <c r="AV797" i="178"/>
  <c r="AW797" i="178"/>
  <c r="BI796" i="178"/>
  <c r="BH796" i="178"/>
  <c r="AS796" i="178"/>
  <c r="AR796" i="178"/>
  <c r="BC794" i="178"/>
  <c r="BB794" i="178"/>
  <c r="AT794" i="178"/>
  <c r="AU794" i="178"/>
  <c r="U794" i="178"/>
  <c r="BN749" i="178"/>
  <c r="BO749" i="178"/>
  <c r="BG749" i="178"/>
  <c r="BF749" i="178"/>
  <c r="AY749" i="178"/>
  <c r="AX749" i="178"/>
  <c r="BH739" i="178"/>
  <c r="BI739" i="178"/>
  <c r="BA739" i="178"/>
  <c r="AZ739" i="178"/>
  <c r="AR739" i="178"/>
  <c r="AS739" i="178"/>
  <c r="BL736" i="178"/>
  <c r="BM736" i="178"/>
  <c r="BE736" i="178"/>
  <c r="BD736" i="178"/>
  <c r="AW736" i="178"/>
  <c r="AV736" i="178"/>
  <c r="BB779" i="178"/>
  <c r="BI668" i="178"/>
  <c r="AS668" i="178"/>
  <c r="AZ667" i="178"/>
  <c r="BG775" i="178"/>
  <c r="BO666" i="178"/>
  <c r="AX666" i="178"/>
  <c r="BE665" i="178"/>
  <c r="BM774" i="178"/>
  <c r="AV774" i="178"/>
  <c r="BC664" i="178"/>
  <c r="AT663" i="178"/>
  <c r="AW505" i="178"/>
  <c r="BL126" i="178"/>
  <c r="BB751" i="178"/>
  <c r="AS478" i="178"/>
  <c r="BG125" i="178"/>
  <c r="AX748" i="178"/>
  <c r="BM477" i="178"/>
  <c r="BC124" i="178"/>
  <c r="AT913" i="178"/>
  <c r="AT800" i="178"/>
  <c r="BG736" i="178"/>
  <c r="BB668" i="178"/>
  <c r="BC668" i="178"/>
  <c r="AT668" i="178"/>
  <c r="AU668" i="178"/>
  <c r="BB667" i="178"/>
  <c r="BC667" i="178"/>
  <c r="AT667" i="178"/>
  <c r="AU667" i="178"/>
  <c r="BB665" i="178"/>
  <c r="BC665" i="178"/>
  <c r="AT665" i="178"/>
  <c r="AU665" i="178"/>
  <c r="BB774" i="178"/>
  <c r="BC774" i="178"/>
  <c r="AT774" i="178"/>
  <c r="AU774" i="178"/>
  <c r="BH663" i="178"/>
  <c r="BI663" i="178"/>
  <c r="AZ663" i="178"/>
  <c r="BA663" i="178"/>
  <c r="AR663" i="178"/>
  <c r="AS663" i="178"/>
  <c r="BF505" i="178"/>
  <c r="BG505" i="178"/>
  <c r="AX505" i="178"/>
  <c r="AY505" i="178"/>
  <c r="BH125" i="178"/>
  <c r="BI125" i="178"/>
  <c r="AZ125" i="178"/>
  <c r="BA125" i="178"/>
  <c r="AR125" i="178"/>
  <c r="AS125" i="178"/>
  <c r="BC748" i="178"/>
  <c r="BB748" i="178"/>
  <c r="AU748" i="178"/>
  <c r="AT748" i="178"/>
  <c r="BB477" i="178"/>
  <c r="BC477" i="178"/>
  <c r="AT477" i="178"/>
  <c r="AU477" i="178"/>
  <c r="BH124" i="178"/>
  <c r="BI124" i="178"/>
  <c r="AZ124" i="178"/>
  <c r="BA124" i="178"/>
  <c r="AR124" i="178"/>
  <c r="AS124" i="178"/>
  <c r="BF457" i="178"/>
  <c r="BG457" i="178"/>
  <c r="AX457" i="178"/>
  <c r="AY457" i="178"/>
  <c r="BB800" i="178"/>
  <c r="BC800" i="178"/>
  <c r="BM799" i="178"/>
  <c r="BL799" i="178"/>
  <c r="BD799" i="178"/>
  <c r="BE799" i="178"/>
  <c r="AV799" i="178"/>
  <c r="AW799" i="178"/>
  <c r="BI798" i="178"/>
  <c r="BH798" i="178"/>
  <c r="AZ798" i="178"/>
  <c r="BA798" i="178"/>
  <c r="AS798" i="178"/>
  <c r="AR798" i="178"/>
  <c r="BB797" i="178"/>
  <c r="BC797" i="178"/>
  <c r="AT797" i="178"/>
  <c r="AU797" i="178"/>
  <c r="U797" i="178"/>
  <c r="BN796" i="178"/>
  <c r="BO796" i="178"/>
  <c r="BG796" i="178"/>
  <c r="BF796" i="178"/>
  <c r="AX796" i="178"/>
  <c r="AY796" i="178"/>
  <c r="BH794" i="178"/>
  <c r="BI794" i="178"/>
  <c r="AZ794" i="178"/>
  <c r="BA794" i="178"/>
  <c r="AR794" i="178"/>
  <c r="AS794" i="178"/>
  <c r="BL749" i="178"/>
  <c r="BM749" i="178"/>
  <c r="AV749" i="178"/>
  <c r="AW749" i="178"/>
  <c r="U749" i="178"/>
  <c r="BO739" i="178"/>
  <c r="BN739" i="178"/>
  <c r="BF739" i="178"/>
  <c r="BG739" i="178"/>
  <c r="AX739" i="178"/>
  <c r="AY739" i="178"/>
  <c r="BB735" i="178"/>
  <c r="BC735" i="178"/>
  <c r="AT735" i="178"/>
  <c r="AU735" i="178"/>
  <c r="BO779" i="178"/>
  <c r="AX779" i="178"/>
  <c r="BE668" i="178"/>
  <c r="BM667" i="178"/>
  <c r="AV667" i="178"/>
  <c r="BC775" i="178"/>
  <c r="AT666" i="178"/>
  <c r="BA665" i="178"/>
  <c r="BH774" i="178"/>
  <c r="AR774" i="178"/>
  <c r="AY664" i="178"/>
  <c r="BF663" i="178"/>
  <c r="BM513" i="178"/>
  <c r="BC126" i="178"/>
  <c r="AT751" i="178"/>
  <c r="AY125" i="178"/>
  <c r="BD477" i="178"/>
  <c r="AU124" i="178"/>
  <c r="BI747" i="178"/>
  <c r="AW798" i="178"/>
  <c r="AX736" i="178"/>
  <c r="AY736" i="178"/>
  <c r="AZ735" i="178"/>
  <c r="BA735" i="178"/>
  <c r="AR735" i="178"/>
  <c r="AS735" i="178"/>
  <c r="BL725" i="178"/>
  <c r="BD725" i="178"/>
  <c r="AV725" i="178"/>
  <c r="U725" i="178"/>
  <c r="BO723" i="178"/>
  <c r="BN723" i="178"/>
  <c r="BF723" i="178"/>
  <c r="BG723" i="178"/>
  <c r="AX723" i="178"/>
  <c r="AY723" i="178"/>
  <c r="AY735" i="178"/>
  <c r="AX735" i="178"/>
  <c r="BB725" i="178"/>
  <c r="AT725" i="178"/>
  <c r="BD723" i="178"/>
  <c r="BE723" i="178"/>
  <c r="AW723" i="178"/>
  <c r="AV723" i="178"/>
  <c r="U723" i="178"/>
  <c r="BI735" i="178"/>
  <c r="BM723" i="178"/>
  <c r="BC736" i="178"/>
  <c r="BB736" i="178"/>
  <c r="AT736" i="178"/>
  <c r="AU736" i="178"/>
  <c r="BM735" i="178"/>
  <c r="BL735" i="178"/>
  <c r="BD735" i="178"/>
  <c r="BE735" i="178"/>
  <c r="AV735" i="178"/>
  <c r="AW735" i="178"/>
  <c r="AZ725" i="178"/>
  <c r="AR725" i="178"/>
  <c r="BB723" i="178"/>
  <c r="BC723" i="178"/>
  <c r="AT723" i="178"/>
  <c r="AU723" i="178"/>
  <c r="BG735" i="178"/>
  <c r="U149" i="178"/>
  <c r="U763" i="178"/>
  <c r="U302" i="178"/>
  <c r="U144" i="178"/>
  <c r="U143" i="178"/>
  <c r="U139" i="178"/>
  <c r="U142" i="178"/>
  <c r="U410" i="178"/>
  <c r="U35" i="178"/>
  <c r="U743" i="178"/>
  <c r="U562" i="178"/>
  <c r="U741" i="178"/>
  <c r="U740" i="178"/>
  <c r="U960" i="178"/>
  <c r="U959" i="178"/>
  <c r="U629" i="178"/>
  <c r="U409" i="178"/>
  <c r="U958" i="178"/>
  <c r="U957" i="178"/>
  <c r="V955" i="178"/>
  <c r="V751" i="178"/>
  <c r="U751" i="178"/>
  <c r="V748" i="178"/>
  <c r="U748" i="178"/>
  <c r="V477" i="178"/>
  <c r="U477" i="178"/>
  <c r="V913" i="178"/>
  <c r="U913" i="178"/>
  <c r="U440" i="178"/>
  <c r="V440" i="178"/>
  <c r="U779" i="178"/>
  <c r="V779" i="178"/>
  <c r="U668" i="178"/>
  <c r="V668" i="178"/>
  <c r="U667" i="178"/>
  <c r="V667" i="178"/>
  <c r="U775" i="178"/>
  <c r="V775" i="178"/>
  <c r="U666" i="178"/>
  <c r="V666" i="178"/>
  <c r="U665" i="178"/>
  <c r="V665" i="178"/>
  <c r="U774" i="178"/>
  <c r="V774" i="178"/>
  <c r="V664" i="178"/>
  <c r="V663" i="178"/>
  <c r="V505" i="178"/>
  <c r="V513" i="178"/>
  <c r="BJ396" i="178"/>
  <c r="BJ159" i="178"/>
  <c r="BJ716" i="178"/>
  <c r="BJ27" i="178"/>
  <c r="BJ191" i="178"/>
  <c r="BJ559" i="178"/>
  <c r="BJ546" i="178"/>
  <c r="BJ538" i="178"/>
  <c r="BJ185" i="178"/>
  <c r="BJ370" i="178"/>
  <c r="BJ368" i="178"/>
  <c r="BJ320" i="178"/>
  <c r="BJ995" i="178"/>
  <c r="BJ242" i="178"/>
  <c r="BJ548" i="178"/>
  <c r="BJ214" i="178"/>
  <c r="BJ44" i="178"/>
  <c r="BJ540" i="178"/>
  <c r="BJ515" i="178"/>
  <c r="BJ129" i="178"/>
  <c r="BJ917" i="178"/>
  <c r="BJ454" i="178"/>
  <c r="BJ660" i="178"/>
  <c r="BJ721" i="178"/>
  <c r="BJ453" i="178"/>
  <c r="V619" i="178"/>
  <c r="BJ609" i="178"/>
  <c r="V48" i="178"/>
  <c r="BJ104" i="178"/>
  <c r="BJ648" i="178"/>
  <c r="BJ1015" i="178"/>
  <c r="BJ1012" i="178"/>
  <c r="BD1028" i="178"/>
  <c r="AV1028" i="178"/>
  <c r="BO52" i="178"/>
  <c r="BL566" i="178"/>
  <c r="BE566" i="178"/>
  <c r="AW566" i="178"/>
  <c r="U643" i="178"/>
  <c r="BJ224" i="178"/>
  <c r="BJ222" i="178"/>
  <c r="BJ207" i="178"/>
  <c r="BJ205" i="178"/>
  <c r="BJ203" i="178"/>
  <c r="BJ201" i="178"/>
  <c r="BI334" i="178"/>
  <c r="AS334" i="178"/>
  <c r="BJ690" i="178"/>
  <c r="BJ426" i="178"/>
  <c r="BJ1018" i="178"/>
  <c r="BJ230" i="178"/>
  <c r="BJ181" i="178"/>
  <c r="BJ359" i="178"/>
  <c r="BJ352" i="178"/>
  <c r="BJ347" i="178"/>
  <c r="BJ335" i="178"/>
  <c r="BJ163" i="178"/>
  <c r="BJ994" i="178"/>
  <c r="BJ988" i="178"/>
  <c r="V184" i="178"/>
  <c r="BJ71" i="178"/>
  <c r="BJ131" i="178"/>
  <c r="BJ539" i="178"/>
  <c r="BJ24" i="178"/>
  <c r="U23" i="178"/>
  <c r="BJ10" i="178"/>
  <c r="BJ8" i="178"/>
  <c r="BJ6" i="178"/>
  <c r="BJ4" i="178"/>
  <c r="BJ2" i="178"/>
  <c r="BJ875" i="178"/>
  <c r="BJ864" i="178"/>
  <c r="BJ190" i="178"/>
  <c r="BJ610" i="178"/>
  <c r="BJ604" i="178"/>
  <c r="BJ551" i="178"/>
  <c r="BJ973" i="178"/>
  <c r="BJ806" i="178"/>
  <c r="U600" i="178"/>
  <c r="BJ456" i="178"/>
  <c r="BJ1023" i="178"/>
  <c r="BJ1007" i="178"/>
  <c r="BJ1004" i="178"/>
  <c r="V784" i="178"/>
  <c r="V783" i="178"/>
  <c r="V628" i="178"/>
  <c r="V627" i="178"/>
  <c r="V417" i="178"/>
  <c r="V408" i="178"/>
  <c r="V626" i="178"/>
  <c r="V407" i="178"/>
  <c r="BJ96" i="178"/>
  <c r="BJ93" i="178"/>
  <c r="BJ1033" i="178"/>
  <c r="BM565" i="178"/>
  <c r="BJ152" i="178"/>
  <c r="BJ686" i="178"/>
  <c r="BO332" i="178"/>
  <c r="U27" i="178"/>
  <c r="BJ983" i="178"/>
  <c r="BJ364" i="178"/>
  <c r="BH648" i="178"/>
  <c r="AR648" i="178"/>
  <c r="BJ742" i="178"/>
  <c r="BJ606" i="178"/>
  <c r="BJ738" i="178"/>
  <c r="BJ1020" i="178"/>
  <c r="BJ579" i="178"/>
  <c r="AT947" i="178"/>
  <c r="BJ938" i="178"/>
  <c r="BC938" i="178"/>
  <c r="AU938" i="178"/>
  <c r="BJ935" i="178"/>
  <c r="BB935" i="178"/>
  <c r="AT935" i="178"/>
  <c r="BN934" i="178"/>
  <c r="BF934" i="178"/>
  <c r="AX934" i="178"/>
  <c r="V934" i="178"/>
  <c r="BJ171" i="178"/>
  <c r="BJ151" i="178"/>
  <c r="BJ137" i="178"/>
  <c r="BJ552" i="178"/>
  <c r="V551" i="178"/>
  <c r="BJ202" i="178"/>
  <c r="BJ891" i="178"/>
  <c r="BJ432" i="178"/>
  <c r="BJ640" i="178"/>
  <c r="BJ760" i="178"/>
  <c r="BJ755" i="178"/>
  <c r="BJ511" i="178"/>
  <c r="BJ500" i="178"/>
  <c r="BJ495" i="178"/>
  <c r="BJ466" i="178"/>
  <c r="BJ366" i="178"/>
  <c r="BJ319" i="178"/>
  <c r="BJ589" i="178"/>
  <c r="BJ261" i="178"/>
  <c r="BJ991" i="178"/>
  <c r="BJ245" i="178"/>
  <c r="BJ587" i="178"/>
  <c r="BJ45" i="178"/>
  <c r="BJ752" i="178"/>
  <c r="BJ21" i="178"/>
  <c r="U10" i="178"/>
  <c r="BH938" i="178"/>
  <c r="AZ938" i="178"/>
  <c r="AR938" i="178"/>
  <c r="V801" i="178"/>
  <c r="BJ771" i="178"/>
  <c r="BJ769" i="178"/>
  <c r="BJ198" i="178"/>
  <c r="BJ570" i="178"/>
  <c r="BJ334" i="178"/>
  <c r="BJ617" i="178"/>
  <c r="BE690" i="178"/>
  <c r="BJ419" i="178"/>
  <c r="BJ492" i="178"/>
  <c r="BJ475" i="178"/>
  <c r="BJ476" i="178"/>
  <c r="BJ474" i="178"/>
  <c r="BJ377" i="178"/>
  <c r="BJ375" i="178"/>
  <c r="BJ373" i="178"/>
  <c r="BJ989" i="178"/>
  <c r="BJ314" i="178"/>
  <c r="BJ118" i="178"/>
  <c r="BJ116" i="178"/>
  <c r="BJ68" i="178"/>
  <c r="BJ66" i="178"/>
  <c r="BJ549" i="178"/>
  <c r="V548" i="178"/>
  <c r="BJ212" i="178"/>
  <c r="BJ210" i="178"/>
  <c r="BJ208" i="178"/>
  <c r="V71" i="178"/>
  <c r="U30" i="178"/>
  <c r="U127" i="178"/>
  <c r="S17" i="178"/>
  <c r="BI17" i="178" s="1"/>
  <c r="BN947" i="178"/>
  <c r="BF947" i="178"/>
  <c r="AX947" i="178"/>
  <c r="BN938" i="178"/>
  <c r="BN935" i="178"/>
  <c r="BF935" i="178"/>
  <c r="AX935" i="178"/>
  <c r="V875" i="178"/>
  <c r="V971" i="178"/>
  <c r="U324" i="178"/>
  <c r="V996" i="178"/>
  <c r="V993" i="178"/>
  <c r="V243" i="178"/>
  <c r="V242" i="178"/>
  <c r="U988" i="178"/>
  <c r="V214" i="178"/>
  <c r="V864" i="178"/>
  <c r="V826" i="178"/>
  <c r="S788" i="178"/>
  <c r="BM788" i="178" s="1"/>
  <c r="BJ861" i="178"/>
  <c r="BJ575" i="178"/>
  <c r="S789" i="178"/>
  <c r="BK789" i="178" s="1"/>
  <c r="U670" i="178"/>
  <c r="BJ98" i="178"/>
  <c r="BJ472" i="178"/>
  <c r="BJ682" i="178"/>
  <c r="BJ689" i="178"/>
  <c r="BJ1026" i="178"/>
  <c r="BJ985" i="178"/>
  <c r="BJ51" i="178"/>
  <c r="BJ499" i="178"/>
  <c r="BJ572" i="178"/>
  <c r="BJ317" i="178"/>
  <c r="BJ594" i="178"/>
  <c r="BJ593" i="178"/>
  <c r="BJ371" i="178"/>
  <c r="BJ274" i="178"/>
  <c r="BJ272" i="178"/>
  <c r="BJ671" i="178"/>
  <c r="BJ25" i="178"/>
  <c r="BJ11" i="178"/>
  <c r="BJ669" i="178"/>
  <c r="BJ661" i="178"/>
  <c r="BJ95" i="178"/>
  <c r="BJ706" i="178"/>
  <c r="BJ1022" i="178"/>
  <c r="BJ1008" i="178"/>
  <c r="BJ1005" i="178"/>
  <c r="BH981" i="178"/>
  <c r="AZ981" i="178"/>
  <c r="AR981" i="178"/>
  <c r="BJ979" i="178"/>
  <c r="BJ561" i="178"/>
  <c r="BJ402" i="178"/>
  <c r="BJ363" i="178"/>
  <c r="BJ349" i="178"/>
  <c r="BJ346" i="178"/>
  <c r="BJ344" i="178"/>
  <c r="BJ29" i="178"/>
  <c r="BJ196" i="178"/>
  <c r="BJ187" i="178"/>
  <c r="BJ531" i="178"/>
  <c r="BJ528" i="178"/>
  <c r="BJ509" i="178"/>
  <c r="BJ501" i="178"/>
  <c r="BJ487" i="178"/>
  <c r="BJ386" i="178"/>
  <c r="BJ298" i="178"/>
  <c r="BJ998" i="178"/>
  <c r="BJ43" i="178"/>
  <c r="BJ920" i="178"/>
  <c r="BJ18" i="178"/>
  <c r="BJ16" i="178"/>
  <c r="BJ34" i="178"/>
  <c r="BJ471" i="178"/>
  <c r="BJ578" i="178"/>
  <c r="BJ688" i="178"/>
  <c r="BJ57" i="178"/>
  <c r="BJ1037" i="178"/>
  <c r="BM987" i="178"/>
  <c r="BJ986" i="178"/>
  <c r="BJ984" i="178"/>
  <c r="BH414" i="178"/>
  <c r="AZ414" i="178"/>
  <c r="AR414" i="178"/>
  <c r="BD686" i="178"/>
  <c r="AV686" i="178"/>
  <c r="BJ978" i="178"/>
  <c r="BF499" i="178"/>
  <c r="AX499" i="178"/>
  <c r="BJ615" i="178"/>
  <c r="BJ691" i="178"/>
  <c r="BJ613" i="178"/>
  <c r="BB613" i="178"/>
  <c r="BJ732" i="178"/>
  <c r="BJ639" i="178"/>
  <c r="BJ571" i="178"/>
  <c r="BJ380" i="178"/>
  <c r="BJ1001" i="178"/>
  <c r="BJ376" i="178"/>
  <c r="BJ586" i="178"/>
  <c r="BJ134" i="178"/>
  <c r="BJ288" i="178"/>
  <c r="BJ107" i="178"/>
  <c r="BJ105" i="178"/>
  <c r="BJ519" i="178"/>
  <c r="BJ133" i="178"/>
  <c r="BJ75" i="178"/>
  <c r="BJ73" i="178"/>
  <c r="BJ22" i="178"/>
  <c r="BJ893" i="178"/>
  <c r="BH270" i="178"/>
  <c r="AZ270" i="178"/>
  <c r="AR270" i="178"/>
  <c r="BH251" i="178"/>
  <c r="AZ251" i="178"/>
  <c r="AR251" i="178"/>
  <c r="BH899" i="178"/>
  <c r="AZ899" i="178"/>
  <c r="BJ862" i="178"/>
  <c r="BJ754" i="178"/>
  <c r="BJ192" i="178"/>
  <c r="AU192" i="178"/>
  <c r="BJ188" i="178"/>
  <c r="BJ542" i="178"/>
  <c r="BJ1019" i="178"/>
  <c r="BJ484" i="178"/>
  <c r="BJ318" i="178"/>
  <c r="BJ599" i="178"/>
  <c r="BJ569" i="178"/>
  <c r="BJ367" i="178"/>
  <c r="BJ325" i="178"/>
  <c r="BJ315" i="178"/>
  <c r="BJ281" i="178"/>
  <c r="BJ999" i="178"/>
  <c r="BJ267" i="178"/>
  <c r="BJ260" i="178"/>
  <c r="BJ545" i="178"/>
  <c r="BJ218" i="178"/>
  <c r="BJ216" i="178"/>
  <c r="BJ583" i="178"/>
  <c r="BJ312" i="178"/>
  <c r="BJ311" i="178"/>
  <c r="BJ309" i="178"/>
  <c r="BJ308" i="178"/>
  <c r="BJ307" i="178"/>
  <c r="BJ305" i="178"/>
  <c r="BJ304" i="178"/>
  <c r="BJ220" i="178"/>
  <c r="BJ300" i="178"/>
  <c r="BJ138" i="178"/>
  <c r="BJ132" i="178"/>
  <c r="BJ544" i="178"/>
  <c r="BJ299" i="178"/>
  <c r="BJ112" i="178"/>
  <c r="BJ110" i="178"/>
  <c r="BJ103" i="178"/>
  <c r="BJ101" i="178"/>
  <c r="BJ94" i="178"/>
  <c r="BJ90" i="178"/>
  <c r="BJ86" i="178"/>
  <c r="BJ84" i="178"/>
  <c r="BJ82" i="178"/>
  <c r="BJ135" i="178"/>
  <c r="BJ64" i="178"/>
  <c r="BJ5" i="178"/>
  <c r="BM715" i="178"/>
  <c r="BO263" i="178"/>
  <c r="BO247" i="178"/>
  <c r="AX888" i="178"/>
  <c r="BJ745" i="178"/>
  <c r="BJ744" i="178"/>
  <c r="BJ592" i="178"/>
  <c r="BJ290" i="178"/>
  <c r="BJ996" i="178"/>
  <c r="BJ72" i="178"/>
  <c r="BJ122" i="178"/>
  <c r="BJ1010" i="178"/>
  <c r="BJ563" i="178"/>
  <c r="BJ761" i="178"/>
  <c r="BJ734" i="178"/>
  <c r="BJ637" i="178"/>
  <c r="BJ520" i="178"/>
  <c r="BJ1014" i="178"/>
  <c r="BJ369" i="178"/>
  <c r="BJ162" i="178"/>
  <c r="BJ130" i="178"/>
  <c r="BJ914" i="178"/>
  <c r="BJ420" i="178"/>
  <c r="BJ404" i="178"/>
  <c r="BJ602" i="178"/>
  <c r="BJ463" i="178"/>
  <c r="BJ383" i="178"/>
  <c r="BJ301" i="178"/>
  <c r="BJ46" i="178"/>
  <c r="BJ28" i="178"/>
  <c r="BJ1025" i="178"/>
  <c r="BJ768" i="178"/>
  <c r="BJ889" i="178"/>
  <c r="BJ530" i="178"/>
  <c r="BJ1016" i="178"/>
  <c r="BJ156" i="178"/>
  <c r="BJ39" i="178"/>
  <c r="BJ631" i="178"/>
  <c r="BE1005" i="178"/>
  <c r="AW1005" i="178"/>
  <c r="BH420" i="178"/>
  <c r="AZ420" i="178"/>
  <c r="AR420" i="178"/>
  <c r="BJ489" i="178"/>
  <c r="BI889" i="178"/>
  <c r="AS889" i="178"/>
  <c r="BJ430" i="178"/>
  <c r="BO691" i="178"/>
  <c r="BJ425" i="178"/>
  <c r="BE745" i="178"/>
  <c r="S742" i="178"/>
  <c r="BK742" i="178" s="1"/>
  <c r="BJ533" i="178"/>
  <c r="BJ503" i="178"/>
  <c r="BJ381" i="178"/>
  <c r="BJ372" i="178"/>
  <c r="BJ356" i="178"/>
  <c r="BJ353" i="178"/>
  <c r="BJ283" i="178"/>
  <c r="BJ240" i="178"/>
  <c r="BJ585" i="178"/>
  <c r="BG107" i="178"/>
  <c r="BJ41" i="178"/>
  <c r="BJ14" i="178"/>
  <c r="AB2" i="178"/>
  <c r="BD1004" i="178"/>
  <c r="AV1004" i="178"/>
  <c r="BJ421" i="178"/>
  <c r="BJ270" i="178"/>
  <c r="AT901" i="178"/>
  <c r="BJ899" i="178"/>
  <c r="BJ433" i="178"/>
  <c r="BJ641" i="178"/>
  <c r="BJ226" i="178"/>
  <c r="BL691" i="178"/>
  <c r="AV691" i="178"/>
  <c r="AV639" i="178"/>
  <c r="BL1025" i="178"/>
  <c r="BE1025" i="178"/>
  <c r="AW1025" i="178"/>
  <c r="BL768" i="178"/>
  <c r="BE768" i="178"/>
  <c r="AW768" i="178"/>
  <c r="BO686" i="178"/>
  <c r="BJ643" i="178"/>
  <c r="BF430" i="178"/>
  <c r="BG425" i="178"/>
  <c r="BL637" i="178"/>
  <c r="BC1022" i="178"/>
  <c r="AU986" i="178"/>
  <c r="AU421" i="178"/>
  <c r="BC152" i="178"/>
  <c r="BJ662" i="178"/>
  <c r="BJ912" i="178"/>
  <c r="AU1022" i="178"/>
  <c r="BJ1006" i="178"/>
  <c r="BM630" i="178"/>
  <c r="BJ53" i="178"/>
  <c r="AU152" i="178"/>
  <c r="BJ622" i="178"/>
  <c r="BJ731" i="178"/>
  <c r="AV303" i="178"/>
  <c r="S9" i="178"/>
  <c r="BA9" i="178" s="1"/>
  <c r="BJ630" i="178"/>
  <c r="S488" i="178"/>
  <c r="BK488" i="178" s="1"/>
  <c r="BJ418" i="178"/>
  <c r="BJ577" i="178"/>
  <c r="BJ496" i="178"/>
  <c r="BJ154" i="178"/>
  <c r="BJ455" i="178"/>
  <c r="BN985" i="178"/>
  <c r="BG985" i="178"/>
  <c r="AY985" i="178"/>
  <c r="BN53" i="178"/>
  <c r="BG53" i="178"/>
  <c r="AY53" i="178"/>
  <c r="BN979" i="178"/>
  <c r="BG979" i="178"/>
  <c r="AY979" i="178"/>
  <c r="BJ354" i="178"/>
  <c r="BJ26" i="178"/>
  <c r="BJ488" i="178"/>
  <c r="BJ429" i="178"/>
  <c r="BJ427" i="178"/>
  <c r="BJ676" i="178"/>
  <c r="BJ638" i="178"/>
  <c r="BJ727" i="178"/>
  <c r="AT727" i="178"/>
  <c r="BJ527" i="178"/>
  <c r="BJ389" i="178"/>
  <c r="BJ385" i="178"/>
  <c r="BJ351" i="178"/>
  <c r="BJ92" i="178"/>
  <c r="BC986" i="178"/>
  <c r="BC421" i="178"/>
  <c r="S621" i="178"/>
  <c r="BC621" i="178" s="1"/>
  <c r="BJ464" i="178"/>
  <c r="BJ568" i="178"/>
  <c r="BJ123" i="178"/>
  <c r="BJ458" i="178"/>
  <c r="BJ1029" i="178"/>
  <c r="BJ987" i="178"/>
  <c r="BJ621" i="178"/>
  <c r="BJ841" i="178"/>
  <c r="BJ382" i="178"/>
  <c r="BJ276" i="178"/>
  <c r="BJ269" i="178"/>
  <c r="BF688" i="178"/>
  <c r="AX688" i="178"/>
  <c r="BF1029" i="178"/>
  <c r="AX1029" i="178"/>
  <c r="BF1007" i="178"/>
  <c r="AX1007" i="178"/>
  <c r="BF984" i="178"/>
  <c r="AX984" i="178"/>
  <c r="BI55" i="178"/>
  <c r="BA55" i="178"/>
  <c r="AS55" i="178"/>
  <c r="BF54" i="178"/>
  <c r="AX54" i="178"/>
  <c r="BI104" i="178"/>
  <c r="BA104" i="178"/>
  <c r="AS104" i="178"/>
  <c r="BF563" i="178"/>
  <c r="AX563" i="178"/>
  <c r="BN898" i="178"/>
  <c r="AY898" i="178"/>
  <c r="BG225" i="178"/>
  <c r="BN204" i="178"/>
  <c r="AY204" i="178"/>
  <c r="BJ890" i="178"/>
  <c r="BJ358" i="178"/>
  <c r="AX195" i="178"/>
  <c r="BL754" i="178"/>
  <c r="S754" i="178"/>
  <c r="AW754" i="178" s="1"/>
  <c r="S613" i="178"/>
  <c r="BK613" i="178" s="1"/>
  <c r="BJ730" i="178"/>
  <c r="BJ537" i="178"/>
  <c r="BJ462" i="178"/>
  <c r="BJ355" i="178"/>
  <c r="BJ919" i="178"/>
  <c r="S903" i="178"/>
  <c r="BI903" i="178" s="1"/>
  <c r="S69" i="178"/>
  <c r="AU69" i="178" s="1"/>
  <c r="BJ153" i="178"/>
  <c r="BJ217" i="178"/>
  <c r="BJ215" i="178"/>
  <c r="BJ157" i="178"/>
  <c r="BJ582" i="178"/>
  <c r="BJ310" i="178"/>
  <c r="BJ581" i="178"/>
  <c r="BJ306" i="178"/>
  <c r="BJ764" i="178"/>
  <c r="BJ303" i="178"/>
  <c r="BJ758" i="178"/>
  <c r="BJ757" i="178"/>
  <c r="BJ756" i="178"/>
  <c r="BJ121" i="178"/>
  <c r="BJ119" i="178"/>
  <c r="BJ115" i="178"/>
  <c r="BJ111" i="178"/>
  <c r="BJ109" i="178"/>
  <c r="BJ102" i="178"/>
  <c r="BJ100" i="178"/>
  <c r="BJ91" i="178"/>
  <c r="BJ87" i="178"/>
  <c r="BJ541" i="178"/>
  <c r="BJ295" i="178"/>
  <c r="BJ108" i="178"/>
  <c r="BJ106" i="178"/>
  <c r="BJ921" i="178"/>
  <c r="BJ76" i="178"/>
  <c r="BJ74" i="178"/>
  <c r="BJ9" i="178"/>
  <c r="BJ3" i="178"/>
  <c r="BJ350" i="178"/>
  <c r="BJ348" i="178"/>
  <c r="BJ345" i="178"/>
  <c r="BJ332" i="178"/>
  <c r="BJ266" i="178"/>
  <c r="BJ264" i="178"/>
  <c r="BJ254" i="178"/>
  <c r="BJ252" i="178"/>
  <c r="BC252" i="178"/>
  <c r="AU252" i="178"/>
  <c r="BJ250" i="178"/>
  <c r="BJ248" i="178"/>
  <c r="BJ902" i="178"/>
  <c r="BJ900" i="178"/>
  <c r="BC900" i="178"/>
  <c r="AU900" i="178"/>
  <c r="BJ888" i="178"/>
  <c r="BA196" i="178"/>
  <c r="BJ195" i="178"/>
  <c r="BJ825" i="178"/>
  <c r="AZ676" i="178"/>
  <c r="BJ636" i="178"/>
  <c r="BJ737" i="178"/>
  <c r="BJ532" i="178"/>
  <c r="BJ490" i="178"/>
  <c r="BJ486" i="178"/>
  <c r="BJ387" i="178"/>
  <c r="BJ1013" i="178"/>
  <c r="BJ340" i="178"/>
  <c r="BJ259" i="178"/>
  <c r="BJ238" i="178"/>
  <c r="BJ234" i="178"/>
  <c r="BJ158" i="178"/>
  <c r="BJ903" i="178"/>
  <c r="BJ313" i="178"/>
  <c r="BJ117" i="178"/>
  <c r="BJ69" i="178"/>
  <c r="BJ40" i="178"/>
  <c r="BJ38" i="178"/>
  <c r="S16" i="178"/>
  <c r="BI16" i="178" s="1"/>
  <c r="BJ7" i="178"/>
  <c r="BI620" i="178"/>
  <c r="AS620" i="178"/>
  <c r="BA206" i="178"/>
  <c r="S203" i="178"/>
  <c r="AY203" i="178" s="1"/>
  <c r="BJ842" i="178"/>
  <c r="BA732" i="178"/>
  <c r="BO639" i="178"/>
  <c r="BD418" i="178"/>
  <c r="BJ898" i="178"/>
  <c r="BJ434" i="178"/>
  <c r="BJ870" i="178"/>
  <c r="BJ620" i="178"/>
  <c r="AX226" i="178"/>
  <c r="BJ225" i="178"/>
  <c r="BJ223" i="178"/>
  <c r="BJ221" i="178"/>
  <c r="BJ206" i="178"/>
  <c r="BF205" i="178"/>
  <c r="BJ204" i="178"/>
  <c r="AZ890" i="178"/>
  <c r="BM358" i="178"/>
  <c r="BC640" i="178"/>
  <c r="BH862" i="178"/>
  <c r="AR862" i="178"/>
  <c r="AU570" i="178"/>
  <c r="AZ841" i="178"/>
  <c r="BI427" i="178"/>
  <c r="BN615" i="178"/>
  <c r="AX615" i="178"/>
  <c r="BD825" i="178"/>
  <c r="BA614" i="178"/>
  <c r="BD733" i="178"/>
  <c r="AW426" i="178"/>
  <c r="BN730" i="178"/>
  <c r="AX730" i="178"/>
  <c r="BJ601" i="178"/>
  <c r="BJ485" i="178"/>
  <c r="BJ374" i="178"/>
  <c r="BJ343" i="178"/>
  <c r="BJ275" i="178"/>
  <c r="BJ588" i="178"/>
  <c r="BF756" i="178"/>
  <c r="BJ47" i="178"/>
  <c r="BJ128" i="178"/>
  <c r="BJ20" i="178"/>
  <c r="BJ127" i="178"/>
  <c r="AB3" i="178"/>
  <c r="BJ262" i="178"/>
  <c r="BJ244" i="178"/>
  <c r="BJ233" i="178"/>
  <c r="BJ67" i="178"/>
  <c r="BJ766" i="178"/>
  <c r="BJ213" i="178"/>
  <c r="BJ211" i="178"/>
  <c r="BJ209" i="178"/>
  <c r="BJ194" i="178"/>
  <c r="BH157" i="178"/>
  <c r="AR157" i="178"/>
  <c r="BJ85" i="178"/>
  <c r="BJ83" i="178"/>
  <c r="BJ81" i="178"/>
  <c r="BJ30" i="178"/>
  <c r="U579" i="178"/>
  <c r="U546" i="178"/>
  <c r="U528" i="178"/>
  <c r="U496" i="178"/>
  <c r="U475" i="178"/>
  <c r="U466" i="178"/>
  <c r="U118" i="178"/>
  <c r="V67" i="178"/>
  <c r="V210" i="178"/>
  <c r="V309" i="178"/>
  <c r="V306" i="178"/>
  <c r="V300" i="178"/>
  <c r="U489" i="178"/>
  <c r="U638" i="178"/>
  <c r="U601" i="178"/>
  <c r="U476" i="178"/>
  <c r="V308" i="178"/>
  <c r="V303" i="178"/>
  <c r="U57" i="178"/>
  <c r="U1042" i="178"/>
  <c r="U1036" i="178"/>
  <c r="U564" i="178"/>
  <c r="U533" i="178"/>
  <c r="U509" i="178"/>
  <c r="U1019" i="178"/>
  <c r="U328" i="178"/>
  <c r="U486" i="178"/>
  <c r="U474" i="178"/>
  <c r="V218" i="178"/>
  <c r="V83" i="178"/>
  <c r="V295" i="178"/>
  <c r="U7" i="178"/>
  <c r="U5" i="178"/>
  <c r="U4" i="178"/>
  <c r="BI947" i="178"/>
  <c r="BA947" i="178"/>
  <c r="AS947" i="178"/>
  <c r="BI935" i="178"/>
  <c r="BA935" i="178"/>
  <c r="AS935" i="178"/>
  <c r="BM934" i="178"/>
  <c r="BG938" i="178"/>
  <c r="AY938" i="178"/>
  <c r="BJ616" i="178"/>
  <c r="BJ611" i="178"/>
  <c r="BJ673" i="178"/>
  <c r="BJ697" i="178"/>
  <c r="S190" i="178"/>
  <c r="AW190" i="178" s="1"/>
  <c r="BJ603" i="178"/>
  <c r="BJ473" i="178"/>
  <c r="BJ460" i="178"/>
  <c r="BJ444" i="178"/>
  <c r="BJ591" i="178"/>
  <c r="S616" i="178"/>
  <c r="AU616" i="178" s="1"/>
  <c r="S610" i="178"/>
  <c r="BE610" i="178" s="1"/>
  <c r="BJ696" i="178"/>
  <c r="S795" i="178"/>
  <c r="BK795" i="178" s="1"/>
  <c r="S611" i="178"/>
  <c r="BO611" i="178" s="1"/>
  <c r="BJ424" i="178"/>
  <c r="BJ659" i="178"/>
  <c r="BN946" i="178"/>
  <c r="BF946" i="178"/>
  <c r="AX946" i="178"/>
  <c r="BO937" i="178"/>
  <c r="BF937" i="178"/>
  <c r="AX937" i="178"/>
  <c r="BJ863" i="178"/>
  <c r="BJ827" i="178"/>
  <c r="BJ431" i="178"/>
  <c r="S787" i="178"/>
  <c r="AW787" i="178" s="1"/>
  <c r="S424" i="178"/>
  <c r="AU424" i="178" s="1"/>
  <c r="BJ1009" i="178"/>
  <c r="BJ931" i="178"/>
  <c r="BJ623" i="178"/>
  <c r="BJ557" i="178"/>
  <c r="BJ400" i="178"/>
  <c r="BJ399" i="178"/>
  <c r="BJ895" i="178"/>
  <c r="BJ892" i="178"/>
  <c r="BJ872" i="178"/>
  <c r="BJ868" i="178"/>
  <c r="BJ866" i="178"/>
  <c r="BJ197" i="178"/>
  <c r="BJ803" i="178"/>
  <c r="BJ605" i="178"/>
  <c r="BJ729" i="178"/>
  <c r="BJ441" i="178"/>
  <c r="BJ672" i="178"/>
  <c r="BJ176" i="178"/>
  <c r="BJ79" i="178"/>
  <c r="BJ946" i="178"/>
  <c r="BB946" i="178"/>
  <c r="AT946" i="178"/>
  <c r="BJ937" i="178"/>
  <c r="BB937" i="178"/>
  <c r="AT937" i="178"/>
  <c r="BJ885" i="178"/>
  <c r="BJ200" i="178"/>
  <c r="BJ859" i="178"/>
  <c r="BJ857" i="178"/>
  <c r="BJ607" i="178"/>
  <c r="BJ498" i="178"/>
  <c r="BJ461" i="178"/>
  <c r="BJ459" i="178"/>
  <c r="BJ590" i="178"/>
  <c r="BJ150" i="178"/>
  <c r="BJ753" i="178"/>
  <c r="BJ977" i="178"/>
  <c r="BH946" i="178"/>
  <c r="AZ946" i="178"/>
  <c r="AR946" i="178"/>
  <c r="BH937" i="178"/>
  <c r="AZ937" i="178"/>
  <c r="AR937" i="178"/>
  <c r="BH934" i="178"/>
  <c r="AZ934" i="178"/>
  <c r="AR934" i="178"/>
  <c r="BN931" i="178"/>
  <c r="BJ33" i="178"/>
  <c r="BJ32" i="178"/>
  <c r="BJ645" i="178"/>
  <c r="BJ31" i="178"/>
  <c r="BJ897" i="178"/>
  <c r="BJ896" i="178"/>
  <c r="BJ894" i="178"/>
  <c r="BJ887" i="178"/>
  <c r="BJ871" i="178"/>
  <c r="BJ867" i="178"/>
  <c r="BJ865" i="178"/>
  <c r="BJ858" i="178"/>
  <c r="BJ618" i="178"/>
  <c r="BJ945" i="178"/>
  <c r="BJ189" i="178"/>
  <c r="BJ443" i="178"/>
  <c r="BJ423" i="178"/>
  <c r="BJ598" i="178"/>
  <c r="BJ1017" i="178"/>
  <c r="BJ78" i="178"/>
  <c r="V33" i="178"/>
  <c r="V872" i="178"/>
  <c r="V200" i="178"/>
  <c r="V858" i="178"/>
  <c r="V78" i="178"/>
  <c r="U454" i="178"/>
  <c r="U697" i="178"/>
  <c r="U88" i="178"/>
  <c r="U1009" i="178"/>
  <c r="V946" i="178"/>
  <c r="V32" i="178"/>
  <c r="V892" i="178"/>
  <c r="V868" i="178"/>
  <c r="V859" i="178"/>
  <c r="U89" i="178"/>
  <c r="V937" i="178"/>
  <c r="V645" i="178"/>
  <c r="V894" i="178"/>
  <c r="V866" i="178"/>
  <c r="V431" i="178"/>
  <c r="V618" i="178"/>
  <c r="BJ933" i="178"/>
  <c r="BJ930" i="178"/>
  <c r="BJ778" i="178"/>
  <c r="BJ322" i="178"/>
  <c r="BJ805" i="178"/>
  <c r="BJ480" i="178"/>
  <c r="BN173" i="178"/>
  <c r="BF173" i="178"/>
  <c r="AX173" i="178"/>
  <c r="S778" i="178"/>
  <c r="BG778" i="178" s="1"/>
  <c r="BJ717" i="178"/>
  <c r="BJ929" i="178"/>
  <c r="BJ909" i="178"/>
  <c r="BJ906" i="178"/>
  <c r="BJ860" i="178"/>
  <c r="BJ843" i="178"/>
  <c r="BJ193" i="178"/>
  <c r="BJ612" i="178"/>
  <c r="BJ765" i="178"/>
  <c r="BJ173" i="178"/>
  <c r="BB173" i="178"/>
  <c r="AT173" i="178"/>
  <c r="BJ972" i="178"/>
  <c r="BJ36" i="178"/>
  <c r="BJ558" i="178"/>
  <c r="BJ644" i="178"/>
  <c r="BJ927" i="178"/>
  <c r="BJ770" i="178"/>
  <c r="BJ199" i="178"/>
  <c r="BJ479" i="178"/>
  <c r="BJ183" i="178"/>
  <c r="BJ174" i="178"/>
  <c r="BJ926" i="178"/>
  <c r="BJ271" i="178"/>
  <c r="BJ844" i="178"/>
  <c r="BJ777" i="178"/>
  <c r="BI173" i="178"/>
  <c r="BA173" i="178"/>
  <c r="AS173" i="178"/>
  <c r="BJ172" i="178"/>
  <c r="BB172" i="178"/>
  <c r="AT172" i="178"/>
  <c r="BJ670" i="178"/>
  <c r="BH172" i="178"/>
  <c r="AZ172" i="178"/>
  <c r="AR172" i="178"/>
  <c r="BE173" i="178"/>
  <c r="AW173" i="178"/>
  <c r="BN172" i="178"/>
  <c r="BF172" i="178"/>
  <c r="AY172" i="178"/>
  <c r="BJ720" i="178"/>
  <c r="BJ37" i="178"/>
  <c r="BJ969" i="178"/>
  <c r="BJ600" i="178"/>
  <c r="BJ442" i="178"/>
  <c r="BM172" i="178"/>
  <c r="BD172" i="178"/>
  <c r="AV172" i="178"/>
  <c r="BJ481" i="178"/>
  <c r="V37" i="178"/>
  <c r="V973" i="178"/>
  <c r="V969" i="178"/>
  <c r="U608" i="178"/>
  <c r="U765" i="178"/>
  <c r="U742" i="178"/>
  <c r="U577" i="178"/>
  <c r="U559" i="178"/>
  <c r="U542" i="178"/>
  <c r="U532" i="178"/>
  <c r="U527" i="178"/>
  <c r="U503" i="178"/>
  <c r="U495" i="178"/>
  <c r="U490" i="178"/>
  <c r="U485" i="178"/>
  <c r="U599" i="178"/>
  <c r="U464" i="178"/>
  <c r="V995" i="178"/>
  <c r="V671" i="178"/>
  <c r="V239" i="178"/>
  <c r="V245" i="178"/>
  <c r="V244" i="178"/>
  <c r="V545" i="178"/>
  <c r="V212" i="178"/>
  <c r="V582" i="178"/>
  <c r="V304" i="178"/>
  <c r="V135" i="178"/>
  <c r="U22" i="178"/>
  <c r="U12" i="178"/>
  <c r="U660" i="178"/>
  <c r="U721" i="178"/>
  <c r="U696" i="178"/>
  <c r="U658" i="178"/>
  <c r="V938" i="178"/>
  <c r="BF931" i="178"/>
  <c r="BG931" i="178"/>
  <c r="AX931" i="178"/>
  <c r="AY931" i="178"/>
  <c r="V931" i="178"/>
  <c r="BL33" i="178"/>
  <c r="BM33" i="178"/>
  <c r="BE33" i="178"/>
  <c r="BD33" i="178"/>
  <c r="AW33" i="178"/>
  <c r="AV33" i="178"/>
  <c r="BB623" i="178"/>
  <c r="BC623" i="178"/>
  <c r="AT623" i="178"/>
  <c r="AU623" i="178"/>
  <c r="BH32" i="178"/>
  <c r="BI32" i="178"/>
  <c r="AZ32" i="178"/>
  <c r="BA32" i="178"/>
  <c r="AR32" i="178"/>
  <c r="AS32" i="178"/>
  <c r="BO557" i="178"/>
  <c r="BN557" i="178"/>
  <c r="BF557" i="178"/>
  <c r="BG557" i="178"/>
  <c r="AX557" i="178"/>
  <c r="AY557" i="178"/>
  <c r="V557" i="178"/>
  <c r="BL645" i="178"/>
  <c r="BM645" i="178"/>
  <c r="BE645" i="178"/>
  <c r="BD645" i="178"/>
  <c r="AW645" i="178"/>
  <c r="AV645" i="178"/>
  <c r="BB400" i="178"/>
  <c r="BC400" i="178"/>
  <c r="AT400" i="178"/>
  <c r="AU400" i="178"/>
  <c r="BH31" i="178"/>
  <c r="BI31" i="178"/>
  <c r="AZ31" i="178"/>
  <c r="BA31" i="178"/>
  <c r="AR31" i="178"/>
  <c r="AS31" i="178"/>
  <c r="BH399" i="178"/>
  <c r="BI399" i="178"/>
  <c r="AZ399" i="178"/>
  <c r="BA399" i="178"/>
  <c r="AR399" i="178"/>
  <c r="AS399" i="178"/>
  <c r="BH897" i="178"/>
  <c r="BI897" i="178"/>
  <c r="AZ897" i="178"/>
  <c r="BA897" i="178"/>
  <c r="AR897" i="178"/>
  <c r="AS897" i="178"/>
  <c r="BI896" i="178"/>
  <c r="BH896" i="178"/>
  <c r="BA896" i="178"/>
  <c r="AZ896" i="178"/>
  <c r="AS896" i="178"/>
  <c r="AR896" i="178"/>
  <c r="BL895" i="178"/>
  <c r="BM895" i="178"/>
  <c r="BD895" i="178"/>
  <c r="BE895" i="178"/>
  <c r="AV895" i="178"/>
  <c r="AW895" i="178"/>
  <c r="U895" i="178"/>
  <c r="BL894" i="178"/>
  <c r="BM894" i="178"/>
  <c r="BD894" i="178"/>
  <c r="BE894" i="178"/>
  <c r="AV894" i="178"/>
  <c r="AW894" i="178"/>
  <c r="BN892" i="178"/>
  <c r="BO892" i="178"/>
  <c r="BF892" i="178"/>
  <c r="BG892" i="178"/>
  <c r="AX892" i="178"/>
  <c r="AY892" i="178"/>
  <c r="BN887" i="178"/>
  <c r="BO887" i="178"/>
  <c r="BF887" i="178"/>
  <c r="BG887" i="178"/>
  <c r="AX887" i="178"/>
  <c r="AY887" i="178"/>
  <c r="BL886" i="178"/>
  <c r="BM886" i="178"/>
  <c r="BD886" i="178"/>
  <c r="BE886" i="178"/>
  <c r="AV886" i="178"/>
  <c r="AW886" i="178"/>
  <c r="BI885" i="178"/>
  <c r="BH885" i="178"/>
  <c r="BA885" i="178"/>
  <c r="AZ885" i="178"/>
  <c r="AS885" i="178"/>
  <c r="AR885" i="178"/>
  <c r="BH875" i="178"/>
  <c r="AZ875" i="178"/>
  <c r="AR875" i="178"/>
  <c r="BL872" i="178"/>
  <c r="BD872" i="178"/>
  <c r="AV872" i="178"/>
  <c r="BB871" i="178"/>
  <c r="AT871" i="178"/>
  <c r="BH868" i="178"/>
  <c r="AZ868" i="178"/>
  <c r="AR868" i="178"/>
  <c r="BN867" i="178"/>
  <c r="BF867" i="178"/>
  <c r="AX867" i="178"/>
  <c r="V867" i="178"/>
  <c r="BL866" i="178"/>
  <c r="BD866" i="178"/>
  <c r="AV866" i="178"/>
  <c r="BB865" i="178"/>
  <c r="AT865" i="178"/>
  <c r="BH864" i="178"/>
  <c r="AZ864" i="178"/>
  <c r="AR864" i="178"/>
  <c r="BN863" i="178"/>
  <c r="BF863" i="178"/>
  <c r="AX863" i="178"/>
  <c r="V863" i="178"/>
  <c r="BL200" i="178"/>
  <c r="BD200" i="178"/>
  <c r="AV200" i="178"/>
  <c r="BB827" i="178"/>
  <c r="AT827" i="178"/>
  <c r="BH859" i="178"/>
  <c r="AZ859" i="178"/>
  <c r="AR859" i="178"/>
  <c r="BL619" i="178"/>
  <c r="BD619" i="178"/>
  <c r="AV619" i="178"/>
  <c r="BH858" i="178"/>
  <c r="AZ858" i="178"/>
  <c r="AR858" i="178"/>
  <c r="BN826" i="178"/>
  <c r="BF826" i="178"/>
  <c r="AX826" i="178"/>
  <c r="BL431" i="178"/>
  <c r="BD431" i="178"/>
  <c r="AV431" i="178"/>
  <c r="BB857" i="178"/>
  <c r="AT857" i="178"/>
  <c r="BN618" i="178"/>
  <c r="BF618" i="178"/>
  <c r="AX618" i="178"/>
  <c r="BM197" i="178"/>
  <c r="BL197" i="178"/>
  <c r="BD197" i="178"/>
  <c r="BE197" i="178"/>
  <c r="AV197" i="178"/>
  <c r="AW197" i="178"/>
  <c r="BC945" i="178"/>
  <c r="BB945" i="178"/>
  <c r="AU945" i="178"/>
  <c r="AT945" i="178"/>
  <c r="BH803" i="178"/>
  <c r="BI803" i="178"/>
  <c r="AZ803" i="178"/>
  <c r="BA803" i="178"/>
  <c r="AR803" i="178"/>
  <c r="AS803" i="178"/>
  <c r="BH801" i="178"/>
  <c r="AZ801" i="178"/>
  <c r="AR801" i="178"/>
  <c r="BL616" i="178"/>
  <c r="BD616" i="178"/>
  <c r="AV616" i="178"/>
  <c r="BL795" i="178"/>
  <c r="BD795" i="178"/>
  <c r="AV795" i="178"/>
  <c r="BL788" i="178"/>
  <c r="BD788" i="178"/>
  <c r="AV788" i="178"/>
  <c r="BL787" i="178"/>
  <c r="BD787" i="178"/>
  <c r="AV787" i="178"/>
  <c r="BL773" i="178"/>
  <c r="BM773" i="178"/>
  <c r="BD773" i="178"/>
  <c r="BE773" i="178"/>
  <c r="AV773" i="178"/>
  <c r="AW773" i="178"/>
  <c r="U773" i="178"/>
  <c r="BN611" i="178"/>
  <c r="BF611" i="178"/>
  <c r="AX611" i="178"/>
  <c r="BH190" i="178"/>
  <c r="AZ190" i="178"/>
  <c r="AR190" i="178"/>
  <c r="BB424" i="178"/>
  <c r="AT424" i="178"/>
  <c r="BL610" i="178"/>
  <c r="BD610" i="178"/>
  <c r="AV610" i="178"/>
  <c r="U610" i="178"/>
  <c r="BO609" i="178"/>
  <c r="BN609" i="178"/>
  <c r="BF609" i="178"/>
  <c r="BG609" i="178"/>
  <c r="AX609" i="178"/>
  <c r="AY609" i="178"/>
  <c r="BL673" i="178"/>
  <c r="BM673" i="178"/>
  <c r="BD673" i="178"/>
  <c r="BE673" i="178"/>
  <c r="AV673" i="178"/>
  <c r="AW673" i="178"/>
  <c r="BB605" i="178"/>
  <c r="BC605" i="178"/>
  <c r="AT605" i="178"/>
  <c r="AU605" i="178"/>
  <c r="BH189" i="178"/>
  <c r="BI189" i="178"/>
  <c r="AZ189" i="178"/>
  <c r="BA189" i="178"/>
  <c r="AR189" i="178"/>
  <c r="AS189" i="178"/>
  <c r="BO729" i="178"/>
  <c r="BN729" i="178"/>
  <c r="BF729" i="178"/>
  <c r="BG729" i="178"/>
  <c r="AX729" i="178"/>
  <c r="AY729" i="178"/>
  <c r="BL604" i="178"/>
  <c r="BM604" i="178"/>
  <c r="BE604" i="178"/>
  <c r="BD604" i="178"/>
  <c r="AW604" i="178"/>
  <c r="AV604" i="178"/>
  <c r="BB607" i="178"/>
  <c r="BC607" i="178"/>
  <c r="AT607" i="178"/>
  <c r="AU607" i="178"/>
  <c r="BH603" i="178"/>
  <c r="BI603" i="178"/>
  <c r="AZ603" i="178"/>
  <c r="BA603" i="178"/>
  <c r="AR603" i="178"/>
  <c r="AS603" i="178"/>
  <c r="BO498" i="178"/>
  <c r="BN498" i="178"/>
  <c r="BF498" i="178"/>
  <c r="BG498" i="178"/>
  <c r="AX498" i="178"/>
  <c r="AY498" i="178"/>
  <c r="BL473" i="178"/>
  <c r="BM473" i="178"/>
  <c r="BE473" i="178"/>
  <c r="BD473" i="178"/>
  <c r="AW473" i="178"/>
  <c r="AV473" i="178"/>
  <c r="BB461" i="178"/>
  <c r="BC461" i="178"/>
  <c r="AT461" i="178"/>
  <c r="AU461" i="178"/>
  <c r="BH460" i="178"/>
  <c r="BI460" i="178"/>
  <c r="AZ460" i="178"/>
  <c r="BA460" i="178"/>
  <c r="AR460" i="178"/>
  <c r="AS460" i="178"/>
  <c r="BO459" i="178"/>
  <c r="BN459" i="178"/>
  <c r="BF459" i="178"/>
  <c r="BG459" i="178"/>
  <c r="AX459" i="178"/>
  <c r="AY459" i="178"/>
  <c r="BL444" i="178"/>
  <c r="BM444" i="178"/>
  <c r="BD444" i="178"/>
  <c r="BE444" i="178"/>
  <c r="AW444" i="178"/>
  <c r="AV444" i="178"/>
  <c r="BB443" i="178"/>
  <c r="BC443" i="178"/>
  <c r="AT443" i="178"/>
  <c r="AU443" i="178"/>
  <c r="BI441" i="178"/>
  <c r="BH441" i="178"/>
  <c r="BA441" i="178"/>
  <c r="AZ441" i="178"/>
  <c r="AS441" i="178"/>
  <c r="AR441" i="178"/>
  <c r="BN423" i="178"/>
  <c r="BO423" i="178"/>
  <c r="BG423" i="178"/>
  <c r="BF423" i="178"/>
  <c r="AX423" i="178"/>
  <c r="AY423" i="178"/>
  <c r="BL672" i="178"/>
  <c r="BM672" i="178"/>
  <c r="BD672" i="178"/>
  <c r="BE672" i="178"/>
  <c r="AV672" i="178"/>
  <c r="AW672" i="178"/>
  <c r="BB598" i="178"/>
  <c r="BC598" i="178"/>
  <c r="AT598" i="178"/>
  <c r="AU598" i="178"/>
  <c r="BI176" i="178"/>
  <c r="BH176" i="178"/>
  <c r="BA176" i="178"/>
  <c r="AZ176" i="178"/>
  <c r="AS176" i="178"/>
  <c r="AR176" i="178"/>
  <c r="BO1017" i="178"/>
  <c r="BN1017" i="178"/>
  <c r="BF1017" i="178"/>
  <c r="BG1017" i="178"/>
  <c r="AX1017" i="178"/>
  <c r="AY1017" i="178"/>
  <c r="BL591" i="178"/>
  <c r="BM591" i="178"/>
  <c r="BE591" i="178"/>
  <c r="BD591" i="178"/>
  <c r="AV591" i="178"/>
  <c r="AW591" i="178"/>
  <c r="BB171" i="178"/>
  <c r="BC171" i="178"/>
  <c r="AT171" i="178"/>
  <c r="AU171" i="178"/>
  <c r="BI590" i="178"/>
  <c r="BH590" i="178"/>
  <c r="BA590" i="178"/>
  <c r="AZ590" i="178"/>
  <c r="AS590" i="178"/>
  <c r="AR590" i="178"/>
  <c r="BN151" i="178"/>
  <c r="BO151" i="178"/>
  <c r="BF151" i="178"/>
  <c r="BG151" i="178"/>
  <c r="AY151" i="178"/>
  <c r="AX151" i="178"/>
  <c r="BL150" i="178"/>
  <c r="BM150" i="178"/>
  <c r="BD150" i="178"/>
  <c r="BE150" i="178"/>
  <c r="AV150" i="178"/>
  <c r="AW150" i="178"/>
  <c r="BB137" i="178"/>
  <c r="BC137" i="178"/>
  <c r="AT137" i="178"/>
  <c r="AU137" i="178"/>
  <c r="BI753" i="178"/>
  <c r="BH753" i="178"/>
  <c r="BA753" i="178"/>
  <c r="AZ753" i="178"/>
  <c r="AS753" i="178"/>
  <c r="AR753" i="178"/>
  <c r="BN552" i="178"/>
  <c r="BO552" i="178"/>
  <c r="BF552" i="178"/>
  <c r="BG552" i="178"/>
  <c r="AX552" i="178"/>
  <c r="AY552" i="178"/>
  <c r="BL551" i="178"/>
  <c r="BM551" i="178"/>
  <c r="BD551" i="178"/>
  <c r="BE551" i="178"/>
  <c r="AW551" i="178"/>
  <c r="AV551" i="178"/>
  <c r="BB79" i="178"/>
  <c r="BC79" i="178"/>
  <c r="AT79" i="178"/>
  <c r="AU79" i="178"/>
  <c r="BI78" i="178"/>
  <c r="BH78" i="178"/>
  <c r="BA78" i="178"/>
  <c r="AZ78" i="178"/>
  <c r="AS78" i="178"/>
  <c r="AR78" i="178"/>
  <c r="BL973" i="178"/>
  <c r="BM973" i="178"/>
  <c r="BD973" i="178"/>
  <c r="BE973" i="178"/>
  <c r="AV973" i="178"/>
  <c r="AW973" i="178"/>
  <c r="BB720" i="178"/>
  <c r="BC720" i="178"/>
  <c r="AT720" i="178"/>
  <c r="AU720" i="178"/>
  <c r="BI48" i="178"/>
  <c r="BH48" i="178"/>
  <c r="BA48" i="178"/>
  <c r="AZ48" i="178"/>
  <c r="AS48" i="178"/>
  <c r="AR48" i="178"/>
  <c r="BN972" i="178"/>
  <c r="BO972" i="178"/>
  <c r="BF972" i="178"/>
  <c r="BG972" i="178"/>
  <c r="AY972" i="178"/>
  <c r="AX972" i="178"/>
  <c r="V972" i="178"/>
  <c r="BL971" i="178"/>
  <c r="BM971" i="178"/>
  <c r="BD971" i="178"/>
  <c r="BE971" i="178"/>
  <c r="AV971" i="178"/>
  <c r="AW971" i="178"/>
  <c r="BB719" i="178"/>
  <c r="BC719" i="178"/>
  <c r="AT719" i="178"/>
  <c r="AU719" i="178"/>
  <c r="BH37" i="178"/>
  <c r="BI37" i="178"/>
  <c r="AZ37" i="178"/>
  <c r="BA37" i="178"/>
  <c r="AR37" i="178"/>
  <c r="AS37" i="178"/>
  <c r="BO970" i="178"/>
  <c r="BN970" i="178"/>
  <c r="BG970" i="178"/>
  <c r="BF970" i="178"/>
  <c r="AY970" i="178"/>
  <c r="AX970" i="178"/>
  <c r="V970" i="178"/>
  <c r="BL969" i="178"/>
  <c r="BM969" i="178"/>
  <c r="BD969" i="178"/>
  <c r="BE969" i="178"/>
  <c r="AW969" i="178"/>
  <c r="AV969" i="178"/>
  <c r="BC718" i="178"/>
  <c r="BB718" i="178"/>
  <c r="AT718" i="178"/>
  <c r="AU718" i="178"/>
  <c r="BB36" i="178"/>
  <c r="BC36" i="178"/>
  <c r="AU36" i="178"/>
  <c r="AT36" i="178"/>
  <c r="BH767" i="178"/>
  <c r="BI767" i="178"/>
  <c r="AZ767" i="178"/>
  <c r="BA767" i="178"/>
  <c r="AR767" i="178"/>
  <c r="AS767" i="178"/>
  <c r="BN717" i="178"/>
  <c r="BO717" i="178"/>
  <c r="BF717" i="178"/>
  <c r="BG717" i="178"/>
  <c r="AX717" i="178"/>
  <c r="AY717" i="178"/>
  <c r="BM933" i="178"/>
  <c r="BL933" i="178"/>
  <c r="BD933" i="178"/>
  <c r="BE933" i="178"/>
  <c r="AV933" i="178"/>
  <c r="AW933" i="178"/>
  <c r="BC558" i="178"/>
  <c r="BB558" i="178"/>
  <c r="AU558" i="178"/>
  <c r="AT558" i="178"/>
  <c r="BH930" i="178"/>
  <c r="BI930" i="178"/>
  <c r="AZ930" i="178"/>
  <c r="BA930" i="178"/>
  <c r="AS930" i="178"/>
  <c r="AR930" i="178"/>
  <c r="BN411" i="178"/>
  <c r="BO411" i="178"/>
  <c r="BG411" i="178"/>
  <c r="BF411" i="178"/>
  <c r="AX411" i="178"/>
  <c r="AY411" i="178"/>
  <c r="BO49" i="178"/>
  <c r="BN49" i="178"/>
  <c r="BF49" i="178"/>
  <c r="BG49" i="178"/>
  <c r="AX49" i="178"/>
  <c r="AY49" i="178"/>
  <c r="BO772" i="178"/>
  <c r="BN772" i="178"/>
  <c r="BF772" i="178"/>
  <c r="BG772" i="178"/>
  <c r="AX772" i="178"/>
  <c r="AY772" i="178"/>
  <c r="BN929" i="178"/>
  <c r="BO929" i="178"/>
  <c r="BF929" i="178"/>
  <c r="BG929" i="178"/>
  <c r="AX929" i="178"/>
  <c r="AY929" i="178"/>
  <c r="BN401" i="178"/>
  <c r="BO401" i="178"/>
  <c r="BF401" i="178"/>
  <c r="BG401" i="178"/>
  <c r="AY401" i="178"/>
  <c r="AX401" i="178"/>
  <c r="BN644" i="178"/>
  <c r="BO644" i="178"/>
  <c r="BG644" i="178"/>
  <c r="BF644" i="178"/>
  <c r="AY644" i="178"/>
  <c r="AX644" i="178"/>
  <c r="BO780" i="178"/>
  <c r="BN780" i="178"/>
  <c r="BF780" i="178"/>
  <c r="BG780" i="178"/>
  <c r="AX780" i="178"/>
  <c r="AY780" i="178"/>
  <c r="BN927" i="178"/>
  <c r="BO927" i="178"/>
  <c r="BF927" i="178"/>
  <c r="BG927" i="178"/>
  <c r="AY927" i="178"/>
  <c r="AX927" i="178"/>
  <c r="BN926" i="178"/>
  <c r="BO926" i="178"/>
  <c r="BF926" i="178"/>
  <c r="BG926" i="178"/>
  <c r="AX926" i="178"/>
  <c r="AY926" i="178"/>
  <c r="BN771" i="178"/>
  <c r="BO771" i="178"/>
  <c r="BG771" i="178"/>
  <c r="BF771" i="178"/>
  <c r="AY771" i="178"/>
  <c r="AX771" i="178"/>
  <c r="BO909" i="178"/>
  <c r="BN909" i="178"/>
  <c r="BF909" i="178"/>
  <c r="BG909" i="178"/>
  <c r="AX909" i="178"/>
  <c r="AY909" i="178"/>
  <c r="BN322" i="178"/>
  <c r="BO322" i="178"/>
  <c r="BF322" i="178"/>
  <c r="BG322" i="178"/>
  <c r="AX322" i="178"/>
  <c r="AY322" i="178"/>
  <c r="BN907" i="178"/>
  <c r="BO907" i="178"/>
  <c r="BG907" i="178"/>
  <c r="BF907" i="178"/>
  <c r="AX907" i="178"/>
  <c r="AY907" i="178"/>
  <c r="BO271" i="178"/>
  <c r="BN271" i="178"/>
  <c r="BG271" i="178"/>
  <c r="BF271" i="178"/>
  <c r="AY271" i="178"/>
  <c r="AX271" i="178"/>
  <c r="BB906" i="178"/>
  <c r="BC906" i="178"/>
  <c r="AU906" i="178"/>
  <c r="AT906" i="178"/>
  <c r="BM642" i="178"/>
  <c r="BL642" i="178"/>
  <c r="BD642" i="178"/>
  <c r="BE642" i="178"/>
  <c r="AV642" i="178"/>
  <c r="AW642" i="178"/>
  <c r="BC770" i="178"/>
  <c r="BB770" i="178"/>
  <c r="AU770" i="178"/>
  <c r="AT770" i="178"/>
  <c r="BM861" i="178"/>
  <c r="BL861" i="178"/>
  <c r="BD861" i="178"/>
  <c r="BE861" i="178"/>
  <c r="AV861" i="178"/>
  <c r="AW861" i="178"/>
  <c r="BC199" i="178"/>
  <c r="BB199" i="178"/>
  <c r="AU199" i="178"/>
  <c r="AT199" i="178"/>
  <c r="BM575" i="178"/>
  <c r="BL575" i="178"/>
  <c r="BD575" i="178"/>
  <c r="BE575" i="178"/>
  <c r="AV575" i="178"/>
  <c r="AW575" i="178"/>
  <c r="BC769" i="178"/>
  <c r="BB769" i="178"/>
  <c r="AU769" i="178"/>
  <c r="AT769" i="178"/>
  <c r="BL860" i="178"/>
  <c r="BM860" i="178"/>
  <c r="BD860" i="178"/>
  <c r="BE860" i="178"/>
  <c r="AW860" i="178"/>
  <c r="AV860" i="178"/>
  <c r="BB198" i="178"/>
  <c r="BC198" i="178"/>
  <c r="AT198" i="178"/>
  <c r="AU198" i="178"/>
  <c r="BM574" i="178"/>
  <c r="BL574" i="178"/>
  <c r="BD574" i="178"/>
  <c r="BE574" i="178"/>
  <c r="AV574" i="178"/>
  <c r="AW574" i="178"/>
  <c r="BB778" i="178"/>
  <c r="AT778" i="178"/>
  <c r="BL844" i="178"/>
  <c r="BM844" i="178"/>
  <c r="BD844" i="178"/>
  <c r="BE844" i="178"/>
  <c r="AV844" i="178"/>
  <c r="AW844" i="178"/>
  <c r="U844" i="178"/>
  <c r="BO777" i="178"/>
  <c r="BN777" i="178"/>
  <c r="BF777" i="178"/>
  <c r="BG777" i="178"/>
  <c r="AX777" i="178"/>
  <c r="AY777" i="178"/>
  <c r="BN843" i="178"/>
  <c r="BO843" i="178"/>
  <c r="BF843" i="178"/>
  <c r="BG843" i="178"/>
  <c r="AY843" i="178"/>
  <c r="AX843" i="178"/>
  <c r="BH806" i="178"/>
  <c r="BI806" i="178"/>
  <c r="AZ806" i="178"/>
  <c r="BA806" i="178"/>
  <c r="AR806" i="178"/>
  <c r="AS806" i="178"/>
  <c r="BH805" i="178"/>
  <c r="BI805" i="178"/>
  <c r="AZ805" i="178"/>
  <c r="BA805" i="178"/>
  <c r="AR805" i="178"/>
  <c r="AS805" i="178"/>
  <c r="BB804" i="178"/>
  <c r="BC804" i="178"/>
  <c r="AT804" i="178"/>
  <c r="AU804" i="178"/>
  <c r="BC790" i="178"/>
  <c r="BB790" i="178"/>
  <c r="AU790" i="178"/>
  <c r="AT790" i="178"/>
  <c r="U790" i="178"/>
  <c r="BN789" i="178"/>
  <c r="BF789" i="178"/>
  <c r="AX789" i="178"/>
  <c r="BI193" i="178"/>
  <c r="BH193" i="178"/>
  <c r="AZ193" i="178"/>
  <c r="BA193" i="178"/>
  <c r="AS193" i="178"/>
  <c r="AR193" i="178"/>
  <c r="BC608" i="178"/>
  <c r="BB608" i="178"/>
  <c r="AT608" i="178"/>
  <c r="AU608" i="178"/>
  <c r="BH612" i="178"/>
  <c r="BI612" i="178"/>
  <c r="BA612" i="178"/>
  <c r="AZ612" i="178"/>
  <c r="AS612" i="178"/>
  <c r="AR612" i="178"/>
  <c r="BN481" i="178"/>
  <c r="BO481" i="178"/>
  <c r="BF481" i="178"/>
  <c r="BG481" i="178"/>
  <c r="AY481" i="178"/>
  <c r="AX481" i="178"/>
  <c r="BH480" i="178"/>
  <c r="BI480" i="178"/>
  <c r="BA480" i="178"/>
  <c r="AZ480" i="178"/>
  <c r="AR480" i="178"/>
  <c r="AS480" i="178"/>
  <c r="BL600" i="178"/>
  <c r="BM600" i="178"/>
  <c r="BE600" i="178"/>
  <c r="BD600" i="178"/>
  <c r="AW600" i="178"/>
  <c r="AV600" i="178"/>
  <c r="BN479" i="178"/>
  <c r="BO479" i="178"/>
  <c r="BF479" i="178"/>
  <c r="BG479" i="178"/>
  <c r="AY479" i="178"/>
  <c r="AX479" i="178"/>
  <c r="BC442" i="178"/>
  <c r="BB442" i="178"/>
  <c r="AU442" i="178"/>
  <c r="AT442" i="178"/>
  <c r="BM439" i="178"/>
  <c r="BL439" i="178"/>
  <c r="BE439" i="178"/>
  <c r="BD439" i="178"/>
  <c r="AW439" i="178"/>
  <c r="AV439" i="178"/>
  <c r="BI438" i="178"/>
  <c r="BH438" i="178"/>
  <c r="BA438" i="178"/>
  <c r="AZ438" i="178"/>
  <c r="AS438" i="178"/>
  <c r="AR438" i="178"/>
  <c r="BB435" i="178"/>
  <c r="BC435" i="178"/>
  <c r="AU435" i="178"/>
  <c r="AT435" i="178"/>
  <c r="U435" i="178"/>
  <c r="BI183" i="178"/>
  <c r="BH183" i="178"/>
  <c r="AZ183" i="178"/>
  <c r="BA183" i="178"/>
  <c r="AS183" i="178"/>
  <c r="AR183" i="178"/>
  <c r="BL670" i="178"/>
  <c r="BM670" i="178"/>
  <c r="BE670" i="178"/>
  <c r="BD670" i="178"/>
  <c r="AW670" i="178"/>
  <c r="AV670" i="178"/>
  <c r="BN182" i="178"/>
  <c r="BO182" i="178"/>
  <c r="BG182" i="178"/>
  <c r="BF182" i="178"/>
  <c r="AX182" i="178"/>
  <c r="AY182" i="178"/>
  <c r="BC765" i="178"/>
  <c r="BB765" i="178"/>
  <c r="AU765" i="178"/>
  <c r="AT765" i="178"/>
  <c r="BL177" i="178"/>
  <c r="BM177" i="178"/>
  <c r="BE177" i="178"/>
  <c r="BD177" i="178"/>
  <c r="AW177" i="178"/>
  <c r="AV177" i="178"/>
  <c r="BI174" i="178"/>
  <c r="BH174" i="178"/>
  <c r="BA174" i="178"/>
  <c r="AZ174" i="178"/>
  <c r="AS174" i="178"/>
  <c r="AR174" i="178"/>
  <c r="BC584" i="178"/>
  <c r="BB584" i="178"/>
  <c r="AT584" i="178"/>
  <c r="AU584" i="178"/>
  <c r="BM947" i="178"/>
  <c r="BH947" i="178"/>
  <c r="BD947" i="178"/>
  <c r="AZ947" i="178"/>
  <c r="AV947" i="178"/>
  <c r="AR947" i="178"/>
  <c r="BL946" i="178"/>
  <c r="BG946" i="178"/>
  <c r="BC946" i="178"/>
  <c r="AY946" i="178"/>
  <c r="AU946" i="178"/>
  <c r="BO938" i="178"/>
  <c r="BF938" i="178"/>
  <c r="BB938" i="178"/>
  <c r="AX938" i="178"/>
  <c r="AT938" i="178"/>
  <c r="BN937" i="178"/>
  <c r="BI937" i="178"/>
  <c r="BE937" i="178"/>
  <c r="BA937" i="178"/>
  <c r="AW937" i="178"/>
  <c r="AS937" i="178"/>
  <c r="BM935" i="178"/>
  <c r="BH935" i="178"/>
  <c r="BD935" i="178"/>
  <c r="AZ935" i="178"/>
  <c r="AV935" i="178"/>
  <c r="AR935" i="178"/>
  <c r="BL934" i="178"/>
  <c r="BG934" i="178"/>
  <c r="BC934" i="178"/>
  <c r="AY934" i="178"/>
  <c r="AU934" i="178"/>
  <c r="BO931" i="178"/>
  <c r="U847" i="178"/>
  <c r="U683" i="178"/>
  <c r="U578" i="178"/>
  <c r="U1028" i="178"/>
  <c r="U1023" i="178"/>
  <c r="U622" i="178"/>
  <c r="V348" i="178"/>
  <c r="V346" i="178"/>
  <c r="BD931" i="178"/>
  <c r="BE931" i="178"/>
  <c r="AV931" i="178"/>
  <c r="AW931" i="178"/>
  <c r="BB33" i="178"/>
  <c r="BC33" i="178"/>
  <c r="AT33" i="178"/>
  <c r="AU33" i="178"/>
  <c r="BH623" i="178"/>
  <c r="BI623" i="178"/>
  <c r="AZ623" i="178"/>
  <c r="BA623" i="178"/>
  <c r="AR623" i="178"/>
  <c r="AS623" i="178"/>
  <c r="BN32" i="178"/>
  <c r="BO32" i="178"/>
  <c r="BG32" i="178"/>
  <c r="BF32" i="178"/>
  <c r="AY32" i="178"/>
  <c r="AX32" i="178"/>
  <c r="BL557" i="178"/>
  <c r="BM557" i="178"/>
  <c r="BD557" i="178"/>
  <c r="BE557" i="178"/>
  <c r="AV557" i="178"/>
  <c r="AW557" i="178"/>
  <c r="BB645" i="178"/>
  <c r="BC645" i="178"/>
  <c r="AT645" i="178"/>
  <c r="AU645" i="178"/>
  <c r="BH400" i="178"/>
  <c r="BI400" i="178"/>
  <c r="AZ400" i="178"/>
  <c r="BA400" i="178"/>
  <c r="AR400" i="178"/>
  <c r="AS400" i="178"/>
  <c r="BN31" i="178"/>
  <c r="BO31" i="178"/>
  <c r="BG31" i="178"/>
  <c r="BF31" i="178"/>
  <c r="AY31" i="178"/>
  <c r="AX31" i="178"/>
  <c r="V31" i="178"/>
  <c r="BO399" i="178"/>
  <c r="BN399" i="178"/>
  <c r="BF399" i="178"/>
  <c r="BG399" i="178"/>
  <c r="AX399" i="178"/>
  <c r="AY399" i="178"/>
  <c r="V399" i="178"/>
  <c r="BN897" i="178"/>
  <c r="BO897" i="178"/>
  <c r="BG897" i="178"/>
  <c r="BF897" i="178"/>
  <c r="AY897" i="178"/>
  <c r="AX897" i="178"/>
  <c r="V897" i="178"/>
  <c r="BN896" i="178"/>
  <c r="BO896" i="178"/>
  <c r="BF896" i="178"/>
  <c r="BG896" i="178"/>
  <c r="AX896" i="178"/>
  <c r="AY896" i="178"/>
  <c r="V896" i="178"/>
  <c r="BC895" i="178"/>
  <c r="BB895" i="178"/>
  <c r="AU895" i="178"/>
  <c r="AT895" i="178"/>
  <c r="BB894" i="178"/>
  <c r="BC894" i="178"/>
  <c r="AT894" i="178"/>
  <c r="AU894" i="178"/>
  <c r="BL892" i="178"/>
  <c r="BM892" i="178"/>
  <c r="BE892" i="178"/>
  <c r="BD892" i="178"/>
  <c r="AW892" i="178"/>
  <c r="AV892" i="178"/>
  <c r="BM887" i="178"/>
  <c r="BL887" i="178"/>
  <c r="BD887" i="178"/>
  <c r="BE887" i="178"/>
  <c r="AV887" i="178"/>
  <c r="AW887" i="178"/>
  <c r="BC886" i="178"/>
  <c r="BB886" i="178"/>
  <c r="AU886" i="178"/>
  <c r="AT886" i="178"/>
  <c r="BN885" i="178"/>
  <c r="BO885" i="178"/>
  <c r="BF885" i="178"/>
  <c r="BG885" i="178"/>
  <c r="AX885" i="178"/>
  <c r="AY885" i="178"/>
  <c r="BN875" i="178"/>
  <c r="BF875" i="178"/>
  <c r="AX875" i="178"/>
  <c r="BB872" i="178"/>
  <c r="AT872" i="178"/>
  <c r="BH871" i="178"/>
  <c r="AZ871" i="178"/>
  <c r="AR871" i="178"/>
  <c r="BN868" i="178"/>
  <c r="BF868" i="178"/>
  <c r="AX868" i="178"/>
  <c r="BL867" i="178"/>
  <c r="BD867" i="178"/>
  <c r="AV867" i="178"/>
  <c r="BB866" i="178"/>
  <c r="AT866" i="178"/>
  <c r="BH865" i="178"/>
  <c r="AZ865" i="178"/>
  <c r="AR865" i="178"/>
  <c r="BN864" i="178"/>
  <c r="BF864" i="178"/>
  <c r="AX864" i="178"/>
  <c r="BL863" i="178"/>
  <c r="BD863" i="178"/>
  <c r="AV863" i="178"/>
  <c r="BB200" i="178"/>
  <c r="AT200" i="178"/>
  <c r="BH827" i="178"/>
  <c r="AZ827" i="178"/>
  <c r="AR827" i="178"/>
  <c r="BN859" i="178"/>
  <c r="BF859" i="178"/>
  <c r="AX859" i="178"/>
  <c r="BB619" i="178"/>
  <c r="AT619" i="178"/>
  <c r="BN858" i="178"/>
  <c r="BF858" i="178"/>
  <c r="AX858" i="178"/>
  <c r="BL826" i="178"/>
  <c r="BD826" i="178"/>
  <c r="AV826" i="178"/>
  <c r="BB431" i="178"/>
  <c r="AT431" i="178"/>
  <c r="BH857" i="178"/>
  <c r="AZ857" i="178"/>
  <c r="AR857" i="178"/>
  <c r="BL618" i="178"/>
  <c r="BD618" i="178"/>
  <c r="AV618" i="178"/>
  <c r="BB197" i="178"/>
  <c r="BC197" i="178"/>
  <c r="AT197" i="178"/>
  <c r="AU197" i="178"/>
  <c r="BH945" i="178"/>
  <c r="BI945" i="178"/>
  <c r="AZ945" i="178"/>
  <c r="BA945" i="178"/>
  <c r="AR945" i="178"/>
  <c r="AS945" i="178"/>
  <c r="BO803" i="178"/>
  <c r="BN803" i="178"/>
  <c r="BF803" i="178"/>
  <c r="BG803" i="178"/>
  <c r="AX803" i="178"/>
  <c r="AY803" i="178"/>
  <c r="BN801" i="178"/>
  <c r="BF801" i="178"/>
  <c r="AX801" i="178"/>
  <c r="BB616" i="178"/>
  <c r="AT616" i="178"/>
  <c r="BB795" i="178"/>
  <c r="AT795" i="178"/>
  <c r="BB788" i="178"/>
  <c r="AT788" i="178"/>
  <c r="BB787" i="178"/>
  <c r="AT787" i="178"/>
  <c r="BC773" i="178"/>
  <c r="BB773" i="178"/>
  <c r="AU773" i="178"/>
  <c r="AT773" i="178"/>
  <c r="BL611" i="178"/>
  <c r="BD611" i="178"/>
  <c r="AV611" i="178"/>
  <c r="BN190" i="178"/>
  <c r="BF190" i="178"/>
  <c r="AX190" i="178"/>
  <c r="BH424" i="178"/>
  <c r="AZ424" i="178"/>
  <c r="AR424" i="178"/>
  <c r="BB610" i="178"/>
  <c r="AT610" i="178"/>
  <c r="BL609" i="178"/>
  <c r="BM609" i="178"/>
  <c r="BD609" i="178"/>
  <c r="BE609" i="178"/>
  <c r="AV609" i="178"/>
  <c r="AW609" i="178"/>
  <c r="BC673" i="178"/>
  <c r="BB673" i="178"/>
  <c r="AU673" i="178"/>
  <c r="AT673" i="178"/>
  <c r="BH605" i="178"/>
  <c r="BI605" i="178"/>
  <c r="AZ605" i="178"/>
  <c r="BA605" i="178"/>
  <c r="AR605" i="178"/>
  <c r="AS605" i="178"/>
  <c r="BN189" i="178"/>
  <c r="BO189" i="178"/>
  <c r="BG189" i="178"/>
  <c r="BF189" i="178"/>
  <c r="AY189" i="178"/>
  <c r="AX189" i="178"/>
  <c r="BL729" i="178"/>
  <c r="BM729" i="178"/>
  <c r="BD729" i="178"/>
  <c r="BE729" i="178"/>
  <c r="AV729" i="178"/>
  <c r="AW729" i="178"/>
  <c r="BB604" i="178"/>
  <c r="BC604" i="178"/>
  <c r="AT604" i="178"/>
  <c r="AU604" i="178"/>
  <c r="BH607" i="178"/>
  <c r="BI607" i="178"/>
  <c r="AZ607" i="178"/>
  <c r="BA607" i="178"/>
  <c r="AR607" i="178"/>
  <c r="AS607" i="178"/>
  <c r="BN603" i="178"/>
  <c r="BO603" i="178"/>
  <c r="BG603" i="178"/>
  <c r="BF603" i="178"/>
  <c r="AY603" i="178"/>
  <c r="AX603" i="178"/>
  <c r="BL498" i="178"/>
  <c r="BM498" i="178"/>
  <c r="BD498" i="178"/>
  <c r="BE498" i="178"/>
  <c r="AV498" i="178"/>
  <c r="AW498" i="178"/>
  <c r="BB473" i="178"/>
  <c r="BC473" i="178"/>
  <c r="AT473" i="178"/>
  <c r="AU473" i="178"/>
  <c r="BH461" i="178"/>
  <c r="BI461" i="178"/>
  <c r="AZ461" i="178"/>
  <c r="BA461" i="178"/>
  <c r="AR461" i="178"/>
  <c r="AS461" i="178"/>
  <c r="BN460" i="178"/>
  <c r="BO460" i="178"/>
  <c r="BG460" i="178"/>
  <c r="BF460" i="178"/>
  <c r="AY460" i="178"/>
  <c r="AX460" i="178"/>
  <c r="BL459" i="178"/>
  <c r="BM459" i="178"/>
  <c r="BD459" i="178"/>
  <c r="BE459" i="178"/>
  <c r="AV459" i="178"/>
  <c r="AW459" i="178"/>
  <c r="BC444" i="178"/>
  <c r="BB444" i="178"/>
  <c r="AU444" i="178"/>
  <c r="AT444" i="178"/>
  <c r="BI443" i="178"/>
  <c r="BH443" i="178"/>
  <c r="AZ443" i="178"/>
  <c r="BA443" i="178"/>
  <c r="AS443" i="178"/>
  <c r="AR443" i="178"/>
  <c r="BN441" i="178"/>
  <c r="BO441" i="178"/>
  <c r="BF441" i="178"/>
  <c r="BG441" i="178"/>
  <c r="AX441" i="178"/>
  <c r="AY441" i="178"/>
  <c r="BM423" i="178"/>
  <c r="BL423" i="178"/>
  <c r="BD423" i="178"/>
  <c r="BE423" i="178"/>
  <c r="AV423" i="178"/>
  <c r="AW423" i="178"/>
  <c r="BC672" i="178"/>
  <c r="BB672" i="178"/>
  <c r="AU672" i="178"/>
  <c r="AT672" i="178"/>
  <c r="BH598" i="178"/>
  <c r="BI598" i="178"/>
  <c r="AZ598" i="178"/>
  <c r="BA598" i="178"/>
  <c r="AR598" i="178"/>
  <c r="AS598" i="178"/>
  <c r="BN176" i="178"/>
  <c r="BO176" i="178"/>
  <c r="BG176" i="178"/>
  <c r="BF176" i="178"/>
  <c r="AX176" i="178"/>
  <c r="AY176" i="178"/>
  <c r="BM1017" i="178"/>
  <c r="BL1017" i="178"/>
  <c r="BD1017" i="178"/>
  <c r="BE1017" i="178"/>
  <c r="AV1017" i="178"/>
  <c r="AW1017" i="178"/>
  <c r="BC591" i="178"/>
  <c r="BB591" i="178"/>
  <c r="AU591" i="178"/>
  <c r="AT591" i="178"/>
  <c r="BH171" i="178"/>
  <c r="BI171" i="178"/>
  <c r="BA171" i="178"/>
  <c r="AZ171" i="178"/>
  <c r="AR171" i="178"/>
  <c r="AS171" i="178"/>
  <c r="BN590" i="178"/>
  <c r="BO590" i="178"/>
  <c r="BF590" i="178"/>
  <c r="BG590" i="178"/>
  <c r="AX590" i="178"/>
  <c r="AY590" i="178"/>
  <c r="BM151" i="178"/>
  <c r="BL151" i="178"/>
  <c r="BD151" i="178"/>
  <c r="BE151" i="178"/>
  <c r="AV151" i="178"/>
  <c r="AW151" i="178"/>
  <c r="BC150" i="178"/>
  <c r="BB150" i="178"/>
  <c r="AU150" i="178"/>
  <c r="AT150" i="178"/>
  <c r="BH137" i="178"/>
  <c r="BI137" i="178"/>
  <c r="AZ137" i="178"/>
  <c r="BA137" i="178"/>
  <c r="AR137" i="178"/>
  <c r="AS137" i="178"/>
  <c r="BN753" i="178"/>
  <c r="BO753" i="178"/>
  <c r="BF753" i="178"/>
  <c r="BG753" i="178"/>
  <c r="AY753" i="178"/>
  <c r="AX753" i="178"/>
  <c r="BM552" i="178"/>
  <c r="BL552" i="178"/>
  <c r="BD552" i="178"/>
  <c r="BE552" i="178"/>
  <c r="AV552" i="178"/>
  <c r="AW552" i="178"/>
  <c r="BC551" i="178"/>
  <c r="BB551" i="178"/>
  <c r="AU551" i="178"/>
  <c r="AT551" i="178"/>
  <c r="BI79" i="178"/>
  <c r="BH79" i="178"/>
  <c r="AZ79" i="178"/>
  <c r="BA79" i="178"/>
  <c r="AS79" i="178"/>
  <c r="AR79" i="178"/>
  <c r="BN78" i="178"/>
  <c r="BO78" i="178"/>
  <c r="BF78" i="178"/>
  <c r="BG78" i="178"/>
  <c r="AX78" i="178"/>
  <c r="AY78" i="178"/>
  <c r="BC973" i="178"/>
  <c r="BB973" i="178"/>
  <c r="AU973" i="178"/>
  <c r="AT973" i="178"/>
  <c r="BH720" i="178"/>
  <c r="BI720" i="178"/>
  <c r="BA720" i="178"/>
  <c r="AZ720" i="178"/>
  <c r="AR720" i="178"/>
  <c r="AS720" i="178"/>
  <c r="BN48" i="178"/>
  <c r="BO48" i="178"/>
  <c r="BF48" i="178"/>
  <c r="BG48" i="178"/>
  <c r="AX48" i="178"/>
  <c r="AY48" i="178"/>
  <c r="BM972" i="178"/>
  <c r="BL972" i="178"/>
  <c r="BD972" i="178"/>
  <c r="BE972" i="178"/>
  <c r="AV972" i="178"/>
  <c r="AW972" i="178"/>
  <c r="BC971" i="178"/>
  <c r="BB971" i="178"/>
  <c r="AU971" i="178"/>
  <c r="AT971" i="178"/>
  <c r="BH719" i="178"/>
  <c r="BI719" i="178"/>
  <c r="AZ719" i="178"/>
  <c r="BA719" i="178"/>
  <c r="AS719" i="178"/>
  <c r="AR719" i="178"/>
  <c r="BN37" i="178"/>
  <c r="BO37" i="178"/>
  <c r="BF37" i="178"/>
  <c r="BG37" i="178"/>
  <c r="AY37" i="178"/>
  <c r="AX37" i="178"/>
  <c r="BL970" i="178"/>
  <c r="BM970" i="178"/>
  <c r="BD970" i="178"/>
  <c r="BE970" i="178"/>
  <c r="AV970" i="178"/>
  <c r="AW970" i="178"/>
  <c r="BB969" i="178"/>
  <c r="BC969" i="178"/>
  <c r="AT969" i="178"/>
  <c r="AU969" i="178"/>
  <c r="BI718" i="178"/>
  <c r="BH718" i="178"/>
  <c r="BA718" i="178"/>
  <c r="AZ718" i="178"/>
  <c r="AS718" i="178"/>
  <c r="AR718" i="178"/>
  <c r="BH36" i="178"/>
  <c r="BI36" i="178"/>
  <c r="AZ36" i="178"/>
  <c r="BA36" i="178"/>
  <c r="AR36" i="178"/>
  <c r="AS36" i="178"/>
  <c r="BN767" i="178"/>
  <c r="BO767" i="178"/>
  <c r="BG767" i="178"/>
  <c r="BF767" i="178"/>
  <c r="AY767" i="178"/>
  <c r="AX767" i="178"/>
  <c r="BL717" i="178"/>
  <c r="BM717" i="178"/>
  <c r="BE717" i="178"/>
  <c r="BD717" i="178"/>
  <c r="AW717" i="178"/>
  <c r="AV717" i="178"/>
  <c r="BB933" i="178"/>
  <c r="BC933" i="178"/>
  <c r="AT933" i="178"/>
  <c r="AU933" i="178"/>
  <c r="BI558" i="178"/>
  <c r="BH558" i="178"/>
  <c r="AZ558" i="178"/>
  <c r="BA558" i="178"/>
  <c r="AS558" i="178"/>
  <c r="AR558" i="178"/>
  <c r="BO930" i="178"/>
  <c r="BN930" i="178"/>
  <c r="BF930" i="178"/>
  <c r="BG930" i="178"/>
  <c r="AX930" i="178"/>
  <c r="AY930" i="178"/>
  <c r="BM411" i="178"/>
  <c r="BL411" i="178"/>
  <c r="BE411" i="178"/>
  <c r="BD411" i="178"/>
  <c r="AW411" i="178"/>
  <c r="AV411" i="178"/>
  <c r="BM49" i="178"/>
  <c r="BL49" i="178"/>
  <c r="BD49" i="178"/>
  <c r="BE49" i="178"/>
  <c r="AV49" i="178"/>
  <c r="AW49" i="178"/>
  <c r="BM772" i="178"/>
  <c r="BL772" i="178"/>
  <c r="BD772" i="178"/>
  <c r="BE772" i="178"/>
  <c r="AV772" i="178"/>
  <c r="AW772" i="178"/>
  <c r="BL929" i="178"/>
  <c r="BM929" i="178"/>
  <c r="BE929" i="178"/>
  <c r="BD929" i="178"/>
  <c r="AW929" i="178"/>
  <c r="AV929" i="178"/>
  <c r="BM401" i="178"/>
  <c r="BL401" i="178"/>
  <c r="BD401" i="178"/>
  <c r="BE401" i="178"/>
  <c r="AV401" i="178"/>
  <c r="AW401" i="178"/>
  <c r="BL644" i="178"/>
  <c r="BM644" i="178"/>
  <c r="BE644" i="178"/>
  <c r="BD644" i="178"/>
  <c r="AV644" i="178"/>
  <c r="AW644" i="178"/>
  <c r="BL780" i="178"/>
  <c r="BM780" i="178"/>
  <c r="BD780" i="178"/>
  <c r="BE780" i="178"/>
  <c r="AW780" i="178"/>
  <c r="AV780" i="178"/>
  <c r="BL927" i="178"/>
  <c r="BM927" i="178"/>
  <c r="BE927" i="178"/>
  <c r="BD927" i="178"/>
  <c r="AW927" i="178"/>
  <c r="AV927" i="178"/>
  <c r="BM926" i="178"/>
  <c r="BL926" i="178"/>
  <c r="BD926" i="178"/>
  <c r="BE926" i="178"/>
  <c r="AV926" i="178"/>
  <c r="AW926" i="178"/>
  <c r="BL771" i="178"/>
  <c r="BM771" i="178"/>
  <c r="BD771" i="178"/>
  <c r="BE771" i="178"/>
  <c r="AW771" i="178"/>
  <c r="AV771" i="178"/>
  <c r="BL909" i="178"/>
  <c r="BM909" i="178"/>
  <c r="BD909" i="178"/>
  <c r="BE909" i="178"/>
  <c r="AV909" i="178"/>
  <c r="AW909" i="178"/>
  <c r="BL322" i="178"/>
  <c r="BM322" i="178"/>
  <c r="BE322" i="178"/>
  <c r="BD322" i="178"/>
  <c r="AW322" i="178"/>
  <c r="AV322" i="178"/>
  <c r="BM907" i="178"/>
  <c r="BL907" i="178"/>
  <c r="BD907" i="178"/>
  <c r="BE907" i="178"/>
  <c r="AV907" i="178"/>
  <c r="AW907" i="178"/>
  <c r="BL271" i="178"/>
  <c r="BM271" i="178"/>
  <c r="BD271" i="178"/>
  <c r="BE271" i="178"/>
  <c r="AV271" i="178"/>
  <c r="AW271" i="178"/>
  <c r="BI906" i="178"/>
  <c r="BH906" i="178"/>
  <c r="BA906" i="178"/>
  <c r="AZ906" i="178"/>
  <c r="AS906" i="178"/>
  <c r="AR906" i="178"/>
  <c r="BC642" i="178"/>
  <c r="BB642" i="178"/>
  <c r="AT642" i="178"/>
  <c r="AU642" i="178"/>
  <c r="BH770" i="178"/>
  <c r="BI770" i="178"/>
  <c r="AZ770" i="178"/>
  <c r="BA770" i="178"/>
  <c r="AR770" i="178"/>
  <c r="AS770" i="178"/>
  <c r="BB861" i="178"/>
  <c r="BC861" i="178"/>
  <c r="AT861" i="178"/>
  <c r="AU861" i="178"/>
  <c r="BI199" i="178"/>
  <c r="BH199" i="178"/>
  <c r="BA199" i="178"/>
  <c r="AZ199" i="178"/>
  <c r="AS199" i="178"/>
  <c r="AR199" i="178"/>
  <c r="BC575" i="178"/>
  <c r="BB575" i="178"/>
  <c r="AT575" i="178"/>
  <c r="AU575" i="178"/>
  <c r="BH769" i="178"/>
  <c r="BI769" i="178"/>
  <c r="BA769" i="178"/>
  <c r="AZ769" i="178"/>
  <c r="AR769" i="178"/>
  <c r="AS769" i="178"/>
  <c r="BB860" i="178"/>
  <c r="BC860" i="178"/>
  <c r="AT860" i="178"/>
  <c r="AU860" i="178"/>
  <c r="BI198" i="178"/>
  <c r="BH198" i="178"/>
  <c r="BA198" i="178"/>
  <c r="AZ198" i="178"/>
  <c r="AS198" i="178"/>
  <c r="AR198" i="178"/>
  <c r="BC574" i="178"/>
  <c r="BB574" i="178"/>
  <c r="AT574" i="178"/>
  <c r="AU574" i="178"/>
  <c r="BH778" i="178"/>
  <c r="AZ778" i="178"/>
  <c r="AR778" i="178"/>
  <c r="BC844" i="178"/>
  <c r="BB844" i="178"/>
  <c r="AU844" i="178"/>
  <c r="AT844" i="178"/>
  <c r="BL777" i="178"/>
  <c r="BM777" i="178"/>
  <c r="BD777" i="178"/>
  <c r="BE777" i="178"/>
  <c r="AW777" i="178"/>
  <c r="AV777" i="178"/>
  <c r="BL843" i="178"/>
  <c r="BM843" i="178"/>
  <c r="BE843" i="178"/>
  <c r="BD843" i="178"/>
  <c r="AW843" i="178"/>
  <c r="AV843" i="178"/>
  <c r="U843" i="178"/>
  <c r="BN806" i="178"/>
  <c r="BO806" i="178"/>
  <c r="BF806" i="178"/>
  <c r="BG806" i="178"/>
  <c r="AX806" i="178"/>
  <c r="AY806" i="178"/>
  <c r="BN805" i="178"/>
  <c r="BO805" i="178"/>
  <c r="BG805" i="178"/>
  <c r="BF805" i="178"/>
  <c r="AY805" i="178"/>
  <c r="AX805" i="178"/>
  <c r="BI804" i="178"/>
  <c r="BH804" i="178"/>
  <c r="BA804" i="178"/>
  <c r="AZ804" i="178"/>
  <c r="AS804" i="178"/>
  <c r="AR804" i="178"/>
  <c r="BI790" i="178"/>
  <c r="BH790" i="178"/>
  <c r="BA790" i="178"/>
  <c r="AZ790" i="178"/>
  <c r="AS790" i="178"/>
  <c r="AR790" i="178"/>
  <c r="BL789" i="178"/>
  <c r="BD789" i="178"/>
  <c r="AV789" i="178"/>
  <c r="U789" i="178"/>
  <c r="BO193" i="178"/>
  <c r="BN193" i="178"/>
  <c r="BG193" i="178"/>
  <c r="BF193" i="178"/>
  <c r="AY193" i="178"/>
  <c r="AX193" i="178"/>
  <c r="BH608" i="178"/>
  <c r="BI608" i="178"/>
  <c r="AZ608" i="178"/>
  <c r="BA608" i="178"/>
  <c r="AR608" i="178"/>
  <c r="AS608" i="178"/>
  <c r="BO612" i="178"/>
  <c r="BN612" i="178"/>
  <c r="BF612" i="178"/>
  <c r="BG612" i="178"/>
  <c r="AX612" i="178"/>
  <c r="AY612" i="178"/>
  <c r="BM481" i="178"/>
  <c r="BL481" i="178"/>
  <c r="BD481" i="178"/>
  <c r="BE481" i="178"/>
  <c r="AV481" i="178"/>
  <c r="AW481" i="178"/>
  <c r="U481" i="178"/>
  <c r="BN480" i="178"/>
  <c r="BO480" i="178"/>
  <c r="BF480" i="178"/>
  <c r="BG480" i="178"/>
  <c r="AX480" i="178"/>
  <c r="AY480" i="178"/>
  <c r="BC600" i="178"/>
  <c r="BB600" i="178"/>
  <c r="AT600" i="178"/>
  <c r="AU600" i="178"/>
  <c r="BM479" i="178"/>
  <c r="BL479" i="178"/>
  <c r="BD479" i="178"/>
  <c r="BE479" i="178"/>
  <c r="AV479" i="178"/>
  <c r="AW479" i="178"/>
  <c r="BH442" i="178"/>
  <c r="BI442" i="178"/>
  <c r="BA442" i="178"/>
  <c r="AZ442" i="178"/>
  <c r="AR442" i="178"/>
  <c r="AS442" i="178"/>
  <c r="BB439" i="178"/>
  <c r="BC439" i="178"/>
  <c r="AT439" i="178"/>
  <c r="AU439" i="178"/>
  <c r="U439" i="178"/>
  <c r="BN438" i="178"/>
  <c r="BO438" i="178"/>
  <c r="BG438" i="178"/>
  <c r="BF438" i="178"/>
  <c r="AY438" i="178"/>
  <c r="AX438" i="178"/>
  <c r="BH435" i="178"/>
  <c r="BI435" i="178"/>
  <c r="AZ435" i="178"/>
  <c r="BA435" i="178"/>
  <c r="AR435" i="178"/>
  <c r="AS435" i="178"/>
  <c r="BO183" i="178"/>
  <c r="BN183" i="178"/>
  <c r="BF183" i="178"/>
  <c r="BG183" i="178"/>
  <c r="AX183" i="178"/>
  <c r="AY183" i="178"/>
  <c r="BC670" i="178"/>
  <c r="BB670" i="178"/>
  <c r="AU670" i="178"/>
  <c r="AT670" i="178"/>
  <c r="BM182" i="178"/>
  <c r="BL182" i="178"/>
  <c r="BD182" i="178"/>
  <c r="BE182" i="178"/>
  <c r="AV182" i="178"/>
  <c r="AW182" i="178"/>
  <c r="BI765" i="178"/>
  <c r="BH765" i="178"/>
  <c r="BA765" i="178"/>
  <c r="AZ765" i="178"/>
  <c r="AS765" i="178"/>
  <c r="AR765" i="178"/>
  <c r="BB177" i="178"/>
  <c r="BC177" i="178"/>
  <c r="AT177" i="178"/>
  <c r="AU177" i="178"/>
  <c r="U177" i="178"/>
  <c r="BN174" i="178"/>
  <c r="BO174" i="178"/>
  <c r="BG174" i="178"/>
  <c r="BF174" i="178"/>
  <c r="AY174" i="178"/>
  <c r="AX174" i="178"/>
  <c r="BH584" i="178"/>
  <c r="BI584" i="178"/>
  <c r="AZ584" i="178"/>
  <c r="BA584" i="178"/>
  <c r="AR584" i="178"/>
  <c r="AS584" i="178"/>
  <c r="BG947" i="178"/>
  <c r="BC947" i="178"/>
  <c r="AY947" i="178"/>
  <c r="AU947" i="178"/>
  <c r="BO946" i="178"/>
  <c r="BI938" i="178"/>
  <c r="BE938" i="178"/>
  <c r="BA938" i="178"/>
  <c r="AW938" i="178"/>
  <c r="AS938" i="178"/>
  <c r="BM937" i="178"/>
  <c r="BG935" i="178"/>
  <c r="BC935" i="178"/>
  <c r="AY935" i="178"/>
  <c r="AU935" i="178"/>
  <c r="BO934" i="178"/>
  <c r="U710" i="178"/>
  <c r="U614" i="178"/>
  <c r="U637" i="178"/>
  <c r="U188" i="178"/>
  <c r="BE733" i="178"/>
  <c r="U484" i="178"/>
  <c r="U318" i="178"/>
  <c r="U468" i="178"/>
  <c r="V261" i="178"/>
  <c r="V260" i="178"/>
  <c r="V259" i="178"/>
  <c r="V588" i="178"/>
  <c r="U117" i="178"/>
  <c r="V216" i="178"/>
  <c r="V208" i="178"/>
  <c r="V307" i="178"/>
  <c r="V220" i="178"/>
  <c r="V757" i="178"/>
  <c r="V541" i="178"/>
  <c r="V288" i="178"/>
  <c r="U25" i="178"/>
  <c r="U19" i="178"/>
  <c r="U13" i="178"/>
  <c r="U9" i="178"/>
  <c r="U8" i="178"/>
  <c r="U2" i="178"/>
  <c r="U659" i="178"/>
  <c r="AR305" i="178"/>
  <c r="V947" i="178"/>
  <c r="V935" i="178"/>
  <c r="BB931" i="178"/>
  <c r="BC931" i="178"/>
  <c r="AT931" i="178"/>
  <c r="AU931" i="178"/>
  <c r="BI33" i="178"/>
  <c r="BH33" i="178"/>
  <c r="BA33" i="178"/>
  <c r="AZ33" i="178"/>
  <c r="AS33" i="178"/>
  <c r="AR33" i="178"/>
  <c r="BN623" i="178"/>
  <c r="BO623" i="178"/>
  <c r="BF623" i="178"/>
  <c r="BG623" i="178"/>
  <c r="AX623" i="178"/>
  <c r="AY623" i="178"/>
  <c r="V623" i="178"/>
  <c r="BL32" i="178"/>
  <c r="BM32" i="178"/>
  <c r="BD32" i="178"/>
  <c r="BE32" i="178"/>
  <c r="AV32" i="178"/>
  <c r="AW32" i="178"/>
  <c r="BB557" i="178"/>
  <c r="BC557" i="178"/>
  <c r="AT557" i="178"/>
  <c r="AU557" i="178"/>
  <c r="BI645" i="178"/>
  <c r="BH645" i="178"/>
  <c r="BA645" i="178"/>
  <c r="AZ645" i="178"/>
  <c r="AS645" i="178"/>
  <c r="AR645" i="178"/>
  <c r="BN400" i="178"/>
  <c r="BO400" i="178"/>
  <c r="BF400" i="178"/>
  <c r="BG400" i="178"/>
  <c r="AX400" i="178"/>
  <c r="AY400" i="178"/>
  <c r="V400" i="178"/>
  <c r="BL31" i="178"/>
  <c r="BM31" i="178"/>
  <c r="BD31" i="178"/>
  <c r="BE31" i="178"/>
  <c r="AV31" i="178"/>
  <c r="AW31" i="178"/>
  <c r="BL399" i="178"/>
  <c r="BM399" i="178"/>
  <c r="BD399" i="178"/>
  <c r="BE399" i="178"/>
  <c r="AV399" i="178"/>
  <c r="AW399" i="178"/>
  <c r="BL897" i="178"/>
  <c r="BM897" i="178"/>
  <c r="BD897" i="178"/>
  <c r="BE897" i="178"/>
  <c r="AV897" i="178"/>
  <c r="AW897" i="178"/>
  <c r="BL896" i="178"/>
  <c r="BM896" i="178"/>
  <c r="BE896" i="178"/>
  <c r="BD896" i="178"/>
  <c r="AW896" i="178"/>
  <c r="AV896" i="178"/>
  <c r="BH895" i="178"/>
  <c r="BI895" i="178"/>
  <c r="AZ895" i="178"/>
  <c r="BA895" i="178"/>
  <c r="AR895" i="178"/>
  <c r="AS895" i="178"/>
  <c r="BH894" i="178"/>
  <c r="BI894" i="178"/>
  <c r="AZ894" i="178"/>
  <c r="BA894" i="178"/>
  <c r="AR894" i="178"/>
  <c r="AS894" i="178"/>
  <c r="BB892" i="178"/>
  <c r="BC892" i="178"/>
  <c r="AT892" i="178"/>
  <c r="AU892" i="178"/>
  <c r="BB887" i="178"/>
  <c r="BC887" i="178"/>
  <c r="AT887" i="178"/>
  <c r="AU887" i="178"/>
  <c r="BH886" i="178"/>
  <c r="BI886" i="178"/>
  <c r="AZ886" i="178"/>
  <c r="BA886" i="178"/>
  <c r="AR886" i="178"/>
  <c r="AS886" i="178"/>
  <c r="BL885" i="178"/>
  <c r="BM885" i="178"/>
  <c r="BE885" i="178"/>
  <c r="BD885" i="178"/>
  <c r="AW885" i="178"/>
  <c r="AV885" i="178"/>
  <c r="V885" i="178"/>
  <c r="BL875" i="178"/>
  <c r="BD875" i="178"/>
  <c r="AV875" i="178"/>
  <c r="BH872" i="178"/>
  <c r="AZ872" i="178"/>
  <c r="AR872" i="178"/>
  <c r="BN871" i="178"/>
  <c r="BF871" i="178"/>
  <c r="AX871" i="178"/>
  <c r="V871" i="178"/>
  <c r="BL868" i="178"/>
  <c r="BD868" i="178"/>
  <c r="AV868" i="178"/>
  <c r="BB867" i="178"/>
  <c r="AT867" i="178"/>
  <c r="BH866" i="178"/>
  <c r="AZ866" i="178"/>
  <c r="AR866" i="178"/>
  <c r="BN865" i="178"/>
  <c r="BF865" i="178"/>
  <c r="AX865" i="178"/>
  <c r="V865" i="178"/>
  <c r="BL864" i="178"/>
  <c r="BD864" i="178"/>
  <c r="AV864" i="178"/>
  <c r="BB863" i="178"/>
  <c r="AT863" i="178"/>
  <c r="BH200" i="178"/>
  <c r="AZ200" i="178"/>
  <c r="AR200" i="178"/>
  <c r="BN827" i="178"/>
  <c r="BF827" i="178"/>
  <c r="AX827" i="178"/>
  <c r="V827" i="178"/>
  <c r="BL859" i="178"/>
  <c r="BD859" i="178"/>
  <c r="AV859" i="178"/>
  <c r="BH619" i="178"/>
  <c r="AZ619" i="178"/>
  <c r="AR619" i="178"/>
  <c r="BL858" i="178"/>
  <c r="BD858" i="178"/>
  <c r="AV858" i="178"/>
  <c r="BB826" i="178"/>
  <c r="AT826" i="178"/>
  <c r="BH431" i="178"/>
  <c r="AZ431" i="178"/>
  <c r="AR431" i="178"/>
  <c r="BN857" i="178"/>
  <c r="BF857" i="178"/>
  <c r="AX857" i="178"/>
  <c r="V857" i="178"/>
  <c r="BB618" i="178"/>
  <c r="AT618" i="178"/>
  <c r="BH197" i="178"/>
  <c r="BI197" i="178"/>
  <c r="AZ197" i="178"/>
  <c r="BA197" i="178"/>
  <c r="AR197" i="178"/>
  <c r="AS197" i="178"/>
  <c r="BN945" i="178"/>
  <c r="BO945" i="178"/>
  <c r="BG945" i="178"/>
  <c r="BF945" i="178"/>
  <c r="AY945" i="178"/>
  <c r="AX945" i="178"/>
  <c r="BL803" i="178"/>
  <c r="BM803" i="178"/>
  <c r="BD803" i="178"/>
  <c r="BE803" i="178"/>
  <c r="AV803" i="178"/>
  <c r="AW803" i="178"/>
  <c r="V803" i="178"/>
  <c r="BL801" i="178"/>
  <c r="BD801" i="178"/>
  <c r="AV801" i="178"/>
  <c r="BH616" i="178"/>
  <c r="AZ616" i="178"/>
  <c r="AR616" i="178"/>
  <c r="BH795" i="178"/>
  <c r="AZ795" i="178"/>
  <c r="AR795" i="178"/>
  <c r="BH788" i="178"/>
  <c r="AZ788" i="178"/>
  <c r="AR788" i="178"/>
  <c r="BH787" i="178"/>
  <c r="AZ787" i="178"/>
  <c r="AR787" i="178"/>
  <c r="BH773" i="178"/>
  <c r="BI773" i="178"/>
  <c r="AZ773" i="178"/>
  <c r="BA773" i="178"/>
  <c r="AR773" i="178"/>
  <c r="AS773" i="178"/>
  <c r="BB611" i="178"/>
  <c r="AT611" i="178"/>
  <c r="BL190" i="178"/>
  <c r="BD190" i="178"/>
  <c r="AV190" i="178"/>
  <c r="U190" i="178"/>
  <c r="BN424" i="178"/>
  <c r="BF424" i="178"/>
  <c r="AX424" i="178"/>
  <c r="BH610" i="178"/>
  <c r="AZ610" i="178"/>
  <c r="AR610" i="178"/>
  <c r="BB609" i="178"/>
  <c r="BC609" i="178"/>
  <c r="AT609" i="178"/>
  <c r="AU609" i="178"/>
  <c r="BH673" i="178"/>
  <c r="BI673" i="178"/>
  <c r="AZ673" i="178"/>
  <c r="BA673" i="178"/>
  <c r="AR673" i="178"/>
  <c r="AS673" i="178"/>
  <c r="BO605" i="178"/>
  <c r="BN605" i="178"/>
  <c r="BF605" i="178"/>
  <c r="BG605" i="178"/>
  <c r="AX605" i="178"/>
  <c r="AY605" i="178"/>
  <c r="BL189" i="178"/>
  <c r="BM189" i="178"/>
  <c r="BD189" i="178"/>
  <c r="BE189" i="178"/>
  <c r="AV189" i="178"/>
  <c r="AW189" i="178"/>
  <c r="BB729" i="178"/>
  <c r="BC729" i="178"/>
  <c r="AT729" i="178"/>
  <c r="AU729" i="178"/>
  <c r="BI604" i="178"/>
  <c r="BH604" i="178"/>
  <c r="BA604" i="178"/>
  <c r="AZ604" i="178"/>
  <c r="AS604" i="178"/>
  <c r="AR604" i="178"/>
  <c r="BN607" i="178"/>
  <c r="BO607" i="178"/>
  <c r="BF607" i="178"/>
  <c r="BG607" i="178"/>
  <c r="AX607" i="178"/>
  <c r="AY607" i="178"/>
  <c r="BL603" i="178"/>
  <c r="BM603" i="178"/>
  <c r="BD603" i="178"/>
  <c r="BE603" i="178"/>
  <c r="AV603" i="178"/>
  <c r="AW603" i="178"/>
  <c r="BB498" i="178"/>
  <c r="BC498" i="178"/>
  <c r="AT498" i="178"/>
  <c r="AU498" i="178"/>
  <c r="BI473" i="178"/>
  <c r="BH473" i="178"/>
  <c r="BA473" i="178"/>
  <c r="AZ473" i="178"/>
  <c r="AS473" i="178"/>
  <c r="AR473" i="178"/>
  <c r="BN461" i="178"/>
  <c r="BO461" i="178"/>
  <c r="BF461" i="178"/>
  <c r="BG461" i="178"/>
  <c r="AX461" i="178"/>
  <c r="AY461" i="178"/>
  <c r="BL460" i="178"/>
  <c r="BM460" i="178"/>
  <c r="BD460" i="178"/>
  <c r="BE460" i="178"/>
  <c r="AV460" i="178"/>
  <c r="AW460" i="178"/>
  <c r="BB459" i="178"/>
  <c r="BC459" i="178"/>
  <c r="AU459" i="178"/>
  <c r="AT459" i="178"/>
  <c r="BH444" i="178"/>
  <c r="BI444" i="178"/>
  <c r="AZ444" i="178"/>
  <c r="BA444" i="178"/>
  <c r="AR444" i="178"/>
  <c r="AS444" i="178"/>
  <c r="BO443" i="178"/>
  <c r="BN443" i="178"/>
  <c r="BF443" i="178"/>
  <c r="BG443" i="178"/>
  <c r="AX443" i="178"/>
  <c r="AY443" i="178"/>
  <c r="BL441" i="178"/>
  <c r="BM441" i="178"/>
  <c r="BE441" i="178"/>
  <c r="BD441" i="178"/>
  <c r="AW441" i="178"/>
  <c r="AV441" i="178"/>
  <c r="BB423" i="178"/>
  <c r="BC423" i="178"/>
  <c r="AT423" i="178"/>
  <c r="AU423" i="178"/>
  <c r="BI672" i="178"/>
  <c r="BH672" i="178"/>
  <c r="AZ672" i="178"/>
  <c r="BA672" i="178"/>
  <c r="AS672" i="178"/>
  <c r="AR672" i="178"/>
  <c r="BO598" i="178"/>
  <c r="BN598" i="178"/>
  <c r="BF598" i="178"/>
  <c r="BG598" i="178"/>
  <c r="AX598" i="178"/>
  <c r="AY598" i="178"/>
  <c r="BM176" i="178"/>
  <c r="BL176" i="178"/>
  <c r="BE176" i="178"/>
  <c r="BD176" i="178"/>
  <c r="AW176" i="178"/>
  <c r="AV176" i="178"/>
  <c r="BC1017" i="178"/>
  <c r="BB1017" i="178"/>
  <c r="AT1017" i="178"/>
  <c r="AU1017" i="178"/>
  <c r="BH591" i="178"/>
  <c r="BI591" i="178"/>
  <c r="AZ591" i="178"/>
  <c r="BA591" i="178"/>
  <c r="AR591" i="178"/>
  <c r="AS591" i="178"/>
  <c r="BO171" i="178"/>
  <c r="BN171" i="178"/>
  <c r="BF171" i="178"/>
  <c r="BG171" i="178"/>
  <c r="AX171" i="178"/>
  <c r="AY171" i="178"/>
  <c r="BL590" i="178"/>
  <c r="BM590" i="178"/>
  <c r="BE590" i="178"/>
  <c r="BD590" i="178"/>
  <c r="AW590" i="178"/>
  <c r="AV590" i="178"/>
  <c r="BB151" i="178"/>
  <c r="BC151" i="178"/>
  <c r="AT151" i="178"/>
  <c r="AU151" i="178"/>
  <c r="BH150" i="178"/>
  <c r="BI150" i="178"/>
  <c r="BA150" i="178"/>
  <c r="AZ150" i="178"/>
  <c r="AR150" i="178"/>
  <c r="AS150" i="178"/>
  <c r="BO137" i="178"/>
  <c r="BN137" i="178"/>
  <c r="BF137" i="178"/>
  <c r="BG137" i="178"/>
  <c r="AX137" i="178"/>
  <c r="AY137" i="178"/>
  <c r="BL753" i="178"/>
  <c r="BM753" i="178"/>
  <c r="BE753" i="178"/>
  <c r="BD753" i="178"/>
  <c r="AW753" i="178"/>
  <c r="AV753" i="178"/>
  <c r="BB552" i="178"/>
  <c r="BC552" i="178"/>
  <c r="AU552" i="178"/>
  <c r="AT552" i="178"/>
  <c r="BH551" i="178"/>
  <c r="BI551" i="178"/>
  <c r="AZ551" i="178"/>
  <c r="BA551" i="178"/>
  <c r="AR551" i="178"/>
  <c r="AS551" i="178"/>
  <c r="BO79" i="178"/>
  <c r="BN79" i="178"/>
  <c r="BF79" i="178"/>
  <c r="BG79" i="178"/>
  <c r="AX79" i="178"/>
  <c r="AY79" i="178"/>
  <c r="V79" i="178"/>
  <c r="BL78" i="178"/>
  <c r="BM78" i="178"/>
  <c r="BE78" i="178"/>
  <c r="BD78" i="178"/>
  <c r="AW78" i="178"/>
  <c r="AV78" i="178"/>
  <c r="BI973" i="178"/>
  <c r="BH973" i="178"/>
  <c r="AZ973" i="178"/>
  <c r="BA973" i="178"/>
  <c r="AR973" i="178"/>
  <c r="AS973" i="178"/>
  <c r="BO720" i="178"/>
  <c r="BN720" i="178"/>
  <c r="BF720" i="178"/>
  <c r="BG720" i="178"/>
  <c r="AX720" i="178"/>
  <c r="AY720" i="178"/>
  <c r="V720" i="178"/>
  <c r="BL48" i="178"/>
  <c r="BM48" i="178"/>
  <c r="BE48" i="178"/>
  <c r="BD48" i="178"/>
  <c r="AW48" i="178"/>
  <c r="AV48" i="178"/>
  <c r="BB972" i="178"/>
  <c r="BC972" i="178"/>
  <c r="AT972" i="178"/>
  <c r="AU972" i="178"/>
  <c r="BH971" i="178"/>
  <c r="BI971" i="178"/>
  <c r="BA971" i="178"/>
  <c r="AZ971" i="178"/>
  <c r="AR971" i="178"/>
  <c r="AS971" i="178"/>
  <c r="BO719" i="178"/>
  <c r="BN719" i="178"/>
  <c r="BF719" i="178"/>
  <c r="BG719" i="178"/>
  <c r="AX719" i="178"/>
  <c r="AY719" i="178"/>
  <c r="V719" i="178"/>
  <c r="BM37" i="178"/>
  <c r="BL37" i="178"/>
  <c r="BD37" i="178"/>
  <c r="BE37" i="178"/>
  <c r="AV37" i="178"/>
  <c r="AW37" i="178"/>
  <c r="BC970" i="178"/>
  <c r="BB970" i="178"/>
  <c r="AU970" i="178"/>
  <c r="AT970" i="178"/>
  <c r="BH969" i="178"/>
  <c r="BI969" i="178"/>
  <c r="BA969" i="178"/>
  <c r="AZ969" i="178"/>
  <c r="AR969" i="178"/>
  <c r="AS969" i="178"/>
  <c r="BN718" i="178"/>
  <c r="BO718" i="178"/>
  <c r="BF718" i="178"/>
  <c r="BG718" i="178"/>
  <c r="AY718" i="178"/>
  <c r="AX718" i="178"/>
  <c r="BN36" i="178"/>
  <c r="BO36" i="178"/>
  <c r="BF36" i="178"/>
  <c r="BG36" i="178"/>
  <c r="AX36" i="178"/>
  <c r="AY36" i="178"/>
  <c r="V36" i="178"/>
  <c r="BL767" i="178"/>
  <c r="BM767" i="178"/>
  <c r="BD767" i="178"/>
  <c r="BE767" i="178"/>
  <c r="AW767" i="178"/>
  <c r="AV767" i="178"/>
  <c r="BC717" i="178"/>
  <c r="BB717" i="178"/>
  <c r="AU717" i="178"/>
  <c r="AT717" i="178"/>
  <c r="BH933" i="178"/>
  <c r="BI933" i="178"/>
  <c r="AZ933" i="178"/>
  <c r="BA933" i="178"/>
  <c r="AR933" i="178"/>
  <c r="AS933" i="178"/>
  <c r="BO558" i="178"/>
  <c r="BN558" i="178"/>
  <c r="BG558" i="178"/>
  <c r="BF558" i="178"/>
  <c r="AY558" i="178"/>
  <c r="AX558" i="178"/>
  <c r="BL930" i="178"/>
  <c r="BM930" i="178"/>
  <c r="BE930" i="178"/>
  <c r="BD930" i="178"/>
  <c r="AV930" i="178"/>
  <c r="AW930" i="178"/>
  <c r="BB411" i="178"/>
  <c r="BC411" i="178"/>
  <c r="AU411" i="178"/>
  <c r="AT411" i="178"/>
  <c r="BC49" i="178"/>
  <c r="BB49" i="178"/>
  <c r="AT49" i="178"/>
  <c r="AU49" i="178"/>
  <c r="BB772" i="178"/>
  <c r="BC772" i="178"/>
  <c r="AT772" i="178"/>
  <c r="AU772" i="178"/>
  <c r="BC929" i="178"/>
  <c r="BB929" i="178"/>
  <c r="AU929" i="178"/>
  <c r="AT929" i="178"/>
  <c r="BC401" i="178"/>
  <c r="BB401" i="178"/>
  <c r="AT401" i="178"/>
  <c r="AU401" i="178"/>
  <c r="BC644" i="178"/>
  <c r="BB644" i="178"/>
  <c r="AU644" i="178"/>
  <c r="AT644" i="178"/>
  <c r="BB780" i="178"/>
  <c r="BC780" i="178"/>
  <c r="AT780" i="178"/>
  <c r="AU780" i="178"/>
  <c r="BC927" i="178"/>
  <c r="BB927" i="178"/>
  <c r="AT927" i="178"/>
  <c r="AU927" i="178"/>
  <c r="BC926" i="178"/>
  <c r="BB926" i="178"/>
  <c r="AU926" i="178"/>
  <c r="AT926" i="178"/>
  <c r="BC771" i="178"/>
  <c r="BB771" i="178"/>
  <c r="AU771" i="178"/>
  <c r="AT771" i="178"/>
  <c r="BB909" i="178"/>
  <c r="BC909" i="178"/>
  <c r="AT909" i="178"/>
  <c r="AU909" i="178"/>
  <c r="BC322" i="178"/>
  <c r="BB322" i="178"/>
  <c r="AU322" i="178"/>
  <c r="AT322" i="178"/>
  <c r="BB907" i="178"/>
  <c r="BC907" i="178"/>
  <c r="AU907" i="178"/>
  <c r="AT907" i="178"/>
  <c r="BC271" i="178"/>
  <c r="BB271" i="178"/>
  <c r="AU271" i="178"/>
  <c r="AT271" i="178"/>
  <c r="BN906" i="178"/>
  <c r="BO906" i="178"/>
  <c r="BG906" i="178"/>
  <c r="BF906" i="178"/>
  <c r="AX906" i="178"/>
  <c r="AY906" i="178"/>
  <c r="BH642" i="178"/>
  <c r="BI642" i="178"/>
  <c r="AZ642" i="178"/>
  <c r="BA642" i="178"/>
  <c r="AR642" i="178"/>
  <c r="AS642" i="178"/>
  <c r="BN770" i="178"/>
  <c r="BO770" i="178"/>
  <c r="BG770" i="178"/>
  <c r="BF770" i="178"/>
  <c r="AY770" i="178"/>
  <c r="AX770" i="178"/>
  <c r="BH861" i="178"/>
  <c r="BI861" i="178"/>
  <c r="BA861" i="178"/>
  <c r="AZ861" i="178"/>
  <c r="AS861" i="178"/>
  <c r="AR861" i="178"/>
  <c r="BN199" i="178"/>
  <c r="BO199" i="178"/>
  <c r="BF199" i="178"/>
  <c r="BG199" i="178"/>
  <c r="AX199" i="178"/>
  <c r="AY199" i="178"/>
  <c r="BH575" i="178"/>
  <c r="BI575" i="178"/>
  <c r="AZ575" i="178"/>
  <c r="BA575" i="178"/>
  <c r="AR575" i="178"/>
  <c r="AS575" i="178"/>
  <c r="BN769" i="178"/>
  <c r="BO769" i="178"/>
  <c r="BG769" i="178"/>
  <c r="BF769" i="178"/>
  <c r="AY769" i="178"/>
  <c r="AX769" i="178"/>
  <c r="BH860" i="178"/>
  <c r="BI860" i="178"/>
  <c r="AZ860" i="178"/>
  <c r="BA860" i="178"/>
  <c r="AR860" i="178"/>
  <c r="AS860" i="178"/>
  <c r="BN198" i="178"/>
  <c r="BO198" i="178"/>
  <c r="BF198" i="178"/>
  <c r="BG198" i="178"/>
  <c r="AY198" i="178"/>
  <c r="AX198" i="178"/>
  <c r="BH574" i="178"/>
  <c r="BI574" i="178"/>
  <c r="AZ574" i="178"/>
  <c r="BA574" i="178"/>
  <c r="AR574" i="178"/>
  <c r="AS574" i="178"/>
  <c r="BN778" i="178"/>
  <c r="BF778" i="178"/>
  <c r="AX778" i="178"/>
  <c r="BH844" i="178"/>
  <c r="BI844" i="178"/>
  <c r="BA844" i="178"/>
  <c r="AZ844" i="178"/>
  <c r="AS844" i="178"/>
  <c r="AR844" i="178"/>
  <c r="BB777" i="178"/>
  <c r="BC777" i="178"/>
  <c r="AT777" i="178"/>
  <c r="AU777" i="178"/>
  <c r="BC843" i="178"/>
  <c r="BB843" i="178"/>
  <c r="AT843" i="178"/>
  <c r="AU843" i="178"/>
  <c r="BM806" i="178"/>
  <c r="BL806" i="178"/>
  <c r="BD806" i="178"/>
  <c r="BE806" i="178"/>
  <c r="AV806" i="178"/>
  <c r="AW806" i="178"/>
  <c r="BL805" i="178"/>
  <c r="BM805" i="178"/>
  <c r="BD805" i="178"/>
  <c r="BE805" i="178"/>
  <c r="AW805" i="178"/>
  <c r="AV805" i="178"/>
  <c r="U805" i="178"/>
  <c r="BO804" i="178"/>
  <c r="BN804" i="178"/>
  <c r="BF804" i="178"/>
  <c r="BG804" i="178"/>
  <c r="AX804" i="178"/>
  <c r="AY804" i="178"/>
  <c r="BN790" i="178"/>
  <c r="BO790" i="178"/>
  <c r="BF790" i="178"/>
  <c r="BG790" i="178"/>
  <c r="AX790" i="178"/>
  <c r="AY790" i="178"/>
  <c r="BB789" i="178"/>
  <c r="AT789" i="178"/>
  <c r="BL193" i="178"/>
  <c r="BM193" i="178"/>
  <c r="BD193" i="178"/>
  <c r="BE193" i="178"/>
  <c r="AV193" i="178"/>
  <c r="AW193" i="178"/>
  <c r="BO608" i="178"/>
  <c r="BN608" i="178"/>
  <c r="BF608" i="178"/>
  <c r="BG608" i="178"/>
  <c r="AX608" i="178"/>
  <c r="AY608" i="178"/>
  <c r="BM612" i="178"/>
  <c r="BL612" i="178"/>
  <c r="BD612" i="178"/>
  <c r="BE612" i="178"/>
  <c r="AV612" i="178"/>
  <c r="AW612" i="178"/>
  <c r="U612" i="178"/>
  <c r="BC481" i="178"/>
  <c r="BB481" i="178"/>
  <c r="AT481" i="178"/>
  <c r="AU481" i="178"/>
  <c r="BL480" i="178"/>
  <c r="BM480" i="178"/>
  <c r="BE480" i="178"/>
  <c r="BD480" i="178"/>
  <c r="AV480" i="178"/>
  <c r="AW480" i="178"/>
  <c r="BI600" i="178"/>
  <c r="BH600" i="178"/>
  <c r="BA600" i="178"/>
  <c r="AZ600" i="178"/>
  <c r="AS600" i="178"/>
  <c r="AR600" i="178"/>
  <c r="BB479" i="178"/>
  <c r="BC479" i="178"/>
  <c r="AT479" i="178"/>
  <c r="AU479" i="178"/>
  <c r="U479" i="178"/>
  <c r="BN442" i="178"/>
  <c r="BO442" i="178"/>
  <c r="BG442" i="178"/>
  <c r="BF442" i="178"/>
  <c r="AY442" i="178"/>
  <c r="AX442" i="178"/>
  <c r="BH439" i="178"/>
  <c r="BI439" i="178"/>
  <c r="BA439" i="178"/>
  <c r="AZ439" i="178"/>
  <c r="AR439" i="178"/>
  <c r="AS439" i="178"/>
  <c r="BL438" i="178"/>
  <c r="BM438" i="178"/>
  <c r="BE438" i="178"/>
  <c r="BD438" i="178"/>
  <c r="AW438" i="178"/>
  <c r="AV438" i="178"/>
  <c r="U438" i="178"/>
  <c r="BN435" i="178"/>
  <c r="BO435" i="178"/>
  <c r="BF435" i="178"/>
  <c r="BG435" i="178"/>
  <c r="AY435" i="178"/>
  <c r="AX435" i="178"/>
  <c r="BM183" i="178"/>
  <c r="BL183" i="178"/>
  <c r="BD183" i="178"/>
  <c r="BE183" i="178"/>
  <c r="AW183" i="178"/>
  <c r="AV183" i="178"/>
  <c r="BI670" i="178"/>
  <c r="BH670" i="178"/>
  <c r="BA670" i="178"/>
  <c r="AZ670" i="178"/>
  <c r="AS670" i="178"/>
  <c r="AR670" i="178"/>
  <c r="BB182" i="178"/>
  <c r="BC182" i="178"/>
  <c r="AT182" i="178"/>
  <c r="AU182" i="178"/>
  <c r="U182" i="178"/>
  <c r="BO765" i="178"/>
  <c r="BN765" i="178"/>
  <c r="BG765" i="178"/>
  <c r="BF765" i="178"/>
  <c r="AY765" i="178"/>
  <c r="AX765" i="178"/>
  <c r="BH177" i="178"/>
  <c r="BI177" i="178"/>
  <c r="AZ177" i="178"/>
  <c r="BA177" i="178"/>
  <c r="AR177" i="178"/>
  <c r="AS177" i="178"/>
  <c r="BM174" i="178"/>
  <c r="BL174" i="178"/>
  <c r="BE174" i="178"/>
  <c r="BD174" i="178"/>
  <c r="AW174" i="178"/>
  <c r="AV174" i="178"/>
  <c r="U174" i="178"/>
  <c r="BO584" i="178"/>
  <c r="BN584" i="178"/>
  <c r="BG584" i="178"/>
  <c r="BF584" i="178"/>
  <c r="AX584" i="178"/>
  <c r="AY584" i="178"/>
  <c r="BO947" i="178"/>
  <c r="BI946" i="178"/>
  <c r="BE946" i="178"/>
  <c r="BA946" i="178"/>
  <c r="AW946" i="178"/>
  <c r="AS946" i="178"/>
  <c r="BM938" i="178"/>
  <c r="BG937" i="178"/>
  <c r="BC937" i="178"/>
  <c r="AY937" i="178"/>
  <c r="AU937" i="178"/>
  <c r="BO935" i="178"/>
  <c r="BI934" i="178"/>
  <c r="BE934" i="178"/>
  <c r="BA934" i="178"/>
  <c r="AW934" i="178"/>
  <c r="AS934" i="178"/>
  <c r="BL931" i="178"/>
  <c r="BH931" i="178"/>
  <c r="BI931" i="178"/>
  <c r="AZ931" i="178"/>
  <c r="BA931" i="178"/>
  <c r="AR931" i="178"/>
  <c r="AS931" i="178"/>
  <c r="BN33" i="178"/>
  <c r="BO33" i="178"/>
  <c r="BF33" i="178"/>
  <c r="BG33" i="178"/>
  <c r="AX33" i="178"/>
  <c r="AY33" i="178"/>
  <c r="BM623" i="178"/>
  <c r="BL623" i="178"/>
  <c r="BD623" i="178"/>
  <c r="BE623" i="178"/>
  <c r="AV623" i="178"/>
  <c r="AW623" i="178"/>
  <c r="BC32" i="178"/>
  <c r="BB32" i="178"/>
  <c r="AU32" i="178"/>
  <c r="AT32" i="178"/>
  <c r="BH557" i="178"/>
  <c r="BI557" i="178"/>
  <c r="AZ557" i="178"/>
  <c r="BA557" i="178"/>
  <c r="AR557" i="178"/>
  <c r="AS557" i="178"/>
  <c r="BN645" i="178"/>
  <c r="BO645" i="178"/>
  <c r="BF645" i="178"/>
  <c r="BG645" i="178"/>
  <c r="AX645" i="178"/>
  <c r="AY645" i="178"/>
  <c r="BM400" i="178"/>
  <c r="BL400" i="178"/>
  <c r="BD400" i="178"/>
  <c r="BE400" i="178"/>
  <c r="AV400" i="178"/>
  <c r="AW400" i="178"/>
  <c r="BC31" i="178"/>
  <c r="BB31" i="178"/>
  <c r="AU31" i="178"/>
  <c r="AT31" i="178"/>
  <c r="BB399" i="178"/>
  <c r="BC399" i="178"/>
  <c r="AT399" i="178"/>
  <c r="AU399" i="178"/>
  <c r="BC897" i="178"/>
  <c r="BB897" i="178"/>
  <c r="AU897" i="178"/>
  <c r="AT897" i="178"/>
  <c r="BB896" i="178"/>
  <c r="BC896" i="178"/>
  <c r="AT896" i="178"/>
  <c r="AU896" i="178"/>
  <c r="BN895" i="178"/>
  <c r="BO895" i="178"/>
  <c r="BG895" i="178"/>
  <c r="BF895" i="178"/>
  <c r="AY895" i="178"/>
  <c r="AX895" i="178"/>
  <c r="BO894" i="178"/>
  <c r="BN894" i="178"/>
  <c r="BF894" i="178"/>
  <c r="BG894" i="178"/>
  <c r="AX894" i="178"/>
  <c r="AY894" i="178"/>
  <c r="BI892" i="178"/>
  <c r="BH892" i="178"/>
  <c r="BA892" i="178"/>
  <c r="AZ892" i="178"/>
  <c r="AS892" i="178"/>
  <c r="AR892" i="178"/>
  <c r="BH887" i="178"/>
  <c r="BI887" i="178"/>
  <c r="AZ887" i="178"/>
  <c r="BA887" i="178"/>
  <c r="AR887" i="178"/>
  <c r="AS887" i="178"/>
  <c r="BN886" i="178"/>
  <c r="BO886" i="178"/>
  <c r="BG886" i="178"/>
  <c r="BF886" i="178"/>
  <c r="AY886" i="178"/>
  <c r="AX886" i="178"/>
  <c r="BB885" i="178"/>
  <c r="BC885" i="178"/>
  <c r="AT885" i="178"/>
  <c r="AU885" i="178"/>
  <c r="BB875" i="178"/>
  <c r="AT875" i="178"/>
  <c r="BN872" i="178"/>
  <c r="BF872" i="178"/>
  <c r="AX872" i="178"/>
  <c r="BL871" i="178"/>
  <c r="BD871" i="178"/>
  <c r="AV871" i="178"/>
  <c r="BB868" i="178"/>
  <c r="AT868" i="178"/>
  <c r="BH867" i="178"/>
  <c r="AZ867" i="178"/>
  <c r="AR867" i="178"/>
  <c r="BN866" i="178"/>
  <c r="BF866" i="178"/>
  <c r="AX866" i="178"/>
  <c r="BL865" i="178"/>
  <c r="BD865" i="178"/>
  <c r="AV865" i="178"/>
  <c r="BB864" i="178"/>
  <c r="AT864" i="178"/>
  <c r="BH863" i="178"/>
  <c r="AZ863" i="178"/>
  <c r="AR863" i="178"/>
  <c r="BN200" i="178"/>
  <c r="BF200" i="178"/>
  <c r="AX200" i="178"/>
  <c r="BL827" i="178"/>
  <c r="BD827" i="178"/>
  <c r="AV827" i="178"/>
  <c r="BB859" i="178"/>
  <c r="AT859" i="178"/>
  <c r="BN619" i="178"/>
  <c r="BF619" i="178"/>
  <c r="AX619" i="178"/>
  <c r="BB858" i="178"/>
  <c r="AT858" i="178"/>
  <c r="BH826" i="178"/>
  <c r="AZ826" i="178"/>
  <c r="AR826" i="178"/>
  <c r="BN431" i="178"/>
  <c r="BF431" i="178"/>
  <c r="AX431" i="178"/>
  <c r="BL857" i="178"/>
  <c r="BD857" i="178"/>
  <c r="AV857" i="178"/>
  <c r="BH618" i="178"/>
  <c r="AZ618" i="178"/>
  <c r="AR618" i="178"/>
  <c r="BN197" i="178"/>
  <c r="BO197" i="178"/>
  <c r="BF197" i="178"/>
  <c r="BG197" i="178"/>
  <c r="AX197" i="178"/>
  <c r="AY197" i="178"/>
  <c r="BL945" i="178"/>
  <c r="BM945" i="178"/>
  <c r="BD945" i="178"/>
  <c r="BE945" i="178"/>
  <c r="AV945" i="178"/>
  <c r="AW945" i="178"/>
  <c r="BB803" i="178"/>
  <c r="BC803" i="178"/>
  <c r="AT803" i="178"/>
  <c r="AU803" i="178"/>
  <c r="BB801" i="178"/>
  <c r="AT801" i="178"/>
  <c r="BN616" i="178"/>
  <c r="BF616" i="178"/>
  <c r="AX616" i="178"/>
  <c r="BN795" i="178"/>
  <c r="BF795" i="178"/>
  <c r="AX795" i="178"/>
  <c r="BN788" i="178"/>
  <c r="BF788" i="178"/>
  <c r="AX788" i="178"/>
  <c r="BN787" i="178"/>
  <c r="BF787" i="178"/>
  <c r="AX787" i="178"/>
  <c r="BN773" i="178"/>
  <c r="BO773" i="178"/>
  <c r="BG773" i="178"/>
  <c r="BF773" i="178"/>
  <c r="AY773" i="178"/>
  <c r="AX773" i="178"/>
  <c r="BH611" i="178"/>
  <c r="AZ611" i="178"/>
  <c r="AR611" i="178"/>
  <c r="BB190" i="178"/>
  <c r="AT190" i="178"/>
  <c r="BL424" i="178"/>
  <c r="BD424" i="178"/>
  <c r="AV424" i="178"/>
  <c r="BN610" i="178"/>
  <c r="BF610" i="178"/>
  <c r="AX610" i="178"/>
  <c r="BH609" i="178"/>
  <c r="BI609" i="178"/>
  <c r="AZ609" i="178"/>
  <c r="BA609" i="178"/>
  <c r="AR609" i="178"/>
  <c r="AS609" i="178"/>
  <c r="BN673" i="178"/>
  <c r="BO673" i="178"/>
  <c r="BG673" i="178"/>
  <c r="BF673" i="178"/>
  <c r="AY673" i="178"/>
  <c r="AX673" i="178"/>
  <c r="BL605" i="178"/>
  <c r="BM605" i="178"/>
  <c r="BD605" i="178"/>
  <c r="BE605" i="178"/>
  <c r="AV605" i="178"/>
  <c r="AW605" i="178"/>
  <c r="BC189" i="178"/>
  <c r="BB189" i="178"/>
  <c r="AU189" i="178"/>
  <c r="AT189" i="178"/>
  <c r="BH729" i="178"/>
  <c r="BI729" i="178"/>
  <c r="AZ729" i="178"/>
  <c r="BA729" i="178"/>
  <c r="AR729" i="178"/>
  <c r="AS729" i="178"/>
  <c r="BN604" i="178"/>
  <c r="BO604" i="178"/>
  <c r="BF604" i="178"/>
  <c r="BG604" i="178"/>
  <c r="AX604" i="178"/>
  <c r="AY604" i="178"/>
  <c r="BM607" i="178"/>
  <c r="BL607" i="178"/>
  <c r="BD607" i="178"/>
  <c r="BE607" i="178"/>
  <c r="AV607" i="178"/>
  <c r="AW607" i="178"/>
  <c r="BC603" i="178"/>
  <c r="BB603" i="178"/>
  <c r="AU603" i="178"/>
  <c r="AT603" i="178"/>
  <c r="BH498" i="178"/>
  <c r="BI498" i="178"/>
  <c r="AZ498" i="178"/>
  <c r="BA498" i="178"/>
  <c r="AR498" i="178"/>
  <c r="AS498" i="178"/>
  <c r="BN473" i="178"/>
  <c r="BO473" i="178"/>
  <c r="BF473" i="178"/>
  <c r="BG473" i="178"/>
  <c r="AX473" i="178"/>
  <c r="AY473" i="178"/>
  <c r="BM461" i="178"/>
  <c r="BL461" i="178"/>
  <c r="BD461" i="178"/>
  <c r="BE461" i="178"/>
  <c r="AV461" i="178"/>
  <c r="AW461" i="178"/>
  <c r="BC460" i="178"/>
  <c r="BB460" i="178"/>
  <c r="AU460" i="178"/>
  <c r="AT460" i="178"/>
  <c r="BH459" i="178"/>
  <c r="BI459" i="178"/>
  <c r="AZ459" i="178"/>
  <c r="BA459" i="178"/>
  <c r="AR459" i="178"/>
  <c r="AS459" i="178"/>
  <c r="BN444" i="178"/>
  <c r="BO444" i="178"/>
  <c r="BG444" i="178"/>
  <c r="BF444" i="178"/>
  <c r="AY444" i="178"/>
  <c r="AX444" i="178"/>
  <c r="BL443" i="178"/>
  <c r="BM443" i="178"/>
  <c r="BD443" i="178"/>
  <c r="BE443" i="178"/>
  <c r="AV443" i="178"/>
  <c r="AW443" i="178"/>
  <c r="BB441" i="178"/>
  <c r="BC441" i="178"/>
  <c r="AU441" i="178"/>
  <c r="AT441" i="178"/>
  <c r="BH423" i="178"/>
  <c r="BI423" i="178"/>
  <c r="AZ423" i="178"/>
  <c r="BA423" i="178"/>
  <c r="AR423" i="178"/>
  <c r="AS423" i="178"/>
  <c r="BO672" i="178"/>
  <c r="BN672" i="178"/>
  <c r="BG672" i="178"/>
  <c r="BF672" i="178"/>
  <c r="AY672" i="178"/>
  <c r="AX672" i="178"/>
  <c r="BL598" i="178"/>
  <c r="BM598" i="178"/>
  <c r="BE598" i="178"/>
  <c r="BD598" i="178"/>
  <c r="AV598" i="178"/>
  <c r="AW598" i="178"/>
  <c r="BB176" i="178"/>
  <c r="BC176" i="178"/>
  <c r="AT176" i="178"/>
  <c r="AU176" i="178"/>
  <c r="BH1017" i="178"/>
  <c r="BI1017" i="178"/>
  <c r="AZ1017" i="178"/>
  <c r="BA1017" i="178"/>
  <c r="AR1017" i="178"/>
  <c r="AS1017" i="178"/>
  <c r="BN591" i="178"/>
  <c r="BO591" i="178"/>
  <c r="BG591" i="178"/>
  <c r="BF591" i="178"/>
  <c r="AY591" i="178"/>
  <c r="AX591" i="178"/>
  <c r="BM171" i="178"/>
  <c r="BL171" i="178"/>
  <c r="BD171" i="178"/>
  <c r="BE171" i="178"/>
  <c r="AV171" i="178"/>
  <c r="AW171" i="178"/>
  <c r="BC590" i="178"/>
  <c r="BB590" i="178"/>
  <c r="AT590" i="178"/>
  <c r="AU590" i="178"/>
  <c r="BH151" i="178"/>
  <c r="BI151" i="178"/>
  <c r="AZ151" i="178"/>
  <c r="BA151" i="178"/>
  <c r="AR151" i="178"/>
  <c r="AS151" i="178"/>
  <c r="BN150" i="178"/>
  <c r="BO150" i="178"/>
  <c r="BG150" i="178"/>
  <c r="BF150" i="178"/>
  <c r="AY150" i="178"/>
  <c r="AX150" i="178"/>
  <c r="BL137" i="178"/>
  <c r="BM137" i="178"/>
  <c r="BD137" i="178"/>
  <c r="BE137" i="178"/>
  <c r="AW137" i="178"/>
  <c r="AV137" i="178"/>
  <c r="BB753" i="178"/>
  <c r="BC753" i="178"/>
  <c r="AT753" i="178"/>
  <c r="AU753" i="178"/>
  <c r="BH552" i="178"/>
  <c r="BI552" i="178"/>
  <c r="AZ552" i="178"/>
  <c r="BA552" i="178"/>
  <c r="AR552" i="178"/>
  <c r="AS552" i="178"/>
  <c r="BN551" i="178"/>
  <c r="BO551" i="178"/>
  <c r="BG551" i="178"/>
  <c r="BF551" i="178"/>
  <c r="AY551" i="178"/>
  <c r="AX551" i="178"/>
  <c r="BL79" i="178"/>
  <c r="BM79" i="178"/>
  <c r="BD79" i="178"/>
  <c r="BE79" i="178"/>
  <c r="AV79" i="178"/>
  <c r="AW79" i="178"/>
  <c r="BB78" i="178"/>
  <c r="BC78" i="178"/>
  <c r="AU78" i="178"/>
  <c r="AT78" i="178"/>
  <c r="BO973" i="178"/>
  <c r="BN973" i="178"/>
  <c r="BG973" i="178"/>
  <c r="BF973" i="178"/>
  <c r="AY973" i="178"/>
  <c r="AX973" i="178"/>
  <c r="BM720" i="178"/>
  <c r="BL720" i="178"/>
  <c r="BD720" i="178"/>
  <c r="BE720" i="178"/>
  <c r="AV720" i="178"/>
  <c r="AW720" i="178"/>
  <c r="BC48" i="178"/>
  <c r="BB48" i="178"/>
  <c r="AT48" i="178"/>
  <c r="AU48" i="178"/>
  <c r="BH972" i="178"/>
  <c r="BI972" i="178"/>
  <c r="AZ972" i="178"/>
  <c r="BA972" i="178"/>
  <c r="AR972" i="178"/>
  <c r="AS972" i="178"/>
  <c r="BN971" i="178"/>
  <c r="BO971" i="178"/>
  <c r="BG971" i="178"/>
  <c r="BF971" i="178"/>
  <c r="AY971" i="178"/>
  <c r="AX971" i="178"/>
  <c r="BL719" i="178"/>
  <c r="BM719" i="178"/>
  <c r="BD719" i="178"/>
  <c r="BE719" i="178"/>
  <c r="AW719" i="178"/>
  <c r="AV719" i="178"/>
  <c r="BB37" i="178"/>
  <c r="BC37" i="178"/>
  <c r="AT37" i="178"/>
  <c r="AU37" i="178"/>
  <c r="BH970" i="178"/>
  <c r="BI970" i="178"/>
  <c r="BA970" i="178"/>
  <c r="AZ970" i="178"/>
  <c r="AS970" i="178"/>
  <c r="AR970" i="178"/>
  <c r="BO969" i="178"/>
  <c r="BN969" i="178"/>
  <c r="BF969" i="178"/>
  <c r="BG969" i="178"/>
  <c r="AX969" i="178"/>
  <c r="AY969" i="178"/>
  <c r="BL718" i="178"/>
  <c r="BM718" i="178"/>
  <c r="BE718" i="178"/>
  <c r="BD718" i="178"/>
  <c r="AW718" i="178"/>
  <c r="AV718" i="178"/>
  <c r="BM36" i="178"/>
  <c r="BL36" i="178"/>
  <c r="BD36" i="178"/>
  <c r="BE36" i="178"/>
  <c r="AV36" i="178"/>
  <c r="AW36" i="178"/>
  <c r="BC767" i="178"/>
  <c r="BB767" i="178"/>
  <c r="AU767" i="178"/>
  <c r="AT767" i="178"/>
  <c r="BI717" i="178"/>
  <c r="BH717" i="178"/>
  <c r="BA717" i="178"/>
  <c r="AZ717" i="178"/>
  <c r="AS717" i="178"/>
  <c r="AR717" i="178"/>
  <c r="BN933" i="178"/>
  <c r="BO933" i="178"/>
  <c r="BG933" i="178"/>
  <c r="BF933" i="178"/>
  <c r="AX933" i="178"/>
  <c r="AY933" i="178"/>
  <c r="BL558" i="178"/>
  <c r="BM558" i="178"/>
  <c r="BD558" i="178"/>
  <c r="BE558" i="178"/>
  <c r="AV558" i="178"/>
  <c r="AW558" i="178"/>
  <c r="BB930" i="178"/>
  <c r="BC930" i="178"/>
  <c r="AT930" i="178"/>
  <c r="AU930" i="178"/>
  <c r="BI411" i="178"/>
  <c r="BH411" i="178"/>
  <c r="BA411" i="178"/>
  <c r="AZ411" i="178"/>
  <c r="AS411" i="178"/>
  <c r="AR411" i="178"/>
  <c r="BH49" i="178"/>
  <c r="BI49" i="178"/>
  <c r="AZ49" i="178"/>
  <c r="BA49" i="178"/>
  <c r="AR49" i="178"/>
  <c r="AS49" i="178"/>
  <c r="BH772" i="178"/>
  <c r="BI772" i="178"/>
  <c r="BA772" i="178"/>
  <c r="AZ772" i="178"/>
  <c r="AS772" i="178"/>
  <c r="AR772" i="178"/>
  <c r="BI929" i="178"/>
  <c r="BH929" i="178"/>
  <c r="BA929" i="178"/>
  <c r="AZ929" i="178"/>
  <c r="AS929" i="178"/>
  <c r="AR929" i="178"/>
  <c r="BH401" i="178"/>
  <c r="BI401" i="178"/>
  <c r="AZ401" i="178"/>
  <c r="BA401" i="178"/>
  <c r="AR401" i="178"/>
  <c r="AS401" i="178"/>
  <c r="BH644" i="178"/>
  <c r="BI644" i="178"/>
  <c r="BA644" i="178"/>
  <c r="AZ644" i="178"/>
  <c r="AR644" i="178"/>
  <c r="AS644" i="178"/>
  <c r="BH780" i="178"/>
  <c r="BI780" i="178"/>
  <c r="AZ780" i="178"/>
  <c r="BA780" i="178"/>
  <c r="AR780" i="178"/>
  <c r="AS780" i="178"/>
  <c r="BI927" i="178"/>
  <c r="BH927" i="178"/>
  <c r="BA927" i="178"/>
  <c r="AZ927" i="178"/>
  <c r="AS927" i="178"/>
  <c r="AR927" i="178"/>
  <c r="BH926" i="178"/>
  <c r="BI926" i="178"/>
  <c r="AZ926" i="178"/>
  <c r="BA926" i="178"/>
  <c r="AR926" i="178"/>
  <c r="AS926" i="178"/>
  <c r="BH771" i="178"/>
  <c r="BI771" i="178"/>
  <c r="AZ771" i="178"/>
  <c r="BA771" i="178"/>
  <c r="AR771" i="178"/>
  <c r="AS771" i="178"/>
  <c r="BI909" i="178"/>
  <c r="BH909" i="178"/>
  <c r="BA909" i="178"/>
  <c r="AZ909" i="178"/>
  <c r="AS909" i="178"/>
  <c r="AR909" i="178"/>
  <c r="BI322" i="178"/>
  <c r="BH322" i="178"/>
  <c r="BA322" i="178"/>
  <c r="AZ322" i="178"/>
  <c r="AS322" i="178"/>
  <c r="AR322" i="178"/>
  <c r="BH907" i="178"/>
  <c r="BI907" i="178"/>
  <c r="AZ907" i="178"/>
  <c r="BA907" i="178"/>
  <c r="AR907" i="178"/>
  <c r="AS907" i="178"/>
  <c r="BI271" i="178"/>
  <c r="BH271" i="178"/>
  <c r="AZ271" i="178"/>
  <c r="BA271" i="178"/>
  <c r="AS271" i="178"/>
  <c r="AR271" i="178"/>
  <c r="BM906" i="178"/>
  <c r="BL906" i="178"/>
  <c r="BE906" i="178"/>
  <c r="BD906" i="178"/>
  <c r="AW906" i="178"/>
  <c r="AV906" i="178"/>
  <c r="U906" i="178"/>
  <c r="BO642" i="178"/>
  <c r="BN642" i="178"/>
  <c r="BF642" i="178"/>
  <c r="BG642" i="178"/>
  <c r="AX642" i="178"/>
  <c r="AY642" i="178"/>
  <c r="BL770" i="178"/>
  <c r="BM770" i="178"/>
  <c r="BE770" i="178"/>
  <c r="BD770" i="178"/>
  <c r="AV770" i="178"/>
  <c r="AW770" i="178"/>
  <c r="U770" i="178"/>
  <c r="BO861" i="178"/>
  <c r="BN861" i="178"/>
  <c r="BF861" i="178"/>
  <c r="BG861" i="178"/>
  <c r="AX861" i="178"/>
  <c r="AY861" i="178"/>
  <c r="BL199" i="178"/>
  <c r="BM199" i="178"/>
  <c r="BE199" i="178"/>
  <c r="BD199" i="178"/>
  <c r="AW199" i="178"/>
  <c r="AV199" i="178"/>
  <c r="U199" i="178"/>
  <c r="BN575" i="178"/>
  <c r="BO575" i="178"/>
  <c r="BF575" i="178"/>
  <c r="BG575" i="178"/>
  <c r="AY575" i="178"/>
  <c r="AX575" i="178"/>
  <c r="BL769" i="178"/>
  <c r="BM769" i="178"/>
  <c r="BE769" i="178"/>
  <c r="BD769" i="178"/>
  <c r="AV769" i="178"/>
  <c r="AW769" i="178"/>
  <c r="U769" i="178"/>
  <c r="BO860" i="178"/>
  <c r="BN860" i="178"/>
  <c r="BF860" i="178"/>
  <c r="BG860" i="178"/>
  <c r="AX860" i="178"/>
  <c r="AY860" i="178"/>
  <c r="BL198" i="178"/>
  <c r="BM198" i="178"/>
  <c r="BE198" i="178"/>
  <c r="BD198" i="178"/>
  <c r="AW198" i="178"/>
  <c r="AV198" i="178"/>
  <c r="U198" i="178"/>
  <c r="BN574" i="178"/>
  <c r="BO574" i="178"/>
  <c r="BF574" i="178"/>
  <c r="BG574" i="178"/>
  <c r="AX574" i="178"/>
  <c r="AY574" i="178"/>
  <c r="BL778" i="178"/>
  <c r="BD778" i="178"/>
  <c r="AV778" i="178"/>
  <c r="U778" i="178"/>
  <c r="BO844" i="178"/>
  <c r="BN844" i="178"/>
  <c r="BG844" i="178"/>
  <c r="BF844" i="178"/>
  <c r="AY844" i="178"/>
  <c r="AX844" i="178"/>
  <c r="BH777" i="178"/>
  <c r="BI777" i="178"/>
  <c r="BA777" i="178"/>
  <c r="AZ777" i="178"/>
  <c r="AR777" i="178"/>
  <c r="AS777" i="178"/>
  <c r="BI843" i="178"/>
  <c r="BH843" i="178"/>
  <c r="BA843" i="178"/>
  <c r="AZ843" i="178"/>
  <c r="AS843" i="178"/>
  <c r="AR843" i="178"/>
  <c r="BB806" i="178"/>
  <c r="BC806" i="178"/>
  <c r="AU806" i="178"/>
  <c r="AT806" i="178"/>
  <c r="BC805" i="178"/>
  <c r="BB805" i="178"/>
  <c r="AU805" i="178"/>
  <c r="AT805" i="178"/>
  <c r="BL804" i="178"/>
  <c r="BM804" i="178"/>
  <c r="BD804" i="178"/>
  <c r="BE804" i="178"/>
  <c r="AV804" i="178"/>
  <c r="AW804" i="178"/>
  <c r="BL790" i="178"/>
  <c r="BM790" i="178"/>
  <c r="BE790" i="178"/>
  <c r="BD790" i="178"/>
  <c r="AW790" i="178"/>
  <c r="AV790" i="178"/>
  <c r="BH789" i="178"/>
  <c r="AZ789" i="178"/>
  <c r="AR789" i="178"/>
  <c r="BC193" i="178"/>
  <c r="BB193" i="178"/>
  <c r="AU193" i="178"/>
  <c r="AT193" i="178"/>
  <c r="U193" i="178"/>
  <c r="BM608" i="178"/>
  <c r="BL608" i="178"/>
  <c r="BD608" i="178"/>
  <c r="BE608" i="178"/>
  <c r="AV608" i="178"/>
  <c r="AW608" i="178"/>
  <c r="BB612" i="178"/>
  <c r="BC612" i="178"/>
  <c r="AT612" i="178"/>
  <c r="AU612" i="178"/>
  <c r="BH481" i="178"/>
  <c r="BI481" i="178"/>
  <c r="AZ481" i="178"/>
  <c r="BA481" i="178"/>
  <c r="AR481" i="178"/>
  <c r="AS481" i="178"/>
  <c r="BB480" i="178"/>
  <c r="BC480" i="178"/>
  <c r="AT480" i="178"/>
  <c r="AU480" i="178"/>
  <c r="U480" i="178"/>
  <c r="BN600" i="178"/>
  <c r="BO600" i="178"/>
  <c r="BG600" i="178"/>
  <c r="BF600" i="178"/>
  <c r="AX600" i="178"/>
  <c r="AY600" i="178"/>
  <c r="BH479" i="178"/>
  <c r="BI479" i="178"/>
  <c r="AZ479" i="178"/>
  <c r="BA479" i="178"/>
  <c r="AR479" i="178"/>
  <c r="AS479" i="178"/>
  <c r="BL442" i="178"/>
  <c r="BM442" i="178"/>
  <c r="BD442" i="178"/>
  <c r="BE442" i="178"/>
  <c r="AV442" i="178"/>
  <c r="AW442" i="178"/>
  <c r="BO439" i="178"/>
  <c r="BN439" i="178"/>
  <c r="BF439" i="178"/>
  <c r="BG439" i="178"/>
  <c r="AX439" i="178"/>
  <c r="AY439" i="178"/>
  <c r="BB438" i="178"/>
  <c r="BC438" i="178"/>
  <c r="AT438" i="178"/>
  <c r="AU438" i="178"/>
  <c r="BM435" i="178"/>
  <c r="BL435" i="178"/>
  <c r="BD435" i="178"/>
  <c r="BE435" i="178"/>
  <c r="AV435" i="178"/>
  <c r="AW435" i="178"/>
  <c r="BB183" i="178"/>
  <c r="BC183" i="178"/>
  <c r="AT183" i="178"/>
  <c r="AU183" i="178"/>
  <c r="U183" i="178"/>
  <c r="BN670" i="178"/>
  <c r="BO670" i="178"/>
  <c r="BF670" i="178"/>
  <c r="BG670" i="178"/>
  <c r="AY670" i="178"/>
  <c r="AX670" i="178"/>
  <c r="BH182" i="178"/>
  <c r="BI182" i="178"/>
  <c r="AZ182" i="178"/>
  <c r="BA182" i="178"/>
  <c r="AR182" i="178"/>
  <c r="AS182" i="178"/>
  <c r="BL765" i="178"/>
  <c r="BM765" i="178"/>
  <c r="BD765" i="178"/>
  <c r="BE765" i="178"/>
  <c r="AV765" i="178"/>
  <c r="AW765" i="178"/>
  <c r="BO177" i="178"/>
  <c r="BN177" i="178"/>
  <c r="BF177" i="178"/>
  <c r="BG177" i="178"/>
  <c r="AX177" i="178"/>
  <c r="AY177" i="178"/>
  <c r="BB174" i="178"/>
  <c r="BC174" i="178"/>
  <c r="AT174" i="178"/>
  <c r="AU174" i="178"/>
  <c r="BM584" i="178"/>
  <c r="BL584" i="178"/>
  <c r="BD584" i="178"/>
  <c r="BE584" i="178"/>
  <c r="AV584" i="178"/>
  <c r="AW584" i="178"/>
  <c r="U584" i="178"/>
  <c r="S875" i="178"/>
  <c r="BA875" i="178" s="1"/>
  <c r="S872" i="178"/>
  <c r="BC872" i="178" s="1"/>
  <c r="S871" i="178"/>
  <c r="BM871" i="178" s="1"/>
  <c r="S868" i="178"/>
  <c r="BG868" i="178" s="1"/>
  <c r="S866" i="178"/>
  <c r="BE866" i="178" s="1"/>
  <c r="S864" i="178"/>
  <c r="BI864" i="178" s="1"/>
  <c r="S827" i="178"/>
  <c r="AU827" i="178" s="1"/>
  <c r="S619" i="178"/>
  <c r="AU619" i="178" s="1"/>
  <c r="S858" i="178"/>
  <c r="AY858" i="178" s="1"/>
  <c r="S826" i="178"/>
  <c r="BG826" i="178" s="1"/>
  <c r="S431" i="178"/>
  <c r="BM431" i="178" s="1"/>
  <c r="S857" i="178"/>
  <c r="AU857" i="178" s="1"/>
  <c r="S618" i="178"/>
  <c r="BM618" i="178" s="1"/>
  <c r="S867" i="178"/>
  <c r="BG867" i="178" s="1"/>
  <c r="S865" i="178"/>
  <c r="BE865" i="178" s="1"/>
  <c r="S863" i="178"/>
  <c r="BG863" i="178" s="1"/>
  <c r="S200" i="178"/>
  <c r="BK200" i="178" s="1"/>
  <c r="S859" i="178"/>
  <c r="BK859" i="178" s="1"/>
  <c r="V887" i="178"/>
  <c r="S801" i="178"/>
  <c r="BK801" i="178" s="1"/>
  <c r="U611" i="178"/>
  <c r="U424" i="178"/>
  <c r="V189" i="178"/>
  <c r="U189" i="178"/>
  <c r="V603" i="178"/>
  <c r="U603" i="178"/>
  <c r="V197" i="178"/>
  <c r="V945" i="178"/>
  <c r="V616" i="178"/>
  <c r="V795" i="178"/>
  <c r="V788" i="178"/>
  <c r="V787" i="178"/>
  <c r="V605" i="178"/>
  <c r="U605" i="178"/>
  <c r="V607" i="178"/>
  <c r="U607" i="178"/>
  <c r="V673" i="178"/>
  <c r="U673" i="178"/>
  <c r="V604" i="178"/>
  <c r="U604" i="178"/>
  <c r="V609" i="178"/>
  <c r="U609" i="178"/>
  <c r="V729" i="178"/>
  <c r="U729" i="178"/>
  <c r="V498" i="178"/>
  <c r="U498" i="178"/>
  <c r="U473" i="178"/>
  <c r="U461" i="178"/>
  <c r="U460" i="178"/>
  <c r="U459" i="178"/>
  <c r="U444" i="178"/>
  <c r="U443" i="178"/>
  <c r="U441" i="178"/>
  <c r="U423" i="178"/>
  <c r="U672" i="178"/>
  <c r="U598" i="178"/>
  <c r="U176" i="178"/>
  <c r="U1017" i="178"/>
  <c r="U591" i="178"/>
  <c r="U171" i="178"/>
  <c r="U590" i="178"/>
  <c r="U151" i="178"/>
  <c r="U150" i="178"/>
  <c r="U137" i="178"/>
  <c r="U753" i="178"/>
  <c r="U552" i="178"/>
  <c r="V718" i="178"/>
  <c r="V767" i="178"/>
  <c r="U717" i="178"/>
  <c r="V717" i="178"/>
  <c r="U933" i="178"/>
  <c r="V933" i="178"/>
  <c r="U558" i="178"/>
  <c r="V558" i="178"/>
  <c r="U930" i="178"/>
  <c r="V930" i="178"/>
  <c r="U411" i="178"/>
  <c r="V411" i="178"/>
  <c r="U49" i="178"/>
  <c r="V49" i="178"/>
  <c r="U772" i="178"/>
  <c r="V772" i="178"/>
  <c r="V929" i="178"/>
  <c r="V401" i="178"/>
  <c r="V644" i="178"/>
  <c r="V780" i="178"/>
  <c r="V927" i="178"/>
  <c r="V926" i="178"/>
  <c r="V771" i="178"/>
  <c r="V909" i="178"/>
  <c r="V322" i="178"/>
  <c r="V907" i="178"/>
  <c r="V271" i="178"/>
  <c r="U642" i="178"/>
  <c r="U861" i="178"/>
  <c r="U575" i="178"/>
  <c r="U860" i="178"/>
  <c r="U574" i="178"/>
  <c r="U777" i="178"/>
  <c r="U806" i="178"/>
  <c r="U804" i="178"/>
  <c r="U415" i="178"/>
  <c r="U62" i="178"/>
  <c r="U58" i="178"/>
  <c r="U684" i="178"/>
  <c r="U631" i="178"/>
  <c r="U1026" i="178"/>
  <c r="U345" i="178"/>
  <c r="U676" i="178"/>
  <c r="U732" i="178"/>
  <c r="U425" i="178"/>
  <c r="U727" i="178"/>
  <c r="U187" i="178"/>
  <c r="AY499" i="178"/>
  <c r="BA251" i="178"/>
  <c r="BF225" i="178"/>
  <c r="BH427" i="178"/>
  <c r="BM691" i="178"/>
  <c r="AZ614" i="178"/>
  <c r="AZ732" i="178"/>
  <c r="BC738" i="178"/>
  <c r="BB738" i="178"/>
  <c r="AU738" i="178"/>
  <c r="AT738" i="178"/>
  <c r="BB737" i="178"/>
  <c r="BC737" i="178"/>
  <c r="AT737" i="178"/>
  <c r="AU737" i="178"/>
  <c r="BB1020" i="178"/>
  <c r="BC1020" i="178"/>
  <c r="AT1020" i="178"/>
  <c r="AU1020" i="178"/>
  <c r="BM419" i="178"/>
  <c r="BL419" i="178"/>
  <c r="BD419" i="178"/>
  <c r="BE419" i="178"/>
  <c r="AV419" i="178"/>
  <c r="AW419" i="178"/>
  <c r="U419" i="178"/>
  <c r="BN579" i="178"/>
  <c r="BO579" i="178"/>
  <c r="BG579" i="178"/>
  <c r="BF579" i="178"/>
  <c r="AY579" i="178"/>
  <c r="AX579" i="178"/>
  <c r="BH577" i="178"/>
  <c r="BI577" i="178"/>
  <c r="AZ577" i="178"/>
  <c r="BA577" i="178"/>
  <c r="AR577" i="178"/>
  <c r="AS577" i="178"/>
  <c r="BB571" i="178"/>
  <c r="BC571" i="178"/>
  <c r="AT571" i="178"/>
  <c r="AU571" i="178"/>
  <c r="BN564" i="178"/>
  <c r="BO564" i="178"/>
  <c r="BG564" i="178"/>
  <c r="BF564" i="178"/>
  <c r="AY564" i="178"/>
  <c r="AX564" i="178"/>
  <c r="BH559" i="178"/>
  <c r="BI559" i="178"/>
  <c r="AZ559" i="178"/>
  <c r="BA559" i="178"/>
  <c r="AR559" i="178"/>
  <c r="AS559" i="178"/>
  <c r="BB554" i="178"/>
  <c r="BC554" i="178"/>
  <c r="AT554" i="178"/>
  <c r="AU554" i="178"/>
  <c r="BM550" i="178"/>
  <c r="BL550" i="178"/>
  <c r="BD550" i="178"/>
  <c r="BE550" i="178"/>
  <c r="AV550" i="178"/>
  <c r="AW550" i="178"/>
  <c r="U550" i="178"/>
  <c r="BN546" i="178"/>
  <c r="BO546" i="178"/>
  <c r="BG546" i="178"/>
  <c r="BF546" i="178"/>
  <c r="AY546" i="178"/>
  <c r="AX546" i="178"/>
  <c r="BH542" i="178"/>
  <c r="BI542" i="178"/>
  <c r="AZ542" i="178"/>
  <c r="BA542" i="178"/>
  <c r="AR542" i="178"/>
  <c r="AS542" i="178"/>
  <c r="BB538" i="178"/>
  <c r="BC538" i="178"/>
  <c r="AT538" i="178"/>
  <c r="AU538" i="178"/>
  <c r="BM537" i="178"/>
  <c r="BL537" i="178"/>
  <c r="BD537" i="178"/>
  <c r="BE537" i="178"/>
  <c r="AV537" i="178"/>
  <c r="AW537" i="178"/>
  <c r="U537" i="178"/>
  <c r="BN533" i="178"/>
  <c r="BO533" i="178"/>
  <c r="BG533" i="178"/>
  <c r="BF533" i="178"/>
  <c r="AY533" i="178"/>
  <c r="AX533" i="178"/>
  <c r="BH532" i="178"/>
  <c r="BI532" i="178"/>
  <c r="AZ532" i="178"/>
  <c r="BA532" i="178"/>
  <c r="AR532" i="178"/>
  <c r="AS532" i="178"/>
  <c r="BB531" i="178"/>
  <c r="BC531" i="178"/>
  <c r="AT531" i="178"/>
  <c r="AU531" i="178"/>
  <c r="BM530" i="178"/>
  <c r="BL530" i="178"/>
  <c r="BD530" i="178"/>
  <c r="BE530" i="178"/>
  <c r="AV530" i="178"/>
  <c r="AW530" i="178"/>
  <c r="U530" i="178"/>
  <c r="BN528" i="178"/>
  <c r="BO528" i="178"/>
  <c r="BG528" i="178"/>
  <c r="BF528" i="178"/>
  <c r="AY528" i="178"/>
  <c r="AX528" i="178"/>
  <c r="BH527" i="178"/>
  <c r="BI527" i="178"/>
  <c r="AZ527" i="178"/>
  <c r="BA527" i="178"/>
  <c r="AR527" i="178"/>
  <c r="AS527" i="178"/>
  <c r="BB520" i="178"/>
  <c r="BC520" i="178"/>
  <c r="AT520" i="178"/>
  <c r="AU520" i="178"/>
  <c r="BM511" i="178"/>
  <c r="BL511" i="178"/>
  <c r="BD511" i="178"/>
  <c r="BE511" i="178"/>
  <c r="AV511" i="178"/>
  <c r="AW511" i="178"/>
  <c r="U511" i="178"/>
  <c r="BN509" i="178"/>
  <c r="BO509" i="178"/>
  <c r="BG509" i="178"/>
  <c r="BF509" i="178"/>
  <c r="AY509" i="178"/>
  <c r="AX509" i="178"/>
  <c r="BH503" i="178"/>
  <c r="BI503" i="178"/>
  <c r="AZ503" i="178"/>
  <c r="BA503" i="178"/>
  <c r="AR503" i="178"/>
  <c r="AS503" i="178"/>
  <c r="BB501" i="178"/>
  <c r="BC501" i="178"/>
  <c r="AT501" i="178"/>
  <c r="AU501" i="178"/>
  <c r="BM500" i="178"/>
  <c r="BL500" i="178"/>
  <c r="BD500" i="178"/>
  <c r="BE500" i="178"/>
  <c r="AV500" i="178"/>
  <c r="AW500" i="178"/>
  <c r="U500" i="178"/>
  <c r="BN496" i="178"/>
  <c r="BO496" i="178"/>
  <c r="BG496" i="178"/>
  <c r="BF496" i="178"/>
  <c r="AY496" i="178"/>
  <c r="AX496" i="178"/>
  <c r="BH495" i="178"/>
  <c r="BI495" i="178"/>
  <c r="AZ495" i="178"/>
  <c r="BA495" i="178"/>
  <c r="AR495" i="178"/>
  <c r="AS495" i="178"/>
  <c r="BB185" i="178"/>
  <c r="BC185" i="178"/>
  <c r="AT185" i="178"/>
  <c r="AU185" i="178"/>
  <c r="BM492" i="178"/>
  <c r="BL492" i="178"/>
  <c r="BD492" i="178"/>
  <c r="BE492" i="178"/>
  <c r="AV492" i="178"/>
  <c r="AW492" i="178"/>
  <c r="U492" i="178"/>
  <c r="BN1019" i="178"/>
  <c r="BO1019" i="178"/>
  <c r="BG1019" i="178"/>
  <c r="BF1019" i="178"/>
  <c r="AY1019" i="178"/>
  <c r="AX1019" i="178"/>
  <c r="BH490" i="178"/>
  <c r="BI490" i="178"/>
  <c r="AZ490" i="178"/>
  <c r="BA490" i="178"/>
  <c r="AR490" i="178"/>
  <c r="AS490" i="178"/>
  <c r="BB328" i="178"/>
  <c r="BC328" i="178"/>
  <c r="AT328" i="178"/>
  <c r="AU328" i="178"/>
  <c r="BM487" i="178"/>
  <c r="BL487" i="178"/>
  <c r="BD487" i="178"/>
  <c r="BE487" i="178"/>
  <c r="AV487" i="178"/>
  <c r="AW487" i="178"/>
  <c r="U487" i="178"/>
  <c r="BN486" i="178"/>
  <c r="BO486" i="178"/>
  <c r="BG486" i="178"/>
  <c r="BF486" i="178"/>
  <c r="AY486" i="178"/>
  <c r="AX486" i="178"/>
  <c r="BO485" i="178"/>
  <c r="BN485" i="178"/>
  <c r="BF485" i="178"/>
  <c r="BG485" i="178"/>
  <c r="AX485" i="178"/>
  <c r="AY485" i="178"/>
  <c r="BN324" i="178"/>
  <c r="BO324" i="178"/>
  <c r="BF324" i="178"/>
  <c r="BG324" i="178"/>
  <c r="AX324" i="178"/>
  <c r="AY324" i="178"/>
  <c r="BN484" i="178"/>
  <c r="BO484" i="178"/>
  <c r="BF484" i="178"/>
  <c r="BG484" i="178"/>
  <c r="AX484" i="178"/>
  <c r="AY484" i="178"/>
  <c r="BN475" i="178"/>
  <c r="BO475" i="178"/>
  <c r="BG475" i="178"/>
  <c r="BF475" i="178"/>
  <c r="AY475" i="178"/>
  <c r="AX475" i="178"/>
  <c r="BN476" i="178"/>
  <c r="BO476" i="178"/>
  <c r="BF476" i="178"/>
  <c r="BG476" i="178"/>
  <c r="AX476" i="178"/>
  <c r="AY476" i="178"/>
  <c r="BN318" i="178"/>
  <c r="BO318" i="178"/>
  <c r="BF318" i="178"/>
  <c r="BG318" i="178"/>
  <c r="AX318" i="178"/>
  <c r="AY318" i="178"/>
  <c r="BN474" i="178"/>
  <c r="BO474" i="178"/>
  <c r="BG474" i="178"/>
  <c r="BF474" i="178"/>
  <c r="AY474" i="178"/>
  <c r="AX474" i="178"/>
  <c r="BO599" i="178"/>
  <c r="BN599" i="178"/>
  <c r="BF599" i="178"/>
  <c r="BG599" i="178"/>
  <c r="AX599" i="178"/>
  <c r="AY599" i="178"/>
  <c r="BN317" i="178"/>
  <c r="BO317" i="178"/>
  <c r="BF317" i="178"/>
  <c r="BG317" i="178"/>
  <c r="AX317" i="178"/>
  <c r="AY317" i="178"/>
  <c r="BN468" i="178"/>
  <c r="BO468" i="178"/>
  <c r="BF468" i="178"/>
  <c r="BG468" i="178"/>
  <c r="AX468" i="178"/>
  <c r="AY468" i="178"/>
  <c r="BH569" i="178"/>
  <c r="BI569" i="178"/>
  <c r="AZ569" i="178"/>
  <c r="BA569" i="178"/>
  <c r="AR569" i="178"/>
  <c r="AS569" i="178"/>
  <c r="BO466" i="178"/>
  <c r="BN466" i="178"/>
  <c r="BF466" i="178"/>
  <c r="BG466" i="178"/>
  <c r="AX466" i="178"/>
  <c r="AY466" i="178"/>
  <c r="BI1018" i="178"/>
  <c r="BH1018" i="178"/>
  <c r="BA1018" i="178"/>
  <c r="AZ1018" i="178"/>
  <c r="AR1018" i="178"/>
  <c r="AS1018" i="178"/>
  <c r="BO464" i="178"/>
  <c r="BN464" i="178"/>
  <c r="BF464" i="178"/>
  <c r="BG464" i="178"/>
  <c r="AX464" i="178"/>
  <c r="AY464" i="178"/>
  <c r="BI230" i="178"/>
  <c r="BH230" i="178"/>
  <c r="BA230" i="178"/>
  <c r="AZ230" i="178"/>
  <c r="AS230" i="178"/>
  <c r="AR230" i="178"/>
  <c r="BN463" i="178"/>
  <c r="BO463" i="178"/>
  <c r="BF463" i="178"/>
  <c r="BG463" i="178"/>
  <c r="AX463" i="178"/>
  <c r="AY463" i="178"/>
  <c r="BN568" i="178"/>
  <c r="BO568" i="178"/>
  <c r="BG568" i="178"/>
  <c r="BF568" i="178"/>
  <c r="AY568" i="178"/>
  <c r="AX568" i="178"/>
  <c r="BO462" i="178"/>
  <c r="BN462" i="178"/>
  <c r="BF462" i="178"/>
  <c r="BG462" i="178"/>
  <c r="AX462" i="178"/>
  <c r="AY462" i="178"/>
  <c r="BN181" i="178"/>
  <c r="BO181" i="178"/>
  <c r="BF181" i="178"/>
  <c r="BG181" i="178"/>
  <c r="AX181" i="178"/>
  <c r="AY181" i="178"/>
  <c r="BN180" i="178"/>
  <c r="BO180" i="178"/>
  <c r="BF180" i="178"/>
  <c r="BG180" i="178"/>
  <c r="AX180" i="178"/>
  <c r="AY180" i="178"/>
  <c r="BN389" i="178"/>
  <c r="BO389" i="178"/>
  <c r="BG389" i="178"/>
  <c r="BF389" i="178"/>
  <c r="AY389" i="178"/>
  <c r="AX389" i="178"/>
  <c r="BO388" i="178"/>
  <c r="BN388" i="178"/>
  <c r="BF388" i="178"/>
  <c r="BG388" i="178"/>
  <c r="AX388" i="178"/>
  <c r="AY388" i="178"/>
  <c r="BN387" i="178"/>
  <c r="BO387" i="178"/>
  <c r="BF387" i="178"/>
  <c r="BG387" i="178"/>
  <c r="AX387" i="178"/>
  <c r="AY387" i="178"/>
  <c r="BN175" i="178"/>
  <c r="BO175" i="178"/>
  <c r="BF175" i="178"/>
  <c r="BG175" i="178"/>
  <c r="AX175" i="178"/>
  <c r="AY175" i="178"/>
  <c r="BO386" i="178"/>
  <c r="BN386" i="178"/>
  <c r="BF386" i="178"/>
  <c r="BG386" i="178"/>
  <c r="AX386" i="178"/>
  <c r="AY386" i="178"/>
  <c r="BN385" i="178"/>
  <c r="BO385" i="178"/>
  <c r="BF385" i="178"/>
  <c r="BG385" i="178"/>
  <c r="AX385" i="178"/>
  <c r="AY385" i="178"/>
  <c r="BN384" i="178"/>
  <c r="BO384" i="178"/>
  <c r="BF384" i="178"/>
  <c r="BG384" i="178"/>
  <c r="AX384" i="178"/>
  <c r="AY384" i="178"/>
  <c r="BN594" i="178"/>
  <c r="BO594" i="178"/>
  <c r="BG594" i="178"/>
  <c r="BF594" i="178"/>
  <c r="AY594" i="178"/>
  <c r="AX594" i="178"/>
  <c r="BO1016" i="178"/>
  <c r="BN1016" i="178"/>
  <c r="BF1016" i="178"/>
  <c r="BG1016" i="178"/>
  <c r="AX1016" i="178"/>
  <c r="AY1016" i="178"/>
  <c r="BN593" i="178"/>
  <c r="BO593" i="178"/>
  <c r="BF593" i="178"/>
  <c r="BG593" i="178"/>
  <c r="AX593" i="178"/>
  <c r="AY593" i="178"/>
  <c r="BN1015" i="178"/>
  <c r="BO1015" i="178"/>
  <c r="BF1015" i="178"/>
  <c r="BG1015" i="178"/>
  <c r="AX1015" i="178"/>
  <c r="AY1015" i="178"/>
  <c r="BN383" i="178"/>
  <c r="BO383" i="178"/>
  <c r="BG383" i="178"/>
  <c r="BF383" i="178"/>
  <c r="AY383" i="178"/>
  <c r="AX383" i="178"/>
  <c r="BO382" i="178"/>
  <c r="BN382" i="178"/>
  <c r="BF382" i="178"/>
  <c r="BG382" i="178"/>
  <c r="AX382" i="178"/>
  <c r="AY382" i="178"/>
  <c r="BN381" i="178"/>
  <c r="BO381" i="178"/>
  <c r="BF381" i="178"/>
  <c r="BG381" i="178"/>
  <c r="AX381" i="178"/>
  <c r="AY381" i="178"/>
  <c r="BN380" i="178"/>
  <c r="BO380" i="178"/>
  <c r="BF380" i="178"/>
  <c r="BG380" i="178"/>
  <c r="AX380" i="178"/>
  <c r="AY380" i="178"/>
  <c r="BN592" i="178"/>
  <c r="BO592" i="178"/>
  <c r="BG592" i="178"/>
  <c r="BF592" i="178"/>
  <c r="AY592" i="178"/>
  <c r="AX592" i="178"/>
  <c r="BO1014" i="178"/>
  <c r="BN1014" i="178"/>
  <c r="BF1014" i="178"/>
  <c r="BG1014" i="178"/>
  <c r="AX1014" i="178"/>
  <c r="AY1014" i="178"/>
  <c r="BN1013" i="178"/>
  <c r="BO1013" i="178"/>
  <c r="BF1013" i="178"/>
  <c r="BG1013" i="178"/>
  <c r="AX1013" i="178"/>
  <c r="AY1013" i="178"/>
  <c r="BN1012" i="178"/>
  <c r="BO1012" i="178"/>
  <c r="BF1012" i="178"/>
  <c r="BG1012" i="178"/>
  <c r="AX1012" i="178"/>
  <c r="AY1012" i="178"/>
  <c r="BN1011" i="178"/>
  <c r="BO1011" i="178"/>
  <c r="BG1011" i="178"/>
  <c r="BF1011" i="178"/>
  <c r="AY1011" i="178"/>
  <c r="AX1011" i="178"/>
  <c r="BO1002" i="178"/>
  <c r="BN1002" i="178"/>
  <c r="BF1002" i="178"/>
  <c r="BG1002" i="178"/>
  <c r="AX1002" i="178"/>
  <c r="AY1002" i="178"/>
  <c r="BN1001" i="178"/>
  <c r="BO1001" i="178"/>
  <c r="BF1001" i="178"/>
  <c r="BG1001" i="178"/>
  <c r="AX1001" i="178"/>
  <c r="AY1001" i="178"/>
  <c r="BN377" i="178"/>
  <c r="BO377" i="178"/>
  <c r="BF377" i="178"/>
  <c r="BG377" i="178"/>
  <c r="AX377" i="178"/>
  <c r="AY377" i="178"/>
  <c r="BN376" i="178"/>
  <c r="BO376" i="178"/>
  <c r="BG376" i="178"/>
  <c r="BF376" i="178"/>
  <c r="AY376" i="178"/>
  <c r="AX376" i="178"/>
  <c r="BO375" i="178"/>
  <c r="BN375" i="178"/>
  <c r="BF375" i="178"/>
  <c r="BG375" i="178"/>
  <c r="AX375" i="178"/>
  <c r="AY375" i="178"/>
  <c r="BN374" i="178"/>
  <c r="BO374" i="178"/>
  <c r="BF374" i="178"/>
  <c r="BG374" i="178"/>
  <c r="AX374" i="178"/>
  <c r="AY374" i="178"/>
  <c r="BN373" i="178"/>
  <c r="BO373" i="178"/>
  <c r="BF373" i="178"/>
  <c r="BG373" i="178"/>
  <c r="AX373" i="178"/>
  <c r="AY373" i="178"/>
  <c r="BN372" i="178"/>
  <c r="BO372" i="178"/>
  <c r="BG372" i="178"/>
  <c r="BF372" i="178"/>
  <c r="AY372" i="178"/>
  <c r="AX372" i="178"/>
  <c r="BO371" i="178"/>
  <c r="BN371" i="178"/>
  <c r="BF371" i="178"/>
  <c r="BG371" i="178"/>
  <c r="AX371" i="178"/>
  <c r="AY371" i="178"/>
  <c r="BN370" i="178"/>
  <c r="BO370" i="178"/>
  <c r="BF370" i="178"/>
  <c r="BG370" i="178"/>
  <c r="AX370" i="178"/>
  <c r="AY370" i="178"/>
  <c r="BN369" i="178"/>
  <c r="BO369" i="178"/>
  <c r="BF369" i="178"/>
  <c r="BG369" i="178"/>
  <c r="AX369" i="178"/>
  <c r="AY369" i="178"/>
  <c r="BN368" i="178"/>
  <c r="BO368" i="178"/>
  <c r="BG368" i="178"/>
  <c r="BF368" i="178"/>
  <c r="AY368" i="178"/>
  <c r="AX368" i="178"/>
  <c r="BO367" i="178"/>
  <c r="BN367" i="178"/>
  <c r="BF367" i="178"/>
  <c r="BG367" i="178"/>
  <c r="AX367" i="178"/>
  <c r="AY367" i="178"/>
  <c r="BN366" i="178"/>
  <c r="BO366" i="178"/>
  <c r="BF366" i="178"/>
  <c r="BG366" i="178"/>
  <c r="AX366" i="178"/>
  <c r="AY366" i="178"/>
  <c r="BN359" i="178"/>
  <c r="BO359" i="178"/>
  <c r="BF359" i="178"/>
  <c r="BG359" i="178"/>
  <c r="AX359" i="178"/>
  <c r="AY359" i="178"/>
  <c r="BN356" i="178"/>
  <c r="BO356" i="178"/>
  <c r="BG356" i="178"/>
  <c r="BF356" i="178"/>
  <c r="AY356" i="178"/>
  <c r="AX356" i="178"/>
  <c r="BO355" i="178"/>
  <c r="BN355" i="178"/>
  <c r="BF355" i="178"/>
  <c r="BG355" i="178"/>
  <c r="AX355" i="178"/>
  <c r="AY355" i="178"/>
  <c r="BN353" i="178"/>
  <c r="BO353" i="178"/>
  <c r="BF353" i="178"/>
  <c r="BG353" i="178"/>
  <c r="AX353" i="178"/>
  <c r="AY353" i="178"/>
  <c r="BN352" i="178"/>
  <c r="BO352" i="178"/>
  <c r="BF352" i="178"/>
  <c r="BG352" i="178"/>
  <c r="AX352" i="178"/>
  <c r="AY352" i="178"/>
  <c r="BN351" i="178"/>
  <c r="BO351" i="178"/>
  <c r="BG351" i="178"/>
  <c r="BF351" i="178"/>
  <c r="AY351" i="178"/>
  <c r="AX351" i="178"/>
  <c r="BO347" i="178"/>
  <c r="BN347" i="178"/>
  <c r="BF347" i="178"/>
  <c r="BG347" i="178"/>
  <c r="AX347" i="178"/>
  <c r="AY347" i="178"/>
  <c r="BN343" i="178"/>
  <c r="BO343" i="178"/>
  <c r="BF343" i="178"/>
  <c r="BG343" i="178"/>
  <c r="AX343" i="178"/>
  <c r="AY343" i="178"/>
  <c r="BN156" i="178"/>
  <c r="BO156" i="178"/>
  <c r="BF156" i="178"/>
  <c r="BG156" i="178"/>
  <c r="AX156" i="178"/>
  <c r="AY156" i="178"/>
  <c r="BN340" i="178"/>
  <c r="BO340" i="178"/>
  <c r="BG340" i="178"/>
  <c r="BF340" i="178"/>
  <c r="AY340" i="178"/>
  <c r="AX340" i="178"/>
  <c r="BO335" i="178"/>
  <c r="BN335" i="178"/>
  <c r="BF335" i="178"/>
  <c r="BG335" i="178"/>
  <c r="AX335" i="178"/>
  <c r="AY335" i="178"/>
  <c r="BN325" i="178"/>
  <c r="BO325" i="178"/>
  <c r="BF325" i="178"/>
  <c r="BG325" i="178"/>
  <c r="AX325" i="178"/>
  <c r="AY325" i="178"/>
  <c r="BN319" i="178"/>
  <c r="BO319" i="178"/>
  <c r="BF319" i="178"/>
  <c r="BG319" i="178"/>
  <c r="AX319" i="178"/>
  <c r="AY319" i="178"/>
  <c r="BN320" i="178"/>
  <c r="BO320" i="178"/>
  <c r="BG320" i="178"/>
  <c r="BF320" i="178"/>
  <c r="AY320" i="178"/>
  <c r="AX320" i="178"/>
  <c r="BO315" i="178"/>
  <c r="BN315" i="178"/>
  <c r="BF315" i="178"/>
  <c r="BG315" i="178"/>
  <c r="AX315" i="178"/>
  <c r="AY315" i="178"/>
  <c r="BN301" i="178"/>
  <c r="BO301" i="178"/>
  <c r="BF301" i="178"/>
  <c r="BG301" i="178"/>
  <c r="AX301" i="178"/>
  <c r="AY301" i="178"/>
  <c r="BN298" i="178"/>
  <c r="BO298" i="178"/>
  <c r="BG298" i="178"/>
  <c r="BF298" i="178"/>
  <c r="AY298" i="178"/>
  <c r="AX298" i="178"/>
  <c r="BO290" i="178"/>
  <c r="BN290" i="178"/>
  <c r="BF290" i="178"/>
  <c r="BG290" i="178"/>
  <c r="AX290" i="178"/>
  <c r="AY290" i="178"/>
  <c r="BN283" i="178"/>
  <c r="BO283" i="178"/>
  <c r="BF283" i="178"/>
  <c r="BG283" i="178"/>
  <c r="AX283" i="178"/>
  <c r="AY283" i="178"/>
  <c r="BN282" i="178"/>
  <c r="BO282" i="178"/>
  <c r="BF282" i="178"/>
  <c r="BG282" i="178"/>
  <c r="AX282" i="178"/>
  <c r="AY282" i="178"/>
  <c r="BN281" i="178"/>
  <c r="BO281" i="178"/>
  <c r="BG281" i="178"/>
  <c r="BF281" i="178"/>
  <c r="AY281" i="178"/>
  <c r="AX281" i="178"/>
  <c r="BO276" i="178"/>
  <c r="BN276" i="178"/>
  <c r="BF276" i="178"/>
  <c r="BG276" i="178"/>
  <c r="AX276" i="178"/>
  <c r="AY276" i="178"/>
  <c r="BN275" i="178"/>
  <c r="BO275" i="178"/>
  <c r="BF275" i="178"/>
  <c r="BG275" i="178"/>
  <c r="AX275" i="178"/>
  <c r="AY275" i="178"/>
  <c r="BN274" i="178"/>
  <c r="BO274" i="178"/>
  <c r="BF274" i="178"/>
  <c r="BG274" i="178"/>
  <c r="AX274" i="178"/>
  <c r="AY274" i="178"/>
  <c r="BN273" i="178"/>
  <c r="BO273" i="178"/>
  <c r="BG273" i="178"/>
  <c r="BF273" i="178"/>
  <c r="AY273" i="178"/>
  <c r="AX273" i="178"/>
  <c r="BO272" i="178"/>
  <c r="BN272" i="178"/>
  <c r="BF272" i="178"/>
  <c r="BG272" i="178"/>
  <c r="AX272" i="178"/>
  <c r="AY272" i="178"/>
  <c r="BN269" i="178"/>
  <c r="BO269" i="178"/>
  <c r="BF269" i="178"/>
  <c r="BG269" i="178"/>
  <c r="AX269" i="178"/>
  <c r="AY269" i="178"/>
  <c r="BN268" i="178"/>
  <c r="BO268" i="178"/>
  <c r="BF268" i="178"/>
  <c r="BG268" i="178"/>
  <c r="AX268" i="178"/>
  <c r="AY268" i="178"/>
  <c r="BN589" i="178"/>
  <c r="BO589" i="178"/>
  <c r="BG589" i="178"/>
  <c r="BF589" i="178"/>
  <c r="AY589" i="178"/>
  <c r="AX589" i="178"/>
  <c r="BN999" i="178"/>
  <c r="BO999" i="178"/>
  <c r="BF999" i="178"/>
  <c r="BG999" i="178"/>
  <c r="AX999" i="178"/>
  <c r="AY999" i="178"/>
  <c r="BN998" i="178"/>
  <c r="BO998" i="178"/>
  <c r="BF998" i="178"/>
  <c r="BG998" i="178"/>
  <c r="AX998" i="178"/>
  <c r="AY998" i="178"/>
  <c r="BN996" i="178"/>
  <c r="BO996" i="178"/>
  <c r="BG996" i="178"/>
  <c r="BF996" i="178"/>
  <c r="AY996" i="178"/>
  <c r="AX996" i="178"/>
  <c r="BB995" i="178"/>
  <c r="BC995" i="178"/>
  <c r="AT995" i="178"/>
  <c r="AU995" i="178"/>
  <c r="BL154" i="178"/>
  <c r="BM154" i="178"/>
  <c r="BE154" i="178"/>
  <c r="BD154" i="178"/>
  <c r="AV154" i="178"/>
  <c r="AW154" i="178"/>
  <c r="BH671" i="178"/>
  <c r="BI671" i="178"/>
  <c r="BA671" i="178"/>
  <c r="AZ671" i="178"/>
  <c r="AR671" i="178"/>
  <c r="AS671" i="178"/>
  <c r="BC163" i="178"/>
  <c r="BB163" i="178"/>
  <c r="AT163" i="178"/>
  <c r="AU163" i="178"/>
  <c r="V163" i="178"/>
  <c r="BN162" i="178"/>
  <c r="BO162" i="178"/>
  <c r="BF162" i="178"/>
  <c r="BG162" i="178"/>
  <c r="AY162" i="178"/>
  <c r="AX162" i="178"/>
  <c r="BH994" i="178"/>
  <c r="AZ994" i="178"/>
  <c r="AR994" i="178"/>
  <c r="BI993" i="178"/>
  <c r="BH993" i="178"/>
  <c r="BA993" i="178"/>
  <c r="AZ993" i="178"/>
  <c r="AS993" i="178"/>
  <c r="AR993" i="178"/>
  <c r="BN228" i="178"/>
  <c r="BO228" i="178"/>
  <c r="BF228" i="178"/>
  <c r="BG228" i="178"/>
  <c r="AX228" i="178"/>
  <c r="AY228" i="178"/>
  <c r="V228" i="178"/>
  <c r="BN267" i="178"/>
  <c r="BF267" i="178"/>
  <c r="AX267" i="178"/>
  <c r="V267" i="178"/>
  <c r="BN262" i="178"/>
  <c r="BO262" i="178"/>
  <c r="BF262" i="178"/>
  <c r="BG262" i="178"/>
  <c r="AX262" i="178"/>
  <c r="AY262" i="178"/>
  <c r="V262" i="178"/>
  <c r="BM261" i="178"/>
  <c r="BL261" i="178"/>
  <c r="BD261" i="178"/>
  <c r="BE261" i="178"/>
  <c r="AV261" i="178"/>
  <c r="AW261" i="178"/>
  <c r="BL260" i="178"/>
  <c r="BD260" i="178"/>
  <c r="AV260" i="178"/>
  <c r="BB259" i="178"/>
  <c r="BC259" i="178"/>
  <c r="AT259" i="178"/>
  <c r="AU259" i="178"/>
  <c r="BM588" i="178"/>
  <c r="BL588" i="178"/>
  <c r="BE588" i="178"/>
  <c r="BD588" i="178"/>
  <c r="AW588" i="178"/>
  <c r="AV588" i="178"/>
  <c r="BC991" i="178"/>
  <c r="BB991" i="178"/>
  <c r="U240" i="178"/>
  <c r="V240" i="178"/>
  <c r="BL238" i="178"/>
  <c r="BM238" i="178"/>
  <c r="BD238" i="178"/>
  <c r="BE238" i="178"/>
  <c r="AW238" i="178"/>
  <c r="AV238" i="178"/>
  <c r="BI989" i="178"/>
  <c r="BH989" i="178"/>
  <c r="BA989" i="178"/>
  <c r="AZ989" i="178"/>
  <c r="AS989" i="178"/>
  <c r="AR989" i="178"/>
  <c r="V903" i="178"/>
  <c r="U903" i="178"/>
  <c r="BC314" i="178"/>
  <c r="BB314" i="178"/>
  <c r="AU314" i="178"/>
  <c r="AT314" i="178"/>
  <c r="BH313" i="178"/>
  <c r="AZ313" i="178"/>
  <c r="AR313" i="178"/>
  <c r="BH116" i="178"/>
  <c r="BI116" i="178"/>
  <c r="AZ116" i="178"/>
  <c r="BA116" i="178"/>
  <c r="AR116" i="178"/>
  <c r="AS116" i="178"/>
  <c r="BN67" i="178"/>
  <c r="BO67" i="178"/>
  <c r="BF67" i="178"/>
  <c r="BG67" i="178"/>
  <c r="AX67" i="178"/>
  <c r="AY67" i="178"/>
  <c r="U66" i="178"/>
  <c r="V66" i="178"/>
  <c r="BC766" i="178"/>
  <c r="BB766" i="178"/>
  <c r="AU766" i="178"/>
  <c r="AT766" i="178"/>
  <c r="BI549" i="178"/>
  <c r="BH549" i="178"/>
  <c r="BA549" i="178"/>
  <c r="AZ549" i="178"/>
  <c r="AS549" i="178"/>
  <c r="AR549" i="178"/>
  <c r="BI270" i="178"/>
  <c r="BL901" i="178"/>
  <c r="AX204" i="178"/>
  <c r="AR334" i="178"/>
  <c r="AY615" i="178"/>
  <c r="BD690" i="178"/>
  <c r="BO730" i="178"/>
  <c r="BD745" i="178"/>
  <c r="BH738" i="178"/>
  <c r="BI738" i="178"/>
  <c r="AZ738" i="178"/>
  <c r="BA738" i="178"/>
  <c r="AR738" i="178"/>
  <c r="AS738" i="178"/>
  <c r="BH737" i="178"/>
  <c r="BI737" i="178"/>
  <c r="AZ737" i="178"/>
  <c r="BA737" i="178"/>
  <c r="AR737" i="178"/>
  <c r="AS737" i="178"/>
  <c r="BI1020" i="178"/>
  <c r="BH1020" i="178"/>
  <c r="BA1020" i="178"/>
  <c r="AZ1020" i="178"/>
  <c r="AS1020" i="178"/>
  <c r="AR1020" i="178"/>
  <c r="BB419" i="178"/>
  <c r="BC419" i="178"/>
  <c r="AT419" i="178"/>
  <c r="AU419" i="178"/>
  <c r="BL579" i="178"/>
  <c r="BM579" i="178"/>
  <c r="BD579" i="178"/>
  <c r="BE579" i="178"/>
  <c r="AV579" i="178"/>
  <c r="AW579" i="178"/>
  <c r="BO577" i="178"/>
  <c r="BN577" i="178"/>
  <c r="BF577" i="178"/>
  <c r="BG577" i="178"/>
  <c r="AX577" i="178"/>
  <c r="AY577" i="178"/>
  <c r="BI571" i="178"/>
  <c r="BH571" i="178"/>
  <c r="BA571" i="178"/>
  <c r="AZ571" i="178"/>
  <c r="AS571" i="178"/>
  <c r="AR571" i="178"/>
  <c r="BL564" i="178"/>
  <c r="BM564" i="178"/>
  <c r="BD564" i="178"/>
  <c r="BE564" i="178"/>
  <c r="AV564" i="178"/>
  <c r="AW564" i="178"/>
  <c r="BO559" i="178"/>
  <c r="BN559" i="178"/>
  <c r="BF559" i="178"/>
  <c r="BG559" i="178"/>
  <c r="AX559" i="178"/>
  <c r="AY559" i="178"/>
  <c r="BI554" i="178"/>
  <c r="BH554" i="178"/>
  <c r="BA554" i="178"/>
  <c r="AZ554" i="178"/>
  <c r="AS554" i="178"/>
  <c r="AR554" i="178"/>
  <c r="BB550" i="178"/>
  <c r="BC550" i="178"/>
  <c r="AT550" i="178"/>
  <c r="AU550" i="178"/>
  <c r="BL546" i="178"/>
  <c r="BM546" i="178"/>
  <c r="BD546" i="178"/>
  <c r="BE546" i="178"/>
  <c r="AV546" i="178"/>
  <c r="AW546" i="178"/>
  <c r="BO542" i="178"/>
  <c r="BN542" i="178"/>
  <c r="BF542" i="178"/>
  <c r="BG542" i="178"/>
  <c r="AX542" i="178"/>
  <c r="AY542" i="178"/>
  <c r="BI538" i="178"/>
  <c r="BH538" i="178"/>
  <c r="BA538" i="178"/>
  <c r="AZ538" i="178"/>
  <c r="AS538" i="178"/>
  <c r="AR538" i="178"/>
  <c r="BB537" i="178"/>
  <c r="BC537" i="178"/>
  <c r="AT537" i="178"/>
  <c r="AU537" i="178"/>
  <c r="BL533" i="178"/>
  <c r="BM533" i="178"/>
  <c r="BD533" i="178"/>
  <c r="BE533" i="178"/>
  <c r="AV533" i="178"/>
  <c r="AW533" i="178"/>
  <c r="BO532" i="178"/>
  <c r="BN532" i="178"/>
  <c r="BF532" i="178"/>
  <c r="BG532" i="178"/>
  <c r="AX532" i="178"/>
  <c r="AY532" i="178"/>
  <c r="BI531" i="178"/>
  <c r="BH531" i="178"/>
  <c r="BA531" i="178"/>
  <c r="AZ531" i="178"/>
  <c r="AS531" i="178"/>
  <c r="AR531" i="178"/>
  <c r="BB530" i="178"/>
  <c r="BC530" i="178"/>
  <c r="AT530" i="178"/>
  <c r="AU530" i="178"/>
  <c r="BL528" i="178"/>
  <c r="BM528" i="178"/>
  <c r="BD528" i="178"/>
  <c r="BE528" i="178"/>
  <c r="AV528" i="178"/>
  <c r="AW528" i="178"/>
  <c r="BO527" i="178"/>
  <c r="BN527" i="178"/>
  <c r="BF527" i="178"/>
  <c r="BG527" i="178"/>
  <c r="AX527" i="178"/>
  <c r="AY527" i="178"/>
  <c r="BI520" i="178"/>
  <c r="BH520" i="178"/>
  <c r="BA520" i="178"/>
  <c r="AZ520" i="178"/>
  <c r="AS520" i="178"/>
  <c r="AR520" i="178"/>
  <c r="BB511" i="178"/>
  <c r="BC511" i="178"/>
  <c r="AT511" i="178"/>
  <c r="AU511" i="178"/>
  <c r="BL509" i="178"/>
  <c r="BM509" i="178"/>
  <c r="BD509" i="178"/>
  <c r="BE509" i="178"/>
  <c r="AV509" i="178"/>
  <c r="AW509" i="178"/>
  <c r="BO503" i="178"/>
  <c r="BN503" i="178"/>
  <c r="BF503" i="178"/>
  <c r="BG503" i="178"/>
  <c r="AX503" i="178"/>
  <c r="AY503" i="178"/>
  <c r="BI501" i="178"/>
  <c r="BH501" i="178"/>
  <c r="BA501" i="178"/>
  <c r="AZ501" i="178"/>
  <c r="AS501" i="178"/>
  <c r="AR501" i="178"/>
  <c r="BB500" i="178"/>
  <c r="BC500" i="178"/>
  <c r="AT500" i="178"/>
  <c r="AU500" i="178"/>
  <c r="BL496" i="178"/>
  <c r="BM496" i="178"/>
  <c r="BD496" i="178"/>
  <c r="BE496" i="178"/>
  <c r="AV496" i="178"/>
  <c r="AW496" i="178"/>
  <c r="BO495" i="178"/>
  <c r="BN495" i="178"/>
  <c r="BF495" i="178"/>
  <c r="BG495" i="178"/>
  <c r="AX495" i="178"/>
  <c r="AY495" i="178"/>
  <c r="BI185" i="178"/>
  <c r="BH185" i="178"/>
  <c r="BA185" i="178"/>
  <c r="AZ185" i="178"/>
  <c r="AS185" i="178"/>
  <c r="AR185" i="178"/>
  <c r="BB492" i="178"/>
  <c r="BC492" i="178"/>
  <c r="AT492" i="178"/>
  <c r="AU492" i="178"/>
  <c r="BL1019" i="178"/>
  <c r="BM1019" i="178"/>
  <c r="BD1019" i="178"/>
  <c r="BE1019" i="178"/>
  <c r="AV1019" i="178"/>
  <c r="AW1019" i="178"/>
  <c r="BO490" i="178"/>
  <c r="BN490" i="178"/>
  <c r="BF490" i="178"/>
  <c r="BG490" i="178"/>
  <c r="AX490" i="178"/>
  <c r="AY490" i="178"/>
  <c r="BI328" i="178"/>
  <c r="BH328" i="178"/>
  <c r="BA328" i="178"/>
  <c r="AZ328" i="178"/>
  <c r="AS328" i="178"/>
  <c r="AR328" i="178"/>
  <c r="BB487" i="178"/>
  <c r="BC487" i="178"/>
  <c r="AT487" i="178"/>
  <c r="AU487" i="178"/>
  <c r="BL486" i="178"/>
  <c r="BM486" i="178"/>
  <c r="BD486" i="178"/>
  <c r="BE486" i="178"/>
  <c r="AV486" i="178"/>
  <c r="AW486" i="178"/>
  <c r="BL485" i="178"/>
  <c r="BM485" i="178"/>
  <c r="BD485" i="178"/>
  <c r="BE485" i="178"/>
  <c r="AV485" i="178"/>
  <c r="AW485" i="178"/>
  <c r="BL324" i="178"/>
  <c r="BM324" i="178"/>
  <c r="BE324" i="178"/>
  <c r="BD324" i="178"/>
  <c r="AW324" i="178"/>
  <c r="AV324" i="178"/>
  <c r="BM484" i="178"/>
  <c r="BL484" i="178"/>
  <c r="BD484" i="178"/>
  <c r="BE484" i="178"/>
  <c r="AV484" i="178"/>
  <c r="AW484" i="178"/>
  <c r="BL475" i="178"/>
  <c r="BM475" i="178"/>
  <c r="BD475" i="178"/>
  <c r="BE475" i="178"/>
  <c r="AV475" i="178"/>
  <c r="AW475" i="178"/>
  <c r="BL476" i="178"/>
  <c r="BM476" i="178"/>
  <c r="BE476" i="178"/>
  <c r="BD476" i="178"/>
  <c r="AW476" i="178"/>
  <c r="AV476" i="178"/>
  <c r="BM318" i="178"/>
  <c r="BL318" i="178"/>
  <c r="BD318" i="178"/>
  <c r="BE318" i="178"/>
  <c r="AV318" i="178"/>
  <c r="AW318" i="178"/>
  <c r="BL474" i="178"/>
  <c r="BM474" i="178"/>
  <c r="BD474" i="178"/>
  <c r="BE474" i="178"/>
  <c r="AV474" i="178"/>
  <c r="AW474" i="178"/>
  <c r="BL599" i="178"/>
  <c r="BM599" i="178"/>
  <c r="BD599" i="178"/>
  <c r="BE599" i="178"/>
  <c r="AV599" i="178"/>
  <c r="AW599" i="178"/>
  <c r="BL317" i="178"/>
  <c r="BM317" i="178"/>
  <c r="BE317" i="178"/>
  <c r="BD317" i="178"/>
  <c r="AW317" i="178"/>
  <c r="AV317" i="178"/>
  <c r="BM468" i="178"/>
  <c r="BL468" i="178"/>
  <c r="BD468" i="178"/>
  <c r="BE468" i="178"/>
  <c r="AV468" i="178"/>
  <c r="AW468" i="178"/>
  <c r="BN569" i="178"/>
  <c r="BO569" i="178"/>
  <c r="BG569" i="178"/>
  <c r="BF569" i="178"/>
  <c r="AY569" i="178"/>
  <c r="AX569" i="178"/>
  <c r="BL466" i="178"/>
  <c r="BM466" i="178"/>
  <c r="BD466" i="178"/>
  <c r="BE466" i="178"/>
  <c r="AV466" i="178"/>
  <c r="AW466" i="178"/>
  <c r="BN1018" i="178"/>
  <c r="BO1018" i="178"/>
  <c r="BF1018" i="178"/>
  <c r="BG1018" i="178"/>
  <c r="AX1018" i="178"/>
  <c r="AY1018" i="178"/>
  <c r="BL464" i="178"/>
  <c r="BM464" i="178"/>
  <c r="BD464" i="178"/>
  <c r="BE464" i="178"/>
  <c r="AV464" i="178"/>
  <c r="AW464" i="178"/>
  <c r="BN230" i="178"/>
  <c r="BO230" i="178"/>
  <c r="BF230" i="178"/>
  <c r="BG230" i="178"/>
  <c r="AX230" i="178"/>
  <c r="AY230" i="178"/>
  <c r="BM463" i="178"/>
  <c r="BL463" i="178"/>
  <c r="BD463" i="178"/>
  <c r="BE463" i="178"/>
  <c r="AV463" i="178"/>
  <c r="AW463" i="178"/>
  <c r="BL568" i="178"/>
  <c r="BM568" i="178"/>
  <c r="BD568" i="178"/>
  <c r="BE568" i="178"/>
  <c r="AV568" i="178"/>
  <c r="AW568" i="178"/>
  <c r="BL462" i="178"/>
  <c r="BM462" i="178"/>
  <c r="BD462" i="178"/>
  <c r="BE462" i="178"/>
  <c r="AV462" i="178"/>
  <c r="AW462" i="178"/>
  <c r="BL181" i="178"/>
  <c r="BM181" i="178"/>
  <c r="BE181" i="178"/>
  <c r="BD181" i="178"/>
  <c r="AW181" i="178"/>
  <c r="AV181" i="178"/>
  <c r="BM180" i="178"/>
  <c r="BL180" i="178"/>
  <c r="BD180" i="178"/>
  <c r="BE180" i="178"/>
  <c r="AV180" i="178"/>
  <c r="AW180" i="178"/>
  <c r="BL389" i="178"/>
  <c r="BM389" i="178"/>
  <c r="BD389" i="178"/>
  <c r="BE389" i="178"/>
  <c r="AV389" i="178"/>
  <c r="AW389" i="178"/>
  <c r="BL388" i="178"/>
  <c r="BM388" i="178"/>
  <c r="BD388" i="178"/>
  <c r="BE388" i="178"/>
  <c r="AV388" i="178"/>
  <c r="AW388" i="178"/>
  <c r="BL387" i="178"/>
  <c r="BM387" i="178"/>
  <c r="BE387" i="178"/>
  <c r="BD387" i="178"/>
  <c r="AW387" i="178"/>
  <c r="AV387" i="178"/>
  <c r="BM175" i="178"/>
  <c r="BL175" i="178"/>
  <c r="BD175" i="178"/>
  <c r="BE175" i="178"/>
  <c r="AV175" i="178"/>
  <c r="AW175" i="178"/>
  <c r="BL386" i="178"/>
  <c r="BM386" i="178"/>
  <c r="BD386" i="178"/>
  <c r="BE386" i="178"/>
  <c r="AV386" i="178"/>
  <c r="AW386" i="178"/>
  <c r="BL385" i="178"/>
  <c r="BM385" i="178"/>
  <c r="BE385" i="178"/>
  <c r="BD385" i="178"/>
  <c r="AW385" i="178"/>
  <c r="AV385" i="178"/>
  <c r="BM384" i="178"/>
  <c r="BL384" i="178"/>
  <c r="BD384" i="178"/>
  <c r="BE384" i="178"/>
  <c r="AV384" i="178"/>
  <c r="AW384" i="178"/>
  <c r="BL594" i="178"/>
  <c r="BM594" i="178"/>
  <c r="BD594" i="178"/>
  <c r="BE594" i="178"/>
  <c r="AV594" i="178"/>
  <c r="AW594" i="178"/>
  <c r="BL1016" i="178"/>
  <c r="BM1016" i="178"/>
  <c r="BD1016" i="178"/>
  <c r="BE1016" i="178"/>
  <c r="AV1016" i="178"/>
  <c r="AW1016" i="178"/>
  <c r="BL593" i="178"/>
  <c r="BM593" i="178"/>
  <c r="BE593" i="178"/>
  <c r="BD593" i="178"/>
  <c r="AW593" i="178"/>
  <c r="AV593" i="178"/>
  <c r="BM1015" i="178"/>
  <c r="BL1015" i="178"/>
  <c r="BD1015" i="178"/>
  <c r="BE1015" i="178"/>
  <c r="AV1015" i="178"/>
  <c r="AW1015" i="178"/>
  <c r="BL383" i="178"/>
  <c r="BM383" i="178"/>
  <c r="BD383" i="178"/>
  <c r="BE383" i="178"/>
  <c r="AV383" i="178"/>
  <c r="AW383" i="178"/>
  <c r="BL382" i="178"/>
  <c r="BM382" i="178"/>
  <c r="BD382" i="178"/>
  <c r="BE382" i="178"/>
  <c r="AV382" i="178"/>
  <c r="AW382" i="178"/>
  <c r="BL381" i="178"/>
  <c r="BM381" i="178"/>
  <c r="BE381" i="178"/>
  <c r="BD381" i="178"/>
  <c r="AW381" i="178"/>
  <c r="AV381" i="178"/>
  <c r="BM380" i="178"/>
  <c r="BL380" i="178"/>
  <c r="BD380" i="178"/>
  <c r="BE380" i="178"/>
  <c r="AV380" i="178"/>
  <c r="AW380" i="178"/>
  <c r="BL592" i="178"/>
  <c r="BM592" i="178"/>
  <c r="BD592" i="178"/>
  <c r="BE592" i="178"/>
  <c r="AV592" i="178"/>
  <c r="AW592" i="178"/>
  <c r="BL1014" i="178"/>
  <c r="BM1014" i="178"/>
  <c r="BD1014" i="178"/>
  <c r="BE1014" i="178"/>
  <c r="AV1014" i="178"/>
  <c r="AW1014" i="178"/>
  <c r="BL1013" i="178"/>
  <c r="BM1013" i="178"/>
  <c r="BE1013" i="178"/>
  <c r="BD1013" i="178"/>
  <c r="AW1013" i="178"/>
  <c r="AV1013" i="178"/>
  <c r="BM1012" i="178"/>
  <c r="BL1012" i="178"/>
  <c r="BD1012" i="178"/>
  <c r="BE1012" i="178"/>
  <c r="AV1012" i="178"/>
  <c r="AW1012" i="178"/>
  <c r="BL1011" i="178"/>
  <c r="BM1011" i="178"/>
  <c r="BD1011" i="178"/>
  <c r="BE1011" i="178"/>
  <c r="AV1011" i="178"/>
  <c r="AW1011" i="178"/>
  <c r="BL1002" i="178"/>
  <c r="BM1002" i="178"/>
  <c r="BD1002" i="178"/>
  <c r="BE1002" i="178"/>
  <c r="AV1002" i="178"/>
  <c r="AW1002" i="178"/>
  <c r="BL1001" i="178"/>
  <c r="BM1001" i="178"/>
  <c r="BE1001" i="178"/>
  <c r="BD1001" i="178"/>
  <c r="AW1001" i="178"/>
  <c r="AV1001" i="178"/>
  <c r="BM377" i="178"/>
  <c r="BL377" i="178"/>
  <c r="BD377" i="178"/>
  <c r="BE377" i="178"/>
  <c r="AV377" i="178"/>
  <c r="AW377" i="178"/>
  <c r="BL376" i="178"/>
  <c r="BM376" i="178"/>
  <c r="BD376" i="178"/>
  <c r="BE376" i="178"/>
  <c r="AV376" i="178"/>
  <c r="AW376" i="178"/>
  <c r="BL375" i="178"/>
  <c r="BM375" i="178"/>
  <c r="BD375" i="178"/>
  <c r="BE375" i="178"/>
  <c r="AV375" i="178"/>
  <c r="AW375" i="178"/>
  <c r="BL374" i="178"/>
  <c r="BM374" i="178"/>
  <c r="BE374" i="178"/>
  <c r="BD374" i="178"/>
  <c r="AW374" i="178"/>
  <c r="AV374" i="178"/>
  <c r="BM373" i="178"/>
  <c r="BL373" i="178"/>
  <c r="BD373" i="178"/>
  <c r="BE373" i="178"/>
  <c r="AV373" i="178"/>
  <c r="AW373" i="178"/>
  <c r="BL372" i="178"/>
  <c r="BM372" i="178"/>
  <c r="BD372" i="178"/>
  <c r="BE372" i="178"/>
  <c r="AV372" i="178"/>
  <c r="AW372" i="178"/>
  <c r="BL371" i="178"/>
  <c r="BM371" i="178"/>
  <c r="BD371" i="178"/>
  <c r="BE371" i="178"/>
  <c r="AV371" i="178"/>
  <c r="AW371" i="178"/>
  <c r="BL370" i="178"/>
  <c r="BM370" i="178"/>
  <c r="BE370" i="178"/>
  <c r="BD370" i="178"/>
  <c r="AW370" i="178"/>
  <c r="AV370" i="178"/>
  <c r="BM369" i="178"/>
  <c r="BL369" i="178"/>
  <c r="BD369" i="178"/>
  <c r="BE369" i="178"/>
  <c r="AV369" i="178"/>
  <c r="AW369" i="178"/>
  <c r="BL368" i="178"/>
  <c r="BM368" i="178"/>
  <c r="BD368" i="178"/>
  <c r="BE368" i="178"/>
  <c r="AV368" i="178"/>
  <c r="AW368" i="178"/>
  <c r="BL367" i="178"/>
  <c r="BM367" i="178"/>
  <c r="BD367" i="178"/>
  <c r="BE367" i="178"/>
  <c r="AV367" i="178"/>
  <c r="AW367" i="178"/>
  <c r="BL366" i="178"/>
  <c r="BM366" i="178"/>
  <c r="BE366" i="178"/>
  <c r="BD366" i="178"/>
  <c r="AW366" i="178"/>
  <c r="AV366" i="178"/>
  <c r="BM359" i="178"/>
  <c r="BL359" i="178"/>
  <c r="BD359" i="178"/>
  <c r="BE359" i="178"/>
  <c r="AV359" i="178"/>
  <c r="AW359" i="178"/>
  <c r="BL356" i="178"/>
  <c r="BM356" i="178"/>
  <c r="BD356" i="178"/>
  <c r="BE356" i="178"/>
  <c r="AV356" i="178"/>
  <c r="AW356" i="178"/>
  <c r="BL355" i="178"/>
  <c r="BM355" i="178"/>
  <c r="BD355" i="178"/>
  <c r="BE355" i="178"/>
  <c r="AV355" i="178"/>
  <c r="AW355" i="178"/>
  <c r="BL353" i="178"/>
  <c r="BM353" i="178"/>
  <c r="BE353" i="178"/>
  <c r="BD353" i="178"/>
  <c r="AW353" i="178"/>
  <c r="AV353" i="178"/>
  <c r="BM352" i="178"/>
  <c r="BL352" i="178"/>
  <c r="BD352" i="178"/>
  <c r="BE352" i="178"/>
  <c r="AV352" i="178"/>
  <c r="AW352" i="178"/>
  <c r="BL351" i="178"/>
  <c r="BM351" i="178"/>
  <c r="BD351" i="178"/>
  <c r="BE351" i="178"/>
  <c r="AV351" i="178"/>
  <c r="AW351" i="178"/>
  <c r="BL347" i="178"/>
  <c r="BM347" i="178"/>
  <c r="BD347" i="178"/>
  <c r="BE347" i="178"/>
  <c r="AV347" i="178"/>
  <c r="AW347" i="178"/>
  <c r="BL343" i="178"/>
  <c r="BM343" i="178"/>
  <c r="BE343" i="178"/>
  <c r="BD343" i="178"/>
  <c r="AW343" i="178"/>
  <c r="AV343" i="178"/>
  <c r="BM156" i="178"/>
  <c r="BL156" i="178"/>
  <c r="BD156" i="178"/>
  <c r="BE156" i="178"/>
  <c r="AV156" i="178"/>
  <c r="AW156" i="178"/>
  <c r="BL340" i="178"/>
  <c r="BM340" i="178"/>
  <c r="BD340" i="178"/>
  <c r="BE340" i="178"/>
  <c r="AV340" i="178"/>
  <c r="AW340" i="178"/>
  <c r="BL335" i="178"/>
  <c r="BM335" i="178"/>
  <c r="BD335" i="178"/>
  <c r="BE335" i="178"/>
  <c r="AV335" i="178"/>
  <c r="AW335" i="178"/>
  <c r="BL325" i="178"/>
  <c r="BM325" i="178"/>
  <c r="BE325" i="178"/>
  <c r="BD325" i="178"/>
  <c r="AW325" i="178"/>
  <c r="AV325" i="178"/>
  <c r="BM319" i="178"/>
  <c r="BL319" i="178"/>
  <c r="BD319" i="178"/>
  <c r="BE319" i="178"/>
  <c r="AV319" i="178"/>
  <c r="AW319" i="178"/>
  <c r="BL320" i="178"/>
  <c r="BM320" i="178"/>
  <c r="BD320" i="178"/>
  <c r="BE320" i="178"/>
  <c r="AV320" i="178"/>
  <c r="AW320" i="178"/>
  <c r="BL315" i="178"/>
  <c r="BM315" i="178"/>
  <c r="BD315" i="178"/>
  <c r="BE315" i="178"/>
  <c r="AV315" i="178"/>
  <c r="AW315" i="178"/>
  <c r="BM301" i="178"/>
  <c r="BL301" i="178"/>
  <c r="BD301" i="178"/>
  <c r="BE301" i="178"/>
  <c r="AV301" i="178"/>
  <c r="AW301" i="178"/>
  <c r="BL298" i="178"/>
  <c r="BM298" i="178"/>
  <c r="BD298" i="178"/>
  <c r="BE298" i="178"/>
  <c r="AV298" i="178"/>
  <c r="AW298" i="178"/>
  <c r="BL290" i="178"/>
  <c r="BM290" i="178"/>
  <c r="BD290" i="178"/>
  <c r="BE290" i="178"/>
  <c r="AV290" i="178"/>
  <c r="AW290" i="178"/>
  <c r="BL283" i="178"/>
  <c r="BM283" i="178"/>
  <c r="BE283" i="178"/>
  <c r="BD283" i="178"/>
  <c r="AW283" i="178"/>
  <c r="AV283" i="178"/>
  <c r="BM282" i="178"/>
  <c r="BL282" i="178"/>
  <c r="BD282" i="178"/>
  <c r="BE282" i="178"/>
  <c r="AV282" i="178"/>
  <c r="AW282" i="178"/>
  <c r="BL281" i="178"/>
  <c r="BM281" i="178"/>
  <c r="BD281" i="178"/>
  <c r="BE281" i="178"/>
  <c r="AV281" i="178"/>
  <c r="AW281" i="178"/>
  <c r="BL276" i="178"/>
  <c r="BM276" i="178"/>
  <c r="BD276" i="178"/>
  <c r="BE276" i="178"/>
  <c r="AV276" i="178"/>
  <c r="AW276" i="178"/>
  <c r="BL275" i="178"/>
  <c r="BM275" i="178"/>
  <c r="BE275" i="178"/>
  <c r="BD275" i="178"/>
  <c r="AW275" i="178"/>
  <c r="AV275" i="178"/>
  <c r="BM274" i="178"/>
  <c r="BL274" i="178"/>
  <c r="BD274" i="178"/>
  <c r="BE274" i="178"/>
  <c r="AV274" i="178"/>
  <c r="AW274" i="178"/>
  <c r="BL273" i="178"/>
  <c r="BM273" i="178"/>
  <c r="BD273" i="178"/>
  <c r="BE273" i="178"/>
  <c r="AV273" i="178"/>
  <c r="AW273" i="178"/>
  <c r="BL272" i="178"/>
  <c r="BM272" i="178"/>
  <c r="BD272" i="178"/>
  <c r="BE272" i="178"/>
  <c r="AV272" i="178"/>
  <c r="AW272" i="178"/>
  <c r="BL269" i="178"/>
  <c r="BM269" i="178"/>
  <c r="BE269" i="178"/>
  <c r="BD269" i="178"/>
  <c r="AW269" i="178"/>
  <c r="AV269" i="178"/>
  <c r="BM268" i="178"/>
  <c r="BL268" i="178"/>
  <c r="BD268" i="178"/>
  <c r="BE268" i="178"/>
  <c r="AV268" i="178"/>
  <c r="AW268" i="178"/>
  <c r="BL589" i="178"/>
  <c r="BM589" i="178"/>
  <c r="BD589" i="178"/>
  <c r="BE589" i="178"/>
  <c r="AV589" i="178"/>
  <c r="AW589" i="178"/>
  <c r="BL999" i="178"/>
  <c r="BM999" i="178"/>
  <c r="BE999" i="178"/>
  <c r="BD999" i="178"/>
  <c r="AW999" i="178"/>
  <c r="AV999" i="178"/>
  <c r="BM998" i="178"/>
  <c r="BL998" i="178"/>
  <c r="BD998" i="178"/>
  <c r="BE998" i="178"/>
  <c r="AV998" i="178"/>
  <c r="AW998" i="178"/>
  <c r="BL996" i="178"/>
  <c r="BM996" i="178"/>
  <c r="BD996" i="178"/>
  <c r="BE996" i="178"/>
  <c r="AV996" i="178"/>
  <c r="AW996" i="178"/>
  <c r="BH995" i="178"/>
  <c r="BI995" i="178"/>
  <c r="AZ995" i="178"/>
  <c r="BA995" i="178"/>
  <c r="AR995" i="178"/>
  <c r="AS995" i="178"/>
  <c r="BC154" i="178"/>
  <c r="BB154" i="178"/>
  <c r="AU154" i="178"/>
  <c r="AT154" i="178"/>
  <c r="V154" i="178"/>
  <c r="BO671" i="178"/>
  <c r="BN671" i="178"/>
  <c r="BF671" i="178"/>
  <c r="BG671" i="178"/>
  <c r="AX671" i="178"/>
  <c r="AY671" i="178"/>
  <c r="BI163" i="178"/>
  <c r="BH163" i="178"/>
  <c r="BA163" i="178"/>
  <c r="AZ163" i="178"/>
  <c r="AS163" i="178"/>
  <c r="AR163" i="178"/>
  <c r="BM162" i="178"/>
  <c r="BL162" i="178"/>
  <c r="BD162" i="178"/>
  <c r="BE162" i="178"/>
  <c r="AV162" i="178"/>
  <c r="AW162" i="178"/>
  <c r="V162" i="178"/>
  <c r="BN994" i="178"/>
  <c r="BF994" i="178"/>
  <c r="AX994" i="178"/>
  <c r="V994" i="178"/>
  <c r="BN993" i="178"/>
  <c r="BO993" i="178"/>
  <c r="BF993" i="178"/>
  <c r="BG993" i="178"/>
  <c r="AY993" i="178"/>
  <c r="AX993" i="178"/>
  <c r="BM228" i="178"/>
  <c r="BL228" i="178"/>
  <c r="BD228" i="178"/>
  <c r="BE228" i="178"/>
  <c r="AV228" i="178"/>
  <c r="AW228" i="178"/>
  <c r="BL267" i="178"/>
  <c r="BD267" i="178"/>
  <c r="AV267" i="178"/>
  <c r="BL262" i="178"/>
  <c r="BM262" i="178"/>
  <c r="BE262" i="178"/>
  <c r="BD262" i="178"/>
  <c r="AW262" i="178"/>
  <c r="AV262" i="178"/>
  <c r="BB261" i="178"/>
  <c r="BC261" i="178"/>
  <c r="AT261" i="178"/>
  <c r="AU261" i="178"/>
  <c r="BB260" i="178"/>
  <c r="AT260" i="178"/>
  <c r="BH259" i="178"/>
  <c r="BI259" i="178"/>
  <c r="AZ259" i="178"/>
  <c r="BA259" i="178"/>
  <c r="AR259" i="178"/>
  <c r="AS259" i="178"/>
  <c r="BB588" i="178"/>
  <c r="BC588" i="178"/>
  <c r="AT588" i="178"/>
  <c r="AU588" i="178"/>
  <c r="BH991" i="178"/>
  <c r="BI991" i="178"/>
  <c r="AZ991" i="178"/>
  <c r="BA991" i="178"/>
  <c r="AR991" i="178"/>
  <c r="AS991" i="178"/>
  <c r="BH239" i="178"/>
  <c r="AZ239" i="178"/>
  <c r="AR239" i="178"/>
  <c r="BO245" i="178"/>
  <c r="BN245" i="178"/>
  <c r="BF245" i="178"/>
  <c r="BG245" i="178"/>
  <c r="AX245" i="178"/>
  <c r="AY245" i="178"/>
  <c r="BI244" i="178"/>
  <c r="BH244" i="178"/>
  <c r="BA244" i="178"/>
  <c r="AZ244" i="178"/>
  <c r="AS244" i="178"/>
  <c r="AR244" i="178"/>
  <c r="BN587" i="178"/>
  <c r="BO587" i="178"/>
  <c r="BF587" i="178"/>
  <c r="BG587" i="178"/>
  <c r="AY587" i="178"/>
  <c r="AX587" i="178"/>
  <c r="V587" i="178"/>
  <c r="BN990" i="178"/>
  <c r="BF990" i="178"/>
  <c r="AX990" i="178"/>
  <c r="V990" i="178"/>
  <c r="BL243" i="178"/>
  <c r="BM243" i="178"/>
  <c r="BD243" i="178"/>
  <c r="BE243" i="178"/>
  <c r="AW243" i="178"/>
  <c r="AV243" i="178"/>
  <c r="BN242" i="178"/>
  <c r="BO242" i="178"/>
  <c r="BF242" i="178"/>
  <c r="BG242" i="178"/>
  <c r="AY242" i="178"/>
  <c r="AX242" i="178"/>
  <c r="BM240" i="178"/>
  <c r="BL240" i="178"/>
  <c r="BD240" i="178"/>
  <c r="BE240" i="178"/>
  <c r="AV240" i="178"/>
  <c r="AW240" i="178"/>
  <c r="BI586" i="178"/>
  <c r="BH586" i="178"/>
  <c r="AZ586" i="178"/>
  <c r="BA586" i="178"/>
  <c r="AS586" i="178"/>
  <c r="AR586" i="178"/>
  <c r="BO988" i="178"/>
  <c r="BN988" i="178"/>
  <c r="BF988" i="178"/>
  <c r="BG988" i="178"/>
  <c r="AX988" i="178"/>
  <c r="AY988" i="178"/>
  <c r="V234" i="178"/>
  <c r="U234" i="178"/>
  <c r="BC233" i="178"/>
  <c r="BB233" i="178"/>
  <c r="AT233" i="178"/>
  <c r="AU233" i="178"/>
  <c r="BH158" i="178"/>
  <c r="AZ158" i="178"/>
  <c r="AR158" i="178"/>
  <c r="BH117" i="178"/>
  <c r="BI117" i="178"/>
  <c r="AZ117" i="178"/>
  <c r="BA117" i="178"/>
  <c r="AR117" i="178"/>
  <c r="AS117" i="178"/>
  <c r="U116" i="178"/>
  <c r="V116" i="178"/>
  <c r="BB69" i="178"/>
  <c r="AT69" i="178"/>
  <c r="BI68" i="178"/>
  <c r="BH68" i="178"/>
  <c r="AZ68" i="178"/>
  <c r="BA68" i="178"/>
  <c r="AR68" i="178"/>
  <c r="AS68" i="178"/>
  <c r="V657" i="178"/>
  <c r="V451" i="178"/>
  <c r="V656" i="178"/>
  <c r="V450" i="178"/>
  <c r="V449" i="178"/>
  <c r="V655" i="178"/>
  <c r="V654" i="178"/>
  <c r="V653" i="178"/>
  <c r="V448" i="178"/>
  <c r="V652" i="178"/>
  <c r="V1035" i="178"/>
  <c r="V968" i="178"/>
  <c r="V650" i="178"/>
  <c r="V649" i="178"/>
  <c r="V633" i="178"/>
  <c r="V422" i="178"/>
  <c r="V785" i="178"/>
  <c r="U813" i="178"/>
  <c r="U809" i="178"/>
  <c r="U1022" i="178"/>
  <c r="U1006" i="178"/>
  <c r="U986" i="178"/>
  <c r="U985" i="178"/>
  <c r="U421" i="178"/>
  <c r="U53" i="178"/>
  <c r="U152" i="178"/>
  <c r="U979" i="178"/>
  <c r="AV254" i="178"/>
  <c r="BB900" i="178"/>
  <c r="BH889" i="178"/>
  <c r="BI648" i="178"/>
  <c r="AW639" i="178"/>
  <c r="BN738" i="178"/>
  <c r="BO738" i="178"/>
  <c r="BG738" i="178"/>
  <c r="BF738" i="178"/>
  <c r="AY738" i="178"/>
  <c r="AX738" i="178"/>
  <c r="BO737" i="178"/>
  <c r="BN737" i="178"/>
  <c r="BF737" i="178"/>
  <c r="BG737" i="178"/>
  <c r="AX737" i="178"/>
  <c r="AY737" i="178"/>
  <c r="BN1020" i="178"/>
  <c r="BO1020" i="178"/>
  <c r="BF1020" i="178"/>
  <c r="BG1020" i="178"/>
  <c r="AX1020" i="178"/>
  <c r="AY1020" i="178"/>
  <c r="BH419" i="178"/>
  <c r="BI419" i="178"/>
  <c r="AZ419" i="178"/>
  <c r="BA419" i="178"/>
  <c r="AR419" i="178"/>
  <c r="AS419" i="178"/>
  <c r="BC579" i="178"/>
  <c r="BB579" i="178"/>
  <c r="AU579" i="178"/>
  <c r="AT579" i="178"/>
  <c r="BL577" i="178"/>
  <c r="BM577" i="178"/>
  <c r="BD577" i="178"/>
  <c r="BE577" i="178"/>
  <c r="AV577" i="178"/>
  <c r="AW577" i="178"/>
  <c r="BN571" i="178"/>
  <c r="BO571" i="178"/>
  <c r="BF571" i="178"/>
  <c r="BG571" i="178"/>
  <c r="AX571" i="178"/>
  <c r="AY571" i="178"/>
  <c r="BC564" i="178"/>
  <c r="BB564" i="178"/>
  <c r="AU564" i="178"/>
  <c r="AT564" i="178"/>
  <c r="BL559" i="178"/>
  <c r="BM559" i="178"/>
  <c r="BD559" i="178"/>
  <c r="BE559" i="178"/>
  <c r="AV559" i="178"/>
  <c r="AW559" i="178"/>
  <c r="BN554" i="178"/>
  <c r="BO554" i="178"/>
  <c r="BF554" i="178"/>
  <c r="BG554" i="178"/>
  <c r="AX554" i="178"/>
  <c r="AY554" i="178"/>
  <c r="BH550" i="178"/>
  <c r="BI550" i="178"/>
  <c r="AZ550" i="178"/>
  <c r="BA550" i="178"/>
  <c r="AR550" i="178"/>
  <c r="AS550" i="178"/>
  <c r="BC546" i="178"/>
  <c r="BB546" i="178"/>
  <c r="AU546" i="178"/>
  <c r="AT546" i="178"/>
  <c r="BL542" i="178"/>
  <c r="BM542" i="178"/>
  <c r="BD542" i="178"/>
  <c r="BE542" i="178"/>
  <c r="AV542" i="178"/>
  <c r="AW542" i="178"/>
  <c r="BN538" i="178"/>
  <c r="BO538" i="178"/>
  <c r="BF538" i="178"/>
  <c r="BG538" i="178"/>
  <c r="AX538" i="178"/>
  <c r="AY538" i="178"/>
  <c r="BH537" i="178"/>
  <c r="BI537" i="178"/>
  <c r="AZ537" i="178"/>
  <c r="BA537" i="178"/>
  <c r="AR537" i="178"/>
  <c r="AS537" i="178"/>
  <c r="BC533" i="178"/>
  <c r="BB533" i="178"/>
  <c r="AU533" i="178"/>
  <c r="AT533" i="178"/>
  <c r="BL532" i="178"/>
  <c r="BM532" i="178"/>
  <c r="BD532" i="178"/>
  <c r="BE532" i="178"/>
  <c r="AV532" i="178"/>
  <c r="AW532" i="178"/>
  <c r="BN531" i="178"/>
  <c r="BO531" i="178"/>
  <c r="BF531" i="178"/>
  <c r="BG531" i="178"/>
  <c r="AX531" i="178"/>
  <c r="AY531" i="178"/>
  <c r="BH530" i="178"/>
  <c r="BI530" i="178"/>
  <c r="AZ530" i="178"/>
  <c r="BA530" i="178"/>
  <c r="AR530" i="178"/>
  <c r="AS530" i="178"/>
  <c r="BC528" i="178"/>
  <c r="BB528" i="178"/>
  <c r="AU528" i="178"/>
  <c r="AT528" i="178"/>
  <c r="BL527" i="178"/>
  <c r="BM527" i="178"/>
  <c r="BD527" i="178"/>
  <c r="BE527" i="178"/>
  <c r="AV527" i="178"/>
  <c r="AW527" i="178"/>
  <c r="BN520" i="178"/>
  <c r="BO520" i="178"/>
  <c r="BF520" i="178"/>
  <c r="BG520" i="178"/>
  <c r="AX520" i="178"/>
  <c r="AY520" i="178"/>
  <c r="BH511" i="178"/>
  <c r="BI511" i="178"/>
  <c r="AZ511" i="178"/>
  <c r="BA511" i="178"/>
  <c r="AR511" i="178"/>
  <c r="AS511" i="178"/>
  <c r="BC509" i="178"/>
  <c r="BB509" i="178"/>
  <c r="AU509" i="178"/>
  <c r="AT509" i="178"/>
  <c r="BL503" i="178"/>
  <c r="BM503" i="178"/>
  <c r="BD503" i="178"/>
  <c r="BE503" i="178"/>
  <c r="AV503" i="178"/>
  <c r="AW503" i="178"/>
  <c r="BN501" i="178"/>
  <c r="BO501" i="178"/>
  <c r="BF501" i="178"/>
  <c r="BG501" i="178"/>
  <c r="AX501" i="178"/>
  <c r="AY501" i="178"/>
  <c r="BH500" i="178"/>
  <c r="BI500" i="178"/>
  <c r="AZ500" i="178"/>
  <c r="BA500" i="178"/>
  <c r="AR500" i="178"/>
  <c r="AS500" i="178"/>
  <c r="BC496" i="178"/>
  <c r="BB496" i="178"/>
  <c r="AU496" i="178"/>
  <c r="AT496" i="178"/>
  <c r="BL495" i="178"/>
  <c r="BM495" i="178"/>
  <c r="BD495" i="178"/>
  <c r="BE495" i="178"/>
  <c r="AV495" i="178"/>
  <c r="AW495" i="178"/>
  <c r="BN185" i="178"/>
  <c r="BO185" i="178"/>
  <c r="BF185" i="178"/>
  <c r="BG185" i="178"/>
  <c r="AX185" i="178"/>
  <c r="AY185" i="178"/>
  <c r="BH492" i="178"/>
  <c r="BI492" i="178"/>
  <c r="AZ492" i="178"/>
  <c r="BA492" i="178"/>
  <c r="AR492" i="178"/>
  <c r="AS492" i="178"/>
  <c r="BC1019" i="178"/>
  <c r="BB1019" i="178"/>
  <c r="AU1019" i="178"/>
  <c r="AT1019" i="178"/>
  <c r="BL490" i="178"/>
  <c r="BM490" i="178"/>
  <c r="BD490" i="178"/>
  <c r="BE490" i="178"/>
  <c r="AV490" i="178"/>
  <c r="AW490" i="178"/>
  <c r="BN328" i="178"/>
  <c r="BO328" i="178"/>
  <c r="BF328" i="178"/>
  <c r="BG328" i="178"/>
  <c r="AX328" i="178"/>
  <c r="AY328" i="178"/>
  <c r="BH487" i="178"/>
  <c r="BI487" i="178"/>
  <c r="AZ487" i="178"/>
  <c r="BA487" i="178"/>
  <c r="AR487" i="178"/>
  <c r="AS487" i="178"/>
  <c r="BC486" i="178"/>
  <c r="BB486" i="178"/>
  <c r="AU486" i="178"/>
  <c r="AT486" i="178"/>
  <c r="BB485" i="178"/>
  <c r="BC485" i="178"/>
  <c r="AT485" i="178"/>
  <c r="AU485" i="178"/>
  <c r="BB324" i="178"/>
  <c r="BC324" i="178"/>
  <c r="AT324" i="178"/>
  <c r="AU324" i="178"/>
  <c r="BB484" i="178"/>
  <c r="BC484" i="178"/>
  <c r="AT484" i="178"/>
  <c r="AU484" i="178"/>
  <c r="BC475" i="178"/>
  <c r="BB475" i="178"/>
  <c r="AU475" i="178"/>
  <c r="AT475" i="178"/>
  <c r="BB476" i="178"/>
  <c r="BC476" i="178"/>
  <c r="AT476" i="178"/>
  <c r="AU476" i="178"/>
  <c r="BB318" i="178"/>
  <c r="BC318" i="178"/>
  <c r="AT318" i="178"/>
  <c r="AU318" i="178"/>
  <c r="BC474" i="178"/>
  <c r="BB474" i="178"/>
  <c r="AU474" i="178"/>
  <c r="AT474" i="178"/>
  <c r="BB599" i="178"/>
  <c r="BC599" i="178"/>
  <c r="AT599" i="178"/>
  <c r="AU599" i="178"/>
  <c r="BB317" i="178"/>
  <c r="BC317" i="178"/>
  <c r="AT317" i="178"/>
  <c r="AU317" i="178"/>
  <c r="BB468" i="178"/>
  <c r="BC468" i="178"/>
  <c r="AT468" i="178"/>
  <c r="AU468" i="178"/>
  <c r="BL569" i="178"/>
  <c r="BM569" i="178"/>
  <c r="BD569" i="178"/>
  <c r="BE569" i="178"/>
  <c r="AV569" i="178"/>
  <c r="AW569" i="178"/>
  <c r="BB466" i="178"/>
  <c r="BC466" i="178"/>
  <c r="AT466" i="178"/>
  <c r="AU466" i="178"/>
  <c r="BL1018" i="178"/>
  <c r="BM1018" i="178"/>
  <c r="BE1018" i="178"/>
  <c r="BD1018" i="178"/>
  <c r="AW1018" i="178"/>
  <c r="AV1018" i="178"/>
  <c r="BB464" i="178"/>
  <c r="BC464" i="178"/>
  <c r="AT464" i="178"/>
  <c r="AU464" i="178"/>
  <c r="BL230" i="178"/>
  <c r="BM230" i="178"/>
  <c r="BE230" i="178"/>
  <c r="BD230" i="178"/>
  <c r="AW230" i="178"/>
  <c r="AV230" i="178"/>
  <c r="BB463" i="178"/>
  <c r="BC463" i="178"/>
  <c r="AT463" i="178"/>
  <c r="AU463" i="178"/>
  <c r="BC568" i="178"/>
  <c r="BB568" i="178"/>
  <c r="AU568" i="178"/>
  <c r="AT568" i="178"/>
  <c r="BB462" i="178"/>
  <c r="BC462" i="178"/>
  <c r="AT462" i="178"/>
  <c r="AU462" i="178"/>
  <c r="BB181" i="178"/>
  <c r="BC181" i="178"/>
  <c r="AT181" i="178"/>
  <c r="AU181" i="178"/>
  <c r="BB180" i="178"/>
  <c r="BC180" i="178"/>
  <c r="AT180" i="178"/>
  <c r="AU180" i="178"/>
  <c r="BC389" i="178"/>
  <c r="BB389" i="178"/>
  <c r="AU389" i="178"/>
  <c r="AT389" i="178"/>
  <c r="BB388" i="178"/>
  <c r="BC388" i="178"/>
  <c r="AT388" i="178"/>
  <c r="AU388" i="178"/>
  <c r="BB387" i="178"/>
  <c r="BC387" i="178"/>
  <c r="AT387" i="178"/>
  <c r="AU387" i="178"/>
  <c r="BB175" i="178"/>
  <c r="BC175" i="178"/>
  <c r="AT175" i="178"/>
  <c r="AU175" i="178"/>
  <c r="BB386" i="178"/>
  <c r="BC386" i="178"/>
  <c r="AT386" i="178"/>
  <c r="AU386" i="178"/>
  <c r="BB385" i="178"/>
  <c r="BC385" i="178"/>
  <c r="AT385" i="178"/>
  <c r="AU385" i="178"/>
  <c r="BB384" i="178"/>
  <c r="BC384" i="178"/>
  <c r="AT384" i="178"/>
  <c r="AU384" i="178"/>
  <c r="BC594" i="178"/>
  <c r="BB594" i="178"/>
  <c r="AU594" i="178"/>
  <c r="AT594" i="178"/>
  <c r="BB1016" i="178"/>
  <c r="BC1016" i="178"/>
  <c r="AT1016" i="178"/>
  <c r="AU1016" i="178"/>
  <c r="BB593" i="178"/>
  <c r="BC593" i="178"/>
  <c r="AT593" i="178"/>
  <c r="AU593" i="178"/>
  <c r="BB1015" i="178"/>
  <c r="BC1015" i="178"/>
  <c r="AT1015" i="178"/>
  <c r="AU1015" i="178"/>
  <c r="BC383" i="178"/>
  <c r="BB383" i="178"/>
  <c r="AU383" i="178"/>
  <c r="AT383" i="178"/>
  <c r="BB382" i="178"/>
  <c r="BC382" i="178"/>
  <c r="AT382" i="178"/>
  <c r="AU382" i="178"/>
  <c r="BB381" i="178"/>
  <c r="BC381" i="178"/>
  <c r="AT381" i="178"/>
  <c r="AU381" i="178"/>
  <c r="BB380" i="178"/>
  <c r="BC380" i="178"/>
  <c r="AT380" i="178"/>
  <c r="AU380" i="178"/>
  <c r="BC592" i="178"/>
  <c r="BB592" i="178"/>
  <c r="AU592" i="178"/>
  <c r="AT592" i="178"/>
  <c r="BB1014" i="178"/>
  <c r="BC1014" i="178"/>
  <c r="AT1014" i="178"/>
  <c r="AU1014" i="178"/>
  <c r="BB1013" i="178"/>
  <c r="BC1013" i="178"/>
  <c r="AT1013" i="178"/>
  <c r="AU1013" i="178"/>
  <c r="BB1012" i="178"/>
  <c r="BC1012" i="178"/>
  <c r="AT1012" i="178"/>
  <c r="AU1012" i="178"/>
  <c r="BC1011" i="178"/>
  <c r="BB1011" i="178"/>
  <c r="AU1011" i="178"/>
  <c r="AT1011" i="178"/>
  <c r="BB1002" i="178"/>
  <c r="BC1002" i="178"/>
  <c r="AT1002" i="178"/>
  <c r="AU1002" i="178"/>
  <c r="BB1001" i="178"/>
  <c r="BC1001" i="178"/>
  <c r="AT1001" i="178"/>
  <c r="AU1001" i="178"/>
  <c r="BB377" i="178"/>
  <c r="BC377" i="178"/>
  <c r="AT377" i="178"/>
  <c r="AU377" i="178"/>
  <c r="BC376" i="178"/>
  <c r="BB376" i="178"/>
  <c r="AU376" i="178"/>
  <c r="AT376" i="178"/>
  <c r="BB375" i="178"/>
  <c r="BC375" i="178"/>
  <c r="AT375" i="178"/>
  <c r="AU375" i="178"/>
  <c r="BB374" i="178"/>
  <c r="BC374" i="178"/>
  <c r="AT374" i="178"/>
  <c r="AU374" i="178"/>
  <c r="BB373" i="178"/>
  <c r="BC373" i="178"/>
  <c r="AT373" i="178"/>
  <c r="AU373" i="178"/>
  <c r="BC372" i="178"/>
  <c r="BB372" i="178"/>
  <c r="AU372" i="178"/>
  <c r="AT372" i="178"/>
  <c r="BB371" i="178"/>
  <c r="BC371" i="178"/>
  <c r="AT371" i="178"/>
  <c r="AU371" i="178"/>
  <c r="BB370" i="178"/>
  <c r="BC370" i="178"/>
  <c r="AT370" i="178"/>
  <c r="AU370" i="178"/>
  <c r="BB369" i="178"/>
  <c r="BC369" i="178"/>
  <c r="AT369" i="178"/>
  <c r="AU369" i="178"/>
  <c r="BC368" i="178"/>
  <c r="BB368" i="178"/>
  <c r="AU368" i="178"/>
  <c r="AT368" i="178"/>
  <c r="BB367" i="178"/>
  <c r="BC367" i="178"/>
  <c r="AT367" i="178"/>
  <c r="AU367" i="178"/>
  <c r="BB366" i="178"/>
  <c r="BC366" i="178"/>
  <c r="AT366" i="178"/>
  <c r="AU366" i="178"/>
  <c r="BB359" i="178"/>
  <c r="BC359" i="178"/>
  <c r="AT359" i="178"/>
  <c r="AU359" i="178"/>
  <c r="BC356" i="178"/>
  <c r="BB356" i="178"/>
  <c r="AU356" i="178"/>
  <c r="AT356" i="178"/>
  <c r="BB355" i="178"/>
  <c r="BC355" i="178"/>
  <c r="AT355" i="178"/>
  <c r="AU355" i="178"/>
  <c r="BB353" i="178"/>
  <c r="BC353" i="178"/>
  <c r="AT353" i="178"/>
  <c r="AU353" i="178"/>
  <c r="BB352" i="178"/>
  <c r="BC352" i="178"/>
  <c r="AT352" i="178"/>
  <c r="AU352" i="178"/>
  <c r="BC351" i="178"/>
  <c r="BB351" i="178"/>
  <c r="AU351" i="178"/>
  <c r="AT351" i="178"/>
  <c r="BB347" i="178"/>
  <c r="BC347" i="178"/>
  <c r="AT347" i="178"/>
  <c r="AU347" i="178"/>
  <c r="BB343" i="178"/>
  <c r="BC343" i="178"/>
  <c r="AT343" i="178"/>
  <c r="AU343" i="178"/>
  <c r="BB156" i="178"/>
  <c r="BC156" i="178"/>
  <c r="AT156" i="178"/>
  <c r="AU156" i="178"/>
  <c r="BC340" i="178"/>
  <c r="BB340" i="178"/>
  <c r="AU340" i="178"/>
  <c r="AT340" i="178"/>
  <c r="BB335" i="178"/>
  <c r="BC335" i="178"/>
  <c r="AT335" i="178"/>
  <c r="AU335" i="178"/>
  <c r="BB325" i="178"/>
  <c r="BC325" i="178"/>
  <c r="AT325" i="178"/>
  <c r="AU325" i="178"/>
  <c r="BB319" i="178"/>
  <c r="BC319" i="178"/>
  <c r="AT319" i="178"/>
  <c r="AU319" i="178"/>
  <c r="BC320" i="178"/>
  <c r="BB320" i="178"/>
  <c r="AU320" i="178"/>
  <c r="AT320" i="178"/>
  <c r="BB315" i="178"/>
  <c r="BC315" i="178"/>
  <c r="AT315" i="178"/>
  <c r="AU315" i="178"/>
  <c r="BB301" i="178"/>
  <c r="BC301" i="178"/>
  <c r="AT301" i="178"/>
  <c r="AU301" i="178"/>
  <c r="BC298" i="178"/>
  <c r="BB298" i="178"/>
  <c r="AU298" i="178"/>
  <c r="AT298" i="178"/>
  <c r="BB290" i="178"/>
  <c r="BC290" i="178"/>
  <c r="AT290" i="178"/>
  <c r="AU290" i="178"/>
  <c r="BB283" i="178"/>
  <c r="BC283" i="178"/>
  <c r="AT283" i="178"/>
  <c r="AU283" i="178"/>
  <c r="BB282" i="178"/>
  <c r="BC282" i="178"/>
  <c r="AT282" i="178"/>
  <c r="AU282" i="178"/>
  <c r="BC281" i="178"/>
  <c r="BB281" i="178"/>
  <c r="AU281" i="178"/>
  <c r="AT281" i="178"/>
  <c r="BB276" i="178"/>
  <c r="BC276" i="178"/>
  <c r="AT276" i="178"/>
  <c r="AU276" i="178"/>
  <c r="BB275" i="178"/>
  <c r="BC275" i="178"/>
  <c r="AT275" i="178"/>
  <c r="AU275" i="178"/>
  <c r="BB274" i="178"/>
  <c r="BC274" i="178"/>
  <c r="AT274" i="178"/>
  <c r="AU274" i="178"/>
  <c r="BC273" i="178"/>
  <c r="BB273" i="178"/>
  <c r="AU273" i="178"/>
  <c r="AT273" i="178"/>
  <c r="BB272" i="178"/>
  <c r="BC272" i="178"/>
  <c r="AT272" i="178"/>
  <c r="AU272" i="178"/>
  <c r="BB269" i="178"/>
  <c r="BC269" i="178"/>
  <c r="AT269" i="178"/>
  <c r="AU269" i="178"/>
  <c r="BB268" i="178"/>
  <c r="BC268" i="178"/>
  <c r="AT268" i="178"/>
  <c r="AU268" i="178"/>
  <c r="BC589" i="178"/>
  <c r="BB589" i="178"/>
  <c r="AU589" i="178"/>
  <c r="AT589" i="178"/>
  <c r="BB999" i="178"/>
  <c r="BC999" i="178"/>
  <c r="AT999" i="178"/>
  <c r="AU999" i="178"/>
  <c r="BB998" i="178"/>
  <c r="BC998" i="178"/>
  <c r="AT998" i="178"/>
  <c r="AU998" i="178"/>
  <c r="BC996" i="178"/>
  <c r="BB996" i="178"/>
  <c r="AU996" i="178"/>
  <c r="AT996" i="178"/>
  <c r="BO995" i="178"/>
  <c r="BN995" i="178"/>
  <c r="BF995" i="178"/>
  <c r="BG995" i="178"/>
  <c r="AX995" i="178"/>
  <c r="AY995" i="178"/>
  <c r="BH154" i="178"/>
  <c r="BI154" i="178"/>
  <c r="AZ154" i="178"/>
  <c r="BA154" i="178"/>
  <c r="AR154" i="178"/>
  <c r="AS154" i="178"/>
  <c r="BM671" i="178"/>
  <c r="BL671" i="178"/>
  <c r="BD671" i="178"/>
  <c r="BE671" i="178"/>
  <c r="AV671" i="178"/>
  <c r="AW671" i="178"/>
  <c r="BN163" i="178"/>
  <c r="BO163" i="178"/>
  <c r="BF163" i="178"/>
  <c r="BG163" i="178"/>
  <c r="AX163" i="178"/>
  <c r="AY163" i="178"/>
  <c r="BB162" i="178"/>
  <c r="BC162" i="178"/>
  <c r="AT162" i="178"/>
  <c r="AU162" i="178"/>
  <c r="BL994" i="178"/>
  <c r="BD994" i="178"/>
  <c r="AV994" i="178"/>
  <c r="BL993" i="178"/>
  <c r="BM993" i="178"/>
  <c r="BE993" i="178"/>
  <c r="BD993" i="178"/>
  <c r="AW993" i="178"/>
  <c r="AV993" i="178"/>
  <c r="BB228" i="178"/>
  <c r="BC228" i="178"/>
  <c r="AU228" i="178"/>
  <c r="AT228" i="178"/>
  <c r="BB267" i="178"/>
  <c r="AT267" i="178"/>
  <c r="BB262" i="178"/>
  <c r="BC262" i="178"/>
  <c r="AU262" i="178"/>
  <c r="AT262" i="178"/>
  <c r="BH261" i="178"/>
  <c r="BI261" i="178"/>
  <c r="AZ261" i="178"/>
  <c r="BA261" i="178"/>
  <c r="AR261" i="178"/>
  <c r="AS261" i="178"/>
  <c r="BH260" i="178"/>
  <c r="AZ260" i="178"/>
  <c r="AR260" i="178"/>
  <c r="BO259" i="178"/>
  <c r="BN259" i="178"/>
  <c r="BF259" i="178"/>
  <c r="BG259" i="178"/>
  <c r="AX259" i="178"/>
  <c r="AY259" i="178"/>
  <c r="BI588" i="178"/>
  <c r="BH588" i="178"/>
  <c r="BA588" i="178"/>
  <c r="AZ588" i="178"/>
  <c r="AS588" i="178"/>
  <c r="AR588" i="178"/>
  <c r="BO991" i="178"/>
  <c r="BN991" i="178"/>
  <c r="BF991" i="178"/>
  <c r="BG991" i="178"/>
  <c r="AX991" i="178"/>
  <c r="AY991" i="178"/>
  <c r="V991" i="178"/>
  <c r="BN239" i="178"/>
  <c r="BF239" i="178"/>
  <c r="AX239" i="178"/>
  <c r="BM245" i="178"/>
  <c r="BL245" i="178"/>
  <c r="BD245" i="178"/>
  <c r="BE245" i="178"/>
  <c r="AV245" i="178"/>
  <c r="AW245" i="178"/>
  <c r="BN244" i="178"/>
  <c r="BO244" i="178"/>
  <c r="BF244" i="178"/>
  <c r="BG244" i="178"/>
  <c r="AX244" i="178"/>
  <c r="AY244" i="178"/>
  <c r="BM587" i="178"/>
  <c r="BL587" i="178"/>
  <c r="BD587" i="178"/>
  <c r="BE587" i="178"/>
  <c r="AV587" i="178"/>
  <c r="AW587" i="178"/>
  <c r="BL990" i="178"/>
  <c r="BD990" i="178"/>
  <c r="AV990" i="178"/>
  <c r="BB243" i="178"/>
  <c r="BC243" i="178"/>
  <c r="AT243" i="178"/>
  <c r="AU243" i="178"/>
  <c r="BL242" i="178"/>
  <c r="BM242" i="178"/>
  <c r="BE242" i="178"/>
  <c r="BD242" i="178"/>
  <c r="AW242" i="178"/>
  <c r="AV242" i="178"/>
  <c r="BB240" i="178"/>
  <c r="BC240" i="178"/>
  <c r="AU240" i="178"/>
  <c r="AT240" i="178"/>
  <c r="BH238" i="178"/>
  <c r="BI238" i="178"/>
  <c r="AZ238" i="178"/>
  <c r="BA238" i="178"/>
  <c r="AR238" i="178"/>
  <c r="AS238" i="178"/>
  <c r="BH585" i="178"/>
  <c r="AZ585" i="178"/>
  <c r="AR585" i="178"/>
  <c r="BH903" i="178"/>
  <c r="AZ903" i="178"/>
  <c r="AR903" i="178"/>
  <c r="BB545" i="178"/>
  <c r="AT545" i="178"/>
  <c r="BH153" i="178"/>
  <c r="AZ153" i="178"/>
  <c r="U695" i="178"/>
  <c r="U822" i="178"/>
  <c r="U816" i="178"/>
  <c r="U810" i="178"/>
  <c r="U186" i="178"/>
  <c r="U1010" i="178"/>
  <c r="U1004" i="178"/>
  <c r="U981" i="178"/>
  <c r="U982" i="178"/>
  <c r="U420" i="178"/>
  <c r="U52" i="178"/>
  <c r="U414" i="178"/>
  <c r="U686" i="178"/>
  <c r="U404" i="178"/>
  <c r="U402" i="178"/>
  <c r="U364" i="178"/>
  <c r="U363" i="178"/>
  <c r="U354" i="178"/>
  <c r="U350" i="178"/>
  <c r="U613" i="178"/>
  <c r="U191" i="178"/>
  <c r="BO898" i="178"/>
  <c r="AZ196" i="178"/>
  <c r="BN691" i="178"/>
  <c r="BL738" i="178"/>
  <c r="BM738" i="178"/>
  <c r="BD738" i="178"/>
  <c r="BE738" i="178"/>
  <c r="AV738" i="178"/>
  <c r="AW738" i="178"/>
  <c r="BL737" i="178"/>
  <c r="BM737" i="178"/>
  <c r="BD737" i="178"/>
  <c r="BE737" i="178"/>
  <c r="AV737" i="178"/>
  <c r="AW737" i="178"/>
  <c r="BL1020" i="178"/>
  <c r="BM1020" i="178"/>
  <c r="BE1020" i="178"/>
  <c r="BD1020" i="178"/>
  <c r="AW1020" i="178"/>
  <c r="AV1020" i="178"/>
  <c r="U1020" i="178"/>
  <c r="BN419" i="178"/>
  <c r="BO419" i="178"/>
  <c r="BF419" i="178"/>
  <c r="BG419" i="178"/>
  <c r="AX419" i="178"/>
  <c r="AY419" i="178"/>
  <c r="BH579" i="178"/>
  <c r="BI579" i="178"/>
  <c r="AZ579" i="178"/>
  <c r="BA579" i="178"/>
  <c r="AR579" i="178"/>
  <c r="AS579" i="178"/>
  <c r="BB577" i="178"/>
  <c r="BC577" i="178"/>
  <c r="AT577" i="178"/>
  <c r="AU577" i="178"/>
  <c r="BL571" i="178"/>
  <c r="BM571" i="178"/>
  <c r="BE571" i="178"/>
  <c r="BD571" i="178"/>
  <c r="AW571" i="178"/>
  <c r="AV571" i="178"/>
  <c r="U571" i="178"/>
  <c r="BH564" i="178"/>
  <c r="BI564" i="178"/>
  <c r="AZ564" i="178"/>
  <c r="BA564" i="178"/>
  <c r="AR564" i="178"/>
  <c r="AS564" i="178"/>
  <c r="BB559" i="178"/>
  <c r="BC559" i="178"/>
  <c r="AT559" i="178"/>
  <c r="AU559" i="178"/>
  <c r="BL554" i="178"/>
  <c r="BM554" i="178"/>
  <c r="BE554" i="178"/>
  <c r="BD554" i="178"/>
  <c r="AW554" i="178"/>
  <c r="AV554" i="178"/>
  <c r="U554" i="178"/>
  <c r="BN550" i="178"/>
  <c r="BO550" i="178"/>
  <c r="BF550" i="178"/>
  <c r="BG550" i="178"/>
  <c r="AX550" i="178"/>
  <c r="AY550" i="178"/>
  <c r="BH546" i="178"/>
  <c r="BI546" i="178"/>
  <c r="AZ546" i="178"/>
  <c r="BA546" i="178"/>
  <c r="AR546" i="178"/>
  <c r="AS546" i="178"/>
  <c r="BB542" i="178"/>
  <c r="BC542" i="178"/>
  <c r="AT542" i="178"/>
  <c r="AU542" i="178"/>
  <c r="BL538" i="178"/>
  <c r="BM538" i="178"/>
  <c r="BE538" i="178"/>
  <c r="BD538" i="178"/>
  <c r="AW538" i="178"/>
  <c r="AV538" i="178"/>
  <c r="U538" i="178"/>
  <c r="BN537" i="178"/>
  <c r="BO537" i="178"/>
  <c r="BF537" i="178"/>
  <c r="BG537" i="178"/>
  <c r="AX537" i="178"/>
  <c r="AY537" i="178"/>
  <c r="BH533" i="178"/>
  <c r="BI533" i="178"/>
  <c r="AZ533" i="178"/>
  <c r="BA533" i="178"/>
  <c r="AR533" i="178"/>
  <c r="AS533" i="178"/>
  <c r="BB532" i="178"/>
  <c r="BC532" i="178"/>
  <c r="AT532" i="178"/>
  <c r="AU532" i="178"/>
  <c r="BL531" i="178"/>
  <c r="BM531" i="178"/>
  <c r="BE531" i="178"/>
  <c r="BD531" i="178"/>
  <c r="AW531" i="178"/>
  <c r="AV531" i="178"/>
  <c r="U531" i="178"/>
  <c r="BN530" i="178"/>
  <c r="BO530" i="178"/>
  <c r="BF530" i="178"/>
  <c r="BG530" i="178"/>
  <c r="AX530" i="178"/>
  <c r="AY530" i="178"/>
  <c r="BH528" i="178"/>
  <c r="BI528" i="178"/>
  <c r="AZ528" i="178"/>
  <c r="BA528" i="178"/>
  <c r="AR528" i="178"/>
  <c r="AS528" i="178"/>
  <c r="BB527" i="178"/>
  <c r="BC527" i="178"/>
  <c r="AT527" i="178"/>
  <c r="AU527" i="178"/>
  <c r="BL520" i="178"/>
  <c r="BM520" i="178"/>
  <c r="BE520" i="178"/>
  <c r="BD520" i="178"/>
  <c r="AW520" i="178"/>
  <c r="AV520" i="178"/>
  <c r="U520" i="178"/>
  <c r="BN511" i="178"/>
  <c r="BO511" i="178"/>
  <c r="BF511" i="178"/>
  <c r="BG511" i="178"/>
  <c r="AX511" i="178"/>
  <c r="AY511" i="178"/>
  <c r="BH509" i="178"/>
  <c r="BI509" i="178"/>
  <c r="AZ509" i="178"/>
  <c r="BA509" i="178"/>
  <c r="AR509" i="178"/>
  <c r="AS509" i="178"/>
  <c r="BB503" i="178"/>
  <c r="BC503" i="178"/>
  <c r="AT503" i="178"/>
  <c r="AU503" i="178"/>
  <c r="BL501" i="178"/>
  <c r="BM501" i="178"/>
  <c r="BE501" i="178"/>
  <c r="BD501" i="178"/>
  <c r="AW501" i="178"/>
  <c r="AV501" i="178"/>
  <c r="U501" i="178"/>
  <c r="BN500" i="178"/>
  <c r="BO500" i="178"/>
  <c r="BF500" i="178"/>
  <c r="BG500" i="178"/>
  <c r="AX500" i="178"/>
  <c r="AY500" i="178"/>
  <c r="BH496" i="178"/>
  <c r="BI496" i="178"/>
  <c r="AZ496" i="178"/>
  <c r="BA496" i="178"/>
  <c r="AR496" i="178"/>
  <c r="AS496" i="178"/>
  <c r="BB495" i="178"/>
  <c r="BC495" i="178"/>
  <c r="AT495" i="178"/>
  <c r="AU495" i="178"/>
  <c r="BL185" i="178"/>
  <c r="BM185" i="178"/>
  <c r="BE185" i="178"/>
  <c r="BD185" i="178"/>
  <c r="AW185" i="178"/>
  <c r="AV185" i="178"/>
  <c r="U185" i="178"/>
  <c r="BN492" i="178"/>
  <c r="BO492" i="178"/>
  <c r="BF492" i="178"/>
  <c r="BG492" i="178"/>
  <c r="AX492" i="178"/>
  <c r="AY492" i="178"/>
  <c r="BH1019" i="178"/>
  <c r="BI1019" i="178"/>
  <c r="AZ1019" i="178"/>
  <c r="BA1019" i="178"/>
  <c r="AR1019" i="178"/>
  <c r="AS1019" i="178"/>
  <c r="BB490" i="178"/>
  <c r="BC490" i="178"/>
  <c r="AT490" i="178"/>
  <c r="AU490" i="178"/>
  <c r="BL328" i="178"/>
  <c r="BM328" i="178"/>
  <c r="BE328" i="178"/>
  <c r="BD328" i="178"/>
  <c r="AW328" i="178"/>
  <c r="AV328" i="178"/>
  <c r="BN487" i="178"/>
  <c r="BO487" i="178"/>
  <c r="BF487" i="178"/>
  <c r="BG487" i="178"/>
  <c r="AX487" i="178"/>
  <c r="AY487" i="178"/>
  <c r="BH486" i="178"/>
  <c r="BI486" i="178"/>
  <c r="AZ486" i="178"/>
  <c r="BA486" i="178"/>
  <c r="AR486" i="178"/>
  <c r="AS486" i="178"/>
  <c r="BH485" i="178"/>
  <c r="BI485" i="178"/>
  <c r="AZ485" i="178"/>
  <c r="BA485" i="178"/>
  <c r="AR485" i="178"/>
  <c r="AS485" i="178"/>
  <c r="BI324" i="178"/>
  <c r="BH324" i="178"/>
  <c r="BA324" i="178"/>
  <c r="AZ324" i="178"/>
  <c r="AS324" i="178"/>
  <c r="AR324" i="178"/>
  <c r="BH484" i="178"/>
  <c r="BI484" i="178"/>
  <c r="AZ484" i="178"/>
  <c r="BA484" i="178"/>
  <c r="AR484" i="178"/>
  <c r="AS484" i="178"/>
  <c r="BH475" i="178"/>
  <c r="BI475" i="178"/>
  <c r="AZ475" i="178"/>
  <c r="BA475" i="178"/>
  <c r="AR475" i="178"/>
  <c r="AS475" i="178"/>
  <c r="BI476" i="178"/>
  <c r="BH476" i="178"/>
  <c r="BA476" i="178"/>
  <c r="AZ476" i="178"/>
  <c r="AS476" i="178"/>
  <c r="AR476" i="178"/>
  <c r="BH318" i="178"/>
  <c r="BI318" i="178"/>
  <c r="AZ318" i="178"/>
  <c r="BA318" i="178"/>
  <c r="AR318" i="178"/>
  <c r="AS318" i="178"/>
  <c r="BH474" i="178"/>
  <c r="BI474" i="178"/>
  <c r="AZ474" i="178"/>
  <c r="BA474" i="178"/>
  <c r="AR474" i="178"/>
  <c r="AS474" i="178"/>
  <c r="BH599" i="178"/>
  <c r="BI599" i="178"/>
  <c r="AZ599" i="178"/>
  <c r="BA599" i="178"/>
  <c r="AR599" i="178"/>
  <c r="AS599" i="178"/>
  <c r="BI317" i="178"/>
  <c r="BH317" i="178"/>
  <c r="BA317" i="178"/>
  <c r="AZ317" i="178"/>
  <c r="AS317" i="178"/>
  <c r="AR317" i="178"/>
  <c r="BH468" i="178"/>
  <c r="BI468" i="178"/>
  <c r="AZ468" i="178"/>
  <c r="BA468" i="178"/>
  <c r="AR468" i="178"/>
  <c r="AS468" i="178"/>
  <c r="BC569" i="178"/>
  <c r="BB569" i="178"/>
  <c r="AU569" i="178"/>
  <c r="AT569" i="178"/>
  <c r="BH466" i="178"/>
  <c r="BI466" i="178"/>
  <c r="AZ466" i="178"/>
  <c r="BA466" i="178"/>
  <c r="AR466" i="178"/>
  <c r="AS466" i="178"/>
  <c r="BB1018" i="178"/>
  <c r="BC1018" i="178"/>
  <c r="AT1018" i="178"/>
  <c r="AU1018" i="178"/>
  <c r="BH464" i="178"/>
  <c r="BI464" i="178"/>
  <c r="AZ464" i="178"/>
  <c r="BA464" i="178"/>
  <c r="AR464" i="178"/>
  <c r="AS464" i="178"/>
  <c r="BB230" i="178"/>
  <c r="BC230" i="178"/>
  <c r="AT230" i="178"/>
  <c r="AU230" i="178"/>
  <c r="BH463" i="178"/>
  <c r="BI463" i="178"/>
  <c r="AZ463" i="178"/>
  <c r="BA463" i="178"/>
  <c r="AR463" i="178"/>
  <c r="AS463" i="178"/>
  <c r="BH568" i="178"/>
  <c r="BI568" i="178"/>
  <c r="AZ568" i="178"/>
  <c r="BA568" i="178"/>
  <c r="AR568" i="178"/>
  <c r="AS568" i="178"/>
  <c r="BH462" i="178"/>
  <c r="BI462" i="178"/>
  <c r="AZ462" i="178"/>
  <c r="BA462" i="178"/>
  <c r="AR462" i="178"/>
  <c r="AS462" i="178"/>
  <c r="BI181" i="178"/>
  <c r="BH181" i="178"/>
  <c r="BA181" i="178"/>
  <c r="AZ181" i="178"/>
  <c r="AS181" i="178"/>
  <c r="AR181" i="178"/>
  <c r="BH180" i="178"/>
  <c r="BI180" i="178"/>
  <c r="AZ180" i="178"/>
  <c r="BA180" i="178"/>
  <c r="AR180" i="178"/>
  <c r="AS180" i="178"/>
  <c r="BH389" i="178"/>
  <c r="BI389" i="178"/>
  <c r="AZ389" i="178"/>
  <c r="BA389" i="178"/>
  <c r="AR389" i="178"/>
  <c r="AS389" i="178"/>
  <c r="BH388" i="178"/>
  <c r="BI388" i="178"/>
  <c r="AZ388" i="178"/>
  <c r="BA388" i="178"/>
  <c r="AR388" i="178"/>
  <c r="AS388" i="178"/>
  <c r="BI387" i="178"/>
  <c r="BH387" i="178"/>
  <c r="BA387" i="178"/>
  <c r="AZ387" i="178"/>
  <c r="AS387" i="178"/>
  <c r="AR387" i="178"/>
  <c r="BH175" i="178"/>
  <c r="BI175" i="178"/>
  <c r="AZ175" i="178"/>
  <c r="BA175" i="178"/>
  <c r="AR175" i="178"/>
  <c r="AS175" i="178"/>
  <c r="BH386" i="178"/>
  <c r="BI386" i="178"/>
  <c r="AZ386" i="178"/>
  <c r="BA386" i="178"/>
  <c r="AR386" i="178"/>
  <c r="AS386" i="178"/>
  <c r="BI385" i="178"/>
  <c r="BH385" i="178"/>
  <c r="BA385" i="178"/>
  <c r="AZ385" i="178"/>
  <c r="AS385" i="178"/>
  <c r="AR385" i="178"/>
  <c r="BH384" i="178"/>
  <c r="BI384" i="178"/>
  <c r="AZ384" i="178"/>
  <c r="BA384" i="178"/>
  <c r="AR384" i="178"/>
  <c r="AS384" i="178"/>
  <c r="BH594" i="178"/>
  <c r="BI594" i="178"/>
  <c r="AZ594" i="178"/>
  <c r="BA594" i="178"/>
  <c r="AR594" i="178"/>
  <c r="AS594" i="178"/>
  <c r="BH1016" i="178"/>
  <c r="BI1016" i="178"/>
  <c r="AZ1016" i="178"/>
  <c r="BA1016" i="178"/>
  <c r="AR1016" i="178"/>
  <c r="AS1016" i="178"/>
  <c r="BI593" i="178"/>
  <c r="BH593" i="178"/>
  <c r="BA593" i="178"/>
  <c r="AZ593" i="178"/>
  <c r="AS593" i="178"/>
  <c r="AR593" i="178"/>
  <c r="BH1015" i="178"/>
  <c r="BI1015" i="178"/>
  <c r="AZ1015" i="178"/>
  <c r="BA1015" i="178"/>
  <c r="AR1015" i="178"/>
  <c r="AS1015" i="178"/>
  <c r="BH383" i="178"/>
  <c r="BI383" i="178"/>
  <c r="AZ383" i="178"/>
  <c r="BA383" i="178"/>
  <c r="AR383" i="178"/>
  <c r="AS383" i="178"/>
  <c r="BH382" i="178"/>
  <c r="BI382" i="178"/>
  <c r="AZ382" i="178"/>
  <c r="BA382" i="178"/>
  <c r="AR382" i="178"/>
  <c r="AS382" i="178"/>
  <c r="BI381" i="178"/>
  <c r="BH381" i="178"/>
  <c r="BA381" i="178"/>
  <c r="AZ381" i="178"/>
  <c r="AS381" i="178"/>
  <c r="AR381" i="178"/>
  <c r="BH380" i="178"/>
  <c r="BI380" i="178"/>
  <c r="AZ380" i="178"/>
  <c r="BA380" i="178"/>
  <c r="AR380" i="178"/>
  <c r="AS380" i="178"/>
  <c r="BH592" i="178"/>
  <c r="BI592" i="178"/>
  <c r="AZ592" i="178"/>
  <c r="BA592" i="178"/>
  <c r="AR592" i="178"/>
  <c r="AS592" i="178"/>
  <c r="BH1014" i="178"/>
  <c r="BI1014" i="178"/>
  <c r="AZ1014" i="178"/>
  <c r="BA1014" i="178"/>
  <c r="AR1014" i="178"/>
  <c r="AS1014" i="178"/>
  <c r="BI1013" i="178"/>
  <c r="BH1013" i="178"/>
  <c r="BA1013" i="178"/>
  <c r="AZ1013" i="178"/>
  <c r="AS1013" i="178"/>
  <c r="AR1013" i="178"/>
  <c r="BH1012" i="178"/>
  <c r="BI1012" i="178"/>
  <c r="AZ1012" i="178"/>
  <c r="BA1012" i="178"/>
  <c r="AR1012" i="178"/>
  <c r="AS1012" i="178"/>
  <c r="BH1011" i="178"/>
  <c r="BI1011" i="178"/>
  <c r="AZ1011" i="178"/>
  <c r="BA1011" i="178"/>
  <c r="AR1011" i="178"/>
  <c r="AS1011" i="178"/>
  <c r="BH1002" i="178"/>
  <c r="BI1002" i="178"/>
  <c r="AZ1002" i="178"/>
  <c r="BA1002" i="178"/>
  <c r="AR1002" i="178"/>
  <c r="AS1002" i="178"/>
  <c r="BI1001" i="178"/>
  <c r="BH1001" i="178"/>
  <c r="BA1001" i="178"/>
  <c r="AZ1001" i="178"/>
  <c r="AS1001" i="178"/>
  <c r="AR1001" i="178"/>
  <c r="BH377" i="178"/>
  <c r="BI377" i="178"/>
  <c r="AZ377" i="178"/>
  <c r="BA377" i="178"/>
  <c r="AR377" i="178"/>
  <c r="AS377" i="178"/>
  <c r="BH376" i="178"/>
  <c r="BI376" i="178"/>
  <c r="AZ376" i="178"/>
  <c r="BA376" i="178"/>
  <c r="AR376" i="178"/>
  <c r="AS376" i="178"/>
  <c r="BH375" i="178"/>
  <c r="BI375" i="178"/>
  <c r="AZ375" i="178"/>
  <c r="BA375" i="178"/>
  <c r="AR375" i="178"/>
  <c r="AS375" i="178"/>
  <c r="BI374" i="178"/>
  <c r="BH374" i="178"/>
  <c r="BA374" i="178"/>
  <c r="AZ374" i="178"/>
  <c r="AS374" i="178"/>
  <c r="AR374" i="178"/>
  <c r="BH373" i="178"/>
  <c r="BI373" i="178"/>
  <c r="AZ373" i="178"/>
  <c r="BA373" i="178"/>
  <c r="AR373" i="178"/>
  <c r="AS373" i="178"/>
  <c r="BH372" i="178"/>
  <c r="BI372" i="178"/>
  <c r="AZ372" i="178"/>
  <c r="BA372" i="178"/>
  <c r="AR372" i="178"/>
  <c r="AS372" i="178"/>
  <c r="BH371" i="178"/>
  <c r="BI371" i="178"/>
  <c r="AZ371" i="178"/>
  <c r="BA371" i="178"/>
  <c r="AR371" i="178"/>
  <c r="AS371" i="178"/>
  <c r="BI370" i="178"/>
  <c r="BH370" i="178"/>
  <c r="BA370" i="178"/>
  <c r="AZ370" i="178"/>
  <c r="AS370" i="178"/>
  <c r="AR370" i="178"/>
  <c r="BH369" i="178"/>
  <c r="BI369" i="178"/>
  <c r="AZ369" i="178"/>
  <c r="BA369" i="178"/>
  <c r="AR369" i="178"/>
  <c r="AS369" i="178"/>
  <c r="BH368" i="178"/>
  <c r="BI368" i="178"/>
  <c r="AZ368" i="178"/>
  <c r="BA368" i="178"/>
  <c r="AR368" i="178"/>
  <c r="AS368" i="178"/>
  <c r="BH367" i="178"/>
  <c r="BI367" i="178"/>
  <c r="AZ367" i="178"/>
  <c r="BA367" i="178"/>
  <c r="AR367" i="178"/>
  <c r="AS367" i="178"/>
  <c r="BI366" i="178"/>
  <c r="BH366" i="178"/>
  <c r="BA366" i="178"/>
  <c r="AZ366" i="178"/>
  <c r="AS366" i="178"/>
  <c r="AR366" i="178"/>
  <c r="BH359" i="178"/>
  <c r="BI359" i="178"/>
  <c r="AZ359" i="178"/>
  <c r="BA359" i="178"/>
  <c r="AR359" i="178"/>
  <c r="AS359" i="178"/>
  <c r="BH356" i="178"/>
  <c r="BI356" i="178"/>
  <c r="AZ356" i="178"/>
  <c r="BA356" i="178"/>
  <c r="AR356" i="178"/>
  <c r="AS356" i="178"/>
  <c r="BH355" i="178"/>
  <c r="BI355" i="178"/>
  <c r="AZ355" i="178"/>
  <c r="BA355" i="178"/>
  <c r="AR355" i="178"/>
  <c r="AS355" i="178"/>
  <c r="BI353" i="178"/>
  <c r="BH353" i="178"/>
  <c r="BA353" i="178"/>
  <c r="AZ353" i="178"/>
  <c r="AS353" i="178"/>
  <c r="AR353" i="178"/>
  <c r="BH352" i="178"/>
  <c r="BI352" i="178"/>
  <c r="AZ352" i="178"/>
  <c r="BA352" i="178"/>
  <c r="AR352" i="178"/>
  <c r="AS352" i="178"/>
  <c r="BH351" i="178"/>
  <c r="BI351" i="178"/>
  <c r="AZ351" i="178"/>
  <c r="BA351" i="178"/>
  <c r="AR351" i="178"/>
  <c r="AS351" i="178"/>
  <c r="BH347" i="178"/>
  <c r="BI347" i="178"/>
  <c r="AZ347" i="178"/>
  <c r="BA347" i="178"/>
  <c r="AR347" i="178"/>
  <c r="AS347" i="178"/>
  <c r="BI343" i="178"/>
  <c r="BH343" i="178"/>
  <c r="BA343" i="178"/>
  <c r="AZ343" i="178"/>
  <c r="AS343" i="178"/>
  <c r="AR343" i="178"/>
  <c r="BH156" i="178"/>
  <c r="BI156" i="178"/>
  <c r="AZ156" i="178"/>
  <c r="BA156" i="178"/>
  <c r="AR156" i="178"/>
  <c r="AS156" i="178"/>
  <c r="BH340" i="178"/>
  <c r="BI340" i="178"/>
  <c r="AZ340" i="178"/>
  <c r="BA340" i="178"/>
  <c r="AR340" i="178"/>
  <c r="AS340" i="178"/>
  <c r="BH335" i="178"/>
  <c r="BI335" i="178"/>
  <c r="AZ335" i="178"/>
  <c r="BA335" i="178"/>
  <c r="AR335" i="178"/>
  <c r="AS335" i="178"/>
  <c r="BI325" i="178"/>
  <c r="BH325" i="178"/>
  <c r="BA325" i="178"/>
  <c r="AZ325" i="178"/>
  <c r="AS325" i="178"/>
  <c r="AR325" i="178"/>
  <c r="BH319" i="178"/>
  <c r="BI319" i="178"/>
  <c r="AZ319" i="178"/>
  <c r="BA319" i="178"/>
  <c r="AR319" i="178"/>
  <c r="AS319" i="178"/>
  <c r="BH320" i="178"/>
  <c r="BI320" i="178"/>
  <c r="AZ320" i="178"/>
  <c r="BA320" i="178"/>
  <c r="AR320" i="178"/>
  <c r="AS320" i="178"/>
  <c r="BH315" i="178"/>
  <c r="BI315" i="178"/>
  <c r="AZ315" i="178"/>
  <c r="BA315" i="178"/>
  <c r="AR315" i="178"/>
  <c r="AS315" i="178"/>
  <c r="BH301" i="178"/>
  <c r="BI301" i="178"/>
  <c r="AZ301" i="178"/>
  <c r="BA301" i="178"/>
  <c r="AR301" i="178"/>
  <c r="AS301" i="178"/>
  <c r="BH298" i="178"/>
  <c r="BI298" i="178"/>
  <c r="AZ298" i="178"/>
  <c r="BA298" i="178"/>
  <c r="AR298" i="178"/>
  <c r="AS298" i="178"/>
  <c r="BH290" i="178"/>
  <c r="BI290" i="178"/>
  <c r="AZ290" i="178"/>
  <c r="BA290" i="178"/>
  <c r="AR290" i="178"/>
  <c r="AS290" i="178"/>
  <c r="BI283" i="178"/>
  <c r="BH283" i="178"/>
  <c r="BA283" i="178"/>
  <c r="AZ283" i="178"/>
  <c r="AS283" i="178"/>
  <c r="AR283" i="178"/>
  <c r="BH282" i="178"/>
  <c r="BI282" i="178"/>
  <c r="AZ282" i="178"/>
  <c r="BA282" i="178"/>
  <c r="AR282" i="178"/>
  <c r="AS282" i="178"/>
  <c r="BH281" i="178"/>
  <c r="BI281" i="178"/>
  <c r="AZ281" i="178"/>
  <c r="BA281" i="178"/>
  <c r="AR281" i="178"/>
  <c r="AS281" i="178"/>
  <c r="BH276" i="178"/>
  <c r="BI276" i="178"/>
  <c r="AZ276" i="178"/>
  <c r="BA276" i="178"/>
  <c r="AR276" i="178"/>
  <c r="AS276" i="178"/>
  <c r="BI275" i="178"/>
  <c r="BH275" i="178"/>
  <c r="BA275" i="178"/>
  <c r="AZ275" i="178"/>
  <c r="AS275" i="178"/>
  <c r="AR275" i="178"/>
  <c r="BH274" i="178"/>
  <c r="BI274" i="178"/>
  <c r="AZ274" i="178"/>
  <c r="BA274" i="178"/>
  <c r="AR274" i="178"/>
  <c r="AS274" i="178"/>
  <c r="BH273" i="178"/>
  <c r="BI273" i="178"/>
  <c r="AZ273" i="178"/>
  <c r="BA273" i="178"/>
  <c r="AR273" i="178"/>
  <c r="AS273" i="178"/>
  <c r="BH272" i="178"/>
  <c r="BI272" i="178"/>
  <c r="AZ272" i="178"/>
  <c r="BA272" i="178"/>
  <c r="AR272" i="178"/>
  <c r="AS272" i="178"/>
  <c r="BI269" i="178"/>
  <c r="BH269" i="178"/>
  <c r="BA269" i="178"/>
  <c r="AZ269" i="178"/>
  <c r="AS269" i="178"/>
  <c r="AR269" i="178"/>
  <c r="BH268" i="178"/>
  <c r="BI268" i="178"/>
  <c r="AZ268" i="178"/>
  <c r="BA268" i="178"/>
  <c r="AR268" i="178"/>
  <c r="AS268" i="178"/>
  <c r="BH589" i="178"/>
  <c r="BI589" i="178"/>
  <c r="AZ589" i="178"/>
  <c r="BA589" i="178"/>
  <c r="AR589" i="178"/>
  <c r="AS589" i="178"/>
  <c r="BI999" i="178"/>
  <c r="BH999" i="178"/>
  <c r="BA999" i="178"/>
  <c r="AZ999" i="178"/>
  <c r="AS999" i="178"/>
  <c r="AR999" i="178"/>
  <c r="BH998" i="178"/>
  <c r="BI998" i="178"/>
  <c r="AZ998" i="178"/>
  <c r="BA998" i="178"/>
  <c r="AR998" i="178"/>
  <c r="AS998" i="178"/>
  <c r="BH996" i="178"/>
  <c r="BI996" i="178"/>
  <c r="AZ996" i="178"/>
  <c r="BA996" i="178"/>
  <c r="AR996" i="178"/>
  <c r="AS996" i="178"/>
  <c r="BL995" i="178"/>
  <c r="BM995" i="178"/>
  <c r="BD995" i="178"/>
  <c r="BE995" i="178"/>
  <c r="AV995" i="178"/>
  <c r="AW995" i="178"/>
  <c r="BN154" i="178"/>
  <c r="BO154" i="178"/>
  <c r="BG154" i="178"/>
  <c r="BF154" i="178"/>
  <c r="AY154" i="178"/>
  <c r="AX154" i="178"/>
  <c r="BB671" i="178"/>
  <c r="BC671" i="178"/>
  <c r="AT671" i="178"/>
  <c r="AU671" i="178"/>
  <c r="BL163" i="178"/>
  <c r="BM163" i="178"/>
  <c r="BE163" i="178"/>
  <c r="BD163" i="178"/>
  <c r="AW163" i="178"/>
  <c r="AV163" i="178"/>
  <c r="BH162" i="178"/>
  <c r="BI162" i="178"/>
  <c r="AZ162" i="178"/>
  <c r="BA162" i="178"/>
  <c r="AR162" i="178"/>
  <c r="AS162" i="178"/>
  <c r="BB994" i="178"/>
  <c r="AT994" i="178"/>
  <c r="BB993" i="178"/>
  <c r="BC993" i="178"/>
  <c r="AT993" i="178"/>
  <c r="AU993" i="178"/>
  <c r="BH228" i="178"/>
  <c r="BI228" i="178"/>
  <c r="AZ228" i="178"/>
  <c r="BA228" i="178"/>
  <c r="AR228" i="178"/>
  <c r="AS228" i="178"/>
  <c r="BH267" i="178"/>
  <c r="AZ267" i="178"/>
  <c r="AR267" i="178"/>
  <c r="BI262" i="178"/>
  <c r="BH262" i="178"/>
  <c r="BA262" i="178"/>
  <c r="AZ262" i="178"/>
  <c r="AS262" i="178"/>
  <c r="AR262" i="178"/>
  <c r="BN261" i="178"/>
  <c r="BO261" i="178"/>
  <c r="BG261" i="178"/>
  <c r="BF261" i="178"/>
  <c r="AX261" i="178"/>
  <c r="AY261" i="178"/>
  <c r="BN260" i="178"/>
  <c r="BF260" i="178"/>
  <c r="AX260" i="178"/>
  <c r="BL259" i="178"/>
  <c r="BM259" i="178"/>
  <c r="BE259" i="178"/>
  <c r="BD259" i="178"/>
  <c r="AV259" i="178"/>
  <c r="AW259" i="178"/>
  <c r="BN588" i="178"/>
  <c r="BO588" i="178"/>
  <c r="BG588" i="178"/>
  <c r="BF588" i="178"/>
  <c r="AX588" i="178"/>
  <c r="AY588" i="178"/>
  <c r="BM991" i="178"/>
  <c r="BL991" i="178"/>
  <c r="BD991" i="178"/>
  <c r="BE991" i="178"/>
  <c r="AV991" i="178"/>
  <c r="AW991" i="178"/>
  <c r="BL239" i="178"/>
  <c r="BD239" i="178"/>
  <c r="AV239" i="178"/>
  <c r="BB245" i="178"/>
  <c r="BC245" i="178"/>
  <c r="AT245" i="178"/>
  <c r="AU245" i="178"/>
  <c r="BL244" i="178"/>
  <c r="BM244" i="178"/>
  <c r="BE244" i="178"/>
  <c r="BD244" i="178"/>
  <c r="AW244" i="178"/>
  <c r="AV244" i="178"/>
  <c r="BB587" i="178"/>
  <c r="BC587" i="178"/>
  <c r="AT587" i="178"/>
  <c r="AU587" i="178"/>
  <c r="BB990" i="178"/>
  <c r="AT990" i="178"/>
  <c r="BH243" i="178"/>
  <c r="BI243" i="178"/>
  <c r="AZ243" i="178"/>
  <c r="BA243" i="178"/>
  <c r="AR243" i="178"/>
  <c r="AS243" i="178"/>
  <c r="BB242" i="178"/>
  <c r="BC242" i="178"/>
  <c r="AT242" i="178"/>
  <c r="AU242" i="178"/>
  <c r="BH240" i="178"/>
  <c r="BI240" i="178"/>
  <c r="AZ240" i="178"/>
  <c r="BA240" i="178"/>
  <c r="AR240" i="178"/>
  <c r="AS240" i="178"/>
  <c r="U238" i="178"/>
  <c r="V238" i="178"/>
  <c r="BL586" i="178"/>
  <c r="BM586" i="178"/>
  <c r="BI234" i="178"/>
  <c r="BH234" i="178"/>
  <c r="BA234" i="178"/>
  <c r="AZ234" i="178"/>
  <c r="AS234" i="178"/>
  <c r="AR234" i="178"/>
  <c r="BN118" i="178"/>
  <c r="BO118" i="178"/>
  <c r="BG118" i="178"/>
  <c r="BF118" i="178"/>
  <c r="AY118" i="178"/>
  <c r="AX118" i="178"/>
  <c r="BH66" i="178"/>
  <c r="BI66" i="178"/>
  <c r="AZ66" i="178"/>
  <c r="BA66" i="178"/>
  <c r="AR66" i="178"/>
  <c r="AS66" i="178"/>
  <c r="BN548" i="178"/>
  <c r="BF548" i="178"/>
  <c r="AX548" i="178"/>
  <c r="AR153" i="178"/>
  <c r="BN218" i="178"/>
  <c r="BF218" i="178"/>
  <c r="AX218" i="178"/>
  <c r="BL217" i="178"/>
  <c r="BD217" i="178"/>
  <c r="AV217" i="178"/>
  <c r="BB216" i="178"/>
  <c r="AT216" i="178"/>
  <c r="BH215" i="178"/>
  <c r="AZ215" i="178"/>
  <c r="AR215" i="178"/>
  <c r="BN214" i="178"/>
  <c r="BF214" i="178"/>
  <c r="AX214" i="178"/>
  <c r="BL213" i="178"/>
  <c r="BD213" i="178"/>
  <c r="AV213" i="178"/>
  <c r="BB212" i="178"/>
  <c r="AT212" i="178"/>
  <c r="BH211" i="178"/>
  <c r="AZ211" i="178"/>
  <c r="AR211" i="178"/>
  <c r="BN210" i="178"/>
  <c r="BF210" i="178"/>
  <c r="AX210" i="178"/>
  <c r="BL209" i="178"/>
  <c r="BD209" i="178"/>
  <c r="AV209" i="178"/>
  <c r="BB208" i="178"/>
  <c r="AT208" i="178"/>
  <c r="BH194" i="178"/>
  <c r="AZ194" i="178"/>
  <c r="AR194" i="178"/>
  <c r="BN184" i="178"/>
  <c r="BF184" i="178"/>
  <c r="AX184" i="178"/>
  <c r="BL583" i="178"/>
  <c r="BD583" i="178"/>
  <c r="AV583" i="178"/>
  <c r="BB157" i="178"/>
  <c r="AT157" i="178"/>
  <c r="U310" i="178"/>
  <c r="V310" i="178"/>
  <c r="BB309" i="178"/>
  <c r="AT309" i="178"/>
  <c r="BN308" i="178"/>
  <c r="BF308" i="178"/>
  <c r="AX308" i="178"/>
  <c r="BL581" i="178"/>
  <c r="BD581" i="178"/>
  <c r="AV581" i="178"/>
  <c r="BH307" i="178"/>
  <c r="AZ307" i="178"/>
  <c r="AR307" i="178"/>
  <c r="BN306" i="178"/>
  <c r="BF306" i="178"/>
  <c r="AX306" i="178"/>
  <c r="BL305" i="178"/>
  <c r="BD305" i="178"/>
  <c r="AV305" i="178"/>
  <c r="BB764" i="178"/>
  <c r="AT764" i="178"/>
  <c r="U756" i="178"/>
  <c r="V756" i="178"/>
  <c r="BC132" i="178"/>
  <c r="BB132" i="178"/>
  <c r="AT132" i="178"/>
  <c r="AU132" i="178"/>
  <c r="BI121" i="178"/>
  <c r="BH121" i="178"/>
  <c r="BA121" i="178"/>
  <c r="AZ121" i="178"/>
  <c r="AS121" i="178"/>
  <c r="AR121" i="178"/>
  <c r="BN544" i="178"/>
  <c r="BO544" i="178"/>
  <c r="BF544" i="178"/>
  <c r="BG544" i="178"/>
  <c r="AX544" i="178"/>
  <c r="AY544" i="178"/>
  <c r="BL119" i="178"/>
  <c r="BM119" i="178"/>
  <c r="BD119" i="178"/>
  <c r="BE119" i="178"/>
  <c r="AV119" i="178"/>
  <c r="AW119" i="178"/>
  <c r="BH299" i="178"/>
  <c r="BI299" i="178"/>
  <c r="AZ299" i="178"/>
  <c r="BA299" i="178"/>
  <c r="AR299" i="178"/>
  <c r="AS299" i="178"/>
  <c r="BN115" i="178"/>
  <c r="BO115" i="178"/>
  <c r="BF115" i="178"/>
  <c r="BG115" i="178"/>
  <c r="AX115" i="178"/>
  <c r="AY115" i="178"/>
  <c r="BM112" i="178"/>
  <c r="BL112" i="178"/>
  <c r="BD112" i="178"/>
  <c r="BE112" i="178"/>
  <c r="AV112" i="178"/>
  <c r="AW112" i="178"/>
  <c r="BC111" i="178"/>
  <c r="BB111" i="178"/>
  <c r="AU111" i="178"/>
  <c r="AT111" i="178"/>
  <c r="BB90" i="178"/>
  <c r="BC90" i="178"/>
  <c r="AT90" i="178"/>
  <c r="AU90" i="178"/>
  <c r="BI87" i="178"/>
  <c r="BH87" i="178"/>
  <c r="BA87" i="178"/>
  <c r="AZ87" i="178"/>
  <c r="AS87" i="178"/>
  <c r="AR87" i="178"/>
  <c r="BN86" i="178"/>
  <c r="BO86" i="178"/>
  <c r="BF86" i="178"/>
  <c r="BG86" i="178"/>
  <c r="AX86" i="178"/>
  <c r="AY86" i="178"/>
  <c r="BL85" i="178"/>
  <c r="BM85" i="178"/>
  <c r="BD85" i="178"/>
  <c r="BE85" i="178"/>
  <c r="AV85" i="178"/>
  <c r="AW85" i="178"/>
  <c r="BH84" i="178"/>
  <c r="BI84" i="178"/>
  <c r="AZ84" i="178"/>
  <c r="BA84" i="178"/>
  <c r="AR84" i="178"/>
  <c r="AS84" i="178"/>
  <c r="BN83" i="178"/>
  <c r="BO83" i="178"/>
  <c r="BF83" i="178"/>
  <c r="BG83" i="178"/>
  <c r="AX83" i="178"/>
  <c r="AY83" i="178"/>
  <c r="BM82" i="178"/>
  <c r="BL82" i="178"/>
  <c r="BD82" i="178"/>
  <c r="BE82" i="178"/>
  <c r="AV82" i="178"/>
  <c r="AW82" i="178"/>
  <c r="BC81" i="178"/>
  <c r="BB81" i="178"/>
  <c r="AU81" i="178"/>
  <c r="AT81" i="178"/>
  <c r="U107" i="178"/>
  <c r="V107" i="178"/>
  <c r="BB106" i="178"/>
  <c r="BC106" i="178"/>
  <c r="AT106" i="178"/>
  <c r="AU106" i="178"/>
  <c r="U105" i="178"/>
  <c r="V105" i="178"/>
  <c r="BB921" i="178"/>
  <c r="BC921" i="178"/>
  <c r="AT921" i="178"/>
  <c r="AU921" i="178"/>
  <c r="U519" i="178"/>
  <c r="V519" i="178"/>
  <c r="U133" i="178"/>
  <c r="V133" i="178"/>
  <c r="BB76" i="178"/>
  <c r="BC76" i="178"/>
  <c r="AT76" i="178"/>
  <c r="AU76" i="178"/>
  <c r="U75" i="178"/>
  <c r="V75" i="178"/>
  <c r="BB74" i="178"/>
  <c r="BC74" i="178"/>
  <c r="AT74" i="178"/>
  <c r="AU74" i="178"/>
  <c r="U73" i="178"/>
  <c r="V73" i="178"/>
  <c r="BB72" i="178"/>
  <c r="BC72" i="178"/>
  <c r="AT72" i="178"/>
  <c r="AU72" i="178"/>
  <c r="BC71" i="178"/>
  <c r="BB71" i="178"/>
  <c r="AU71" i="178"/>
  <c r="AT71" i="178"/>
  <c r="BH64" i="178"/>
  <c r="BI64" i="178"/>
  <c r="AZ64" i="178"/>
  <c r="BA64" i="178"/>
  <c r="AR64" i="178"/>
  <c r="AS64" i="178"/>
  <c r="BI47" i="178"/>
  <c r="BH47" i="178"/>
  <c r="BA47" i="178"/>
  <c r="AZ47" i="178"/>
  <c r="AS47" i="178"/>
  <c r="AR47" i="178"/>
  <c r="BN46" i="178"/>
  <c r="BO46" i="178"/>
  <c r="BF46" i="178"/>
  <c r="BG46" i="178"/>
  <c r="AX46" i="178"/>
  <c r="AY46" i="178"/>
  <c r="BL45" i="178"/>
  <c r="BM45" i="178"/>
  <c r="BD45" i="178"/>
  <c r="BE45" i="178"/>
  <c r="AV45" i="178"/>
  <c r="AW45" i="178"/>
  <c r="BB44" i="178"/>
  <c r="BC44" i="178"/>
  <c r="AT44" i="178"/>
  <c r="AU44" i="178"/>
  <c r="BI43" i="178"/>
  <c r="BH43" i="178"/>
  <c r="BA43" i="178"/>
  <c r="AZ43" i="178"/>
  <c r="AS43" i="178"/>
  <c r="AR43" i="178"/>
  <c r="BN540" i="178"/>
  <c r="BO540" i="178"/>
  <c r="BF540" i="178"/>
  <c r="BG540" i="178"/>
  <c r="AX540" i="178"/>
  <c r="AY540" i="178"/>
  <c r="BL131" i="178"/>
  <c r="BM131" i="178"/>
  <c r="BD131" i="178"/>
  <c r="BE131" i="178"/>
  <c r="AV131" i="178"/>
  <c r="AW131" i="178"/>
  <c r="BB920" i="178"/>
  <c r="BC920" i="178"/>
  <c r="AT920" i="178"/>
  <c r="AU920" i="178"/>
  <c r="BI539" i="178"/>
  <c r="BH539" i="178"/>
  <c r="BA539" i="178"/>
  <c r="AZ539" i="178"/>
  <c r="AS539" i="178"/>
  <c r="AR539" i="178"/>
  <c r="BN130" i="178"/>
  <c r="BO130" i="178"/>
  <c r="BF130" i="178"/>
  <c r="BG130" i="178"/>
  <c r="AX130" i="178"/>
  <c r="AY130" i="178"/>
  <c r="BL919" i="178"/>
  <c r="BM919" i="178"/>
  <c r="BD919" i="178"/>
  <c r="BE919" i="178"/>
  <c r="AV919" i="178"/>
  <c r="AW919" i="178"/>
  <c r="BB515" i="178"/>
  <c r="BC515" i="178"/>
  <c r="AT515" i="178"/>
  <c r="AU515" i="178"/>
  <c r="BI752" i="178"/>
  <c r="BH752" i="178"/>
  <c r="BA752" i="178"/>
  <c r="AZ752" i="178"/>
  <c r="AS752" i="178"/>
  <c r="AR752" i="178"/>
  <c r="BN129" i="178"/>
  <c r="BO129" i="178"/>
  <c r="BF129" i="178"/>
  <c r="BG129" i="178"/>
  <c r="AX129" i="178"/>
  <c r="AY129" i="178"/>
  <c r="BL41" i="178"/>
  <c r="BM41" i="178"/>
  <c r="BD41" i="178"/>
  <c r="BE41" i="178"/>
  <c r="AV41" i="178"/>
  <c r="AW41" i="178"/>
  <c r="BB40" i="178"/>
  <c r="BC40" i="178"/>
  <c r="AT40" i="178"/>
  <c r="AU40" i="178"/>
  <c r="BI128" i="178"/>
  <c r="BH128" i="178"/>
  <c r="BA128" i="178"/>
  <c r="AZ128" i="178"/>
  <c r="AS128" i="178"/>
  <c r="AR128" i="178"/>
  <c r="BN917" i="178"/>
  <c r="BO917" i="178"/>
  <c r="BF917" i="178"/>
  <c r="BG917" i="178"/>
  <c r="AX917" i="178"/>
  <c r="AY917" i="178"/>
  <c r="BB39" i="178"/>
  <c r="BC39" i="178"/>
  <c r="AT39" i="178"/>
  <c r="AU39" i="178"/>
  <c r="BH38" i="178"/>
  <c r="BI38" i="178"/>
  <c r="AZ38" i="178"/>
  <c r="BA38" i="178"/>
  <c r="AR38" i="178"/>
  <c r="AS38" i="178"/>
  <c r="BO30" i="178"/>
  <c r="BN30" i="178"/>
  <c r="BF30" i="178"/>
  <c r="BG30" i="178"/>
  <c r="AX30" i="178"/>
  <c r="AY30" i="178"/>
  <c r="BN28" i="178"/>
  <c r="BO28" i="178"/>
  <c r="BF28" i="178"/>
  <c r="BG28" i="178"/>
  <c r="AX28" i="178"/>
  <c r="AY28" i="178"/>
  <c r="BM25" i="178"/>
  <c r="BL25" i="178"/>
  <c r="BD25" i="178"/>
  <c r="BE25" i="178"/>
  <c r="AV25" i="178"/>
  <c r="AW25" i="178"/>
  <c r="BN20" i="178"/>
  <c r="BO20" i="178"/>
  <c r="BF20" i="178"/>
  <c r="BG20" i="178"/>
  <c r="AX20" i="178"/>
  <c r="AY20" i="178"/>
  <c r="BM19" i="178"/>
  <c r="BL19" i="178"/>
  <c r="BD19" i="178"/>
  <c r="BE19" i="178"/>
  <c r="AV19" i="178"/>
  <c r="AW19" i="178"/>
  <c r="V14" i="178"/>
  <c r="U14" i="178"/>
  <c r="BL13" i="178"/>
  <c r="BM13" i="178"/>
  <c r="BE13" i="178"/>
  <c r="BD13" i="178"/>
  <c r="AW13" i="178"/>
  <c r="AV13" i="178"/>
  <c r="BO4" i="178"/>
  <c r="BN4" i="178"/>
  <c r="BF4" i="178"/>
  <c r="BG4" i="178"/>
  <c r="AX4" i="178"/>
  <c r="AY4" i="178"/>
  <c r="BB3" i="178"/>
  <c r="BC3" i="178"/>
  <c r="AT3" i="178"/>
  <c r="AU3" i="178"/>
  <c r="BN660" i="178"/>
  <c r="BO660" i="178"/>
  <c r="BF660" i="178"/>
  <c r="BG660" i="178"/>
  <c r="AX660" i="178"/>
  <c r="AY660" i="178"/>
  <c r="V453" i="178"/>
  <c r="U453" i="178"/>
  <c r="BL89" i="178"/>
  <c r="BM89" i="178"/>
  <c r="BD89" i="178"/>
  <c r="BE89" i="178"/>
  <c r="AV89" i="178"/>
  <c r="AW89" i="178"/>
  <c r="AT991" i="178"/>
  <c r="AU991" i="178"/>
  <c r="BB239" i="178"/>
  <c r="AT239" i="178"/>
  <c r="BH245" i="178"/>
  <c r="BI245" i="178"/>
  <c r="BA245" i="178"/>
  <c r="AZ245" i="178"/>
  <c r="AR245" i="178"/>
  <c r="AS245" i="178"/>
  <c r="BC244" i="178"/>
  <c r="BB244" i="178"/>
  <c r="AT244" i="178"/>
  <c r="AU244" i="178"/>
  <c r="BH587" i="178"/>
  <c r="BI587" i="178"/>
  <c r="AZ587" i="178"/>
  <c r="BA587" i="178"/>
  <c r="AR587" i="178"/>
  <c r="AS587" i="178"/>
  <c r="BH990" i="178"/>
  <c r="AZ990" i="178"/>
  <c r="AR990" i="178"/>
  <c r="BO243" i="178"/>
  <c r="BN243" i="178"/>
  <c r="BF243" i="178"/>
  <c r="BG243" i="178"/>
  <c r="AX243" i="178"/>
  <c r="AY243" i="178"/>
  <c r="BI242" i="178"/>
  <c r="BH242" i="178"/>
  <c r="BA242" i="178"/>
  <c r="AZ242" i="178"/>
  <c r="AS242" i="178"/>
  <c r="AR242" i="178"/>
  <c r="BN240" i="178"/>
  <c r="BO240" i="178"/>
  <c r="BF240" i="178"/>
  <c r="BG240" i="178"/>
  <c r="AX240" i="178"/>
  <c r="AY240" i="178"/>
  <c r="BN238" i="178"/>
  <c r="BO238" i="178"/>
  <c r="BG238" i="178"/>
  <c r="BF238" i="178"/>
  <c r="AY238" i="178"/>
  <c r="AX238" i="178"/>
  <c r="BO586" i="178"/>
  <c r="BN586" i="178"/>
  <c r="BF586" i="178"/>
  <c r="BG586" i="178"/>
  <c r="AX586" i="178"/>
  <c r="AY586" i="178"/>
  <c r="V586" i="178"/>
  <c r="BN989" i="178"/>
  <c r="BO989" i="178"/>
  <c r="BF989" i="178"/>
  <c r="BG989" i="178"/>
  <c r="AX989" i="178"/>
  <c r="AY989" i="178"/>
  <c r="V989" i="178"/>
  <c r="BN585" i="178"/>
  <c r="BF585" i="178"/>
  <c r="AX585" i="178"/>
  <c r="V585" i="178"/>
  <c r="BL988" i="178"/>
  <c r="BM988" i="178"/>
  <c r="BE988" i="178"/>
  <c r="BD988" i="178"/>
  <c r="AV988" i="178"/>
  <c r="AW988" i="178"/>
  <c r="BN234" i="178"/>
  <c r="BO234" i="178"/>
  <c r="BG234" i="178"/>
  <c r="BF234" i="178"/>
  <c r="AX234" i="178"/>
  <c r="AY234" i="178"/>
  <c r="BH233" i="178"/>
  <c r="BI233" i="178"/>
  <c r="AZ233" i="178"/>
  <c r="BA233" i="178"/>
  <c r="AR233" i="178"/>
  <c r="AS233" i="178"/>
  <c r="BN158" i="178"/>
  <c r="BF158" i="178"/>
  <c r="AX158" i="178"/>
  <c r="V158" i="178"/>
  <c r="BN903" i="178"/>
  <c r="BF903" i="178"/>
  <c r="AX903" i="178"/>
  <c r="BI314" i="178"/>
  <c r="BH314" i="178"/>
  <c r="BA314" i="178"/>
  <c r="AZ314" i="178"/>
  <c r="AS314" i="178"/>
  <c r="AR314" i="178"/>
  <c r="BN313" i="178"/>
  <c r="BF313" i="178"/>
  <c r="AX313" i="178"/>
  <c r="V313" i="178"/>
  <c r="BL118" i="178"/>
  <c r="BM118" i="178"/>
  <c r="BE118" i="178"/>
  <c r="BD118" i="178"/>
  <c r="AV118" i="178"/>
  <c r="AW118" i="178"/>
  <c r="BO117" i="178"/>
  <c r="BN117" i="178"/>
  <c r="BF117" i="178"/>
  <c r="BG117" i="178"/>
  <c r="AX117" i="178"/>
  <c r="AY117" i="178"/>
  <c r="BN116" i="178"/>
  <c r="BO116" i="178"/>
  <c r="BG116" i="178"/>
  <c r="BF116" i="178"/>
  <c r="AY116" i="178"/>
  <c r="AX116" i="178"/>
  <c r="BH69" i="178"/>
  <c r="AZ69" i="178"/>
  <c r="AR69" i="178"/>
  <c r="BO68" i="178"/>
  <c r="BN68" i="178"/>
  <c r="BF68" i="178"/>
  <c r="BG68" i="178"/>
  <c r="AX68" i="178"/>
  <c r="AY68" i="178"/>
  <c r="BM67" i="178"/>
  <c r="BL67" i="178"/>
  <c r="BE67" i="178"/>
  <c r="BD67" i="178"/>
  <c r="AW67" i="178"/>
  <c r="AV67" i="178"/>
  <c r="BN66" i="178"/>
  <c r="BO66" i="178"/>
  <c r="BF66" i="178"/>
  <c r="BG66" i="178"/>
  <c r="AX66" i="178"/>
  <c r="AY66" i="178"/>
  <c r="BH766" i="178"/>
  <c r="BI766" i="178"/>
  <c r="AZ766" i="178"/>
  <c r="BA766" i="178"/>
  <c r="AR766" i="178"/>
  <c r="AS766" i="178"/>
  <c r="BO549" i="178"/>
  <c r="BN549" i="178"/>
  <c r="BF549" i="178"/>
  <c r="BG549" i="178"/>
  <c r="AX549" i="178"/>
  <c r="AY549" i="178"/>
  <c r="BL548" i="178"/>
  <c r="BD548" i="178"/>
  <c r="AV548" i="178"/>
  <c r="BH545" i="178"/>
  <c r="AZ545" i="178"/>
  <c r="AR545" i="178"/>
  <c r="BN153" i="178"/>
  <c r="BF153" i="178"/>
  <c r="AX153" i="178"/>
  <c r="V153" i="178"/>
  <c r="BL218" i="178"/>
  <c r="BD218" i="178"/>
  <c r="AV218" i="178"/>
  <c r="BB217" i="178"/>
  <c r="AT217" i="178"/>
  <c r="BH216" i="178"/>
  <c r="AZ216" i="178"/>
  <c r="AR216" i="178"/>
  <c r="BN215" i="178"/>
  <c r="BF215" i="178"/>
  <c r="AX215" i="178"/>
  <c r="V215" i="178"/>
  <c r="BL214" i="178"/>
  <c r="BD214" i="178"/>
  <c r="AV214" i="178"/>
  <c r="BB213" i="178"/>
  <c r="AT213" i="178"/>
  <c r="BH212" i="178"/>
  <c r="AZ212" i="178"/>
  <c r="AR212" i="178"/>
  <c r="BN211" i="178"/>
  <c r="BF211" i="178"/>
  <c r="AX211" i="178"/>
  <c r="V211" i="178"/>
  <c r="BL210" i="178"/>
  <c r="BD210" i="178"/>
  <c r="AV210" i="178"/>
  <c r="BB209" i="178"/>
  <c r="AT209" i="178"/>
  <c r="BH208" i="178"/>
  <c r="AZ208" i="178"/>
  <c r="AR208" i="178"/>
  <c r="BN194" i="178"/>
  <c r="BF194" i="178"/>
  <c r="AX194" i="178"/>
  <c r="V194" i="178"/>
  <c r="BL184" i="178"/>
  <c r="BH582" i="178"/>
  <c r="AZ582" i="178"/>
  <c r="AR582" i="178"/>
  <c r="BN311" i="178"/>
  <c r="BF311" i="178"/>
  <c r="AX311" i="178"/>
  <c r="V311" i="178"/>
  <c r="BL310" i="178"/>
  <c r="BD310" i="178"/>
  <c r="AV310" i="178"/>
  <c r="BH309" i="178"/>
  <c r="AZ309" i="178"/>
  <c r="AR309" i="178"/>
  <c r="BL308" i="178"/>
  <c r="BD308" i="178"/>
  <c r="AV308" i="178"/>
  <c r="BB581" i="178"/>
  <c r="AT581" i="178"/>
  <c r="U758" i="178"/>
  <c r="V758" i="178"/>
  <c r="BB300" i="178"/>
  <c r="AT300" i="178"/>
  <c r="BH757" i="178"/>
  <c r="AZ757" i="178"/>
  <c r="AR757" i="178"/>
  <c r="BN138" i="178"/>
  <c r="BF138" i="178"/>
  <c r="AX138" i="178"/>
  <c r="V138" i="178"/>
  <c r="BL756" i="178"/>
  <c r="BD756" i="178"/>
  <c r="AV756" i="178"/>
  <c r="BH132" i="178"/>
  <c r="BI132" i="178"/>
  <c r="AZ132" i="178"/>
  <c r="BA132" i="178"/>
  <c r="AR132" i="178"/>
  <c r="AS132" i="178"/>
  <c r="BN121" i="178"/>
  <c r="BO121" i="178"/>
  <c r="BF121" i="178"/>
  <c r="BG121" i="178"/>
  <c r="AX121" i="178"/>
  <c r="AY121" i="178"/>
  <c r="BM544" i="178"/>
  <c r="BL544" i="178"/>
  <c r="BD544" i="178"/>
  <c r="BE544" i="178"/>
  <c r="AV544" i="178"/>
  <c r="AW544" i="178"/>
  <c r="BC119" i="178"/>
  <c r="BB119" i="178"/>
  <c r="AU119" i="178"/>
  <c r="AT119" i="178"/>
  <c r="BB101" i="178"/>
  <c r="BC101" i="178"/>
  <c r="AT101" i="178"/>
  <c r="AU101" i="178"/>
  <c r="BI100" i="178"/>
  <c r="BH100" i="178"/>
  <c r="BA100" i="178"/>
  <c r="AZ100" i="178"/>
  <c r="AS100" i="178"/>
  <c r="AR100" i="178"/>
  <c r="BN94" i="178"/>
  <c r="BO94" i="178"/>
  <c r="BF94" i="178"/>
  <c r="BG94" i="178"/>
  <c r="AX94" i="178"/>
  <c r="AY94" i="178"/>
  <c r="BL91" i="178"/>
  <c r="BM91" i="178"/>
  <c r="BD91" i="178"/>
  <c r="BE91" i="178"/>
  <c r="AV91" i="178"/>
  <c r="AW91" i="178"/>
  <c r="BH90" i="178"/>
  <c r="BI90" i="178"/>
  <c r="AZ90" i="178"/>
  <c r="BA90" i="178"/>
  <c r="AR90" i="178"/>
  <c r="AS90" i="178"/>
  <c r="BN87" i="178"/>
  <c r="BO87" i="178"/>
  <c r="BF87" i="178"/>
  <c r="BG87" i="178"/>
  <c r="AX87" i="178"/>
  <c r="AY87" i="178"/>
  <c r="BM86" i="178"/>
  <c r="BL86" i="178"/>
  <c r="BD86" i="178"/>
  <c r="BE86" i="178"/>
  <c r="AV86" i="178"/>
  <c r="AW86" i="178"/>
  <c r="BC85" i="178"/>
  <c r="BB85" i="178"/>
  <c r="AU85" i="178"/>
  <c r="AT85" i="178"/>
  <c r="U134" i="178"/>
  <c r="V134" i="178"/>
  <c r="BB295" i="178"/>
  <c r="BC295" i="178"/>
  <c r="AT295" i="178"/>
  <c r="AU295" i="178"/>
  <c r="BI288" i="178"/>
  <c r="BH288" i="178"/>
  <c r="BA288" i="178"/>
  <c r="AZ288" i="178"/>
  <c r="AS288" i="178"/>
  <c r="AR288" i="178"/>
  <c r="BN108" i="178"/>
  <c r="BO108" i="178"/>
  <c r="BF108" i="178"/>
  <c r="BG108" i="178"/>
  <c r="AX108" i="178"/>
  <c r="AY108" i="178"/>
  <c r="V108" i="178"/>
  <c r="BL107" i="178"/>
  <c r="BM107" i="178"/>
  <c r="BD107" i="178"/>
  <c r="BE107" i="178"/>
  <c r="AV107" i="178"/>
  <c r="AW107" i="178"/>
  <c r="BN21" i="178"/>
  <c r="BO21" i="178"/>
  <c r="BG21" i="178"/>
  <c r="BF21" i="178"/>
  <c r="AY21" i="178"/>
  <c r="AX21" i="178"/>
  <c r="BB14" i="178"/>
  <c r="BC14" i="178"/>
  <c r="AT14" i="178"/>
  <c r="AU14" i="178"/>
  <c r="BH9" i="178"/>
  <c r="AZ9" i="178"/>
  <c r="AR9" i="178"/>
  <c r="BB8" i="178"/>
  <c r="BC8" i="178"/>
  <c r="AT8" i="178"/>
  <c r="AU8" i="178"/>
  <c r="V6" i="178"/>
  <c r="U6" i="178"/>
  <c r="BL5" i="178"/>
  <c r="BM5" i="178"/>
  <c r="BD5" i="178"/>
  <c r="BE5" i="178"/>
  <c r="AV5" i="178"/>
  <c r="AW5" i="178"/>
  <c r="BN659" i="178"/>
  <c r="BO659" i="178"/>
  <c r="BF659" i="178"/>
  <c r="BG659" i="178"/>
  <c r="AX659" i="178"/>
  <c r="AY659" i="178"/>
  <c r="BB453" i="178"/>
  <c r="BC453" i="178"/>
  <c r="AT453" i="178"/>
  <c r="AU453" i="178"/>
  <c r="BN88" i="178"/>
  <c r="BO88" i="178"/>
  <c r="BF88" i="178"/>
  <c r="BG88" i="178"/>
  <c r="AX88" i="178"/>
  <c r="AY88" i="178"/>
  <c r="BD586" i="178"/>
  <c r="BE586" i="178"/>
  <c r="AV586" i="178"/>
  <c r="AW586" i="178"/>
  <c r="BL989" i="178"/>
  <c r="BM989" i="178"/>
  <c r="BE989" i="178"/>
  <c r="BD989" i="178"/>
  <c r="AW989" i="178"/>
  <c r="AV989" i="178"/>
  <c r="BL585" i="178"/>
  <c r="BD585" i="178"/>
  <c r="AV585" i="178"/>
  <c r="BB988" i="178"/>
  <c r="BC988" i="178"/>
  <c r="AT988" i="178"/>
  <c r="AU988" i="178"/>
  <c r="BM234" i="178"/>
  <c r="BL234" i="178"/>
  <c r="BE234" i="178"/>
  <c r="BD234" i="178"/>
  <c r="AW234" i="178"/>
  <c r="AV234" i="178"/>
  <c r="BO233" i="178"/>
  <c r="BN233" i="178"/>
  <c r="BF233" i="178"/>
  <c r="BG233" i="178"/>
  <c r="AX233" i="178"/>
  <c r="AY233" i="178"/>
  <c r="BL158" i="178"/>
  <c r="BD158" i="178"/>
  <c r="AV158" i="178"/>
  <c r="BL903" i="178"/>
  <c r="BD903" i="178"/>
  <c r="AV903" i="178"/>
  <c r="BN314" i="178"/>
  <c r="BO314" i="178"/>
  <c r="BF314" i="178"/>
  <c r="BG314" i="178"/>
  <c r="AX314" i="178"/>
  <c r="AY314" i="178"/>
  <c r="BL313" i="178"/>
  <c r="BD313" i="178"/>
  <c r="AV313" i="178"/>
  <c r="BC118" i="178"/>
  <c r="BB118" i="178"/>
  <c r="AU118" i="178"/>
  <c r="AT118" i="178"/>
  <c r="BL117" i="178"/>
  <c r="BM117" i="178"/>
  <c r="BD117" i="178"/>
  <c r="BE117" i="178"/>
  <c r="AW117" i="178"/>
  <c r="AV117" i="178"/>
  <c r="BM116" i="178"/>
  <c r="BL116" i="178"/>
  <c r="BD116" i="178"/>
  <c r="BE116" i="178"/>
  <c r="AV116" i="178"/>
  <c r="AW116" i="178"/>
  <c r="BN69" i="178"/>
  <c r="BF69" i="178"/>
  <c r="AX69" i="178"/>
  <c r="BL68" i="178"/>
  <c r="BM68" i="178"/>
  <c r="BE68" i="178"/>
  <c r="BD68" i="178"/>
  <c r="AW68" i="178"/>
  <c r="AV68" i="178"/>
  <c r="BB67" i="178"/>
  <c r="BC67" i="178"/>
  <c r="AT67" i="178"/>
  <c r="AU67" i="178"/>
  <c r="BM66" i="178"/>
  <c r="BL66" i="178"/>
  <c r="BD66" i="178"/>
  <c r="BE66" i="178"/>
  <c r="AV66" i="178"/>
  <c r="AW66" i="178"/>
  <c r="BO766" i="178"/>
  <c r="BN766" i="178"/>
  <c r="BG766" i="178"/>
  <c r="BF766" i="178"/>
  <c r="AY766" i="178"/>
  <c r="AX766" i="178"/>
  <c r="BL549" i="178"/>
  <c r="BM549" i="178"/>
  <c r="BE549" i="178"/>
  <c r="BD549" i="178"/>
  <c r="AV549" i="178"/>
  <c r="AW549" i="178"/>
  <c r="BB548" i="178"/>
  <c r="AT548" i="178"/>
  <c r="BN545" i="178"/>
  <c r="BF545" i="178"/>
  <c r="AX545" i="178"/>
  <c r="BL153" i="178"/>
  <c r="BD153" i="178"/>
  <c r="AV153" i="178"/>
  <c r="BB218" i="178"/>
  <c r="AT218" i="178"/>
  <c r="BH217" i="178"/>
  <c r="AZ217" i="178"/>
  <c r="AR217" i="178"/>
  <c r="BN216" i="178"/>
  <c r="BF216" i="178"/>
  <c r="AX216" i="178"/>
  <c r="BL215" i="178"/>
  <c r="BD215" i="178"/>
  <c r="AV215" i="178"/>
  <c r="BB214" i="178"/>
  <c r="AT214" i="178"/>
  <c r="BH213" i="178"/>
  <c r="AZ213" i="178"/>
  <c r="AR213" i="178"/>
  <c r="BN212" i="178"/>
  <c r="BF212" i="178"/>
  <c r="AX212" i="178"/>
  <c r="BL211" i="178"/>
  <c r="BD211" i="178"/>
  <c r="AV211" i="178"/>
  <c r="BB210" i="178"/>
  <c r="AT210" i="178"/>
  <c r="BH209" i="178"/>
  <c r="AZ209" i="178"/>
  <c r="AR209" i="178"/>
  <c r="BN208" i="178"/>
  <c r="BF208" i="178"/>
  <c r="AX208" i="178"/>
  <c r="BL194" i="178"/>
  <c r="BD194" i="178"/>
  <c r="AV194" i="178"/>
  <c r="BB184" i="178"/>
  <c r="AT184" i="178"/>
  <c r="BH583" i="178"/>
  <c r="AZ583" i="178"/>
  <c r="U157" i="178"/>
  <c r="V157" i="178"/>
  <c r="BB312" i="178"/>
  <c r="AT312" i="178"/>
  <c r="BN582" i="178"/>
  <c r="BF582" i="178"/>
  <c r="AX582" i="178"/>
  <c r="BL311" i="178"/>
  <c r="BD311" i="178"/>
  <c r="AV311" i="178"/>
  <c r="BB310" i="178"/>
  <c r="AT310" i="178"/>
  <c r="U764" i="178"/>
  <c r="V764" i="178"/>
  <c r="BB304" i="178"/>
  <c r="AT304" i="178"/>
  <c r="BH303" i="178"/>
  <c r="AZ303" i="178"/>
  <c r="AR303" i="178"/>
  <c r="BN220" i="178"/>
  <c r="BF220" i="178"/>
  <c r="AX220" i="178"/>
  <c r="BL758" i="178"/>
  <c r="BD758" i="178"/>
  <c r="AV758" i="178"/>
  <c r="BH300" i="178"/>
  <c r="AZ300" i="178"/>
  <c r="AR300" i="178"/>
  <c r="BN757" i="178"/>
  <c r="BF757" i="178"/>
  <c r="AX757" i="178"/>
  <c r="BL138" i="178"/>
  <c r="BD138" i="178"/>
  <c r="AV138" i="178"/>
  <c r="BB756" i="178"/>
  <c r="AT756" i="178"/>
  <c r="BB110" i="178"/>
  <c r="BC110" i="178"/>
  <c r="AT110" i="178"/>
  <c r="AU110" i="178"/>
  <c r="BI109" i="178"/>
  <c r="BH109" i="178"/>
  <c r="BA109" i="178"/>
  <c r="AZ109" i="178"/>
  <c r="AS109" i="178"/>
  <c r="AR109" i="178"/>
  <c r="BN103" i="178"/>
  <c r="BO103" i="178"/>
  <c r="BF103" i="178"/>
  <c r="BG103" i="178"/>
  <c r="AX103" i="178"/>
  <c r="AY103" i="178"/>
  <c r="BL102" i="178"/>
  <c r="BM102" i="178"/>
  <c r="BD102" i="178"/>
  <c r="BE102" i="178"/>
  <c r="AV102" i="178"/>
  <c r="AW102" i="178"/>
  <c r="BH101" i="178"/>
  <c r="BI101" i="178"/>
  <c r="AZ101" i="178"/>
  <c r="BA101" i="178"/>
  <c r="AR101" i="178"/>
  <c r="AS101" i="178"/>
  <c r="BN100" i="178"/>
  <c r="BO100" i="178"/>
  <c r="BF100" i="178"/>
  <c r="BG100" i="178"/>
  <c r="AX100" i="178"/>
  <c r="AY100" i="178"/>
  <c r="BM94" i="178"/>
  <c r="BL94" i="178"/>
  <c r="BD94" i="178"/>
  <c r="BE94" i="178"/>
  <c r="AV94" i="178"/>
  <c r="AW94" i="178"/>
  <c r="BC91" i="178"/>
  <c r="BB91" i="178"/>
  <c r="AU91" i="178"/>
  <c r="AT91" i="178"/>
  <c r="U81" i="178"/>
  <c r="V81" i="178"/>
  <c r="BB135" i="178"/>
  <c r="BC135" i="178"/>
  <c r="AT135" i="178"/>
  <c r="AU135" i="178"/>
  <c r="BN541" i="178"/>
  <c r="BO541" i="178"/>
  <c r="BF541" i="178"/>
  <c r="BG541" i="178"/>
  <c r="AX541" i="178"/>
  <c r="AY541" i="178"/>
  <c r="BL134" i="178"/>
  <c r="BM134" i="178"/>
  <c r="BD134" i="178"/>
  <c r="BE134" i="178"/>
  <c r="AV134" i="178"/>
  <c r="AW134" i="178"/>
  <c r="BH295" i="178"/>
  <c r="BI295" i="178"/>
  <c r="AZ295" i="178"/>
  <c r="BA295" i="178"/>
  <c r="AR295" i="178"/>
  <c r="AS295" i="178"/>
  <c r="BN288" i="178"/>
  <c r="BO288" i="178"/>
  <c r="BF288" i="178"/>
  <c r="BG288" i="178"/>
  <c r="AX288" i="178"/>
  <c r="AY288" i="178"/>
  <c r="BM108" i="178"/>
  <c r="BL108" i="178"/>
  <c r="BD108" i="178"/>
  <c r="BE108" i="178"/>
  <c r="AV108" i="178"/>
  <c r="AW108" i="178"/>
  <c r="BC107" i="178"/>
  <c r="BB107" i="178"/>
  <c r="AU107" i="178"/>
  <c r="AT107" i="178"/>
  <c r="U106" i="178"/>
  <c r="V106" i="178"/>
  <c r="BB105" i="178"/>
  <c r="BC105" i="178"/>
  <c r="AT105" i="178"/>
  <c r="AU105" i="178"/>
  <c r="U921" i="178"/>
  <c r="V921" i="178"/>
  <c r="BC519" i="178"/>
  <c r="BB519" i="178"/>
  <c r="AU519" i="178"/>
  <c r="AT519" i="178"/>
  <c r="BB133" i="178"/>
  <c r="BC133" i="178"/>
  <c r="AT133" i="178"/>
  <c r="AU133" i="178"/>
  <c r="U76" i="178"/>
  <c r="V76" i="178"/>
  <c r="BC75" i="178"/>
  <c r="BB75" i="178"/>
  <c r="AU75" i="178"/>
  <c r="AT75" i="178"/>
  <c r="U74" i="178"/>
  <c r="V74" i="178"/>
  <c r="BB73" i="178"/>
  <c r="BC73" i="178"/>
  <c r="AT73" i="178"/>
  <c r="AU73" i="178"/>
  <c r="BM22" i="178"/>
  <c r="BL22" i="178"/>
  <c r="BD22" i="178"/>
  <c r="BE22" i="178"/>
  <c r="AV22" i="178"/>
  <c r="AW22" i="178"/>
  <c r="BC15" i="178"/>
  <c r="BB15" i="178"/>
  <c r="AU15" i="178"/>
  <c r="AT15" i="178"/>
  <c r="V11" i="178"/>
  <c r="U11" i="178"/>
  <c r="BL10" i="178"/>
  <c r="BM10" i="178"/>
  <c r="BD10" i="178"/>
  <c r="BE10" i="178"/>
  <c r="AW10" i="178"/>
  <c r="AV10" i="178"/>
  <c r="BH454" i="178"/>
  <c r="BI454" i="178"/>
  <c r="AZ454" i="178"/>
  <c r="BA454" i="178"/>
  <c r="AR454" i="178"/>
  <c r="AS454" i="178"/>
  <c r="BB697" i="178"/>
  <c r="BC697" i="178"/>
  <c r="AT697" i="178"/>
  <c r="AU697" i="178"/>
  <c r="BL721" i="178"/>
  <c r="BM721" i="178"/>
  <c r="BD721" i="178"/>
  <c r="BE721" i="178"/>
  <c r="AV721" i="178"/>
  <c r="AW721" i="178"/>
  <c r="BN977" i="178"/>
  <c r="BO977" i="178"/>
  <c r="BF977" i="178"/>
  <c r="BG977" i="178"/>
  <c r="AX977" i="178"/>
  <c r="AY977" i="178"/>
  <c r="BC238" i="178"/>
  <c r="BB238" i="178"/>
  <c r="AU238" i="178"/>
  <c r="AT238" i="178"/>
  <c r="BB586" i="178"/>
  <c r="BC586" i="178"/>
  <c r="AT586" i="178"/>
  <c r="AU586" i="178"/>
  <c r="BB989" i="178"/>
  <c r="BC989" i="178"/>
  <c r="AU989" i="178"/>
  <c r="AT989" i="178"/>
  <c r="BB585" i="178"/>
  <c r="AT585" i="178"/>
  <c r="BH988" i="178"/>
  <c r="BI988" i="178"/>
  <c r="AZ988" i="178"/>
  <c r="BA988" i="178"/>
  <c r="AR988" i="178"/>
  <c r="AS988" i="178"/>
  <c r="BB234" i="178"/>
  <c r="BC234" i="178"/>
  <c r="AT234" i="178"/>
  <c r="AU234" i="178"/>
  <c r="BM233" i="178"/>
  <c r="BL233" i="178"/>
  <c r="BD233" i="178"/>
  <c r="BE233" i="178"/>
  <c r="AV233" i="178"/>
  <c r="AW233" i="178"/>
  <c r="BB158" i="178"/>
  <c r="AT158" i="178"/>
  <c r="BB903" i="178"/>
  <c r="AT903" i="178"/>
  <c r="BL314" i="178"/>
  <c r="BM314" i="178"/>
  <c r="BE314" i="178"/>
  <c r="BD314" i="178"/>
  <c r="AW314" i="178"/>
  <c r="AV314" i="178"/>
  <c r="BB313" i="178"/>
  <c r="AT313" i="178"/>
  <c r="BH118" i="178"/>
  <c r="BI118" i="178"/>
  <c r="BA118" i="178"/>
  <c r="AZ118" i="178"/>
  <c r="AR118" i="178"/>
  <c r="AS118" i="178"/>
  <c r="BB117" i="178"/>
  <c r="BC117" i="178"/>
  <c r="AT117" i="178"/>
  <c r="AU117" i="178"/>
  <c r="BB116" i="178"/>
  <c r="BC116" i="178"/>
  <c r="AU116" i="178"/>
  <c r="AT116" i="178"/>
  <c r="BL69" i="178"/>
  <c r="BD69" i="178"/>
  <c r="AV69" i="178"/>
  <c r="BB68" i="178"/>
  <c r="BC68" i="178"/>
  <c r="AT68" i="178"/>
  <c r="AU68" i="178"/>
  <c r="BI67" i="178"/>
  <c r="BH67" i="178"/>
  <c r="BA67" i="178"/>
  <c r="AZ67" i="178"/>
  <c r="AS67" i="178"/>
  <c r="AR67" i="178"/>
  <c r="BC66" i="178"/>
  <c r="BB66" i="178"/>
  <c r="AU66" i="178"/>
  <c r="AT66" i="178"/>
  <c r="BL766" i="178"/>
  <c r="BM766" i="178"/>
  <c r="BD766" i="178"/>
  <c r="BE766" i="178"/>
  <c r="AV766" i="178"/>
  <c r="AW766" i="178"/>
  <c r="BB549" i="178"/>
  <c r="BC549" i="178"/>
  <c r="AT549" i="178"/>
  <c r="AU549" i="178"/>
  <c r="BH548" i="178"/>
  <c r="AZ548" i="178"/>
  <c r="AR548" i="178"/>
  <c r="BL545" i="178"/>
  <c r="BD545" i="178"/>
  <c r="AV545" i="178"/>
  <c r="BB153" i="178"/>
  <c r="AT153" i="178"/>
  <c r="BH218" i="178"/>
  <c r="AZ218" i="178"/>
  <c r="AR218" i="178"/>
  <c r="BN217" i="178"/>
  <c r="BF217" i="178"/>
  <c r="AX217" i="178"/>
  <c r="V217" i="178"/>
  <c r="BL216" i="178"/>
  <c r="BD216" i="178"/>
  <c r="AV216" i="178"/>
  <c r="BB215" i="178"/>
  <c r="AT215" i="178"/>
  <c r="BH214" i="178"/>
  <c r="AZ214" i="178"/>
  <c r="AR214" i="178"/>
  <c r="BN213" i="178"/>
  <c r="BF213" i="178"/>
  <c r="AX213" i="178"/>
  <c r="V213" i="178"/>
  <c r="BL212" i="178"/>
  <c r="BD212" i="178"/>
  <c r="AV212" i="178"/>
  <c r="BB211" i="178"/>
  <c r="AT211" i="178"/>
  <c r="BH210" i="178"/>
  <c r="AZ210" i="178"/>
  <c r="AR210" i="178"/>
  <c r="BN209" i="178"/>
  <c r="BF209" i="178"/>
  <c r="AX209" i="178"/>
  <c r="V209" i="178"/>
  <c r="BL208" i="178"/>
  <c r="BD208" i="178"/>
  <c r="AV208" i="178"/>
  <c r="BB194" i="178"/>
  <c r="AT194" i="178"/>
  <c r="BH184" i="178"/>
  <c r="AZ184" i="178"/>
  <c r="AR184" i="178"/>
  <c r="BN583" i="178"/>
  <c r="BF583" i="178"/>
  <c r="AX583" i="178"/>
  <c r="V583" i="178"/>
  <c r="BL157" i="178"/>
  <c r="BD157" i="178"/>
  <c r="AV157" i="178"/>
  <c r="BH312" i="178"/>
  <c r="AZ312" i="178"/>
  <c r="AR312" i="178"/>
  <c r="U581" i="178"/>
  <c r="V581" i="178"/>
  <c r="BB307" i="178"/>
  <c r="AT307" i="178"/>
  <c r="BH306" i="178"/>
  <c r="AZ306" i="178"/>
  <c r="AR306" i="178"/>
  <c r="BN305" i="178"/>
  <c r="BF305" i="178"/>
  <c r="AX305" i="178"/>
  <c r="V305" i="178"/>
  <c r="BL764" i="178"/>
  <c r="BD764" i="178"/>
  <c r="AV764" i="178"/>
  <c r="BH304" i="178"/>
  <c r="AZ304" i="178"/>
  <c r="AR304" i="178"/>
  <c r="BN303" i="178"/>
  <c r="BF303" i="178"/>
  <c r="AX303" i="178"/>
  <c r="BL220" i="178"/>
  <c r="BD220" i="178"/>
  <c r="AV220" i="178"/>
  <c r="BB758" i="178"/>
  <c r="AT758" i="178"/>
  <c r="BB299" i="178"/>
  <c r="BC299" i="178"/>
  <c r="AT299" i="178"/>
  <c r="AU299" i="178"/>
  <c r="BI115" i="178"/>
  <c r="BH115" i="178"/>
  <c r="BA115" i="178"/>
  <c r="AZ115" i="178"/>
  <c r="AS115" i="178"/>
  <c r="AR115" i="178"/>
  <c r="BN112" i="178"/>
  <c r="BO112" i="178"/>
  <c r="BF112" i="178"/>
  <c r="BG112" i="178"/>
  <c r="AX112" i="178"/>
  <c r="AY112" i="178"/>
  <c r="BL111" i="178"/>
  <c r="BM111" i="178"/>
  <c r="BD111" i="178"/>
  <c r="BE111" i="178"/>
  <c r="AV111" i="178"/>
  <c r="AW111" i="178"/>
  <c r="BH110" i="178"/>
  <c r="BI110" i="178"/>
  <c r="AZ110" i="178"/>
  <c r="BA110" i="178"/>
  <c r="AR110" i="178"/>
  <c r="AS110" i="178"/>
  <c r="BN109" i="178"/>
  <c r="BO109" i="178"/>
  <c r="BF109" i="178"/>
  <c r="BG109" i="178"/>
  <c r="AX109" i="178"/>
  <c r="AY109" i="178"/>
  <c r="BM103" i="178"/>
  <c r="BL103" i="178"/>
  <c r="BD103" i="178"/>
  <c r="BE103" i="178"/>
  <c r="AV103" i="178"/>
  <c r="AW103" i="178"/>
  <c r="BC102" i="178"/>
  <c r="BB102" i="178"/>
  <c r="AU102" i="178"/>
  <c r="AT102" i="178"/>
  <c r="BB84" i="178"/>
  <c r="BC84" i="178"/>
  <c r="AT84" i="178"/>
  <c r="AU84" i="178"/>
  <c r="BI83" i="178"/>
  <c r="BH83" i="178"/>
  <c r="BA83" i="178"/>
  <c r="AZ83" i="178"/>
  <c r="AS83" i="178"/>
  <c r="AR83" i="178"/>
  <c r="BN82" i="178"/>
  <c r="BO82" i="178"/>
  <c r="BF82" i="178"/>
  <c r="BG82" i="178"/>
  <c r="AX82" i="178"/>
  <c r="AY82" i="178"/>
  <c r="V82" i="178"/>
  <c r="BL81" i="178"/>
  <c r="BM81" i="178"/>
  <c r="BD81" i="178"/>
  <c r="BE81" i="178"/>
  <c r="AV81" i="178"/>
  <c r="AW81" i="178"/>
  <c r="BH135" i="178"/>
  <c r="BI135" i="178"/>
  <c r="AZ135" i="178"/>
  <c r="BA135" i="178"/>
  <c r="AR135" i="178"/>
  <c r="AS135" i="178"/>
  <c r="BM541" i="178"/>
  <c r="BL541" i="178"/>
  <c r="BD541" i="178"/>
  <c r="BE541" i="178"/>
  <c r="AV541" i="178"/>
  <c r="AW541" i="178"/>
  <c r="BC134" i="178"/>
  <c r="BB134" i="178"/>
  <c r="AU134" i="178"/>
  <c r="AT134" i="178"/>
  <c r="BN24" i="178"/>
  <c r="BO24" i="178"/>
  <c r="BG24" i="178"/>
  <c r="BF24" i="178"/>
  <c r="AY24" i="178"/>
  <c r="AX24" i="178"/>
  <c r="BL23" i="178"/>
  <c r="BM23" i="178"/>
  <c r="BD23" i="178"/>
  <c r="BE23" i="178"/>
  <c r="AV23" i="178"/>
  <c r="AW23" i="178"/>
  <c r="BN18" i="178"/>
  <c r="BO18" i="178"/>
  <c r="BG18" i="178"/>
  <c r="BF18" i="178"/>
  <c r="AY18" i="178"/>
  <c r="AX18" i="178"/>
  <c r="BO127" i="178"/>
  <c r="BN127" i="178"/>
  <c r="BF127" i="178"/>
  <c r="BG127" i="178"/>
  <c r="AX127" i="178"/>
  <c r="AY127" i="178"/>
  <c r="BH17" i="178"/>
  <c r="AZ17" i="178"/>
  <c r="AR17" i="178"/>
  <c r="BH16" i="178"/>
  <c r="AZ16" i="178"/>
  <c r="AR16" i="178"/>
  <c r="BN12" i="178"/>
  <c r="BO12" i="178"/>
  <c r="BF12" i="178"/>
  <c r="BG12" i="178"/>
  <c r="AX12" i="178"/>
  <c r="AY12" i="178"/>
  <c r="BC11" i="178"/>
  <c r="BB11" i="178"/>
  <c r="AU11" i="178"/>
  <c r="AT11" i="178"/>
  <c r="BN7" i="178"/>
  <c r="BO7" i="178"/>
  <c r="BF7" i="178"/>
  <c r="BG7" i="178"/>
  <c r="AX7" i="178"/>
  <c r="AY7" i="178"/>
  <c r="BH6" i="178"/>
  <c r="BI6" i="178"/>
  <c r="AZ6" i="178"/>
  <c r="BA6" i="178"/>
  <c r="AR6" i="178"/>
  <c r="AS6" i="178"/>
  <c r="V3" i="178"/>
  <c r="U3" i="178"/>
  <c r="BM2" i="178"/>
  <c r="BL2" i="178"/>
  <c r="BD2" i="178"/>
  <c r="BE2" i="178"/>
  <c r="AV2" i="178"/>
  <c r="AW2" i="178"/>
  <c r="BH696" i="178"/>
  <c r="BI696" i="178"/>
  <c r="AZ696" i="178"/>
  <c r="BA696" i="178"/>
  <c r="AR696" i="178"/>
  <c r="AS696" i="178"/>
  <c r="BB658" i="178"/>
  <c r="BC658" i="178"/>
  <c r="AT658" i="178"/>
  <c r="AU658" i="178"/>
  <c r="BL1009" i="178"/>
  <c r="BM1009" i="178"/>
  <c r="BD1009" i="178"/>
  <c r="BE1009" i="178"/>
  <c r="AV1009" i="178"/>
  <c r="AW1009" i="178"/>
  <c r="BH106" i="178"/>
  <c r="BI106" i="178"/>
  <c r="AZ106" i="178"/>
  <c r="BA106" i="178"/>
  <c r="AR106" i="178"/>
  <c r="AS106" i="178"/>
  <c r="BI105" i="178"/>
  <c r="BH105" i="178"/>
  <c r="BA105" i="178"/>
  <c r="AZ105" i="178"/>
  <c r="AS105" i="178"/>
  <c r="AR105" i="178"/>
  <c r="BH921" i="178"/>
  <c r="BI921" i="178"/>
  <c r="AZ921" i="178"/>
  <c r="BA921" i="178"/>
  <c r="AR921" i="178"/>
  <c r="AS921" i="178"/>
  <c r="BH519" i="178"/>
  <c r="BI519" i="178"/>
  <c r="AZ519" i="178"/>
  <c r="BA519" i="178"/>
  <c r="AR519" i="178"/>
  <c r="AS519" i="178"/>
  <c r="BI133" i="178"/>
  <c r="BH133" i="178"/>
  <c r="BA133" i="178"/>
  <c r="AZ133" i="178"/>
  <c r="AS133" i="178"/>
  <c r="AR133" i="178"/>
  <c r="BH76" i="178"/>
  <c r="BI76" i="178"/>
  <c r="AZ76" i="178"/>
  <c r="BA76" i="178"/>
  <c r="AR76" i="178"/>
  <c r="AS76" i="178"/>
  <c r="BH75" i="178"/>
  <c r="BI75" i="178"/>
  <c r="AZ75" i="178"/>
  <c r="BA75" i="178"/>
  <c r="AR75" i="178"/>
  <c r="AS75" i="178"/>
  <c r="BH74" i="178"/>
  <c r="BI74" i="178"/>
  <c r="AZ74" i="178"/>
  <c r="BA74" i="178"/>
  <c r="AR74" i="178"/>
  <c r="AS74" i="178"/>
  <c r="BH73" i="178"/>
  <c r="BI73" i="178"/>
  <c r="AZ73" i="178"/>
  <c r="BA73" i="178"/>
  <c r="AR73" i="178"/>
  <c r="AS73" i="178"/>
  <c r="BI72" i="178"/>
  <c r="BH72" i="178"/>
  <c r="BA72" i="178"/>
  <c r="AZ72" i="178"/>
  <c r="AS72" i="178"/>
  <c r="AR72" i="178"/>
  <c r="BH71" i="178"/>
  <c r="BI71" i="178"/>
  <c r="AZ71" i="178"/>
  <c r="BA71" i="178"/>
  <c r="AR71" i="178"/>
  <c r="AS71" i="178"/>
  <c r="BN64" i="178"/>
  <c r="BO64" i="178"/>
  <c r="BG64" i="178"/>
  <c r="BF64" i="178"/>
  <c r="AY64" i="178"/>
  <c r="AX64" i="178"/>
  <c r="BN47" i="178"/>
  <c r="BO47" i="178"/>
  <c r="BF47" i="178"/>
  <c r="BG47" i="178"/>
  <c r="AX47" i="178"/>
  <c r="AY47" i="178"/>
  <c r="BM46" i="178"/>
  <c r="BL46" i="178"/>
  <c r="BD46" i="178"/>
  <c r="BE46" i="178"/>
  <c r="AV46" i="178"/>
  <c r="AW46" i="178"/>
  <c r="BC45" i="178"/>
  <c r="BB45" i="178"/>
  <c r="AU45" i="178"/>
  <c r="AT45" i="178"/>
  <c r="BH44" i="178"/>
  <c r="BI44" i="178"/>
  <c r="AZ44" i="178"/>
  <c r="BA44" i="178"/>
  <c r="AR44" i="178"/>
  <c r="AS44" i="178"/>
  <c r="BN43" i="178"/>
  <c r="BO43" i="178"/>
  <c r="BF43" i="178"/>
  <c r="BG43" i="178"/>
  <c r="AX43" i="178"/>
  <c r="AY43" i="178"/>
  <c r="BM540" i="178"/>
  <c r="BL540" i="178"/>
  <c r="BD540" i="178"/>
  <c r="BE540" i="178"/>
  <c r="AV540" i="178"/>
  <c r="AW540" i="178"/>
  <c r="BC131" i="178"/>
  <c r="BB131" i="178"/>
  <c r="AU131" i="178"/>
  <c r="AT131" i="178"/>
  <c r="BH920" i="178"/>
  <c r="BI920" i="178"/>
  <c r="AZ920" i="178"/>
  <c r="BA920" i="178"/>
  <c r="AR920" i="178"/>
  <c r="AS920" i="178"/>
  <c r="BN539" i="178"/>
  <c r="BO539" i="178"/>
  <c r="BF539" i="178"/>
  <c r="BG539" i="178"/>
  <c r="AX539" i="178"/>
  <c r="AY539" i="178"/>
  <c r="BM130" i="178"/>
  <c r="BL130" i="178"/>
  <c r="BD130" i="178"/>
  <c r="BE130" i="178"/>
  <c r="AV130" i="178"/>
  <c r="AW130" i="178"/>
  <c r="BC919" i="178"/>
  <c r="BB919" i="178"/>
  <c r="AU919" i="178"/>
  <c r="AT919" i="178"/>
  <c r="BH515" i="178"/>
  <c r="BI515" i="178"/>
  <c r="AZ515" i="178"/>
  <c r="BA515" i="178"/>
  <c r="AR515" i="178"/>
  <c r="AS515" i="178"/>
  <c r="BN752" i="178"/>
  <c r="BO752" i="178"/>
  <c r="BF752" i="178"/>
  <c r="BG752" i="178"/>
  <c r="AX752" i="178"/>
  <c r="AY752" i="178"/>
  <c r="BM129" i="178"/>
  <c r="BL129" i="178"/>
  <c r="BD129" i="178"/>
  <c r="BE129" i="178"/>
  <c r="AV129" i="178"/>
  <c r="AW129" i="178"/>
  <c r="BC41" i="178"/>
  <c r="BB41" i="178"/>
  <c r="AU41" i="178"/>
  <c r="AT41" i="178"/>
  <c r="BH40" i="178"/>
  <c r="BI40" i="178"/>
  <c r="AZ40" i="178"/>
  <c r="BA40" i="178"/>
  <c r="AR40" i="178"/>
  <c r="AS40" i="178"/>
  <c r="BN128" i="178"/>
  <c r="BO128" i="178"/>
  <c r="BF128" i="178"/>
  <c r="BG128" i="178"/>
  <c r="AX128" i="178"/>
  <c r="AY128" i="178"/>
  <c r="BM917" i="178"/>
  <c r="BL917" i="178"/>
  <c r="BD917" i="178"/>
  <c r="BE917" i="178"/>
  <c r="AV917" i="178"/>
  <c r="AW917" i="178"/>
  <c r="BH39" i="178"/>
  <c r="BI39" i="178"/>
  <c r="AZ39" i="178"/>
  <c r="BA39" i="178"/>
  <c r="AR39" i="178"/>
  <c r="AS39" i="178"/>
  <c r="BN38" i="178"/>
  <c r="BO38" i="178"/>
  <c r="BG38" i="178"/>
  <c r="BF38" i="178"/>
  <c r="AY38" i="178"/>
  <c r="AX38" i="178"/>
  <c r="BL30" i="178"/>
  <c r="BM30" i="178"/>
  <c r="BD30" i="178"/>
  <c r="BE30" i="178"/>
  <c r="AV30" i="178"/>
  <c r="AW30" i="178"/>
  <c r="BL28" i="178"/>
  <c r="BM28" i="178"/>
  <c r="BE28" i="178"/>
  <c r="BD28" i="178"/>
  <c r="AW28" i="178"/>
  <c r="AV28" i="178"/>
  <c r="BB25" i="178"/>
  <c r="BC25" i="178"/>
  <c r="AT25" i="178"/>
  <c r="AU25" i="178"/>
  <c r="BL24" i="178"/>
  <c r="BM24" i="178"/>
  <c r="BD24" i="178"/>
  <c r="BE24" i="178"/>
  <c r="AV24" i="178"/>
  <c r="AW24" i="178"/>
  <c r="BB23" i="178"/>
  <c r="BC23" i="178"/>
  <c r="AT23" i="178"/>
  <c r="AU23" i="178"/>
  <c r="BB22" i="178"/>
  <c r="BC22" i="178"/>
  <c r="AT22" i="178"/>
  <c r="AU22" i="178"/>
  <c r="BL21" i="178"/>
  <c r="BM21" i="178"/>
  <c r="BD21" i="178"/>
  <c r="BE21" i="178"/>
  <c r="AV21" i="178"/>
  <c r="AW21" i="178"/>
  <c r="BL20" i="178"/>
  <c r="BM20" i="178"/>
  <c r="BE20" i="178"/>
  <c r="BD20" i="178"/>
  <c r="AW20" i="178"/>
  <c r="AV20" i="178"/>
  <c r="BB19" i="178"/>
  <c r="BC19" i="178"/>
  <c r="AT19" i="178"/>
  <c r="AU19" i="178"/>
  <c r="BL18" i="178"/>
  <c r="BM18" i="178"/>
  <c r="BD18" i="178"/>
  <c r="BE18" i="178"/>
  <c r="AV18" i="178"/>
  <c r="AW18" i="178"/>
  <c r="BL127" i="178"/>
  <c r="BM127" i="178"/>
  <c r="BD127" i="178"/>
  <c r="BE127" i="178"/>
  <c r="AV127" i="178"/>
  <c r="AW127" i="178"/>
  <c r="BN17" i="178"/>
  <c r="BF17" i="178"/>
  <c r="AX17" i="178"/>
  <c r="BN16" i="178"/>
  <c r="BF16" i="178"/>
  <c r="AX16" i="178"/>
  <c r="BH15" i="178"/>
  <c r="BI15" i="178"/>
  <c r="AZ15" i="178"/>
  <c r="BA15" i="178"/>
  <c r="AR15" i="178"/>
  <c r="AS15" i="178"/>
  <c r="BH14" i="178"/>
  <c r="BI14" i="178"/>
  <c r="AZ14" i="178"/>
  <c r="BA14" i="178"/>
  <c r="AR14" i="178"/>
  <c r="AS14" i="178"/>
  <c r="BB13" i="178"/>
  <c r="BC13" i="178"/>
  <c r="AT13" i="178"/>
  <c r="AU13" i="178"/>
  <c r="BM12" i="178"/>
  <c r="BL12" i="178"/>
  <c r="BD12" i="178"/>
  <c r="BE12" i="178"/>
  <c r="AV12" i="178"/>
  <c r="AW12" i="178"/>
  <c r="BH11" i="178"/>
  <c r="BI11" i="178"/>
  <c r="AZ11" i="178"/>
  <c r="BA11" i="178"/>
  <c r="AR11" i="178"/>
  <c r="AS11" i="178"/>
  <c r="BB10" i="178"/>
  <c r="BC10" i="178"/>
  <c r="AT10" i="178"/>
  <c r="AU10" i="178"/>
  <c r="BN9" i="178"/>
  <c r="BF9" i="178"/>
  <c r="AX9" i="178"/>
  <c r="BH8" i="178"/>
  <c r="BI8" i="178"/>
  <c r="AZ8" i="178"/>
  <c r="BA8" i="178"/>
  <c r="AR8" i="178"/>
  <c r="AS8" i="178"/>
  <c r="BM7" i="178"/>
  <c r="BL7" i="178"/>
  <c r="BE7" i="178"/>
  <c r="BD7" i="178"/>
  <c r="AW7" i="178"/>
  <c r="AV7" i="178"/>
  <c r="BN6" i="178"/>
  <c r="BO6" i="178"/>
  <c r="BF6" i="178"/>
  <c r="BG6" i="178"/>
  <c r="AX6" i="178"/>
  <c r="AY6" i="178"/>
  <c r="BC5" i="178"/>
  <c r="BB5" i="178"/>
  <c r="AU5" i="178"/>
  <c r="AT5" i="178"/>
  <c r="BL4" i="178"/>
  <c r="BM4" i="178"/>
  <c r="BD4" i="178"/>
  <c r="BE4" i="178"/>
  <c r="AV4" i="178"/>
  <c r="AW4" i="178"/>
  <c r="BI3" i="178"/>
  <c r="BH3" i="178"/>
  <c r="BA3" i="178"/>
  <c r="AZ3" i="178"/>
  <c r="AS3" i="178"/>
  <c r="AR3" i="178"/>
  <c r="BC2" i="178"/>
  <c r="BB2" i="178"/>
  <c r="AU2" i="178"/>
  <c r="AT2" i="178"/>
  <c r="BO454" i="178"/>
  <c r="BN454" i="178"/>
  <c r="BF454" i="178"/>
  <c r="BG454" i="178"/>
  <c r="AX454" i="178"/>
  <c r="AY454" i="178"/>
  <c r="BI697" i="178"/>
  <c r="BH697" i="178"/>
  <c r="BA697" i="178"/>
  <c r="AZ697" i="178"/>
  <c r="AS697" i="178"/>
  <c r="AR697" i="178"/>
  <c r="BM660" i="178"/>
  <c r="BL660" i="178"/>
  <c r="BD660" i="178"/>
  <c r="BE660" i="178"/>
  <c r="AV660" i="178"/>
  <c r="AW660" i="178"/>
  <c r="BB721" i="178"/>
  <c r="BC721" i="178"/>
  <c r="AT721" i="178"/>
  <c r="AU721" i="178"/>
  <c r="BL659" i="178"/>
  <c r="BM659" i="178"/>
  <c r="BE659" i="178"/>
  <c r="BD659" i="178"/>
  <c r="AW659" i="178"/>
  <c r="AV659" i="178"/>
  <c r="BH453" i="178"/>
  <c r="BI453" i="178"/>
  <c r="AZ453" i="178"/>
  <c r="BA453" i="178"/>
  <c r="AR453" i="178"/>
  <c r="AS453" i="178"/>
  <c r="BC89" i="178"/>
  <c r="BB89" i="178"/>
  <c r="AU89" i="178"/>
  <c r="AT89" i="178"/>
  <c r="BO696" i="178"/>
  <c r="BN696" i="178"/>
  <c r="BF696" i="178"/>
  <c r="BG696" i="178"/>
  <c r="AX696" i="178"/>
  <c r="AY696" i="178"/>
  <c r="BI658" i="178"/>
  <c r="BH658" i="178"/>
  <c r="BA658" i="178"/>
  <c r="AZ658" i="178"/>
  <c r="AS658" i="178"/>
  <c r="AR658" i="178"/>
  <c r="BM88" i="178"/>
  <c r="BL88" i="178"/>
  <c r="BD88" i="178"/>
  <c r="BE88" i="178"/>
  <c r="AV88" i="178"/>
  <c r="AW88" i="178"/>
  <c r="BB1009" i="178"/>
  <c r="BC1009" i="178"/>
  <c r="AT1009" i="178"/>
  <c r="AU1009" i="178"/>
  <c r="BL977" i="178"/>
  <c r="BM977" i="178"/>
  <c r="BE977" i="178"/>
  <c r="BD977" i="178"/>
  <c r="AW977" i="178"/>
  <c r="AV977" i="178"/>
  <c r="U977" i="178"/>
  <c r="BM109" i="178"/>
  <c r="BF107" i="178"/>
  <c r="BD184" i="178"/>
  <c r="AV184" i="178"/>
  <c r="AT583" i="178"/>
  <c r="AZ157" i="178"/>
  <c r="BN312" i="178"/>
  <c r="BF312" i="178"/>
  <c r="AX312" i="178"/>
  <c r="V312" i="178"/>
  <c r="BL582" i="178"/>
  <c r="BD582" i="178"/>
  <c r="AV582" i="178"/>
  <c r="BB311" i="178"/>
  <c r="AT311" i="178"/>
  <c r="BH310" i="178"/>
  <c r="AZ310" i="178"/>
  <c r="AR310" i="178"/>
  <c r="BN309" i="178"/>
  <c r="BF309" i="178"/>
  <c r="AX309" i="178"/>
  <c r="BB308" i="178"/>
  <c r="AT308" i="178"/>
  <c r="BH581" i="178"/>
  <c r="AZ581" i="178"/>
  <c r="AR581" i="178"/>
  <c r="BN307" i="178"/>
  <c r="BF307" i="178"/>
  <c r="AX307" i="178"/>
  <c r="BD306" i="178"/>
  <c r="AV306" i="178"/>
  <c r="BB305" i="178"/>
  <c r="AT305" i="178"/>
  <c r="BH764" i="178"/>
  <c r="AZ764" i="178"/>
  <c r="AR764" i="178"/>
  <c r="BN304" i="178"/>
  <c r="BF304" i="178"/>
  <c r="AX304" i="178"/>
  <c r="BL303" i="178"/>
  <c r="BD303" i="178"/>
  <c r="BB220" i="178"/>
  <c r="AT220" i="178"/>
  <c r="BH758" i="178"/>
  <c r="AZ758" i="178"/>
  <c r="AR758" i="178"/>
  <c r="BN300" i="178"/>
  <c r="BF300" i="178"/>
  <c r="AX300" i="178"/>
  <c r="BL757" i="178"/>
  <c r="BD757" i="178"/>
  <c r="AV757" i="178"/>
  <c r="BB138" i="178"/>
  <c r="AT138" i="178"/>
  <c r="BH756" i="178"/>
  <c r="AZ756" i="178"/>
  <c r="AR756" i="178"/>
  <c r="BN132" i="178"/>
  <c r="BO132" i="178"/>
  <c r="BG132" i="178"/>
  <c r="BF132" i="178"/>
  <c r="AX132" i="178"/>
  <c r="AY132" i="178"/>
  <c r="BL121" i="178"/>
  <c r="BM121" i="178"/>
  <c r="BE121" i="178"/>
  <c r="BD121" i="178"/>
  <c r="AW121" i="178"/>
  <c r="AV121" i="178"/>
  <c r="BB544" i="178"/>
  <c r="BC544" i="178"/>
  <c r="AT544" i="178"/>
  <c r="AU544" i="178"/>
  <c r="BH119" i="178"/>
  <c r="BI119" i="178"/>
  <c r="AZ119" i="178"/>
  <c r="BA119" i="178"/>
  <c r="AR119" i="178"/>
  <c r="AS119" i="178"/>
  <c r="BO299" i="178"/>
  <c r="BN299" i="178"/>
  <c r="BF299" i="178"/>
  <c r="BG299" i="178"/>
  <c r="AX299" i="178"/>
  <c r="AY299" i="178"/>
  <c r="BL115" i="178"/>
  <c r="BM115" i="178"/>
  <c r="BE115" i="178"/>
  <c r="BD115" i="178"/>
  <c r="AW115" i="178"/>
  <c r="AV115" i="178"/>
  <c r="BB112" i="178"/>
  <c r="BC112" i="178"/>
  <c r="AT112" i="178"/>
  <c r="AU112" i="178"/>
  <c r="BH111" i="178"/>
  <c r="BI111" i="178"/>
  <c r="AZ111" i="178"/>
  <c r="BA111" i="178"/>
  <c r="AR111" i="178"/>
  <c r="AS111" i="178"/>
  <c r="BO110" i="178"/>
  <c r="BN110" i="178"/>
  <c r="BF110" i="178"/>
  <c r="BG110" i="178"/>
  <c r="AX110" i="178"/>
  <c r="AY110" i="178"/>
  <c r="BE109" i="178"/>
  <c r="BD109" i="178"/>
  <c r="AW109" i="178"/>
  <c r="AV109" i="178"/>
  <c r="BB103" i="178"/>
  <c r="BC103" i="178"/>
  <c r="AT103" i="178"/>
  <c r="AU103" i="178"/>
  <c r="BH102" i="178"/>
  <c r="BI102" i="178"/>
  <c r="AZ102" i="178"/>
  <c r="BA102" i="178"/>
  <c r="AR102" i="178"/>
  <c r="AS102" i="178"/>
  <c r="BO101" i="178"/>
  <c r="BN101" i="178"/>
  <c r="BF101" i="178"/>
  <c r="BG101" i="178"/>
  <c r="AX101" i="178"/>
  <c r="AY101" i="178"/>
  <c r="BL100" i="178"/>
  <c r="BM100" i="178"/>
  <c r="BE100" i="178"/>
  <c r="BD100" i="178"/>
  <c r="AW100" i="178"/>
  <c r="AV100" i="178"/>
  <c r="BB94" i="178"/>
  <c r="BC94" i="178"/>
  <c r="AT94" i="178"/>
  <c r="AU94" i="178"/>
  <c r="BH91" i="178"/>
  <c r="BI91" i="178"/>
  <c r="AZ91" i="178"/>
  <c r="BA91" i="178"/>
  <c r="AR91" i="178"/>
  <c r="AS91" i="178"/>
  <c r="BO90" i="178"/>
  <c r="BN90" i="178"/>
  <c r="BF90" i="178"/>
  <c r="BG90" i="178"/>
  <c r="AX90" i="178"/>
  <c r="AY90" i="178"/>
  <c r="BL87" i="178"/>
  <c r="BM87" i="178"/>
  <c r="BE87" i="178"/>
  <c r="BD87" i="178"/>
  <c r="AW87" i="178"/>
  <c r="AV87" i="178"/>
  <c r="BB86" i="178"/>
  <c r="BC86" i="178"/>
  <c r="AT86" i="178"/>
  <c r="AU86" i="178"/>
  <c r="BH85" i="178"/>
  <c r="BI85" i="178"/>
  <c r="AZ85" i="178"/>
  <c r="BA85" i="178"/>
  <c r="AR85" i="178"/>
  <c r="AS85" i="178"/>
  <c r="BO84" i="178"/>
  <c r="BN84" i="178"/>
  <c r="BF84" i="178"/>
  <c r="BG84" i="178"/>
  <c r="AX84" i="178"/>
  <c r="AY84" i="178"/>
  <c r="BL83" i="178"/>
  <c r="BM83" i="178"/>
  <c r="BE83" i="178"/>
  <c r="BD83" i="178"/>
  <c r="AW83" i="178"/>
  <c r="AV83" i="178"/>
  <c r="BB82" i="178"/>
  <c r="BC82" i="178"/>
  <c r="AT82" i="178"/>
  <c r="AU82" i="178"/>
  <c r="BH81" i="178"/>
  <c r="BI81" i="178"/>
  <c r="AZ81" i="178"/>
  <c r="BA81" i="178"/>
  <c r="AR81" i="178"/>
  <c r="AS81" i="178"/>
  <c r="BO135" i="178"/>
  <c r="BN135" i="178"/>
  <c r="BF135" i="178"/>
  <c r="BG135" i="178"/>
  <c r="AX135" i="178"/>
  <c r="AY135" i="178"/>
  <c r="BB541" i="178"/>
  <c r="BC541" i="178"/>
  <c r="AT541" i="178"/>
  <c r="AU541" i="178"/>
  <c r="BH134" i="178"/>
  <c r="BI134" i="178"/>
  <c r="AZ134" i="178"/>
  <c r="BA134" i="178"/>
  <c r="AR134" i="178"/>
  <c r="AS134" i="178"/>
  <c r="BO295" i="178"/>
  <c r="BN295" i="178"/>
  <c r="BF295" i="178"/>
  <c r="BG295" i="178"/>
  <c r="AX295" i="178"/>
  <c r="AY295" i="178"/>
  <c r="BL288" i="178"/>
  <c r="BM288" i="178"/>
  <c r="BE288" i="178"/>
  <c r="BD288" i="178"/>
  <c r="AW288" i="178"/>
  <c r="AV288" i="178"/>
  <c r="BB108" i="178"/>
  <c r="BC108" i="178"/>
  <c r="AT108" i="178"/>
  <c r="AU108" i="178"/>
  <c r="BH107" i="178"/>
  <c r="BI107" i="178"/>
  <c r="AZ107" i="178"/>
  <c r="BA107" i="178"/>
  <c r="AR107" i="178"/>
  <c r="AS107" i="178"/>
  <c r="BO106" i="178"/>
  <c r="BN106" i="178"/>
  <c r="BF106" i="178"/>
  <c r="BG106" i="178"/>
  <c r="AX106" i="178"/>
  <c r="AY106" i="178"/>
  <c r="BN105" i="178"/>
  <c r="BO105" i="178"/>
  <c r="BF105" i="178"/>
  <c r="BG105" i="178"/>
  <c r="AX105" i="178"/>
  <c r="AY105" i="178"/>
  <c r="BN921" i="178"/>
  <c r="BO921" i="178"/>
  <c r="BF921" i="178"/>
  <c r="BG921" i="178"/>
  <c r="AX921" i="178"/>
  <c r="AY921" i="178"/>
  <c r="BN519" i="178"/>
  <c r="BO519" i="178"/>
  <c r="BG519" i="178"/>
  <c r="BF519" i="178"/>
  <c r="AY519" i="178"/>
  <c r="AX519" i="178"/>
  <c r="BN133" i="178"/>
  <c r="BO133" i="178"/>
  <c r="BF133" i="178"/>
  <c r="BG133" i="178"/>
  <c r="AX133" i="178"/>
  <c r="AY133" i="178"/>
  <c r="BN76" i="178"/>
  <c r="BO76" i="178"/>
  <c r="BF76" i="178"/>
  <c r="BG76" i="178"/>
  <c r="AX76" i="178"/>
  <c r="AY76" i="178"/>
  <c r="BN75" i="178"/>
  <c r="BO75" i="178"/>
  <c r="BG75" i="178"/>
  <c r="BF75" i="178"/>
  <c r="AY75" i="178"/>
  <c r="AX75" i="178"/>
  <c r="BO74" i="178"/>
  <c r="BN74" i="178"/>
  <c r="BF74" i="178"/>
  <c r="BG74" i="178"/>
  <c r="AX74" i="178"/>
  <c r="AY74" i="178"/>
  <c r="BN73" i="178"/>
  <c r="BO73" i="178"/>
  <c r="BF73" i="178"/>
  <c r="BG73" i="178"/>
  <c r="AX73" i="178"/>
  <c r="AY73" i="178"/>
  <c r="BN72" i="178"/>
  <c r="BO72" i="178"/>
  <c r="BF72" i="178"/>
  <c r="BG72" i="178"/>
  <c r="AX72" i="178"/>
  <c r="AY72" i="178"/>
  <c r="BN71" i="178"/>
  <c r="BO71" i="178"/>
  <c r="BF71" i="178"/>
  <c r="BG71" i="178"/>
  <c r="AX71" i="178"/>
  <c r="AY71" i="178"/>
  <c r="BL64" i="178"/>
  <c r="BM64" i="178"/>
  <c r="BD64" i="178"/>
  <c r="BE64" i="178"/>
  <c r="AV64" i="178"/>
  <c r="AW64" i="178"/>
  <c r="BL47" i="178"/>
  <c r="BM47" i="178"/>
  <c r="BE47" i="178"/>
  <c r="BD47" i="178"/>
  <c r="AW47" i="178"/>
  <c r="AV47" i="178"/>
  <c r="BB46" i="178"/>
  <c r="BC46" i="178"/>
  <c r="AT46" i="178"/>
  <c r="AU46" i="178"/>
  <c r="BH45" i="178"/>
  <c r="BI45" i="178"/>
  <c r="AZ45" i="178"/>
  <c r="BA45" i="178"/>
  <c r="AR45" i="178"/>
  <c r="AS45" i="178"/>
  <c r="BO44" i="178"/>
  <c r="BN44" i="178"/>
  <c r="BF44" i="178"/>
  <c r="BG44" i="178"/>
  <c r="AX44" i="178"/>
  <c r="AY44" i="178"/>
  <c r="BL43" i="178"/>
  <c r="BM43" i="178"/>
  <c r="BE43" i="178"/>
  <c r="BD43" i="178"/>
  <c r="AW43" i="178"/>
  <c r="AV43" i="178"/>
  <c r="BB540" i="178"/>
  <c r="BC540" i="178"/>
  <c r="AT540" i="178"/>
  <c r="AU540" i="178"/>
  <c r="BH131" i="178"/>
  <c r="BI131" i="178"/>
  <c r="AZ131" i="178"/>
  <c r="BA131" i="178"/>
  <c r="AR131" i="178"/>
  <c r="AS131" i="178"/>
  <c r="BO920" i="178"/>
  <c r="BN920" i="178"/>
  <c r="BF920" i="178"/>
  <c r="BG920" i="178"/>
  <c r="AX920" i="178"/>
  <c r="AY920" i="178"/>
  <c r="BL539" i="178"/>
  <c r="BM539" i="178"/>
  <c r="BE539" i="178"/>
  <c r="BD539" i="178"/>
  <c r="AW539" i="178"/>
  <c r="AV539" i="178"/>
  <c r="BB130" i="178"/>
  <c r="BC130" i="178"/>
  <c r="AT130" i="178"/>
  <c r="AU130" i="178"/>
  <c r="BH919" i="178"/>
  <c r="BI919" i="178"/>
  <c r="AZ919" i="178"/>
  <c r="BA919" i="178"/>
  <c r="AR919" i="178"/>
  <c r="AS919" i="178"/>
  <c r="BO515" i="178"/>
  <c r="BN515" i="178"/>
  <c r="BF515" i="178"/>
  <c r="BG515" i="178"/>
  <c r="AX515" i="178"/>
  <c r="AY515" i="178"/>
  <c r="BL752" i="178"/>
  <c r="BM752" i="178"/>
  <c r="BE752" i="178"/>
  <c r="BD752" i="178"/>
  <c r="AW752" i="178"/>
  <c r="AV752" i="178"/>
  <c r="BB129" i="178"/>
  <c r="BC129" i="178"/>
  <c r="AT129" i="178"/>
  <c r="AU129" i="178"/>
  <c r="BH41" i="178"/>
  <c r="BI41" i="178"/>
  <c r="AZ41" i="178"/>
  <c r="BA41" i="178"/>
  <c r="AR41" i="178"/>
  <c r="AS41" i="178"/>
  <c r="BO40" i="178"/>
  <c r="BN40" i="178"/>
  <c r="BF40" i="178"/>
  <c r="BG40" i="178"/>
  <c r="AX40" i="178"/>
  <c r="AY40" i="178"/>
  <c r="BL128" i="178"/>
  <c r="BM128" i="178"/>
  <c r="BE128" i="178"/>
  <c r="BD128" i="178"/>
  <c r="AW128" i="178"/>
  <c r="AV128" i="178"/>
  <c r="BB917" i="178"/>
  <c r="BC917" i="178"/>
  <c r="AT917" i="178"/>
  <c r="AU917" i="178"/>
  <c r="BN39" i="178"/>
  <c r="BO39" i="178"/>
  <c r="BF39" i="178"/>
  <c r="BG39" i="178"/>
  <c r="AX39" i="178"/>
  <c r="AY39" i="178"/>
  <c r="BL38" i="178"/>
  <c r="BM38" i="178"/>
  <c r="BD38" i="178"/>
  <c r="BE38" i="178"/>
  <c r="AV38" i="178"/>
  <c r="AW38" i="178"/>
  <c r="BB30" i="178"/>
  <c r="BC30" i="178"/>
  <c r="AT30" i="178"/>
  <c r="AU30" i="178"/>
  <c r="BB28" i="178"/>
  <c r="BC28" i="178"/>
  <c r="AT28" i="178"/>
  <c r="AU28" i="178"/>
  <c r="BH25" i="178"/>
  <c r="BI25" i="178"/>
  <c r="AZ25" i="178"/>
  <c r="BA25" i="178"/>
  <c r="AR25" i="178"/>
  <c r="AS25" i="178"/>
  <c r="BC24" i="178"/>
  <c r="BB24" i="178"/>
  <c r="AU24" i="178"/>
  <c r="AT24" i="178"/>
  <c r="BH23" i="178"/>
  <c r="BI23" i="178"/>
  <c r="AZ23" i="178"/>
  <c r="BA23" i="178"/>
  <c r="AR23" i="178"/>
  <c r="AS23" i="178"/>
  <c r="BH22" i="178"/>
  <c r="BI22" i="178"/>
  <c r="AZ22" i="178"/>
  <c r="BA22" i="178"/>
  <c r="AR22" i="178"/>
  <c r="AS22" i="178"/>
  <c r="BC21" i="178"/>
  <c r="BB21" i="178"/>
  <c r="AU21" i="178"/>
  <c r="AT21" i="178"/>
  <c r="BB20" i="178"/>
  <c r="BC20" i="178"/>
  <c r="AT20" i="178"/>
  <c r="AU20" i="178"/>
  <c r="BH19" i="178"/>
  <c r="BI19" i="178"/>
  <c r="AZ19" i="178"/>
  <c r="BA19" i="178"/>
  <c r="AR19" i="178"/>
  <c r="AS19" i="178"/>
  <c r="BC18" i="178"/>
  <c r="BB18" i="178"/>
  <c r="AU18" i="178"/>
  <c r="AT18" i="178"/>
  <c r="BB127" i="178"/>
  <c r="BC127" i="178"/>
  <c r="AT127" i="178"/>
  <c r="AU127" i="178"/>
  <c r="BL17" i="178"/>
  <c r="BD17" i="178"/>
  <c r="AV17" i="178"/>
  <c r="BL16" i="178"/>
  <c r="BD16" i="178"/>
  <c r="AV16" i="178"/>
  <c r="U16" i="178"/>
  <c r="BN15" i="178"/>
  <c r="BO15" i="178"/>
  <c r="BG15" i="178"/>
  <c r="BF15" i="178"/>
  <c r="AY15" i="178"/>
  <c r="AX15" i="178"/>
  <c r="BO14" i="178"/>
  <c r="BN14" i="178"/>
  <c r="BF14" i="178"/>
  <c r="BG14" i="178"/>
  <c r="AX14" i="178"/>
  <c r="AY14" i="178"/>
  <c r="BI13" i="178"/>
  <c r="BH13" i="178"/>
  <c r="BA13" i="178"/>
  <c r="AZ13" i="178"/>
  <c r="AS13" i="178"/>
  <c r="AR13" i="178"/>
  <c r="BB12" i="178"/>
  <c r="BC12" i="178"/>
  <c r="AT12" i="178"/>
  <c r="AU12" i="178"/>
  <c r="BN11" i="178"/>
  <c r="BO11" i="178"/>
  <c r="BG11" i="178"/>
  <c r="BF11" i="178"/>
  <c r="AY11" i="178"/>
  <c r="AX11" i="178"/>
  <c r="BH10" i="178"/>
  <c r="BI10" i="178"/>
  <c r="AZ10" i="178"/>
  <c r="BA10" i="178"/>
  <c r="AR10" i="178"/>
  <c r="AS10" i="178"/>
  <c r="BL9" i="178"/>
  <c r="BD9" i="178"/>
  <c r="AV9" i="178"/>
  <c r="BO8" i="178"/>
  <c r="BN8" i="178"/>
  <c r="BF8" i="178"/>
  <c r="BG8" i="178"/>
  <c r="AX8" i="178"/>
  <c r="AY8" i="178"/>
  <c r="BB7" i="178"/>
  <c r="BC7" i="178"/>
  <c r="AT7" i="178"/>
  <c r="AU7" i="178"/>
  <c r="BM6" i="178"/>
  <c r="BL6" i="178"/>
  <c r="BD6" i="178"/>
  <c r="BE6" i="178"/>
  <c r="AV6" i="178"/>
  <c r="AW6" i="178"/>
  <c r="BH5" i="178"/>
  <c r="BI5" i="178"/>
  <c r="AZ5" i="178"/>
  <c r="BA5" i="178"/>
  <c r="AR5" i="178"/>
  <c r="AS5" i="178"/>
  <c r="BB4" i="178"/>
  <c r="BC4" i="178"/>
  <c r="AT4" i="178"/>
  <c r="AU4" i="178"/>
  <c r="BN3" i="178"/>
  <c r="BO3" i="178"/>
  <c r="BF3" i="178"/>
  <c r="BG3" i="178"/>
  <c r="AX3" i="178"/>
  <c r="AY3" i="178"/>
  <c r="BH2" i="178"/>
  <c r="BI2" i="178"/>
  <c r="AZ2" i="178"/>
  <c r="BA2" i="178"/>
  <c r="AR2" i="178"/>
  <c r="AS2" i="178"/>
  <c r="BL454" i="178"/>
  <c r="BM454" i="178"/>
  <c r="BE454" i="178"/>
  <c r="BD454" i="178"/>
  <c r="AW454" i="178"/>
  <c r="AV454" i="178"/>
  <c r="BN697" i="178"/>
  <c r="BO697" i="178"/>
  <c r="BF697" i="178"/>
  <c r="BG697" i="178"/>
  <c r="AX697" i="178"/>
  <c r="AY697" i="178"/>
  <c r="BC660" i="178"/>
  <c r="BB660" i="178"/>
  <c r="AU660" i="178"/>
  <c r="AT660" i="178"/>
  <c r="BI721" i="178"/>
  <c r="BH721" i="178"/>
  <c r="BA721" i="178"/>
  <c r="AZ721" i="178"/>
  <c r="AS721" i="178"/>
  <c r="AR721" i="178"/>
  <c r="BB659" i="178"/>
  <c r="BC659" i="178"/>
  <c r="AT659" i="178"/>
  <c r="AU659" i="178"/>
  <c r="BN453" i="178"/>
  <c r="BO453" i="178"/>
  <c r="BG453" i="178"/>
  <c r="BF453" i="178"/>
  <c r="AY453" i="178"/>
  <c r="AX453" i="178"/>
  <c r="BH89" i="178"/>
  <c r="BI89" i="178"/>
  <c r="AZ89" i="178"/>
  <c r="BA89" i="178"/>
  <c r="AR89" i="178"/>
  <c r="AS89" i="178"/>
  <c r="BL696" i="178"/>
  <c r="BM696" i="178"/>
  <c r="BE696" i="178"/>
  <c r="BD696" i="178"/>
  <c r="AW696" i="178"/>
  <c r="AV696" i="178"/>
  <c r="BN658" i="178"/>
  <c r="BO658" i="178"/>
  <c r="BF658" i="178"/>
  <c r="BG658" i="178"/>
  <c r="AX658" i="178"/>
  <c r="AY658" i="178"/>
  <c r="BC88" i="178"/>
  <c r="BB88" i="178"/>
  <c r="AU88" i="178"/>
  <c r="AT88" i="178"/>
  <c r="BI1009" i="178"/>
  <c r="BH1009" i="178"/>
  <c r="BA1009" i="178"/>
  <c r="AZ1009" i="178"/>
  <c r="AS1009" i="178"/>
  <c r="AR1009" i="178"/>
  <c r="BB977" i="178"/>
  <c r="BC977" i="178"/>
  <c r="AT977" i="178"/>
  <c r="AU977" i="178"/>
  <c r="BB583" i="178"/>
  <c r="AR583" i="178"/>
  <c r="BN157" i="178"/>
  <c r="BF157" i="178"/>
  <c r="AX157" i="178"/>
  <c r="BL312" i="178"/>
  <c r="BD312" i="178"/>
  <c r="AV312" i="178"/>
  <c r="BB582" i="178"/>
  <c r="AT582" i="178"/>
  <c r="BH311" i="178"/>
  <c r="AZ311" i="178"/>
  <c r="AR311" i="178"/>
  <c r="BN310" i="178"/>
  <c r="BF310" i="178"/>
  <c r="AX310" i="178"/>
  <c r="BD309" i="178"/>
  <c r="BH308" i="178"/>
  <c r="AZ308" i="178"/>
  <c r="AR308" i="178"/>
  <c r="BN581" i="178"/>
  <c r="BF581" i="178"/>
  <c r="AX581" i="178"/>
  <c r="BL307" i="178"/>
  <c r="BD307" i="178"/>
  <c r="AV307" i="178"/>
  <c r="BB306" i="178"/>
  <c r="AT306" i="178"/>
  <c r="BH305" i="178"/>
  <c r="AZ305" i="178"/>
  <c r="BN764" i="178"/>
  <c r="BF764" i="178"/>
  <c r="AX764" i="178"/>
  <c r="BL304" i="178"/>
  <c r="BD304" i="178"/>
  <c r="AV304" i="178"/>
  <c r="BB303" i="178"/>
  <c r="AT303" i="178"/>
  <c r="BH220" i="178"/>
  <c r="AZ220" i="178"/>
  <c r="AR220" i="178"/>
  <c r="BN758" i="178"/>
  <c r="BF758" i="178"/>
  <c r="AX758" i="178"/>
  <c r="BL300" i="178"/>
  <c r="BD300" i="178"/>
  <c r="AV300" i="178"/>
  <c r="BB757" i="178"/>
  <c r="AT757" i="178"/>
  <c r="BH138" i="178"/>
  <c r="AZ138" i="178"/>
  <c r="AR138" i="178"/>
  <c r="BN756" i="178"/>
  <c r="AX756" i="178"/>
  <c r="BL132" i="178"/>
  <c r="BM132" i="178"/>
  <c r="BD132" i="178"/>
  <c r="BE132" i="178"/>
  <c r="AV132" i="178"/>
  <c r="AW132" i="178"/>
  <c r="BB121" i="178"/>
  <c r="BC121" i="178"/>
  <c r="AT121" i="178"/>
  <c r="AU121" i="178"/>
  <c r="BH544" i="178"/>
  <c r="BI544" i="178"/>
  <c r="AZ544" i="178"/>
  <c r="BA544" i="178"/>
  <c r="AR544" i="178"/>
  <c r="AS544" i="178"/>
  <c r="BN119" i="178"/>
  <c r="BO119" i="178"/>
  <c r="BG119" i="178"/>
  <c r="BF119" i="178"/>
  <c r="AY119" i="178"/>
  <c r="AX119" i="178"/>
  <c r="BL299" i="178"/>
  <c r="BM299" i="178"/>
  <c r="BD299" i="178"/>
  <c r="BE299" i="178"/>
  <c r="AV299" i="178"/>
  <c r="AW299" i="178"/>
  <c r="BB115" i="178"/>
  <c r="BC115" i="178"/>
  <c r="AT115" i="178"/>
  <c r="AU115" i="178"/>
  <c r="BH112" i="178"/>
  <c r="BI112" i="178"/>
  <c r="AZ112" i="178"/>
  <c r="BA112" i="178"/>
  <c r="AR112" i="178"/>
  <c r="AS112" i="178"/>
  <c r="BN111" i="178"/>
  <c r="BO111" i="178"/>
  <c r="BG111" i="178"/>
  <c r="BF111" i="178"/>
  <c r="AY111" i="178"/>
  <c r="AX111" i="178"/>
  <c r="BL110" i="178"/>
  <c r="BM110" i="178"/>
  <c r="BD110" i="178"/>
  <c r="BE110" i="178"/>
  <c r="AV110" i="178"/>
  <c r="AW110" i="178"/>
  <c r="BB109" i="178"/>
  <c r="BC109" i="178"/>
  <c r="AT109" i="178"/>
  <c r="AU109" i="178"/>
  <c r="BH103" i="178"/>
  <c r="BI103" i="178"/>
  <c r="AZ103" i="178"/>
  <c r="BA103" i="178"/>
  <c r="AR103" i="178"/>
  <c r="AS103" i="178"/>
  <c r="BN102" i="178"/>
  <c r="BO102" i="178"/>
  <c r="BG102" i="178"/>
  <c r="BF102" i="178"/>
  <c r="AY102" i="178"/>
  <c r="AX102" i="178"/>
  <c r="BL101" i="178"/>
  <c r="BM101" i="178"/>
  <c r="BD101" i="178"/>
  <c r="BE101" i="178"/>
  <c r="AV101" i="178"/>
  <c r="AW101" i="178"/>
  <c r="BB100" i="178"/>
  <c r="BC100" i="178"/>
  <c r="AT100" i="178"/>
  <c r="AU100" i="178"/>
  <c r="BH94" i="178"/>
  <c r="BI94" i="178"/>
  <c r="AZ94" i="178"/>
  <c r="BA94" i="178"/>
  <c r="AR94" i="178"/>
  <c r="AS94" i="178"/>
  <c r="BN91" i="178"/>
  <c r="BO91" i="178"/>
  <c r="BG91" i="178"/>
  <c r="BF91" i="178"/>
  <c r="AY91" i="178"/>
  <c r="AX91" i="178"/>
  <c r="BL90" i="178"/>
  <c r="BM90" i="178"/>
  <c r="BD90" i="178"/>
  <c r="BE90" i="178"/>
  <c r="AV90" i="178"/>
  <c r="AW90" i="178"/>
  <c r="BB87" i="178"/>
  <c r="BC87" i="178"/>
  <c r="AT87" i="178"/>
  <c r="AU87" i="178"/>
  <c r="BH86" i="178"/>
  <c r="BI86" i="178"/>
  <c r="AZ86" i="178"/>
  <c r="BA86" i="178"/>
  <c r="AR86" i="178"/>
  <c r="AS86" i="178"/>
  <c r="BN85" i="178"/>
  <c r="BO85" i="178"/>
  <c r="BG85" i="178"/>
  <c r="BF85" i="178"/>
  <c r="AY85" i="178"/>
  <c r="AX85" i="178"/>
  <c r="BL84" i="178"/>
  <c r="BM84" i="178"/>
  <c r="BD84" i="178"/>
  <c r="BE84" i="178"/>
  <c r="AV84" i="178"/>
  <c r="AW84" i="178"/>
  <c r="BB83" i="178"/>
  <c r="BC83" i="178"/>
  <c r="AT83" i="178"/>
  <c r="AU83" i="178"/>
  <c r="BH82" i="178"/>
  <c r="BI82" i="178"/>
  <c r="AZ82" i="178"/>
  <c r="BA82" i="178"/>
  <c r="AR82" i="178"/>
  <c r="AS82" i="178"/>
  <c r="BN81" i="178"/>
  <c r="BO81" i="178"/>
  <c r="BG81" i="178"/>
  <c r="BF81" i="178"/>
  <c r="AY81" i="178"/>
  <c r="AX81" i="178"/>
  <c r="BL135" i="178"/>
  <c r="BM135" i="178"/>
  <c r="BD135" i="178"/>
  <c r="BE135" i="178"/>
  <c r="AV135" i="178"/>
  <c r="AW135" i="178"/>
  <c r="BH541" i="178"/>
  <c r="BI541" i="178"/>
  <c r="AZ541" i="178"/>
  <c r="BA541" i="178"/>
  <c r="AR541" i="178"/>
  <c r="AS541" i="178"/>
  <c r="BN134" i="178"/>
  <c r="BO134" i="178"/>
  <c r="BG134" i="178"/>
  <c r="BF134" i="178"/>
  <c r="AY134" i="178"/>
  <c r="AX134" i="178"/>
  <c r="BL295" i="178"/>
  <c r="BM295" i="178"/>
  <c r="BD295" i="178"/>
  <c r="BE295" i="178"/>
  <c r="AV295" i="178"/>
  <c r="AW295" i="178"/>
  <c r="BB288" i="178"/>
  <c r="BC288" i="178"/>
  <c r="AT288" i="178"/>
  <c r="AU288" i="178"/>
  <c r="BH108" i="178"/>
  <c r="BI108" i="178"/>
  <c r="AZ108" i="178"/>
  <c r="BA108" i="178"/>
  <c r="AR108" i="178"/>
  <c r="AS108" i="178"/>
  <c r="BN107" i="178"/>
  <c r="BO107" i="178"/>
  <c r="AY107" i="178"/>
  <c r="AX107" i="178"/>
  <c r="BL106" i="178"/>
  <c r="BM106" i="178"/>
  <c r="BD106" i="178"/>
  <c r="BE106" i="178"/>
  <c r="AV106" i="178"/>
  <c r="AW106" i="178"/>
  <c r="BL105" i="178"/>
  <c r="BM105" i="178"/>
  <c r="BE105" i="178"/>
  <c r="BD105" i="178"/>
  <c r="AW105" i="178"/>
  <c r="AV105" i="178"/>
  <c r="BM921" i="178"/>
  <c r="BL921" i="178"/>
  <c r="BD921" i="178"/>
  <c r="BE921" i="178"/>
  <c r="AV921" i="178"/>
  <c r="AW921" i="178"/>
  <c r="BL519" i="178"/>
  <c r="BM519" i="178"/>
  <c r="BD519" i="178"/>
  <c r="BE519" i="178"/>
  <c r="AV519" i="178"/>
  <c r="AW519" i="178"/>
  <c r="BL133" i="178"/>
  <c r="BM133" i="178"/>
  <c r="BE133" i="178"/>
  <c r="BD133" i="178"/>
  <c r="AW133" i="178"/>
  <c r="AV133" i="178"/>
  <c r="BM76" i="178"/>
  <c r="BL76" i="178"/>
  <c r="BD76" i="178"/>
  <c r="BE76" i="178"/>
  <c r="AV76" i="178"/>
  <c r="AW76" i="178"/>
  <c r="BL75" i="178"/>
  <c r="BM75" i="178"/>
  <c r="BD75" i="178"/>
  <c r="BE75" i="178"/>
  <c r="AV75" i="178"/>
  <c r="AW75" i="178"/>
  <c r="BL74" i="178"/>
  <c r="BM74" i="178"/>
  <c r="BD74" i="178"/>
  <c r="BE74" i="178"/>
  <c r="AV74" i="178"/>
  <c r="AW74" i="178"/>
  <c r="BL73" i="178"/>
  <c r="BM73" i="178"/>
  <c r="BE73" i="178"/>
  <c r="BD73" i="178"/>
  <c r="AW73" i="178"/>
  <c r="AV73" i="178"/>
  <c r="BM72" i="178"/>
  <c r="BL72" i="178"/>
  <c r="BE72" i="178"/>
  <c r="BD72" i="178"/>
  <c r="AW72" i="178"/>
  <c r="AV72" i="178"/>
  <c r="BM71" i="178"/>
  <c r="BL71" i="178"/>
  <c r="BD71" i="178"/>
  <c r="BE71" i="178"/>
  <c r="AV71" i="178"/>
  <c r="AW71" i="178"/>
  <c r="BC64" i="178"/>
  <c r="BB64" i="178"/>
  <c r="AU64" i="178"/>
  <c r="AT64" i="178"/>
  <c r="BB47" i="178"/>
  <c r="BC47" i="178"/>
  <c r="AT47" i="178"/>
  <c r="AU47" i="178"/>
  <c r="BH46" i="178"/>
  <c r="BI46" i="178"/>
  <c r="AZ46" i="178"/>
  <c r="BA46" i="178"/>
  <c r="AR46" i="178"/>
  <c r="AS46" i="178"/>
  <c r="BN45" i="178"/>
  <c r="BO45" i="178"/>
  <c r="BG45" i="178"/>
  <c r="BF45" i="178"/>
  <c r="AY45" i="178"/>
  <c r="AX45" i="178"/>
  <c r="BL44" i="178"/>
  <c r="BM44" i="178"/>
  <c r="BD44" i="178"/>
  <c r="BE44" i="178"/>
  <c r="AV44" i="178"/>
  <c r="AW44" i="178"/>
  <c r="BB43" i="178"/>
  <c r="BC43" i="178"/>
  <c r="AT43" i="178"/>
  <c r="AU43" i="178"/>
  <c r="BH540" i="178"/>
  <c r="BI540" i="178"/>
  <c r="AZ540" i="178"/>
  <c r="BA540" i="178"/>
  <c r="AR540" i="178"/>
  <c r="AS540" i="178"/>
  <c r="BN131" i="178"/>
  <c r="BO131" i="178"/>
  <c r="BG131" i="178"/>
  <c r="BF131" i="178"/>
  <c r="AY131" i="178"/>
  <c r="AX131" i="178"/>
  <c r="BL920" i="178"/>
  <c r="BM920" i="178"/>
  <c r="BD920" i="178"/>
  <c r="BE920" i="178"/>
  <c r="AV920" i="178"/>
  <c r="AW920" i="178"/>
  <c r="BB539" i="178"/>
  <c r="BC539" i="178"/>
  <c r="AT539" i="178"/>
  <c r="AU539" i="178"/>
  <c r="BH130" i="178"/>
  <c r="BI130" i="178"/>
  <c r="AZ130" i="178"/>
  <c r="BA130" i="178"/>
  <c r="AR130" i="178"/>
  <c r="AS130" i="178"/>
  <c r="BN919" i="178"/>
  <c r="BO919" i="178"/>
  <c r="BG919" i="178"/>
  <c r="BF919" i="178"/>
  <c r="AY919" i="178"/>
  <c r="AX919" i="178"/>
  <c r="BL515" i="178"/>
  <c r="BM515" i="178"/>
  <c r="BD515" i="178"/>
  <c r="BE515" i="178"/>
  <c r="AV515" i="178"/>
  <c r="AW515" i="178"/>
  <c r="BB752" i="178"/>
  <c r="BC752" i="178"/>
  <c r="AT752" i="178"/>
  <c r="AU752" i="178"/>
  <c r="BH129" i="178"/>
  <c r="BI129" i="178"/>
  <c r="AZ129" i="178"/>
  <c r="BA129" i="178"/>
  <c r="AR129" i="178"/>
  <c r="AS129" i="178"/>
  <c r="BN41" i="178"/>
  <c r="BO41" i="178"/>
  <c r="BG41" i="178"/>
  <c r="BF41" i="178"/>
  <c r="AY41" i="178"/>
  <c r="AX41" i="178"/>
  <c r="BL40" i="178"/>
  <c r="BM40" i="178"/>
  <c r="BD40" i="178"/>
  <c r="BE40" i="178"/>
  <c r="AV40" i="178"/>
  <c r="AW40" i="178"/>
  <c r="BB128" i="178"/>
  <c r="BC128" i="178"/>
  <c r="AT128" i="178"/>
  <c r="AU128" i="178"/>
  <c r="BH917" i="178"/>
  <c r="BI917" i="178"/>
  <c r="AZ917" i="178"/>
  <c r="BA917" i="178"/>
  <c r="AR917" i="178"/>
  <c r="AS917" i="178"/>
  <c r="BM39" i="178"/>
  <c r="BL39" i="178"/>
  <c r="BD39" i="178"/>
  <c r="BE39" i="178"/>
  <c r="AV39" i="178"/>
  <c r="AW39" i="178"/>
  <c r="BC38" i="178"/>
  <c r="BB38" i="178"/>
  <c r="AU38" i="178"/>
  <c r="AT38" i="178"/>
  <c r="BH30" i="178"/>
  <c r="BI30" i="178"/>
  <c r="AZ30" i="178"/>
  <c r="BA30" i="178"/>
  <c r="AR30" i="178"/>
  <c r="AS30" i="178"/>
  <c r="BI28" i="178"/>
  <c r="BH28" i="178"/>
  <c r="BA28" i="178"/>
  <c r="AZ28" i="178"/>
  <c r="AS28" i="178"/>
  <c r="AR28" i="178"/>
  <c r="BN25" i="178"/>
  <c r="BO25" i="178"/>
  <c r="BF25" i="178"/>
  <c r="BG25" i="178"/>
  <c r="AX25" i="178"/>
  <c r="AY25" i="178"/>
  <c r="BH24" i="178"/>
  <c r="BI24" i="178"/>
  <c r="AZ24" i="178"/>
  <c r="BA24" i="178"/>
  <c r="AR24" i="178"/>
  <c r="AS24" i="178"/>
  <c r="BO23" i="178"/>
  <c r="BN23" i="178"/>
  <c r="BF23" i="178"/>
  <c r="BG23" i="178"/>
  <c r="AX23" i="178"/>
  <c r="AY23" i="178"/>
  <c r="BN22" i="178"/>
  <c r="BO22" i="178"/>
  <c r="BF22" i="178"/>
  <c r="BG22" i="178"/>
  <c r="AX22" i="178"/>
  <c r="AY22" i="178"/>
  <c r="BH21" i="178"/>
  <c r="BI21" i="178"/>
  <c r="AZ21" i="178"/>
  <c r="BA21" i="178"/>
  <c r="AR21" i="178"/>
  <c r="AS21" i="178"/>
  <c r="BI20" i="178"/>
  <c r="BH20" i="178"/>
  <c r="BA20" i="178"/>
  <c r="AZ20" i="178"/>
  <c r="AS20" i="178"/>
  <c r="AR20" i="178"/>
  <c r="BN19" i="178"/>
  <c r="BO19" i="178"/>
  <c r="BF19" i="178"/>
  <c r="BG19" i="178"/>
  <c r="AX19" i="178"/>
  <c r="AY19" i="178"/>
  <c r="BH18" i="178"/>
  <c r="BI18" i="178"/>
  <c r="AZ18" i="178"/>
  <c r="BA18" i="178"/>
  <c r="AR18" i="178"/>
  <c r="AS18" i="178"/>
  <c r="BH127" i="178"/>
  <c r="BI127" i="178"/>
  <c r="AZ127" i="178"/>
  <c r="BA127" i="178"/>
  <c r="AR127" i="178"/>
  <c r="AS127" i="178"/>
  <c r="BB17" i="178"/>
  <c r="AT17" i="178"/>
  <c r="BB16" i="178"/>
  <c r="AT16" i="178"/>
  <c r="BL15" i="178"/>
  <c r="BM15" i="178"/>
  <c r="BD15" i="178"/>
  <c r="BE15" i="178"/>
  <c r="AV15" i="178"/>
  <c r="AW15" i="178"/>
  <c r="BL14" i="178"/>
  <c r="BM14" i="178"/>
  <c r="BD14" i="178"/>
  <c r="BE14" i="178"/>
  <c r="AV14" i="178"/>
  <c r="AW14" i="178"/>
  <c r="BN13" i="178"/>
  <c r="BO13" i="178"/>
  <c r="BF13" i="178"/>
  <c r="BG13" i="178"/>
  <c r="AX13" i="178"/>
  <c r="AY13" i="178"/>
  <c r="BH12" i="178"/>
  <c r="BI12" i="178"/>
  <c r="AZ12" i="178"/>
  <c r="BA12" i="178"/>
  <c r="AR12" i="178"/>
  <c r="AS12" i="178"/>
  <c r="BL11" i="178"/>
  <c r="BM11" i="178"/>
  <c r="BD11" i="178"/>
  <c r="BE11" i="178"/>
  <c r="AV11" i="178"/>
  <c r="AW11" i="178"/>
  <c r="BO10" i="178"/>
  <c r="BN10" i="178"/>
  <c r="BF10" i="178"/>
  <c r="BG10" i="178"/>
  <c r="AX10" i="178"/>
  <c r="AY10" i="178"/>
  <c r="BB9" i="178"/>
  <c r="AT9" i="178"/>
  <c r="BL8" i="178"/>
  <c r="BM8" i="178"/>
  <c r="BE8" i="178"/>
  <c r="BD8" i="178"/>
  <c r="AW8" i="178"/>
  <c r="AV8" i="178"/>
  <c r="BI7" i="178"/>
  <c r="BH7" i="178"/>
  <c r="BA7" i="178"/>
  <c r="AZ7" i="178"/>
  <c r="AS7" i="178"/>
  <c r="AR7" i="178"/>
  <c r="BC6" i="178"/>
  <c r="BB6" i="178"/>
  <c r="AU6" i="178"/>
  <c r="AT6" i="178"/>
  <c r="BN5" i="178"/>
  <c r="BO5" i="178"/>
  <c r="BG5" i="178"/>
  <c r="BF5" i="178"/>
  <c r="AY5" i="178"/>
  <c r="AX5" i="178"/>
  <c r="BI4" i="178"/>
  <c r="BH4" i="178"/>
  <c r="BA4" i="178"/>
  <c r="AZ4" i="178"/>
  <c r="AS4" i="178"/>
  <c r="AR4" i="178"/>
  <c r="BL3" i="178"/>
  <c r="BM3" i="178"/>
  <c r="BE3" i="178"/>
  <c r="BD3" i="178"/>
  <c r="AW3" i="178"/>
  <c r="AV3" i="178"/>
  <c r="BN2" i="178"/>
  <c r="BO2" i="178"/>
  <c r="BG2" i="178"/>
  <c r="BF2" i="178"/>
  <c r="AY2" i="178"/>
  <c r="AX2" i="178"/>
  <c r="Z2" i="178"/>
  <c r="BB454" i="178"/>
  <c r="BC454" i="178"/>
  <c r="AT454" i="178"/>
  <c r="AU454" i="178"/>
  <c r="BM697" i="178"/>
  <c r="BL697" i="178"/>
  <c r="BE697" i="178"/>
  <c r="BD697" i="178"/>
  <c r="AW697" i="178"/>
  <c r="AV697" i="178"/>
  <c r="BH660" i="178"/>
  <c r="BI660" i="178"/>
  <c r="AZ660" i="178"/>
  <c r="BA660" i="178"/>
  <c r="AR660" i="178"/>
  <c r="AS660" i="178"/>
  <c r="BO721" i="178"/>
  <c r="BN721" i="178"/>
  <c r="BF721" i="178"/>
  <c r="BG721" i="178"/>
  <c r="AX721" i="178"/>
  <c r="AY721" i="178"/>
  <c r="BI659" i="178"/>
  <c r="BH659" i="178"/>
  <c r="BA659" i="178"/>
  <c r="AZ659" i="178"/>
  <c r="AS659" i="178"/>
  <c r="AR659" i="178"/>
  <c r="BM453" i="178"/>
  <c r="BL453" i="178"/>
  <c r="BD453" i="178"/>
  <c r="BE453" i="178"/>
  <c r="AV453" i="178"/>
  <c r="AW453" i="178"/>
  <c r="BO89" i="178"/>
  <c r="BN89" i="178"/>
  <c r="BG89" i="178"/>
  <c r="BF89" i="178"/>
  <c r="AY89" i="178"/>
  <c r="AX89" i="178"/>
  <c r="BB696" i="178"/>
  <c r="BC696" i="178"/>
  <c r="AT696" i="178"/>
  <c r="AU696" i="178"/>
  <c r="BM658" i="178"/>
  <c r="BL658" i="178"/>
  <c r="BE658" i="178"/>
  <c r="BD658" i="178"/>
  <c r="AW658" i="178"/>
  <c r="AV658" i="178"/>
  <c r="BH88" i="178"/>
  <c r="BI88" i="178"/>
  <c r="AZ88" i="178"/>
  <c r="BA88" i="178"/>
  <c r="AR88" i="178"/>
  <c r="AS88" i="178"/>
  <c r="BO1009" i="178"/>
  <c r="BN1009" i="178"/>
  <c r="BF1009" i="178"/>
  <c r="BG1009" i="178"/>
  <c r="AX1009" i="178"/>
  <c r="AY1009" i="178"/>
  <c r="BI977" i="178"/>
  <c r="BH977" i="178"/>
  <c r="BA977" i="178"/>
  <c r="AZ977" i="178"/>
  <c r="AS977" i="178"/>
  <c r="AR977" i="178"/>
  <c r="AV309" i="178"/>
  <c r="BL306" i="178"/>
  <c r="U463" i="178"/>
  <c r="U462" i="178"/>
  <c r="U180" i="178"/>
  <c r="U388" i="178"/>
  <c r="U175" i="178"/>
  <c r="U386" i="178"/>
  <c r="U384" i="178"/>
  <c r="V738" i="178"/>
  <c r="V737" i="178"/>
  <c r="U317" i="178"/>
  <c r="U569" i="178"/>
  <c r="U1018" i="178"/>
  <c r="U230" i="178"/>
  <c r="U568" i="178"/>
  <c r="U181" i="178"/>
  <c r="U389" i="178"/>
  <c r="U387" i="178"/>
  <c r="U385" i="178"/>
  <c r="U594" i="178"/>
  <c r="U1016" i="178"/>
  <c r="V1016" i="178"/>
  <c r="U593" i="178"/>
  <c r="V593" i="178"/>
  <c r="U1015" i="178"/>
  <c r="V1015" i="178"/>
  <c r="U383" i="178"/>
  <c r="V383" i="178"/>
  <c r="U382" i="178"/>
  <c r="V382" i="178"/>
  <c r="U381" i="178"/>
  <c r="V381" i="178"/>
  <c r="U380" i="178"/>
  <c r="V380" i="178"/>
  <c r="U592" i="178"/>
  <c r="V592" i="178"/>
  <c r="U1014" i="178"/>
  <c r="V1014" i="178"/>
  <c r="U1013" i="178"/>
  <c r="V1013" i="178"/>
  <c r="U1012" i="178"/>
  <c r="V1012" i="178"/>
  <c r="U1011" i="178"/>
  <c r="V1011" i="178"/>
  <c r="U1002" i="178"/>
  <c r="V1002" i="178"/>
  <c r="U1001" i="178"/>
  <c r="V1001" i="178"/>
  <c r="U377" i="178"/>
  <c r="V377" i="178"/>
  <c r="U376" i="178"/>
  <c r="V376" i="178"/>
  <c r="U375" i="178"/>
  <c r="V375" i="178"/>
  <c r="U374" i="178"/>
  <c r="V374" i="178"/>
  <c r="S585" i="178"/>
  <c r="BA585" i="178" s="1"/>
  <c r="U233" i="178"/>
  <c r="V233" i="178"/>
  <c r="S158" i="178"/>
  <c r="BK158" i="178" s="1"/>
  <c r="U314" i="178"/>
  <c r="V314" i="178"/>
  <c r="S313" i="178"/>
  <c r="BK313" i="178" s="1"/>
  <c r="S994" i="178"/>
  <c r="BC994" i="178" s="1"/>
  <c r="S267" i="178"/>
  <c r="AU267" i="178" s="1"/>
  <c r="S260" i="178"/>
  <c r="BO260" i="178" s="1"/>
  <c r="S239" i="178"/>
  <c r="AU239" i="178" s="1"/>
  <c r="S990" i="178"/>
  <c r="BK990" i="178" s="1"/>
  <c r="V373" i="178"/>
  <c r="V372" i="178"/>
  <c r="V371" i="178"/>
  <c r="V370" i="178"/>
  <c r="V369" i="178"/>
  <c r="V368" i="178"/>
  <c r="V367" i="178"/>
  <c r="V366" i="178"/>
  <c r="V359" i="178"/>
  <c r="V356" i="178"/>
  <c r="V355" i="178"/>
  <c r="V353" i="178"/>
  <c r="V352" i="178"/>
  <c r="V351" i="178"/>
  <c r="V347" i="178"/>
  <c r="V343" i="178"/>
  <c r="V156" i="178"/>
  <c r="V340" i="178"/>
  <c r="V335" i="178"/>
  <c r="V325" i="178"/>
  <c r="V319" i="178"/>
  <c r="V320" i="178"/>
  <c r="V315" i="178"/>
  <c r="V301" i="178"/>
  <c r="V298" i="178"/>
  <c r="V290" i="178"/>
  <c r="V283" i="178"/>
  <c r="V282" i="178"/>
  <c r="V281" i="178"/>
  <c r="V276" i="178"/>
  <c r="V275" i="178"/>
  <c r="V274" i="178"/>
  <c r="V273" i="178"/>
  <c r="V272" i="178"/>
  <c r="V269" i="178"/>
  <c r="V268" i="178"/>
  <c r="V589" i="178"/>
  <c r="V999" i="178"/>
  <c r="V998" i="178"/>
  <c r="S548" i="178"/>
  <c r="BA548" i="178" s="1"/>
  <c r="S545" i="178"/>
  <c r="BG545" i="178" s="1"/>
  <c r="S153" i="178"/>
  <c r="BK153" i="178" s="1"/>
  <c r="S218" i="178"/>
  <c r="BI218" i="178" s="1"/>
  <c r="S217" i="178"/>
  <c r="BK217" i="178" s="1"/>
  <c r="S216" i="178"/>
  <c r="BE216" i="178" s="1"/>
  <c r="S215" i="178"/>
  <c r="BK215" i="178" s="1"/>
  <c r="S214" i="178"/>
  <c r="BG214" i="178" s="1"/>
  <c r="S213" i="178"/>
  <c r="BK213" i="178" s="1"/>
  <c r="S212" i="178"/>
  <c r="BM212" i="178" s="1"/>
  <c r="S211" i="178"/>
  <c r="BK211" i="178" s="1"/>
  <c r="S210" i="178"/>
  <c r="BA210" i="178" s="1"/>
  <c r="S209" i="178"/>
  <c r="BK209" i="178" s="1"/>
  <c r="S208" i="178"/>
  <c r="AY208" i="178" s="1"/>
  <c r="S194" i="178"/>
  <c r="BK194" i="178" s="1"/>
  <c r="S184" i="178"/>
  <c r="AW184" i="178" s="1"/>
  <c r="S583" i="178"/>
  <c r="BK583" i="178" s="1"/>
  <c r="S157" i="178"/>
  <c r="BG157" i="178" s="1"/>
  <c r="S312" i="178"/>
  <c r="BK312" i="178" s="1"/>
  <c r="S582" i="178"/>
  <c r="AS582" i="178" s="1"/>
  <c r="S311" i="178"/>
  <c r="BK311" i="178" s="1"/>
  <c r="S310" i="178"/>
  <c r="BI310" i="178" s="1"/>
  <c r="S309" i="178"/>
  <c r="BK309" i="178" s="1"/>
  <c r="S308" i="178"/>
  <c r="BK308" i="178" s="1"/>
  <c r="S581" i="178"/>
  <c r="AW581" i="178" s="1"/>
  <c r="S307" i="178"/>
  <c r="BK307" i="178" s="1"/>
  <c r="S306" i="178"/>
  <c r="AY306" i="178" s="1"/>
  <c r="S305" i="178"/>
  <c r="BK305" i="178" s="1"/>
  <c r="S764" i="178"/>
  <c r="AU764" i="178" s="1"/>
  <c r="S304" i="178"/>
  <c r="AU304" i="178" s="1"/>
  <c r="S303" i="178"/>
  <c r="BG303" i="178" s="1"/>
  <c r="S220" i="178"/>
  <c r="BK220" i="178" s="1"/>
  <c r="S758" i="178"/>
  <c r="AU758" i="178" s="1"/>
  <c r="S300" i="178"/>
  <c r="BK300" i="178" s="1"/>
  <c r="S757" i="178"/>
  <c r="BA757" i="178" s="1"/>
  <c r="S138" i="178"/>
  <c r="BK138" i="178" s="1"/>
  <c r="S756" i="178"/>
  <c r="BM756" i="178" s="1"/>
  <c r="V69" i="178"/>
  <c r="V766" i="178"/>
  <c r="V68" i="178"/>
  <c r="V549" i="178"/>
  <c r="V132" i="178"/>
  <c r="V121" i="178"/>
  <c r="V544" i="178"/>
  <c r="V119" i="178"/>
  <c r="V299" i="178"/>
  <c r="V115" i="178"/>
  <c r="V112" i="178"/>
  <c r="V111" i="178"/>
  <c r="V110" i="178"/>
  <c r="V109" i="178"/>
  <c r="V103" i="178"/>
  <c r="V102" i="178"/>
  <c r="V101" i="178"/>
  <c r="V100" i="178"/>
  <c r="V94" i="178"/>
  <c r="V91" i="178"/>
  <c r="V90" i="178"/>
  <c r="V87" i="178"/>
  <c r="V86" i="178"/>
  <c r="V85" i="178"/>
  <c r="V84" i="178"/>
  <c r="U47" i="178"/>
  <c r="V47" i="178"/>
  <c r="U46" i="178"/>
  <c r="V46" i="178"/>
  <c r="U45" i="178"/>
  <c r="V45" i="178"/>
  <c r="U44" i="178"/>
  <c r="V44" i="178"/>
  <c r="U43" i="178"/>
  <c r="V43" i="178"/>
  <c r="U540" i="178"/>
  <c r="V540" i="178"/>
  <c r="U131" i="178"/>
  <c r="V131" i="178"/>
  <c r="U920" i="178"/>
  <c r="V920" i="178"/>
  <c r="U539" i="178"/>
  <c r="V539" i="178"/>
  <c r="U130" i="178"/>
  <c r="V130" i="178"/>
  <c r="V28" i="178"/>
  <c r="U28" i="178"/>
  <c r="V24" i="178"/>
  <c r="U24" i="178"/>
  <c r="V72" i="178"/>
  <c r="V64" i="178"/>
  <c r="V919" i="178"/>
  <c r="V515" i="178"/>
  <c r="V752" i="178"/>
  <c r="V129" i="178"/>
  <c r="V41" i="178"/>
  <c r="V40" i="178"/>
  <c r="V128" i="178"/>
  <c r="V917" i="178"/>
  <c r="V39" i="178"/>
  <c r="V38" i="178"/>
  <c r="Z3" i="178"/>
  <c r="U21" i="178"/>
  <c r="U20" i="178"/>
  <c r="U18" i="178"/>
  <c r="U17" i="178"/>
  <c r="U15" i="178"/>
  <c r="U60" i="178"/>
  <c r="AU449" i="178"/>
  <c r="BC968" i="178"/>
  <c r="BH682" i="178"/>
  <c r="BI682" i="178"/>
  <c r="AZ682" i="178"/>
  <c r="BA682" i="178"/>
  <c r="AR682" i="178"/>
  <c r="AS682" i="178"/>
  <c r="V689" i="178"/>
  <c r="U689" i="178"/>
  <c r="BM688" i="178"/>
  <c r="BL688" i="178"/>
  <c r="BD688" i="178"/>
  <c r="BE688" i="178"/>
  <c r="AV688" i="178"/>
  <c r="AW688" i="178"/>
  <c r="BL631" i="178"/>
  <c r="BM631" i="178"/>
  <c r="BD631" i="178"/>
  <c r="BE631" i="178"/>
  <c r="AV631" i="178"/>
  <c r="AW631" i="178"/>
  <c r="BO57" i="178"/>
  <c r="BN57" i="178"/>
  <c r="BF57" i="178"/>
  <c r="BG57" i="178"/>
  <c r="AX57" i="178"/>
  <c r="AY57" i="178"/>
  <c r="BI56" i="178"/>
  <c r="BH56" i="178"/>
  <c r="BA56" i="178"/>
  <c r="AZ56" i="178"/>
  <c r="AS56" i="178"/>
  <c r="AR56" i="178"/>
  <c r="BH1042" i="178"/>
  <c r="BI1042" i="178"/>
  <c r="AZ1042" i="178"/>
  <c r="BA1042" i="178"/>
  <c r="AR1042" i="178"/>
  <c r="AS1042" i="178"/>
  <c r="V1033" i="178"/>
  <c r="U1033" i="178"/>
  <c r="BM1029" i="178"/>
  <c r="BL1029" i="178"/>
  <c r="BD1029" i="178"/>
  <c r="BE1029" i="178"/>
  <c r="AV1029" i="178"/>
  <c r="AW1029" i="178"/>
  <c r="BL1026" i="178"/>
  <c r="BM1026" i="178"/>
  <c r="BD1026" i="178"/>
  <c r="BE1026" i="178"/>
  <c r="AV1026" i="178"/>
  <c r="AW1026" i="178"/>
  <c r="BO1028" i="178"/>
  <c r="BN1028" i="178"/>
  <c r="BF1028" i="178"/>
  <c r="BG1028" i="178"/>
  <c r="AX1028" i="178"/>
  <c r="AY1028" i="178"/>
  <c r="BI1025" i="178"/>
  <c r="BH1025" i="178"/>
  <c r="BA1025" i="178"/>
  <c r="AZ1025" i="178"/>
  <c r="AS1025" i="178"/>
  <c r="AR1025" i="178"/>
  <c r="V1008" i="178"/>
  <c r="U1008" i="178"/>
  <c r="BM1007" i="178"/>
  <c r="BL1007" i="178"/>
  <c r="BD1007" i="178"/>
  <c r="BE1007" i="178"/>
  <c r="AV1007" i="178"/>
  <c r="AW1007" i="178"/>
  <c r="BL1006" i="178"/>
  <c r="BM1006" i="178"/>
  <c r="BD1006" i="178"/>
  <c r="BE1006" i="178"/>
  <c r="AV1006" i="178"/>
  <c r="AW1006" i="178"/>
  <c r="BO1004" i="178"/>
  <c r="BN1004" i="178"/>
  <c r="BF1004" i="178"/>
  <c r="BG1004" i="178"/>
  <c r="AX1004" i="178"/>
  <c r="AY1004" i="178"/>
  <c r="BI1005" i="178"/>
  <c r="BH1005" i="178"/>
  <c r="BA1005" i="178"/>
  <c r="AZ1005" i="178"/>
  <c r="AS1005" i="178"/>
  <c r="AR1005" i="178"/>
  <c r="BO981" i="178"/>
  <c r="BN981" i="178"/>
  <c r="BF981" i="178"/>
  <c r="BG981" i="178"/>
  <c r="AX981" i="178"/>
  <c r="AY981" i="178"/>
  <c r="BI983" i="178"/>
  <c r="BH983" i="178"/>
  <c r="BA983" i="178"/>
  <c r="AZ983" i="178"/>
  <c r="AS983" i="178"/>
  <c r="AR983" i="178"/>
  <c r="BO982" i="178"/>
  <c r="BN982" i="178"/>
  <c r="BF982" i="178"/>
  <c r="BG982" i="178"/>
  <c r="AX982" i="178"/>
  <c r="AY982" i="178"/>
  <c r="BI768" i="178"/>
  <c r="BH768" i="178"/>
  <c r="BA768" i="178"/>
  <c r="AZ768" i="178"/>
  <c r="AS768" i="178"/>
  <c r="AR768" i="178"/>
  <c r="BO420" i="178"/>
  <c r="BN420" i="178"/>
  <c r="BF420" i="178"/>
  <c r="BG420" i="178"/>
  <c r="AX420" i="178"/>
  <c r="AY420" i="178"/>
  <c r="V625" i="178"/>
  <c r="V624" i="178"/>
  <c r="AU968" i="178"/>
  <c r="BN682" i="178"/>
  <c r="BO682" i="178"/>
  <c r="BG682" i="178"/>
  <c r="BF682" i="178"/>
  <c r="AY682" i="178"/>
  <c r="AX682" i="178"/>
  <c r="BH578" i="178"/>
  <c r="BI578" i="178"/>
  <c r="AZ578" i="178"/>
  <c r="BA578" i="178"/>
  <c r="AR578" i="178"/>
  <c r="AS578" i="178"/>
  <c r="BB689" i="178"/>
  <c r="BC689" i="178"/>
  <c r="AT689" i="178"/>
  <c r="AU689" i="178"/>
  <c r="BB688" i="178"/>
  <c r="BC688" i="178"/>
  <c r="AT688" i="178"/>
  <c r="AU688" i="178"/>
  <c r="BC631" i="178"/>
  <c r="BB631" i="178"/>
  <c r="AU631" i="178"/>
  <c r="AT631" i="178"/>
  <c r="BL57" i="178"/>
  <c r="BM57" i="178"/>
  <c r="BD57" i="178"/>
  <c r="BE57" i="178"/>
  <c r="AV57" i="178"/>
  <c r="AW57" i="178"/>
  <c r="BN56" i="178"/>
  <c r="BO56" i="178"/>
  <c r="BF56" i="178"/>
  <c r="BG56" i="178"/>
  <c r="AX56" i="178"/>
  <c r="AY56" i="178"/>
  <c r="BN1037" i="178"/>
  <c r="BO1037" i="178"/>
  <c r="BG1037" i="178"/>
  <c r="BF1037" i="178"/>
  <c r="AY1037" i="178"/>
  <c r="AX1037" i="178"/>
  <c r="BH1036" i="178"/>
  <c r="BI1036" i="178"/>
  <c r="AZ1036" i="178"/>
  <c r="BA1036" i="178"/>
  <c r="AR1036" i="178"/>
  <c r="AS1036" i="178"/>
  <c r="BB1033" i="178"/>
  <c r="BC1033" i="178"/>
  <c r="AT1033" i="178"/>
  <c r="AU1033" i="178"/>
  <c r="BB1029" i="178"/>
  <c r="BC1029" i="178"/>
  <c r="AT1029" i="178"/>
  <c r="AU1029" i="178"/>
  <c r="BN1022" i="178"/>
  <c r="BO1022" i="178"/>
  <c r="BG1022" i="178"/>
  <c r="BF1022" i="178"/>
  <c r="AY1022" i="178"/>
  <c r="AX1022" i="178"/>
  <c r="BH1010" i="178"/>
  <c r="BI1010" i="178"/>
  <c r="AZ1010" i="178"/>
  <c r="BA1010" i="178"/>
  <c r="AR1010" i="178"/>
  <c r="AS1010" i="178"/>
  <c r="BB1008" i="178"/>
  <c r="BC1008" i="178"/>
  <c r="AT1008" i="178"/>
  <c r="AU1008" i="178"/>
  <c r="BB1007" i="178"/>
  <c r="BC1007" i="178"/>
  <c r="AT1007" i="178"/>
  <c r="AU1007" i="178"/>
  <c r="V987" i="178"/>
  <c r="U987" i="178"/>
  <c r="BL986" i="178"/>
  <c r="BM986" i="178"/>
  <c r="BD986" i="178"/>
  <c r="BE986" i="178"/>
  <c r="AV986" i="178"/>
  <c r="AW986" i="178"/>
  <c r="V984" i="178"/>
  <c r="U984" i="178"/>
  <c r="BL985" i="178"/>
  <c r="BM985" i="178"/>
  <c r="BD985" i="178"/>
  <c r="BE985" i="178"/>
  <c r="AV985" i="178"/>
  <c r="AW985" i="178"/>
  <c r="V630" i="178"/>
  <c r="U630" i="178"/>
  <c r="BL421" i="178"/>
  <c r="BM421" i="178"/>
  <c r="BD421" i="178"/>
  <c r="BE421" i="178"/>
  <c r="AV421" i="178"/>
  <c r="AW421" i="178"/>
  <c r="V833" i="178"/>
  <c r="U831" i="178"/>
  <c r="V597" i="178"/>
  <c r="U837" i="178"/>
  <c r="U700" i="178"/>
  <c r="U820" i="178"/>
  <c r="U819" i="178"/>
  <c r="U817" i="178"/>
  <c r="U61" i="178"/>
  <c r="U815" i="178"/>
  <c r="BB655" i="178"/>
  <c r="BL682" i="178"/>
  <c r="BM682" i="178"/>
  <c r="BD682" i="178"/>
  <c r="BE682" i="178"/>
  <c r="AV682" i="178"/>
  <c r="AW682" i="178"/>
  <c r="U682" i="178"/>
  <c r="BO578" i="178"/>
  <c r="BN578" i="178"/>
  <c r="BF578" i="178"/>
  <c r="BG578" i="178"/>
  <c r="AX578" i="178"/>
  <c r="AY578" i="178"/>
  <c r="BI689" i="178"/>
  <c r="BH689" i="178"/>
  <c r="BA689" i="178"/>
  <c r="AZ689" i="178"/>
  <c r="AS689" i="178"/>
  <c r="AR689" i="178"/>
  <c r="BH688" i="178"/>
  <c r="BI688" i="178"/>
  <c r="AZ688" i="178"/>
  <c r="BA688" i="178"/>
  <c r="AR688" i="178"/>
  <c r="AS688" i="178"/>
  <c r="V56" i="178"/>
  <c r="U56" i="178"/>
  <c r="BM1042" i="178"/>
  <c r="BL1042" i="178"/>
  <c r="BD1042" i="178"/>
  <c r="BE1042" i="178"/>
  <c r="AV1042" i="178"/>
  <c r="AW1042" i="178"/>
  <c r="BL1037" i="178"/>
  <c r="BM1037" i="178"/>
  <c r="BD1037" i="178"/>
  <c r="BE1037" i="178"/>
  <c r="AV1037" i="178"/>
  <c r="AW1037" i="178"/>
  <c r="U1037" i="178"/>
  <c r="BO1036" i="178"/>
  <c r="BN1036" i="178"/>
  <c r="BF1036" i="178"/>
  <c r="BG1036" i="178"/>
  <c r="AX1036" i="178"/>
  <c r="AY1036" i="178"/>
  <c r="BI1033" i="178"/>
  <c r="BH1033" i="178"/>
  <c r="BA1033" i="178"/>
  <c r="AZ1033" i="178"/>
  <c r="AS1033" i="178"/>
  <c r="AR1033" i="178"/>
  <c r="BH1029" i="178"/>
  <c r="BI1029" i="178"/>
  <c r="AZ1029" i="178"/>
  <c r="BA1029" i="178"/>
  <c r="V1025" i="178"/>
  <c r="U1025" i="178"/>
  <c r="BM1023" i="178"/>
  <c r="BL1023" i="178"/>
  <c r="BD1023" i="178"/>
  <c r="BE1023" i="178"/>
  <c r="AV1023" i="178"/>
  <c r="AW1023" i="178"/>
  <c r="BL1022" i="178"/>
  <c r="BM1022" i="178"/>
  <c r="BD1022" i="178"/>
  <c r="BE1022" i="178"/>
  <c r="AV1022" i="178"/>
  <c r="AW1022" i="178"/>
  <c r="BO1010" i="178"/>
  <c r="BN1010" i="178"/>
  <c r="BF1010" i="178"/>
  <c r="BG1010" i="178"/>
  <c r="AX1010" i="178"/>
  <c r="AY1010" i="178"/>
  <c r="BI1008" i="178"/>
  <c r="BH1008" i="178"/>
  <c r="BA1008" i="178"/>
  <c r="AZ1008" i="178"/>
  <c r="AS1008" i="178"/>
  <c r="AR1008" i="178"/>
  <c r="V596" i="178"/>
  <c r="V397" i="178"/>
  <c r="V595" i="178"/>
  <c r="V396" i="178"/>
  <c r="V395" i="178"/>
  <c r="V159" i="178"/>
  <c r="V148" i="178"/>
  <c r="V146" i="178"/>
  <c r="V145" i="178"/>
  <c r="U669" i="178"/>
  <c r="V455" i="178"/>
  <c r="U839" i="178"/>
  <c r="U835" i="178"/>
  <c r="U651" i="178"/>
  <c r="U812" i="178"/>
  <c r="BC449" i="178"/>
  <c r="AT655" i="178"/>
  <c r="BB650" i="178"/>
  <c r="BC682" i="178"/>
  <c r="BB682" i="178"/>
  <c r="AU682" i="178"/>
  <c r="AT682" i="178"/>
  <c r="BL578" i="178"/>
  <c r="BM578" i="178"/>
  <c r="BD578" i="178"/>
  <c r="BE578" i="178"/>
  <c r="AV578" i="178"/>
  <c r="AW578" i="178"/>
  <c r="BN689" i="178"/>
  <c r="BO689" i="178"/>
  <c r="BF689" i="178"/>
  <c r="BG689" i="178"/>
  <c r="AX689" i="178"/>
  <c r="AY689" i="178"/>
  <c r="U688" i="178"/>
  <c r="BN631" i="178"/>
  <c r="BO631" i="178"/>
  <c r="BG631" i="178"/>
  <c r="BF631" i="178"/>
  <c r="AY631" i="178"/>
  <c r="AX631" i="178"/>
  <c r="BH57" i="178"/>
  <c r="BI57" i="178"/>
  <c r="AZ57" i="178"/>
  <c r="BA57" i="178"/>
  <c r="AR57" i="178"/>
  <c r="AS57" i="178"/>
  <c r="BB56" i="178"/>
  <c r="BC56" i="178"/>
  <c r="AT56" i="178"/>
  <c r="AU56" i="178"/>
  <c r="BB1042" i="178"/>
  <c r="BC1042" i="178"/>
  <c r="AT1042" i="178"/>
  <c r="AU1042" i="178"/>
  <c r="BC1037" i="178"/>
  <c r="BB1037" i="178"/>
  <c r="AU1037" i="178"/>
  <c r="AT1037" i="178"/>
  <c r="BL1036" i="178"/>
  <c r="BM1036" i="178"/>
  <c r="BD1036" i="178"/>
  <c r="BE1036" i="178"/>
  <c r="AV1036" i="178"/>
  <c r="AW1036" i="178"/>
  <c r="BN1033" i="178"/>
  <c r="BO1033" i="178"/>
  <c r="BF1033" i="178"/>
  <c r="BG1033" i="178"/>
  <c r="AX1033" i="178"/>
  <c r="AY1033" i="178"/>
  <c r="U1029" i="178"/>
  <c r="BN1026" i="178"/>
  <c r="BO1026" i="178"/>
  <c r="BG1026" i="178"/>
  <c r="BF1026" i="178"/>
  <c r="AY1026" i="178"/>
  <c r="AX1026" i="178"/>
  <c r="BH1028" i="178"/>
  <c r="BI1028" i="178"/>
  <c r="AZ1028" i="178"/>
  <c r="BA1028" i="178"/>
  <c r="AR1028" i="178"/>
  <c r="AS1028" i="178"/>
  <c r="BB1025" i="178"/>
  <c r="BC1025" i="178"/>
  <c r="AT1025" i="178"/>
  <c r="AU1025" i="178"/>
  <c r="BB1023" i="178"/>
  <c r="BC1023" i="178"/>
  <c r="AT1023" i="178"/>
  <c r="AU1023" i="178"/>
  <c r="U1007" i="178"/>
  <c r="BN1006" i="178"/>
  <c r="BO1006" i="178"/>
  <c r="BG1006" i="178"/>
  <c r="BF1006" i="178"/>
  <c r="AY1006" i="178"/>
  <c r="AX1006" i="178"/>
  <c r="BH1004" i="178"/>
  <c r="BI1004" i="178"/>
  <c r="AZ1004" i="178"/>
  <c r="BA1004" i="178"/>
  <c r="AR1004" i="178"/>
  <c r="AS1004" i="178"/>
  <c r="BB987" i="178"/>
  <c r="BC987" i="178"/>
  <c r="AT987" i="178"/>
  <c r="AU987" i="178"/>
  <c r="BB984" i="178"/>
  <c r="BC984" i="178"/>
  <c r="AT984" i="178"/>
  <c r="AU984" i="178"/>
  <c r="BB630" i="178"/>
  <c r="BC630" i="178"/>
  <c r="AT630" i="178"/>
  <c r="AU630" i="178"/>
  <c r="BB578" i="178"/>
  <c r="BC578" i="178"/>
  <c r="AT578" i="178"/>
  <c r="AU578" i="178"/>
  <c r="BL689" i="178"/>
  <c r="BM689" i="178"/>
  <c r="BE689" i="178"/>
  <c r="BD689" i="178"/>
  <c r="AW689" i="178"/>
  <c r="AV689" i="178"/>
  <c r="BN688" i="178"/>
  <c r="BO688" i="178"/>
  <c r="BH631" i="178"/>
  <c r="BI631" i="178"/>
  <c r="AZ631" i="178"/>
  <c r="BA631" i="178"/>
  <c r="AR631" i="178"/>
  <c r="AS631" i="178"/>
  <c r="BB57" i="178"/>
  <c r="BC57" i="178"/>
  <c r="AT57" i="178"/>
  <c r="AU57" i="178"/>
  <c r="BN1042" i="178"/>
  <c r="BO1042" i="178"/>
  <c r="BF1042" i="178"/>
  <c r="BG1042" i="178"/>
  <c r="AX1042" i="178"/>
  <c r="AY1042" i="178"/>
  <c r="BH1037" i="178"/>
  <c r="BI1037" i="178"/>
  <c r="AZ1037" i="178"/>
  <c r="BA1037" i="178"/>
  <c r="AR1037" i="178"/>
  <c r="AS1037" i="178"/>
  <c r="BB1036" i="178"/>
  <c r="BC1036" i="178"/>
  <c r="AT1036" i="178"/>
  <c r="AU1036" i="178"/>
  <c r="BL1033" i="178"/>
  <c r="BM1033" i="178"/>
  <c r="BE1033" i="178"/>
  <c r="BD1033" i="178"/>
  <c r="AW1033" i="178"/>
  <c r="AV1033" i="178"/>
  <c r="BN1029" i="178"/>
  <c r="BO1029" i="178"/>
  <c r="BH1026" i="178"/>
  <c r="BI1026" i="178"/>
  <c r="AZ1026" i="178"/>
  <c r="BA1026" i="178"/>
  <c r="AR1026" i="178"/>
  <c r="AS1026" i="178"/>
  <c r="BB1028" i="178"/>
  <c r="BC1028" i="178"/>
  <c r="AT1028" i="178"/>
  <c r="AU1028" i="178"/>
  <c r="BN1023" i="178"/>
  <c r="BO1023" i="178"/>
  <c r="BF1023" i="178"/>
  <c r="BG1023" i="178"/>
  <c r="AX1023" i="178"/>
  <c r="AY1023" i="178"/>
  <c r="BH1022" i="178"/>
  <c r="BI1022" i="178"/>
  <c r="AZ1022" i="178"/>
  <c r="BA1022" i="178"/>
  <c r="AR1022" i="178"/>
  <c r="AS1022" i="178"/>
  <c r="BB1010" i="178"/>
  <c r="BC1010" i="178"/>
  <c r="AT1010" i="178"/>
  <c r="AU1010" i="178"/>
  <c r="BL1008" i="178"/>
  <c r="BM1008" i="178"/>
  <c r="BE1008" i="178"/>
  <c r="BD1008" i="178"/>
  <c r="AW1008" i="178"/>
  <c r="AV1008" i="178"/>
  <c r="BN1007" i="178"/>
  <c r="BO1007" i="178"/>
  <c r="BH1006" i="178"/>
  <c r="BI1006" i="178"/>
  <c r="AZ1006" i="178"/>
  <c r="BA1006" i="178"/>
  <c r="AR1006" i="178"/>
  <c r="AS1006" i="178"/>
  <c r="BB1004" i="178"/>
  <c r="BC1004" i="178"/>
  <c r="AT1004" i="178"/>
  <c r="AU1004" i="178"/>
  <c r="U1005" i="178"/>
  <c r="BN987" i="178"/>
  <c r="BO987" i="178"/>
  <c r="BF987" i="178"/>
  <c r="BG987" i="178"/>
  <c r="AX987" i="178"/>
  <c r="AY987" i="178"/>
  <c r="BH986" i="178"/>
  <c r="BI986" i="178"/>
  <c r="AZ986" i="178"/>
  <c r="BA986" i="178"/>
  <c r="AR986" i="178"/>
  <c r="AS986" i="178"/>
  <c r="BB981" i="178"/>
  <c r="BC981" i="178"/>
  <c r="AT981" i="178"/>
  <c r="AU981" i="178"/>
  <c r="BL983" i="178"/>
  <c r="BM983" i="178"/>
  <c r="BE983" i="178"/>
  <c r="BD983" i="178"/>
  <c r="AW983" i="178"/>
  <c r="AV983" i="178"/>
  <c r="U983" i="178"/>
  <c r="BN984" i="178"/>
  <c r="BO984" i="178"/>
  <c r="BH985" i="178"/>
  <c r="BI985" i="178"/>
  <c r="AZ985" i="178"/>
  <c r="BA985" i="178"/>
  <c r="AR985" i="178"/>
  <c r="AS985" i="178"/>
  <c r="BB982" i="178"/>
  <c r="BC982" i="178"/>
  <c r="AT982" i="178"/>
  <c r="AU982" i="178"/>
  <c r="U768" i="178"/>
  <c r="BN630" i="178"/>
  <c r="BO630" i="178"/>
  <c r="BF630" i="178"/>
  <c r="BG630" i="178"/>
  <c r="AX630" i="178"/>
  <c r="AY630" i="178"/>
  <c r="BH421" i="178"/>
  <c r="BI421" i="178"/>
  <c r="AZ421" i="178"/>
  <c r="BA421" i="178"/>
  <c r="AR421" i="178"/>
  <c r="AS421" i="178"/>
  <c r="BB420" i="178"/>
  <c r="BC420" i="178"/>
  <c r="AT420" i="178"/>
  <c r="AU420" i="178"/>
  <c r="BL55" i="178"/>
  <c r="BM55" i="178"/>
  <c r="BE55" i="178"/>
  <c r="BD55" i="178"/>
  <c r="AW55" i="178"/>
  <c r="AV55" i="178"/>
  <c r="U55" i="178"/>
  <c r="BN54" i="178"/>
  <c r="BO54" i="178"/>
  <c r="BH53" i="178"/>
  <c r="BI53" i="178"/>
  <c r="AZ53" i="178"/>
  <c r="BA53" i="178"/>
  <c r="AR53" i="178"/>
  <c r="AS53" i="178"/>
  <c r="BB52" i="178"/>
  <c r="BC52" i="178"/>
  <c r="AT52" i="178"/>
  <c r="AU52" i="178"/>
  <c r="U566" i="178"/>
  <c r="BN565" i="178"/>
  <c r="BO565" i="178"/>
  <c r="BF565" i="178"/>
  <c r="BG565" i="178"/>
  <c r="AX565" i="178"/>
  <c r="AY565" i="178"/>
  <c r="BH152" i="178"/>
  <c r="BI152" i="178"/>
  <c r="AZ152" i="178"/>
  <c r="BA152" i="178"/>
  <c r="AR152" i="178"/>
  <c r="AS152" i="178"/>
  <c r="BB414" i="178"/>
  <c r="BC414" i="178"/>
  <c r="AT414" i="178"/>
  <c r="AU414" i="178"/>
  <c r="BL104" i="178"/>
  <c r="BM104" i="178"/>
  <c r="BE104" i="178"/>
  <c r="BD104" i="178"/>
  <c r="AW104" i="178"/>
  <c r="AV104" i="178"/>
  <c r="U104" i="178"/>
  <c r="BN563" i="178"/>
  <c r="BO563" i="178"/>
  <c r="BH979" i="178"/>
  <c r="BI979" i="178"/>
  <c r="AZ979" i="178"/>
  <c r="BA979" i="178"/>
  <c r="AR979" i="178"/>
  <c r="AS979" i="178"/>
  <c r="BB686" i="178"/>
  <c r="BC686" i="178"/>
  <c r="AT686" i="178"/>
  <c r="AU686" i="178"/>
  <c r="BL978" i="178"/>
  <c r="BM978" i="178"/>
  <c r="BE978" i="178"/>
  <c r="BD978" i="178"/>
  <c r="AW978" i="178"/>
  <c r="AV978" i="178"/>
  <c r="U978" i="178"/>
  <c r="BN51" i="178"/>
  <c r="BO51" i="178"/>
  <c r="BF51" i="178"/>
  <c r="BG51" i="178"/>
  <c r="AX51" i="178"/>
  <c r="AY51" i="178"/>
  <c r="BB404" i="178"/>
  <c r="BC404" i="178"/>
  <c r="AT404" i="178"/>
  <c r="AU404" i="178"/>
  <c r="BL403" i="178"/>
  <c r="BM403" i="178"/>
  <c r="BE403" i="178"/>
  <c r="BD403" i="178"/>
  <c r="AW403" i="178"/>
  <c r="AV403" i="178"/>
  <c r="U403" i="178"/>
  <c r="BN561" i="178"/>
  <c r="BO561" i="178"/>
  <c r="BF561" i="178"/>
  <c r="BG561" i="178"/>
  <c r="AX561" i="178"/>
  <c r="AY561" i="178"/>
  <c r="BH489" i="178"/>
  <c r="BI489" i="178"/>
  <c r="AZ489" i="178"/>
  <c r="BA489" i="178"/>
  <c r="AR489" i="178"/>
  <c r="AS489" i="178"/>
  <c r="BB402" i="178"/>
  <c r="BC402" i="178"/>
  <c r="AT402" i="178"/>
  <c r="AU402" i="178"/>
  <c r="BL34" i="178"/>
  <c r="BM34" i="178"/>
  <c r="BE34" i="178"/>
  <c r="BD34" i="178"/>
  <c r="AW34" i="178"/>
  <c r="AV34" i="178"/>
  <c r="U34" i="178"/>
  <c r="BN716" i="178"/>
  <c r="BO716" i="178"/>
  <c r="BF716" i="178"/>
  <c r="BG716" i="178"/>
  <c r="AX716" i="178"/>
  <c r="AY716" i="178"/>
  <c r="BH622" i="178"/>
  <c r="BI622" i="178"/>
  <c r="AZ622" i="178"/>
  <c r="BA622" i="178"/>
  <c r="AR622" i="178"/>
  <c r="AS622" i="178"/>
  <c r="BM364" i="178"/>
  <c r="BL364" i="178"/>
  <c r="BD364" i="178"/>
  <c r="BE364" i="178"/>
  <c r="AV364" i="178"/>
  <c r="AW364" i="178"/>
  <c r="BL363" i="178"/>
  <c r="BM363" i="178"/>
  <c r="BD363" i="178"/>
  <c r="BE363" i="178"/>
  <c r="AV363" i="178"/>
  <c r="AW363" i="178"/>
  <c r="BL354" i="178"/>
  <c r="BM354" i="178"/>
  <c r="BD354" i="178"/>
  <c r="BE354" i="178"/>
  <c r="AV354" i="178"/>
  <c r="AW354" i="178"/>
  <c r="BM350" i="178"/>
  <c r="BL350" i="178"/>
  <c r="BD350" i="178"/>
  <c r="BE350" i="178"/>
  <c r="AV350" i="178"/>
  <c r="AW350" i="178"/>
  <c r="BC349" i="178"/>
  <c r="BB349" i="178"/>
  <c r="AU349" i="178"/>
  <c r="AT349" i="178"/>
  <c r="BH348" i="178"/>
  <c r="BI348" i="178"/>
  <c r="AZ348" i="178"/>
  <c r="BA348" i="178"/>
  <c r="AR348" i="178"/>
  <c r="AS348" i="178"/>
  <c r="BI346" i="178"/>
  <c r="BH346" i="178"/>
  <c r="BA346" i="178"/>
  <c r="AZ346" i="178"/>
  <c r="AS346" i="178"/>
  <c r="AR346" i="178"/>
  <c r="BB345" i="178"/>
  <c r="BC345" i="178"/>
  <c r="AT345" i="178"/>
  <c r="AU345" i="178"/>
  <c r="U332" i="178"/>
  <c r="BL29" i="178"/>
  <c r="BM29" i="178"/>
  <c r="BE29" i="178"/>
  <c r="BD29" i="178"/>
  <c r="AW29" i="178"/>
  <c r="AV29" i="178"/>
  <c r="V29" i="178"/>
  <c r="BM27" i="178"/>
  <c r="BL27" i="178"/>
  <c r="BD27" i="178"/>
  <c r="BE27" i="178"/>
  <c r="AV27" i="178"/>
  <c r="AW27" i="178"/>
  <c r="BC26" i="178"/>
  <c r="BB26" i="178"/>
  <c r="AU26" i="178"/>
  <c r="AT26" i="178"/>
  <c r="V499" i="178"/>
  <c r="U499" i="178"/>
  <c r="BB488" i="178"/>
  <c r="AT488" i="178"/>
  <c r="BH643" i="178"/>
  <c r="BI643" i="178"/>
  <c r="AZ643" i="178"/>
  <c r="BA643" i="178"/>
  <c r="AR643" i="178"/>
  <c r="AS643" i="178"/>
  <c r="BI893" i="178"/>
  <c r="BH893" i="178"/>
  <c r="BA893" i="178"/>
  <c r="AZ893" i="178"/>
  <c r="AS893" i="178"/>
  <c r="AR893" i="178"/>
  <c r="BN715" i="178"/>
  <c r="BO715" i="178"/>
  <c r="BF715" i="178"/>
  <c r="BG715" i="178"/>
  <c r="AX715" i="178"/>
  <c r="AY715" i="178"/>
  <c r="BL621" i="178"/>
  <c r="BD621" i="178"/>
  <c r="AV621" i="178"/>
  <c r="BB270" i="178"/>
  <c r="BC270" i="178"/>
  <c r="AT270" i="178"/>
  <c r="AU270" i="178"/>
  <c r="BI266" i="178"/>
  <c r="BH266" i="178"/>
  <c r="BA266" i="178"/>
  <c r="AZ266" i="178"/>
  <c r="AS266" i="178"/>
  <c r="AR266" i="178"/>
  <c r="BH253" i="178"/>
  <c r="BI253" i="178"/>
  <c r="AZ253" i="178"/>
  <c r="BA253" i="178"/>
  <c r="AR253" i="178"/>
  <c r="AS253" i="178"/>
  <c r="BN252" i="178"/>
  <c r="BO252" i="178"/>
  <c r="BG252" i="178"/>
  <c r="BF252" i="178"/>
  <c r="AY252" i="178"/>
  <c r="AX252" i="178"/>
  <c r="BL251" i="178"/>
  <c r="BM251" i="178"/>
  <c r="BD251" i="178"/>
  <c r="BE251" i="178"/>
  <c r="AV251" i="178"/>
  <c r="AW251" i="178"/>
  <c r="BI250" i="178"/>
  <c r="BH250" i="178"/>
  <c r="BA250" i="178"/>
  <c r="AZ250" i="178"/>
  <c r="AS250" i="178"/>
  <c r="AR250" i="178"/>
  <c r="BH901" i="178"/>
  <c r="BI901" i="178"/>
  <c r="AZ901" i="178"/>
  <c r="BA901" i="178"/>
  <c r="AR901" i="178"/>
  <c r="AS901" i="178"/>
  <c r="BN900" i="178"/>
  <c r="BO900" i="178"/>
  <c r="BG900" i="178"/>
  <c r="BF900" i="178"/>
  <c r="AY900" i="178"/>
  <c r="AX900" i="178"/>
  <c r="BL899" i="178"/>
  <c r="BM899" i="178"/>
  <c r="BD899" i="178"/>
  <c r="BE899" i="178"/>
  <c r="AV899" i="178"/>
  <c r="AW899" i="178"/>
  <c r="BH898" i="178"/>
  <c r="BI898" i="178"/>
  <c r="AZ898" i="178"/>
  <c r="BA898" i="178"/>
  <c r="AR898" i="178"/>
  <c r="AS898" i="178"/>
  <c r="BH674" i="178"/>
  <c r="BI674" i="178"/>
  <c r="AZ674" i="178"/>
  <c r="BA674" i="178"/>
  <c r="AR674" i="178"/>
  <c r="AS674" i="178"/>
  <c r="BN620" i="178"/>
  <c r="BO620" i="178"/>
  <c r="BF620" i="178"/>
  <c r="BG620" i="178"/>
  <c r="AX620" i="178"/>
  <c r="AY620" i="178"/>
  <c r="BM226" i="178"/>
  <c r="BL226" i="178"/>
  <c r="BD226" i="178"/>
  <c r="BE226" i="178"/>
  <c r="AV226" i="178"/>
  <c r="AW226" i="178"/>
  <c r="BH225" i="178"/>
  <c r="BI225" i="178"/>
  <c r="AZ225" i="178"/>
  <c r="BA225" i="178"/>
  <c r="AR225" i="178"/>
  <c r="AS225" i="178"/>
  <c r="BH207" i="178"/>
  <c r="BI207" i="178"/>
  <c r="AZ207" i="178"/>
  <c r="BA207" i="178"/>
  <c r="AR207" i="178"/>
  <c r="AS207" i="178"/>
  <c r="BN206" i="178"/>
  <c r="BO206" i="178"/>
  <c r="BF206" i="178"/>
  <c r="BG206" i="178"/>
  <c r="AX206" i="178"/>
  <c r="AY206" i="178"/>
  <c r="BM205" i="178"/>
  <c r="BL205" i="178"/>
  <c r="BD205" i="178"/>
  <c r="BE205" i="178"/>
  <c r="AV205" i="178"/>
  <c r="AW205" i="178"/>
  <c r="BH204" i="178"/>
  <c r="BI204" i="178"/>
  <c r="AZ204" i="178"/>
  <c r="BA204" i="178"/>
  <c r="AR204" i="178"/>
  <c r="AS204" i="178"/>
  <c r="V761" i="178"/>
  <c r="U761" i="178"/>
  <c r="BM760" i="178"/>
  <c r="BL760" i="178"/>
  <c r="BD760" i="178"/>
  <c r="BE760" i="178"/>
  <c r="AV760" i="178"/>
  <c r="AW760" i="178"/>
  <c r="BB730" i="178"/>
  <c r="BC730" i="178"/>
  <c r="AT730" i="178"/>
  <c r="AU730" i="178"/>
  <c r="BN727" i="178"/>
  <c r="BO727" i="178"/>
  <c r="BF727" i="178"/>
  <c r="BG727" i="178"/>
  <c r="AX727" i="178"/>
  <c r="AY727" i="178"/>
  <c r="BC602" i="178"/>
  <c r="BB602" i="178"/>
  <c r="AU602" i="178"/>
  <c r="AT602" i="178"/>
  <c r="BB187" i="178"/>
  <c r="BC187" i="178"/>
  <c r="AT187" i="178"/>
  <c r="AU187" i="178"/>
  <c r="AY688" i="178"/>
  <c r="BD56" i="178"/>
  <c r="BE1028" i="178"/>
  <c r="AV1025" i="178"/>
  <c r="AW1004" i="178"/>
  <c r="BL987" i="178"/>
  <c r="BB986" i="178"/>
  <c r="AS981" i="178"/>
  <c r="BG984" i="178"/>
  <c r="AX985" i="178"/>
  <c r="BM768" i="178"/>
  <c r="AT421" i="178"/>
  <c r="BH55" i="178"/>
  <c r="AY54" i="178"/>
  <c r="BN52" i="178"/>
  <c r="BD566" i="178"/>
  <c r="AU565" i="178"/>
  <c r="BI414" i="178"/>
  <c r="AZ104" i="178"/>
  <c r="BO979" i="178"/>
  <c r="BE686" i="178"/>
  <c r="BB1005" i="178"/>
  <c r="BC1005" i="178"/>
  <c r="AT1005" i="178"/>
  <c r="AU1005" i="178"/>
  <c r="BD987" i="178"/>
  <c r="BE987" i="178"/>
  <c r="AV987" i="178"/>
  <c r="AW987" i="178"/>
  <c r="BN986" i="178"/>
  <c r="BO986" i="178"/>
  <c r="BG986" i="178"/>
  <c r="BF986" i="178"/>
  <c r="AY986" i="178"/>
  <c r="AX986" i="178"/>
  <c r="BB983" i="178"/>
  <c r="BC983" i="178"/>
  <c r="AT983" i="178"/>
  <c r="AU983" i="178"/>
  <c r="BM984" i="178"/>
  <c r="BL984" i="178"/>
  <c r="BD984" i="178"/>
  <c r="BE984" i="178"/>
  <c r="AV984" i="178"/>
  <c r="AW984" i="178"/>
  <c r="BH982" i="178"/>
  <c r="BI982" i="178"/>
  <c r="AZ982" i="178"/>
  <c r="BA982" i="178"/>
  <c r="AR982" i="178"/>
  <c r="AS982" i="178"/>
  <c r="BB768" i="178"/>
  <c r="BC768" i="178"/>
  <c r="AT768" i="178"/>
  <c r="AU768" i="178"/>
  <c r="BD630" i="178"/>
  <c r="BE630" i="178"/>
  <c r="AV630" i="178"/>
  <c r="AW630" i="178"/>
  <c r="BN421" i="178"/>
  <c r="BO421" i="178"/>
  <c r="BG421" i="178"/>
  <c r="BF421" i="178"/>
  <c r="AY421" i="178"/>
  <c r="AX421" i="178"/>
  <c r="BB55" i="178"/>
  <c r="BC55" i="178"/>
  <c r="AT55" i="178"/>
  <c r="AU55" i="178"/>
  <c r="BM54" i="178"/>
  <c r="BL54" i="178"/>
  <c r="BD54" i="178"/>
  <c r="BE54" i="178"/>
  <c r="AV54" i="178"/>
  <c r="AW54" i="178"/>
  <c r="U54" i="178"/>
  <c r="BH52" i="178"/>
  <c r="BI52" i="178"/>
  <c r="AZ52" i="178"/>
  <c r="BA52" i="178"/>
  <c r="AR52" i="178"/>
  <c r="AS52" i="178"/>
  <c r="BB566" i="178"/>
  <c r="BC566" i="178"/>
  <c r="AT566" i="178"/>
  <c r="AU566" i="178"/>
  <c r="BD565" i="178"/>
  <c r="BE565" i="178"/>
  <c r="AV565" i="178"/>
  <c r="AW565" i="178"/>
  <c r="U565" i="178"/>
  <c r="BN152" i="178"/>
  <c r="BO152" i="178"/>
  <c r="BG152" i="178"/>
  <c r="BF152" i="178"/>
  <c r="AY152" i="178"/>
  <c r="AX152" i="178"/>
  <c r="BB104" i="178"/>
  <c r="BC104" i="178"/>
  <c r="AT104" i="178"/>
  <c r="AU104" i="178"/>
  <c r="BM563" i="178"/>
  <c r="BL563" i="178"/>
  <c r="BD563" i="178"/>
  <c r="BE563" i="178"/>
  <c r="AV563" i="178"/>
  <c r="AW563" i="178"/>
  <c r="U563" i="178"/>
  <c r="BH686" i="178"/>
  <c r="BI686" i="178"/>
  <c r="AZ686" i="178"/>
  <c r="BA686" i="178"/>
  <c r="AR686" i="178"/>
  <c r="AS686" i="178"/>
  <c r="BB978" i="178"/>
  <c r="BC978" i="178"/>
  <c r="AT978" i="178"/>
  <c r="AU978" i="178"/>
  <c r="BM51" i="178"/>
  <c r="BL51" i="178"/>
  <c r="BD51" i="178"/>
  <c r="BE51" i="178"/>
  <c r="AV51" i="178"/>
  <c r="AW51" i="178"/>
  <c r="U51" i="178"/>
  <c r="BH404" i="178"/>
  <c r="BI404" i="178"/>
  <c r="AZ404" i="178"/>
  <c r="BA404" i="178"/>
  <c r="AR404" i="178"/>
  <c r="AS404" i="178"/>
  <c r="BB403" i="178"/>
  <c r="BC403" i="178"/>
  <c r="AT403" i="178"/>
  <c r="AU403" i="178"/>
  <c r="BM561" i="178"/>
  <c r="BL561" i="178"/>
  <c r="BD561" i="178"/>
  <c r="BE561" i="178"/>
  <c r="AV561" i="178"/>
  <c r="AW561" i="178"/>
  <c r="U561" i="178"/>
  <c r="BN489" i="178"/>
  <c r="BO489" i="178"/>
  <c r="BG489" i="178"/>
  <c r="BF489" i="178"/>
  <c r="AY489" i="178"/>
  <c r="AX489" i="178"/>
  <c r="BH402" i="178"/>
  <c r="BI402" i="178"/>
  <c r="AZ402" i="178"/>
  <c r="BA402" i="178"/>
  <c r="AR402" i="178"/>
  <c r="AS402" i="178"/>
  <c r="BB34" i="178"/>
  <c r="BC34" i="178"/>
  <c r="AT34" i="178"/>
  <c r="AU34" i="178"/>
  <c r="BM716" i="178"/>
  <c r="BL716" i="178"/>
  <c r="BD716" i="178"/>
  <c r="BE716" i="178"/>
  <c r="AV716" i="178"/>
  <c r="AW716" i="178"/>
  <c r="U716" i="178"/>
  <c r="BN622" i="178"/>
  <c r="BO622" i="178"/>
  <c r="BG622" i="178"/>
  <c r="BF622" i="178"/>
  <c r="AY622" i="178"/>
  <c r="AX622" i="178"/>
  <c r="BB364" i="178"/>
  <c r="BC364" i="178"/>
  <c r="AT364" i="178"/>
  <c r="AU364" i="178"/>
  <c r="BC363" i="178"/>
  <c r="BB363" i="178"/>
  <c r="AU363" i="178"/>
  <c r="AT363" i="178"/>
  <c r="BB354" i="178"/>
  <c r="BC354" i="178"/>
  <c r="AT354" i="178"/>
  <c r="AU354" i="178"/>
  <c r="BB350" i="178"/>
  <c r="BC350" i="178"/>
  <c r="AT350" i="178"/>
  <c r="AU350" i="178"/>
  <c r="BH349" i="178"/>
  <c r="BI349" i="178"/>
  <c r="AZ349" i="178"/>
  <c r="BA349" i="178"/>
  <c r="AR349" i="178"/>
  <c r="AS349" i="178"/>
  <c r="BO348" i="178"/>
  <c r="BN348" i="178"/>
  <c r="BF348" i="178"/>
  <c r="BG348" i="178"/>
  <c r="AX348" i="178"/>
  <c r="AY348" i="178"/>
  <c r="BN346" i="178"/>
  <c r="BO346" i="178"/>
  <c r="BF346" i="178"/>
  <c r="BG346" i="178"/>
  <c r="AX346" i="178"/>
  <c r="AY346" i="178"/>
  <c r="BH345" i="178"/>
  <c r="BI345" i="178"/>
  <c r="AZ345" i="178"/>
  <c r="BA345" i="178"/>
  <c r="AR345" i="178"/>
  <c r="AS345" i="178"/>
  <c r="BO344" i="178"/>
  <c r="BN344" i="178"/>
  <c r="BG344" i="178"/>
  <c r="BF344" i="178"/>
  <c r="AY344" i="178"/>
  <c r="AX344" i="178"/>
  <c r="BL332" i="178"/>
  <c r="BM332" i="178"/>
  <c r="BD332" i="178"/>
  <c r="BE332" i="178"/>
  <c r="AV332" i="178"/>
  <c r="AW332" i="178"/>
  <c r="BB29" i="178"/>
  <c r="BC29" i="178"/>
  <c r="AT29" i="178"/>
  <c r="AU29" i="178"/>
  <c r="BB27" i="178"/>
  <c r="BC27" i="178"/>
  <c r="AT27" i="178"/>
  <c r="AU27" i="178"/>
  <c r="BH26" i="178"/>
  <c r="BI26" i="178"/>
  <c r="AZ26" i="178"/>
  <c r="BA26" i="178"/>
  <c r="AR26" i="178"/>
  <c r="AS26" i="178"/>
  <c r="BM499" i="178"/>
  <c r="BL499" i="178"/>
  <c r="BD499" i="178"/>
  <c r="BE499" i="178"/>
  <c r="AV499" i="178"/>
  <c r="AW499" i="178"/>
  <c r="BH488" i="178"/>
  <c r="AZ488" i="178"/>
  <c r="AR488" i="178"/>
  <c r="BO643" i="178"/>
  <c r="BN643" i="178"/>
  <c r="BF643" i="178"/>
  <c r="BG643" i="178"/>
  <c r="AX643" i="178"/>
  <c r="AY643" i="178"/>
  <c r="BN893" i="178"/>
  <c r="BO893" i="178"/>
  <c r="BF893" i="178"/>
  <c r="BG893" i="178"/>
  <c r="AX893" i="178"/>
  <c r="AY893" i="178"/>
  <c r="BB265" i="178"/>
  <c r="BC265" i="178"/>
  <c r="AT265" i="178"/>
  <c r="AU265" i="178"/>
  <c r="BB254" i="178"/>
  <c r="BC254" i="178"/>
  <c r="AT254" i="178"/>
  <c r="AU254" i="178"/>
  <c r="BN253" i="178"/>
  <c r="BO253" i="178"/>
  <c r="BF253" i="178"/>
  <c r="BG253" i="178"/>
  <c r="AX253" i="178"/>
  <c r="AY253" i="178"/>
  <c r="BL252" i="178"/>
  <c r="BM252" i="178"/>
  <c r="BD252" i="178"/>
  <c r="BE252" i="178"/>
  <c r="AV252" i="178"/>
  <c r="AW252" i="178"/>
  <c r="BB251" i="178"/>
  <c r="BC251" i="178"/>
  <c r="AT251" i="178"/>
  <c r="AU251" i="178"/>
  <c r="BB902" i="178"/>
  <c r="BC902" i="178"/>
  <c r="AT902" i="178"/>
  <c r="AU902" i="178"/>
  <c r="BN901" i="178"/>
  <c r="BO901" i="178"/>
  <c r="BF901" i="178"/>
  <c r="BG901" i="178"/>
  <c r="AX901" i="178"/>
  <c r="AY901" i="178"/>
  <c r="BL900" i="178"/>
  <c r="BM900" i="178"/>
  <c r="BD900" i="178"/>
  <c r="BE900" i="178"/>
  <c r="AV900" i="178"/>
  <c r="AW900" i="178"/>
  <c r="BB899" i="178"/>
  <c r="BC899" i="178"/>
  <c r="AT899" i="178"/>
  <c r="AU899" i="178"/>
  <c r="BC870" i="178"/>
  <c r="BB870" i="178"/>
  <c r="AU870" i="178"/>
  <c r="AT870" i="178"/>
  <c r="BO674" i="178"/>
  <c r="BN674" i="178"/>
  <c r="BF674" i="178"/>
  <c r="BG674" i="178"/>
  <c r="AX674" i="178"/>
  <c r="AY674" i="178"/>
  <c r="BL620" i="178"/>
  <c r="BM620" i="178"/>
  <c r="BE620" i="178"/>
  <c r="BD620" i="178"/>
  <c r="AW620" i="178"/>
  <c r="AV620" i="178"/>
  <c r="BB226" i="178"/>
  <c r="BC226" i="178"/>
  <c r="AT226" i="178"/>
  <c r="AU226" i="178"/>
  <c r="BC221" i="178"/>
  <c r="BB221" i="178"/>
  <c r="AU221" i="178"/>
  <c r="AT221" i="178"/>
  <c r="BO207" i="178"/>
  <c r="BN207" i="178"/>
  <c r="BF207" i="178"/>
  <c r="BG207" i="178"/>
  <c r="AX207" i="178"/>
  <c r="AY207" i="178"/>
  <c r="BL206" i="178"/>
  <c r="BM206" i="178"/>
  <c r="BE206" i="178"/>
  <c r="BD206" i="178"/>
  <c r="AW206" i="178"/>
  <c r="AV206" i="178"/>
  <c r="BB205" i="178"/>
  <c r="BC205" i="178"/>
  <c r="AT205" i="178"/>
  <c r="AU205" i="178"/>
  <c r="BC891" i="178"/>
  <c r="BB891" i="178"/>
  <c r="AU891" i="178"/>
  <c r="AT891" i="178"/>
  <c r="BO890" i="178"/>
  <c r="BN890" i="178"/>
  <c r="BF890" i="178"/>
  <c r="BG890" i="178"/>
  <c r="AX890" i="178"/>
  <c r="AY890" i="178"/>
  <c r="BL889" i="178"/>
  <c r="BM889" i="178"/>
  <c r="BE889" i="178"/>
  <c r="BD889" i="178"/>
  <c r="AW889" i="178"/>
  <c r="AV889" i="178"/>
  <c r="BB888" i="178"/>
  <c r="BC888" i="178"/>
  <c r="AT888" i="178"/>
  <c r="AU888" i="178"/>
  <c r="BL432" i="178"/>
  <c r="BM432" i="178"/>
  <c r="BE432" i="178"/>
  <c r="BD432" i="178"/>
  <c r="AW432" i="178"/>
  <c r="AV432" i="178"/>
  <c r="BB358" i="178"/>
  <c r="BC358" i="178"/>
  <c r="AT358" i="178"/>
  <c r="AU358" i="178"/>
  <c r="BH640" i="178"/>
  <c r="BI640" i="178"/>
  <c r="AZ640" i="178"/>
  <c r="BA640" i="178"/>
  <c r="AR640" i="178"/>
  <c r="AS640" i="178"/>
  <c r="BO862" i="178"/>
  <c r="BN862" i="178"/>
  <c r="BF862" i="178"/>
  <c r="BG862" i="178"/>
  <c r="AX862" i="178"/>
  <c r="AY862" i="178"/>
  <c r="BL196" i="178"/>
  <c r="BM196" i="178"/>
  <c r="BE196" i="178"/>
  <c r="BD196" i="178"/>
  <c r="AW196" i="178"/>
  <c r="AV196" i="178"/>
  <c r="BB430" i="178"/>
  <c r="BC430" i="178"/>
  <c r="AT430" i="178"/>
  <c r="AU430" i="178"/>
  <c r="BH845" i="178"/>
  <c r="BI845" i="178"/>
  <c r="AZ845" i="178"/>
  <c r="BA845" i="178"/>
  <c r="AR845" i="178"/>
  <c r="AS845" i="178"/>
  <c r="BO572" i="178"/>
  <c r="BN572" i="178"/>
  <c r="BF572" i="178"/>
  <c r="BG572" i="178"/>
  <c r="AX572" i="178"/>
  <c r="AY572" i="178"/>
  <c r="BL429" i="178"/>
  <c r="BM429" i="178"/>
  <c r="BE429" i="178"/>
  <c r="BD429" i="178"/>
  <c r="AW429" i="178"/>
  <c r="AV429" i="178"/>
  <c r="BB842" i="178"/>
  <c r="BC842" i="178"/>
  <c r="AT842" i="178"/>
  <c r="AU842" i="178"/>
  <c r="BH570" i="178"/>
  <c r="BI570" i="178"/>
  <c r="AZ570" i="178"/>
  <c r="BA570" i="178"/>
  <c r="AR570" i="178"/>
  <c r="AS570" i="178"/>
  <c r="BO841" i="178"/>
  <c r="BN841" i="178"/>
  <c r="BF841" i="178"/>
  <c r="BG841" i="178"/>
  <c r="AX841" i="178"/>
  <c r="AY841" i="178"/>
  <c r="BL334" i="178"/>
  <c r="BM334" i="178"/>
  <c r="BE334" i="178"/>
  <c r="BD334" i="178"/>
  <c r="AW334" i="178"/>
  <c r="AV334" i="178"/>
  <c r="BB195" i="178"/>
  <c r="BC195" i="178"/>
  <c r="AT195" i="178"/>
  <c r="AU195" i="178"/>
  <c r="BH617" i="178"/>
  <c r="BI617" i="178"/>
  <c r="AZ617" i="178"/>
  <c r="BA617" i="178"/>
  <c r="AR617" i="178"/>
  <c r="AS617" i="178"/>
  <c r="BO428" i="178"/>
  <c r="BN428" i="178"/>
  <c r="BF428" i="178"/>
  <c r="BG428" i="178"/>
  <c r="AX428" i="178"/>
  <c r="AY428" i="178"/>
  <c r="BL761" i="178"/>
  <c r="BM761" i="178"/>
  <c r="BE761" i="178"/>
  <c r="BD761" i="178"/>
  <c r="AW761" i="178"/>
  <c r="AV761" i="178"/>
  <c r="BB760" i="178"/>
  <c r="BC760" i="178"/>
  <c r="AT760" i="178"/>
  <c r="AU760" i="178"/>
  <c r="BO732" i="178"/>
  <c r="BN732" i="178"/>
  <c r="BF732" i="178"/>
  <c r="BG732" i="178"/>
  <c r="AX732" i="178"/>
  <c r="AY732" i="178"/>
  <c r="BI731" i="178"/>
  <c r="BH731" i="178"/>
  <c r="BA731" i="178"/>
  <c r="AZ731" i="178"/>
  <c r="AS731" i="178"/>
  <c r="AR731" i="178"/>
  <c r="AV56" i="178"/>
  <c r="AW1028" i="178"/>
  <c r="BB1022" i="178"/>
  <c r="BG1007" i="178"/>
  <c r="BM1005" i="178"/>
  <c r="AT986" i="178"/>
  <c r="AY984" i="178"/>
  <c r="BD768" i="178"/>
  <c r="BI420" i="178"/>
  <c r="AZ55" i="178"/>
  <c r="BO53" i="178"/>
  <c r="BE52" i="178"/>
  <c r="AV566" i="178"/>
  <c r="BA414" i="178"/>
  <c r="AR104" i="178"/>
  <c r="BF979" i="178"/>
  <c r="AW686" i="178"/>
  <c r="BB54" i="178"/>
  <c r="BC54" i="178"/>
  <c r="AT54" i="178"/>
  <c r="AU54" i="178"/>
  <c r="BL53" i="178"/>
  <c r="BM53" i="178"/>
  <c r="BD53" i="178"/>
  <c r="BE53" i="178"/>
  <c r="AV53" i="178"/>
  <c r="AW53" i="178"/>
  <c r="BF52" i="178"/>
  <c r="BG52" i="178"/>
  <c r="AX52" i="178"/>
  <c r="AY52" i="178"/>
  <c r="BI566" i="178"/>
  <c r="BH566" i="178"/>
  <c r="BA566" i="178"/>
  <c r="AZ566" i="178"/>
  <c r="AS566" i="178"/>
  <c r="AR566" i="178"/>
  <c r="BL152" i="178"/>
  <c r="BM152" i="178"/>
  <c r="BD152" i="178"/>
  <c r="BE152" i="178"/>
  <c r="AV152" i="178"/>
  <c r="AW152" i="178"/>
  <c r="BO414" i="178"/>
  <c r="BN414" i="178"/>
  <c r="BF414" i="178"/>
  <c r="BG414" i="178"/>
  <c r="AX414" i="178"/>
  <c r="AY414" i="178"/>
  <c r="BB563" i="178"/>
  <c r="BC563" i="178"/>
  <c r="AT563" i="178"/>
  <c r="AU563" i="178"/>
  <c r="BL979" i="178"/>
  <c r="BM979" i="178"/>
  <c r="BD979" i="178"/>
  <c r="BE979" i="178"/>
  <c r="AV979" i="178"/>
  <c r="AW979" i="178"/>
  <c r="BF686" i="178"/>
  <c r="BG686" i="178"/>
  <c r="AX686" i="178"/>
  <c r="AY686" i="178"/>
  <c r="BI978" i="178"/>
  <c r="BH978" i="178"/>
  <c r="BA978" i="178"/>
  <c r="AZ978" i="178"/>
  <c r="AS978" i="178"/>
  <c r="AR978" i="178"/>
  <c r="BB51" i="178"/>
  <c r="BC51" i="178"/>
  <c r="AT51" i="178"/>
  <c r="AU51" i="178"/>
  <c r="BO404" i="178"/>
  <c r="BN404" i="178"/>
  <c r="BF404" i="178"/>
  <c r="BG404" i="178"/>
  <c r="AX404" i="178"/>
  <c r="AY404" i="178"/>
  <c r="BI403" i="178"/>
  <c r="BH403" i="178"/>
  <c r="BA403" i="178"/>
  <c r="AZ403" i="178"/>
  <c r="AS403" i="178"/>
  <c r="AR403" i="178"/>
  <c r="BB561" i="178"/>
  <c r="BC561" i="178"/>
  <c r="AT561" i="178"/>
  <c r="AU561" i="178"/>
  <c r="BL489" i="178"/>
  <c r="BM489" i="178"/>
  <c r="BD489" i="178"/>
  <c r="BE489" i="178"/>
  <c r="AV489" i="178"/>
  <c r="AW489" i="178"/>
  <c r="BO402" i="178"/>
  <c r="BN402" i="178"/>
  <c r="BF402" i="178"/>
  <c r="BG402" i="178"/>
  <c r="AX402" i="178"/>
  <c r="AY402" i="178"/>
  <c r="BI34" i="178"/>
  <c r="BH34" i="178"/>
  <c r="BA34" i="178"/>
  <c r="AZ34" i="178"/>
  <c r="AS34" i="178"/>
  <c r="AR34" i="178"/>
  <c r="BB716" i="178"/>
  <c r="BC716" i="178"/>
  <c r="AT716" i="178"/>
  <c r="AU716" i="178"/>
  <c r="BL622" i="178"/>
  <c r="BM622" i="178"/>
  <c r="BD622" i="178"/>
  <c r="BE622" i="178"/>
  <c r="AV622" i="178"/>
  <c r="AW622" i="178"/>
  <c r="BH364" i="178"/>
  <c r="BI364" i="178"/>
  <c r="AZ364" i="178"/>
  <c r="BA364" i="178"/>
  <c r="AR364" i="178"/>
  <c r="AS364" i="178"/>
  <c r="BH363" i="178"/>
  <c r="BI363" i="178"/>
  <c r="AZ363" i="178"/>
  <c r="BA363" i="178"/>
  <c r="AR363" i="178"/>
  <c r="AS363" i="178"/>
  <c r="BH354" i="178"/>
  <c r="BI354" i="178"/>
  <c r="AZ354" i="178"/>
  <c r="BA354" i="178"/>
  <c r="AR354" i="178"/>
  <c r="AS354" i="178"/>
  <c r="BH350" i="178"/>
  <c r="BI350" i="178"/>
  <c r="AZ350" i="178"/>
  <c r="BA350" i="178"/>
  <c r="AR350" i="178"/>
  <c r="AS350" i="178"/>
  <c r="BN349" i="178"/>
  <c r="BO349" i="178"/>
  <c r="BG349" i="178"/>
  <c r="BF349" i="178"/>
  <c r="AY349" i="178"/>
  <c r="AX349" i="178"/>
  <c r="BL348" i="178"/>
  <c r="BM348" i="178"/>
  <c r="BD348" i="178"/>
  <c r="BE348" i="178"/>
  <c r="AV348" i="178"/>
  <c r="AW348" i="178"/>
  <c r="BL346" i="178"/>
  <c r="BM346" i="178"/>
  <c r="BE346" i="178"/>
  <c r="BD346" i="178"/>
  <c r="AW346" i="178"/>
  <c r="AV346" i="178"/>
  <c r="BN345" i="178"/>
  <c r="BO345" i="178"/>
  <c r="BF345" i="178"/>
  <c r="BG345" i="178"/>
  <c r="AX345" i="178"/>
  <c r="AY345" i="178"/>
  <c r="BL344" i="178"/>
  <c r="BM344" i="178"/>
  <c r="BD344" i="178"/>
  <c r="BE344" i="178"/>
  <c r="AV344" i="178"/>
  <c r="AW344" i="178"/>
  <c r="BB332" i="178"/>
  <c r="BC332" i="178"/>
  <c r="AT332" i="178"/>
  <c r="AU332" i="178"/>
  <c r="BI29" i="178"/>
  <c r="BH29" i="178"/>
  <c r="BA29" i="178"/>
  <c r="AZ29" i="178"/>
  <c r="AS29" i="178"/>
  <c r="AR29" i="178"/>
  <c r="BB499" i="178"/>
  <c r="BC499" i="178"/>
  <c r="AT499" i="178"/>
  <c r="AU499" i="178"/>
  <c r="BN488" i="178"/>
  <c r="BF488" i="178"/>
  <c r="AX488" i="178"/>
  <c r="BL643" i="178"/>
  <c r="BM643" i="178"/>
  <c r="BD643" i="178"/>
  <c r="BE643" i="178"/>
  <c r="AV643" i="178"/>
  <c r="AW643" i="178"/>
  <c r="BL893" i="178"/>
  <c r="BM893" i="178"/>
  <c r="BE893" i="178"/>
  <c r="BD893" i="178"/>
  <c r="AW893" i="178"/>
  <c r="AV893" i="178"/>
  <c r="U893" i="178"/>
  <c r="V893" i="178"/>
  <c r="BB715" i="178"/>
  <c r="BC715" i="178"/>
  <c r="AT715" i="178"/>
  <c r="AU715" i="178"/>
  <c r="BH621" i="178"/>
  <c r="AZ621" i="178"/>
  <c r="AR621" i="178"/>
  <c r="BO270" i="178"/>
  <c r="BN270" i="178"/>
  <c r="BF270" i="178"/>
  <c r="BG270" i="178"/>
  <c r="AX270" i="178"/>
  <c r="AY270" i="178"/>
  <c r="BL266" i="178"/>
  <c r="BM266" i="178"/>
  <c r="BE266" i="178"/>
  <c r="BD266" i="178"/>
  <c r="AW266" i="178"/>
  <c r="AV266" i="178"/>
  <c r="BH265" i="178"/>
  <c r="BI265" i="178"/>
  <c r="AZ265" i="178"/>
  <c r="BA265" i="178"/>
  <c r="AR265" i="178"/>
  <c r="AS265" i="178"/>
  <c r="BN264" i="178"/>
  <c r="BO264" i="178"/>
  <c r="BG264" i="178"/>
  <c r="BF264" i="178"/>
  <c r="AY264" i="178"/>
  <c r="AX264" i="178"/>
  <c r="BL263" i="178"/>
  <c r="BM263" i="178"/>
  <c r="BD263" i="178"/>
  <c r="BE263" i="178"/>
  <c r="AV263" i="178"/>
  <c r="AW263" i="178"/>
  <c r="BI254" i="178"/>
  <c r="BH254" i="178"/>
  <c r="BA254" i="178"/>
  <c r="AZ254" i="178"/>
  <c r="AS254" i="178"/>
  <c r="AR254" i="178"/>
  <c r="BH249" i="178"/>
  <c r="BI249" i="178"/>
  <c r="AZ249" i="178"/>
  <c r="BA249" i="178"/>
  <c r="AR249" i="178"/>
  <c r="AS249" i="178"/>
  <c r="BN248" i="178"/>
  <c r="BO248" i="178"/>
  <c r="BG248" i="178"/>
  <c r="BF248" i="178"/>
  <c r="AY248" i="178"/>
  <c r="AX248" i="178"/>
  <c r="BL247" i="178"/>
  <c r="BM247" i="178"/>
  <c r="BD247" i="178"/>
  <c r="BE247" i="178"/>
  <c r="AV247" i="178"/>
  <c r="AW247" i="178"/>
  <c r="BI902" i="178"/>
  <c r="BH902" i="178"/>
  <c r="BA902" i="178"/>
  <c r="AZ902" i="178"/>
  <c r="AS902" i="178"/>
  <c r="AR902" i="178"/>
  <c r="BH433" i="178"/>
  <c r="BI433" i="178"/>
  <c r="AZ433" i="178"/>
  <c r="BA433" i="178"/>
  <c r="AR433" i="178"/>
  <c r="AS433" i="178"/>
  <c r="BN434" i="178"/>
  <c r="BO434" i="178"/>
  <c r="BF434" i="178"/>
  <c r="BG434" i="178"/>
  <c r="AX434" i="178"/>
  <c r="AY434" i="178"/>
  <c r="BM641" i="178"/>
  <c r="BL641" i="178"/>
  <c r="BD641" i="178"/>
  <c r="BE641" i="178"/>
  <c r="AV641" i="178"/>
  <c r="AW641" i="178"/>
  <c r="BH870" i="178"/>
  <c r="BI870" i="178"/>
  <c r="AZ870" i="178"/>
  <c r="BA870" i="178"/>
  <c r="AR870" i="178"/>
  <c r="AS870" i="178"/>
  <c r="BH224" i="178"/>
  <c r="BI224" i="178"/>
  <c r="AZ224" i="178"/>
  <c r="BA224" i="178"/>
  <c r="AR224" i="178"/>
  <c r="AS224" i="178"/>
  <c r="BN223" i="178"/>
  <c r="BO223" i="178"/>
  <c r="BF223" i="178"/>
  <c r="BG223" i="178"/>
  <c r="AX223" i="178"/>
  <c r="AY223" i="178"/>
  <c r="BM222" i="178"/>
  <c r="BL222" i="178"/>
  <c r="BD222" i="178"/>
  <c r="BE222" i="178"/>
  <c r="AV222" i="178"/>
  <c r="AW222" i="178"/>
  <c r="BH221" i="178"/>
  <c r="BI221" i="178"/>
  <c r="AZ221" i="178"/>
  <c r="BA221" i="178"/>
  <c r="AR221" i="178"/>
  <c r="AS221" i="178"/>
  <c r="BH203" i="178"/>
  <c r="AZ203" i="178"/>
  <c r="AR203" i="178"/>
  <c r="BN202" i="178"/>
  <c r="BO202" i="178"/>
  <c r="BF202" i="178"/>
  <c r="BG202" i="178"/>
  <c r="AX202" i="178"/>
  <c r="AY202" i="178"/>
  <c r="BM201" i="178"/>
  <c r="BL201" i="178"/>
  <c r="BD201" i="178"/>
  <c r="BE201" i="178"/>
  <c r="AV201" i="178"/>
  <c r="AW201" i="178"/>
  <c r="BH891" i="178"/>
  <c r="BI891" i="178"/>
  <c r="AZ891" i="178"/>
  <c r="BA891" i="178"/>
  <c r="AR891" i="178"/>
  <c r="AS891" i="178"/>
  <c r="BL890" i="178"/>
  <c r="BM890" i="178"/>
  <c r="BD890" i="178"/>
  <c r="BE890" i="178"/>
  <c r="AV890" i="178"/>
  <c r="AW890" i="178"/>
  <c r="BB889" i="178"/>
  <c r="BC889" i="178"/>
  <c r="AT889" i="178"/>
  <c r="AU889" i="178"/>
  <c r="BH888" i="178"/>
  <c r="BI888" i="178"/>
  <c r="AZ888" i="178"/>
  <c r="BA888" i="178"/>
  <c r="AR888" i="178"/>
  <c r="AS888" i="178"/>
  <c r="BB432" i="178"/>
  <c r="BC432" i="178"/>
  <c r="AT432" i="178"/>
  <c r="AU432" i="178"/>
  <c r="BH358" i="178"/>
  <c r="BI358" i="178"/>
  <c r="AZ358" i="178"/>
  <c r="BA358" i="178"/>
  <c r="AR358" i="178"/>
  <c r="AS358" i="178"/>
  <c r="BN640" i="178"/>
  <c r="BO640" i="178"/>
  <c r="BG640" i="178"/>
  <c r="BF640" i="178"/>
  <c r="AY640" i="178"/>
  <c r="AX640" i="178"/>
  <c r="BL862" i="178"/>
  <c r="BM862" i="178"/>
  <c r="BD862" i="178"/>
  <c r="BE862" i="178"/>
  <c r="AV862" i="178"/>
  <c r="AW862" i="178"/>
  <c r="BB196" i="178"/>
  <c r="BC196" i="178"/>
  <c r="AT196" i="178"/>
  <c r="AU196" i="178"/>
  <c r="BH430" i="178"/>
  <c r="BI430" i="178"/>
  <c r="AZ430" i="178"/>
  <c r="BA430" i="178"/>
  <c r="AR430" i="178"/>
  <c r="AS430" i="178"/>
  <c r="BN845" i="178"/>
  <c r="BO845" i="178"/>
  <c r="BG845" i="178"/>
  <c r="BF845" i="178"/>
  <c r="AY845" i="178"/>
  <c r="AX845" i="178"/>
  <c r="BL572" i="178"/>
  <c r="BM572" i="178"/>
  <c r="BD572" i="178"/>
  <c r="BE572" i="178"/>
  <c r="AV572" i="178"/>
  <c r="AW572" i="178"/>
  <c r="BB429" i="178"/>
  <c r="BC429" i="178"/>
  <c r="AT429" i="178"/>
  <c r="AU429" i="178"/>
  <c r="BH842" i="178"/>
  <c r="BI842" i="178"/>
  <c r="AZ842" i="178"/>
  <c r="BA842" i="178"/>
  <c r="AR842" i="178"/>
  <c r="AS842" i="178"/>
  <c r="BN570" i="178"/>
  <c r="BO570" i="178"/>
  <c r="BG570" i="178"/>
  <c r="BF570" i="178"/>
  <c r="AY570" i="178"/>
  <c r="AX570" i="178"/>
  <c r="BL841" i="178"/>
  <c r="BM841" i="178"/>
  <c r="BD841" i="178"/>
  <c r="BE841" i="178"/>
  <c r="AV841" i="178"/>
  <c r="AW841" i="178"/>
  <c r="BB334" i="178"/>
  <c r="BC334" i="178"/>
  <c r="AT334" i="178"/>
  <c r="AU334" i="178"/>
  <c r="BH195" i="178"/>
  <c r="BI195" i="178"/>
  <c r="AZ195" i="178"/>
  <c r="BA195" i="178"/>
  <c r="AR195" i="178"/>
  <c r="AS195" i="178"/>
  <c r="BN617" i="178"/>
  <c r="BO617" i="178"/>
  <c r="BG617" i="178"/>
  <c r="BF617" i="178"/>
  <c r="AY617" i="178"/>
  <c r="AX617" i="178"/>
  <c r="BL428" i="178"/>
  <c r="BM428" i="178"/>
  <c r="BD428" i="178"/>
  <c r="BE428" i="178"/>
  <c r="AV428" i="178"/>
  <c r="AW428" i="178"/>
  <c r="BB761" i="178"/>
  <c r="BC761" i="178"/>
  <c r="AT761" i="178"/>
  <c r="AU761" i="178"/>
  <c r="BL755" i="178"/>
  <c r="BM755" i="178"/>
  <c r="BD755" i="178"/>
  <c r="BE755" i="178"/>
  <c r="AV755" i="178"/>
  <c r="AW755" i="178"/>
  <c r="BB754" i="178"/>
  <c r="AT754" i="178"/>
  <c r="AU754" i="178"/>
  <c r="BH192" i="178"/>
  <c r="BI192" i="178"/>
  <c r="AZ192" i="178"/>
  <c r="BA192" i="178"/>
  <c r="AR192" i="178"/>
  <c r="AS192" i="178"/>
  <c r="BN427" i="178"/>
  <c r="BO427" i="178"/>
  <c r="BF427" i="178"/>
  <c r="BG427" i="178"/>
  <c r="AX427" i="178"/>
  <c r="AY427" i="178"/>
  <c r="BB690" i="178"/>
  <c r="BC690" i="178"/>
  <c r="AT690" i="178"/>
  <c r="AU690" i="178"/>
  <c r="BO648" i="178"/>
  <c r="BN648" i="178"/>
  <c r="BF648" i="178"/>
  <c r="BG648" i="178"/>
  <c r="AX648" i="178"/>
  <c r="AY648" i="178"/>
  <c r="BN614" i="178"/>
  <c r="BO614" i="178"/>
  <c r="BF614" i="178"/>
  <c r="BG614" i="178"/>
  <c r="AX614" i="178"/>
  <c r="AY614" i="178"/>
  <c r="BH734" i="178"/>
  <c r="BI734" i="178"/>
  <c r="AZ734" i="178"/>
  <c r="BA734" i="178"/>
  <c r="AR734" i="178"/>
  <c r="AS734" i="178"/>
  <c r="BB733" i="178"/>
  <c r="BC733" i="178"/>
  <c r="AT733" i="178"/>
  <c r="AU733" i="178"/>
  <c r="BB426" i="178"/>
  <c r="BC426" i="178"/>
  <c r="AT426" i="178"/>
  <c r="AU426" i="178"/>
  <c r="BI637" i="178"/>
  <c r="BH637" i="178"/>
  <c r="BA637" i="178"/>
  <c r="AZ637" i="178"/>
  <c r="AS637" i="178"/>
  <c r="AR637" i="178"/>
  <c r="BB636" i="178"/>
  <c r="BC636" i="178"/>
  <c r="AT636" i="178"/>
  <c r="AU636" i="178"/>
  <c r="BB606" i="178"/>
  <c r="BC606" i="178"/>
  <c r="AT606" i="178"/>
  <c r="AU606" i="178"/>
  <c r="BG1029" i="178"/>
  <c r="BM1025" i="178"/>
  <c r="AT1022" i="178"/>
  <c r="AY1007" i="178"/>
  <c r="BD1005" i="178"/>
  <c r="BI981" i="178"/>
  <c r="BO985" i="178"/>
  <c r="BE982" i="178"/>
  <c r="AV768" i="178"/>
  <c r="BA420" i="178"/>
  <c r="AR55" i="178"/>
  <c r="BF53" i="178"/>
  <c r="AW52" i="178"/>
  <c r="BL565" i="178"/>
  <c r="BB152" i="178"/>
  <c r="AS414" i="178"/>
  <c r="BG563" i="178"/>
  <c r="AX979" i="178"/>
  <c r="AR1029" i="178"/>
  <c r="AS1029" i="178"/>
  <c r="BC1026" i="178"/>
  <c r="BB1026" i="178"/>
  <c r="AU1026" i="178"/>
  <c r="AT1026" i="178"/>
  <c r="BL1028" i="178"/>
  <c r="BM1028" i="178"/>
  <c r="BN1025" i="178"/>
  <c r="BO1025" i="178"/>
  <c r="BF1025" i="178"/>
  <c r="BG1025" i="178"/>
  <c r="AX1025" i="178"/>
  <c r="AY1025" i="178"/>
  <c r="BH1023" i="178"/>
  <c r="BI1023" i="178"/>
  <c r="AZ1023" i="178"/>
  <c r="BA1023" i="178"/>
  <c r="AR1023" i="178"/>
  <c r="AS1023" i="178"/>
  <c r="BL1010" i="178"/>
  <c r="BM1010" i="178"/>
  <c r="BD1010" i="178"/>
  <c r="BE1010" i="178"/>
  <c r="AV1010" i="178"/>
  <c r="AW1010" i="178"/>
  <c r="BN1008" i="178"/>
  <c r="BO1008" i="178"/>
  <c r="BF1008" i="178"/>
  <c r="BG1008" i="178"/>
  <c r="AX1008" i="178"/>
  <c r="AY1008" i="178"/>
  <c r="BH1007" i="178"/>
  <c r="BI1007" i="178"/>
  <c r="AZ1007" i="178"/>
  <c r="BA1007" i="178"/>
  <c r="AR1007" i="178"/>
  <c r="AS1007" i="178"/>
  <c r="BC1006" i="178"/>
  <c r="BB1006" i="178"/>
  <c r="AU1006" i="178"/>
  <c r="AT1006" i="178"/>
  <c r="BL1004" i="178"/>
  <c r="BM1004" i="178"/>
  <c r="BN1005" i="178"/>
  <c r="BO1005" i="178"/>
  <c r="BF1005" i="178"/>
  <c r="BG1005" i="178"/>
  <c r="AX1005" i="178"/>
  <c r="AY1005" i="178"/>
  <c r="BH987" i="178"/>
  <c r="BI987" i="178"/>
  <c r="AZ987" i="178"/>
  <c r="BA987" i="178"/>
  <c r="AR987" i="178"/>
  <c r="AS987" i="178"/>
  <c r="BL981" i="178"/>
  <c r="BM981" i="178"/>
  <c r="BD981" i="178"/>
  <c r="BE981" i="178"/>
  <c r="AV981" i="178"/>
  <c r="AW981" i="178"/>
  <c r="BN983" i="178"/>
  <c r="BO983" i="178"/>
  <c r="BF983" i="178"/>
  <c r="BG983" i="178"/>
  <c r="AX983" i="178"/>
  <c r="AY983" i="178"/>
  <c r="BH984" i="178"/>
  <c r="BI984" i="178"/>
  <c r="AZ984" i="178"/>
  <c r="BA984" i="178"/>
  <c r="AR984" i="178"/>
  <c r="AS984" i="178"/>
  <c r="BC985" i="178"/>
  <c r="BB985" i="178"/>
  <c r="AU985" i="178"/>
  <c r="AT985" i="178"/>
  <c r="BL982" i="178"/>
  <c r="BM982" i="178"/>
  <c r="BN768" i="178"/>
  <c r="BO768" i="178"/>
  <c r="BF768" i="178"/>
  <c r="BG768" i="178"/>
  <c r="AX768" i="178"/>
  <c r="AY768" i="178"/>
  <c r="BH630" i="178"/>
  <c r="BI630" i="178"/>
  <c r="AZ630" i="178"/>
  <c r="BA630" i="178"/>
  <c r="AR630" i="178"/>
  <c r="AS630" i="178"/>
  <c r="BL420" i="178"/>
  <c r="BM420" i="178"/>
  <c r="BD420" i="178"/>
  <c r="BE420" i="178"/>
  <c r="AV420" i="178"/>
  <c r="AW420" i="178"/>
  <c r="BN55" i="178"/>
  <c r="BO55" i="178"/>
  <c r="BF55" i="178"/>
  <c r="BG55" i="178"/>
  <c r="AX55" i="178"/>
  <c r="AY55" i="178"/>
  <c r="BH54" i="178"/>
  <c r="BI54" i="178"/>
  <c r="AZ54" i="178"/>
  <c r="BA54" i="178"/>
  <c r="AR54" i="178"/>
  <c r="AS54" i="178"/>
  <c r="BC53" i="178"/>
  <c r="BB53" i="178"/>
  <c r="AU53" i="178"/>
  <c r="AT53" i="178"/>
  <c r="BL52" i="178"/>
  <c r="BM52" i="178"/>
  <c r="BN566" i="178"/>
  <c r="BO566" i="178"/>
  <c r="BF566" i="178"/>
  <c r="BG566" i="178"/>
  <c r="AX566" i="178"/>
  <c r="AY566" i="178"/>
  <c r="BH565" i="178"/>
  <c r="BI565" i="178"/>
  <c r="AZ565" i="178"/>
  <c r="BA565" i="178"/>
  <c r="AR565" i="178"/>
  <c r="AS565" i="178"/>
  <c r="BL414" i="178"/>
  <c r="BM414" i="178"/>
  <c r="BD414" i="178"/>
  <c r="BE414" i="178"/>
  <c r="AV414" i="178"/>
  <c r="AW414" i="178"/>
  <c r="BN104" i="178"/>
  <c r="BO104" i="178"/>
  <c r="BF104" i="178"/>
  <c r="BG104" i="178"/>
  <c r="AX104" i="178"/>
  <c r="AY104" i="178"/>
  <c r="BH563" i="178"/>
  <c r="BI563" i="178"/>
  <c r="AZ563" i="178"/>
  <c r="BA563" i="178"/>
  <c r="AR563" i="178"/>
  <c r="AS563" i="178"/>
  <c r="BC979" i="178"/>
  <c r="BB979" i="178"/>
  <c r="AU979" i="178"/>
  <c r="AT979" i="178"/>
  <c r="BL686" i="178"/>
  <c r="BM686" i="178"/>
  <c r="BN978" i="178"/>
  <c r="BO978" i="178"/>
  <c r="BF978" i="178"/>
  <c r="BG978" i="178"/>
  <c r="AX978" i="178"/>
  <c r="AY978" i="178"/>
  <c r="BH51" i="178"/>
  <c r="BI51" i="178"/>
  <c r="AZ51" i="178"/>
  <c r="BA51" i="178"/>
  <c r="AR51" i="178"/>
  <c r="AS51" i="178"/>
  <c r="BL404" i="178"/>
  <c r="BM404" i="178"/>
  <c r="BD404" i="178"/>
  <c r="BE404" i="178"/>
  <c r="AV404" i="178"/>
  <c r="AW404" i="178"/>
  <c r="BN403" i="178"/>
  <c r="BO403" i="178"/>
  <c r="BF403" i="178"/>
  <c r="BG403" i="178"/>
  <c r="AX403" i="178"/>
  <c r="AY403" i="178"/>
  <c r="BH561" i="178"/>
  <c r="BI561" i="178"/>
  <c r="AZ561" i="178"/>
  <c r="BA561" i="178"/>
  <c r="AR561" i="178"/>
  <c r="AS561" i="178"/>
  <c r="BC489" i="178"/>
  <c r="BB489" i="178"/>
  <c r="AU489" i="178"/>
  <c r="AT489" i="178"/>
  <c r="BL402" i="178"/>
  <c r="BM402" i="178"/>
  <c r="BD402" i="178"/>
  <c r="BE402" i="178"/>
  <c r="AV402" i="178"/>
  <c r="AW402" i="178"/>
  <c r="BN34" i="178"/>
  <c r="BO34" i="178"/>
  <c r="BF34" i="178"/>
  <c r="BG34" i="178"/>
  <c r="AX34" i="178"/>
  <c r="AY34" i="178"/>
  <c r="BH716" i="178"/>
  <c r="BI716" i="178"/>
  <c r="AZ716" i="178"/>
  <c r="BA716" i="178"/>
  <c r="AR716" i="178"/>
  <c r="AS716" i="178"/>
  <c r="BC622" i="178"/>
  <c r="BB622" i="178"/>
  <c r="AU622" i="178"/>
  <c r="AT622" i="178"/>
  <c r="BN364" i="178"/>
  <c r="BO364" i="178"/>
  <c r="BF364" i="178"/>
  <c r="BG364" i="178"/>
  <c r="AX364" i="178"/>
  <c r="AY364" i="178"/>
  <c r="BN363" i="178"/>
  <c r="BO363" i="178"/>
  <c r="BG363" i="178"/>
  <c r="BF363" i="178"/>
  <c r="AY363" i="178"/>
  <c r="AX363" i="178"/>
  <c r="BO354" i="178"/>
  <c r="BN354" i="178"/>
  <c r="BF354" i="178"/>
  <c r="BG354" i="178"/>
  <c r="AX354" i="178"/>
  <c r="AY354" i="178"/>
  <c r="BN350" i="178"/>
  <c r="BO350" i="178"/>
  <c r="BF350" i="178"/>
  <c r="BG350" i="178"/>
  <c r="AX350" i="178"/>
  <c r="AY350" i="178"/>
  <c r="BL349" i="178"/>
  <c r="BM349" i="178"/>
  <c r="BD349" i="178"/>
  <c r="BE349" i="178"/>
  <c r="AV349" i="178"/>
  <c r="AW349" i="178"/>
  <c r="BB348" i="178"/>
  <c r="BC348" i="178"/>
  <c r="AT348" i="178"/>
  <c r="AU348" i="178"/>
  <c r="BB346" i="178"/>
  <c r="BC346" i="178"/>
  <c r="AT346" i="178"/>
  <c r="AU346" i="178"/>
  <c r="BM345" i="178"/>
  <c r="BL345" i="178"/>
  <c r="BD345" i="178"/>
  <c r="BE345" i="178"/>
  <c r="AV345" i="178"/>
  <c r="AW345" i="178"/>
  <c r="BC344" i="178"/>
  <c r="BB344" i="178"/>
  <c r="AU344" i="178"/>
  <c r="AT344" i="178"/>
  <c r="BH332" i="178"/>
  <c r="BI332" i="178"/>
  <c r="AZ332" i="178"/>
  <c r="BA332" i="178"/>
  <c r="AR332" i="178"/>
  <c r="AS332" i="178"/>
  <c r="BN27" i="178"/>
  <c r="BO27" i="178"/>
  <c r="BF27" i="178"/>
  <c r="BG27" i="178"/>
  <c r="AX27" i="178"/>
  <c r="AY27" i="178"/>
  <c r="BL26" i="178"/>
  <c r="BM26" i="178"/>
  <c r="BD26" i="178"/>
  <c r="BE26" i="178"/>
  <c r="AV26" i="178"/>
  <c r="AW26" i="178"/>
  <c r="BH499" i="178"/>
  <c r="BI499" i="178"/>
  <c r="AZ499" i="178"/>
  <c r="BA499" i="178"/>
  <c r="AR499" i="178"/>
  <c r="AS499" i="178"/>
  <c r="BH715" i="178"/>
  <c r="BI715" i="178"/>
  <c r="AZ715" i="178"/>
  <c r="BA715" i="178"/>
  <c r="AR715" i="178"/>
  <c r="AS715" i="178"/>
  <c r="BN621" i="178"/>
  <c r="BF621" i="178"/>
  <c r="AX621" i="178"/>
  <c r="BL270" i="178"/>
  <c r="BM270" i="178"/>
  <c r="BD270" i="178"/>
  <c r="BE270" i="178"/>
  <c r="AV270" i="178"/>
  <c r="AW270" i="178"/>
  <c r="BB266" i="178"/>
  <c r="BC266" i="178"/>
  <c r="AT266" i="178"/>
  <c r="AU266" i="178"/>
  <c r="BN265" i="178"/>
  <c r="BO265" i="178"/>
  <c r="BF265" i="178"/>
  <c r="BG265" i="178"/>
  <c r="AX265" i="178"/>
  <c r="AY265" i="178"/>
  <c r="BL264" i="178"/>
  <c r="BM264" i="178"/>
  <c r="BD264" i="178"/>
  <c r="BE264" i="178"/>
  <c r="AV264" i="178"/>
  <c r="AW264" i="178"/>
  <c r="BB263" i="178"/>
  <c r="BC263" i="178"/>
  <c r="AT263" i="178"/>
  <c r="AU263" i="178"/>
  <c r="BB250" i="178"/>
  <c r="BC250" i="178"/>
  <c r="AT250" i="178"/>
  <c r="AU250" i="178"/>
  <c r="BN249" i="178"/>
  <c r="BO249" i="178"/>
  <c r="BF249" i="178"/>
  <c r="BG249" i="178"/>
  <c r="AX249" i="178"/>
  <c r="AY249" i="178"/>
  <c r="BL248" i="178"/>
  <c r="BM248" i="178"/>
  <c r="BD248" i="178"/>
  <c r="BE248" i="178"/>
  <c r="AV248" i="178"/>
  <c r="AW248" i="178"/>
  <c r="BB247" i="178"/>
  <c r="BC247" i="178"/>
  <c r="AT247" i="178"/>
  <c r="AU247" i="178"/>
  <c r="BC898" i="178"/>
  <c r="BB898" i="178"/>
  <c r="AU898" i="178"/>
  <c r="AT898" i="178"/>
  <c r="BO433" i="178"/>
  <c r="BN433" i="178"/>
  <c r="BF433" i="178"/>
  <c r="BG433" i="178"/>
  <c r="AX433" i="178"/>
  <c r="AY433" i="178"/>
  <c r="BL434" i="178"/>
  <c r="BM434" i="178"/>
  <c r="BE434" i="178"/>
  <c r="BD434" i="178"/>
  <c r="AW434" i="178"/>
  <c r="AV434" i="178"/>
  <c r="BB641" i="178"/>
  <c r="BC641" i="178"/>
  <c r="AT641" i="178"/>
  <c r="AU641" i="178"/>
  <c r="BC225" i="178"/>
  <c r="BB225" i="178"/>
  <c r="AU225" i="178"/>
  <c r="AT225" i="178"/>
  <c r="BO224" i="178"/>
  <c r="BN224" i="178"/>
  <c r="BF224" i="178"/>
  <c r="BG224" i="178"/>
  <c r="AX224" i="178"/>
  <c r="AY224" i="178"/>
  <c r="BL223" i="178"/>
  <c r="BM223" i="178"/>
  <c r="BE223" i="178"/>
  <c r="BD223" i="178"/>
  <c r="AW223" i="178"/>
  <c r="AV223" i="178"/>
  <c r="BB222" i="178"/>
  <c r="BC222" i="178"/>
  <c r="AT222" i="178"/>
  <c r="AU222" i="178"/>
  <c r="BC204" i="178"/>
  <c r="BB204" i="178"/>
  <c r="AU204" i="178"/>
  <c r="AT204" i="178"/>
  <c r="BN203" i="178"/>
  <c r="BF203" i="178"/>
  <c r="AX203" i="178"/>
  <c r="BL202" i="178"/>
  <c r="BM202" i="178"/>
  <c r="BE202" i="178"/>
  <c r="BD202" i="178"/>
  <c r="AW202" i="178"/>
  <c r="AV202" i="178"/>
  <c r="BB201" i="178"/>
  <c r="BC201" i="178"/>
  <c r="AT201" i="178"/>
  <c r="AU201" i="178"/>
  <c r="BB755" i="178"/>
  <c r="BC755" i="178"/>
  <c r="AT755" i="178"/>
  <c r="AU755" i="178"/>
  <c r="BH754" i="178"/>
  <c r="BN742" i="178"/>
  <c r="BF742" i="178"/>
  <c r="AX742" i="178"/>
  <c r="BH418" i="178"/>
  <c r="BI418" i="178"/>
  <c r="AZ418" i="178"/>
  <c r="BA418" i="178"/>
  <c r="AR418" i="178"/>
  <c r="AS418" i="178"/>
  <c r="BG688" i="178"/>
  <c r="BM56" i="178"/>
  <c r="AY1029" i="178"/>
  <c r="BD1025" i="178"/>
  <c r="BE1004" i="178"/>
  <c r="AV1005" i="178"/>
  <c r="BA981" i="178"/>
  <c r="BF985" i="178"/>
  <c r="AW982" i="178"/>
  <c r="BL630" i="178"/>
  <c r="BB421" i="178"/>
  <c r="AS420" i="178"/>
  <c r="BG54" i="178"/>
  <c r="AX53" i="178"/>
  <c r="BM566" i="178"/>
  <c r="BC565" i="178"/>
  <c r="AT152" i="178"/>
  <c r="BH104" i="178"/>
  <c r="AY563" i="178"/>
  <c r="BN686" i="178"/>
  <c r="AZ754" i="178"/>
  <c r="AR754" i="178"/>
  <c r="BN192" i="178"/>
  <c r="BO192" i="178"/>
  <c r="BG192" i="178"/>
  <c r="BF192" i="178"/>
  <c r="AY192" i="178"/>
  <c r="AX192" i="178"/>
  <c r="BB691" i="178"/>
  <c r="BC691" i="178"/>
  <c r="AT691" i="178"/>
  <c r="AU691" i="178"/>
  <c r="BI690" i="178"/>
  <c r="BH690" i="178"/>
  <c r="BA690" i="178"/>
  <c r="AZ690" i="178"/>
  <c r="AS690" i="178"/>
  <c r="AR690" i="178"/>
  <c r="BL676" i="178"/>
  <c r="BM676" i="178"/>
  <c r="BD676" i="178"/>
  <c r="BE676" i="178"/>
  <c r="AV676" i="178"/>
  <c r="AW676" i="178"/>
  <c r="BL648" i="178"/>
  <c r="BM648" i="178"/>
  <c r="BD648" i="178"/>
  <c r="BE648" i="178"/>
  <c r="AV648" i="178"/>
  <c r="AW648" i="178"/>
  <c r="BL614" i="178"/>
  <c r="BM614" i="178"/>
  <c r="BE614" i="178"/>
  <c r="BD614" i="178"/>
  <c r="AW614" i="178"/>
  <c r="AV614" i="178"/>
  <c r="BN734" i="178"/>
  <c r="BO734" i="178"/>
  <c r="BF734" i="178"/>
  <c r="BG734" i="178"/>
  <c r="AX734" i="178"/>
  <c r="AY734" i="178"/>
  <c r="BH733" i="178"/>
  <c r="BI733" i="178"/>
  <c r="AZ733" i="178"/>
  <c r="BA733" i="178"/>
  <c r="AR733" i="178"/>
  <c r="AS733" i="178"/>
  <c r="BL732" i="178"/>
  <c r="BM732" i="178"/>
  <c r="BD732" i="178"/>
  <c r="BE732" i="178"/>
  <c r="AV732" i="178"/>
  <c r="AW732" i="178"/>
  <c r="BN731" i="178"/>
  <c r="BO731" i="178"/>
  <c r="BF731" i="178"/>
  <c r="BG731" i="178"/>
  <c r="AX731" i="178"/>
  <c r="AY731" i="178"/>
  <c r="V639" i="178"/>
  <c r="U639" i="178"/>
  <c r="BL638" i="178"/>
  <c r="BM638" i="178"/>
  <c r="BD638" i="178"/>
  <c r="BE638" i="178"/>
  <c r="AV638" i="178"/>
  <c r="AW638" i="178"/>
  <c r="BN637" i="178"/>
  <c r="BO637" i="178"/>
  <c r="BF637" i="178"/>
  <c r="BG637" i="178"/>
  <c r="AX637" i="178"/>
  <c r="AY637" i="178"/>
  <c r="BH636" i="178"/>
  <c r="BI636" i="178"/>
  <c r="AZ636" i="178"/>
  <c r="BA636" i="178"/>
  <c r="AR636" i="178"/>
  <c r="AS636" i="178"/>
  <c r="BL188" i="178"/>
  <c r="BM188" i="178"/>
  <c r="BE188" i="178"/>
  <c r="BD188" i="178"/>
  <c r="AW188" i="178"/>
  <c r="AV188" i="178"/>
  <c r="BM727" i="178"/>
  <c r="BL727" i="178"/>
  <c r="BD727" i="178"/>
  <c r="BE727" i="178"/>
  <c r="AV727" i="178"/>
  <c r="AW727" i="178"/>
  <c r="BH602" i="178"/>
  <c r="BI602" i="178"/>
  <c r="AZ602" i="178"/>
  <c r="BA602" i="178"/>
  <c r="AR602" i="178"/>
  <c r="AS602" i="178"/>
  <c r="BL742" i="178"/>
  <c r="BD742" i="178"/>
  <c r="AV742" i="178"/>
  <c r="BO418" i="178"/>
  <c r="BN418" i="178"/>
  <c r="BF418" i="178"/>
  <c r="BG418" i="178"/>
  <c r="AX418" i="178"/>
  <c r="AY418" i="178"/>
  <c r="BN332" i="178"/>
  <c r="BA270" i="178"/>
  <c r="BL253" i="178"/>
  <c r="BB252" i="178"/>
  <c r="AS251" i="178"/>
  <c r="BM902" i="178"/>
  <c r="BC901" i="178"/>
  <c r="AT900" i="178"/>
  <c r="AX898" i="178"/>
  <c r="BH620" i="178"/>
  <c r="AZ206" i="178"/>
  <c r="AR889" i="178"/>
  <c r="BB640" i="178"/>
  <c r="BG430" i="178"/>
  <c r="AT570" i="178"/>
  <c r="AY195" i="178"/>
  <c r="AV426" i="178"/>
  <c r="BH344" i="178"/>
  <c r="BI344" i="178"/>
  <c r="AZ344" i="178"/>
  <c r="BA344" i="178"/>
  <c r="AR344" i="178"/>
  <c r="AS344" i="178"/>
  <c r="BF332" i="178"/>
  <c r="BG332" i="178"/>
  <c r="AX332" i="178"/>
  <c r="AY332" i="178"/>
  <c r="BN29" i="178"/>
  <c r="BO29" i="178"/>
  <c r="BF29" i="178"/>
  <c r="BG29" i="178"/>
  <c r="AX29" i="178"/>
  <c r="AY29" i="178"/>
  <c r="BH27" i="178"/>
  <c r="BI27" i="178"/>
  <c r="AZ27" i="178"/>
  <c r="BA27" i="178"/>
  <c r="AR27" i="178"/>
  <c r="AS27" i="178"/>
  <c r="BN26" i="178"/>
  <c r="BO26" i="178"/>
  <c r="BG26" i="178"/>
  <c r="BF26" i="178"/>
  <c r="AY26" i="178"/>
  <c r="AX26" i="178"/>
  <c r="BN499" i="178"/>
  <c r="BO499" i="178"/>
  <c r="BL488" i="178"/>
  <c r="BD488" i="178"/>
  <c r="AV488" i="178"/>
  <c r="BB643" i="178"/>
  <c r="BC643" i="178"/>
  <c r="AT643" i="178"/>
  <c r="AU643" i="178"/>
  <c r="BB893" i="178"/>
  <c r="BC893" i="178"/>
  <c r="AT893" i="178"/>
  <c r="AU893" i="178"/>
  <c r="BD715" i="178"/>
  <c r="BE715" i="178"/>
  <c r="AV715" i="178"/>
  <c r="AW715" i="178"/>
  <c r="BN266" i="178"/>
  <c r="BO266" i="178"/>
  <c r="BF266" i="178"/>
  <c r="BG266" i="178"/>
  <c r="AX266" i="178"/>
  <c r="AY266" i="178"/>
  <c r="BM265" i="178"/>
  <c r="BL265" i="178"/>
  <c r="BD265" i="178"/>
  <c r="BE265" i="178"/>
  <c r="AV265" i="178"/>
  <c r="AW265" i="178"/>
  <c r="BC264" i="178"/>
  <c r="BB264" i="178"/>
  <c r="AU264" i="178"/>
  <c r="AT264" i="178"/>
  <c r="BH263" i="178"/>
  <c r="BI263" i="178"/>
  <c r="AZ263" i="178"/>
  <c r="BA263" i="178"/>
  <c r="AR263" i="178"/>
  <c r="AS263" i="178"/>
  <c r="BN254" i="178"/>
  <c r="BO254" i="178"/>
  <c r="BF254" i="178"/>
  <c r="BG254" i="178"/>
  <c r="AX254" i="178"/>
  <c r="AY254" i="178"/>
  <c r="BD253" i="178"/>
  <c r="BE253" i="178"/>
  <c r="AV253" i="178"/>
  <c r="AW253" i="178"/>
  <c r="BN250" i="178"/>
  <c r="BO250" i="178"/>
  <c r="BF250" i="178"/>
  <c r="BG250" i="178"/>
  <c r="AX250" i="178"/>
  <c r="AY250" i="178"/>
  <c r="BM249" i="178"/>
  <c r="BL249" i="178"/>
  <c r="BD249" i="178"/>
  <c r="BE249" i="178"/>
  <c r="AV249" i="178"/>
  <c r="AW249" i="178"/>
  <c r="BC248" i="178"/>
  <c r="BB248" i="178"/>
  <c r="AU248" i="178"/>
  <c r="AT248" i="178"/>
  <c r="BH247" i="178"/>
  <c r="BI247" i="178"/>
  <c r="AZ247" i="178"/>
  <c r="BA247" i="178"/>
  <c r="AR247" i="178"/>
  <c r="AS247" i="178"/>
  <c r="BN902" i="178"/>
  <c r="BO902" i="178"/>
  <c r="BF902" i="178"/>
  <c r="BG902" i="178"/>
  <c r="AX902" i="178"/>
  <c r="AY902" i="178"/>
  <c r="BD901" i="178"/>
  <c r="BE901" i="178"/>
  <c r="AV901" i="178"/>
  <c r="AW901" i="178"/>
  <c r="AR899" i="178"/>
  <c r="AS899" i="178"/>
  <c r="BG898" i="178"/>
  <c r="BF898" i="178"/>
  <c r="BL433" i="178"/>
  <c r="BM433" i="178"/>
  <c r="AV433" i="178"/>
  <c r="AW433" i="178"/>
  <c r="BB434" i="178"/>
  <c r="BC434" i="178"/>
  <c r="AT434" i="178"/>
  <c r="AU434" i="178"/>
  <c r="BH641" i="178"/>
  <c r="BI641" i="178"/>
  <c r="AZ641" i="178"/>
  <c r="BA641" i="178"/>
  <c r="AR641" i="178"/>
  <c r="AS641" i="178"/>
  <c r="BN870" i="178"/>
  <c r="BO870" i="178"/>
  <c r="BG870" i="178"/>
  <c r="BF870" i="178"/>
  <c r="AY870" i="178"/>
  <c r="AX870" i="178"/>
  <c r="BL674" i="178"/>
  <c r="BM674" i="178"/>
  <c r="BD674" i="178"/>
  <c r="BE674" i="178"/>
  <c r="AV674" i="178"/>
  <c r="AW674" i="178"/>
  <c r="BB620" i="178"/>
  <c r="BC620" i="178"/>
  <c r="AT620" i="178"/>
  <c r="AU620" i="178"/>
  <c r="BH226" i="178"/>
  <c r="BI226" i="178"/>
  <c r="AZ226" i="178"/>
  <c r="BA226" i="178"/>
  <c r="AR226" i="178"/>
  <c r="AS226" i="178"/>
  <c r="BN225" i="178"/>
  <c r="BO225" i="178"/>
  <c r="AY225" i="178"/>
  <c r="AX225" i="178"/>
  <c r="BL224" i="178"/>
  <c r="BM224" i="178"/>
  <c r="BD224" i="178"/>
  <c r="BE224" i="178"/>
  <c r="BB223" i="178"/>
  <c r="BC223" i="178"/>
  <c r="AT223" i="178"/>
  <c r="AU223" i="178"/>
  <c r="BH222" i="178"/>
  <c r="BI222" i="178"/>
  <c r="AZ222" i="178"/>
  <c r="BA222" i="178"/>
  <c r="AR222" i="178"/>
  <c r="AS222" i="178"/>
  <c r="BN221" i="178"/>
  <c r="BO221" i="178"/>
  <c r="BG221" i="178"/>
  <c r="BF221" i="178"/>
  <c r="AY221" i="178"/>
  <c r="AX221" i="178"/>
  <c r="BL207" i="178"/>
  <c r="BM207" i="178"/>
  <c r="BD207" i="178"/>
  <c r="BE207" i="178"/>
  <c r="AV207" i="178"/>
  <c r="AW207" i="178"/>
  <c r="BB206" i="178"/>
  <c r="BC206" i="178"/>
  <c r="AT206" i="178"/>
  <c r="AU206" i="178"/>
  <c r="BH205" i="178"/>
  <c r="BI205" i="178"/>
  <c r="AZ205" i="178"/>
  <c r="BA205" i="178"/>
  <c r="AR205" i="178"/>
  <c r="AS205" i="178"/>
  <c r="BG204" i="178"/>
  <c r="BF204" i="178"/>
  <c r="BL203" i="178"/>
  <c r="AV203" i="178"/>
  <c r="BB202" i="178"/>
  <c r="BC202" i="178"/>
  <c r="AT202" i="178"/>
  <c r="AU202" i="178"/>
  <c r="BH201" i="178"/>
  <c r="BI201" i="178"/>
  <c r="AZ201" i="178"/>
  <c r="BA201" i="178"/>
  <c r="AR201" i="178"/>
  <c r="AS201" i="178"/>
  <c r="BN891" i="178"/>
  <c r="BO891" i="178"/>
  <c r="BG891" i="178"/>
  <c r="BF891" i="178"/>
  <c r="AY891" i="178"/>
  <c r="AX891" i="178"/>
  <c r="BB890" i="178"/>
  <c r="BC890" i="178"/>
  <c r="AT890" i="178"/>
  <c r="AU890" i="178"/>
  <c r="BA889" i="178"/>
  <c r="AZ889" i="178"/>
  <c r="BN888" i="178"/>
  <c r="BO888" i="178"/>
  <c r="BF888" i="178"/>
  <c r="BG888" i="178"/>
  <c r="BI432" i="178"/>
  <c r="BH432" i="178"/>
  <c r="BA432" i="178"/>
  <c r="AZ432" i="178"/>
  <c r="AS432" i="178"/>
  <c r="AR432" i="178"/>
  <c r="BN358" i="178"/>
  <c r="BO358" i="178"/>
  <c r="BF358" i="178"/>
  <c r="BG358" i="178"/>
  <c r="AX358" i="178"/>
  <c r="AY358" i="178"/>
  <c r="BL640" i="178"/>
  <c r="BM640" i="178"/>
  <c r="BD640" i="178"/>
  <c r="BE640" i="178"/>
  <c r="AV640" i="178"/>
  <c r="AW640" i="178"/>
  <c r="BB862" i="178"/>
  <c r="BC862" i="178"/>
  <c r="AT862" i="178"/>
  <c r="AU862" i="178"/>
  <c r="BI196" i="178"/>
  <c r="BH196" i="178"/>
  <c r="AS196" i="178"/>
  <c r="AR196" i="178"/>
  <c r="BN430" i="178"/>
  <c r="BO430" i="178"/>
  <c r="AX430" i="178"/>
  <c r="AY430" i="178"/>
  <c r="BL845" i="178"/>
  <c r="BM845" i="178"/>
  <c r="BD845" i="178"/>
  <c r="BE845" i="178"/>
  <c r="AV845" i="178"/>
  <c r="AW845" i="178"/>
  <c r="BB572" i="178"/>
  <c r="BC572" i="178"/>
  <c r="AT572" i="178"/>
  <c r="AU572" i="178"/>
  <c r="BI429" i="178"/>
  <c r="BH429" i="178"/>
  <c r="BA429" i="178"/>
  <c r="AZ429" i="178"/>
  <c r="AS429" i="178"/>
  <c r="AR429" i="178"/>
  <c r="BN842" i="178"/>
  <c r="BO842" i="178"/>
  <c r="BF842" i="178"/>
  <c r="BG842" i="178"/>
  <c r="AX842" i="178"/>
  <c r="AY842" i="178"/>
  <c r="BL570" i="178"/>
  <c r="BM570" i="178"/>
  <c r="BD570" i="178"/>
  <c r="BE570" i="178"/>
  <c r="AV570" i="178"/>
  <c r="AW570" i="178"/>
  <c r="BB841" i="178"/>
  <c r="BC841" i="178"/>
  <c r="AT841" i="178"/>
  <c r="AU841" i="178"/>
  <c r="BA334" i="178"/>
  <c r="AZ334" i="178"/>
  <c r="BN195" i="178"/>
  <c r="BO195" i="178"/>
  <c r="BF195" i="178"/>
  <c r="BG195" i="178"/>
  <c r="BL617" i="178"/>
  <c r="BM617" i="178"/>
  <c r="BD617" i="178"/>
  <c r="BE617" i="178"/>
  <c r="AV617" i="178"/>
  <c r="AW617" i="178"/>
  <c r="BB428" i="178"/>
  <c r="BC428" i="178"/>
  <c r="AT428" i="178"/>
  <c r="AU428" i="178"/>
  <c r="BI761" i="178"/>
  <c r="BH761" i="178"/>
  <c r="BA761" i="178"/>
  <c r="AZ761" i="178"/>
  <c r="AS761" i="178"/>
  <c r="AR761" i="178"/>
  <c r="BH760" i="178"/>
  <c r="BI760" i="178"/>
  <c r="AZ760" i="178"/>
  <c r="BA760" i="178"/>
  <c r="AR760" i="178"/>
  <c r="AS760" i="178"/>
  <c r="BH755" i="178"/>
  <c r="BI755" i="178"/>
  <c r="AZ755" i="178"/>
  <c r="BA755" i="178"/>
  <c r="AR755" i="178"/>
  <c r="AS755" i="178"/>
  <c r="BN754" i="178"/>
  <c r="BF754" i="178"/>
  <c r="AX754" i="178"/>
  <c r="V192" i="178"/>
  <c r="U192" i="178"/>
  <c r="BB615" i="178"/>
  <c r="BC615" i="178"/>
  <c r="AT615" i="178"/>
  <c r="AU615" i="178"/>
  <c r="BH825" i="178"/>
  <c r="BI825" i="178"/>
  <c r="AZ825" i="178"/>
  <c r="BA825" i="178"/>
  <c r="AR825" i="178"/>
  <c r="AS825" i="178"/>
  <c r="BH691" i="178"/>
  <c r="BI691" i="178"/>
  <c r="AZ691" i="178"/>
  <c r="BA691" i="178"/>
  <c r="AR691" i="178"/>
  <c r="AS691" i="178"/>
  <c r="V690" i="178"/>
  <c r="U690" i="178"/>
  <c r="BM680" i="178"/>
  <c r="BL680" i="178"/>
  <c r="BD680" i="178"/>
  <c r="BE680" i="178"/>
  <c r="AV680" i="178"/>
  <c r="AW680" i="178"/>
  <c r="BC676" i="178"/>
  <c r="BB676" i="178"/>
  <c r="AU676" i="178"/>
  <c r="AT676" i="178"/>
  <c r="BH613" i="178"/>
  <c r="AZ613" i="178"/>
  <c r="AR613" i="178"/>
  <c r="BC191" i="178"/>
  <c r="BB191" i="178"/>
  <c r="AU191" i="178"/>
  <c r="AT191" i="178"/>
  <c r="U730" i="178"/>
  <c r="BN425" i="178"/>
  <c r="BO425" i="178"/>
  <c r="AY425" i="178"/>
  <c r="AX425" i="178"/>
  <c r="BB639" i="178"/>
  <c r="BC639" i="178"/>
  <c r="AT639" i="178"/>
  <c r="AU639" i="178"/>
  <c r="BB638" i="178"/>
  <c r="BC638" i="178"/>
  <c r="AT638" i="178"/>
  <c r="AU638" i="178"/>
  <c r="U636" i="178"/>
  <c r="BB188" i="178"/>
  <c r="BC188" i="178"/>
  <c r="AT188" i="178"/>
  <c r="AU188" i="178"/>
  <c r="BI745" i="178"/>
  <c r="BH745" i="178"/>
  <c r="BA745" i="178"/>
  <c r="AZ745" i="178"/>
  <c r="AS745" i="178"/>
  <c r="AR745" i="178"/>
  <c r="BB744" i="178"/>
  <c r="BC744" i="178"/>
  <c r="AT744" i="178"/>
  <c r="AU744" i="178"/>
  <c r="U606" i="178"/>
  <c r="BN601" i="178"/>
  <c r="BO601" i="178"/>
  <c r="BF601" i="178"/>
  <c r="BG601" i="178"/>
  <c r="AX601" i="178"/>
  <c r="AY601" i="178"/>
  <c r="BL715" i="178"/>
  <c r="BB621" i="178"/>
  <c r="AS270" i="178"/>
  <c r="BM254" i="178"/>
  <c r="BC253" i="178"/>
  <c r="AT252" i="178"/>
  <c r="BN247" i="178"/>
  <c r="BD902" i="178"/>
  <c r="AU901" i="178"/>
  <c r="BI899" i="178"/>
  <c r="BE433" i="178"/>
  <c r="AR620" i="178"/>
  <c r="AW224" i="178"/>
  <c r="BG205" i="178"/>
  <c r="AY888" i="178"/>
  <c r="BI862" i="178"/>
  <c r="BA841" i="178"/>
  <c r="AU680" i="178"/>
  <c r="BH264" i="178"/>
  <c r="BI264" i="178"/>
  <c r="AZ264" i="178"/>
  <c r="BA264" i="178"/>
  <c r="AR264" i="178"/>
  <c r="AS264" i="178"/>
  <c r="BF263" i="178"/>
  <c r="BG263" i="178"/>
  <c r="AX263" i="178"/>
  <c r="AY263" i="178"/>
  <c r="BH252" i="178"/>
  <c r="BI252" i="178"/>
  <c r="AZ252" i="178"/>
  <c r="BA252" i="178"/>
  <c r="AR252" i="178"/>
  <c r="AS252" i="178"/>
  <c r="BO251" i="178"/>
  <c r="BN251" i="178"/>
  <c r="BF251" i="178"/>
  <c r="BG251" i="178"/>
  <c r="AX251" i="178"/>
  <c r="AY251" i="178"/>
  <c r="BL250" i="178"/>
  <c r="BM250" i="178"/>
  <c r="BE250" i="178"/>
  <c r="BD250" i="178"/>
  <c r="AW250" i="178"/>
  <c r="AV250" i="178"/>
  <c r="BB249" i="178"/>
  <c r="BC249" i="178"/>
  <c r="AT249" i="178"/>
  <c r="AU249" i="178"/>
  <c r="BH248" i="178"/>
  <c r="BI248" i="178"/>
  <c r="AZ248" i="178"/>
  <c r="BA248" i="178"/>
  <c r="AR248" i="178"/>
  <c r="AS248" i="178"/>
  <c r="BF247" i="178"/>
  <c r="BG247" i="178"/>
  <c r="AX247" i="178"/>
  <c r="AY247" i="178"/>
  <c r="BH900" i="178"/>
  <c r="BI900" i="178"/>
  <c r="AZ900" i="178"/>
  <c r="BA900" i="178"/>
  <c r="AR900" i="178"/>
  <c r="AS900" i="178"/>
  <c r="BO899" i="178"/>
  <c r="BN899" i="178"/>
  <c r="BF899" i="178"/>
  <c r="BG899" i="178"/>
  <c r="AX899" i="178"/>
  <c r="AY899" i="178"/>
  <c r="BL898" i="178"/>
  <c r="BM898" i="178"/>
  <c r="BD898" i="178"/>
  <c r="BE898" i="178"/>
  <c r="AV898" i="178"/>
  <c r="AW898" i="178"/>
  <c r="BB433" i="178"/>
  <c r="BC433" i="178"/>
  <c r="AT433" i="178"/>
  <c r="AU433" i="178"/>
  <c r="BI434" i="178"/>
  <c r="BH434" i="178"/>
  <c r="BA434" i="178"/>
  <c r="AZ434" i="178"/>
  <c r="AS434" i="178"/>
  <c r="AR434" i="178"/>
  <c r="BN641" i="178"/>
  <c r="BO641" i="178"/>
  <c r="BF641" i="178"/>
  <c r="BG641" i="178"/>
  <c r="AX641" i="178"/>
  <c r="AY641" i="178"/>
  <c r="BL870" i="178"/>
  <c r="BM870" i="178"/>
  <c r="BD870" i="178"/>
  <c r="BE870" i="178"/>
  <c r="AV870" i="178"/>
  <c r="AW870" i="178"/>
  <c r="BB674" i="178"/>
  <c r="BC674" i="178"/>
  <c r="AT674" i="178"/>
  <c r="AU674" i="178"/>
  <c r="BA620" i="178"/>
  <c r="AZ620" i="178"/>
  <c r="BN226" i="178"/>
  <c r="BO226" i="178"/>
  <c r="BF226" i="178"/>
  <c r="BG226" i="178"/>
  <c r="BL225" i="178"/>
  <c r="BM225" i="178"/>
  <c r="BD225" i="178"/>
  <c r="BE225" i="178"/>
  <c r="AV225" i="178"/>
  <c r="AW225" i="178"/>
  <c r="BB224" i="178"/>
  <c r="BC224" i="178"/>
  <c r="AT224" i="178"/>
  <c r="AU224" i="178"/>
  <c r="BI223" i="178"/>
  <c r="BH223" i="178"/>
  <c r="BA223" i="178"/>
  <c r="AZ223" i="178"/>
  <c r="AS223" i="178"/>
  <c r="AR223" i="178"/>
  <c r="BN222" i="178"/>
  <c r="BO222" i="178"/>
  <c r="BF222" i="178"/>
  <c r="BG222" i="178"/>
  <c r="AX222" i="178"/>
  <c r="AY222" i="178"/>
  <c r="BL221" i="178"/>
  <c r="BM221" i="178"/>
  <c r="BD221" i="178"/>
  <c r="BE221" i="178"/>
  <c r="AV221" i="178"/>
  <c r="AW221" i="178"/>
  <c r="BB207" i="178"/>
  <c r="BC207" i="178"/>
  <c r="AT207" i="178"/>
  <c r="AU207" i="178"/>
  <c r="BI206" i="178"/>
  <c r="BH206" i="178"/>
  <c r="AS206" i="178"/>
  <c r="AR206" i="178"/>
  <c r="BN205" i="178"/>
  <c r="BO205" i="178"/>
  <c r="AX205" i="178"/>
  <c r="AY205" i="178"/>
  <c r="BL204" i="178"/>
  <c r="BM204" i="178"/>
  <c r="BD204" i="178"/>
  <c r="BE204" i="178"/>
  <c r="AV204" i="178"/>
  <c r="AW204" i="178"/>
  <c r="BB203" i="178"/>
  <c r="AT203" i="178"/>
  <c r="BI202" i="178"/>
  <c r="BH202" i="178"/>
  <c r="BA202" i="178"/>
  <c r="AZ202" i="178"/>
  <c r="AS202" i="178"/>
  <c r="AR202" i="178"/>
  <c r="BN201" i="178"/>
  <c r="BO201" i="178"/>
  <c r="BF201" i="178"/>
  <c r="BG201" i="178"/>
  <c r="AX201" i="178"/>
  <c r="AY201" i="178"/>
  <c r="BL891" i="178"/>
  <c r="BM891" i="178"/>
  <c r="BD891" i="178"/>
  <c r="BE891" i="178"/>
  <c r="AV891" i="178"/>
  <c r="AW891" i="178"/>
  <c r="BH890" i="178"/>
  <c r="BI890" i="178"/>
  <c r="AR890" i="178"/>
  <c r="AS890" i="178"/>
  <c r="BN889" i="178"/>
  <c r="BO889" i="178"/>
  <c r="BF889" i="178"/>
  <c r="BG889" i="178"/>
  <c r="AX889" i="178"/>
  <c r="AY889" i="178"/>
  <c r="BM888" i="178"/>
  <c r="BL888" i="178"/>
  <c r="BD888" i="178"/>
  <c r="BE888" i="178"/>
  <c r="AV888" i="178"/>
  <c r="AW888" i="178"/>
  <c r="BN432" i="178"/>
  <c r="BO432" i="178"/>
  <c r="BF432" i="178"/>
  <c r="BG432" i="178"/>
  <c r="AX432" i="178"/>
  <c r="AY432" i="178"/>
  <c r="BD358" i="178"/>
  <c r="BE358" i="178"/>
  <c r="AV358" i="178"/>
  <c r="AW358" i="178"/>
  <c r="AU640" i="178"/>
  <c r="AT640" i="178"/>
  <c r="AZ862" i="178"/>
  <c r="BA862" i="178"/>
  <c r="BN196" i="178"/>
  <c r="BO196" i="178"/>
  <c r="BF196" i="178"/>
  <c r="BG196" i="178"/>
  <c r="AX196" i="178"/>
  <c r="AY196" i="178"/>
  <c r="BM430" i="178"/>
  <c r="BL430" i="178"/>
  <c r="BD430" i="178"/>
  <c r="BE430" i="178"/>
  <c r="AV430" i="178"/>
  <c r="AW430" i="178"/>
  <c r="BC845" i="178"/>
  <c r="BB845" i="178"/>
  <c r="AU845" i="178"/>
  <c r="AT845" i="178"/>
  <c r="BH572" i="178"/>
  <c r="BI572" i="178"/>
  <c r="AZ572" i="178"/>
  <c r="BA572" i="178"/>
  <c r="AR572" i="178"/>
  <c r="AS572" i="178"/>
  <c r="BN429" i="178"/>
  <c r="BO429" i="178"/>
  <c r="BF429" i="178"/>
  <c r="BG429" i="178"/>
  <c r="AX429" i="178"/>
  <c r="AY429" i="178"/>
  <c r="BM842" i="178"/>
  <c r="BL842" i="178"/>
  <c r="BD842" i="178"/>
  <c r="BE842" i="178"/>
  <c r="AV842" i="178"/>
  <c r="AW842" i="178"/>
  <c r="BC570" i="178"/>
  <c r="BB570" i="178"/>
  <c r="BH841" i="178"/>
  <c r="BI841" i="178"/>
  <c r="AR841" i="178"/>
  <c r="AS841" i="178"/>
  <c r="BN334" i="178"/>
  <c r="BO334" i="178"/>
  <c r="BF334" i="178"/>
  <c r="BG334" i="178"/>
  <c r="AX334" i="178"/>
  <c r="AY334" i="178"/>
  <c r="BM195" i="178"/>
  <c r="BL195" i="178"/>
  <c r="BD195" i="178"/>
  <c r="BE195" i="178"/>
  <c r="AV195" i="178"/>
  <c r="AW195" i="178"/>
  <c r="BC617" i="178"/>
  <c r="BB617" i="178"/>
  <c r="AU617" i="178"/>
  <c r="AT617" i="178"/>
  <c r="BH428" i="178"/>
  <c r="BI428" i="178"/>
  <c r="AZ428" i="178"/>
  <c r="BA428" i="178"/>
  <c r="AR428" i="178"/>
  <c r="AS428" i="178"/>
  <c r="BN761" i="178"/>
  <c r="BO761" i="178"/>
  <c r="BF761" i="178"/>
  <c r="BG761" i="178"/>
  <c r="AX761" i="178"/>
  <c r="AY761" i="178"/>
  <c r="BN760" i="178"/>
  <c r="BO760" i="178"/>
  <c r="BF760" i="178"/>
  <c r="BG760" i="178"/>
  <c r="AX760" i="178"/>
  <c r="AY760" i="178"/>
  <c r="BO755" i="178"/>
  <c r="BN755" i="178"/>
  <c r="V754" i="178"/>
  <c r="U754" i="178"/>
  <c r="BC192" i="178"/>
  <c r="BB192" i="178"/>
  <c r="BA427" i="178"/>
  <c r="AZ427" i="178"/>
  <c r="AS427" i="178"/>
  <c r="AR427" i="178"/>
  <c r="BH615" i="178"/>
  <c r="BI615" i="178"/>
  <c r="AZ615" i="178"/>
  <c r="BA615" i="178"/>
  <c r="AR615" i="178"/>
  <c r="AS615" i="178"/>
  <c r="BN825" i="178"/>
  <c r="BO825" i="178"/>
  <c r="BG825" i="178"/>
  <c r="BF825" i="178"/>
  <c r="AY825" i="178"/>
  <c r="AX825" i="178"/>
  <c r="BB680" i="178"/>
  <c r="BC680" i="178"/>
  <c r="V733" i="178"/>
  <c r="U733" i="178"/>
  <c r="BL426" i="178"/>
  <c r="BM426" i="178"/>
  <c r="BE426" i="178"/>
  <c r="BD426" i="178"/>
  <c r="BN613" i="178"/>
  <c r="BF613" i="178"/>
  <c r="AX613" i="178"/>
  <c r="BH191" i="178"/>
  <c r="BI191" i="178"/>
  <c r="AZ191" i="178"/>
  <c r="BA191" i="178"/>
  <c r="AR191" i="178"/>
  <c r="AS191" i="178"/>
  <c r="V731" i="178"/>
  <c r="U731" i="178"/>
  <c r="BM730" i="178"/>
  <c r="BL730" i="178"/>
  <c r="BD730" i="178"/>
  <c r="BE730" i="178"/>
  <c r="AV730" i="178"/>
  <c r="AW730" i="178"/>
  <c r="BL425" i="178"/>
  <c r="BM425" i="178"/>
  <c r="BD425" i="178"/>
  <c r="BE425" i="178"/>
  <c r="AV425" i="178"/>
  <c r="AW425" i="178"/>
  <c r="BH639" i="178"/>
  <c r="BI639" i="178"/>
  <c r="AZ639" i="178"/>
  <c r="BA639" i="178"/>
  <c r="AR639" i="178"/>
  <c r="AS639" i="178"/>
  <c r="V602" i="178"/>
  <c r="U602" i="178"/>
  <c r="BL187" i="178"/>
  <c r="BM187" i="178"/>
  <c r="BD187" i="178"/>
  <c r="BE187" i="178"/>
  <c r="AV187" i="178"/>
  <c r="AW187" i="178"/>
  <c r="BN745" i="178"/>
  <c r="BO745" i="178"/>
  <c r="BF745" i="178"/>
  <c r="BG745" i="178"/>
  <c r="AX745" i="178"/>
  <c r="AY745" i="178"/>
  <c r="BH744" i="178"/>
  <c r="BI744" i="178"/>
  <c r="AZ744" i="178"/>
  <c r="BA744" i="178"/>
  <c r="AR744" i="178"/>
  <c r="AS744" i="178"/>
  <c r="V418" i="178"/>
  <c r="U418" i="178"/>
  <c r="BL606" i="178"/>
  <c r="BM606" i="178"/>
  <c r="BE606" i="178"/>
  <c r="BD606" i="178"/>
  <c r="AW606" i="178"/>
  <c r="AV606" i="178"/>
  <c r="BM601" i="178"/>
  <c r="BL601" i="178"/>
  <c r="BD601" i="178"/>
  <c r="BE601" i="178"/>
  <c r="AV601" i="178"/>
  <c r="AW601" i="178"/>
  <c r="BG499" i="178"/>
  <c r="AT621" i="178"/>
  <c r="BN263" i="178"/>
  <c r="BD254" i="178"/>
  <c r="AU253" i="178"/>
  <c r="BI251" i="178"/>
  <c r="AV902" i="178"/>
  <c r="BA899" i="178"/>
  <c r="AY226" i="178"/>
  <c r="BO204" i="178"/>
  <c r="BA890" i="178"/>
  <c r="BL358" i="178"/>
  <c r="AS862" i="178"/>
  <c r="BH334" i="178"/>
  <c r="AT192" i="178"/>
  <c r="BF425" i="178"/>
  <c r="BF755" i="178"/>
  <c r="BG755" i="178"/>
  <c r="AX755" i="178"/>
  <c r="AY755" i="178"/>
  <c r="BD754" i="178"/>
  <c r="BL192" i="178"/>
  <c r="BM192" i="178"/>
  <c r="BD192" i="178"/>
  <c r="BE192" i="178"/>
  <c r="AV192" i="178"/>
  <c r="AW192" i="178"/>
  <c r="BL427" i="178"/>
  <c r="BM427" i="178"/>
  <c r="BE427" i="178"/>
  <c r="BD427" i="178"/>
  <c r="AW427" i="178"/>
  <c r="AV427" i="178"/>
  <c r="U427" i="178"/>
  <c r="BF615" i="178"/>
  <c r="BG615" i="178"/>
  <c r="BL825" i="178"/>
  <c r="BM825" i="178"/>
  <c r="AV825" i="178"/>
  <c r="AW825" i="178"/>
  <c r="U825" i="178"/>
  <c r="BF691" i="178"/>
  <c r="BG691" i="178"/>
  <c r="AX691" i="178"/>
  <c r="AY691" i="178"/>
  <c r="BN690" i="178"/>
  <c r="BO690" i="178"/>
  <c r="BF690" i="178"/>
  <c r="BG690" i="178"/>
  <c r="AX690" i="178"/>
  <c r="AY690" i="178"/>
  <c r="BH680" i="178"/>
  <c r="BI680" i="178"/>
  <c r="AZ680" i="178"/>
  <c r="BA680" i="178"/>
  <c r="AR680" i="178"/>
  <c r="AS680" i="178"/>
  <c r="BH676" i="178"/>
  <c r="BI676" i="178"/>
  <c r="AR676" i="178"/>
  <c r="AS676" i="178"/>
  <c r="BB648" i="178"/>
  <c r="BC648" i="178"/>
  <c r="AT648" i="178"/>
  <c r="AU648" i="178"/>
  <c r="BB614" i="178"/>
  <c r="BC614" i="178"/>
  <c r="AT614" i="178"/>
  <c r="AU614" i="178"/>
  <c r="BM734" i="178"/>
  <c r="BL734" i="178"/>
  <c r="BD734" i="178"/>
  <c r="BE734" i="178"/>
  <c r="AV734" i="178"/>
  <c r="AW734" i="178"/>
  <c r="BO733" i="178"/>
  <c r="BN733" i="178"/>
  <c r="BF733" i="178"/>
  <c r="BG733" i="178"/>
  <c r="AX733" i="178"/>
  <c r="AY733" i="178"/>
  <c r="BI426" i="178"/>
  <c r="BH426" i="178"/>
  <c r="BA426" i="178"/>
  <c r="AZ426" i="178"/>
  <c r="AS426" i="178"/>
  <c r="AR426" i="178"/>
  <c r="BL613" i="178"/>
  <c r="BD613" i="178"/>
  <c r="AV613" i="178"/>
  <c r="BN191" i="178"/>
  <c r="BO191" i="178"/>
  <c r="BG191" i="178"/>
  <c r="BF191" i="178"/>
  <c r="AY191" i="178"/>
  <c r="AX191" i="178"/>
  <c r="BB732" i="178"/>
  <c r="BC732" i="178"/>
  <c r="AT732" i="178"/>
  <c r="AU732" i="178"/>
  <c r="BL731" i="178"/>
  <c r="BM731" i="178"/>
  <c r="BE731" i="178"/>
  <c r="BD731" i="178"/>
  <c r="AW731" i="178"/>
  <c r="AV731" i="178"/>
  <c r="BH730" i="178"/>
  <c r="BI730" i="178"/>
  <c r="AZ730" i="178"/>
  <c r="BA730" i="178"/>
  <c r="AR730" i="178"/>
  <c r="AS730" i="178"/>
  <c r="BC425" i="178"/>
  <c r="BB425" i="178"/>
  <c r="AU425" i="178"/>
  <c r="AT425" i="178"/>
  <c r="BF639" i="178"/>
  <c r="BG639" i="178"/>
  <c r="AX639" i="178"/>
  <c r="AY639" i="178"/>
  <c r="BH638" i="178"/>
  <c r="BI638" i="178"/>
  <c r="AZ638" i="178"/>
  <c r="BA638" i="178"/>
  <c r="AR638" i="178"/>
  <c r="AS638" i="178"/>
  <c r="BE637" i="178"/>
  <c r="BD637" i="178"/>
  <c r="AW637" i="178"/>
  <c r="AV637" i="178"/>
  <c r="BN636" i="178"/>
  <c r="BO636" i="178"/>
  <c r="BF636" i="178"/>
  <c r="BG636" i="178"/>
  <c r="AX636" i="178"/>
  <c r="AY636" i="178"/>
  <c r="BI188" i="178"/>
  <c r="BH188" i="178"/>
  <c r="BA188" i="178"/>
  <c r="AZ188" i="178"/>
  <c r="AS188" i="178"/>
  <c r="AR188" i="178"/>
  <c r="BB727" i="178"/>
  <c r="BC727" i="178"/>
  <c r="BN602" i="178"/>
  <c r="BO602" i="178"/>
  <c r="BG602" i="178"/>
  <c r="BF602" i="178"/>
  <c r="AY602" i="178"/>
  <c r="AX602" i="178"/>
  <c r="BH187" i="178"/>
  <c r="BI187" i="178"/>
  <c r="AZ187" i="178"/>
  <c r="BA187" i="178"/>
  <c r="AR187" i="178"/>
  <c r="AS187" i="178"/>
  <c r="BL745" i="178"/>
  <c r="BM745" i="178"/>
  <c r="AW745" i="178"/>
  <c r="AV745" i="178"/>
  <c r="BN744" i="178"/>
  <c r="BO744" i="178"/>
  <c r="BF744" i="178"/>
  <c r="BG744" i="178"/>
  <c r="AX744" i="178"/>
  <c r="AY744" i="178"/>
  <c r="BB742" i="178"/>
  <c r="AT742" i="178"/>
  <c r="BL418" i="178"/>
  <c r="BM418" i="178"/>
  <c r="AV418" i="178"/>
  <c r="AW418" i="178"/>
  <c r="BI606" i="178"/>
  <c r="BH606" i="178"/>
  <c r="BA606" i="178"/>
  <c r="AZ606" i="178"/>
  <c r="AS606" i="178"/>
  <c r="AR606" i="178"/>
  <c r="BB601" i="178"/>
  <c r="BC601" i="178"/>
  <c r="AT601" i="178"/>
  <c r="AU601" i="178"/>
  <c r="AV754" i="178"/>
  <c r="AW691" i="178"/>
  <c r="AS648" i="178"/>
  <c r="AY730" i="178"/>
  <c r="BN639" i="178"/>
  <c r="BM637" i="178"/>
  <c r="BB427" i="178"/>
  <c r="BC427" i="178"/>
  <c r="AT427" i="178"/>
  <c r="AU427" i="178"/>
  <c r="BM615" i="178"/>
  <c r="BL615" i="178"/>
  <c r="BD615" i="178"/>
  <c r="BE615" i="178"/>
  <c r="AV615" i="178"/>
  <c r="AW615" i="178"/>
  <c r="BC825" i="178"/>
  <c r="BB825" i="178"/>
  <c r="AU825" i="178"/>
  <c r="AT825" i="178"/>
  <c r="BD691" i="178"/>
  <c r="BE691" i="178"/>
  <c r="BL690" i="178"/>
  <c r="BM690" i="178"/>
  <c r="AW690" i="178"/>
  <c r="AV690" i="178"/>
  <c r="BN680" i="178"/>
  <c r="BO680" i="178"/>
  <c r="BF680" i="178"/>
  <c r="BG680" i="178"/>
  <c r="AX680" i="178"/>
  <c r="AY680" i="178"/>
  <c r="BN676" i="178"/>
  <c r="BO676" i="178"/>
  <c r="BG676" i="178"/>
  <c r="BF676" i="178"/>
  <c r="AY676" i="178"/>
  <c r="AX676" i="178"/>
  <c r="AZ648" i="178"/>
  <c r="BA648" i="178"/>
  <c r="BI614" i="178"/>
  <c r="BH614" i="178"/>
  <c r="AS614" i="178"/>
  <c r="AR614" i="178"/>
  <c r="BB734" i="178"/>
  <c r="BC734" i="178"/>
  <c r="AT734" i="178"/>
  <c r="AU734" i="178"/>
  <c r="BL733" i="178"/>
  <c r="BM733" i="178"/>
  <c r="AV733" i="178"/>
  <c r="AW733" i="178"/>
  <c r="BN426" i="178"/>
  <c r="BO426" i="178"/>
  <c r="BF426" i="178"/>
  <c r="BG426" i="178"/>
  <c r="AX426" i="178"/>
  <c r="AY426" i="178"/>
  <c r="AT613" i="178"/>
  <c r="BL191" i="178"/>
  <c r="BM191" i="178"/>
  <c r="BD191" i="178"/>
  <c r="BE191" i="178"/>
  <c r="AV191" i="178"/>
  <c r="AW191" i="178"/>
  <c r="BH732" i="178"/>
  <c r="BI732" i="178"/>
  <c r="AR732" i="178"/>
  <c r="AS732" i="178"/>
  <c r="BB731" i="178"/>
  <c r="BC731" i="178"/>
  <c r="AT731" i="178"/>
  <c r="AU731" i="178"/>
  <c r="BF730" i="178"/>
  <c r="BG730" i="178"/>
  <c r="BH425" i="178"/>
  <c r="BI425" i="178"/>
  <c r="AZ425" i="178"/>
  <c r="BA425" i="178"/>
  <c r="AR425" i="178"/>
  <c r="AS425" i="178"/>
  <c r="BD639" i="178"/>
  <c r="BE639" i="178"/>
  <c r="BN638" i="178"/>
  <c r="BO638" i="178"/>
  <c r="BF638" i="178"/>
  <c r="BG638" i="178"/>
  <c r="AX638" i="178"/>
  <c r="AY638" i="178"/>
  <c r="BB637" i="178"/>
  <c r="BC637" i="178"/>
  <c r="AT637" i="178"/>
  <c r="AU637" i="178"/>
  <c r="BM636" i="178"/>
  <c r="BL636" i="178"/>
  <c r="BD636" i="178"/>
  <c r="BE636" i="178"/>
  <c r="AV636" i="178"/>
  <c r="AW636" i="178"/>
  <c r="BN188" i="178"/>
  <c r="BO188" i="178"/>
  <c r="BF188" i="178"/>
  <c r="BG188" i="178"/>
  <c r="AX188" i="178"/>
  <c r="AY188" i="178"/>
  <c r="BH727" i="178"/>
  <c r="BI727" i="178"/>
  <c r="AZ727" i="178"/>
  <c r="BA727" i="178"/>
  <c r="AR727" i="178"/>
  <c r="AS727" i="178"/>
  <c r="BL602" i="178"/>
  <c r="BM602" i="178"/>
  <c r="BD602" i="178"/>
  <c r="BE602" i="178"/>
  <c r="AV602" i="178"/>
  <c r="AW602" i="178"/>
  <c r="BO187" i="178"/>
  <c r="BN187" i="178"/>
  <c r="BF187" i="178"/>
  <c r="BG187" i="178"/>
  <c r="AX187" i="178"/>
  <c r="AY187" i="178"/>
  <c r="BB745" i="178"/>
  <c r="BC745" i="178"/>
  <c r="AT745" i="178"/>
  <c r="AU745" i="178"/>
  <c r="BM744" i="178"/>
  <c r="BL744" i="178"/>
  <c r="BD744" i="178"/>
  <c r="BE744" i="178"/>
  <c r="AV744" i="178"/>
  <c r="AW744" i="178"/>
  <c r="BH742" i="178"/>
  <c r="AZ742" i="178"/>
  <c r="AR742" i="178"/>
  <c r="BB418" i="178"/>
  <c r="BC418" i="178"/>
  <c r="AT418" i="178"/>
  <c r="AU418" i="178"/>
  <c r="BN606" i="178"/>
  <c r="BO606" i="178"/>
  <c r="BF606" i="178"/>
  <c r="BG606" i="178"/>
  <c r="AX606" i="178"/>
  <c r="AY606" i="178"/>
  <c r="BH601" i="178"/>
  <c r="BI601" i="178"/>
  <c r="AZ601" i="178"/>
  <c r="BA601" i="178"/>
  <c r="AR601" i="178"/>
  <c r="AS601" i="178"/>
  <c r="BO615" i="178"/>
  <c r="BE825" i="178"/>
  <c r="BA676" i="178"/>
  <c r="BM639" i="178"/>
  <c r="AU727" i="178"/>
  <c r="BE418" i="178"/>
  <c r="U621" i="178"/>
  <c r="V621" i="178"/>
  <c r="U264" i="178"/>
  <c r="V264" i="178"/>
  <c r="U252" i="178"/>
  <c r="V252" i="178"/>
  <c r="U248" i="178"/>
  <c r="V248" i="178"/>
  <c r="U900" i="178"/>
  <c r="V900" i="178"/>
  <c r="U434" i="178"/>
  <c r="V434" i="178"/>
  <c r="U620" i="178"/>
  <c r="V620" i="178"/>
  <c r="U223" i="178"/>
  <c r="V223" i="178"/>
  <c r="U206" i="178"/>
  <c r="V206" i="178"/>
  <c r="U202" i="178"/>
  <c r="V202" i="178"/>
  <c r="V680" i="178"/>
  <c r="U680" i="178"/>
  <c r="U265" i="178"/>
  <c r="V265" i="178"/>
  <c r="U253" i="178"/>
  <c r="V253" i="178"/>
  <c r="U249" i="178"/>
  <c r="V249" i="178"/>
  <c r="U901" i="178"/>
  <c r="V901" i="178"/>
  <c r="U433" i="178"/>
  <c r="V433" i="178"/>
  <c r="U674" i="178"/>
  <c r="V674" i="178"/>
  <c r="U224" i="178"/>
  <c r="V224" i="178"/>
  <c r="U207" i="178"/>
  <c r="V207" i="178"/>
  <c r="U203" i="178"/>
  <c r="V203" i="178"/>
  <c r="V349" i="178"/>
  <c r="V344" i="178"/>
  <c r="V26" i="178"/>
  <c r="V488" i="178"/>
  <c r="U266" i="178"/>
  <c r="V266" i="178"/>
  <c r="U254" i="178"/>
  <c r="V254" i="178"/>
  <c r="U250" i="178"/>
  <c r="V250" i="178"/>
  <c r="U902" i="178"/>
  <c r="V902" i="178"/>
  <c r="U898" i="178"/>
  <c r="V898" i="178"/>
  <c r="U870" i="178"/>
  <c r="V870" i="178"/>
  <c r="U225" i="178"/>
  <c r="V225" i="178"/>
  <c r="U221" i="178"/>
  <c r="V221" i="178"/>
  <c r="U204" i="178"/>
  <c r="V204" i="178"/>
  <c r="U270" i="178"/>
  <c r="V270" i="178"/>
  <c r="U263" i="178"/>
  <c r="V263" i="178"/>
  <c r="U251" i="178"/>
  <c r="V251" i="178"/>
  <c r="U247" i="178"/>
  <c r="V247" i="178"/>
  <c r="U899" i="178"/>
  <c r="V899" i="178"/>
  <c r="U641" i="178"/>
  <c r="V641" i="178"/>
  <c r="U226" i="178"/>
  <c r="V226" i="178"/>
  <c r="U222" i="178"/>
  <c r="V222" i="178"/>
  <c r="U205" i="178"/>
  <c r="V205" i="178"/>
  <c r="U201" i="178"/>
  <c r="V201" i="178"/>
  <c r="V891" i="178"/>
  <c r="V648" i="178"/>
  <c r="U648" i="178"/>
  <c r="U890" i="178"/>
  <c r="V890" i="178"/>
  <c r="U889" i="178"/>
  <c r="V889" i="178"/>
  <c r="U888" i="178"/>
  <c r="V888" i="178"/>
  <c r="U432" i="178"/>
  <c r="V432" i="178"/>
  <c r="U358" i="178"/>
  <c r="V358" i="178"/>
  <c r="U640" i="178"/>
  <c r="V640" i="178"/>
  <c r="U862" i="178"/>
  <c r="V862" i="178"/>
  <c r="U196" i="178"/>
  <c r="V196" i="178"/>
  <c r="U430" i="178"/>
  <c r="V430" i="178"/>
  <c r="U845" i="178"/>
  <c r="V845" i="178"/>
  <c r="U572" i="178"/>
  <c r="V572" i="178"/>
  <c r="U429" i="178"/>
  <c r="V429" i="178"/>
  <c r="U842" i="178"/>
  <c r="V842" i="178"/>
  <c r="U570" i="178"/>
  <c r="V570" i="178"/>
  <c r="U841" i="178"/>
  <c r="V841" i="178"/>
  <c r="V760" i="178"/>
  <c r="U760" i="178"/>
  <c r="V755" i="178"/>
  <c r="U755" i="178"/>
  <c r="V615" i="178"/>
  <c r="U615" i="178"/>
  <c r="V734" i="178"/>
  <c r="U734" i="178"/>
  <c r="V691" i="178"/>
  <c r="U691" i="178"/>
  <c r="V334" i="178"/>
  <c r="V195" i="178"/>
  <c r="V617" i="178"/>
  <c r="V428" i="178"/>
  <c r="BH451" i="178"/>
  <c r="BI451" i="178"/>
  <c r="BH655" i="178"/>
  <c r="BI655" i="178"/>
  <c r="BH650" i="178"/>
  <c r="BI650" i="178"/>
  <c r="BA633" i="178"/>
  <c r="AZ633" i="178"/>
  <c r="BH422" i="178"/>
  <c r="BI422" i="178"/>
  <c r="BH785" i="178"/>
  <c r="BI785" i="178"/>
  <c r="BH783" i="178"/>
  <c r="BI783" i="178"/>
  <c r="AZ628" i="178"/>
  <c r="BA628" i="178"/>
  <c r="AS627" i="178"/>
  <c r="AR627" i="178"/>
  <c r="AR417" i="178"/>
  <c r="AS417" i="178"/>
  <c r="BH626" i="178"/>
  <c r="BI626" i="178"/>
  <c r="AS407" i="178"/>
  <c r="AR407" i="178"/>
  <c r="AW415" i="178"/>
  <c r="AV415" i="178"/>
  <c r="AW831" i="178"/>
  <c r="AV831" i="178"/>
  <c r="AX597" i="178"/>
  <c r="AY597" i="178"/>
  <c r="BH397" i="178"/>
  <c r="BI397" i="178"/>
  <c r="BA595" i="178"/>
  <c r="AZ595" i="178"/>
  <c r="BH395" i="178"/>
  <c r="BI395" i="178"/>
  <c r="AZ159" i="178"/>
  <c r="BA159" i="178"/>
  <c r="AS148" i="178"/>
  <c r="AR148" i="178"/>
  <c r="AR146" i="178"/>
  <c r="AS146" i="178"/>
  <c r="BH710" i="178"/>
  <c r="BI710" i="178"/>
  <c r="BB709" i="178"/>
  <c r="BC709" i="178"/>
  <c r="BM669" i="178"/>
  <c r="BL669" i="178"/>
  <c r="AR914" i="178"/>
  <c r="AS914" i="178"/>
  <c r="AZ506" i="178"/>
  <c r="BA506" i="178"/>
  <c r="BH662" i="178"/>
  <c r="BI662" i="178"/>
  <c r="AT472" i="178"/>
  <c r="AU472" i="178"/>
  <c r="AZ471" i="178"/>
  <c r="BA471" i="178"/>
  <c r="AY123" i="178"/>
  <c r="AX123" i="178"/>
  <c r="BD122" i="178"/>
  <c r="BE122" i="178"/>
  <c r="AY97" i="178"/>
  <c r="AX97" i="178"/>
  <c r="BD912" i="178"/>
  <c r="BE912" i="178"/>
  <c r="BN661" i="178"/>
  <c r="BO661" i="178"/>
  <c r="BF661" i="178"/>
  <c r="BG661" i="178"/>
  <c r="AX661" i="178"/>
  <c r="AY661" i="178"/>
  <c r="BM96" i="178"/>
  <c r="BL96" i="178"/>
  <c r="BD96" i="178"/>
  <c r="BE96" i="178"/>
  <c r="AV96" i="178"/>
  <c r="AW96" i="178"/>
  <c r="BC95" i="178"/>
  <c r="BB95" i="178"/>
  <c r="AU95" i="178"/>
  <c r="AT95" i="178"/>
  <c r="BH93" i="178"/>
  <c r="BI93" i="178"/>
  <c r="AZ93" i="178"/>
  <c r="BA93" i="178"/>
  <c r="AR93" i="178"/>
  <c r="AS93" i="178"/>
  <c r="BN706" i="178"/>
  <c r="BO706" i="178"/>
  <c r="BF706" i="178"/>
  <c r="BG706" i="178"/>
  <c r="AX706" i="178"/>
  <c r="AY706" i="178"/>
  <c r="BM92" i="178"/>
  <c r="BL92" i="178"/>
  <c r="BD92" i="178"/>
  <c r="BE92" i="178"/>
  <c r="AV92" i="178"/>
  <c r="AW92" i="178"/>
  <c r="BL458" i="178"/>
  <c r="BD458" i="178"/>
  <c r="AV458" i="178"/>
  <c r="BB456" i="178"/>
  <c r="BC456" i="178"/>
  <c r="AT456" i="178"/>
  <c r="AU456" i="178"/>
  <c r="BB455" i="178"/>
  <c r="AT455" i="178"/>
  <c r="BN962" i="178"/>
  <c r="AT962" i="178"/>
  <c r="AX962" i="178"/>
  <c r="BB962" i="178"/>
  <c r="BF962" i="178"/>
  <c r="BJ962" i="178"/>
  <c r="BL962" i="178"/>
  <c r="AV962" i="178"/>
  <c r="AZ962" i="178"/>
  <c r="BD962" i="178"/>
  <c r="BH962" i="178"/>
  <c r="AR962" i="178"/>
  <c r="AR961" i="178"/>
  <c r="AV961" i="178"/>
  <c r="AZ961" i="178"/>
  <c r="BD961" i="178"/>
  <c r="BH961" i="178"/>
  <c r="BN961" i="178"/>
  <c r="AT961" i="178"/>
  <c r="AX961" i="178"/>
  <c r="BB961" i="178"/>
  <c r="BF961" i="178"/>
  <c r="BJ961" i="178"/>
  <c r="BL961" i="178"/>
  <c r="AT944" i="178"/>
  <c r="AX944" i="178"/>
  <c r="BB944" i="178"/>
  <c r="BF944" i="178"/>
  <c r="BJ944" i="178"/>
  <c r="BL944" i="178"/>
  <c r="AR944" i="178"/>
  <c r="AV944" i="178"/>
  <c r="AZ944" i="178"/>
  <c r="BD944" i="178"/>
  <c r="BH944" i="178"/>
  <c r="BN944" i="178"/>
  <c r="AT943" i="178"/>
  <c r="AX943" i="178"/>
  <c r="BB943" i="178"/>
  <c r="BF943" i="178"/>
  <c r="BJ943" i="178"/>
  <c r="BN943" i="178"/>
  <c r="AR943" i="178"/>
  <c r="AZ943" i="178"/>
  <c r="BH943" i="178"/>
  <c r="BL943" i="178"/>
  <c r="BD943" i="178"/>
  <c r="AV943" i="178"/>
  <c r="AR942" i="178"/>
  <c r="AV942" i="178"/>
  <c r="AZ942" i="178"/>
  <c r="BD942" i="178"/>
  <c r="BH942" i="178"/>
  <c r="BN942" i="178"/>
  <c r="AX942" i="178"/>
  <c r="BF942" i="178"/>
  <c r="AT942" i="178"/>
  <c r="BB942" i="178"/>
  <c r="BJ942" i="178"/>
  <c r="BL942" i="178"/>
  <c r="BL941" i="178"/>
  <c r="AR941" i="178"/>
  <c r="AV941" i="178"/>
  <c r="AZ941" i="178"/>
  <c r="BD941" i="178"/>
  <c r="BH941" i="178"/>
  <c r="BN941" i="178"/>
  <c r="AT941" i="178"/>
  <c r="BF941" i="178"/>
  <c r="AX941" i="178"/>
  <c r="BB941" i="178"/>
  <c r="BJ941" i="178"/>
  <c r="AT940" i="178"/>
  <c r="AX940" i="178"/>
  <c r="BB940" i="178"/>
  <c r="BF940" i="178"/>
  <c r="BJ940" i="178"/>
  <c r="BL940" i="178"/>
  <c r="AR940" i="178"/>
  <c r="AV940" i="178"/>
  <c r="AZ940" i="178"/>
  <c r="BD940" i="178"/>
  <c r="BH940" i="178"/>
  <c r="BN940" i="178"/>
  <c r="BN924" i="178"/>
  <c r="AT924" i="178"/>
  <c r="AX924" i="178"/>
  <c r="BB924" i="178"/>
  <c r="BF924" i="178"/>
  <c r="BJ924" i="178"/>
  <c r="BL924" i="178"/>
  <c r="BD924" i="178"/>
  <c r="AR924" i="178"/>
  <c r="BH924" i="178"/>
  <c r="AV924" i="178"/>
  <c r="AZ924" i="178"/>
  <c r="BO854" i="178"/>
  <c r="AU854" i="178"/>
  <c r="AY854" i="178"/>
  <c r="BC854" i="178"/>
  <c r="BG854" i="178"/>
  <c r="BM854" i="178"/>
  <c r="AS854" i="178"/>
  <c r="BI854" i="178"/>
  <c r="AW854" i="178"/>
  <c r="BA854" i="178"/>
  <c r="BE854" i="178"/>
  <c r="BO851" i="178"/>
  <c r="AU851" i="178"/>
  <c r="AY851" i="178"/>
  <c r="BC851" i="178"/>
  <c r="BG851" i="178"/>
  <c r="BM851" i="178"/>
  <c r="BE851" i="178"/>
  <c r="AS851" i="178"/>
  <c r="BI851" i="178"/>
  <c r="AW851" i="178"/>
  <c r="BA851" i="178"/>
  <c r="BN850" i="178"/>
  <c r="AT850" i="178"/>
  <c r="AX850" i="178"/>
  <c r="BB850" i="178"/>
  <c r="BF850" i="178"/>
  <c r="BJ850" i="178"/>
  <c r="BL850" i="178"/>
  <c r="AV850" i="178"/>
  <c r="AZ850" i="178"/>
  <c r="BD850" i="178"/>
  <c r="BH850" i="178"/>
  <c r="AR850" i="178"/>
  <c r="AU848" i="178"/>
  <c r="AY848" i="178"/>
  <c r="BM848" i="178"/>
  <c r="AS848" i="178"/>
  <c r="BA848" i="178"/>
  <c r="BG848" i="178"/>
  <c r="AW848" i="178"/>
  <c r="BC848" i="178"/>
  <c r="BI848" i="178"/>
  <c r="BO848" i="178"/>
  <c r="BE848" i="178"/>
  <c r="BO847" i="178"/>
  <c r="AU847" i="178"/>
  <c r="AY847" i="178"/>
  <c r="BC847" i="178"/>
  <c r="BG847" i="178"/>
  <c r="AS847" i="178"/>
  <c r="BA847" i="178"/>
  <c r="BI847" i="178"/>
  <c r="BM847" i="178"/>
  <c r="AW847" i="178"/>
  <c r="BE847" i="178"/>
  <c r="BN846" i="178"/>
  <c r="AT846" i="178"/>
  <c r="AX846" i="178"/>
  <c r="BB846" i="178"/>
  <c r="BF846" i="178"/>
  <c r="BJ846" i="178"/>
  <c r="AR846" i="178"/>
  <c r="AZ846" i="178"/>
  <c r="BH846" i="178"/>
  <c r="BL846" i="178"/>
  <c r="BD846" i="178"/>
  <c r="AV846" i="178"/>
  <c r="BL840" i="178"/>
  <c r="AR840" i="178"/>
  <c r="AV840" i="178"/>
  <c r="AZ840" i="178"/>
  <c r="BD840" i="178"/>
  <c r="BH840" i="178"/>
  <c r="BN840" i="178"/>
  <c r="AX840" i="178"/>
  <c r="BF840" i="178"/>
  <c r="AT840" i="178"/>
  <c r="BB840" i="178"/>
  <c r="BJ840" i="178"/>
  <c r="BO839" i="178"/>
  <c r="AU839" i="178"/>
  <c r="AY839" i="178"/>
  <c r="BC839" i="178"/>
  <c r="BG839" i="178"/>
  <c r="BM839" i="178"/>
  <c r="AW839" i="178"/>
  <c r="BE839" i="178"/>
  <c r="BI839" i="178"/>
  <c r="AS839" i="178"/>
  <c r="BA839" i="178"/>
  <c r="BN838" i="178"/>
  <c r="AT838" i="178"/>
  <c r="AX838" i="178"/>
  <c r="BB838" i="178"/>
  <c r="BF838" i="178"/>
  <c r="BJ838" i="178"/>
  <c r="BL838" i="178"/>
  <c r="AV838" i="178"/>
  <c r="BD838" i="178"/>
  <c r="AZ838" i="178"/>
  <c r="BH838" i="178"/>
  <c r="AR838" i="178"/>
  <c r="BM837" i="178"/>
  <c r="AS837" i="178"/>
  <c r="AW837" i="178"/>
  <c r="BA837" i="178"/>
  <c r="BE837" i="178"/>
  <c r="BI837" i="178"/>
  <c r="AU837" i="178"/>
  <c r="BC837" i="178"/>
  <c r="BO837" i="178"/>
  <c r="AY837" i="178"/>
  <c r="BG837" i="178"/>
  <c r="BL836" i="178"/>
  <c r="AR836" i="178"/>
  <c r="AV836" i="178"/>
  <c r="AZ836" i="178"/>
  <c r="BD836" i="178"/>
  <c r="BH836" i="178"/>
  <c r="AT836" i="178"/>
  <c r="BB836" i="178"/>
  <c r="BJ836" i="178"/>
  <c r="BN836" i="178"/>
  <c r="AX836" i="178"/>
  <c r="BF836" i="178"/>
  <c r="BO695" i="178"/>
  <c r="AU695" i="178"/>
  <c r="AY695" i="178"/>
  <c r="BC695" i="178"/>
  <c r="BG695" i="178"/>
  <c r="AS695" i="178"/>
  <c r="BA695" i="178"/>
  <c r="BI695" i="178"/>
  <c r="BM695" i="178"/>
  <c r="BE695" i="178"/>
  <c r="AW695" i="178"/>
  <c r="BN447" i="178"/>
  <c r="AT447" i="178"/>
  <c r="AX447" i="178"/>
  <c r="BB447" i="178"/>
  <c r="BF447" i="178"/>
  <c r="BJ447" i="178"/>
  <c r="AR447" i="178"/>
  <c r="AZ447" i="178"/>
  <c r="BH447" i="178"/>
  <c r="BL447" i="178"/>
  <c r="AV447" i="178"/>
  <c r="BD447" i="178"/>
  <c r="BM62" i="178"/>
  <c r="AS62" i="178"/>
  <c r="AW62" i="178"/>
  <c r="BA62" i="178"/>
  <c r="BE62" i="178"/>
  <c r="BI62" i="178"/>
  <c r="BO62" i="178"/>
  <c r="AY62" i="178"/>
  <c r="BG62" i="178"/>
  <c r="AU62" i="178"/>
  <c r="BC62" i="178"/>
  <c r="AU694" i="178"/>
  <c r="AY694" i="178"/>
  <c r="BC694" i="178"/>
  <c r="BG694" i="178"/>
  <c r="BM694" i="178"/>
  <c r="AW694" i="178"/>
  <c r="BE694" i="178"/>
  <c r="BO694" i="178"/>
  <c r="AS694" i="178"/>
  <c r="BA694" i="178"/>
  <c r="BI694" i="178"/>
  <c r="AT835" i="178"/>
  <c r="AX835" i="178"/>
  <c r="BB835" i="178"/>
  <c r="BF835" i="178"/>
  <c r="BJ835" i="178"/>
  <c r="BL835" i="178"/>
  <c r="AR835" i="178"/>
  <c r="AZ835" i="178"/>
  <c r="BH835" i="178"/>
  <c r="AV835" i="178"/>
  <c r="BD835" i="178"/>
  <c r="BN835" i="178"/>
  <c r="BN834" i="178"/>
  <c r="AT834" i="178"/>
  <c r="AX834" i="178"/>
  <c r="BB834" i="178"/>
  <c r="BF834" i="178"/>
  <c r="BJ834" i="178"/>
  <c r="AR834" i="178"/>
  <c r="AZ834" i="178"/>
  <c r="BH834" i="178"/>
  <c r="BL834" i="178"/>
  <c r="AV834" i="178"/>
  <c r="BD834" i="178"/>
  <c r="BM822" i="178"/>
  <c r="AS822" i="178"/>
  <c r="AW822" i="178"/>
  <c r="BA822" i="178"/>
  <c r="BE822" i="178"/>
  <c r="BI822" i="178"/>
  <c r="BO822" i="178"/>
  <c r="AY822" i="178"/>
  <c r="BG822" i="178"/>
  <c r="AU822" i="178"/>
  <c r="BC822" i="178"/>
  <c r="AT820" i="178"/>
  <c r="AX820" i="178"/>
  <c r="BB820" i="178"/>
  <c r="BF820" i="178"/>
  <c r="BJ820" i="178"/>
  <c r="BL820" i="178"/>
  <c r="AV820" i="178"/>
  <c r="BD820" i="178"/>
  <c r="BN820" i="178"/>
  <c r="AR820" i="178"/>
  <c r="AZ820" i="178"/>
  <c r="BH820" i="178"/>
  <c r="AS819" i="178"/>
  <c r="AW819" i="178"/>
  <c r="BA819" i="178"/>
  <c r="BE819" i="178"/>
  <c r="BI819" i="178"/>
  <c r="BO819" i="178"/>
  <c r="AU819" i="178"/>
  <c r="BC819" i="178"/>
  <c r="BM819" i="178"/>
  <c r="AY819" i="178"/>
  <c r="BG819" i="178"/>
  <c r="BL651" i="178"/>
  <c r="AR651" i="178"/>
  <c r="AV651" i="178"/>
  <c r="AZ651" i="178"/>
  <c r="BD651" i="178"/>
  <c r="BH651" i="178"/>
  <c r="AT651" i="178"/>
  <c r="BB651" i="178"/>
  <c r="BJ651" i="178"/>
  <c r="BN651" i="178"/>
  <c r="AX651" i="178"/>
  <c r="BF651" i="178"/>
  <c r="BM60" i="178"/>
  <c r="AS60" i="178"/>
  <c r="AW60" i="178"/>
  <c r="BA60" i="178"/>
  <c r="BE60" i="178"/>
  <c r="BI60" i="178"/>
  <c r="BO60" i="178"/>
  <c r="AY60" i="178"/>
  <c r="BG60" i="178"/>
  <c r="BC60" i="178"/>
  <c r="AU60" i="178"/>
  <c r="AT58" i="178"/>
  <c r="AX58" i="178"/>
  <c r="BB58" i="178"/>
  <c r="BF58" i="178"/>
  <c r="AR58" i="178"/>
  <c r="AV58" i="178"/>
  <c r="AZ58" i="178"/>
  <c r="BD58" i="178"/>
  <c r="BH58" i="178"/>
  <c r="BJ58" i="178"/>
  <c r="BL58" i="178"/>
  <c r="BN58" i="178"/>
  <c r="AS684" i="178"/>
  <c r="AW684" i="178"/>
  <c r="BA684" i="178"/>
  <c r="BE684" i="178"/>
  <c r="BI684" i="178"/>
  <c r="BO684" i="178"/>
  <c r="AU684" i="178"/>
  <c r="AY684" i="178"/>
  <c r="BC684" i="178"/>
  <c r="BG684" i="178"/>
  <c r="BM684" i="178"/>
  <c r="BL815" i="178"/>
  <c r="AR815" i="178"/>
  <c r="AV815" i="178"/>
  <c r="AZ815" i="178"/>
  <c r="BD815" i="178"/>
  <c r="BH815" i="178"/>
  <c r="BN815" i="178"/>
  <c r="AT815" i="178"/>
  <c r="AX815" i="178"/>
  <c r="BB815" i="178"/>
  <c r="BF815" i="178"/>
  <c r="BJ815" i="178"/>
  <c r="BM812" i="178"/>
  <c r="AS812" i="178"/>
  <c r="AW812" i="178"/>
  <c r="BA812" i="178"/>
  <c r="BE812" i="178"/>
  <c r="BI812" i="178"/>
  <c r="BO812" i="178"/>
  <c r="AU812" i="178"/>
  <c r="AY812" i="178"/>
  <c r="BC812" i="178"/>
  <c r="BG812" i="178"/>
  <c r="AT810" i="178"/>
  <c r="AX810" i="178"/>
  <c r="BB810" i="178"/>
  <c r="BF810" i="178"/>
  <c r="BJ810" i="178"/>
  <c r="BL810" i="178"/>
  <c r="AR810" i="178"/>
  <c r="AV810" i="178"/>
  <c r="AZ810" i="178"/>
  <c r="BD810" i="178"/>
  <c r="BH810" i="178"/>
  <c r="BN810" i="178"/>
  <c r="AS809" i="178"/>
  <c r="AW809" i="178"/>
  <c r="BA809" i="178"/>
  <c r="BE809" i="178"/>
  <c r="BI809" i="178"/>
  <c r="BO809" i="178"/>
  <c r="AU809" i="178"/>
  <c r="AY809" i="178"/>
  <c r="BC809" i="178"/>
  <c r="BG809" i="178"/>
  <c r="BM809" i="178"/>
  <c r="BL1040" i="178"/>
  <c r="BC1040" i="178"/>
  <c r="AU1040" i="178"/>
  <c r="BI1039" i="178"/>
  <c r="BA1039" i="178"/>
  <c r="AS1039" i="178"/>
  <c r="BG657" i="178"/>
  <c r="AY657" i="178"/>
  <c r="BO451" i="178"/>
  <c r="BF451" i="178"/>
  <c r="AX451" i="178"/>
  <c r="BN656" i="178"/>
  <c r="BE656" i="178"/>
  <c r="AW656" i="178"/>
  <c r="BM450" i="178"/>
  <c r="BD450" i="178"/>
  <c r="AV450" i="178"/>
  <c r="BL449" i="178"/>
  <c r="BI654" i="178"/>
  <c r="BA654" i="178"/>
  <c r="AS654" i="178"/>
  <c r="BH653" i="178"/>
  <c r="AZ653" i="178"/>
  <c r="AR653" i="178"/>
  <c r="BG448" i="178"/>
  <c r="AY448" i="178"/>
  <c r="BO652" i="178"/>
  <c r="BF652" i="178"/>
  <c r="AX652" i="178"/>
  <c r="BN1035" i="178"/>
  <c r="BE1035" i="178"/>
  <c r="AW1035" i="178"/>
  <c r="BL968" i="178"/>
  <c r="BN649" i="178"/>
  <c r="AW649" i="178"/>
  <c r="AZ451" i="178"/>
  <c r="BA451" i="178"/>
  <c r="AR655" i="178"/>
  <c r="AS655" i="178"/>
  <c r="AZ652" i="178"/>
  <c r="BA652" i="178"/>
  <c r="AZ650" i="178"/>
  <c r="BA650" i="178"/>
  <c r="AR422" i="178"/>
  <c r="AS422" i="178"/>
  <c r="AR785" i="178"/>
  <c r="AS785" i="178"/>
  <c r="BH784" i="178"/>
  <c r="BI784" i="178"/>
  <c r="AZ783" i="178"/>
  <c r="BA783" i="178"/>
  <c r="BI627" i="178"/>
  <c r="BH627" i="178"/>
  <c r="AZ417" i="178"/>
  <c r="BA417" i="178"/>
  <c r="AR408" i="178"/>
  <c r="AS408" i="178"/>
  <c r="AR626" i="178"/>
  <c r="AS626" i="178"/>
  <c r="BH625" i="178"/>
  <c r="BI625" i="178"/>
  <c r="BC416" i="178"/>
  <c r="BB416" i="178"/>
  <c r="BL415" i="178"/>
  <c r="BM415" i="178"/>
  <c r="BF624" i="178"/>
  <c r="BG624" i="178"/>
  <c r="AZ833" i="178"/>
  <c r="BA833" i="178"/>
  <c r="AT832" i="178"/>
  <c r="AU832" i="178"/>
  <c r="BE831" i="178"/>
  <c r="BD831" i="178"/>
  <c r="BF597" i="178"/>
  <c r="BG597" i="178"/>
  <c r="AZ596" i="178"/>
  <c r="BA596" i="178"/>
  <c r="AR397" i="178"/>
  <c r="AS397" i="178"/>
  <c r="BH396" i="178"/>
  <c r="BI396" i="178"/>
  <c r="AZ395" i="178"/>
  <c r="BA395" i="178"/>
  <c r="AR159" i="178"/>
  <c r="AS159" i="178"/>
  <c r="BH146" i="178"/>
  <c r="BI146" i="178"/>
  <c r="AR710" i="178"/>
  <c r="AS710" i="178"/>
  <c r="AT709" i="178"/>
  <c r="AU709" i="178"/>
  <c r="BD669" i="178"/>
  <c r="BE669" i="178"/>
  <c r="AZ914" i="178"/>
  <c r="BA914" i="178"/>
  <c r="AR506" i="178"/>
  <c r="AS506" i="178"/>
  <c r="AR471" i="178"/>
  <c r="AS471" i="178"/>
  <c r="BG123" i="178"/>
  <c r="BF123" i="178"/>
  <c r="BL122" i="178"/>
  <c r="BM122" i="178"/>
  <c r="BH98" i="178"/>
  <c r="BI98" i="178"/>
  <c r="BN97" i="178"/>
  <c r="BO97" i="178"/>
  <c r="BN657" i="178"/>
  <c r="BO657" i="178"/>
  <c r="BF450" i="178"/>
  <c r="BG450" i="178"/>
  <c r="AX450" i="178"/>
  <c r="AY450" i="178"/>
  <c r="BN449" i="178"/>
  <c r="BO449" i="178"/>
  <c r="BF653" i="178"/>
  <c r="BG653" i="178"/>
  <c r="AX653" i="178"/>
  <c r="AY653" i="178"/>
  <c r="BN448" i="178"/>
  <c r="BO448" i="178"/>
  <c r="BN968" i="178"/>
  <c r="BO968" i="178"/>
  <c r="BF649" i="178"/>
  <c r="BG649" i="178"/>
  <c r="AX649" i="178"/>
  <c r="AY649" i="178"/>
  <c r="BN633" i="178"/>
  <c r="BO633" i="178"/>
  <c r="BF633" i="178"/>
  <c r="BG633" i="178"/>
  <c r="AX633" i="178"/>
  <c r="AY633" i="178"/>
  <c r="BN422" i="178"/>
  <c r="BO422" i="178"/>
  <c r="BG422" i="178"/>
  <c r="BF422" i="178"/>
  <c r="AY422" i="178"/>
  <c r="AX422" i="178"/>
  <c r="BO785" i="178"/>
  <c r="BN785" i="178"/>
  <c r="BF785" i="178"/>
  <c r="BG785" i="178"/>
  <c r="AX785" i="178"/>
  <c r="AY785" i="178"/>
  <c r="BN784" i="178"/>
  <c r="BO784" i="178"/>
  <c r="BF784" i="178"/>
  <c r="BG784" i="178"/>
  <c r="AX784" i="178"/>
  <c r="AY784" i="178"/>
  <c r="BN783" i="178"/>
  <c r="BO783" i="178"/>
  <c r="BG783" i="178"/>
  <c r="BF783" i="178"/>
  <c r="AY783" i="178"/>
  <c r="AX783" i="178"/>
  <c r="BO628" i="178"/>
  <c r="BN628" i="178"/>
  <c r="BF628" i="178"/>
  <c r="BG628" i="178"/>
  <c r="AX628" i="178"/>
  <c r="AY628" i="178"/>
  <c r="BN627" i="178"/>
  <c r="BO627" i="178"/>
  <c r="BF627" i="178"/>
  <c r="BG627" i="178"/>
  <c r="AX627" i="178"/>
  <c r="AY627" i="178"/>
  <c r="BN417" i="178"/>
  <c r="BO417" i="178"/>
  <c r="BF417" i="178"/>
  <c r="BG417" i="178"/>
  <c r="AX417" i="178"/>
  <c r="AY417" i="178"/>
  <c r="BN408" i="178"/>
  <c r="BO408" i="178"/>
  <c r="BG408" i="178"/>
  <c r="BF408" i="178"/>
  <c r="AY408" i="178"/>
  <c r="AX408" i="178"/>
  <c r="BO626" i="178"/>
  <c r="BN626" i="178"/>
  <c r="BF626" i="178"/>
  <c r="BG626" i="178"/>
  <c r="AX626" i="178"/>
  <c r="AY626" i="178"/>
  <c r="BN407" i="178"/>
  <c r="BO407" i="178"/>
  <c r="BF407" i="178"/>
  <c r="BG407" i="178"/>
  <c r="AX407" i="178"/>
  <c r="AY407" i="178"/>
  <c r="BN625" i="178"/>
  <c r="BO625" i="178"/>
  <c r="BF625" i="178"/>
  <c r="BG625" i="178"/>
  <c r="AX625" i="178"/>
  <c r="AY625" i="178"/>
  <c r="BH416" i="178"/>
  <c r="BI416" i="178"/>
  <c r="AZ416" i="178"/>
  <c r="BA416" i="178"/>
  <c r="AR416" i="178"/>
  <c r="AS416" i="178"/>
  <c r="BB415" i="178"/>
  <c r="BC415" i="178"/>
  <c r="AT415" i="178"/>
  <c r="AU415" i="178"/>
  <c r="BM624" i="178"/>
  <c r="BL624" i="178"/>
  <c r="BD624" i="178"/>
  <c r="BE624" i="178"/>
  <c r="AV624" i="178"/>
  <c r="AW624" i="178"/>
  <c r="BN833" i="178"/>
  <c r="BO833" i="178"/>
  <c r="BG833" i="178"/>
  <c r="BF833" i="178"/>
  <c r="AY833" i="178"/>
  <c r="AX833" i="178"/>
  <c r="BH832" i="178"/>
  <c r="BI832" i="178"/>
  <c r="AZ832" i="178"/>
  <c r="BA832" i="178"/>
  <c r="AR832" i="178"/>
  <c r="AS832" i="178"/>
  <c r="BB831" i="178"/>
  <c r="BC831" i="178"/>
  <c r="AT831" i="178"/>
  <c r="AU831" i="178"/>
  <c r="BM597" i="178"/>
  <c r="BL597" i="178"/>
  <c r="BD597" i="178"/>
  <c r="BE597" i="178"/>
  <c r="AV597" i="178"/>
  <c r="AW597" i="178"/>
  <c r="BN596" i="178"/>
  <c r="BO596" i="178"/>
  <c r="BG596" i="178"/>
  <c r="BF596" i="178"/>
  <c r="AY596" i="178"/>
  <c r="AX596" i="178"/>
  <c r="BO397" i="178"/>
  <c r="BN397" i="178"/>
  <c r="BF397" i="178"/>
  <c r="BG397" i="178"/>
  <c r="AX397" i="178"/>
  <c r="AY397" i="178"/>
  <c r="BN595" i="178"/>
  <c r="BO595" i="178"/>
  <c r="BF595" i="178"/>
  <c r="BG595" i="178"/>
  <c r="AX595" i="178"/>
  <c r="AY595" i="178"/>
  <c r="BN396" i="178"/>
  <c r="BO396" i="178"/>
  <c r="BF396" i="178"/>
  <c r="BG396" i="178"/>
  <c r="AX396" i="178"/>
  <c r="AY396" i="178"/>
  <c r="BN395" i="178"/>
  <c r="BO395" i="178"/>
  <c r="BG395" i="178"/>
  <c r="BF395" i="178"/>
  <c r="AY395" i="178"/>
  <c r="AX395" i="178"/>
  <c r="BO159" i="178"/>
  <c r="BN159" i="178"/>
  <c r="BF159" i="178"/>
  <c r="BG159" i="178"/>
  <c r="AX159" i="178"/>
  <c r="AY159" i="178"/>
  <c r="BN148" i="178"/>
  <c r="BO148" i="178"/>
  <c r="BF148" i="178"/>
  <c r="BG148" i="178"/>
  <c r="AX148" i="178"/>
  <c r="AY148" i="178"/>
  <c r="BN146" i="178"/>
  <c r="BO146" i="178"/>
  <c r="BF146" i="178"/>
  <c r="BG146" i="178"/>
  <c r="AX146" i="178"/>
  <c r="AY146" i="178"/>
  <c r="BO710" i="178"/>
  <c r="BN710" i="178"/>
  <c r="BF710" i="178"/>
  <c r="BG710" i="178"/>
  <c r="AX710" i="178"/>
  <c r="AY710" i="178"/>
  <c r="BI709" i="178"/>
  <c r="BH709" i="178"/>
  <c r="BA709" i="178"/>
  <c r="AZ709" i="178"/>
  <c r="AS709" i="178"/>
  <c r="AR709" i="178"/>
  <c r="BB669" i="178"/>
  <c r="BC669" i="178"/>
  <c r="AT669" i="178"/>
  <c r="AU669" i="178"/>
  <c r="BO914" i="178"/>
  <c r="BN914" i="178"/>
  <c r="BF914" i="178"/>
  <c r="BG914" i="178"/>
  <c r="AX914" i="178"/>
  <c r="AY914" i="178"/>
  <c r="BO506" i="178"/>
  <c r="BN506" i="178"/>
  <c r="BF506" i="178"/>
  <c r="BG506" i="178"/>
  <c r="AX506" i="178"/>
  <c r="AY506" i="178"/>
  <c r="BO662" i="178"/>
  <c r="BN662" i="178"/>
  <c r="BF662" i="178"/>
  <c r="BG662" i="178"/>
  <c r="AX662" i="178"/>
  <c r="AY662" i="178"/>
  <c r="BI472" i="178"/>
  <c r="BH472" i="178"/>
  <c r="BA472" i="178"/>
  <c r="AZ472" i="178"/>
  <c r="AS472" i="178"/>
  <c r="AR472" i="178"/>
  <c r="BN471" i="178"/>
  <c r="BO471" i="178"/>
  <c r="BF471" i="178"/>
  <c r="BG471" i="178"/>
  <c r="AX471" i="178"/>
  <c r="AY471" i="178"/>
  <c r="BL123" i="178"/>
  <c r="BM123" i="178"/>
  <c r="BD123" i="178"/>
  <c r="BE123" i="178"/>
  <c r="AV123" i="178"/>
  <c r="AW123" i="178"/>
  <c r="BB122" i="178"/>
  <c r="BC122" i="178"/>
  <c r="AT122" i="178"/>
  <c r="AU122" i="178"/>
  <c r="BN98" i="178"/>
  <c r="BO98" i="178"/>
  <c r="BF98" i="178"/>
  <c r="BG98" i="178"/>
  <c r="AX98" i="178"/>
  <c r="AY98" i="178"/>
  <c r="BL97" i="178"/>
  <c r="BM97" i="178"/>
  <c r="BD97" i="178"/>
  <c r="BE97" i="178"/>
  <c r="AV97" i="178"/>
  <c r="AW97" i="178"/>
  <c r="BB912" i="178"/>
  <c r="BC912" i="178"/>
  <c r="AT912" i="178"/>
  <c r="AU912" i="178"/>
  <c r="BL661" i="178"/>
  <c r="BM661" i="178"/>
  <c r="BE661" i="178"/>
  <c r="BD661" i="178"/>
  <c r="AW661" i="178"/>
  <c r="AV661" i="178"/>
  <c r="BB96" i="178"/>
  <c r="BC96" i="178"/>
  <c r="AT96" i="178"/>
  <c r="AU96" i="178"/>
  <c r="BH95" i="178"/>
  <c r="BI95" i="178"/>
  <c r="AZ95" i="178"/>
  <c r="BA95" i="178"/>
  <c r="AR95" i="178"/>
  <c r="AS95" i="178"/>
  <c r="BO93" i="178"/>
  <c r="BN93" i="178"/>
  <c r="BF93" i="178"/>
  <c r="BG93" i="178"/>
  <c r="AX93" i="178"/>
  <c r="AY93" i="178"/>
  <c r="BL706" i="178"/>
  <c r="BM706" i="178"/>
  <c r="BE706" i="178"/>
  <c r="BD706" i="178"/>
  <c r="AW706" i="178"/>
  <c r="AV706" i="178"/>
  <c r="BB92" i="178"/>
  <c r="BC92" i="178"/>
  <c r="AT92" i="178"/>
  <c r="AU92" i="178"/>
  <c r="BB458" i="178"/>
  <c r="AT458" i="178"/>
  <c r="BH456" i="178"/>
  <c r="BI456" i="178"/>
  <c r="AZ456" i="178"/>
  <c r="BA456" i="178"/>
  <c r="AR456" i="178"/>
  <c r="AS456" i="178"/>
  <c r="BH455" i="178"/>
  <c r="AZ455" i="178"/>
  <c r="AR455" i="178"/>
  <c r="AU922" i="178"/>
  <c r="AY922" i="178"/>
  <c r="BC922" i="178"/>
  <c r="BG922" i="178"/>
  <c r="BM922" i="178"/>
  <c r="AS922" i="178"/>
  <c r="AW922" i="178"/>
  <c r="BA922" i="178"/>
  <c r="BE922" i="178"/>
  <c r="BI922" i="178"/>
  <c r="BO922" i="178"/>
  <c r="AT854" i="178"/>
  <c r="AX854" i="178"/>
  <c r="BB854" i="178"/>
  <c r="BF854" i="178"/>
  <c r="BJ854" i="178"/>
  <c r="BL854" i="178"/>
  <c r="AR854" i="178"/>
  <c r="AV854" i="178"/>
  <c r="AZ854" i="178"/>
  <c r="BD854" i="178"/>
  <c r="BH854" i="178"/>
  <c r="BN854" i="178"/>
  <c r="AU852" i="178"/>
  <c r="AY852" i="178"/>
  <c r="BC852" i="178"/>
  <c r="BG852" i="178"/>
  <c r="BM852" i="178"/>
  <c r="AS852" i="178"/>
  <c r="AW852" i="178"/>
  <c r="BA852" i="178"/>
  <c r="BE852" i="178"/>
  <c r="BI852" i="178"/>
  <c r="BO852" i="178"/>
  <c r="AT851" i="178"/>
  <c r="AX851" i="178"/>
  <c r="BB851" i="178"/>
  <c r="BF851" i="178"/>
  <c r="BJ851" i="178"/>
  <c r="BL851" i="178"/>
  <c r="AR851" i="178"/>
  <c r="AV851" i="178"/>
  <c r="AZ851" i="178"/>
  <c r="BD851" i="178"/>
  <c r="BH851" i="178"/>
  <c r="BN851" i="178"/>
  <c r="AS849" i="178"/>
  <c r="AW849" i="178"/>
  <c r="AY849" i="178"/>
  <c r="BC849" i="178"/>
  <c r="BG849" i="178"/>
  <c r="AU849" i="178"/>
  <c r="BM849" i="178"/>
  <c r="BA849" i="178"/>
  <c r="BE849" i="178"/>
  <c r="BI849" i="178"/>
  <c r="BO849" i="178"/>
  <c r="AR848" i="178"/>
  <c r="AV848" i="178"/>
  <c r="AZ848" i="178"/>
  <c r="BD848" i="178"/>
  <c r="BH848" i="178"/>
  <c r="BF848" i="178"/>
  <c r="BL848" i="178"/>
  <c r="AT848" i="178"/>
  <c r="BB848" i="178"/>
  <c r="BN848" i="178"/>
  <c r="AX848" i="178"/>
  <c r="BJ848" i="178"/>
  <c r="AT847" i="178"/>
  <c r="AX847" i="178"/>
  <c r="BB847" i="178"/>
  <c r="BF847" i="178"/>
  <c r="BJ847" i="178"/>
  <c r="BL847" i="178"/>
  <c r="AR847" i="178"/>
  <c r="AZ847" i="178"/>
  <c r="BH847" i="178"/>
  <c r="AV847" i="178"/>
  <c r="BD847" i="178"/>
  <c r="BN847" i="178"/>
  <c r="AT839" i="178"/>
  <c r="AX839" i="178"/>
  <c r="BB839" i="178"/>
  <c r="BF839" i="178"/>
  <c r="BJ839" i="178"/>
  <c r="BL839" i="178"/>
  <c r="AV839" i="178"/>
  <c r="BD839" i="178"/>
  <c r="BN839" i="178"/>
  <c r="AR839" i="178"/>
  <c r="AZ839" i="178"/>
  <c r="BH839" i="178"/>
  <c r="AR837" i="178"/>
  <c r="AV837" i="178"/>
  <c r="AZ837" i="178"/>
  <c r="BD837" i="178"/>
  <c r="BH837" i="178"/>
  <c r="BN837" i="178"/>
  <c r="AT837" i="178"/>
  <c r="BB837" i="178"/>
  <c r="BJ837" i="178"/>
  <c r="BL837" i="178"/>
  <c r="AX837" i="178"/>
  <c r="BF837" i="178"/>
  <c r="AT695" i="178"/>
  <c r="AX695" i="178"/>
  <c r="BB695" i="178"/>
  <c r="BF695" i="178"/>
  <c r="BJ695" i="178"/>
  <c r="BL695" i="178"/>
  <c r="AR695" i="178"/>
  <c r="AZ695" i="178"/>
  <c r="BH695" i="178"/>
  <c r="AV695" i="178"/>
  <c r="BD695" i="178"/>
  <c r="BN695" i="178"/>
  <c r="AR62" i="178"/>
  <c r="AV62" i="178"/>
  <c r="AZ62" i="178"/>
  <c r="BD62" i="178"/>
  <c r="BH62" i="178"/>
  <c r="BN62" i="178"/>
  <c r="AX62" i="178"/>
  <c r="BF62" i="178"/>
  <c r="AT62" i="178"/>
  <c r="BB62" i="178"/>
  <c r="BJ62" i="178"/>
  <c r="BL62" i="178"/>
  <c r="BL694" i="178"/>
  <c r="AR694" i="178"/>
  <c r="AV694" i="178"/>
  <c r="AZ694" i="178"/>
  <c r="BD694" i="178"/>
  <c r="BH694" i="178"/>
  <c r="BN694" i="178"/>
  <c r="AX694" i="178"/>
  <c r="BF694" i="178"/>
  <c r="BJ694" i="178"/>
  <c r="AT694" i="178"/>
  <c r="BB694" i="178"/>
  <c r="BO693" i="178"/>
  <c r="AU693" i="178"/>
  <c r="AY693" i="178"/>
  <c r="BC693" i="178"/>
  <c r="BG693" i="178"/>
  <c r="BM693" i="178"/>
  <c r="AW693" i="178"/>
  <c r="BE693" i="178"/>
  <c r="BA693" i="178"/>
  <c r="BI693" i="178"/>
  <c r="AS693" i="178"/>
  <c r="AS701" i="178"/>
  <c r="AW701" i="178"/>
  <c r="BA701" i="178"/>
  <c r="BE701" i="178"/>
  <c r="BI701" i="178"/>
  <c r="BO701" i="178"/>
  <c r="AU701" i="178"/>
  <c r="BC701" i="178"/>
  <c r="BM701" i="178"/>
  <c r="AY701" i="178"/>
  <c r="BG701" i="178"/>
  <c r="AR822" i="178"/>
  <c r="AV822" i="178"/>
  <c r="AZ822" i="178"/>
  <c r="BD822" i="178"/>
  <c r="BH822" i="178"/>
  <c r="BN822" i="178"/>
  <c r="AX822" i="178"/>
  <c r="BF822" i="178"/>
  <c r="AT822" i="178"/>
  <c r="BB822" i="178"/>
  <c r="BJ822" i="178"/>
  <c r="BL822" i="178"/>
  <c r="AU821" i="178"/>
  <c r="AY821" i="178"/>
  <c r="BC821" i="178"/>
  <c r="BG821" i="178"/>
  <c r="BM821" i="178"/>
  <c r="AW821" i="178"/>
  <c r="BE821" i="178"/>
  <c r="BO821" i="178"/>
  <c r="AS821" i="178"/>
  <c r="BA821" i="178"/>
  <c r="BI821" i="178"/>
  <c r="BN819" i="178"/>
  <c r="AT819" i="178"/>
  <c r="AX819" i="178"/>
  <c r="BB819" i="178"/>
  <c r="BF819" i="178"/>
  <c r="BJ819" i="178"/>
  <c r="BL819" i="178"/>
  <c r="AV819" i="178"/>
  <c r="BD819" i="178"/>
  <c r="AR819" i="178"/>
  <c r="AZ819" i="178"/>
  <c r="BH819" i="178"/>
  <c r="BO446" i="178"/>
  <c r="AU446" i="178"/>
  <c r="AY446" i="178"/>
  <c r="BC446" i="178"/>
  <c r="BG446" i="178"/>
  <c r="AS446" i="178"/>
  <c r="BA446" i="178"/>
  <c r="BI446" i="178"/>
  <c r="BM446" i="178"/>
  <c r="AW446" i="178"/>
  <c r="BE446" i="178"/>
  <c r="AR60" i="178"/>
  <c r="AV60" i="178"/>
  <c r="AZ60" i="178"/>
  <c r="BD60" i="178"/>
  <c r="BH60" i="178"/>
  <c r="BN60" i="178"/>
  <c r="AX60" i="178"/>
  <c r="BF60" i="178"/>
  <c r="AT60" i="178"/>
  <c r="BB60" i="178"/>
  <c r="BJ60" i="178"/>
  <c r="BL60" i="178"/>
  <c r="AU59" i="178"/>
  <c r="AY59" i="178"/>
  <c r="BC59" i="178"/>
  <c r="BG59" i="178"/>
  <c r="BM59" i="178"/>
  <c r="AW59" i="178"/>
  <c r="BE59" i="178"/>
  <c r="BO59" i="178"/>
  <c r="AS59" i="178"/>
  <c r="BA59" i="178"/>
  <c r="BI59" i="178"/>
  <c r="BN684" i="178"/>
  <c r="AT684" i="178"/>
  <c r="AX684" i="178"/>
  <c r="BB684" i="178"/>
  <c r="BF684" i="178"/>
  <c r="BJ684" i="178"/>
  <c r="BL684" i="178"/>
  <c r="AR684" i="178"/>
  <c r="AV684" i="178"/>
  <c r="AZ684" i="178"/>
  <c r="BD684" i="178"/>
  <c r="BH684" i="178"/>
  <c r="BO814" i="178"/>
  <c r="AU814" i="178"/>
  <c r="AY814" i="178"/>
  <c r="BC814" i="178"/>
  <c r="BG814" i="178"/>
  <c r="BM814" i="178"/>
  <c r="AS814" i="178"/>
  <c r="AW814" i="178"/>
  <c r="BA814" i="178"/>
  <c r="BE814" i="178"/>
  <c r="BI814" i="178"/>
  <c r="AR812" i="178"/>
  <c r="AV812" i="178"/>
  <c r="AZ812" i="178"/>
  <c r="BD812" i="178"/>
  <c r="BH812" i="178"/>
  <c r="BN812" i="178"/>
  <c r="AT812" i="178"/>
  <c r="AX812" i="178"/>
  <c r="BB812" i="178"/>
  <c r="BF812" i="178"/>
  <c r="BJ812" i="178"/>
  <c r="BL812" i="178"/>
  <c r="AU811" i="178"/>
  <c r="AY811" i="178"/>
  <c r="BC811" i="178"/>
  <c r="BG811" i="178"/>
  <c r="BM811" i="178"/>
  <c r="AS811" i="178"/>
  <c r="AW811" i="178"/>
  <c r="BA811" i="178"/>
  <c r="BE811" i="178"/>
  <c r="BI811" i="178"/>
  <c r="BO811" i="178"/>
  <c r="BN809" i="178"/>
  <c r="AT809" i="178"/>
  <c r="AX809" i="178"/>
  <c r="BB809" i="178"/>
  <c r="BF809" i="178"/>
  <c r="BJ809" i="178"/>
  <c r="BL809" i="178"/>
  <c r="AR809" i="178"/>
  <c r="AV809" i="178"/>
  <c r="AZ809" i="178"/>
  <c r="BD809" i="178"/>
  <c r="BH809" i="178"/>
  <c r="BO632" i="178"/>
  <c r="AU632" i="178"/>
  <c r="AY632" i="178"/>
  <c r="BC632" i="178"/>
  <c r="BG632" i="178"/>
  <c r="BM632" i="178"/>
  <c r="AS632" i="178"/>
  <c r="AW632" i="178"/>
  <c r="BA632" i="178"/>
  <c r="BE632" i="178"/>
  <c r="BI632" i="178"/>
  <c r="V948" i="178"/>
  <c r="U948" i="178"/>
  <c r="BH1040" i="178"/>
  <c r="AZ1040" i="178"/>
  <c r="AR1040" i="178"/>
  <c r="BO1039" i="178"/>
  <c r="BF1039" i="178"/>
  <c r="AX1039" i="178"/>
  <c r="BM657" i="178"/>
  <c r="BD657" i="178"/>
  <c r="AV657" i="178"/>
  <c r="BL451" i="178"/>
  <c r="BC451" i="178"/>
  <c r="AU451" i="178"/>
  <c r="BB656" i="178"/>
  <c r="AT656" i="178"/>
  <c r="BI450" i="178"/>
  <c r="BA450" i="178"/>
  <c r="AS450" i="178"/>
  <c r="BH449" i="178"/>
  <c r="AZ449" i="178"/>
  <c r="AR449" i="178"/>
  <c r="BG655" i="178"/>
  <c r="AY655" i="178"/>
  <c r="BO654" i="178"/>
  <c r="BF654" i="178"/>
  <c r="AX654" i="178"/>
  <c r="BN653" i="178"/>
  <c r="BE653" i="178"/>
  <c r="AW653" i="178"/>
  <c r="BM448" i="178"/>
  <c r="BD448" i="178"/>
  <c r="AV448" i="178"/>
  <c r="BL652" i="178"/>
  <c r="BC652" i="178"/>
  <c r="AU652" i="178"/>
  <c r="BB1035" i="178"/>
  <c r="AT1035" i="178"/>
  <c r="BH968" i="178"/>
  <c r="AZ968" i="178"/>
  <c r="AR968" i="178"/>
  <c r="BG650" i="178"/>
  <c r="AY650" i="178"/>
  <c r="BI649" i="178"/>
  <c r="AS649" i="178"/>
  <c r="BN1040" i="178"/>
  <c r="BO1040" i="178"/>
  <c r="AR451" i="178"/>
  <c r="AS451" i="178"/>
  <c r="AZ655" i="178"/>
  <c r="BA655" i="178"/>
  <c r="AR652" i="178"/>
  <c r="AS652" i="178"/>
  <c r="AR650" i="178"/>
  <c r="AS650" i="178"/>
  <c r="AZ422" i="178"/>
  <c r="BA422" i="178"/>
  <c r="AZ784" i="178"/>
  <c r="BA784" i="178"/>
  <c r="AR783" i="178"/>
  <c r="AS783" i="178"/>
  <c r="AR628" i="178"/>
  <c r="AS628" i="178"/>
  <c r="BH417" i="178"/>
  <c r="BI417" i="178"/>
  <c r="AZ408" i="178"/>
  <c r="BA408" i="178"/>
  <c r="BI407" i="178"/>
  <c r="BH407" i="178"/>
  <c r="AZ625" i="178"/>
  <c r="BA625" i="178"/>
  <c r="AU416" i="178"/>
  <c r="AT416" i="178"/>
  <c r="BE415" i="178"/>
  <c r="BD415" i="178"/>
  <c r="BN624" i="178"/>
  <c r="BO624" i="178"/>
  <c r="BH833" i="178"/>
  <c r="BI833" i="178"/>
  <c r="BB832" i="178"/>
  <c r="BC832" i="178"/>
  <c r="BL831" i="178"/>
  <c r="BM831" i="178"/>
  <c r="AR596" i="178"/>
  <c r="AS596" i="178"/>
  <c r="BI595" i="178"/>
  <c r="BH595" i="178"/>
  <c r="AZ396" i="178"/>
  <c r="BA396" i="178"/>
  <c r="AR395" i="178"/>
  <c r="AS395" i="178"/>
  <c r="BI148" i="178"/>
  <c r="BH148" i="178"/>
  <c r="AZ146" i="178"/>
  <c r="BA146" i="178"/>
  <c r="AR662" i="178"/>
  <c r="AS662" i="178"/>
  <c r="BN123" i="178"/>
  <c r="BO123" i="178"/>
  <c r="AZ98" i="178"/>
  <c r="BA98" i="178"/>
  <c r="BG97" i="178"/>
  <c r="BF97" i="178"/>
  <c r="BL912" i="178"/>
  <c r="BM912" i="178"/>
  <c r="BD451" i="178"/>
  <c r="BE451" i="178"/>
  <c r="AV451" i="178"/>
  <c r="AW451" i="178"/>
  <c r="BL656" i="178"/>
  <c r="BM656" i="178"/>
  <c r="BD655" i="178"/>
  <c r="BE655" i="178"/>
  <c r="AV655" i="178"/>
  <c r="AW655" i="178"/>
  <c r="BL654" i="178"/>
  <c r="BM654" i="178"/>
  <c r="BD652" i="178"/>
  <c r="BE652" i="178"/>
  <c r="AV652" i="178"/>
  <c r="AW652" i="178"/>
  <c r="BL1035" i="178"/>
  <c r="BM1035" i="178"/>
  <c r="BD650" i="178"/>
  <c r="BE650" i="178"/>
  <c r="AV650" i="178"/>
  <c r="AW650" i="178"/>
  <c r="BL649" i="178"/>
  <c r="BM649" i="178"/>
  <c r="BE633" i="178"/>
  <c r="BD633" i="178"/>
  <c r="AW633" i="178"/>
  <c r="AV633" i="178"/>
  <c r="BL422" i="178"/>
  <c r="BM422" i="178"/>
  <c r="BD422" i="178"/>
  <c r="BE422" i="178"/>
  <c r="AV422" i="178"/>
  <c r="AW422" i="178"/>
  <c r="BL785" i="178"/>
  <c r="BM785" i="178"/>
  <c r="BD785" i="178"/>
  <c r="BE785" i="178"/>
  <c r="AV785" i="178"/>
  <c r="AW785" i="178"/>
  <c r="BM784" i="178"/>
  <c r="BL784" i="178"/>
  <c r="BD784" i="178"/>
  <c r="BE784" i="178"/>
  <c r="AV784" i="178"/>
  <c r="AW784" i="178"/>
  <c r="BL783" i="178"/>
  <c r="BM783" i="178"/>
  <c r="BD783" i="178"/>
  <c r="BE783" i="178"/>
  <c r="AV783" i="178"/>
  <c r="AW783" i="178"/>
  <c r="BL628" i="178"/>
  <c r="BM628" i="178"/>
  <c r="BD628" i="178"/>
  <c r="BE628" i="178"/>
  <c r="AV628" i="178"/>
  <c r="AW628" i="178"/>
  <c r="BL627" i="178"/>
  <c r="BM627" i="178"/>
  <c r="BE627" i="178"/>
  <c r="BD627" i="178"/>
  <c r="AW627" i="178"/>
  <c r="AV627" i="178"/>
  <c r="BM417" i="178"/>
  <c r="BL417" i="178"/>
  <c r="BD417" i="178"/>
  <c r="BE417" i="178"/>
  <c r="AV417" i="178"/>
  <c r="AW417" i="178"/>
  <c r="BL408" i="178"/>
  <c r="BM408" i="178"/>
  <c r="BD408" i="178"/>
  <c r="BE408" i="178"/>
  <c r="AV408" i="178"/>
  <c r="AW408" i="178"/>
  <c r="BL626" i="178"/>
  <c r="BM626" i="178"/>
  <c r="BD626" i="178"/>
  <c r="BE626" i="178"/>
  <c r="AV626" i="178"/>
  <c r="AW626" i="178"/>
  <c r="BL407" i="178"/>
  <c r="BM407" i="178"/>
  <c r="BE407" i="178"/>
  <c r="BD407" i="178"/>
  <c r="AW407" i="178"/>
  <c r="AV407" i="178"/>
  <c r="BM625" i="178"/>
  <c r="BL625" i="178"/>
  <c r="BD625" i="178"/>
  <c r="BE625" i="178"/>
  <c r="AV625" i="178"/>
  <c r="AW625" i="178"/>
  <c r="BN416" i="178"/>
  <c r="BO416" i="178"/>
  <c r="BG416" i="178"/>
  <c r="BF416" i="178"/>
  <c r="AY416" i="178"/>
  <c r="AX416" i="178"/>
  <c r="V416" i="178"/>
  <c r="BI415" i="178"/>
  <c r="BH415" i="178"/>
  <c r="BA415" i="178"/>
  <c r="AZ415" i="178"/>
  <c r="AS415" i="178"/>
  <c r="AR415" i="178"/>
  <c r="BB624" i="178"/>
  <c r="BC624" i="178"/>
  <c r="AT624" i="178"/>
  <c r="AU624" i="178"/>
  <c r="BL833" i="178"/>
  <c r="BM833" i="178"/>
  <c r="BD833" i="178"/>
  <c r="BE833" i="178"/>
  <c r="AV833" i="178"/>
  <c r="AW833" i="178"/>
  <c r="BO832" i="178"/>
  <c r="BN832" i="178"/>
  <c r="BF832" i="178"/>
  <c r="BG832" i="178"/>
  <c r="AX832" i="178"/>
  <c r="AY832" i="178"/>
  <c r="V832" i="178"/>
  <c r="BI831" i="178"/>
  <c r="BH831" i="178"/>
  <c r="BA831" i="178"/>
  <c r="AZ831" i="178"/>
  <c r="AS831" i="178"/>
  <c r="AR831" i="178"/>
  <c r="BB597" i="178"/>
  <c r="BC597" i="178"/>
  <c r="AT597" i="178"/>
  <c r="AU597" i="178"/>
  <c r="BL596" i="178"/>
  <c r="BM596" i="178"/>
  <c r="BD596" i="178"/>
  <c r="BE596" i="178"/>
  <c r="AV596" i="178"/>
  <c r="AW596" i="178"/>
  <c r="BL397" i="178"/>
  <c r="BM397" i="178"/>
  <c r="BD397" i="178"/>
  <c r="BE397" i="178"/>
  <c r="AV397" i="178"/>
  <c r="AW397" i="178"/>
  <c r="BL595" i="178"/>
  <c r="BM595" i="178"/>
  <c r="BE595" i="178"/>
  <c r="BD595" i="178"/>
  <c r="AW595" i="178"/>
  <c r="AV595" i="178"/>
  <c r="BM396" i="178"/>
  <c r="BL396" i="178"/>
  <c r="BD396" i="178"/>
  <c r="BE396" i="178"/>
  <c r="AV396" i="178"/>
  <c r="AW396" i="178"/>
  <c r="BL395" i="178"/>
  <c r="BM395" i="178"/>
  <c r="BD395" i="178"/>
  <c r="BE395" i="178"/>
  <c r="AV395" i="178"/>
  <c r="AW395" i="178"/>
  <c r="BL159" i="178"/>
  <c r="BM159" i="178"/>
  <c r="BD159" i="178"/>
  <c r="BE159" i="178"/>
  <c r="AV159" i="178"/>
  <c r="AW159" i="178"/>
  <c r="BL148" i="178"/>
  <c r="BM148" i="178"/>
  <c r="BE148" i="178"/>
  <c r="BD148" i="178"/>
  <c r="AW148" i="178"/>
  <c r="AV148" i="178"/>
  <c r="BM146" i="178"/>
  <c r="BL146" i="178"/>
  <c r="BD146" i="178"/>
  <c r="BE146" i="178"/>
  <c r="AV146" i="178"/>
  <c r="AW146" i="178"/>
  <c r="BL710" i="178"/>
  <c r="BM710" i="178"/>
  <c r="BD710" i="178"/>
  <c r="BE710" i="178"/>
  <c r="AV710" i="178"/>
  <c r="AW710" i="178"/>
  <c r="BN709" i="178"/>
  <c r="BO709" i="178"/>
  <c r="BF709" i="178"/>
  <c r="BG709" i="178"/>
  <c r="AX709" i="178"/>
  <c r="AY709" i="178"/>
  <c r="V709" i="178"/>
  <c r="BH669" i="178"/>
  <c r="BI669" i="178"/>
  <c r="AZ669" i="178"/>
  <c r="BA669" i="178"/>
  <c r="AR669" i="178"/>
  <c r="AS669" i="178"/>
  <c r="BL914" i="178"/>
  <c r="BM914" i="178"/>
  <c r="BD914" i="178"/>
  <c r="BE914" i="178"/>
  <c r="AV914" i="178"/>
  <c r="AW914" i="178"/>
  <c r="BL506" i="178"/>
  <c r="BM506" i="178"/>
  <c r="BD506" i="178"/>
  <c r="BE506" i="178"/>
  <c r="AV506" i="178"/>
  <c r="AW506" i="178"/>
  <c r="BL662" i="178"/>
  <c r="BM662" i="178"/>
  <c r="BD662" i="178"/>
  <c r="BE662" i="178"/>
  <c r="AV662" i="178"/>
  <c r="AW662" i="178"/>
  <c r="BN472" i="178"/>
  <c r="BO472" i="178"/>
  <c r="BF472" i="178"/>
  <c r="BG472" i="178"/>
  <c r="AX472" i="178"/>
  <c r="AY472" i="178"/>
  <c r="BM471" i="178"/>
  <c r="BL471" i="178"/>
  <c r="BD471" i="178"/>
  <c r="BE471" i="178"/>
  <c r="AV471" i="178"/>
  <c r="AW471" i="178"/>
  <c r="BC123" i="178"/>
  <c r="BB123" i="178"/>
  <c r="AU123" i="178"/>
  <c r="AT123" i="178"/>
  <c r="BH122" i="178"/>
  <c r="BI122" i="178"/>
  <c r="AZ122" i="178"/>
  <c r="BA122" i="178"/>
  <c r="AR122" i="178"/>
  <c r="AS122" i="178"/>
  <c r="BM98" i="178"/>
  <c r="BL98" i="178"/>
  <c r="BD98" i="178"/>
  <c r="BE98" i="178"/>
  <c r="AV98" i="178"/>
  <c r="AW98" i="178"/>
  <c r="BC97" i="178"/>
  <c r="BB97" i="178"/>
  <c r="AU97" i="178"/>
  <c r="AT97" i="178"/>
  <c r="BH912" i="178"/>
  <c r="BI912" i="178"/>
  <c r="AZ912" i="178"/>
  <c r="BA912" i="178"/>
  <c r="AR912" i="178"/>
  <c r="AS912" i="178"/>
  <c r="BB661" i="178"/>
  <c r="BC661" i="178"/>
  <c r="AT661" i="178"/>
  <c r="AU661" i="178"/>
  <c r="BH96" i="178"/>
  <c r="BI96" i="178"/>
  <c r="AZ96" i="178"/>
  <c r="BA96" i="178"/>
  <c r="AR96" i="178"/>
  <c r="AS96" i="178"/>
  <c r="BN95" i="178"/>
  <c r="BO95" i="178"/>
  <c r="BG95" i="178"/>
  <c r="BF95" i="178"/>
  <c r="AY95" i="178"/>
  <c r="AX95" i="178"/>
  <c r="BL93" i="178"/>
  <c r="BM93" i="178"/>
  <c r="BD93" i="178"/>
  <c r="BE93" i="178"/>
  <c r="AV93" i="178"/>
  <c r="AW93" i="178"/>
  <c r="BB706" i="178"/>
  <c r="BC706" i="178"/>
  <c r="AT706" i="178"/>
  <c r="AU706" i="178"/>
  <c r="BH92" i="178"/>
  <c r="BI92" i="178"/>
  <c r="AZ92" i="178"/>
  <c r="BA92" i="178"/>
  <c r="AR92" i="178"/>
  <c r="AS92" i="178"/>
  <c r="BH458" i="178"/>
  <c r="AZ458" i="178"/>
  <c r="AR458" i="178"/>
  <c r="BN456" i="178"/>
  <c r="BO456" i="178"/>
  <c r="BF456" i="178"/>
  <c r="BG456" i="178"/>
  <c r="AX456" i="178"/>
  <c r="AY456" i="178"/>
  <c r="BN455" i="178"/>
  <c r="BF455" i="178"/>
  <c r="AX455" i="178"/>
  <c r="BM923" i="178"/>
  <c r="AS923" i="178"/>
  <c r="AW923" i="178"/>
  <c r="BA923" i="178"/>
  <c r="BE923" i="178"/>
  <c r="BI923" i="178"/>
  <c r="BO923" i="178"/>
  <c r="AU923" i="178"/>
  <c r="AY923" i="178"/>
  <c r="BC923" i="178"/>
  <c r="BG923" i="178"/>
  <c r="BL922" i="178"/>
  <c r="AR922" i="178"/>
  <c r="AV922" i="178"/>
  <c r="AZ922" i="178"/>
  <c r="BD922" i="178"/>
  <c r="BH922" i="178"/>
  <c r="BN922" i="178"/>
  <c r="BB922" i="178"/>
  <c r="BF922" i="178"/>
  <c r="AT922" i="178"/>
  <c r="BJ922" i="178"/>
  <c r="AX922" i="178"/>
  <c r="BM853" i="178"/>
  <c r="AS853" i="178"/>
  <c r="AW853" i="178"/>
  <c r="BA853" i="178"/>
  <c r="BE853" i="178"/>
  <c r="BI853" i="178"/>
  <c r="BO853" i="178"/>
  <c r="BG853" i="178"/>
  <c r="AU853" i="178"/>
  <c r="AY853" i="178"/>
  <c r="BC853" i="178"/>
  <c r="BL852" i="178"/>
  <c r="AR852" i="178"/>
  <c r="AV852" i="178"/>
  <c r="AZ852" i="178"/>
  <c r="BD852" i="178"/>
  <c r="BH852" i="178"/>
  <c r="BN852" i="178"/>
  <c r="AX852" i="178"/>
  <c r="BB852" i="178"/>
  <c r="BF852" i="178"/>
  <c r="AT852" i="178"/>
  <c r="BJ852" i="178"/>
  <c r="BM746" i="178"/>
  <c r="AS746" i="178"/>
  <c r="AW746" i="178"/>
  <c r="BA746" i="178"/>
  <c r="BE746" i="178"/>
  <c r="BI746" i="178"/>
  <c r="BO746" i="178"/>
  <c r="BC746" i="178"/>
  <c r="BG746" i="178"/>
  <c r="AU746" i="178"/>
  <c r="AY746" i="178"/>
  <c r="AT849" i="178"/>
  <c r="BL849" i="178"/>
  <c r="AZ849" i="178"/>
  <c r="BD849" i="178"/>
  <c r="BH849" i="178"/>
  <c r="AV849" i="178"/>
  <c r="BN849" i="178"/>
  <c r="AR849" i="178"/>
  <c r="BJ849" i="178"/>
  <c r="AX849" i="178"/>
  <c r="BB849" i="178"/>
  <c r="BF849" i="178"/>
  <c r="AT693" i="178"/>
  <c r="AX693" i="178"/>
  <c r="BB693" i="178"/>
  <c r="BF693" i="178"/>
  <c r="BJ693" i="178"/>
  <c r="BL693" i="178"/>
  <c r="AV693" i="178"/>
  <c r="BD693" i="178"/>
  <c r="BN693" i="178"/>
  <c r="AR693" i="178"/>
  <c r="AZ693" i="178"/>
  <c r="BH693" i="178"/>
  <c r="BN701" i="178"/>
  <c r="AT701" i="178"/>
  <c r="AX701" i="178"/>
  <c r="BB701" i="178"/>
  <c r="BF701" i="178"/>
  <c r="BJ701" i="178"/>
  <c r="BL701" i="178"/>
  <c r="AV701" i="178"/>
  <c r="BD701" i="178"/>
  <c r="AR701" i="178"/>
  <c r="AZ701" i="178"/>
  <c r="BH701" i="178"/>
  <c r="BM700" i="178"/>
  <c r="AS700" i="178"/>
  <c r="AW700" i="178"/>
  <c r="BA700" i="178"/>
  <c r="BE700" i="178"/>
  <c r="BI700" i="178"/>
  <c r="AU700" i="178"/>
  <c r="BC700" i="178"/>
  <c r="BO700" i="178"/>
  <c r="AY700" i="178"/>
  <c r="BG700" i="178"/>
  <c r="AU699" i="178"/>
  <c r="AY699" i="178"/>
  <c r="BC699" i="178"/>
  <c r="BG699" i="178"/>
  <c r="BM699" i="178"/>
  <c r="AS699" i="178"/>
  <c r="BA699" i="178"/>
  <c r="BI699" i="178"/>
  <c r="AW699" i="178"/>
  <c r="BE699" i="178"/>
  <c r="BO699" i="178"/>
  <c r="BL821" i="178"/>
  <c r="AR821" i="178"/>
  <c r="AV821" i="178"/>
  <c r="AZ821" i="178"/>
  <c r="BD821" i="178"/>
  <c r="BH821" i="178"/>
  <c r="BN821" i="178"/>
  <c r="AX821" i="178"/>
  <c r="BF821" i="178"/>
  <c r="BB821" i="178"/>
  <c r="BJ821" i="178"/>
  <c r="AT821" i="178"/>
  <c r="BM817" i="178"/>
  <c r="AS817" i="178"/>
  <c r="AW817" i="178"/>
  <c r="BA817" i="178"/>
  <c r="BE817" i="178"/>
  <c r="BI817" i="178"/>
  <c r="AU817" i="178"/>
  <c r="BC817" i="178"/>
  <c r="BO817" i="178"/>
  <c r="BG817" i="178"/>
  <c r="AY817" i="178"/>
  <c r="AT446" i="178"/>
  <c r="AX446" i="178"/>
  <c r="BB446" i="178"/>
  <c r="BF446" i="178"/>
  <c r="BJ446" i="178"/>
  <c r="BL446" i="178"/>
  <c r="AR446" i="178"/>
  <c r="AZ446" i="178"/>
  <c r="BH446" i="178"/>
  <c r="AV446" i="178"/>
  <c r="BD446" i="178"/>
  <c r="BN446" i="178"/>
  <c r="AS61" i="178"/>
  <c r="AW61" i="178"/>
  <c r="BA61" i="178"/>
  <c r="BE61" i="178"/>
  <c r="BI61" i="178"/>
  <c r="BO61" i="178"/>
  <c r="AY61" i="178"/>
  <c r="BG61" i="178"/>
  <c r="AU61" i="178"/>
  <c r="BC61" i="178"/>
  <c r="BM61" i="178"/>
  <c r="BL59" i="178"/>
  <c r="AR59" i="178"/>
  <c r="AV59" i="178"/>
  <c r="AZ59" i="178"/>
  <c r="BD59" i="178"/>
  <c r="BH59" i="178"/>
  <c r="BN59" i="178"/>
  <c r="AX59" i="178"/>
  <c r="BF59" i="178"/>
  <c r="AT59" i="178"/>
  <c r="BB59" i="178"/>
  <c r="BJ59" i="178"/>
  <c r="BM816" i="178"/>
  <c r="AS816" i="178"/>
  <c r="AW816" i="178"/>
  <c r="BA816" i="178"/>
  <c r="BE816" i="178"/>
  <c r="BI816" i="178"/>
  <c r="BO816" i="178"/>
  <c r="AU816" i="178"/>
  <c r="AY816" i="178"/>
  <c r="BC816" i="178"/>
  <c r="BG816" i="178"/>
  <c r="AT814" i="178"/>
  <c r="AX814" i="178"/>
  <c r="BB814" i="178"/>
  <c r="BF814" i="178"/>
  <c r="BJ814" i="178"/>
  <c r="BL814" i="178"/>
  <c r="AR814" i="178"/>
  <c r="AV814" i="178"/>
  <c r="AZ814" i="178"/>
  <c r="BD814" i="178"/>
  <c r="BH814" i="178"/>
  <c r="BN814" i="178"/>
  <c r="AS813" i="178"/>
  <c r="AW813" i="178"/>
  <c r="BA813" i="178"/>
  <c r="BE813" i="178"/>
  <c r="BI813" i="178"/>
  <c r="BO813" i="178"/>
  <c r="AU813" i="178"/>
  <c r="AY813" i="178"/>
  <c r="BC813" i="178"/>
  <c r="BG813" i="178"/>
  <c r="BM813" i="178"/>
  <c r="BL811" i="178"/>
  <c r="AR811" i="178"/>
  <c r="AV811" i="178"/>
  <c r="AZ811" i="178"/>
  <c r="BD811" i="178"/>
  <c r="BH811" i="178"/>
  <c r="BN811" i="178"/>
  <c r="AT811" i="178"/>
  <c r="AX811" i="178"/>
  <c r="BB811" i="178"/>
  <c r="BF811" i="178"/>
  <c r="BJ811" i="178"/>
  <c r="BM683" i="178"/>
  <c r="AS683" i="178"/>
  <c r="AW683" i="178"/>
  <c r="BA683" i="178"/>
  <c r="BE683" i="178"/>
  <c r="BI683" i="178"/>
  <c r="BO683" i="178"/>
  <c r="AU683" i="178"/>
  <c r="AY683" i="178"/>
  <c r="BC683" i="178"/>
  <c r="BG683" i="178"/>
  <c r="AT632" i="178"/>
  <c r="AX632" i="178"/>
  <c r="BB632" i="178"/>
  <c r="BF632" i="178"/>
  <c r="BJ632" i="178"/>
  <c r="BL632" i="178"/>
  <c r="AR632" i="178"/>
  <c r="AV632" i="178"/>
  <c r="AZ632" i="178"/>
  <c r="BD632" i="178"/>
  <c r="BH632" i="178"/>
  <c r="BN632" i="178"/>
  <c r="AS186" i="178"/>
  <c r="AW186" i="178"/>
  <c r="BA186" i="178"/>
  <c r="BE186" i="178"/>
  <c r="BI186" i="178"/>
  <c r="BO186" i="178"/>
  <c r="AU186" i="178"/>
  <c r="AY186" i="178"/>
  <c r="BC186" i="178"/>
  <c r="BG186" i="178"/>
  <c r="BM186" i="178"/>
  <c r="S948" i="178"/>
  <c r="BK948" i="178" s="1"/>
  <c r="AR948" i="178"/>
  <c r="AV948" i="178"/>
  <c r="AZ948" i="178"/>
  <c r="BD948" i="178"/>
  <c r="BH948" i="178"/>
  <c r="BN948" i="178"/>
  <c r="AT948" i="178"/>
  <c r="AX948" i="178"/>
  <c r="BB948" i="178"/>
  <c r="BF948" i="178"/>
  <c r="BJ948" i="178"/>
  <c r="BL948" i="178"/>
  <c r="BG1040" i="178"/>
  <c r="AY1040" i="178"/>
  <c r="BE1039" i="178"/>
  <c r="AW1039" i="178"/>
  <c r="BC657" i="178"/>
  <c r="AU657" i="178"/>
  <c r="BI656" i="178"/>
  <c r="BA656" i="178"/>
  <c r="AS656" i="178"/>
  <c r="BG449" i="178"/>
  <c r="AY449" i="178"/>
  <c r="BO655" i="178"/>
  <c r="BE654" i="178"/>
  <c r="AW654" i="178"/>
  <c r="BM653" i="178"/>
  <c r="BC448" i="178"/>
  <c r="AU448" i="178"/>
  <c r="BI1035" i="178"/>
  <c r="BA1035" i="178"/>
  <c r="AS1035" i="178"/>
  <c r="BG968" i="178"/>
  <c r="AY968" i="178"/>
  <c r="BO650" i="178"/>
  <c r="BE649" i="178"/>
  <c r="BM633" i="178"/>
  <c r="BH652" i="178"/>
  <c r="BI652" i="178"/>
  <c r="AS633" i="178"/>
  <c r="AR633" i="178"/>
  <c r="AZ785" i="178"/>
  <c r="BA785" i="178"/>
  <c r="AR784" i="178"/>
  <c r="AS784" i="178"/>
  <c r="BH628" i="178"/>
  <c r="BI628" i="178"/>
  <c r="BA627" i="178"/>
  <c r="AZ627" i="178"/>
  <c r="BH408" i="178"/>
  <c r="BI408" i="178"/>
  <c r="AZ626" i="178"/>
  <c r="BA626" i="178"/>
  <c r="BA407" i="178"/>
  <c r="AZ407" i="178"/>
  <c r="AR625" i="178"/>
  <c r="AS625" i="178"/>
  <c r="AX624" i="178"/>
  <c r="AY624" i="178"/>
  <c r="AR833" i="178"/>
  <c r="AS833" i="178"/>
  <c r="BN597" i="178"/>
  <c r="BO597" i="178"/>
  <c r="BH596" i="178"/>
  <c r="BI596" i="178"/>
  <c r="AZ397" i="178"/>
  <c r="BA397" i="178"/>
  <c r="AS595" i="178"/>
  <c r="AR595" i="178"/>
  <c r="AR396" i="178"/>
  <c r="AS396" i="178"/>
  <c r="BH159" i="178"/>
  <c r="BI159" i="178"/>
  <c r="BA148" i="178"/>
  <c r="AZ148" i="178"/>
  <c r="AZ710" i="178"/>
  <c r="BA710" i="178"/>
  <c r="AV669" i="178"/>
  <c r="AW669" i="178"/>
  <c r="BH914" i="178"/>
  <c r="BI914" i="178"/>
  <c r="BH506" i="178"/>
  <c r="BI506" i="178"/>
  <c r="AZ662" i="178"/>
  <c r="BA662" i="178"/>
  <c r="BB472" i="178"/>
  <c r="BC472" i="178"/>
  <c r="BH471" i="178"/>
  <c r="BI471" i="178"/>
  <c r="AV122" i="178"/>
  <c r="AW122" i="178"/>
  <c r="AR98" i="178"/>
  <c r="AS98" i="178"/>
  <c r="AV912" i="178"/>
  <c r="AW912" i="178"/>
  <c r="BL1039" i="178"/>
  <c r="BM1039" i="178"/>
  <c r="BB450" i="178"/>
  <c r="BC450" i="178"/>
  <c r="AT450" i="178"/>
  <c r="AU450" i="178"/>
  <c r="BB653" i="178"/>
  <c r="BC653" i="178"/>
  <c r="AT653" i="178"/>
  <c r="AU653" i="178"/>
  <c r="BB649" i="178"/>
  <c r="BC649" i="178"/>
  <c r="AT649" i="178"/>
  <c r="AU649" i="178"/>
  <c r="BB633" i="178"/>
  <c r="BC633" i="178"/>
  <c r="AT633" i="178"/>
  <c r="AU633" i="178"/>
  <c r="BC422" i="178"/>
  <c r="BB422" i="178"/>
  <c r="AU422" i="178"/>
  <c r="AT422" i="178"/>
  <c r="BB785" i="178"/>
  <c r="BC785" i="178"/>
  <c r="AT785" i="178"/>
  <c r="AU785" i="178"/>
  <c r="BB784" i="178"/>
  <c r="BC784" i="178"/>
  <c r="AT784" i="178"/>
  <c r="AU784" i="178"/>
  <c r="BC783" i="178"/>
  <c r="BB783" i="178"/>
  <c r="AU783" i="178"/>
  <c r="AT783" i="178"/>
  <c r="BB628" i="178"/>
  <c r="BC628" i="178"/>
  <c r="AT628" i="178"/>
  <c r="AU628" i="178"/>
  <c r="BB627" i="178"/>
  <c r="BC627" i="178"/>
  <c r="AT627" i="178"/>
  <c r="AU627" i="178"/>
  <c r="BB417" i="178"/>
  <c r="BC417" i="178"/>
  <c r="AT417" i="178"/>
  <c r="AU417" i="178"/>
  <c r="BC408" i="178"/>
  <c r="BB408" i="178"/>
  <c r="AU408" i="178"/>
  <c r="AT408" i="178"/>
  <c r="BB626" i="178"/>
  <c r="BC626" i="178"/>
  <c r="AT626" i="178"/>
  <c r="AU626" i="178"/>
  <c r="BB407" i="178"/>
  <c r="BC407" i="178"/>
  <c r="AT407" i="178"/>
  <c r="AU407" i="178"/>
  <c r="BB625" i="178"/>
  <c r="BC625" i="178"/>
  <c r="AT625" i="178"/>
  <c r="AU625" i="178"/>
  <c r="BL416" i="178"/>
  <c r="BM416" i="178"/>
  <c r="BD416" i="178"/>
  <c r="BE416" i="178"/>
  <c r="AV416" i="178"/>
  <c r="AW416" i="178"/>
  <c r="BO415" i="178"/>
  <c r="BN415" i="178"/>
  <c r="BF415" i="178"/>
  <c r="BG415" i="178"/>
  <c r="AX415" i="178"/>
  <c r="AY415" i="178"/>
  <c r="BH624" i="178"/>
  <c r="BI624" i="178"/>
  <c r="AZ624" i="178"/>
  <c r="BA624" i="178"/>
  <c r="AR624" i="178"/>
  <c r="AS624" i="178"/>
  <c r="BC833" i="178"/>
  <c r="BB833" i="178"/>
  <c r="AU833" i="178"/>
  <c r="AT833" i="178"/>
  <c r="BL832" i="178"/>
  <c r="BM832" i="178"/>
  <c r="BD832" i="178"/>
  <c r="BE832" i="178"/>
  <c r="AV832" i="178"/>
  <c r="AW832" i="178"/>
  <c r="BN831" i="178"/>
  <c r="BO831" i="178"/>
  <c r="BF831" i="178"/>
  <c r="BG831" i="178"/>
  <c r="AX831" i="178"/>
  <c r="AY831" i="178"/>
  <c r="BH597" i="178"/>
  <c r="BI597" i="178"/>
  <c r="AZ597" i="178"/>
  <c r="BA597" i="178"/>
  <c r="AR597" i="178"/>
  <c r="AS597" i="178"/>
  <c r="BC596" i="178"/>
  <c r="BB596" i="178"/>
  <c r="AU596" i="178"/>
  <c r="AT596" i="178"/>
  <c r="BB397" i="178"/>
  <c r="BC397" i="178"/>
  <c r="AT397" i="178"/>
  <c r="AU397" i="178"/>
  <c r="BB595" i="178"/>
  <c r="BC595" i="178"/>
  <c r="AT595" i="178"/>
  <c r="AU595" i="178"/>
  <c r="BB396" i="178"/>
  <c r="BC396" i="178"/>
  <c r="AT396" i="178"/>
  <c r="AU396" i="178"/>
  <c r="BC395" i="178"/>
  <c r="BB395" i="178"/>
  <c r="AU395" i="178"/>
  <c r="AT395" i="178"/>
  <c r="BB159" i="178"/>
  <c r="BC159" i="178"/>
  <c r="AT159" i="178"/>
  <c r="AU159" i="178"/>
  <c r="BB148" i="178"/>
  <c r="BC148" i="178"/>
  <c r="AT148" i="178"/>
  <c r="AU148" i="178"/>
  <c r="BB146" i="178"/>
  <c r="BC146" i="178"/>
  <c r="AT146" i="178"/>
  <c r="AU146" i="178"/>
  <c r="BB710" i="178"/>
  <c r="BC710" i="178"/>
  <c r="AT710" i="178"/>
  <c r="AU710" i="178"/>
  <c r="BL709" i="178"/>
  <c r="BM709" i="178"/>
  <c r="BE709" i="178"/>
  <c r="BD709" i="178"/>
  <c r="AW709" i="178"/>
  <c r="AV709" i="178"/>
  <c r="BN669" i="178"/>
  <c r="BO669" i="178"/>
  <c r="BF669" i="178"/>
  <c r="BG669" i="178"/>
  <c r="AX669" i="178"/>
  <c r="AY669" i="178"/>
  <c r="BB914" i="178"/>
  <c r="BC914" i="178"/>
  <c r="AT914" i="178"/>
  <c r="AU914" i="178"/>
  <c r="BB506" i="178"/>
  <c r="BC506" i="178"/>
  <c r="AT506" i="178"/>
  <c r="AU506" i="178"/>
  <c r="V506" i="178"/>
  <c r="BB662" i="178"/>
  <c r="BC662" i="178"/>
  <c r="AT662" i="178"/>
  <c r="AU662" i="178"/>
  <c r="BL472" i="178"/>
  <c r="BM472" i="178"/>
  <c r="BE472" i="178"/>
  <c r="BD472" i="178"/>
  <c r="AW472" i="178"/>
  <c r="AV472" i="178"/>
  <c r="BB471" i="178"/>
  <c r="BC471" i="178"/>
  <c r="AT471" i="178"/>
  <c r="AU471" i="178"/>
  <c r="BH123" i="178"/>
  <c r="BI123" i="178"/>
  <c r="AZ123" i="178"/>
  <c r="BA123" i="178"/>
  <c r="AR123" i="178"/>
  <c r="AS123" i="178"/>
  <c r="BO122" i="178"/>
  <c r="BN122" i="178"/>
  <c r="BF122" i="178"/>
  <c r="BG122" i="178"/>
  <c r="AX122" i="178"/>
  <c r="AY122" i="178"/>
  <c r="BB98" i="178"/>
  <c r="BC98" i="178"/>
  <c r="AT98" i="178"/>
  <c r="AU98" i="178"/>
  <c r="BH97" i="178"/>
  <c r="BI97" i="178"/>
  <c r="AZ97" i="178"/>
  <c r="BA97" i="178"/>
  <c r="AR97" i="178"/>
  <c r="AS97" i="178"/>
  <c r="BO912" i="178"/>
  <c r="BN912" i="178"/>
  <c r="BF912" i="178"/>
  <c r="BG912" i="178"/>
  <c r="AX912" i="178"/>
  <c r="AY912" i="178"/>
  <c r="BI661" i="178"/>
  <c r="BH661" i="178"/>
  <c r="BA661" i="178"/>
  <c r="AZ661" i="178"/>
  <c r="AS661" i="178"/>
  <c r="AR661" i="178"/>
  <c r="BN96" i="178"/>
  <c r="BO96" i="178"/>
  <c r="BF96" i="178"/>
  <c r="BG96" i="178"/>
  <c r="AX96" i="178"/>
  <c r="AY96" i="178"/>
  <c r="BL95" i="178"/>
  <c r="BM95" i="178"/>
  <c r="BD95" i="178"/>
  <c r="BE95" i="178"/>
  <c r="AV95" i="178"/>
  <c r="AW95" i="178"/>
  <c r="BB93" i="178"/>
  <c r="BC93" i="178"/>
  <c r="AT93" i="178"/>
  <c r="AU93" i="178"/>
  <c r="BI706" i="178"/>
  <c r="BH706" i="178"/>
  <c r="BA706" i="178"/>
  <c r="AZ706" i="178"/>
  <c r="AS706" i="178"/>
  <c r="AR706" i="178"/>
  <c r="BN92" i="178"/>
  <c r="BO92" i="178"/>
  <c r="BF92" i="178"/>
  <c r="BG92" i="178"/>
  <c r="AX92" i="178"/>
  <c r="AY92" i="178"/>
  <c r="BN458" i="178"/>
  <c r="BF458" i="178"/>
  <c r="AX458" i="178"/>
  <c r="V458" i="178"/>
  <c r="BM456" i="178"/>
  <c r="BL456" i="178"/>
  <c r="BD456" i="178"/>
  <c r="BE456" i="178"/>
  <c r="AV456" i="178"/>
  <c r="AW456" i="178"/>
  <c r="BL455" i="178"/>
  <c r="BD455" i="178"/>
  <c r="AV455" i="178"/>
  <c r="S962" i="178"/>
  <c r="BK962" i="178" s="1"/>
  <c r="S961" i="178"/>
  <c r="BK961" i="178" s="1"/>
  <c r="S944" i="178"/>
  <c r="BK944" i="178" s="1"/>
  <c r="S943" i="178"/>
  <c r="BK943" i="178" s="1"/>
  <c r="S942" i="178"/>
  <c r="BK942" i="178" s="1"/>
  <c r="S941" i="178"/>
  <c r="BK941" i="178" s="1"/>
  <c r="S940" i="178"/>
  <c r="BK940" i="178" s="1"/>
  <c r="S924" i="178"/>
  <c r="BK924" i="178" s="1"/>
  <c r="AR923" i="178"/>
  <c r="AV923" i="178"/>
  <c r="AZ923" i="178"/>
  <c r="BD923" i="178"/>
  <c r="BH923" i="178"/>
  <c r="BN923" i="178"/>
  <c r="AT923" i="178"/>
  <c r="AX923" i="178"/>
  <c r="BB923" i="178"/>
  <c r="BF923" i="178"/>
  <c r="BJ923" i="178"/>
  <c r="BL923" i="178"/>
  <c r="AR853" i="178"/>
  <c r="AV853" i="178"/>
  <c r="AZ853" i="178"/>
  <c r="BD853" i="178"/>
  <c r="BH853" i="178"/>
  <c r="BN853" i="178"/>
  <c r="AT853" i="178"/>
  <c r="AX853" i="178"/>
  <c r="BB853" i="178"/>
  <c r="BF853" i="178"/>
  <c r="BJ853" i="178"/>
  <c r="BL853" i="178"/>
  <c r="S850" i="178"/>
  <c r="BK850" i="178" s="1"/>
  <c r="AR746" i="178"/>
  <c r="AV746" i="178"/>
  <c r="AZ746" i="178"/>
  <c r="BD746" i="178"/>
  <c r="BH746" i="178"/>
  <c r="BN746" i="178"/>
  <c r="AT746" i="178"/>
  <c r="AX746" i="178"/>
  <c r="BB746" i="178"/>
  <c r="BF746" i="178"/>
  <c r="BJ746" i="178"/>
  <c r="BL746" i="178"/>
  <c r="S846" i="178"/>
  <c r="BK846" i="178" s="1"/>
  <c r="S840" i="178"/>
  <c r="BK840" i="178" s="1"/>
  <c r="S838" i="178"/>
  <c r="BK838" i="178" s="1"/>
  <c r="S836" i="178"/>
  <c r="BK836" i="178" s="1"/>
  <c r="S447" i="178"/>
  <c r="BK447" i="178" s="1"/>
  <c r="U693" i="178"/>
  <c r="AR700" i="178"/>
  <c r="AV700" i="178"/>
  <c r="AZ700" i="178"/>
  <c r="BD700" i="178"/>
  <c r="BH700" i="178"/>
  <c r="BN700" i="178"/>
  <c r="AT700" i="178"/>
  <c r="BB700" i="178"/>
  <c r="BJ700" i="178"/>
  <c r="BL700" i="178"/>
  <c r="AX700" i="178"/>
  <c r="BF700" i="178"/>
  <c r="BL699" i="178"/>
  <c r="AR699" i="178"/>
  <c r="AV699" i="178"/>
  <c r="AZ699" i="178"/>
  <c r="BD699" i="178"/>
  <c r="BH699" i="178"/>
  <c r="AT699" i="178"/>
  <c r="BB699" i="178"/>
  <c r="BJ699" i="178"/>
  <c r="BN699" i="178"/>
  <c r="BF699" i="178"/>
  <c r="AX699" i="178"/>
  <c r="S835" i="178"/>
  <c r="BK835" i="178" s="1"/>
  <c r="S834" i="178"/>
  <c r="BK834" i="178" s="1"/>
  <c r="U821" i="178"/>
  <c r="S820" i="178"/>
  <c r="BK820" i="178" s="1"/>
  <c r="AR817" i="178"/>
  <c r="AV817" i="178"/>
  <c r="AZ817" i="178"/>
  <c r="BD817" i="178"/>
  <c r="BH817" i="178"/>
  <c r="BN817" i="178"/>
  <c r="AT817" i="178"/>
  <c r="BB817" i="178"/>
  <c r="BJ817" i="178"/>
  <c r="BL817" i="178"/>
  <c r="AX817" i="178"/>
  <c r="BF817" i="178"/>
  <c r="S651" i="178"/>
  <c r="BK651" i="178" s="1"/>
  <c r="U446" i="178"/>
  <c r="BN61" i="178"/>
  <c r="AT61" i="178"/>
  <c r="AX61" i="178"/>
  <c r="BB61" i="178"/>
  <c r="BF61" i="178"/>
  <c r="BJ61" i="178"/>
  <c r="AR61" i="178"/>
  <c r="AZ61" i="178"/>
  <c r="BH61" i="178"/>
  <c r="BL61" i="178"/>
  <c r="AV61" i="178"/>
  <c r="BD61" i="178"/>
  <c r="U59" i="178"/>
  <c r="S58" i="178"/>
  <c r="BK58" i="178" s="1"/>
  <c r="AR816" i="178"/>
  <c r="AV816" i="178"/>
  <c r="AZ816" i="178"/>
  <c r="BD816" i="178"/>
  <c r="BH816" i="178"/>
  <c r="BN816" i="178"/>
  <c r="AT816" i="178"/>
  <c r="AX816" i="178"/>
  <c r="BB816" i="178"/>
  <c r="BF816" i="178"/>
  <c r="BJ816" i="178"/>
  <c r="BL816" i="178"/>
  <c r="S815" i="178"/>
  <c r="BK815" i="178" s="1"/>
  <c r="U814" i="178"/>
  <c r="BN813" i="178"/>
  <c r="AT813" i="178"/>
  <c r="AX813" i="178"/>
  <c r="BB813" i="178"/>
  <c r="BF813" i="178"/>
  <c r="BJ813" i="178"/>
  <c r="BL813" i="178"/>
  <c r="AR813" i="178"/>
  <c r="AV813" i="178"/>
  <c r="AZ813" i="178"/>
  <c r="BD813" i="178"/>
  <c r="BH813" i="178"/>
  <c r="U811" i="178"/>
  <c r="S810" i="178"/>
  <c r="BK810" i="178" s="1"/>
  <c r="AR683" i="178"/>
  <c r="AV683" i="178"/>
  <c r="AZ683" i="178"/>
  <c r="BD683" i="178"/>
  <c r="BH683" i="178"/>
  <c r="BN683" i="178"/>
  <c r="AT683" i="178"/>
  <c r="AX683" i="178"/>
  <c r="BB683" i="178"/>
  <c r="BF683" i="178"/>
  <c r="BJ683" i="178"/>
  <c r="BL683" i="178"/>
  <c r="U632" i="178"/>
  <c r="BN186" i="178"/>
  <c r="AT186" i="178"/>
  <c r="AX186" i="178"/>
  <c r="BB186" i="178"/>
  <c r="BF186" i="178"/>
  <c r="BJ186" i="178"/>
  <c r="BL186" i="178"/>
  <c r="AR186" i="178"/>
  <c r="AV186" i="178"/>
  <c r="AZ186" i="178"/>
  <c r="BD186" i="178"/>
  <c r="BH186" i="178"/>
  <c r="BD1040" i="178"/>
  <c r="AV1040" i="178"/>
  <c r="BB1039" i="178"/>
  <c r="AT1039" i="178"/>
  <c r="BH657" i="178"/>
  <c r="AZ657" i="178"/>
  <c r="AR657" i="178"/>
  <c r="BF656" i="178"/>
  <c r="AX656" i="178"/>
  <c r="BN450" i="178"/>
  <c r="BD449" i="178"/>
  <c r="AV449" i="178"/>
  <c r="BL655" i="178"/>
  <c r="BB654" i="178"/>
  <c r="AT654" i="178"/>
  <c r="BH448" i="178"/>
  <c r="AZ448" i="178"/>
  <c r="AR448" i="178"/>
  <c r="BF1035" i="178"/>
  <c r="AX1035" i="178"/>
  <c r="BD968" i="178"/>
  <c r="AV968" i="178"/>
  <c r="BL650" i="178"/>
  <c r="AT650" i="178"/>
  <c r="BA649" i="178"/>
  <c r="BH633" i="178"/>
  <c r="U662" i="178"/>
  <c r="V662" i="178"/>
  <c r="U123" i="178"/>
  <c r="V123" i="178"/>
  <c r="U98" i="178"/>
  <c r="V98" i="178"/>
  <c r="U96" i="178"/>
  <c r="V96" i="178"/>
  <c r="U706" i="178"/>
  <c r="V706" i="178"/>
  <c r="S455" i="178"/>
  <c r="BK455" i="178" s="1"/>
  <c r="V701" i="178"/>
  <c r="U701" i="178"/>
  <c r="V1040" i="178"/>
  <c r="V1039" i="178"/>
  <c r="S458" i="178"/>
  <c r="BK458" i="178" s="1"/>
  <c r="U471" i="178"/>
  <c r="V471" i="178"/>
  <c r="U122" i="178"/>
  <c r="V122" i="178"/>
  <c r="U97" i="178"/>
  <c r="V97" i="178"/>
  <c r="U661" i="178"/>
  <c r="V661" i="178"/>
  <c r="U472" i="178"/>
  <c r="V472" i="178"/>
  <c r="U912" i="178"/>
  <c r="V912" i="178"/>
  <c r="U95" i="178"/>
  <c r="V95" i="178"/>
  <c r="U93" i="178"/>
  <c r="V93" i="178"/>
  <c r="U92" i="178"/>
  <c r="V92" i="178"/>
  <c r="U456" i="178"/>
  <c r="V456" i="178"/>
  <c r="V699" i="178"/>
  <c r="U699" i="178"/>
  <c r="U962" i="178"/>
  <c r="V962" i="178"/>
  <c r="U961" i="178"/>
  <c r="V961" i="178"/>
  <c r="U944" i="178"/>
  <c r="V944" i="178"/>
  <c r="U943" i="178"/>
  <c r="V943" i="178"/>
  <c r="U942" i="178"/>
  <c r="V942" i="178"/>
  <c r="U941" i="178"/>
  <c r="V941" i="178"/>
  <c r="U940" i="178"/>
  <c r="V940" i="178"/>
  <c r="U924" i="178"/>
  <c r="V924" i="178"/>
  <c r="V846" i="178"/>
  <c r="U846" i="178"/>
  <c r="V840" i="178"/>
  <c r="U840" i="178"/>
  <c r="V838" i="178"/>
  <c r="U838" i="178"/>
  <c r="V836" i="178"/>
  <c r="U836" i="178"/>
  <c r="V447" i="178"/>
  <c r="U447" i="178"/>
  <c r="V834" i="178"/>
  <c r="U834" i="178"/>
  <c r="V694" i="178"/>
  <c r="U694" i="178"/>
  <c r="V923" i="178"/>
  <c r="V922" i="178"/>
  <c r="V854" i="178"/>
  <c r="V853" i="178"/>
  <c r="V852" i="178"/>
  <c r="V851" i="178"/>
  <c r="V850" i="178"/>
  <c r="V746" i="178"/>
  <c r="V849" i="178"/>
  <c r="V848" i="178"/>
  <c r="AV173" i="178"/>
  <c r="BL172" i="178"/>
  <c r="BM173" i="178"/>
  <c r="BC172" i="178"/>
  <c r="BD173" i="178"/>
  <c r="AU172" i="178"/>
  <c r="AR173" i="178"/>
  <c r="BG172" i="178"/>
  <c r="V173" i="178"/>
  <c r="BG173" i="178"/>
  <c r="BC173" i="178"/>
  <c r="AY173" i="178"/>
  <c r="AU173" i="178"/>
  <c r="BO172" i="178"/>
  <c r="AX172" i="178"/>
  <c r="BH173" i="178"/>
  <c r="AZ173" i="178"/>
  <c r="BO173" i="178"/>
  <c r="BI172" i="178"/>
  <c r="BE172" i="178"/>
  <c r="BA172" i="178"/>
  <c r="AW172" i="178"/>
  <c r="AS172" i="178"/>
  <c r="V172" i="178"/>
  <c r="T329" i="178"/>
  <c r="U329" i="178" s="1"/>
  <c r="W329" i="178"/>
  <c r="AD329" i="178"/>
  <c r="AE329" i="178"/>
  <c r="AF329" i="178"/>
  <c r="AG329" i="178"/>
  <c r="AH329" i="178"/>
  <c r="AI329" i="178"/>
  <c r="AJ329" i="178"/>
  <c r="AK329" i="178"/>
  <c r="AL329" i="178"/>
  <c r="AM329" i="178"/>
  <c r="AN329" i="178"/>
  <c r="AO329" i="178"/>
  <c r="P329" i="178"/>
  <c r="Q329" i="178" s="1"/>
  <c r="B329" i="178"/>
  <c r="T523" i="178"/>
  <c r="U523" i="178" s="1"/>
  <c r="W523" i="178"/>
  <c r="AD523" i="178"/>
  <c r="AE523" i="178"/>
  <c r="AF523" i="178"/>
  <c r="AG523" i="178"/>
  <c r="AH523" i="178"/>
  <c r="AI523" i="178"/>
  <c r="AJ523" i="178"/>
  <c r="AK523" i="178"/>
  <c r="AL523" i="178"/>
  <c r="AM523" i="178"/>
  <c r="AN523" i="178"/>
  <c r="AO523" i="178"/>
  <c r="P523" i="178"/>
  <c r="Q523" i="178" s="1"/>
  <c r="S523" i="178" s="1"/>
  <c r="B523" i="178"/>
  <c r="T713" i="178"/>
  <c r="U713" i="178" s="1"/>
  <c r="W713" i="178"/>
  <c r="AD713" i="178"/>
  <c r="AE713" i="178"/>
  <c r="AF713" i="178"/>
  <c r="AG713" i="178"/>
  <c r="AH713" i="178"/>
  <c r="AI713" i="178"/>
  <c r="AJ713" i="178"/>
  <c r="AK713" i="178"/>
  <c r="AL713" i="178"/>
  <c r="AM713" i="178"/>
  <c r="AN713" i="178"/>
  <c r="AO713" i="178"/>
  <c r="P713" i="178"/>
  <c r="Q713" i="178" s="1"/>
  <c r="S713" i="178" s="1"/>
  <c r="B713" i="178"/>
  <c r="T707" i="178"/>
  <c r="U707" i="178" s="1"/>
  <c r="W707" i="178"/>
  <c r="AD707" i="178"/>
  <c r="AE707" i="178"/>
  <c r="AF707" i="178"/>
  <c r="AG707" i="178"/>
  <c r="AH707" i="178"/>
  <c r="AI707" i="178"/>
  <c r="AJ707" i="178"/>
  <c r="AK707" i="178"/>
  <c r="AL707" i="178"/>
  <c r="AM707" i="178"/>
  <c r="AN707" i="178"/>
  <c r="AO707" i="178"/>
  <c r="Q707" i="178"/>
  <c r="B707" i="178"/>
  <c r="BI139" i="178" l="1"/>
  <c r="AW488" i="178"/>
  <c r="BI488" i="178"/>
  <c r="AU488" i="178"/>
  <c r="BE488" i="178"/>
  <c r="BC488" i="178"/>
  <c r="BM488" i="178"/>
  <c r="AY488" i="178"/>
  <c r="AS488" i="178"/>
  <c r="BG488" i="178"/>
  <c r="BA488" i="178"/>
  <c r="BO488" i="178"/>
  <c r="AW9" i="178"/>
  <c r="BC9" i="178"/>
  <c r="BG754" i="178"/>
  <c r="AS754" i="178"/>
  <c r="BI754" i="178"/>
  <c r="BE754" i="178"/>
  <c r="BI742" i="178"/>
  <c r="BE742" i="178"/>
  <c r="BG742" i="178"/>
  <c r="AU742" i="178"/>
  <c r="BO742" i="178"/>
  <c r="BM742" i="178"/>
  <c r="BC742" i="178"/>
  <c r="AS742" i="178"/>
  <c r="AU613" i="178"/>
  <c r="BA742" i="178"/>
  <c r="AW742" i="178"/>
  <c r="AY742" i="178"/>
  <c r="BI621" i="178"/>
  <c r="BE621" i="178"/>
  <c r="AY621" i="178"/>
  <c r="BO621" i="178"/>
  <c r="AS621" i="178"/>
  <c r="AW613" i="178"/>
  <c r="BO613" i="178"/>
  <c r="AY613" i="178"/>
  <c r="BA613" i="178"/>
  <c r="BM613" i="178"/>
  <c r="BC613" i="178"/>
  <c r="BE613" i="178"/>
  <c r="BG613" i="178"/>
  <c r="AS613" i="178"/>
  <c r="BI613" i="178"/>
  <c r="BC17" i="178"/>
  <c r="BM629" i="178"/>
  <c r="BG788" i="178"/>
  <c r="AS788" i="178"/>
  <c r="BI788" i="178"/>
  <c r="AU788" i="178"/>
  <c r="BE778" i="178"/>
  <c r="AY788" i="178"/>
  <c r="BO788" i="178"/>
  <c r="BA788" i="178"/>
  <c r="BE17" i="178"/>
  <c r="BG17" i="178"/>
  <c r="BA69" i="178"/>
  <c r="BM9" i="178"/>
  <c r="BG9" i="178"/>
  <c r="BA17" i="178"/>
  <c r="AW69" i="178"/>
  <c r="BM616" i="178"/>
  <c r="BA611" i="178"/>
  <c r="BA139" i="178"/>
  <c r="BA789" i="178"/>
  <c r="BO789" i="178"/>
  <c r="BC789" i="178"/>
  <c r="AW789" i="178"/>
  <c r="BM778" i="178"/>
  <c r="BG616" i="178"/>
  <c r="BM789" i="178"/>
  <c r="AY789" i="178"/>
  <c r="AS789" i="178"/>
  <c r="BI789" i="178"/>
  <c r="AW778" i="178"/>
  <c r="AS611" i="178"/>
  <c r="BI611" i="178"/>
  <c r="BO616" i="178"/>
  <c r="AU789" i="178"/>
  <c r="BE789" i="178"/>
  <c r="BG903" i="178"/>
  <c r="BA903" i="178"/>
  <c r="AY616" i="178"/>
  <c r="BA616" i="178"/>
  <c r="BA778" i="178"/>
  <c r="BM611" i="178"/>
  <c r="AW616" i="178"/>
  <c r="BG611" i="178"/>
  <c r="AU629" i="178"/>
  <c r="BC69" i="178"/>
  <c r="BG629" i="178"/>
  <c r="BE629" i="178"/>
  <c r="BK713" i="178"/>
  <c r="BA424" i="178"/>
  <c r="BE787" i="178"/>
  <c r="AW788" i="178"/>
  <c r="BC139" i="178"/>
  <c r="AW611" i="178"/>
  <c r="AS787" i="178"/>
  <c r="BG789" i="178"/>
  <c r="BK866" i="178"/>
  <c r="BK616" i="178"/>
  <c r="BK865" i="178"/>
  <c r="BK758" i="178"/>
  <c r="BK157" i="178"/>
  <c r="BK545" i="178"/>
  <c r="BK585" i="178"/>
  <c r="BK267" i="178"/>
  <c r="BK868" i="178"/>
  <c r="BK190" i="178"/>
  <c r="BK867" i="178"/>
  <c r="BK306" i="178"/>
  <c r="BK210" i="178"/>
  <c r="BK903" i="178"/>
  <c r="BK431" i="178"/>
  <c r="BK872" i="178"/>
  <c r="BK857" i="178"/>
  <c r="BK871" i="178"/>
  <c r="BK764" i="178"/>
  <c r="BK208" i="178"/>
  <c r="BK69" i="178"/>
  <c r="BK994" i="178"/>
  <c r="BK778" i="178"/>
  <c r="BK858" i="178"/>
  <c r="BK875" i="178"/>
  <c r="BK203" i="178"/>
  <c r="BK629" i="178"/>
  <c r="BK618" i="178"/>
  <c r="BK214" i="178"/>
  <c r="BK754" i="178"/>
  <c r="BK424" i="178"/>
  <c r="BK619" i="178"/>
  <c r="BK9" i="178"/>
  <c r="BK139" i="178"/>
  <c r="BK16" i="178"/>
  <c r="BK581" i="178"/>
  <c r="BK212" i="178"/>
  <c r="BK239" i="178"/>
  <c r="BK611" i="178"/>
  <c r="BK725" i="178"/>
  <c r="BK757" i="178"/>
  <c r="BK582" i="178"/>
  <c r="BK218" i="178"/>
  <c r="BK621" i="178"/>
  <c r="BK523" i="178"/>
  <c r="BK788" i="178"/>
  <c r="BK826" i="178"/>
  <c r="BK787" i="178"/>
  <c r="BK17" i="178"/>
  <c r="BK610" i="178"/>
  <c r="BK827" i="178"/>
  <c r="BK756" i="178"/>
  <c r="BK310" i="178"/>
  <c r="BK216" i="178"/>
  <c r="BK260" i="178"/>
  <c r="BK864" i="178"/>
  <c r="BK304" i="178"/>
  <c r="BK863" i="178"/>
  <c r="BK303" i="178"/>
  <c r="BK184" i="178"/>
  <c r="BK548" i="178"/>
  <c r="AY778" i="178"/>
  <c r="BO778" i="178"/>
  <c r="BC611" i="178"/>
  <c r="BC616" i="178"/>
  <c r="BC778" i="178"/>
  <c r="AS616" i="178"/>
  <c r="BI616" i="178"/>
  <c r="AS778" i="178"/>
  <c r="BI778" i="178"/>
  <c r="BE611" i="178"/>
  <c r="BC788" i="178"/>
  <c r="AU778" i="178"/>
  <c r="AY611" i="178"/>
  <c r="BE788" i="178"/>
  <c r="BE616" i="178"/>
  <c r="AU611" i="178"/>
  <c r="AU9" i="178"/>
  <c r="BE9" i="178"/>
  <c r="BM16" i="178"/>
  <c r="AY9" i="178"/>
  <c r="BO9" i="178"/>
  <c r="BM903" i="178"/>
  <c r="AY903" i="178"/>
  <c r="AS903" i="178"/>
  <c r="BG787" i="178"/>
  <c r="BM139" i="178"/>
  <c r="AU139" i="178"/>
  <c r="BC16" i="178"/>
  <c r="BE16" i="178"/>
  <c r="AY16" i="178"/>
  <c r="BO16" i="178"/>
  <c r="BA16" i="178"/>
  <c r="AU903" i="178"/>
  <c r="BE903" i="178"/>
  <c r="AS9" i="178"/>
  <c r="BI9" i="178"/>
  <c r="BO903" i="178"/>
  <c r="BI787" i="178"/>
  <c r="BM787" i="178"/>
  <c r="AY139" i="178"/>
  <c r="BG139" i="178"/>
  <c r="BO139" i="178"/>
  <c r="AU16" i="178"/>
  <c r="AW16" i="178"/>
  <c r="BG16" i="178"/>
  <c r="AS16" i="178"/>
  <c r="BC903" i="178"/>
  <c r="AW903" i="178"/>
  <c r="BI610" i="178"/>
  <c r="AS139" i="178"/>
  <c r="AW139" i="178"/>
  <c r="AC2" i="178"/>
  <c r="AW203" i="178"/>
  <c r="BE190" i="178"/>
  <c r="AS725" i="178"/>
  <c r="AY629" i="178"/>
  <c r="BA629" i="178"/>
  <c r="BO203" i="178"/>
  <c r="BA203" i="178"/>
  <c r="BC190" i="178"/>
  <c r="AS610" i="178"/>
  <c r="BC610" i="178"/>
  <c r="BO190" i="178"/>
  <c r="AU787" i="178"/>
  <c r="BM610" i="178"/>
  <c r="BI190" i="178"/>
  <c r="BO629" i="178"/>
  <c r="AW629" i="178"/>
  <c r="BC203" i="178"/>
  <c r="BG203" i="178"/>
  <c r="BM69" i="178"/>
  <c r="BG69" i="178"/>
  <c r="AY610" i="178"/>
  <c r="AY190" i="178"/>
  <c r="AW610" i="178"/>
  <c r="AS190" i="178"/>
  <c r="BC725" i="178"/>
  <c r="BC629" i="178"/>
  <c r="BI629" i="178"/>
  <c r="AC3" i="178"/>
  <c r="BE725" i="178"/>
  <c r="BG725" i="178"/>
  <c r="AU725" i="178"/>
  <c r="BO725" i="178"/>
  <c r="BA725" i="178"/>
  <c r="BI725" i="178"/>
  <c r="AW725" i="178"/>
  <c r="BM725" i="178"/>
  <c r="AS145" i="178"/>
  <c r="AW145" i="178"/>
  <c r="BA145" i="178"/>
  <c r="BE145" i="178"/>
  <c r="BI145" i="178"/>
  <c r="AY145" i="178"/>
  <c r="AU145" i="178"/>
  <c r="BC145" i="178"/>
  <c r="BO145" i="178"/>
  <c r="BG145" i="178"/>
  <c r="BM145" i="178"/>
  <c r="BM956" i="178"/>
  <c r="AS956" i="178"/>
  <c r="AW956" i="178"/>
  <c r="BA956" i="178"/>
  <c r="BE956" i="178"/>
  <c r="BI956" i="178"/>
  <c r="AU956" i="178"/>
  <c r="BC956" i="178"/>
  <c r="BO956" i="178"/>
  <c r="AY956" i="178"/>
  <c r="BG956" i="178"/>
  <c r="AR329" i="178"/>
  <c r="AY754" i="178"/>
  <c r="BO754" i="178"/>
  <c r="BE203" i="178"/>
  <c r="BA754" i="178"/>
  <c r="BC754" i="178"/>
  <c r="AS203" i="178"/>
  <c r="BI203" i="178"/>
  <c r="BA621" i="178"/>
  <c r="AW621" i="178"/>
  <c r="BM621" i="178"/>
  <c r="AU17" i="178"/>
  <c r="BM17" i="178"/>
  <c r="BE69" i="178"/>
  <c r="AY69" i="178"/>
  <c r="BO69" i="178"/>
  <c r="AS69" i="178"/>
  <c r="BI69" i="178"/>
  <c r="BM754" i="178"/>
  <c r="AU203" i="178"/>
  <c r="BM203" i="178"/>
  <c r="BG621" i="178"/>
  <c r="AW17" i="178"/>
  <c r="AY17" i="178"/>
  <c r="BO17" i="178"/>
  <c r="AS17" i="178"/>
  <c r="BI458" i="178"/>
  <c r="BG458" i="178"/>
  <c r="AS458" i="178"/>
  <c r="BE458" i="178"/>
  <c r="AY455" i="178"/>
  <c r="BA455" i="178"/>
  <c r="BC455" i="178"/>
  <c r="BO138" i="178"/>
  <c r="AY138" i="178"/>
  <c r="AU300" i="178"/>
  <c r="BA300" i="178"/>
  <c r="BC300" i="178"/>
  <c r="BI300" i="178"/>
  <c r="BG220" i="178"/>
  <c r="BO220" i="178"/>
  <c r="AY220" i="178"/>
  <c r="AW305" i="178"/>
  <c r="BM305" i="178"/>
  <c r="BE305" i="178"/>
  <c r="AS305" i="178"/>
  <c r="BI307" i="178"/>
  <c r="AS307" i="178"/>
  <c r="BA307" i="178"/>
  <c r="AY308" i="178"/>
  <c r="BO308" i="178"/>
  <c r="BE308" i="178"/>
  <c r="BG308" i="178"/>
  <c r="AW309" i="178"/>
  <c r="BA309" i="178"/>
  <c r="AU309" i="178"/>
  <c r="BI309" i="178"/>
  <c r="AS309" i="178"/>
  <c r="AW311" i="178"/>
  <c r="AY311" i="178"/>
  <c r="BO311" i="178"/>
  <c r="BE311" i="178"/>
  <c r="AU312" i="178"/>
  <c r="BC312" i="178"/>
  <c r="BI583" i="178"/>
  <c r="BE583" i="178"/>
  <c r="BC583" i="178"/>
  <c r="BM583" i="178"/>
  <c r="BA583" i="178"/>
  <c r="BA194" i="178"/>
  <c r="BG194" i="178"/>
  <c r="AW194" i="178"/>
  <c r="BI194" i="178"/>
  <c r="AS194" i="178"/>
  <c r="BO194" i="178"/>
  <c r="BM194" i="178"/>
  <c r="BM209" i="178"/>
  <c r="BC209" i="178"/>
  <c r="BA209" i="178"/>
  <c r="AW209" i="178"/>
  <c r="AU209" i="178"/>
  <c r="BI209" i="178"/>
  <c r="AS209" i="178"/>
  <c r="AS211" i="178"/>
  <c r="AY211" i="178"/>
  <c r="BM211" i="178"/>
  <c r="BI211" i="178"/>
  <c r="BE211" i="178"/>
  <c r="BG211" i="178"/>
  <c r="AU213" i="178"/>
  <c r="BI213" i="178"/>
  <c r="AS213" i="178"/>
  <c r="BE213" i="178"/>
  <c r="BM213" i="178"/>
  <c r="BC213" i="178"/>
  <c r="BA213" i="178"/>
  <c r="BA215" i="178"/>
  <c r="BO215" i="178"/>
  <c r="BE215" i="178"/>
  <c r="AY215" i="178"/>
  <c r="AW215" i="178"/>
  <c r="BI215" i="178"/>
  <c r="AS215" i="178"/>
  <c r="BM215" i="178"/>
  <c r="BM217" i="178"/>
  <c r="AU217" i="178"/>
  <c r="BA217" i="178"/>
  <c r="AW217" i="178"/>
  <c r="BC217" i="178"/>
  <c r="BI217" i="178"/>
  <c r="AS217" i="178"/>
  <c r="BA153" i="178"/>
  <c r="BG153" i="178"/>
  <c r="BM153" i="178"/>
  <c r="AS153" i="178"/>
  <c r="BO153" i="178"/>
  <c r="BE153" i="178"/>
  <c r="AY153" i="178"/>
  <c r="BA313" i="178"/>
  <c r="AW313" i="178"/>
  <c r="BG313" i="178"/>
  <c r="BI313" i="178"/>
  <c r="AS313" i="178"/>
  <c r="AY313" i="178"/>
  <c r="BE313" i="178"/>
  <c r="BG756" i="178"/>
  <c r="BO756" i="178"/>
  <c r="AU757" i="178"/>
  <c r="AW300" i="178"/>
  <c r="BM300" i="178"/>
  <c r="BG758" i="178"/>
  <c r="BC303" i="178"/>
  <c r="BE304" i="178"/>
  <c r="AY764" i="178"/>
  <c r="BO764" i="178"/>
  <c r="BC306" i="178"/>
  <c r="AY581" i="178"/>
  <c r="BA308" i="178"/>
  <c r="BA311" i="178"/>
  <c r="AU582" i="178"/>
  <c r="BM312" i="178"/>
  <c r="AS583" i="178"/>
  <c r="BG300" i="178"/>
  <c r="BG304" i="178"/>
  <c r="BC308" i="178"/>
  <c r="BO309" i="178"/>
  <c r="AU311" i="178"/>
  <c r="AW582" i="178"/>
  <c r="BM582" i="178"/>
  <c r="BG312" i="178"/>
  <c r="BA157" i="178"/>
  <c r="BE220" i="178"/>
  <c r="BO303" i="178"/>
  <c r="BM764" i="178"/>
  <c r="BG305" i="178"/>
  <c r="AS306" i="178"/>
  <c r="BI306" i="178"/>
  <c r="BC307" i="178"/>
  <c r="BE157" i="178"/>
  <c r="BG583" i="178"/>
  <c r="AS184" i="178"/>
  <c r="BI184" i="178"/>
  <c r="AY209" i="178"/>
  <c r="BO209" i="178"/>
  <c r="AU211" i="178"/>
  <c r="AW212" i="178"/>
  <c r="AY213" i="178"/>
  <c r="BA214" i="178"/>
  <c r="BG217" i="178"/>
  <c r="BC153" i="178"/>
  <c r="BE545" i="178"/>
  <c r="AU313" i="178"/>
  <c r="AW138" i="178"/>
  <c r="BM311" i="178"/>
  <c r="BM313" i="178"/>
  <c r="BG138" i="178"/>
  <c r="AU581" i="178"/>
  <c r="BE310" i="178"/>
  <c r="BI582" i="178"/>
  <c r="BA208" i="178"/>
  <c r="BO211" i="178"/>
  <c r="BG215" i="178"/>
  <c r="BE548" i="178"/>
  <c r="BC764" i="178"/>
  <c r="BO306" i="178"/>
  <c r="BM581" i="178"/>
  <c r="BG184" i="178"/>
  <c r="AY210" i="178"/>
  <c r="AY218" i="178"/>
  <c r="BO239" i="178"/>
  <c r="AW455" i="178"/>
  <c r="BM455" i="178"/>
  <c r="BC458" i="178"/>
  <c r="BM458" i="178"/>
  <c r="BG990" i="178"/>
  <c r="BC990" i="178"/>
  <c r="BE990" i="178"/>
  <c r="AY990" i="178"/>
  <c r="AU990" i="178"/>
  <c r="BI990" i="178"/>
  <c r="AS990" i="178"/>
  <c r="BO990" i="178"/>
  <c r="BE260" i="178"/>
  <c r="BA260" i="178"/>
  <c r="BC260" i="178"/>
  <c r="BI260" i="178"/>
  <c r="AS260" i="178"/>
  <c r="BG260" i="178"/>
  <c r="BM260" i="178"/>
  <c r="AW260" i="178"/>
  <c r="AU260" i="178"/>
  <c r="BO994" i="178"/>
  <c r="BG994" i="178"/>
  <c r="BM994" i="178"/>
  <c r="AW994" i="178"/>
  <c r="AU994" i="178"/>
  <c r="BI994" i="178"/>
  <c r="AS994" i="178"/>
  <c r="BA994" i="178"/>
  <c r="AY994" i="178"/>
  <c r="BA158" i="178"/>
  <c r="BO158" i="178"/>
  <c r="BG158" i="178"/>
  <c r="BI158" i="178"/>
  <c r="AS158" i="178"/>
  <c r="BM158" i="178"/>
  <c r="AW158" i="178"/>
  <c r="BI585" i="178"/>
  <c r="AS585" i="178"/>
  <c r="BO585" i="178"/>
  <c r="AY585" i="178"/>
  <c r="BM585" i="178"/>
  <c r="AW585" i="178"/>
  <c r="BG585" i="178"/>
  <c r="BE585" i="178"/>
  <c r="BA138" i="178"/>
  <c r="AS220" i="178"/>
  <c r="BI220" i="178"/>
  <c r="BI305" i="178"/>
  <c r="BE307" i="178"/>
  <c r="BO581" i="178"/>
  <c r="AY310" i="178"/>
  <c r="BO310" i="178"/>
  <c r="AW312" i="178"/>
  <c r="AS756" i="178"/>
  <c r="BI756" i="178"/>
  <c r="BC138" i="178"/>
  <c r="BE757" i="178"/>
  <c r="BO300" i="178"/>
  <c r="BA758" i="178"/>
  <c r="AU220" i="178"/>
  <c r="BE303" i="178"/>
  <c r="BO304" i="178"/>
  <c r="BA764" i="178"/>
  <c r="AU305" i="178"/>
  <c r="AW306" i="178"/>
  <c r="AY307" i="178"/>
  <c r="BO307" i="178"/>
  <c r="BA581" i="178"/>
  <c r="BG309" i="178"/>
  <c r="AS310" i="178"/>
  <c r="BM220" i="178"/>
  <c r="AS304" i="178"/>
  <c r="BI304" i="178"/>
  <c r="BE764" i="178"/>
  <c r="AS312" i="178"/>
  <c r="BI312" i="178"/>
  <c r="BO583" i="178"/>
  <c r="AU194" i="178"/>
  <c r="AW208" i="178"/>
  <c r="BM208" i="178"/>
  <c r="BC215" i="178"/>
  <c r="AS218" i="178"/>
  <c r="AU158" i="178"/>
  <c r="AU585" i="178"/>
  <c r="BC756" i="178"/>
  <c r="AY757" i="178"/>
  <c r="BO313" i="178"/>
  <c r="AY158" i="178"/>
  <c r="BC309" i="178"/>
  <c r="BE209" i="178"/>
  <c r="BE217" i="178"/>
  <c r="AY260" i="178"/>
  <c r="AY458" i="178"/>
  <c r="BO458" i="178"/>
  <c r="BG455" i="178"/>
  <c r="BA458" i="178"/>
  <c r="AS455" i="178"/>
  <c r="BI455" i="178"/>
  <c r="AU455" i="178"/>
  <c r="AW458" i="178"/>
  <c r="AW756" i="178"/>
  <c r="BE756" i="178"/>
  <c r="AW758" i="178"/>
  <c r="BE758" i="178"/>
  <c r="BI303" i="178"/>
  <c r="AS303" i="178"/>
  <c r="BA303" i="178"/>
  <c r="BM306" i="178"/>
  <c r="BG306" i="178"/>
  <c r="BE581" i="178"/>
  <c r="BC581" i="178"/>
  <c r="BM310" i="178"/>
  <c r="AW310" i="178"/>
  <c r="BC310" i="178"/>
  <c r="BG582" i="178"/>
  <c r="BA582" i="178"/>
  <c r="BO582" i="178"/>
  <c r="AY582" i="178"/>
  <c r="AS157" i="178"/>
  <c r="BC157" i="178"/>
  <c r="AU157" i="178"/>
  <c r="BC184" i="178"/>
  <c r="BO184" i="178"/>
  <c r="AY184" i="178"/>
  <c r="BM184" i="178"/>
  <c r="AU184" i="178"/>
  <c r="AU208" i="178"/>
  <c r="BO208" i="178"/>
  <c r="BI208" i="178"/>
  <c r="AS208" i="178"/>
  <c r="BG208" i="178"/>
  <c r="BC208" i="178"/>
  <c r="BE210" i="178"/>
  <c r="AU210" i="178"/>
  <c r="BG210" i="178"/>
  <c r="BM210" i="178"/>
  <c r="AW210" i="178"/>
  <c r="BC210" i="178"/>
  <c r="BC212" i="178"/>
  <c r="BA212" i="178"/>
  <c r="BO212" i="178"/>
  <c r="AY212" i="178"/>
  <c r="AU212" i="178"/>
  <c r="BI212" i="178"/>
  <c r="AS212" i="178"/>
  <c r="BM214" i="178"/>
  <c r="BC214" i="178"/>
  <c r="BO214" i="178"/>
  <c r="AY214" i="178"/>
  <c r="BE214" i="178"/>
  <c r="AU214" i="178"/>
  <c r="AU216" i="178"/>
  <c r="BO216" i="178"/>
  <c r="BA216" i="178"/>
  <c r="BG216" i="178"/>
  <c r="BC216" i="178"/>
  <c r="BM218" i="178"/>
  <c r="AW218" i="178"/>
  <c r="AU218" i="178"/>
  <c r="BG218" i="178"/>
  <c r="BE218" i="178"/>
  <c r="BC218" i="178"/>
  <c r="AU545" i="178"/>
  <c r="BI545" i="178"/>
  <c r="AS545" i="178"/>
  <c r="BO545" i="178"/>
  <c r="AY545" i="178"/>
  <c r="BC545" i="178"/>
  <c r="BA545" i="178"/>
  <c r="BC548" i="178"/>
  <c r="BO548" i="178"/>
  <c r="AY548" i="178"/>
  <c r="AW548" i="178"/>
  <c r="BM548" i="178"/>
  <c r="AU548" i="178"/>
  <c r="AY756" i="178"/>
  <c r="BC757" i="178"/>
  <c r="BE300" i="178"/>
  <c r="AY758" i="178"/>
  <c r="BO758" i="178"/>
  <c r="AU303" i="178"/>
  <c r="AW304" i="178"/>
  <c r="BM304" i="178"/>
  <c r="BG764" i="178"/>
  <c r="AU306" i="178"/>
  <c r="BM307" i="178"/>
  <c r="BG581" i="178"/>
  <c r="AS308" i="178"/>
  <c r="BI308" i="178"/>
  <c r="AS311" i="178"/>
  <c r="BI311" i="178"/>
  <c r="BC582" i="178"/>
  <c r="AY300" i="178"/>
  <c r="AY304" i="178"/>
  <c r="AU308" i="178"/>
  <c r="BC311" i="178"/>
  <c r="BE582" i="178"/>
  <c r="AY312" i="178"/>
  <c r="AW303" i="178"/>
  <c r="AW220" i="178"/>
  <c r="AY305" i="178"/>
  <c r="BO305" i="178"/>
  <c r="BA306" i="178"/>
  <c r="AU307" i="178"/>
  <c r="AW157" i="178"/>
  <c r="BM157" i="178"/>
  <c r="AY583" i="178"/>
  <c r="BA184" i="178"/>
  <c r="BC211" i="178"/>
  <c r="BE212" i="178"/>
  <c r="BG213" i="178"/>
  <c r="AS214" i="178"/>
  <c r="BI214" i="178"/>
  <c r="AY217" i="178"/>
  <c r="BO217" i="178"/>
  <c r="AU153" i="178"/>
  <c r="AW545" i="178"/>
  <c r="BM545" i="178"/>
  <c r="BE138" i="178"/>
  <c r="BO757" i="178"/>
  <c r="BM758" i="178"/>
  <c r="BE194" i="178"/>
  <c r="AW211" i="178"/>
  <c r="AY216" i="178"/>
  <c r="BI757" i="178"/>
  <c r="BM308" i="178"/>
  <c r="BG311" i="178"/>
  <c r="BI216" i="178"/>
  <c r="BA211" i="178"/>
  <c r="BM990" i="178"/>
  <c r="BE455" i="178"/>
  <c r="BO455" i="178"/>
  <c r="AU458" i="178"/>
  <c r="BA239" i="178"/>
  <c r="BG239" i="178"/>
  <c r="BM239" i="178"/>
  <c r="AW239" i="178"/>
  <c r="BE239" i="178"/>
  <c r="BC239" i="178"/>
  <c r="BI239" i="178"/>
  <c r="AS239" i="178"/>
  <c r="AY239" i="178"/>
  <c r="BG267" i="178"/>
  <c r="AW267" i="178"/>
  <c r="BI267" i="178"/>
  <c r="AS267" i="178"/>
  <c r="BM267" i="178"/>
  <c r="BC267" i="178"/>
  <c r="AY267" i="178"/>
  <c r="BA267" i="178"/>
  <c r="BO267" i="178"/>
  <c r="BE267" i="178"/>
  <c r="BI157" i="178"/>
  <c r="AS138" i="178"/>
  <c r="BI138" i="178"/>
  <c r="BA220" i="178"/>
  <c r="BA305" i="178"/>
  <c r="AW307" i="178"/>
  <c r="BE309" i="178"/>
  <c r="BG310" i="178"/>
  <c r="BE312" i="178"/>
  <c r="AY157" i="178"/>
  <c r="BO157" i="178"/>
  <c r="BM309" i="178"/>
  <c r="BA756" i="178"/>
  <c r="AU138" i="178"/>
  <c r="AW757" i="178"/>
  <c r="BM757" i="178"/>
  <c r="AS758" i="178"/>
  <c r="BI758" i="178"/>
  <c r="BC220" i="178"/>
  <c r="BM303" i="178"/>
  <c r="AS764" i="178"/>
  <c r="BI764" i="178"/>
  <c r="BC305" i="178"/>
  <c r="BE306" i="178"/>
  <c r="BG307" i="178"/>
  <c r="AS581" i="178"/>
  <c r="BI581" i="178"/>
  <c r="AY309" i="178"/>
  <c r="BA310" i="178"/>
  <c r="BO312" i="178"/>
  <c r="AU583" i="178"/>
  <c r="BE184" i="178"/>
  <c r="BC758" i="178"/>
  <c r="AY303" i="178"/>
  <c r="BA304" i="178"/>
  <c r="AW764" i="178"/>
  <c r="BA312" i="178"/>
  <c r="BC194" i="178"/>
  <c r="BE208" i="178"/>
  <c r="BG209" i="178"/>
  <c r="AS210" i="178"/>
  <c r="BI210" i="178"/>
  <c r="BO213" i="178"/>
  <c r="AU215" i="178"/>
  <c r="AW216" i="178"/>
  <c r="BM216" i="178"/>
  <c r="BA218" i="178"/>
  <c r="AS548" i="178"/>
  <c r="BI548" i="178"/>
  <c r="BC313" i="178"/>
  <c r="BC158" i="178"/>
  <c r="BC585" i="178"/>
  <c r="AU756" i="178"/>
  <c r="BM138" i="178"/>
  <c r="BG757" i="178"/>
  <c r="AS300" i="178"/>
  <c r="BC304" i="178"/>
  <c r="AU310" i="178"/>
  <c r="BG212" i="178"/>
  <c r="AW153" i="178"/>
  <c r="BE158" i="178"/>
  <c r="AS757" i="178"/>
  <c r="AW308" i="178"/>
  <c r="AY194" i="178"/>
  <c r="AW214" i="178"/>
  <c r="AS216" i="178"/>
  <c r="BA990" i="178"/>
  <c r="AW583" i="178"/>
  <c r="BO210" i="178"/>
  <c r="AW213" i="178"/>
  <c r="BO218" i="178"/>
  <c r="BG548" i="178"/>
  <c r="BI153" i="178"/>
  <c r="AW990" i="178"/>
  <c r="BE994" i="178"/>
  <c r="AU621" i="178"/>
  <c r="BI859" i="178"/>
  <c r="BG618" i="178"/>
  <c r="BE863" i="178"/>
  <c r="BO858" i="178"/>
  <c r="BO857" i="178"/>
  <c r="BC424" i="178"/>
  <c r="BG610" i="178"/>
  <c r="BM424" i="178"/>
  <c r="BA610" i="178"/>
  <c r="BM190" i="178"/>
  <c r="BA787" i="178"/>
  <c r="BM858" i="178"/>
  <c r="AS424" i="178"/>
  <c r="BI424" i="178"/>
  <c r="BG190" i="178"/>
  <c r="BC787" i="178"/>
  <c r="BA190" i="178"/>
  <c r="AU871" i="178"/>
  <c r="AW424" i="178"/>
  <c r="BG424" i="178"/>
  <c r="BO610" i="178"/>
  <c r="BE424" i="178"/>
  <c r="AU190" i="178"/>
  <c r="AY787" i="178"/>
  <c r="BO787" i="178"/>
  <c r="BI826" i="178"/>
  <c r="AY424" i="178"/>
  <c r="BO424" i="178"/>
  <c r="AU610" i="178"/>
  <c r="BA858" i="178"/>
  <c r="BO795" i="178"/>
  <c r="BI795" i="178"/>
  <c r="BC795" i="178"/>
  <c r="BG795" i="178"/>
  <c r="AS826" i="178"/>
  <c r="BI863" i="178"/>
  <c r="AW871" i="178"/>
  <c r="AW801" i="178"/>
  <c r="AW858" i="178"/>
  <c r="BA872" i="178"/>
  <c r="BO864" i="178"/>
  <c r="BI871" i="178"/>
  <c r="BI801" i="178"/>
  <c r="BO826" i="178"/>
  <c r="AW619" i="178"/>
  <c r="AS859" i="178"/>
  <c r="BA868" i="178"/>
  <c r="AS795" i="178"/>
  <c r="BE795" i="178"/>
  <c r="BA618" i="178"/>
  <c r="AS863" i="178"/>
  <c r="BO866" i="178"/>
  <c r="BA795" i="178"/>
  <c r="AU826" i="178"/>
  <c r="BE864" i="178"/>
  <c r="BC867" i="178"/>
  <c r="BO871" i="178"/>
  <c r="AW875" i="178"/>
  <c r="AU795" i="178"/>
  <c r="AW618" i="178"/>
  <c r="AS871" i="178"/>
  <c r="AW795" i="178"/>
  <c r="BM795" i="178"/>
  <c r="AS801" i="178"/>
  <c r="AY826" i="178"/>
  <c r="BO867" i="178"/>
  <c r="BM872" i="178"/>
  <c r="AY795" i="178"/>
  <c r="BA431" i="178"/>
  <c r="BC863" i="178"/>
  <c r="AY871" i="178"/>
  <c r="BE826" i="178"/>
  <c r="BE431" i="178"/>
  <c r="AW872" i="178"/>
  <c r="BM200" i="178"/>
  <c r="BC200" i="178"/>
  <c r="BG200" i="178"/>
  <c r="AW200" i="178"/>
  <c r="BA200" i="178"/>
  <c r="AU200" i="178"/>
  <c r="BO200" i="178"/>
  <c r="AY200" i="178"/>
  <c r="BE200" i="178"/>
  <c r="BI200" i="178"/>
  <c r="AS200" i="178"/>
  <c r="BC865" i="178"/>
  <c r="BG865" i="178"/>
  <c r="AU865" i="178"/>
  <c r="BI865" i="178"/>
  <c r="AW865" i="178"/>
  <c r="AS865" i="178"/>
  <c r="BO865" i="178"/>
  <c r="AY865" i="178"/>
  <c r="BM865" i="178"/>
  <c r="BA865" i="178"/>
  <c r="AU801" i="178"/>
  <c r="BE857" i="178"/>
  <c r="AY431" i="178"/>
  <c r="BO431" i="178"/>
  <c r="AU858" i="178"/>
  <c r="BG619" i="178"/>
  <c r="BC859" i="178"/>
  <c r="BE827" i="178"/>
  <c r="AU864" i="178"/>
  <c r="BG866" i="178"/>
  <c r="AS867" i="178"/>
  <c r="BI867" i="178"/>
  <c r="BC868" i="178"/>
  <c r="AY872" i="178"/>
  <c r="AU875" i="178"/>
  <c r="AU618" i="178"/>
  <c r="AY857" i="178"/>
  <c r="AS619" i="178"/>
  <c r="BI619" i="178"/>
  <c r="BE859" i="178"/>
  <c r="BG827" i="178"/>
  <c r="BA866" i="178"/>
  <c r="AW868" i="178"/>
  <c r="BM875" i="178"/>
  <c r="AY801" i="178"/>
  <c r="BO801" i="178"/>
  <c r="BA857" i="178"/>
  <c r="AU431" i="178"/>
  <c r="BM826" i="178"/>
  <c r="BG858" i="178"/>
  <c r="BC619" i="178"/>
  <c r="AY859" i="178"/>
  <c r="BA827" i="178"/>
  <c r="BM863" i="178"/>
  <c r="BG864" i="178"/>
  <c r="BC866" i="178"/>
  <c r="BE867" i="178"/>
  <c r="AY868" i="178"/>
  <c r="BO868" i="178"/>
  <c r="AU872" i="178"/>
  <c r="BG875" i="178"/>
  <c r="BC857" i="178"/>
  <c r="BM619" i="178"/>
  <c r="BC827" i="178"/>
  <c r="AY863" i="178"/>
  <c r="BO863" i="178"/>
  <c r="BA864" i="178"/>
  <c r="AW866" i="178"/>
  <c r="BM866" i="178"/>
  <c r="AY867" i="178"/>
  <c r="AS875" i="178"/>
  <c r="BI875" i="178"/>
  <c r="AS618" i="178"/>
  <c r="BI618" i="178"/>
  <c r="BA826" i="178"/>
  <c r="BA863" i="178"/>
  <c r="BE871" i="178"/>
  <c r="BO872" i="178"/>
  <c r="BE801" i="178"/>
  <c r="AS431" i="178"/>
  <c r="BI431" i="178"/>
  <c r="BC826" i="178"/>
  <c r="BE858" i="178"/>
  <c r="BO827" i="178"/>
  <c r="AU863" i="178"/>
  <c r="AW864" i="178"/>
  <c r="BM864" i="178"/>
  <c r="AU867" i="178"/>
  <c r="BM868" i="178"/>
  <c r="BG871" i="178"/>
  <c r="AS872" i="178"/>
  <c r="BI872" i="178"/>
  <c r="BE875" i="178"/>
  <c r="BE618" i="178"/>
  <c r="AW826" i="178"/>
  <c r="BO859" i="178"/>
  <c r="AW863" i="178"/>
  <c r="BA871" i="178"/>
  <c r="BA801" i="178"/>
  <c r="AY618" i="178"/>
  <c r="BO618" i="178"/>
  <c r="AW431" i="178"/>
  <c r="AS858" i="178"/>
  <c r="BI858" i="178"/>
  <c r="BE619" i="178"/>
  <c r="BA859" i="178"/>
  <c r="AS868" i="178"/>
  <c r="BI868" i="178"/>
  <c r="BC871" i="178"/>
  <c r="BE872" i="178"/>
  <c r="BC801" i="178"/>
  <c r="AW857" i="178"/>
  <c r="BM857" i="178"/>
  <c r="BG431" i="178"/>
  <c r="BC858" i="178"/>
  <c r="AY619" i="178"/>
  <c r="BO619" i="178"/>
  <c r="AU859" i="178"/>
  <c r="AW827" i="178"/>
  <c r="BM827" i="178"/>
  <c r="BC864" i="178"/>
  <c r="AY866" i="178"/>
  <c r="BA867" i="178"/>
  <c r="AU868" i="178"/>
  <c r="BG872" i="178"/>
  <c r="BC875" i="178"/>
  <c r="BM801" i="178"/>
  <c r="BC618" i="178"/>
  <c r="BG857" i="178"/>
  <c r="BA619" i="178"/>
  <c r="AW859" i="178"/>
  <c r="BM859" i="178"/>
  <c r="AY827" i="178"/>
  <c r="AS866" i="178"/>
  <c r="BI866" i="178"/>
  <c r="BE868" i="178"/>
  <c r="BG801" i="178"/>
  <c r="AS857" i="178"/>
  <c r="BI857" i="178"/>
  <c r="BC431" i="178"/>
  <c r="BG859" i="178"/>
  <c r="AS827" i="178"/>
  <c r="BI827" i="178"/>
  <c r="AY864" i="178"/>
  <c r="AU866" i="178"/>
  <c r="AW867" i="178"/>
  <c r="BM867" i="178"/>
  <c r="AY875" i="178"/>
  <c r="BO875" i="178"/>
  <c r="AS864" i="178"/>
  <c r="AS838" i="178"/>
  <c r="AW838" i="178"/>
  <c r="BA838" i="178"/>
  <c r="BE838" i="178"/>
  <c r="BI838" i="178"/>
  <c r="BO838" i="178"/>
  <c r="AU838" i="178"/>
  <c r="BC838" i="178"/>
  <c r="BM838" i="178"/>
  <c r="AY838" i="178"/>
  <c r="BG838" i="178"/>
  <c r="AS850" i="178"/>
  <c r="AW850" i="178"/>
  <c r="BA850" i="178"/>
  <c r="BE850" i="178"/>
  <c r="BI850" i="178"/>
  <c r="BO850" i="178"/>
  <c r="AU850" i="178"/>
  <c r="AY850" i="178"/>
  <c r="BC850" i="178"/>
  <c r="BG850" i="178"/>
  <c r="BM850" i="178"/>
  <c r="AS924" i="178"/>
  <c r="AW924" i="178"/>
  <c r="BA924" i="178"/>
  <c r="BE924" i="178"/>
  <c r="BI924" i="178"/>
  <c r="BO924" i="178"/>
  <c r="AU924" i="178"/>
  <c r="AY924" i="178"/>
  <c r="BC924" i="178"/>
  <c r="BG924" i="178"/>
  <c r="BM924" i="178"/>
  <c r="AS943" i="178"/>
  <c r="AW943" i="178"/>
  <c r="BA943" i="178"/>
  <c r="BE943" i="178"/>
  <c r="BI943" i="178"/>
  <c r="AY943" i="178"/>
  <c r="BG943" i="178"/>
  <c r="BO943" i="178"/>
  <c r="AU943" i="178"/>
  <c r="BC943" i="178"/>
  <c r="BM943" i="178"/>
  <c r="AS962" i="178"/>
  <c r="AW962" i="178"/>
  <c r="BA962" i="178"/>
  <c r="BE962" i="178"/>
  <c r="BI962" i="178"/>
  <c r="BO962" i="178"/>
  <c r="AU962" i="178"/>
  <c r="AY962" i="178"/>
  <c r="BC962" i="178"/>
  <c r="BG962" i="178"/>
  <c r="BM962" i="178"/>
  <c r="BM948" i="178"/>
  <c r="AS948" i="178"/>
  <c r="AW948" i="178"/>
  <c r="BA948" i="178"/>
  <c r="BE948" i="178"/>
  <c r="BI948" i="178"/>
  <c r="BO948" i="178"/>
  <c r="AU948" i="178"/>
  <c r="AY948" i="178"/>
  <c r="BC948" i="178"/>
  <c r="BG948" i="178"/>
  <c r="BO810" i="178"/>
  <c r="AU810" i="178"/>
  <c r="AY810" i="178"/>
  <c r="BC810" i="178"/>
  <c r="BG810" i="178"/>
  <c r="BM810" i="178"/>
  <c r="AS810" i="178"/>
  <c r="AW810" i="178"/>
  <c r="BA810" i="178"/>
  <c r="BE810" i="178"/>
  <c r="BI810" i="178"/>
  <c r="AU815" i="178"/>
  <c r="AY815" i="178"/>
  <c r="BC815" i="178"/>
  <c r="BG815" i="178"/>
  <c r="BM815" i="178"/>
  <c r="AS815" i="178"/>
  <c r="AW815" i="178"/>
  <c r="BA815" i="178"/>
  <c r="BE815" i="178"/>
  <c r="BI815" i="178"/>
  <c r="BO815" i="178"/>
  <c r="AU840" i="178"/>
  <c r="AY840" i="178"/>
  <c r="BC840" i="178"/>
  <c r="BG840" i="178"/>
  <c r="BM840" i="178"/>
  <c r="AW840" i="178"/>
  <c r="BE840" i="178"/>
  <c r="BO840" i="178"/>
  <c r="AS840" i="178"/>
  <c r="BA840" i="178"/>
  <c r="BI840" i="178"/>
  <c r="BO940" i="178"/>
  <c r="AU940" i="178"/>
  <c r="AY940" i="178"/>
  <c r="BC940" i="178"/>
  <c r="BG940" i="178"/>
  <c r="BM940" i="178"/>
  <c r="AW940" i="178"/>
  <c r="BA940" i="178"/>
  <c r="BE940" i="178"/>
  <c r="AS940" i="178"/>
  <c r="BI940" i="178"/>
  <c r="BO944" i="178"/>
  <c r="AU944" i="178"/>
  <c r="AY944" i="178"/>
  <c r="BC944" i="178"/>
  <c r="BG944" i="178"/>
  <c r="BM944" i="178"/>
  <c r="BA944" i="178"/>
  <c r="BE944" i="178"/>
  <c r="AS944" i="178"/>
  <c r="BI944" i="178"/>
  <c r="AW944" i="178"/>
  <c r="AU58" i="178"/>
  <c r="AY58" i="178"/>
  <c r="BC58" i="178"/>
  <c r="BG58" i="178"/>
  <c r="AS58" i="178"/>
  <c r="AW58" i="178"/>
  <c r="BA58" i="178"/>
  <c r="BE58" i="178"/>
  <c r="BI58" i="178"/>
  <c r="BO58" i="178"/>
  <c r="BM58" i="178"/>
  <c r="AU651" i="178"/>
  <c r="AY651" i="178"/>
  <c r="BC651" i="178"/>
  <c r="BG651" i="178"/>
  <c r="BM651" i="178"/>
  <c r="AS651" i="178"/>
  <c r="BA651" i="178"/>
  <c r="BI651" i="178"/>
  <c r="AW651" i="178"/>
  <c r="BE651" i="178"/>
  <c r="BO651" i="178"/>
  <c r="AS834" i="178"/>
  <c r="AW834" i="178"/>
  <c r="BA834" i="178"/>
  <c r="BE834" i="178"/>
  <c r="BI834" i="178"/>
  <c r="BO834" i="178"/>
  <c r="AY834" i="178"/>
  <c r="BG834" i="178"/>
  <c r="AU834" i="178"/>
  <c r="BC834" i="178"/>
  <c r="BM834" i="178"/>
  <c r="AS447" i="178"/>
  <c r="AW447" i="178"/>
  <c r="BA447" i="178"/>
  <c r="BE447" i="178"/>
  <c r="BI447" i="178"/>
  <c r="BO447" i="178"/>
  <c r="AY447" i="178"/>
  <c r="BG447" i="178"/>
  <c r="AU447" i="178"/>
  <c r="BC447" i="178"/>
  <c r="BM447" i="178"/>
  <c r="AS846" i="178"/>
  <c r="AW846" i="178"/>
  <c r="BA846" i="178"/>
  <c r="BE846" i="178"/>
  <c r="BI846" i="178"/>
  <c r="BO846" i="178"/>
  <c r="AY846" i="178"/>
  <c r="BG846" i="178"/>
  <c r="AU846" i="178"/>
  <c r="BC846" i="178"/>
  <c r="BM846" i="178"/>
  <c r="AU941" i="178"/>
  <c r="AY941" i="178"/>
  <c r="BC941" i="178"/>
  <c r="BG941" i="178"/>
  <c r="BM941" i="178"/>
  <c r="AS941" i="178"/>
  <c r="AW941" i="178"/>
  <c r="BA941" i="178"/>
  <c r="BE941" i="178"/>
  <c r="BO941" i="178"/>
  <c r="BI941" i="178"/>
  <c r="BO820" i="178"/>
  <c r="AU820" i="178"/>
  <c r="AY820" i="178"/>
  <c r="BC820" i="178"/>
  <c r="BG820" i="178"/>
  <c r="BM820" i="178"/>
  <c r="AW820" i="178"/>
  <c r="BE820" i="178"/>
  <c r="AS820" i="178"/>
  <c r="BA820" i="178"/>
  <c r="BI820" i="178"/>
  <c r="BO835" i="178"/>
  <c r="AU835" i="178"/>
  <c r="AY835" i="178"/>
  <c r="BC835" i="178"/>
  <c r="BG835" i="178"/>
  <c r="AS835" i="178"/>
  <c r="BA835" i="178"/>
  <c r="BI835" i="178"/>
  <c r="BM835" i="178"/>
  <c r="AW835" i="178"/>
  <c r="BE835" i="178"/>
  <c r="AU836" i="178"/>
  <c r="AY836" i="178"/>
  <c r="BC836" i="178"/>
  <c r="BG836" i="178"/>
  <c r="BM836" i="178"/>
  <c r="AS836" i="178"/>
  <c r="BA836" i="178"/>
  <c r="BI836" i="178"/>
  <c r="AW836" i="178"/>
  <c r="BE836" i="178"/>
  <c r="BO836" i="178"/>
  <c r="BM942" i="178"/>
  <c r="AS942" i="178"/>
  <c r="AW942" i="178"/>
  <c r="BA942" i="178"/>
  <c r="BE942" i="178"/>
  <c r="BI942" i="178"/>
  <c r="BO942" i="178"/>
  <c r="AY942" i="178"/>
  <c r="BG942" i="178"/>
  <c r="AU942" i="178"/>
  <c r="BC942" i="178"/>
  <c r="BM961" i="178"/>
  <c r="AS961" i="178"/>
  <c r="AW961" i="178"/>
  <c r="BA961" i="178"/>
  <c r="BE961" i="178"/>
  <c r="BI961" i="178"/>
  <c r="BO961" i="178"/>
  <c r="BC961" i="178"/>
  <c r="BG961" i="178"/>
  <c r="AU961" i="178"/>
  <c r="AY961" i="178"/>
  <c r="BD523" i="178"/>
  <c r="AV523" i="178"/>
  <c r="AR707" i="178"/>
  <c r="BL707" i="178"/>
  <c r="AU523" i="178"/>
  <c r="AU713" i="178"/>
  <c r="BN523" i="178"/>
  <c r="BF523" i="178"/>
  <c r="BM523" i="178"/>
  <c r="BJ713" i="178"/>
  <c r="BH523" i="178"/>
  <c r="AX523" i="178"/>
  <c r="BM713" i="178"/>
  <c r="BD713" i="178"/>
  <c r="AV713" i="178"/>
  <c r="BL329" i="178"/>
  <c r="BB713" i="178"/>
  <c r="AT713" i="178"/>
  <c r="BL523" i="178"/>
  <c r="BJ329" i="178"/>
  <c r="BF329" i="178"/>
  <c r="BB329" i="178"/>
  <c r="AX329" i="178"/>
  <c r="AT329" i="178"/>
  <c r="BH713" i="178"/>
  <c r="AZ713" i="178"/>
  <c r="AR713" i="178"/>
  <c r="BJ523" i="178"/>
  <c r="BB523" i="178"/>
  <c r="AT523" i="178"/>
  <c r="BC523" i="178"/>
  <c r="BN329" i="178"/>
  <c r="BN713" i="178"/>
  <c r="BF713" i="178"/>
  <c r="AX713" i="178"/>
  <c r="AZ523" i="178"/>
  <c r="AR523" i="178"/>
  <c r="S329" i="178"/>
  <c r="BK329" i="178" s="1"/>
  <c r="BH329" i="178"/>
  <c r="BD329" i="178"/>
  <c r="AZ329" i="178"/>
  <c r="AV329" i="178"/>
  <c r="V329" i="178"/>
  <c r="BG523" i="178"/>
  <c r="AY523" i="178"/>
  <c r="BO523" i="178"/>
  <c r="BL713" i="178"/>
  <c r="BI523" i="178"/>
  <c r="BE523" i="178"/>
  <c r="BA523" i="178"/>
  <c r="AW523" i="178"/>
  <c r="AS523" i="178"/>
  <c r="BC713" i="178"/>
  <c r="V523" i="178"/>
  <c r="BG713" i="178"/>
  <c r="AY713" i="178"/>
  <c r="BO713" i="178"/>
  <c r="BI713" i="178"/>
  <c r="BE713" i="178"/>
  <c r="BA713" i="178"/>
  <c r="AW713" i="178"/>
  <c r="AS713" i="178"/>
  <c r="V713" i="178"/>
  <c r="BJ707" i="178"/>
  <c r="BF707" i="178"/>
  <c r="BB707" i="178"/>
  <c r="AX707" i="178"/>
  <c r="AT707" i="178"/>
  <c r="BN707" i="178"/>
  <c r="S707" i="178"/>
  <c r="BK707" i="178" s="1"/>
  <c r="BH707" i="178"/>
  <c r="BD707" i="178"/>
  <c r="AZ707" i="178"/>
  <c r="AV707" i="178"/>
  <c r="V707" i="178"/>
  <c r="BM329" i="178" l="1"/>
  <c r="AS329" i="178"/>
  <c r="AW329" i="178"/>
  <c r="BA329" i="178"/>
  <c r="BE329" i="178"/>
  <c r="BI329" i="178"/>
  <c r="BO329" i="178"/>
  <c r="AU329" i="178"/>
  <c r="AY329" i="178"/>
  <c r="BC329" i="178"/>
  <c r="BG329" i="178"/>
  <c r="BM707" i="178"/>
  <c r="AS707" i="178"/>
  <c r="AW707" i="178"/>
  <c r="BA707" i="178"/>
  <c r="BE707" i="178"/>
  <c r="BI707" i="178"/>
  <c r="AU707" i="178"/>
  <c r="AY707" i="178"/>
  <c r="BC707" i="178"/>
  <c r="BG707" i="178"/>
  <c r="BO707" i="178"/>
  <c r="T722" i="178" l="1"/>
  <c r="U722" i="178" s="1"/>
  <c r="W722" i="178"/>
  <c r="AD722" i="178"/>
  <c r="AE722" i="178"/>
  <c r="AF722" i="178"/>
  <c r="AG722" i="178"/>
  <c r="AH722" i="178"/>
  <c r="AI722" i="178"/>
  <c r="AJ722" i="178"/>
  <c r="AK722" i="178"/>
  <c r="AL722" i="178"/>
  <c r="AM722" i="178"/>
  <c r="AN722" i="178"/>
  <c r="AO722" i="178"/>
  <c r="Q722" i="178"/>
  <c r="B722" i="178"/>
  <c r="T258" i="178"/>
  <c r="U258" i="178" s="1"/>
  <c r="W258" i="178"/>
  <c r="AD258" i="178"/>
  <c r="AE258" i="178"/>
  <c r="AF258" i="178"/>
  <c r="AG258" i="178"/>
  <c r="AH258" i="178"/>
  <c r="AI258" i="178"/>
  <c r="AJ258" i="178"/>
  <c r="AK258" i="178"/>
  <c r="AL258" i="178"/>
  <c r="AM258" i="178"/>
  <c r="AN258" i="178"/>
  <c r="AO258" i="178"/>
  <c r="Q258" i="178"/>
  <c r="B258" i="178"/>
  <c r="T953" i="178"/>
  <c r="U953" i="178" s="1"/>
  <c r="W953" i="178"/>
  <c r="AD953" i="178"/>
  <c r="AE953" i="178"/>
  <c r="AF953" i="178"/>
  <c r="AG953" i="178"/>
  <c r="AH953" i="178"/>
  <c r="AI953" i="178"/>
  <c r="AJ953" i="178"/>
  <c r="AK953" i="178"/>
  <c r="AL953" i="178"/>
  <c r="AM953" i="178"/>
  <c r="AN953" i="178"/>
  <c r="AO953" i="178"/>
  <c r="Q953" i="178"/>
  <c r="S953" i="178" s="1"/>
  <c r="B953" i="178"/>
  <c r="T952" i="178"/>
  <c r="U952" i="178" s="1"/>
  <c r="W952" i="178"/>
  <c r="AD952" i="178"/>
  <c r="AE952" i="178"/>
  <c r="AF952" i="178"/>
  <c r="AG952" i="178"/>
  <c r="AH952" i="178"/>
  <c r="AI952" i="178"/>
  <c r="AJ952" i="178"/>
  <c r="AK952" i="178"/>
  <c r="AL952" i="178"/>
  <c r="AM952" i="178"/>
  <c r="AN952" i="178"/>
  <c r="AO952" i="178"/>
  <c r="Q952" i="178"/>
  <c r="B952" i="178"/>
  <c r="T70" i="178"/>
  <c r="U70" i="178" s="1"/>
  <c r="W70" i="178"/>
  <c r="AD70" i="178"/>
  <c r="AE70" i="178"/>
  <c r="AF70" i="178"/>
  <c r="AG70" i="178"/>
  <c r="AH70" i="178"/>
  <c r="AI70" i="178"/>
  <c r="AJ70" i="178"/>
  <c r="AK70" i="178"/>
  <c r="AL70" i="178"/>
  <c r="AM70" i="178"/>
  <c r="AN70" i="178"/>
  <c r="AO70" i="178"/>
  <c r="Q70" i="178"/>
  <c r="B70" i="178"/>
  <c r="T954" i="178"/>
  <c r="U954" i="178" s="1"/>
  <c r="W954" i="178"/>
  <c r="AD954" i="178"/>
  <c r="AE954" i="178"/>
  <c r="AF954" i="178"/>
  <c r="AG954" i="178"/>
  <c r="AH954" i="178"/>
  <c r="AI954" i="178"/>
  <c r="AJ954" i="178"/>
  <c r="AK954" i="178"/>
  <c r="AL954" i="178"/>
  <c r="AM954" i="178"/>
  <c r="AN954" i="178"/>
  <c r="AO954" i="178"/>
  <c r="Q954" i="178"/>
  <c r="B954" i="178"/>
  <c r="T974" i="178"/>
  <c r="U974" i="178" s="1"/>
  <c r="W974" i="178"/>
  <c r="AD974" i="178"/>
  <c r="AE974" i="178"/>
  <c r="AF974" i="178"/>
  <c r="AG974" i="178"/>
  <c r="AH974" i="178"/>
  <c r="AI974" i="178"/>
  <c r="AJ974" i="178"/>
  <c r="AK974" i="178"/>
  <c r="AL974" i="178"/>
  <c r="AM974" i="178"/>
  <c r="AN974" i="178"/>
  <c r="AO974" i="178"/>
  <c r="T165" i="178"/>
  <c r="V165" i="178" s="1"/>
  <c r="W165" i="178"/>
  <c r="AD165" i="178"/>
  <c r="AE165" i="178"/>
  <c r="AF165" i="178"/>
  <c r="AG165" i="178"/>
  <c r="AH165" i="178"/>
  <c r="AI165" i="178"/>
  <c r="AJ165" i="178"/>
  <c r="AK165" i="178"/>
  <c r="AL165" i="178"/>
  <c r="AM165" i="178"/>
  <c r="AN165" i="178"/>
  <c r="AO165" i="178"/>
  <c r="T166" i="178"/>
  <c r="V166" i="178" s="1"/>
  <c r="W166" i="178"/>
  <c r="AD166" i="178"/>
  <c r="AE166" i="178"/>
  <c r="AF166" i="178"/>
  <c r="AG166" i="178"/>
  <c r="AH166" i="178"/>
  <c r="AI166" i="178"/>
  <c r="AJ166" i="178"/>
  <c r="AK166" i="178"/>
  <c r="AL166" i="178"/>
  <c r="AM166" i="178"/>
  <c r="AN166" i="178"/>
  <c r="AO166" i="178"/>
  <c r="Q166" i="178"/>
  <c r="Q165" i="178"/>
  <c r="Q974" i="178"/>
  <c r="B974" i="178"/>
  <c r="B165" i="178"/>
  <c r="B166" i="178"/>
  <c r="T491" i="178"/>
  <c r="U491" i="178" s="1"/>
  <c r="W491" i="178"/>
  <c r="AD491" i="178"/>
  <c r="AE491" i="178"/>
  <c r="AF491" i="178"/>
  <c r="AG491" i="178"/>
  <c r="AH491" i="178"/>
  <c r="AI491" i="178"/>
  <c r="AJ491" i="178"/>
  <c r="AK491" i="178"/>
  <c r="AL491" i="178"/>
  <c r="AM491" i="178"/>
  <c r="AN491" i="178"/>
  <c r="AO491" i="178"/>
  <c r="Q491" i="178"/>
  <c r="S491" i="178" s="1"/>
  <c r="B491" i="178"/>
  <c r="R835" i="55"/>
  <c r="R219" i="55"/>
  <c r="R220" i="55"/>
  <c r="O835" i="55"/>
  <c r="P835" i="55"/>
  <c r="Q835" i="55"/>
  <c r="O219" i="55"/>
  <c r="P219" i="55"/>
  <c r="Q219" i="55"/>
  <c r="O220" i="55"/>
  <c r="P220" i="55"/>
  <c r="Q220" i="55"/>
  <c r="C237" i="78"/>
  <c r="C238" i="78"/>
  <c r="C869" i="78"/>
  <c r="AR722" i="178" l="1"/>
  <c r="AR70" i="178"/>
  <c r="AR258" i="178"/>
  <c r="BK491" i="178"/>
  <c r="BK953" i="178"/>
  <c r="AA166" i="178"/>
  <c r="AB166" i="178" s="1"/>
  <c r="Y165" i="178"/>
  <c r="X974" i="178"/>
  <c r="Y166" i="178"/>
  <c r="X165" i="178"/>
  <c r="X166" i="178"/>
  <c r="AA974" i="178"/>
  <c r="AB974" i="178" s="1"/>
  <c r="AA165" i="178"/>
  <c r="AB165" i="178" s="1"/>
  <c r="Y974" i="178"/>
  <c r="AR952" i="178"/>
  <c r="BN953" i="178"/>
  <c r="BL258" i="178"/>
  <c r="BJ491" i="178"/>
  <c r="BB491" i="178"/>
  <c r="BN954" i="178"/>
  <c r="BF953" i="178"/>
  <c r="AX953" i="178"/>
  <c r="BD953" i="178"/>
  <c r="AT166" i="178"/>
  <c r="BL952" i="178"/>
  <c r="BL722" i="178"/>
  <c r="BM953" i="178"/>
  <c r="AV953" i="178"/>
  <c r="BJ722" i="178"/>
  <c r="BF722" i="178"/>
  <c r="BB722" i="178"/>
  <c r="AX722" i="178"/>
  <c r="AT722" i="178"/>
  <c r="BJ953" i="178"/>
  <c r="BB953" i="178"/>
  <c r="AT953" i="178"/>
  <c r="BN722" i="178"/>
  <c r="BH953" i="178"/>
  <c r="AZ953" i="178"/>
  <c r="AR953" i="178"/>
  <c r="S258" i="178"/>
  <c r="AW258" i="178" s="1"/>
  <c r="S722" i="178"/>
  <c r="BK722" i="178" s="1"/>
  <c r="BH722" i="178"/>
  <c r="BD722" i="178"/>
  <c r="AZ722" i="178"/>
  <c r="AV722" i="178"/>
  <c r="V722" i="178"/>
  <c r="BL953" i="178"/>
  <c r="BJ258" i="178"/>
  <c r="BF258" i="178"/>
  <c r="BB258" i="178"/>
  <c r="AX258" i="178"/>
  <c r="AT258" i="178"/>
  <c r="BL70" i="178"/>
  <c r="BC953" i="178"/>
  <c r="BN258" i="178"/>
  <c r="AU953" i="178"/>
  <c r="BH258" i="178"/>
  <c r="BD258" i="178"/>
  <c r="AZ258" i="178"/>
  <c r="AV258" i="178"/>
  <c r="V258" i="178"/>
  <c r="BG953" i="178"/>
  <c r="AY953" i="178"/>
  <c r="BO953" i="178"/>
  <c r="BI953" i="178"/>
  <c r="BE953" i="178"/>
  <c r="BA953" i="178"/>
  <c r="AW953" i="178"/>
  <c r="AS953" i="178"/>
  <c r="V953" i="178"/>
  <c r="BJ952" i="178"/>
  <c r="BF952" i="178"/>
  <c r="BB952" i="178"/>
  <c r="AX952" i="178"/>
  <c r="AT952" i="178"/>
  <c r="BL954" i="178"/>
  <c r="BN952" i="178"/>
  <c r="BN165" i="178"/>
  <c r="V974" i="178"/>
  <c r="S954" i="178"/>
  <c r="BC954" i="178" s="1"/>
  <c r="BH954" i="178"/>
  <c r="AZ954" i="178"/>
  <c r="AR954" i="178"/>
  <c r="S952" i="178"/>
  <c r="BK952" i="178" s="1"/>
  <c r="BH952" i="178"/>
  <c r="BD952" i="178"/>
  <c r="AZ952" i="178"/>
  <c r="AV952" i="178"/>
  <c r="V952" i="178"/>
  <c r="AR165" i="178"/>
  <c r="BJ70" i="178"/>
  <c r="BF70" i="178"/>
  <c r="BB70" i="178"/>
  <c r="AX70" i="178"/>
  <c r="AT70" i="178"/>
  <c r="BH165" i="178"/>
  <c r="S165" i="178"/>
  <c r="AS165" i="178" s="1"/>
  <c r="BD165" i="178"/>
  <c r="AV165" i="178"/>
  <c r="BD954" i="178"/>
  <c r="AV954" i="178"/>
  <c r="BN70" i="178"/>
  <c r="AZ165" i="178"/>
  <c r="U166" i="178"/>
  <c r="BL974" i="178"/>
  <c r="BJ954" i="178"/>
  <c r="BB954" i="178"/>
  <c r="AT954" i="178"/>
  <c r="S70" i="178"/>
  <c r="BK70" i="178" s="1"/>
  <c r="BH70" i="178"/>
  <c r="BD70" i="178"/>
  <c r="AZ70" i="178"/>
  <c r="AV70" i="178"/>
  <c r="V70" i="178"/>
  <c r="AR974" i="178"/>
  <c r="BF954" i="178"/>
  <c r="AX954" i="178"/>
  <c r="V954" i="178"/>
  <c r="BN166" i="178"/>
  <c r="BH491" i="178"/>
  <c r="AZ491" i="178"/>
  <c r="AR491" i="178"/>
  <c r="S974" i="178"/>
  <c r="BK974" i="178" s="1"/>
  <c r="U165" i="178"/>
  <c r="BH166" i="178"/>
  <c r="BD166" i="178"/>
  <c r="AZ166" i="178"/>
  <c r="AV166" i="178"/>
  <c r="AR166" i="178"/>
  <c r="BL165" i="178"/>
  <c r="BJ974" i="178"/>
  <c r="BF974" i="178"/>
  <c r="BB974" i="178"/>
  <c r="AX974" i="178"/>
  <c r="AT974" i="178"/>
  <c r="AT491" i="178"/>
  <c r="BN491" i="178"/>
  <c r="BF491" i="178"/>
  <c r="AX491" i="178"/>
  <c r="BL166" i="178"/>
  <c r="BJ165" i="178"/>
  <c r="BF165" i="178"/>
  <c r="BB165" i="178"/>
  <c r="AX165" i="178"/>
  <c r="AT165" i="178"/>
  <c r="BN974" i="178"/>
  <c r="BM491" i="178"/>
  <c r="BD491" i="178"/>
  <c r="AV491" i="178"/>
  <c r="S166" i="178"/>
  <c r="BK166" i="178" s="1"/>
  <c r="BJ166" i="178"/>
  <c r="BF166" i="178"/>
  <c r="BB166" i="178"/>
  <c r="AX166" i="178"/>
  <c r="BH974" i="178"/>
  <c r="BD974" i="178"/>
  <c r="AZ974" i="178"/>
  <c r="AV974" i="178"/>
  <c r="BA491" i="178"/>
  <c r="BI491" i="178"/>
  <c r="AU491" i="178"/>
  <c r="BC491" i="178"/>
  <c r="AS491" i="178"/>
  <c r="BL491" i="178"/>
  <c r="BG491" i="178"/>
  <c r="AY491" i="178"/>
  <c r="BO491" i="178"/>
  <c r="BE491" i="178"/>
  <c r="AW491" i="178"/>
  <c r="V491" i="178"/>
  <c r="BO258" i="178" l="1"/>
  <c r="BK165" i="178"/>
  <c r="BK258" i="178"/>
  <c r="BK954" i="178"/>
  <c r="BA258" i="178"/>
  <c r="BA954" i="178"/>
  <c r="AU954" i="178"/>
  <c r="AY954" i="178"/>
  <c r="AS258" i="178"/>
  <c r="BI258" i="178"/>
  <c r="BE258" i="178"/>
  <c r="AW954" i="178"/>
  <c r="BM954" i="178"/>
  <c r="BI165" i="178"/>
  <c r="BO165" i="178"/>
  <c r="AU165" i="178"/>
  <c r="BM722" i="178"/>
  <c r="AS722" i="178"/>
  <c r="AW722" i="178"/>
  <c r="BA722" i="178"/>
  <c r="BE722" i="178"/>
  <c r="BI722" i="178"/>
  <c r="BO722" i="178"/>
  <c r="AU722" i="178"/>
  <c r="AY722" i="178"/>
  <c r="BC722" i="178"/>
  <c r="BG722" i="178"/>
  <c r="BM258" i="178"/>
  <c r="AY258" i="178"/>
  <c r="BC258" i="178"/>
  <c r="BG258" i="178"/>
  <c r="AU258" i="178"/>
  <c r="BG165" i="178"/>
  <c r="AW165" i="178"/>
  <c r="BM165" i="178"/>
  <c r="BM952" i="178"/>
  <c r="AS952" i="178"/>
  <c r="AW952" i="178"/>
  <c r="BA952" i="178"/>
  <c r="BE952" i="178"/>
  <c r="BI952" i="178"/>
  <c r="AU952" i="178"/>
  <c r="AY952" i="178"/>
  <c r="BC952" i="178"/>
  <c r="BG952" i="178"/>
  <c r="BO952" i="178"/>
  <c r="Z165" i="178"/>
  <c r="AC165" i="178" s="1"/>
  <c r="AY165" i="178"/>
  <c r="BE954" i="178"/>
  <c r="BO954" i="178"/>
  <c r="BG954" i="178"/>
  <c r="BA165" i="178"/>
  <c r="BE165" i="178"/>
  <c r="BC165" i="178"/>
  <c r="AS954" i="178"/>
  <c r="BI954" i="178"/>
  <c r="BM70" i="178"/>
  <c r="AU70" i="178"/>
  <c r="AY70" i="178"/>
  <c r="BC70" i="178"/>
  <c r="BG70" i="178"/>
  <c r="AS70" i="178"/>
  <c r="AW70" i="178"/>
  <c r="BA70" i="178"/>
  <c r="BE70" i="178"/>
  <c r="BI70" i="178"/>
  <c r="BO70" i="178"/>
  <c r="BO166" i="178"/>
  <c r="AU166" i="178"/>
  <c r="AY166" i="178"/>
  <c r="BC166" i="178"/>
  <c r="BG166" i="178"/>
  <c r="BM166" i="178"/>
  <c r="AS166" i="178"/>
  <c r="AW166" i="178"/>
  <c r="BA166" i="178"/>
  <c r="BE166" i="178"/>
  <c r="BI166" i="178"/>
  <c r="BM974" i="178"/>
  <c r="AS974" i="178"/>
  <c r="AW974" i="178"/>
  <c r="BA974" i="178"/>
  <c r="BE974" i="178"/>
  <c r="BI974" i="178"/>
  <c r="BO974" i="178"/>
  <c r="AU974" i="178"/>
  <c r="AY974" i="178"/>
  <c r="BC974" i="178"/>
  <c r="BG974" i="178"/>
  <c r="Z974" i="178"/>
  <c r="AC974" i="178" s="1"/>
  <c r="Z166" i="178"/>
  <c r="AC166" i="178" s="1"/>
  <c r="O155" i="55" l="1"/>
  <c r="P155" i="55"/>
  <c r="Q155" i="55"/>
  <c r="R155" i="55"/>
  <c r="C172" i="78"/>
  <c r="O147" i="55"/>
  <c r="P147" i="55"/>
  <c r="Q147" i="55"/>
  <c r="R147" i="55"/>
  <c r="C164" i="78"/>
  <c r="O372" i="55"/>
  <c r="P372" i="55"/>
  <c r="Q372" i="55"/>
  <c r="R372" i="55"/>
  <c r="O373" i="55"/>
  <c r="P373" i="55"/>
  <c r="Q373" i="55"/>
  <c r="R373" i="55"/>
  <c r="O221" i="55"/>
  <c r="P221" i="55"/>
  <c r="Q221" i="55"/>
  <c r="R221" i="55"/>
  <c r="O222" i="55"/>
  <c r="P222" i="55"/>
  <c r="Q222" i="55"/>
  <c r="R222" i="55"/>
  <c r="O734" i="55"/>
  <c r="P734" i="55"/>
  <c r="Q734" i="55"/>
  <c r="R734" i="55"/>
  <c r="O223" i="55"/>
  <c r="P223" i="55"/>
  <c r="Q223" i="55"/>
  <c r="R223" i="55"/>
  <c r="O790" i="55" l="1"/>
  <c r="P790" i="55"/>
  <c r="Q790" i="55"/>
  <c r="R790" i="55"/>
  <c r="O791" i="55"/>
  <c r="P791" i="55"/>
  <c r="Q791" i="55"/>
  <c r="R791" i="55"/>
  <c r="O792" i="55"/>
  <c r="P792" i="55"/>
  <c r="Q792" i="55"/>
  <c r="R792" i="55"/>
  <c r="C824" i="78"/>
  <c r="C825" i="78"/>
  <c r="C826" i="78"/>
  <c r="O370" i="55"/>
  <c r="P370" i="55"/>
  <c r="Q370" i="55"/>
  <c r="R370" i="55"/>
  <c r="O371" i="55"/>
  <c r="P371" i="55"/>
  <c r="Q371" i="55"/>
  <c r="R371" i="55"/>
  <c r="C397" i="78"/>
  <c r="C398" i="78"/>
  <c r="O897" i="55"/>
  <c r="P897" i="55"/>
  <c r="Q897" i="55"/>
  <c r="R897" i="55"/>
  <c r="C931" i="78"/>
  <c r="C399" i="78"/>
  <c r="C762" i="78"/>
  <c r="C241" i="78"/>
  <c r="O263" i="55"/>
  <c r="P263" i="55"/>
  <c r="Q263" i="55"/>
  <c r="R263" i="55"/>
  <c r="O680" i="55"/>
  <c r="P680" i="55"/>
  <c r="Q680" i="55"/>
  <c r="R680" i="55"/>
  <c r="C707" i="78"/>
  <c r="C518" i="78"/>
  <c r="O491" i="55"/>
  <c r="P491" i="55"/>
  <c r="Q491" i="55"/>
  <c r="R491" i="55"/>
  <c r="O490" i="55"/>
  <c r="P490" i="55"/>
  <c r="Q490" i="55"/>
  <c r="R490" i="55"/>
  <c r="C517" i="78"/>
  <c r="O410" i="55"/>
  <c r="P410" i="55"/>
  <c r="Q410" i="55"/>
  <c r="R410" i="55"/>
  <c r="C437" i="78"/>
  <c r="O310" i="55"/>
  <c r="P310" i="55"/>
  <c r="Q310" i="55"/>
  <c r="R310" i="55"/>
  <c r="C334" i="78"/>
  <c r="B393" i="178"/>
  <c r="B394" i="178"/>
  <c r="B278" i="178"/>
  <c r="O887" i="55"/>
  <c r="P887" i="55"/>
  <c r="Q887" i="55"/>
  <c r="R887" i="55"/>
  <c r="O888" i="55"/>
  <c r="P888" i="55"/>
  <c r="Q888" i="55"/>
  <c r="AA1031" i="178" s="1"/>
  <c r="R888" i="55"/>
  <c r="O889" i="55"/>
  <c r="P889" i="55"/>
  <c r="Q889" i="55"/>
  <c r="R889" i="55"/>
  <c r="O890" i="55"/>
  <c r="P890" i="55"/>
  <c r="Q890" i="55"/>
  <c r="R890" i="55"/>
  <c r="C921" i="78"/>
  <c r="C922" i="78"/>
  <c r="C923" i="78"/>
  <c r="C233" i="78"/>
  <c r="C234" i="78"/>
  <c r="O216" i="55"/>
  <c r="P216" i="55"/>
  <c r="Q216" i="55"/>
  <c r="R216" i="55"/>
  <c r="T681" i="178"/>
  <c r="U681" i="178" s="1"/>
  <c r="W681" i="178"/>
  <c r="AD681" i="178"/>
  <c r="AE681" i="178"/>
  <c r="AF681" i="178"/>
  <c r="AG681" i="178"/>
  <c r="AH681" i="178"/>
  <c r="AI681" i="178"/>
  <c r="AJ681" i="178"/>
  <c r="AK681" i="178"/>
  <c r="AL681" i="178"/>
  <c r="AM681" i="178"/>
  <c r="AN681" i="178"/>
  <c r="AO681" i="178"/>
  <c r="T685" i="178"/>
  <c r="U685" i="178" s="1"/>
  <c r="W685" i="178"/>
  <c r="AD685" i="178"/>
  <c r="AE685" i="178"/>
  <c r="AF685" i="178"/>
  <c r="AG685" i="178"/>
  <c r="AH685" i="178"/>
  <c r="AI685" i="178"/>
  <c r="AJ685" i="178"/>
  <c r="AK685" i="178"/>
  <c r="AL685" i="178"/>
  <c r="AM685" i="178"/>
  <c r="AN685" i="178"/>
  <c r="AO685" i="178"/>
  <c r="T465" i="178"/>
  <c r="U465" i="178" s="1"/>
  <c r="W465" i="178"/>
  <c r="AD465" i="178"/>
  <c r="AE465" i="178"/>
  <c r="AF465" i="178"/>
  <c r="AG465" i="178"/>
  <c r="AH465" i="178"/>
  <c r="AI465" i="178"/>
  <c r="AJ465" i="178"/>
  <c r="AK465" i="178"/>
  <c r="AL465" i="178"/>
  <c r="AM465" i="178"/>
  <c r="AN465" i="178"/>
  <c r="AO465" i="178"/>
  <c r="T698" i="178"/>
  <c r="U698" i="178" s="1"/>
  <c r="W698" i="178"/>
  <c r="AD698" i="178"/>
  <c r="AE698" i="178"/>
  <c r="AF698" i="178"/>
  <c r="AG698" i="178"/>
  <c r="AH698" i="178"/>
  <c r="AI698" i="178"/>
  <c r="AJ698" i="178"/>
  <c r="AK698" i="178"/>
  <c r="AL698" i="178"/>
  <c r="AM698" i="178"/>
  <c r="AN698" i="178"/>
  <c r="AO698" i="178"/>
  <c r="T467" i="178"/>
  <c r="U467" i="178" s="1"/>
  <c r="W467" i="178"/>
  <c r="AD467" i="178"/>
  <c r="AE467" i="178"/>
  <c r="AF467" i="178"/>
  <c r="AG467" i="178"/>
  <c r="AH467" i="178"/>
  <c r="AI467" i="178"/>
  <c r="AJ467" i="178"/>
  <c r="AK467" i="178"/>
  <c r="AL467" i="178"/>
  <c r="AM467" i="178"/>
  <c r="AN467" i="178"/>
  <c r="AO467" i="178"/>
  <c r="T702" i="178"/>
  <c r="U702" i="178" s="1"/>
  <c r="W702" i="178"/>
  <c r="AD702" i="178"/>
  <c r="AE702" i="178"/>
  <c r="AF702" i="178"/>
  <c r="AG702" i="178"/>
  <c r="AH702" i="178"/>
  <c r="AI702" i="178"/>
  <c r="AJ702" i="178"/>
  <c r="AK702" i="178"/>
  <c r="AL702" i="178"/>
  <c r="AM702" i="178"/>
  <c r="AN702" i="178"/>
  <c r="AO702" i="178"/>
  <c r="T469" i="178"/>
  <c r="U469" i="178" s="1"/>
  <c r="W469" i="178"/>
  <c r="AD469" i="178"/>
  <c r="AE469" i="178"/>
  <c r="AF469" i="178"/>
  <c r="AG469" i="178"/>
  <c r="AH469" i="178"/>
  <c r="AI469" i="178"/>
  <c r="AJ469" i="178"/>
  <c r="AK469" i="178"/>
  <c r="AL469" i="178"/>
  <c r="AM469" i="178"/>
  <c r="AN469" i="178"/>
  <c r="AO469" i="178"/>
  <c r="T703" i="178"/>
  <c r="U703" i="178" s="1"/>
  <c r="W703" i="178"/>
  <c r="AD703" i="178"/>
  <c r="AE703" i="178"/>
  <c r="AF703" i="178"/>
  <c r="AG703" i="178"/>
  <c r="AH703" i="178"/>
  <c r="AI703" i="178"/>
  <c r="AJ703" i="178"/>
  <c r="AK703" i="178"/>
  <c r="AL703" i="178"/>
  <c r="AM703" i="178"/>
  <c r="AN703" i="178"/>
  <c r="AO703" i="178"/>
  <c r="T470" i="178"/>
  <c r="U470" i="178" s="1"/>
  <c r="W470" i="178"/>
  <c r="AD470" i="178"/>
  <c r="AE470" i="178"/>
  <c r="AF470" i="178"/>
  <c r="AG470" i="178"/>
  <c r="AH470" i="178"/>
  <c r="AI470" i="178"/>
  <c r="AJ470" i="178"/>
  <c r="AK470" i="178"/>
  <c r="AL470" i="178"/>
  <c r="AM470" i="178"/>
  <c r="AN470" i="178"/>
  <c r="AO470" i="178"/>
  <c r="T869" i="178"/>
  <c r="U869" i="178" s="1"/>
  <c r="W869" i="178"/>
  <c r="AD869" i="178"/>
  <c r="AE869" i="178"/>
  <c r="AF869" i="178"/>
  <c r="AG869" i="178"/>
  <c r="AH869" i="178"/>
  <c r="AI869" i="178"/>
  <c r="AJ869" i="178"/>
  <c r="AK869" i="178"/>
  <c r="AL869" i="178"/>
  <c r="AM869" i="178"/>
  <c r="AN869" i="178"/>
  <c r="AO869" i="178"/>
  <c r="T963" i="178"/>
  <c r="U963" i="178" s="1"/>
  <c r="W963" i="178"/>
  <c r="AD963" i="178"/>
  <c r="AE963" i="178"/>
  <c r="AF963" i="178"/>
  <c r="AG963" i="178"/>
  <c r="AH963" i="178"/>
  <c r="AI963" i="178"/>
  <c r="AJ963" i="178"/>
  <c r="AK963" i="178"/>
  <c r="AL963" i="178"/>
  <c r="AM963" i="178"/>
  <c r="AN963" i="178"/>
  <c r="AO963" i="178"/>
  <c r="T873" i="178"/>
  <c r="U873" i="178" s="1"/>
  <c r="W873" i="178"/>
  <c r="AD873" i="178"/>
  <c r="AE873" i="178"/>
  <c r="AF873" i="178"/>
  <c r="AG873" i="178"/>
  <c r="AH873" i="178"/>
  <c r="AI873" i="178"/>
  <c r="AJ873" i="178"/>
  <c r="AK873" i="178"/>
  <c r="AL873" i="178"/>
  <c r="AM873" i="178"/>
  <c r="AN873" i="178"/>
  <c r="AO873" i="178"/>
  <c r="T964" i="178"/>
  <c r="U964" i="178" s="1"/>
  <c r="W964" i="178"/>
  <c r="AD964" i="178"/>
  <c r="AE964" i="178"/>
  <c r="AF964" i="178"/>
  <c r="AG964" i="178"/>
  <c r="AH964" i="178"/>
  <c r="AI964" i="178"/>
  <c r="AJ964" i="178"/>
  <c r="AK964" i="178"/>
  <c r="AL964" i="178"/>
  <c r="AM964" i="178"/>
  <c r="AN964" i="178"/>
  <c r="AO964" i="178"/>
  <c r="T965" i="178"/>
  <c r="V965" i="178" s="1"/>
  <c r="W965" i="178"/>
  <c r="AD965" i="178"/>
  <c r="AE965" i="178"/>
  <c r="AF965" i="178"/>
  <c r="AG965" i="178"/>
  <c r="AH965" i="178"/>
  <c r="AI965" i="178"/>
  <c r="AJ965" i="178"/>
  <c r="AK965" i="178"/>
  <c r="AL965" i="178"/>
  <c r="AM965" i="178"/>
  <c r="AN965" i="178"/>
  <c r="AO965" i="178"/>
  <c r="T874" i="178"/>
  <c r="U874" i="178" s="1"/>
  <c r="W874" i="178"/>
  <c r="AD874" i="178"/>
  <c r="AE874" i="178"/>
  <c r="AF874" i="178"/>
  <c r="AG874" i="178"/>
  <c r="AH874" i="178"/>
  <c r="AI874" i="178"/>
  <c r="AJ874" i="178"/>
  <c r="AK874" i="178"/>
  <c r="AL874" i="178"/>
  <c r="AM874" i="178"/>
  <c r="AN874" i="178"/>
  <c r="AO874" i="178"/>
  <c r="T966" i="178"/>
  <c r="U966" i="178" s="1"/>
  <c r="W966" i="178"/>
  <c r="AD966" i="178"/>
  <c r="AE966" i="178"/>
  <c r="AF966" i="178"/>
  <c r="AG966" i="178"/>
  <c r="AH966" i="178"/>
  <c r="AI966" i="178"/>
  <c r="AJ966" i="178"/>
  <c r="AK966" i="178"/>
  <c r="AL966" i="178"/>
  <c r="AM966" i="178"/>
  <c r="AN966" i="178"/>
  <c r="AO966" i="178"/>
  <c r="T1021" i="178"/>
  <c r="U1021" i="178" s="1"/>
  <c r="W1021" i="178"/>
  <c r="AD1021" i="178"/>
  <c r="AE1021" i="178"/>
  <c r="AF1021" i="178"/>
  <c r="AG1021" i="178"/>
  <c r="AH1021" i="178"/>
  <c r="AI1021" i="178"/>
  <c r="AJ1021" i="178"/>
  <c r="AK1021" i="178"/>
  <c r="AL1021" i="178"/>
  <c r="AM1021" i="178"/>
  <c r="AN1021" i="178"/>
  <c r="AO1021" i="178"/>
  <c r="T1024" i="178"/>
  <c r="U1024" i="178" s="1"/>
  <c r="W1024" i="178"/>
  <c r="AD1024" i="178"/>
  <c r="AE1024" i="178"/>
  <c r="AF1024" i="178"/>
  <c r="AG1024" i="178"/>
  <c r="AH1024" i="178"/>
  <c r="AI1024" i="178"/>
  <c r="AJ1024" i="178"/>
  <c r="AK1024" i="178"/>
  <c r="AL1024" i="178"/>
  <c r="AM1024" i="178"/>
  <c r="AN1024" i="178"/>
  <c r="AO1024" i="178"/>
  <c r="T1027" i="178"/>
  <c r="U1027" i="178" s="1"/>
  <c r="W1027" i="178"/>
  <c r="AD1027" i="178"/>
  <c r="AE1027" i="178"/>
  <c r="AF1027" i="178"/>
  <c r="AG1027" i="178"/>
  <c r="AH1027" i="178"/>
  <c r="AI1027" i="178"/>
  <c r="AJ1027" i="178"/>
  <c r="AK1027" i="178"/>
  <c r="AL1027" i="178"/>
  <c r="AM1027" i="178"/>
  <c r="AN1027" i="178"/>
  <c r="AO1027" i="178"/>
  <c r="T1030" i="178"/>
  <c r="U1030" i="178" s="1"/>
  <c r="W1030" i="178"/>
  <c r="X1030" i="178"/>
  <c r="Y1030" i="178"/>
  <c r="AA1030" i="178"/>
  <c r="AD1030" i="178"/>
  <c r="AE1030" i="178"/>
  <c r="AF1030" i="178"/>
  <c r="AG1030" i="178"/>
  <c r="AH1030" i="178"/>
  <c r="AI1030" i="178"/>
  <c r="AJ1030" i="178"/>
  <c r="AK1030" i="178"/>
  <c r="AL1030" i="178"/>
  <c r="AM1030" i="178"/>
  <c r="AN1030" i="178"/>
  <c r="AO1030" i="178"/>
  <c r="T1031" i="178"/>
  <c r="U1031" i="178" s="1"/>
  <c r="W1031" i="178"/>
  <c r="X1031" i="178"/>
  <c r="Y1031" i="178"/>
  <c r="AD1031" i="178"/>
  <c r="AE1031" i="178"/>
  <c r="AF1031" i="178"/>
  <c r="AG1031" i="178"/>
  <c r="AH1031" i="178"/>
  <c r="AI1031" i="178"/>
  <c r="AJ1031" i="178"/>
  <c r="AK1031" i="178"/>
  <c r="AL1031" i="178"/>
  <c r="AM1031" i="178"/>
  <c r="AN1031" i="178"/>
  <c r="AO1031" i="178"/>
  <c r="S681" i="178"/>
  <c r="S685" i="178"/>
  <c r="Q465" i="178"/>
  <c r="S698" i="178"/>
  <c r="Q467" i="178"/>
  <c r="S702" i="178"/>
  <c r="Q469" i="178"/>
  <c r="S469" i="178" s="1"/>
  <c r="S703" i="178"/>
  <c r="Q470" i="178"/>
  <c r="Q869" i="178"/>
  <c r="S869" i="178" s="1"/>
  <c r="S963" i="178"/>
  <c r="Q873" i="178"/>
  <c r="S965" i="178"/>
  <c r="Q874" i="178"/>
  <c r="S874" i="178" s="1"/>
  <c r="S966" i="178"/>
  <c r="Q1021" i="178"/>
  <c r="Q1024" i="178"/>
  <c r="S1024" i="178" s="1"/>
  <c r="Q1027" i="178"/>
  <c r="S1027" i="178" s="1"/>
  <c r="Q1030" i="178"/>
  <c r="B681" i="178"/>
  <c r="B685" i="178"/>
  <c r="B465" i="178"/>
  <c r="B698" i="178"/>
  <c r="B467" i="178"/>
  <c r="B702" i="178"/>
  <c r="B469" i="178"/>
  <c r="B703" i="178"/>
  <c r="B470" i="178"/>
  <c r="B869" i="178"/>
  <c r="B963" i="178"/>
  <c r="B873" i="178"/>
  <c r="B964" i="178"/>
  <c r="B965" i="178"/>
  <c r="B874" i="178"/>
  <c r="B966" i="178"/>
  <c r="B1021" i="178"/>
  <c r="B1024" i="178"/>
  <c r="B1027" i="178"/>
  <c r="B1030" i="178"/>
  <c r="B1031" i="178"/>
  <c r="B1032" i="178"/>
  <c r="B219" i="178"/>
  <c r="AY685" i="178" l="1"/>
  <c r="AY702" i="178"/>
  <c r="BK1027" i="178"/>
  <c r="BK1024" i="178"/>
  <c r="BK966" i="178"/>
  <c r="BK965" i="178"/>
  <c r="BK869" i="178"/>
  <c r="BK703" i="178"/>
  <c r="BK702" i="178"/>
  <c r="BK698" i="178"/>
  <c r="BK685" i="178"/>
  <c r="BK874" i="178"/>
  <c r="BK963" i="178"/>
  <c r="BK469" i="178"/>
  <c r="BK681" i="178"/>
  <c r="AA491" i="178"/>
  <c r="AB491" i="178" s="1"/>
  <c r="Y491" i="178"/>
  <c r="X491" i="178"/>
  <c r="BH465" i="178"/>
  <c r="BJ1024" i="178"/>
  <c r="BJ703" i="178"/>
  <c r="BJ1021" i="178"/>
  <c r="BJ467" i="178"/>
  <c r="BL1024" i="178"/>
  <c r="BD1024" i="178"/>
  <c r="AV1024" i="178"/>
  <c r="BL966" i="178"/>
  <c r="BD966" i="178"/>
  <c r="AV966" i="178"/>
  <c r="AV698" i="178"/>
  <c r="BE469" i="178"/>
  <c r="V685" i="178"/>
  <c r="V1024" i="178"/>
  <c r="V1031" i="178"/>
  <c r="U965" i="178"/>
  <c r="BB873" i="178"/>
  <c r="V869" i="178"/>
  <c r="V702" i="178"/>
  <c r="V698" i="178"/>
  <c r="V873" i="178"/>
  <c r="BJ964" i="178"/>
  <c r="BB964" i="178"/>
  <c r="BH1024" i="178"/>
  <c r="AZ1024" i="178"/>
  <c r="AR1024" i="178"/>
  <c r="BH966" i="178"/>
  <c r="AZ966" i="178"/>
  <c r="AR966" i="178"/>
  <c r="BJ874" i="178"/>
  <c r="BB874" i="178"/>
  <c r="BJ873" i="178"/>
  <c r="BN703" i="178"/>
  <c r="AT964" i="178"/>
  <c r="S465" i="178"/>
  <c r="BE465" i="178" s="1"/>
  <c r="BD1021" i="178"/>
  <c r="AV1021" i="178"/>
  <c r="BJ470" i="178"/>
  <c r="BD703" i="178"/>
  <c r="AV703" i="178"/>
  <c r="BO698" i="178"/>
  <c r="AX703" i="178"/>
  <c r="AS963" i="178"/>
  <c r="BI963" i="178"/>
  <c r="AY703" i="178"/>
  <c r="AS469" i="178"/>
  <c r="BO703" i="178"/>
  <c r="AW703" i="178"/>
  <c r="BG703" i="178"/>
  <c r="BD469" i="178"/>
  <c r="BN1027" i="178"/>
  <c r="BF1027" i="178"/>
  <c r="AX1027" i="178"/>
  <c r="BF869" i="178"/>
  <c r="AX869" i="178"/>
  <c r="BJ685" i="178"/>
  <c r="AT685" i="178"/>
  <c r="BG681" i="178"/>
  <c r="BC702" i="178"/>
  <c r="BM1027" i="178"/>
  <c r="BO966" i="178"/>
  <c r="BI874" i="178"/>
  <c r="AZ874" i="178"/>
  <c r="BL965" i="178"/>
  <c r="BE965" i="178"/>
  <c r="AW965" i="178"/>
  <c r="BJ963" i="178"/>
  <c r="BO469" i="178"/>
  <c r="BJ702" i="178"/>
  <c r="BB702" i="178"/>
  <c r="S1021" i="178"/>
  <c r="BA1021" i="178" s="1"/>
  <c r="S964" i="178"/>
  <c r="AU964" i="178" s="1"/>
  <c r="S470" i="178"/>
  <c r="BA470" i="178" s="1"/>
  <c r="S467" i="178"/>
  <c r="BI467" i="178" s="1"/>
  <c r="AB1030" i="178"/>
  <c r="BJ1027" i="178"/>
  <c r="BB1027" i="178"/>
  <c r="AT1027" i="178"/>
  <c r="AZ1021" i="178"/>
  <c r="BB965" i="178"/>
  <c r="BH963" i="178"/>
  <c r="AZ963" i="178"/>
  <c r="AR963" i="178"/>
  <c r="BJ869" i="178"/>
  <c r="BN470" i="178"/>
  <c r="BF470" i="178"/>
  <c r="BL469" i="178"/>
  <c r="AW469" i="178"/>
  <c r="BJ698" i="178"/>
  <c r="BJ465" i="178"/>
  <c r="AX685" i="178"/>
  <c r="BJ681" i="178"/>
  <c r="BC681" i="178"/>
  <c r="BL964" i="178"/>
  <c r="BH1021" i="178"/>
  <c r="AR1021" i="178"/>
  <c r="BF874" i="178"/>
  <c r="BJ965" i="178"/>
  <c r="AT965" i="178"/>
  <c r="AX470" i="178"/>
  <c r="S873" i="178"/>
  <c r="BC873" i="178" s="1"/>
  <c r="BO1024" i="178"/>
  <c r="BN1021" i="178"/>
  <c r="BJ966" i="178"/>
  <c r="BL874" i="178"/>
  <c r="AV874" i="178"/>
  <c r="BH873" i="178"/>
  <c r="AZ873" i="178"/>
  <c r="AR873" i="178"/>
  <c r="BI869" i="178"/>
  <c r="BA869" i="178"/>
  <c r="AS869" i="178"/>
  <c r="BJ469" i="178"/>
  <c r="AX702" i="178"/>
  <c r="AZ698" i="178"/>
  <c r="BM685" i="178"/>
  <c r="BB966" i="178"/>
  <c r="BC966" i="178"/>
  <c r="AT966" i="178"/>
  <c r="AU966" i="178"/>
  <c r="AR874" i="178"/>
  <c r="AS874" i="178"/>
  <c r="BN873" i="178"/>
  <c r="BF873" i="178"/>
  <c r="AX873" i="178"/>
  <c r="BL963" i="178"/>
  <c r="BM963" i="178"/>
  <c r="BD963" i="178"/>
  <c r="BE963" i="178"/>
  <c r="AV963" i="178"/>
  <c r="AW963" i="178"/>
  <c r="BC703" i="178"/>
  <c r="BB703" i="178"/>
  <c r="AU703" i="178"/>
  <c r="AT703" i="178"/>
  <c r="BH469" i="178"/>
  <c r="BI469" i="178"/>
  <c r="AZ469" i="178"/>
  <c r="BA469" i="178"/>
  <c r="BM702" i="178"/>
  <c r="BL702" i="178"/>
  <c r="BE702" i="178"/>
  <c r="BD702" i="178"/>
  <c r="AW702" i="178"/>
  <c r="AV702" i="178"/>
  <c r="BB467" i="178"/>
  <c r="BG698" i="178"/>
  <c r="BF698" i="178"/>
  <c r="AY698" i="178"/>
  <c r="AX698" i="178"/>
  <c r="BN465" i="178"/>
  <c r="BF465" i="178"/>
  <c r="AX465" i="178"/>
  <c r="BB685" i="178"/>
  <c r="BC685" i="178"/>
  <c r="BN681" i="178"/>
  <c r="BO681" i="178"/>
  <c r="AY681" i="178"/>
  <c r="AX681" i="178"/>
  <c r="BG1027" i="178"/>
  <c r="AY1027" i="178"/>
  <c r="BN1024" i="178"/>
  <c r="BE1024" i="178"/>
  <c r="AW1024" i="178"/>
  <c r="BB1021" i="178"/>
  <c r="AT1021" i="178"/>
  <c r="BI966" i="178"/>
  <c r="BA966" i="178"/>
  <c r="AS966" i="178"/>
  <c r="BH874" i="178"/>
  <c r="AW874" i="178"/>
  <c r="BD965" i="178"/>
  <c r="AZ869" i="178"/>
  <c r="AT467" i="178"/>
  <c r="BH1027" i="178"/>
  <c r="BI1027" i="178"/>
  <c r="AZ1027" i="178"/>
  <c r="BA1027" i="178"/>
  <c r="AR1027" i="178"/>
  <c r="AS1027" i="178"/>
  <c r="BB1024" i="178"/>
  <c r="BC1024" i="178"/>
  <c r="AT1024" i="178"/>
  <c r="AU1024" i="178"/>
  <c r="BL1021" i="178"/>
  <c r="BN874" i="178"/>
  <c r="BO874" i="178"/>
  <c r="AX874" i="178"/>
  <c r="AY874" i="178"/>
  <c r="BH964" i="178"/>
  <c r="AZ964" i="178"/>
  <c r="AR964" i="178"/>
  <c r="BL873" i="178"/>
  <c r="BD873" i="178"/>
  <c r="AV873" i="178"/>
  <c r="BB963" i="178"/>
  <c r="BC963" i="178"/>
  <c r="AT963" i="178"/>
  <c r="AU963" i="178"/>
  <c r="BN869" i="178"/>
  <c r="BO869" i="178"/>
  <c r="BL470" i="178"/>
  <c r="BD470" i="178"/>
  <c r="AV470" i="178"/>
  <c r="BH703" i="178"/>
  <c r="BI703" i="178"/>
  <c r="AZ703" i="178"/>
  <c r="BA703" i="178"/>
  <c r="AR703" i="178"/>
  <c r="AS703" i="178"/>
  <c r="BF469" i="178"/>
  <c r="BG469" i="178"/>
  <c r="AX469" i="178"/>
  <c r="AY469" i="178"/>
  <c r="AT702" i="178"/>
  <c r="AU702" i="178"/>
  <c r="BH467" i="178"/>
  <c r="AZ467" i="178"/>
  <c r="AR467" i="178"/>
  <c r="BL698" i="178"/>
  <c r="BM698" i="178"/>
  <c r="BD698" i="178"/>
  <c r="BE698" i="178"/>
  <c r="BL465" i="178"/>
  <c r="AV465" i="178"/>
  <c r="BI685" i="178"/>
  <c r="BH685" i="178"/>
  <c r="BA685" i="178"/>
  <c r="AZ685" i="178"/>
  <c r="AS685" i="178"/>
  <c r="AR685" i="178"/>
  <c r="BM681" i="178"/>
  <c r="BL681" i="178"/>
  <c r="BD681" i="178"/>
  <c r="BE681" i="178"/>
  <c r="AV681" i="178"/>
  <c r="AW681" i="178"/>
  <c r="BO1027" i="178"/>
  <c r="BM1024" i="178"/>
  <c r="BG874" i="178"/>
  <c r="BC965" i="178"/>
  <c r="AY869" i="178"/>
  <c r="BN698" i="178"/>
  <c r="BD465" i="178"/>
  <c r="AU685" i="178"/>
  <c r="V1027" i="178"/>
  <c r="BF966" i="178"/>
  <c r="BG966" i="178"/>
  <c r="AX966" i="178"/>
  <c r="AY966" i="178"/>
  <c r="V966" i="178"/>
  <c r="BD874" i="178"/>
  <c r="BE874" i="178"/>
  <c r="BI965" i="178"/>
  <c r="BH965" i="178"/>
  <c r="BA965" i="178"/>
  <c r="AZ965" i="178"/>
  <c r="AS965" i="178"/>
  <c r="AR965" i="178"/>
  <c r="BN964" i="178"/>
  <c r="BF964" i="178"/>
  <c r="AX964" i="178"/>
  <c r="BL869" i="178"/>
  <c r="BM869" i="178"/>
  <c r="BE869" i="178"/>
  <c r="BD869" i="178"/>
  <c r="AW869" i="178"/>
  <c r="AV869" i="178"/>
  <c r="BB470" i="178"/>
  <c r="AT470" i="178"/>
  <c r="BI702" i="178"/>
  <c r="BH702" i="178"/>
  <c r="BA702" i="178"/>
  <c r="AZ702" i="178"/>
  <c r="AS702" i="178"/>
  <c r="AR702" i="178"/>
  <c r="BN467" i="178"/>
  <c r="AX467" i="178"/>
  <c r="BC698" i="178"/>
  <c r="BB698" i="178"/>
  <c r="AU698" i="178"/>
  <c r="AT698" i="178"/>
  <c r="BB465" i="178"/>
  <c r="AT465" i="178"/>
  <c r="BN685" i="178"/>
  <c r="BO685" i="178"/>
  <c r="BF685" i="178"/>
  <c r="BG685" i="178"/>
  <c r="AU681" i="178"/>
  <c r="AT681" i="178"/>
  <c r="BL1027" i="178"/>
  <c r="BC1027" i="178"/>
  <c r="AU1027" i="178"/>
  <c r="BI1024" i="178"/>
  <c r="BA1024" i="178"/>
  <c r="AS1024" i="178"/>
  <c r="BF1021" i="178"/>
  <c r="AX1021" i="178"/>
  <c r="BN966" i="178"/>
  <c r="BE966" i="178"/>
  <c r="AW966" i="178"/>
  <c r="BM874" i="178"/>
  <c r="BC874" i="178"/>
  <c r="BM965" i="178"/>
  <c r="AV965" i="178"/>
  <c r="AT873" i="178"/>
  <c r="BA963" i="178"/>
  <c r="BH869" i="178"/>
  <c r="AR869" i="178"/>
  <c r="BF703" i="178"/>
  <c r="BN469" i="178"/>
  <c r="AV469" i="178"/>
  <c r="BA698" i="178"/>
  <c r="AR465" i="178"/>
  <c r="BF681" i="178"/>
  <c r="BD1027" i="178"/>
  <c r="BE1027" i="178"/>
  <c r="AV1027" i="178"/>
  <c r="AW1027" i="178"/>
  <c r="BF1024" i="178"/>
  <c r="BG1024" i="178"/>
  <c r="AX1024" i="178"/>
  <c r="AY1024" i="178"/>
  <c r="AT874" i="178"/>
  <c r="AU874" i="178"/>
  <c r="BN965" i="178"/>
  <c r="BO965" i="178"/>
  <c r="BF965" i="178"/>
  <c r="BG965" i="178"/>
  <c r="AX965" i="178"/>
  <c r="AY965" i="178"/>
  <c r="BD964" i="178"/>
  <c r="AV964" i="178"/>
  <c r="BO963" i="178"/>
  <c r="BN963" i="178"/>
  <c r="BF963" i="178"/>
  <c r="BG963" i="178"/>
  <c r="AX963" i="178"/>
  <c r="AY963" i="178"/>
  <c r="BB869" i="178"/>
  <c r="BC869" i="178"/>
  <c r="AT869" i="178"/>
  <c r="AU869" i="178"/>
  <c r="BH470" i="178"/>
  <c r="AZ470" i="178"/>
  <c r="AR470" i="178"/>
  <c r="BL703" i="178"/>
  <c r="BM703" i="178"/>
  <c r="V703" i="178"/>
  <c r="BB469" i="178"/>
  <c r="BC469" i="178"/>
  <c r="AT469" i="178"/>
  <c r="AU469" i="178"/>
  <c r="BN702" i="178"/>
  <c r="BO702" i="178"/>
  <c r="BF702" i="178"/>
  <c r="BG702" i="178"/>
  <c r="BL467" i="178"/>
  <c r="BD467" i="178"/>
  <c r="AV467" i="178"/>
  <c r="BH698" i="178"/>
  <c r="BI698" i="178"/>
  <c r="AR698" i="178"/>
  <c r="AS698" i="178"/>
  <c r="AZ465" i="178"/>
  <c r="BE685" i="178"/>
  <c r="BD685" i="178"/>
  <c r="AW685" i="178"/>
  <c r="AV685" i="178"/>
  <c r="BH681" i="178"/>
  <c r="BI681" i="178"/>
  <c r="AZ681" i="178"/>
  <c r="BA681" i="178"/>
  <c r="AR681" i="178"/>
  <c r="AS681" i="178"/>
  <c r="BM966" i="178"/>
  <c r="BA874" i="178"/>
  <c r="AU965" i="178"/>
  <c r="BG869" i="178"/>
  <c r="BE703" i="178"/>
  <c r="BM469" i="178"/>
  <c r="AR469" i="178"/>
  <c r="BF467" i="178"/>
  <c r="AW698" i="178"/>
  <c r="BL685" i="178"/>
  <c r="BB681" i="178"/>
  <c r="V1030" i="178"/>
  <c r="V1021" i="178"/>
  <c r="V874" i="178"/>
  <c r="V964" i="178"/>
  <c r="V963" i="178"/>
  <c r="V470" i="178"/>
  <c r="V469" i="178"/>
  <c r="V467" i="178"/>
  <c r="V465" i="178"/>
  <c r="V681" i="178"/>
  <c r="BK467" i="178" l="1"/>
  <c r="BK964" i="178"/>
  <c r="BK873" i="178"/>
  <c r="BK470" i="178"/>
  <c r="BK1021" i="178"/>
  <c r="BK465" i="178"/>
  <c r="Z491" i="178"/>
  <c r="AC491" i="178" s="1"/>
  <c r="AW467" i="178"/>
  <c r="BC467" i="178"/>
  <c r="BA467" i="178"/>
  <c r="AS465" i="178"/>
  <c r="BE467" i="178"/>
  <c r="BO467" i="178"/>
  <c r="AW465" i="178"/>
  <c r="BG467" i="178"/>
  <c r="BG873" i="178"/>
  <c r="BE873" i="178"/>
  <c r="AS873" i="178"/>
  <c r="BG1021" i="178"/>
  <c r="AU1021" i="178"/>
  <c r="AU467" i="178"/>
  <c r="BA964" i="178"/>
  <c r="AU873" i="178"/>
  <c r="BC1021" i="178"/>
  <c r="BI873" i="178"/>
  <c r="BE1021" i="178"/>
  <c r="BC964" i="178"/>
  <c r="AS1021" i="178"/>
  <c r="AW873" i="178"/>
  <c r="BM873" i="178"/>
  <c r="BO873" i="178"/>
  <c r="BM467" i="178"/>
  <c r="AU465" i="178"/>
  <c r="AY467" i="178"/>
  <c r="AS467" i="178"/>
  <c r="AY873" i="178"/>
  <c r="BM964" i="178"/>
  <c r="AY1021" i="178"/>
  <c r="BM465" i="178"/>
  <c r="BM470" i="178"/>
  <c r="AY465" i="178"/>
  <c r="BI465" i="178"/>
  <c r="BC465" i="178"/>
  <c r="BO964" i="178"/>
  <c r="BO465" i="178"/>
  <c r="AW1021" i="178"/>
  <c r="BA465" i="178"/>
  <c r="BE964" i="178"/>
  <c r="BO1021" i="178"/>
  <c r="AY964" i="178"/>
  <c r="BI1021" i="178"/>
  <c r="BM1021" i="178"/>
  <c r="BG465" i="178"/>
  <c r="AU470" i="178"/>
  <c r="BE470" i="178"/>
  <c r="BG470" i="178"/>
  <c r="BG964" i="178"/>
  <c r="AS964" i="178"/>
  <c r="BI964" i="178"/>
  <c r="AS470" i="178"/>
  <c r="BI470" i="178"/>
  <c r="AW964" i="178"/>
  <c r="AY470" i="178"/>
  <c r="BC470" i="178"/>
  <c r="AW470" i="178"/>
  <c r="BA873" i="178"/>
  <c r="BO470" i="178"/>
  <c r="T179" i="178"/>
  <c r="U179" i="178" s="1"/>
  <c r="W179" i="178"/>
  <c r="AD179" i="178"/>
  <c r="AE179" i="178"/>
  <c r="AF179" i="178"/>
  <c r="AG179" i="178"/>
  <c r="AH179" i="178"/>
  <c r="AI179" i="178"/>
  <c r="AJ179" i="178"/>
  <c r="AK179" i="178"/>
  <c r="AL179" i="178"/>
  <c r="AM179" i="178"/>
  <c r="AN179" i="178"/>
  <c r="AO179" i="178"/>
  <c r="T147" i="178"/>
  <c r="V147" i="178" s="1"/>
  <c r="W147" i="178"/>
  <c r="AD147" i="178"/>
  <c r="AE147" i="178"/>
  <c r="AF147" i="178"/>
  <c r="AG147" i="178"/>
  <c r="AH147" i="178"/>
  <c r="AI147" i="178"/>
  <c r="AJ147" i="178"/>
  <c r="AK147" i="178"/>
  <c r="AL147" i="178"/>
  <c r="AM147" i="178"/>
  <c r="AN147" i="178"/>
  <c r="AO147" i="178"/>
  <c r="T231" i="178"/>
  <c r="U231" i="178" s="1"/>
  <c r="W231" i="178"/>
  <c r="AD231" i="178"/>
  <c r="AE231" i="178"/>
  <c r="AF231" i="178"/>
  <c r="AG231" i="178"/>
  <c r="AH231" i="178"/>
  <c r="AI231" i="178"/>
  <c r="AJ231" i="178"/>
  <c r="AK231" i="178"/>
  <c r="AL231" i="178"/>
  <c r="AM231" i="178"/>
  <c r="AN231" i="178"/>
  <c r="AO231" i="178"/>
  <c r="T1032" i="178"/>
  <c r="W1032" i="178"/>
  <c r="X1032" i="178"/>
  <c r="Y1032" i="178"/>
  <c r="AA1032" i="178"/>
  <c r="AD1032" i="178"/>
  <c r="AE1032" i="178"/>
  <c r="AF1032" i="178"/>
  <c r="AG1032" i="178"/>
  <c r="AH1032" i="178"/>
  <c r="AI1032" i="178"/>
  <c r="AJ1032" i="178"/>
  <c r="AK1032" i="178"/>
  <c r="AL1032" i="178"/>
  <c r="AM1032" i="178"/>
  <c r="AN1032" i="178"/>
  <c r="AO1032" i="178"/>
  <c r="T219" i="178"/>
  <c r="V219" i="178" s="1"/>
  <c r="W219" i="178"/>
  <c r="AD219" i="178"/>
  <c r="AE219" i="178"/>
  <c r="AF219" i="178"/>
  <c r="AG219" i="178"/>
  <c r="AH219" i="178"/>
  <c r="AI219" i="178"/>
  <c r="AJ219" i="178"/>
  <c r="AK219" i="178"/>
  <c r="AL219" i="178"/>
  <c r="AM219" i="178"/>
  <c r="AN219" i="178"/>
  <c r="AO219" i="178"/>
  <c r="T164" i="178"/>
  <c r="V164" i="178" s="1"/>
  <c r="W164" i="178"/>
  <c r="X164" i="178"/>
  <c r="Y164" i="178"/>
  <c r="AA164" i="178"/>
  <c r="AD164" i="178"/>
  <c r="AE164" i="178"/>
  <c r="AF164" i="178"/>
  <c r="AG164" i="178"/>
  <c r="AH164" i="178"/>
  <c r="AI164" i="178"/>
  <c r="AJ164" i="178"/>
  <c r="AK164" i="178"/>
  <c r="AL164" i="178"/>
  <c r="AM164" i="178"/>
  <c r="AN164" i="178"/>
  <c r="AO164" i="178"/>
  <c r="T141" i="178"/>
  <c r="U141" i="178" s="1"/>
  <c r="W141" i="178"/>
  <c r="AD141" i="178"/>
  <c r="AE141" i="178"/>
  <c r="AF141" i="178"/>
  <c r="AG141" i="178"/>
  <c r="AH141" i="178"/>
  <c r="AI141" i="178"/>
  <c r="AJ141" i="178"/>
  <c r="AK141" i="178"/>
  <c r="AL141" i="178"/>
  <c r="AM141" i="178"/>
  <c r="AN141" i="178"/>
  <c r="AO141" i="178"/>
  <c r="T114" i="178"/>
  <c r="V114" i="178" s="1"/>
  <c r="W114" i="178"/>
  <c r="AD114" i="178"/>
  <c r="AE114" i="178"/>
  <c r="AF114" i="178"/>
  <c r="AG114" i="178"/>
  <c r="AH114" i="178"/>
  <c r="AI114" i="178"/>
  <c r="AJ114" i="178"/>
  <c r="AK114" i="178"/>
  <c r="AL114" i="178"/>
  <c r="AM114" i="178"/>
  <c r="AN114" i="178"/>
  <c r="AO114" i="178"/>
  <c r="T406" i="178"/>
  <c r="V406" i="178" s="1"/>
  <c r="W406" i="178"/>
  <c r="AD406" i="178"/>
  <c r="AE406" i="178"/>
  <c r="AF406" i="178"/>
  <c r="AG406" i="178"/>
  <c r="AH406" i="178"/>
  <c r="AI406" i="178"/>
  <c r="AJ406" i="178"/>
  <c r="AK406" i="178"/>
  <c r="AL406" i="178"/>
  <c r="AM406" i="178"/>
  <c r="AN406" i="178"/>
  <c r="AO406" i="178"/>
  <c r="T776" i="178"/>
  <c r="V776" i="178" s="1"/>
  <c r="W776" i="178"/>
  <c r="AD776" i="178"/>
  <c r="AE776" i="178"/>
  <c r="AF776" i="178"/>
  <c r="AG776" i="178"/>
  <c r="AH776" i="178"/>
  <c r="AI776" i="178"/>
  <c r="AJ776" i="178"/>
  <c r="AK776" i="178"/>
  <c r="AL776" i="178"/>
  <c r="AM776" i="178"/>
  <c r="AN776" i="178"/>
  <c r="AO776" i="178"/>
  <c r="T980" i="178"/>
  <c r="W980" i="178"/>
  <c r="AD980" i="178"/>
  <c r="AE980" i="178"/>
  <c r="AF980" i="178"/>
  <c r="AG980" i="178"/>
  <c r="AH980" i="178"/>
  <c r="AI980" i="178"/>
  <c r="AJ980" i="178"/>
  <c r="AK980" i="178"/>
  <c r="AL980" i="178"/>
  <c r="AM980" i="178"/>
  <c r="AN980" i="178"/>
  <c r="AO980" i="178"/>
  <c r="T277" i="178"/>
  <c r="W277" i="178"/>
  <c r="AD277" i="178"/>
  <c r="AE277" i="178"/>
  <c r="AF277" i="178"/>
  <c r="AG277" i="178"/>
  <c r="AH277" i="178"/>
  <c r="AI277" i="178"/>
  <c r="AJ277" i="178"/>
  <c r="AK277" i="178"/>
  <c r="AL277" i="178"/>
  <c r="AM277" i="178"/>
  <c r="AN277" i="178"/>
  <c r="AO277" i="178"/>
  <c r="T390" i="178"/>
  <c r="V390" i="178" s="1"/>
  <c r="W390" i="178"/>
  <c r="AD390" i="178"/>
  <c r="AE390" i="178"/>
  <c r="AF390" i="178"/>
  <c r="AG390" i="178"/>
  <c r="AH390" i="178"/>
  <c r="AI390" i="178"/>
  <c r="AJ390" i="178"/>
  <c r="AK390" i="178"/>
  <c r="AL390" i="178"/>
  <c r="AM390" i="178"/>
  <c r="AN390" i="178"/>
  <c r="AO390" i="178"/>
  <c r="T391" i="178"/>
  <c r="V391" i="178" s="1"/>
  <c r="W391" i="178"/>
  <c r="AD391" i="178"/>
  <c r="AE391" i="178"/>
  <c r="AF391" i="178"/>
  <c r="AG391" i="178"/>
  <c r="AH391" i="178"/>
  <c r="AI391" i="178"/>
  <c r="AJ391" i="178"/>
  <c r="AK391" i="178"/>
  <c r="AL391" i="178"/>
  <c r="AM391" i="178"/>
  <c r="AN391" i="178"/>
  <c r="AO391" i="178"/>
  <c r="T279" i="178"/>
  <c r="U279" i="178" s="1"/>
  <c r="W279" i="178"/>
  <c r="AD279" i="178"/>
  <c r="AE279" i="178"/>
  <c r="AF279" i="178"/>
  <c r="AG279" i="178"/>
  <c r="AH279" i="178"/>
  <c r="AI279" i="178"/>
  <c r="AJ279" i="178"/>
  <c r="AK279" i="178"/>
  <c r="AL279" i="178"/>
  <c r="AM279" i="178"/>
  <c r="AN279" i="178"/>
  <c r="AO279" i="178"/>
  <c r="T280" i="178"/>
  <c r="V280" i="178" s="1"/>
  <c r="W280" i="178"/>
  <c r="AD280" i="178"/>
  <c r="AE280" i="178"/>
  <c r="AF280" i="178"/>
  <c r="AG280" i="178"/>
  <c r="AH280" i="178"/>
  <c r="AI280" i="178"/>
  <c r="AJ280" i="178"/>
  <c r="AK280" i="178"/>
  <c r="AL280" i="178"/>
  <c r="AM280" i="178"/>
  <c r="AN280" i="178"/>
  <c r="AO280" i="178"/>
  <c r="T392" i="178"/>
  <c r="V392" i="178" s="1"/>
  <c r="W392" i="178"/>
  <c r="AD392" i="178"/>
  <c r="AE392" i="178"/>
  <c r="AF392" i="178"/>
  <c r="AG392" i="178"/>
  <c r="AH392" i="178"/>
  <c r="AI392" i="178"/>
  <c r="AJ392" i="178"/>
  <c r="AK392" i="178"/>
  <c r="AL392" i="178"/>
  <c r="AM392" i="178"/>
  <c r="AN392" i="178"/>
  <c r="AO392" i="178"/>
  <c r="T393" i="178"/>
  <c r="V393" i="178" s="1"/>
  <c r="W393" i="178"/>
  <c r="AD393" i="178"/>
  <c r="AE393" i="178"/>
  <c r="AF393" i="178"/>
  <c r="AG393" i="178"/>
  <c r="AH393" i="178"/>
  <c r="AI393" i="178"/>
  <c r="AJ393" i="178"/>
  <c r="AK393" i="178"/>
  <c r="AL393" i="178"/>
  <c r="AM393" i="178"/>
  <c r="AN393" i="178"/>
  <c r="AO393" i="178"/>
  <c r="T394" i="178"/>
  <c r="W394" i="178"/>
  <c r="AD394" i="178"/>
  <c r="AE394" i="178"/>
  <c r="AF394" i="178"/>
  <c r="AG394" i="178"/>
  <c r="AH394" i="178"/>
  <c r="AI394" i="178"/>
  <c r="AJ394" i="178"/>
  <c r="AK394" i="178"/>
  <c r="AL394" i="178"/>
  <c r="AM394" i="178"/>
  <c r="AN394" i="178"/>
  <c r="AO394" i="178"/>
  <c r="T278" i="178"/>
  <c r="W278" i="178"/>
  <c r="X278" i="178"/>
  <c r="Y278" i="178"/>
  <c r="AA278" i="178"/>
  <c r="AD278" i="178"/>
  <c r="AE278" i="178"/>
  <c r="AF278" i="178"/>
  <c r="AG278" i="178"/>
  <c r="AH278" i="178"/>
  <c r="AI278" i="178"/>
  <c r="AJ278" i="178"/>
  <c r="AK278" i="178"/>
  <c r="AL278" i="178"/>
  <c r="AM278" i="178"/>
  <c r="AN278" i="178"/>
  <c r="AO278" i="178"/>
  <c r="T493" i="178"/>
  <c r="V493" i="178" s="1"/>
  <c r="W493" i="178"/>
  <c r="AD493" i="178"/>
  <c r="AE493" i="178"/>
  <c r="AF493" i="178"/>
  <c r="AG493" i="178"/>
  <c r="AH493" i="178"/>
  <c r="AI493" i="178"/>
  <c r="AJ493" i="178"/>
  <c r="AK493" i="178"/>
  <c r="AL493" i="178"/>
  <c r="AM493" i="178"/>
  <c r="AN493" i="178"/>
  <c r="AO493" i="178"/>
  <c r="T497" i="178"/>
  <c r="V497" i="178" s="1"/>
  <c r="W497" i="178"/>
  <c r="AD497" i="178"/>
  <c r="AE497" i="178"/>
  <c r="AF497" i="178"/>
  <c r="AG497" i="178"/>
  <c r="AH497" i="178"/>
  <c r="AI497" i="178"/>
  <c r="AJ497" i="178"/>
  <c r="AK497" i="178"/>
  <c r="AL497" i="178"/>
  <c r="AM497" i="178"/>
  <c r="AN497" i="178"/>
  <c r="AO497" i="178"/>
  <c r="T526" i="178"/>
  <c r="V526" i="178" s="1"/>
  <c r="W526" i="178"/>
  <c r="AD526" i="178"/>
  <c r="AE526" i="178"/>
  <c r="AF526" i="178"/>
  <c r="AG526" i="178"/>
  <c r="AH526" i="178"/>
  <c r="AI526" i="178"/>
  <c r="AJ526" i="178"/>
  <c r="AK526" i="178"/>
  <c r="AL526" i="178"/>
  <c r="AM526" i="178"/>
  <c r="AN526" i="178"/>
  <c r="AO526" i="178"/>
  <c r="T536" i="178"/>
  <c r="V536" i="178" s="1"/>
  <c r="W536" i="178"/>
  <c r="AD536" i="178"/>
  <c r="AE536" i="178"/>
  <c r="AF536" i="178"/>
  <c r="AG536" i="178"/>
  <c r="AH536" i="178"/>
  <c r="AI536" i="178"/>
  <c r="AJ536" i="178"/>
  <c r="AK536" i="178"/>
  <c r="AL536" i="178"/>
  <c r="AM536" i="178"/>
  <c r="AN536" i="178"/>
  <c r="AO536" i="178"/>
  <c r="T555" i="178"/>
  <c r="V555" i="178" s="1"/>
  <c r="W555" i="178"/>
  <c r="AD555" i="178"/>
  <c r="AE555" i="178"/>
  <c r="AF555" i="178"/>
  <c r="AG555" i="178"/>
  <c r="AH555" i="178"/>
  <c r="AI555" i="178"/>
  <c r="AJ555" i="178"/>
  <c r="AK555" i="178"/>
  <c r="AL555" i="178"/>
  <c r="AM555" i="178"/>
  <c r="AN555" i="178"/>
  <c r="AO555" i="178"/>
  <c r="T567" i="178"/>
  <c r="V567" i="178" s="1"/>
  <c r="W567" i="178"/>
  <c r="AD567" i="178"/>
  <c r="AE567" i="178"/>
  <c r="AF567" i="178"/>
  <c r="AG567" i="178"/>
  <c r="AH567" i="178"/>
  <c r="AI567" i="178"/>
  <c r="AJ567" i="178"/>
  <c r="AK567" i="178"/>
  <c r="AL567" i="178"/>
  <c r="AM567" i="178"/>
  <c r="AN567" i="178"/>
  <c r="AO567" i="178"/>
  <c r="T576" i="178"/>
  <c r="W576" i="178"/>
  <c r="AD576" i="178"/>
  <c r="AE576" i="178"/>
  <c r="AF576" i="178"/>
  <c r="AG576" i="178"/>
  <c r="AH576" i="178"/>
  <c r="AI576" i="178"/>
  <c r="AJ576" i="178"/>
  <c r="AK576" i="178"/>
  <c r="AL576" i="178"/>
  <c r="AM576" i="178"/>
  <c r="AN576" i="178"/>
  <c r="AO576" i="178"/>
  <c r="T398" i="178"/>
  <c r="W398" i="178"/>
  <c r="AD398" i="178"/>
  <c r="AE398" i="178"/>
  <c r="AF398" i="178"/>
  <c r="AG398" i="178"/>
  <c r="AH398" i="178"/>
  <c r="AI398" i="178"/>
  <c r="AJ398" i="178"/>
  <c r="AK398" i="178"/>
  <c r="AL398" i="178"/>
  <c r="AM398" i="178"/>
  <c r="AN398" i="178"/>
  <c r="AO398" i="178"/>
  <c r="T580" i="178"/>
  <c r="V580" i="178" s="1"/>
  <c r="W580" i="178"/>
  <c r="AD580" i="178"/>
  <c r="AE580" i="178"/>
  <c r="AF580" i="178"/>
  <c r="AG580" i="178"/>
  <c r="AH580" i="178"/>
  <c r="AI580" i="178"/>
  <c r="AJ580" i="178"/>
  <c r="AK580" i="178"/>
  <c r="AL580" i="178"/>
  <c r="AM580" i="178"/>
  <c r="AN580" i="178"/>
  <c r="AO580" i="178"/>
  <c r="T412" i="178"/>
  <c r="V412" i="178" s="1"/>
  <c r="W412" i="178"/>
  <c r="AD412" i="178"/>
  <c r="AE412" i="178"/>
  <c r="AF412" i="178"/>
  <c r="AG412" i="178"/>
  <c r="AH412" i="178"/>
  <c r="AI412" i="178"/>
  <c r="AJ412" i="178"/>
  <c r="AK412" i="178"/>
  <c r="AL412" i="178"/>
  <c r="AM412" i="178"/>
  <c r="AN412" i="178"/>
  <c r="AO412" i="178"/>
  <c r="T413" i="178"/>
  <c r="U413" i="178" s="1"/>
  <c r="W413" i="178"/>
  <c r="X413" i="178"/>
  <c r="Y413" i="178"/>
  <c r="AA413" i="178"/>
  <c r="AD413" i="178"/>
  <c r="AE413" i="178"/>
  <c r="AF413" i="178"/>
  <c r="AG413" i="178"/>
  <c r="AH413" i="178"/>
  <c r="AI413" i="178"/>
  <c r="AJ413" i="178"/>
  <c r="AK413" i="178"/>
  <c r="AL413" i="178"/>
  <c r="AM413" i="178"/>
  <c r="AN413" i="178"/>
  <c r="AO413" i="178"/>
  <c r="T452" i="178"/>
  <c r="V452" i="178" s="1"/>
  <c r="W452" i="178"/>
  <c r="AD452" i="178"/>
  <c r="AE452" i="178"/>
  <c r="AF452" i="178"/>
  <c r="AG452" i="178"/>
  <c r="AH452" i="178"/>
  <c r="AI452" i="178"/>
  <c r="AJ452" i="178"/>
  <c r="AK452" i="178"/>
  <c r="AL452" i="178"/>
  <c r="AM452" i="178"/>
  <c r="AN452" i="178"/>
  <c r="AO452" i="178"/>
  <c r="T647" i="178"/>
  <c r="U647" i="178" s="1"/>
  <c r="W647" i="178"/>
  <c r="AD647" i="178"/>
  <c r="AE647" i="178"/>
  <c r="AF647" i="178"/>
  <c r="AG647" i="178"/>
  <c r="AH647" i="178"/>
  <c r="AI647" i="178"/>
  <c r="AJ647" i="178"/>
  <c r="AK647" i="178"/>
  <c r="AL647" i="178"/>
  <c r="AM647" i="178"/>
  <c r="AN647" i="178"/>
  <c r="AO647" i="178"/>
  <c r="T170" i="178"/>
  <c r="V170" i="178" s="1"/>
  <c r="W170" i="178"/>
  <c r="AD170" i="178"/>
  <c r="AE170" i="178"/>
  <c r="AF170" i="178"/>
  <c r="AG170" i="178"/>
  <c r="AH170" i="178"/>
  <c r="AI170" i="178"/>
  <c r="AJ170" i="178"/>
  <c r="AK170" i="178"/>
  <c r="AL170" i="178"/>
  <c r="AM170" i="178"/>
  <c r="AN170" i="178"/>
  <c r="AO170" i="178"/>
  <c r="T556" i="178"/>
  <c r="W556" i="178"/>
  <c r="AD556" i="178"/>
  <c r="AE556" i="178"/>
  <c r="AF556" i="178"/>
  <c r="AG556" i="178"/>
  <c r="AH556" i="178"/>
  <c r="AI556" i="178"/>
  <c r="AJ556" i="178"/>
  <c r="AK556" i="178"/>
  <c r="AL556" i="178"/>
  <c r="AM556" i="178"/>
  <c r="AN556" i="178"/>
  <c r="AO556" i="178"/>
  <c r="T855" i="178"/>
  <c r="W855" i="178"/>
  <c r="AD855" i="178"/>
  <c r="AE855" i="178"/>
  <c r="AF855" i="178"/>
  <c r="AG855" i="178"/>
  <c r="AH855" i="178"/>
  <c r="AI855" i="178"/>
  <c r="AJ855" i="178"/>
  <c r="AK855" i="178"/>
  <c r="AL855" i="178"/>
  <c r="AM855" i="178"/>
  <c r="AN855" i="178"/>
  <c r="AO855" i="178"/>
  <c r="T42" i="178"/>
  <c r="V42" i="178" s="1"/>
  <c r="W42" i="178"/>
  <c r="AD42" i="178"/>
  <c r="AE42" i="178"/>
  <c r="AF42" i="178"/>
  <c r="AG42" i="178"/>
  <c r="AH42" i="178"/>
  <c r="AI42" i="178"/>
  <c r="AJ42" i="178"/>
  <c r="AK42" i="178"/>
  <c r="AL42" i="178"/>
  <c r="AM42" i="178"/>
  <c r="AN42" i="178"/>
  <c r="AO42" i="178"/>
  <c r="T65" i="178"/>
  <c r="V65" i="178" s="1"/>
  <c r="W65" i="178"/>
  <c r="AD65" i="178"/>
  <c r="AE65" i="178"/>
  <c r="AF65" i="178"/>
  <c r="AG65" i="178"/>
  <c r="AH65" i="178"/>
  <c r="AI65" i="178"/>
  <c r="AJ65" i="178"/>
  <c r="AK65" i="178"/>
  <c r="AL65" i="178"/>
  <c r="AM65" i="178"/>
  <c r="AN65" i="178"/>
  <c r="AO65" i="178"/>
  <c r="T237" i="178"/>
  <c r="U237" i="178" s="1"/>
  <c r="W237" i="178"/>
  <c r="AD237" i="178"/>
  <c r="AE237" i="178"/>
  <c r="AF237" i="178"/>
  <c r="AG237" i="178"/>
  <c r="AH237" i="178"/>
  <c r="AI237" i="178"/>
  <c r="AJ237" i="178"/>
  <c r="AK237" i="178"/>
  <c r="AL237" i="178"/>
  <c r="AM237" i="178"/>
  <c r="AN237" i="178"/>
  <c r="AO237" i="178"/>
  <c r="T241" i="178"/>
  <c r="V241" i="178" s="1"/>
  <c r="W241" i="178"/>
  <c r="AD241" i="178"/>
  <c r="AE241" i="178"/>
  <c r="AF241" i="178"/>
  <c r="AG241" i="178"/>
  <c r="AH241" i="178"/>
  <c r="AI241" i="178"/>
  <c r="AJ241" i="178"/>
  <c r="AK241" i="178"/>
  <c r="AL241" i="178"/>
  <c r="AM241" i="178"/>
  <c r="AN241" i="178"/>
  <c r="AO241" i="178"/>
  <c r="T378" i="178"/>
  <c r="U378" i="178" s="1"/>
  <c r="W378" i="178"/>
  <c r="AD378" i="178"/>
  <c r="AE378" i="178"/>
  <c r="AF378" i="178"/>
  <c r="AG378" i="178"/>
  <c r="AH378" i="178"/>
  <c r="AI378" i="178"/>
  <c r="AJ378" i="178"/>
  <c r="AK378" i="178"/>
  <c r="AL378" i="178"/>
  <c r="AM378" i="178"/>
  <c r="AN378" i="178"/>
  <c r="AO378" i="178"/>
  <c r="T379" i="178"/>
  <c r="V379" i="178" s="1"/>
  <c r="W379" i="178"/>
  <c r="AD379" i="178"/>
  <c r="AE379" i="178"/>
  <c r="AF379" i="178"/>
  <c r="AG379" i="178"/>
  <c r="AH379" i="178"/>
  <c r="AI379" i="178"/>
  <c r="AJ379" i="178"/>
  <c r="AK379" i="178"/>
  <c r="AL379" i="178"/>
  <c r="AM379" i="178"/>
  <c r="AN379" i="178"/>
  <c r="AO379" i="178"/>
  <c r="S1030" i="178"/>
  <c r="S179" i="178"/>
  <c r="Q147" i="178"/>
  <c r="BD1030" i="178"/>
  <c r="Q1031" i="178"/>
  <c r="S1031" i="178" s="1"/>
  <c r="Q1032" i="178"/>
  <c r="Q164" i="178"/>
  <c r="S164" i="178" s="1"/>
  <c r="S141" i="178"/>
  <c r="Q114" i="178"/>
  <c r="Q776" i="178"/>
  <c r="S776" i="178" s="1"/>
  <c r="S980" i="178"/>
  <c r="Q277" i="178"/>
  <c r="S391" i="178"/>
  <c r="Q279" i="178"/>
  <c r="S279" i="178" s="1"/>
  <c r="Q280" i="178"/>
  <c r="S393" i="178"/>
  <c r="S394" i="178"/>
  <c r="Q278" i="178"/>
  <c r="S497" i="178"/>
  <c r="S526" i="178"/>
  <c r="S567" i="178"/>
  <c r="S576" i="178"/>
  <c r="Q398" i="178"/>
  <c r="Q412" i="178"/>
  <c r="S412" i="178" s="1"/>
  <c r="Q413" i="178"/>
  <c r="S413" i="178" s="1"/>
  <c r="Q452" i="178"/>
  <c r="Q170" i="178"/>
  <c r="S170" i="178" s="1"/>
  <c r="Q556" i="178"/>
  <c r="S556" i="178" s="1"/>
  <c r="S65" i="178"/>
  <c r="S237" i="178"/>
  <c r="S379" i="178"/>
  <c r="S635" i="178"/>
  <c r="Q445" i="178"/>
  <c r="S445" i="178" s="1"/>
  <c r="S750" i="178"/>
  <c r="S759" i="178"/>
  <c r="S791" i="178"/>
  <c r="Q504" i="178"/>
  <c r="S504" i="178" s="1"/>
  <c r="Q436" i="178"/>
  <c r="S436" i="178" s="1"/>
  <c r="Q437" i="178"/>
  <c r="S437" i="178" s="1"/>
  <c r="S634" i="178"/>
  <c r="Q494" i="178"/>
  <c r="S494" i="178" s="1"/>
  <c r="S793" i="178"/>
  <c r="S792" i="178"/>
  <c r="S342" i="178"/>
  <c r="S365" i="178"/>
  <c r="Q227" i="178"/>
  <c r="S227" i="178" s="1"/>
  <c r="Q229" i="178"/>
  <c r="S229" i="178" s="1"/>
  <c r="Q246" i="178"/>
  <c r="S246" i="178" s="1"/>
  <c r="Q255" i="178"/>
  <c r="S255" i="178" s="1"/>
  <c r="S829" i="178"/>
  <c r="S830" i="178"/>
  <c r="Q534" i="178"/>
  <c r="S534" i="178" s="1"/>
  <c r="S807" i="178"/>
  <c r="S824" i="178"/>
  <c r="Q525" i="178"/>
  <c r="S525" i="178" s="1"/>
  <c r="Q529" i="178"/>
  <c r="S529" i="178" s="1"/>
  <c r="S828" i="178"/>
  <c r="Q535" i="178"/>
  <c r="S535" i="178" s="1"/>
  <c r="S949" i="178"/>
  <c r="Q762" i="178"/>
  <c r="S762" i="178" s="1"/>
  <c r="S77" i="178"/>
  <c r="Q50" i="178"/>
  <c r="S50" i="178" s="1"/>
  <c r="S80" i="178"/>
  <c r="S232" i="178"/>
  <c r="Q161" i="178"/>
  <c r="S161" i="178" s="1"/>
  <c r="S235" i="178"/>
  <c r="S236" i="178"/>
  <c r="Q360" i="178"/>
  <c r="S360" i="178" s="1"/>
  <c r="Q361" i="178"/>
  <c r="S361" i="178" s="1"/>
  <c r="S1034" i="178"/>
  <c r="S1041" i="178"/>
  <c r="Q808" i="178"/>
  <c r="S808" i="178" s="1"/>
  <c r="S781" i="178"/>
  <c r="Q818" i="178"/>
  <c r="S818" i="178" s="1"/>
  <c r="Q928" i="178"/>
  <c r="S928" i="178" s="1"/>
  <c r="Q932" i="178"/>
  <c r="S932" i="178" s="1"/>
  <c r="Q939" i="178"/>
  <c r="S939" i="178" s="1"/>
  <c r="Q1038" i="178"/>
  <c r="S1038" i="178" s="1"/>
  <c r="Q362" i="178"/>
  <c r="S362" i="178" s="1"/>
  <c r="S482" i="178"/>
  <c r="S483" i="178"/>
  <c r="Q167" i="178"/>
  <c r="S167" i="178" s="1"/>
  <c r="Q168" i="178"/>
  <c r="S168" i="178" s="1"/>
  <c r="Q823" i="178"/>
  <c r="S823" i="178" s="1"/>
  <c r="S782" i="178"/>
  <c r="S786" i="178"/>
  <c r="Q169" i="178"/>
  <c r="S169" i="178" s="1"/>
  <c r="S405" i="178"/>
  <c r="Q316" i="178"/>
  <c r="S316" i="178" s="1"/>
  <c r="Q908" i="178"/>
  <c r="S908" i="178" s="1"/>
  <c r="Q910" i="178"/>
  <c r="S910" i="178" s="1"/>
  <c r="Q560" i="178"/>
  <c r="S560" i="178" s="1"/>
  <c r="S856" i="178"/>
  <c r="Q256" i="178"/>
  <c r="S256" i="178" s="1"/>
  <c r="Q257" i="178"/>
  <c r="S257" i="178" s="1"/>
  <c r="S802" i="178"/>
  <c r="Q502" i="178"/>
  <c r="S502" i="178" s="1"/>
  <c r="Q675" i="178"/>
  <c r="S675" i="178" s="1"/>
  <c r="Q677" i="178"/>
  <c r="S677" i="178" s="1"/>
  <c r="Q678" i="178"/>
  <c r="S678" i="178" s="1"/>
  <c r="Q679" i="178"/>
  <c r="S679" i="178" s="1"/>
  <c r="S918" i="178"/>
  <c r="S925" i="178"/>
  <c r="Q728" i="178"/>
  <c r="S728" i="178" s="1"/>
  <c r="S967" i="178"/>
  <c r="S911" i="178"/>
  <c r="S936" i="178"/>
  <c r="Q724" i="178"/>
  <c r="S724" i="178" s="1"/>
  <c r="S950" i="178"/>
  <c r="Q726" i="178"/>
  <c r="S726" i="178" s="1"/>
  <c r="S951" i="178"/>
  <c r="B179" i="178"/>
  <c r="B147" i="178"/>
  <c r="B231" i="178"/>
  <c r="B164" i="178"/>
  <c r="B141" i="178"/>
  <c r="B114" i="178"/>
  <c r="B406" i="178"/>
  <c r="B776" i="178"/>
  <c r="B980" i="178"/>
  <c r="B277" i="178"/>
  <c r="B390" i="178"/>
  <c r="B391" i="178"/>
  <c r="B279" i="178"/>
  <c r="B280" i="178"/>
  <c r="B392" i="178"/>
  <c r="B493" i="178"/>
  <c r="B497" i="178"/>
  <c r="B526" i="178"/>
  <c r="B536" i="178"/>
  <c r="B555" i="178"/>
  <c r="B567" i="178"/>
  <c r="B576" i="178"/>
  <c r="B398" i="178"/>
  <c r="B580" i="178"/>
  <c r="B412" i="178"/>
  <c r="B413" i="178"/>
  <c r="B452" i="178"/>
  <c r="B647" i="178"/>
  <c r="B170" i="178"/>
  <c r="B556" i="178"/>
  <c r="B855" i="178"/>
  <c r="B42" i="178"/>
  <c r="B65" i="178"/>
  <c r="B237" i="178"/>
  <c r="B241" i="178"/>
  <c r="B378" i="178"/>
  <c r="B379" i="178"/>
  <c r="BK237" i="178" l="1"/>
  <c r="AW1031" i="178"/>
  <c r="BK1031" i="178"/>
  <c r="BK379" i="178"/>
  <c r="BK65" i="178"/>
  <c r="BK170" i="178"/>
  <c r="BK394" i="178"/>
  <c r="BK279" i="178"/>
  <c r="BK980" i="178"/>
  <c r="BK141" i="178"/>
  <c r="Z1030" i="178"/>
  <c r="AC1030" i="178" s="1"/>
  <c r="BK1030" i="178"/>
  <c r="BK576" i="178"/>
  <c r="BK526" i="178"/>
  <c r="BK556" i="178"/>
  <c r="BK413" i="178"/>
  <c r="BK393" i="178"/>
  <c r="BK391" i="178"/>
  <c r="BK776" i="178"/>
  <c r="BK164" i="178"/>
  <c r="BK179" i="178"/>
  <c r="BK412" i="178"/>
  <c r="BK567" i="178"/>
  <c r="BK497" i="178"/>
  <c r="AS179" i="178"/>
  <c r="AR493" i="178"/>
  <c r="BL65" i="178"/>
  <c r="BD65" i="178"/>
  <c r="AV65" i="178"/>
  <c r="BB398" i="178"/>
  <c r="AT398" i="178"/>
  <c r="BF378" i="178"/>
  <c r="BD237" i="178"/>
  <c r="AV237" i="178"/>
  <c r="AV393" i="178"/>
  <c r="AV776" i="178"/>
  <c r="AY379" i="178"/>
  <c r="BJ855" i="178"/>
  <c r="AT855" i="178"/>
  <c r="BN241" i="178"/>
  <c r="AX241" i="178"/>
  <c r="BH556" i="178"/>
  <c r="AZ556" i="178"/>
  <c r="AR556" i="178"/>
  <c r="BH379" i="178"/>
  <c r="AZ379" i="178"/>
  <c r="AR379" i="178"/>
  <c r="BN237" i="178"/>
  <c r="BB42" i="178"/>
  <c r="BH170" i="178"/>
  <c r="AZ170" i="178"/>
  <c r="AR170" i="178"/>
  <c r="BD413" i="178"/>
  <c r="AV413" i="178"/>
  <c r="BD526" i="178"/>
  <c r="AV526" i="178"/>
  <c r="AV412" i="178"/>
  <c r="BL497" i="178"/>
  <c r="BD497" i="178"/>
  <c r="BF452" i="178"/>
  <c r="AX452" i="178"/>
  <c r="BL580" i="178"/>
  <c r="BH576" i="178"/>
  <c r="AZ576" i="178"/>
  <c r="AR576" i="178"/>
  <c r="AX536" i="178"/>
  <c r="BL412" i="178"/>
  <c r="BD412" i="178"/>
  <c r="AV497" i="178"/>
  <c r="BN413" i="178"/>
  <c r="BH567" i="178"/>
  <c r="AZ567" i="178"/>
  <c r="AR567" i="178"/>
  <c r="BN526" i="178"/>
  <c r="BH391" i="178"/>
  <c r="AR391" i="178"/>
  <c r="BB279" i="178"/>
  <c r="BF394" i="178"/>
  <c r="BL280" i="178"/>
  <c r="BN393" i="178"/>
  <c r="BE980" i="178"/>
  <c r="AR412" i="178"/>
  <c r="AR497" i="178"/>
  <c r="U393" i="178"/>
  <c r="U219" i="178"/>
  <c r="AX394" i="178"/>
  <c r="U526" i="178"/>
  <c r="U580" i="178"/>
  <c r="U567" i="178"/>
  <c r="V378" i="178"/>
  <c r="U536" i="178"/>
  <c r="U280" i="178"/>
  <c r="U406" i="178"/>
  <c r="AT279" i="178"/>
  <c r="U241" i="178"/>
  <c r="V647" i="178"/>
  <c r="V413" i="178"/>
  <c r="U392" i="178"/>
  <c r="V279" i="178"/>
  <c r="U390" i="178"/>
  <c r="U147" i="178"/>
  <c r="U555" i="178"/>
  <c r="U493" i="178"/>
  <c r="U776" i="178"/>
  <c r="V237" i="178"/>
  <c r="U42" i="178"/>
  <c r="U170" i="178"/>
  <c r="U379" i="178"/>
  <c r="U452" i="178"/>
  <c r="U114" i="178"/>
  <c r="BB855" i="178"/>
  <c r="BN556" i="178"/>
  <c r="BE526" i="178"/>
  <c r="BF241" i="178"/>
  <c r="BN576" i="178"/>
  <c r="BA141" i="178"/>
  <c r="AW237" i="178"/>
  <c r="Z413" i="178"/>
  <c r="AV379" i="178"/>
  <c r="AV170" i="178"/>
  <c r="BD980" i="178"/>
  <c r="AR65" i="178"/>
  <c r="AV567" i="178"/>
  <c r="BA556" i="178"/>
  <c r="AW393" i="178"/>
  <c r="AS556" i="178"/>
  <c r="AS576" i="178"/>
  <c r="AB164" i="178"/>
  <c r="BN1031" i="178"/>
  <c r="Z1031" i="178"/>
  <c r="AB1031" i="178"/>
  <c r="AZ141" i="178"/>
  <c r="AV1031" i="178"/>
  <c r="AR164" i="178"/>
  <c r="AR179" i="178"/>
  <c r="V231" i="178"/>
  <c r="V141" i="178"/>
  <c r="BH164" i="178"/>
  <c r="V179" i="178"/>
  <c r="BM65" i="178"/>
  <c r="BM497" i="178"/>
  <c r="AS65" i="178"/>
  <c r="AW65" i="178"/>
  <c r="BA65" i="178"/>
  <c r="BE65" i="178"/>
  <c r="BI65" i="178"/>
  <c r="BO65" i="178"/>
  <c r="AY65" i="178"/>
  <c r="BG65" i="178"/>
  <c r="AS412" i="178"/>
  <c r="AW412" i="178"/>
  <c r="BA412" i="178"/>
  <c r="BE412" i="178"/>
  <c r="BI412" i="178"/>
  <c r="BO412" i="178"/>
  <c r="AY412" i="178"/>
  <c r="BG412" i="178"/>
  <c r="AU412" i="178"/>
  <c r="BC412" i="178"/>
  <c r="AS497" i="178"/>
  <c r="AW497" i="178"/>
  <c r="BA497" i="178"/>
  <c r="BE497" i="178"/>
  <c r="BI497" i="178"/>
  <c r="BO497" i="178"/>
  <c r="AY497" i="178"/>
  <c r="BG497" i="178"/>
  <c r="AU497" i="178"/>
  <c r="BC497" i="178"/>
  <c r="BO391" i="178"/>
  <c r="AU391" i="178"/>
  <c r="AY391" i="178"/>
  <c r="BC391" i="178"/>
  <c r="BG391" i="178"/>
  <c r="BM391" i="178"/>
  <c r="AW391" i="178"/>
  <c r="BE391" i="178"/>
  <c r="BA391" i="178"/>
  <c r="AS164" i="178"/>
  <c r="AW164" i="178"/>
  <c r="BA164" i="178"/>
  <c r="BE164" i="178"/>
  <c r="BI164" i="178"/>
  <c r="BO164" i="178"/>
  <c r="AU164" i="178"/>
  <c r="BC164" i="178"/>
  <c r="BM164" i="178"/>
  <c r="AY164" i="178"/>
  <c r="BG164" i="178"/>
  <c r="BE237" i="178"/>
  <c r="AU65" i="178"/>
  <c r="BM412" i="178"/>
  <c r="AS391" i="178"/>
  <c r="AR378" i="178"/>
  <c r="AV378" i="178"/>
  <c r="AZ378" i="178"/>
  <c r="BD378" i="178"/>
  <c r="BH378" i="178"/>
  <c r="BN378" i="178"/>
  <c r="AT378" i="178"/>
  <c r="BB378" i="178"/>
  <c r="BJ378" i="178"/>
  <c r="BL378" i="178"/>
  <c r="S378" i="178"/>
  <c r="BK378" i="178" s="1"/>
  <c r="AR42" i="178"/>
  <c r="AV42" i="178"/>
  <c r="AZ42" i="178"/>
  <c r="BD42" i="178"/>
  <c r="BH42" i="178"/>
  <c r="BN42" i="178"/>
  <c r="AX42" i="178"/>
  <c r="BF42" i="178"/>
  <c r="S42" i="178"/>
  <c r="BK42" i="178" s="1"/>
  <c r="AR647" i="178"/>
  <c r="AV647" i="178"/>
  <c r="AZ647" i="178"/>
  <c r="BD647" i="178"/>
  <c r="BH647" i="178"/>
  <c r="BN647" i="178"/>
  <c r="AT647" i="178"/>
  <c r="BB647" i="178"/>
  <c r="BJ647" i="178"/>
  <c r="BL647" i="178"/>
  <c r="S647" i="178"/>
  <c r="BK647" i="178" s="1"/>
  <c r="AX647" i="178"/>
  <c r="BF647" i="178"/>
  <c r="AR580" i="178"/>
  <c r="AV580" i="178"/>
  <c r="AZ580" i="178"/>
  <c r="BD580" i="178"/>
  <c r="BH580" i="178"/>
  <c r="BN580" i="178"/>
  <c r="AX580" i="178"/>
  <c r="BF580" i="178"/>
  <c r="S580" i="178"/>
  <c r="BK580" i="178" s="1"/>
  <c r="AT580" i="178"/>
  <c r="BB580" i="178"/>
  <c r="BJ580" i="178"/>
  <c r="AR555" i="178"/>
  <c r="AV555" i="178"/>
  <c r="AZ555" i="178"/>
  <c r="BD555" i="178"/>
  <c r="BH555" i="178"/>
  <c r="BN555" i="178"/>
  <c r="AT555" i="178"/>
  <c r="BB555" i="178"/>
  <c r="BJ555" i="178"/>
  <c r="BL555" i="178"/>
  <c r="S555" i="178"/>
  <c r="BK555" i="178" s="1"/>
  <c r="AX555" i="178"/>
  <c r="BF555" i="178"/>
  <c r="AT493" i="178"/>
  <c r="AX493" i="178"/>
  <c r="AZ493" i="178"/>
  <c r="BD493" i="178"/>
  <c r="BH493" i="178"/>
  <c r="AV493" i="178"/>
  <c r="BN493" i="178"/>
  <c r="BF493" i="178"/>
  <c r="S493" i="178"/>
  <c r="BK493" i="178" s="1"/>
  <c r="BB493" i="178"/>
  <c r="BJ493" i="178"/>
  <c r="BN392" i="178"/>
  <c r="AT392" i="178"/>
  <c r="AX392" i="178"/>
  <c r="BB392" i="178"/>
  <c r="BF392" i="178"/>
  <c r="BJ392" i="178"/>
  <c r="AR392" i="178"/>
  <c r="AZ392" i="178"/>
  <c r="BH392" i="178"/>
  <c r="BL392" i="178"/>
  <c r="AV392" i="178"/>
  <c r="S392" i="178"/>
  <c r="BK392" i="178" s="1"/>
  <c r="AR390" i="178"/>
  <c r="AV390" i="178"/>
  <c r="AZ390" i="178"/>
  <c r="BD390" i="178"/>
  <c r="AT390" i="178"/>
  <c r="BB390" i="178"/>
  <c r="BH390" i="178"/>
  <c r="BN390" i="178"/>
  <c r="BJ390" i="178"/>
  <c r="AX390" i="178"/>
  <c r="BL390" i="178"/>
  <c r="BF390" i="178"/>
  <c r="S390" i="178"/>
  <c r="BK390" i="178" s="1"/>
  <c r="AR406" i="178"/>
  <c r="AV406" i="178"/>
  <c r="AZ406" i="178"/>
  <c r="BD406" i="178"/>
  <c r="BH406" i="178"/>
  <c r="BN406" i="178"/>
  <c r="AX406" i="178"/>
  <c r="BF406" i="178"/>
  <c r="AT406" i="178"/>
  <c r="BJ406" i="178"/>
  <c r="BL406" i="178"/>
  <c r="BB406" i="178"/>
  <c r="S406" i="178"/>
  <c r="BK406" i="178" s="1"/>
  <c r="AR219" i="178"/>
  <c r="AV219" i="178"/>
  <c r="AZ219" i="178"/>
  <c r="BD219" i="178"/>
  <c r="BH219" i="178"/>
  <c r="BN219" i="178"/>
  <c r="AT219" i="178"/>
  <c r="BB219" i="178"/>
  <c r="BJ219" i="178"/>
  <c r="BL219" i="178"/>
  <c r="BF219" i="178"/>
  <c r="AX219" i="178"/>
  <c r="S219" i="178"/>
  <c r="BK219" i="178" s="1"/>
  <c r="AR231" i="178"/>
  <c r="AV231" i="178"/>
  <c r="AZ231" i="178"/>
  <c r="BD231" i="178"/>
  <c r="BH231" i="178"/>
  <c r="BN231" i="178"/>
  <c r="AX231" i="178"/>
  <c r="BF231" i="178"/>
  <c r="BB231" i="178"/>
  <c r="AT231" i="178"/>
  <c r="S231" i="178"/>
  <c r="BK231" i="178" s="1"/>
  <c r="BJ231" i="178"/>
  <c r="BO556" i="178"/>
  <c r="AU556" i="178"/>
  <c r="AY556" i="178"/>
  <c r="BC556" i="178"/>
  <c r="BG556" i="178"/>
  <c r="BM556" i="178"/>
  <c r="AW556" i="178"/>
  <c r="BE556" i="178"/>
  <c r="BO576" i="178"/>
  <c r="AU576" i="178"/>
  <c r="AY576" i="178"/>
  <c r="BC576" i="178"/>
  <c r="BG576" i="178"/>
  <c r="BM576" i="178"/>
  <c r="AW576" i="178"/>
  <c r="BE576" i="178"/>
  <c r="AU394" i="178"/>
  <c r="AY394" i="178"/>
  <c r="BC394" i="178"/>
  <c r="BG394" i="178"/>
  <c r="BM394" i="178"/>
  <c r="AS394" i="178"/>
  <c r="BA394" i="178"/>
  <c r="BI394" i="178"/>
  <c r="AW394" i="178"/>
  <c r="BO394" i="178"/>
  <c r="BE394" i="178"/>
  <c r="BO980" i="178"/>
  <c r="AU980" i="178"/>
  <c r="AY980" i="178"/>
  <c r="BC980" i="178"/>
  <c r="BG980" i="178"/>
  <c r="AS980" i="178"/>
  <c r="BA980" i="178"/>
  <c r="BI980" i="178"/>
  <c r="BM980" i="178"/>
  <c r="AW980" i="178"/>
  <c r="BO1031" i="178"/>
  <c r="AU1031" i="178"/>
  <c r="AY1031" i="178"/>
  <c r="BC1031" i="178"/>
  <c r="BG1031" i="178"/>
  <c r="AS1031" i="178"/>
  <c r="BA1031" i="178"/>
  <c r="BI1031" i="178"/>
  <c r="BE1031" i="178"/>
  <c r="BM1031" i="178"/>
  <c r="BL42" i="178"/>
  <c r="BI556" i="178"/>
  <c r="BI576" i="178"/>
  <c r="BL231" i="178"/>
  <c r="BO237" i="178"/>
  <c r="AU237" i="178"/>
  <c r="AY237" i="178"/>
  <c r="BC237" i="178"/>
  <c r="BG237" i="178"/>
  <c r="AS237" i="178"/>
  <c r="BA237" i="178"/>
  <c r="BI237" i="178"/>
  <c r="BO413" i="178"/>
  <c r="AU413" i="178"/>
  <c r="AY413" i="178"/>
  <c r="BC413" i="178"/>
  <c r="BG413" i="178"/>
  <c r="AS413" i="178"/>
  <c r="BA413" i="178"/>
  <c r="BI413" i="178"/>
  <c r="BM413" i="178"/>
  <c r="BO526" i="178"/>
  <c r="AU526" i="178"/>
  <c r="AY526" i="178"/>
  <c r="BC526" i="178"/>
  <c r="BG526" i="178"/>
  <c r="AS526" i="178"/>
  <c r="BA526" i="178"/>
  <c r="BI526" i="178"/>
  <c r="BM526" i="178"/>
  <c r="AU279" i="178"/>
  <c r="AY279" i="178"/>
  <c r="BC279" i="178"/>
  <c r="BG279" i="178"/>
  <c r="BM279" i="178"/>
  <c r="AW279" i="178"/>
  <c r="BE279" i="178"/>
  <c r="BO279" i="178"/>
  <c r="AS279" i="178"/>
  <c r="BI279" i="178"/>
  <c r="BA279" i="178"/>
  <c r="BO141" i="178"/>
  <c r="AU141" i="178"/>
  <c r="AY141" i="178"/>
  <c r="BC141" i="178"/>
  <c r="BG141" i="178"/>
  <c r="BM141" i="178"/>
  <c r="AW141" i="178"/>
  <c r="BE141" i="178"/>
  <c r="AS141" i="178"/>
  <c r="BI141" i="178"/>
  <c r="BO179" i="178"/>
  <c r="AU179" i="178"/>
  <c r="AY179" i="178"/>
  <c r="BC179" i="178"/>
  <c r="BG179" i="178"/>
  <c r="BM179" i="178"/>
  <c r="AW179" i="178"/>
  <c r="BE179" i="178"/>
  <c r="BA179" i="178"/>
  <c r="BI179" i="178"/>
  <c r="U556" i="178"/>
  <c r="V556" i="178"/>
  <c r="U576" i="178"/>
  <c r="V576" i="178"/>
  <c r="U394" i="178"/>
  <c r="V394" i="178"/>
  <c r="U980" i="178"/>
  <c r="V980" i="178"/>
  <c r="AW413" i="178"/>
  <c r="BL241" i="178"/>
  <c r="AR241" i="178"/>
  <c r="AV241" i="178"/>
  <c r="AZ241" i="178"/>
  <c r="BD241" i="178"/>
  <c r="BH241" i="178"/>
  <c r="S241" i="178"/>
  <c r="BK241" i="178" s="1"/>
  <c r="AT241" i="178"/>
  <c r="BB241" i="178"/>
  <c r="BJ241" i="178"/>
  <c r="BL855" i="178"/>
  <c r="AR855" i="178"/>
  <c r="AV855" i="178"/>
  <c r="AZ855" i="178"/>
  <c r="BD855" i="178"/>
  <c r="BH855" i="178"/>
  <c r="BN855" i="178"/>
  <c r="S855" i="178"/>
  <c r="BK855" i="178" s="1"/>
  <c r="AX855" i="178"/>
  <c r="BF855" i="178"/>
  <c r="BL452" i="178"/>
  <c r="AR452" i="178"/>
  <c r="AV452" i="178"/>
  <c r="AZ452" i="178"/>
  <c r="BD452" i="178"/>
  <c r="BH452" i="178"/>
  <c r="S452" i="178"/>
  <c r="BK452" i="178" s="1"/>
  <c r="AT452" i="178"/>
  <c r="BB452" i="178"/>
  <c r="BJ452" i="178"/>
  <c r="BN452" i="178"/>
  <c r="BL398" i="178"/>
  <c r="AR398" i="178"/>
  <c r="AV398" i="178"/>
  <c r="AZ398" i="178"/>
  <c r="BD398" i="178"/>
  <c r="BH398" i="178"/>
  <c r="BN398" i="178"/>
  <c r="S398" i="178"/>
  <c r="BK398" i="178" s="1"/>
  <c r="AX398" i="178"/>
  <c r="BF398" i="178"/>
  <c r="BL536" i="178"/>
  <c r="AR536" i="178"/>
  <c r="AV536" i="178"/>
  <c r="AZ536" i="178"/>
  <c r="BD536" i="178"/>
  <c r="BH536" i="178"/>
  <c r="S536" i="178"/>
  <c r="BK536" i="178" s="1"/>
  <c r="AT536" i="178"/>
  <c r="BB536" i="178"/>
  <c r="BJ536" i="178"/>
  <c r="BN536" i="178"/>
  <c r="AR278" i="178"/>
  <c r="AV278" i="178"/>
  <c r="AZ278" i="178"/>
  <c r="BD278" i="178"/>
  <c r="BH278" i="178"/>
  <c r="BN278" i="178"/>
  <c r="AT278" i="178"/>
  <c r="BB278" i="178"/>
  <c r="BJ278" i="178"/>
  <c r="BL278" i="178"/>
  <c r="BF278" i="178"/>
  <c r="S278" i="178"/>
  <c r="BK278" i="178" s="1"/>
  <c r="AB278" i="178"/>
  <c r="AX278" i="178"/>
  <c r="AR280" i="178"/>
  <c r="AV280" i="178"/>
  <c r="AZ280" i="178"/>
  <c r="BD280" i="178"/>
  <c r="BH280" i="178"/>
  <c r="BN280" i="178"/>
  <c r="AX280" i="178"/>
  <c r="BF280" i="178"/>
  <c r="BB280" i="178"/>
  <c r="S280" i="178"/>
  <c r="BK280" i="178" s="1"/>
  <c r="AT280" i="178"/>
  <c r="BJ280" i="178"/>
  <c r="BL277" i="178"/>
  <c r="AR277" i="178"/>
  <c r="AV277" i="178"/>
  <c r="AZ277" i="178"/>
  <c r="BD277" i="178"/>
  <c r="BH277" i="178"/>
  <c r="AT277" i="178"/>
  <c r="BB277" i="178"/>
  <c r="BJ277" i="178"/>
  <c r="BF277" i="178"/>
  <c r="S277" i="178"/>
  <c r="BK277" i="178" s="1"/>
  <c r="AX277" i="178"/>
  <c r="BN277" i="178"/>
  <c r="BL114" i="178"/>
  <c r="AR114" i="178"/>
  <c r="AV114" i="178"/>
  <c r="AZ114" i="178"/>
  <c r="BD114" i="178"/>
  <c r="BH114" i="178"/>
  <c r="BN114" i="178"/>
  <c r="AX114" i="178"/>
  <c r="BF114" i="178"/>
  <c r="BB114" i="178"/>
  <c r="S114" i="178"/>
  <c r="BK114" i="178" s="1"/>
  <c r="AT114" i="178"/>
  <c r="BL1032" i="178"/>
  <c r="AR1032" i="178"/>
  <c r="AV1032" i="178"/>
  <c r="AZ1032" i="178"/>
  <c r="BD1032" i="178"/>
  <c r="BH1032" i="178"/>
  <c r="AT1032" i="178"/>
  <c r="BB1032" i="178"/>
  <c r="BJ1032" i="178"/>
  <c r="BN1032" i="178"/>
  <c r="AX1032" i="178"/>
  <c r="S1032" i="178"/>
  <c r="Z1032" i="178" s="1"/>
  <c r="AB1032" i="178"/>
  <c r="BL147" i="178"/>
  <c r="AR147" i="178"/>
  <c r="AV147" i="178"/>
  <c r="AZ147" i="178"/>
  <c r="BD147" i="178"/>
  <c r="BH147" i="178"/>
  <c r="BN147" i="178"/>
  <c r="AX147" i="178"/>
  <c r="BF147" i="178"/>
  <c r="AT147" i="178"/>
  <c r="BJ147" i="178"/>
  <c r="S147" i="178"/>
  <c r="BK147" i="178" s="1"/>
  <c r="AS379" i="178"/>
  <c r="AW379" i="178"/>
  <c r="BA379" i="178"/>
  <c r="BE379" i="178"/>
  <c r="BI379" i="178"/>
  <c r="BO379" i="178"/>
  <c r="AU379" i="178"/>
  <c r="BC379" i="178"/>
  <c r="BM379" i="178"/>
  <c r="AS170" i="178"/>
  <c r="AW170" i="178"/>
  <c r="BA170" i="178"/>
  <c r="BE170" i="178"/>
  <c r="BI170" i="178"/>
  <c r="BO170" i="178"/>
  <c r="AU170" i="178"/>
  <c r="BC170" i="178"/>
  <c r="BM170" i="178"/>
  <c r="AY170" i="178"/>
  <c r="BG170" i="178"/>
  <c r="AS567" i="178"/>
  <c r="AW567" i="178"/>
  <c r="BA567" i="178"/>
  <c r="BE567" i="178"/>
  <c r="BI567" i="178"/>
  <c r="BO567" i="178"/>
  <c r="AU567" i="178"/>
  <c r="BC567" i="178"/>
  <c r="BM567" i="178"/>
  <c r="AY567" i="178"/>
  <c r="BG567" i="178"/>
  <c r="BO393" i="178"/>
  <c r="AU393" i="178"/>
  <c r="AY393" i="178"/>
  <c r="BC393" i="178"/>
  <c r="BG393" i="178"/>
  <c r="AS393" i="178"/>
  <c r="BA393" i="178"/>
  <c r="BI393" i="178"/>
  <c r="BE393" i="178"/>
  <c r="BM393" i="178"/>
  <c r="AS776" i="178"/>
  <c r="AW776" i="178"/>
  <c r="BA776" i="178"/>
  <c r="BE776" i="178"/>
  <c r="BI776" i="178"/>
  <c r="BO776" i="178"/>
  <c r="AY776" i="178"/>
  <c r="BG776" i="178"/>
  <c r="BC776" i="178"/>
  <c r="BM776" i="178"/>
  <c r="AU776" i="178"/>
  <c r="AS1030" i="178"/>
  <c r="AW1030" i="178"/>
  <c r="BA1030" i="178"/>
  <c r="BE1030" i="178"/>
  <c r="BI1030" i="178"/>
  <c r="BO1030" i="178"/>
  <c r="AY1030" i="178"/>
  <c r="BG1030" i="178"/>
  <c r="AU1030" i="178"/>
  <c r="BM1030" i="178"/>
  <c r="BC1030" i="178"/>
  <c r="U65" i="178"/>
  <c r="V855" i="178"/>
  <c r="U855" i="178"/>
  <c r="U412" i="178"/>
  <c r="V398" i="178"/>
  <c r="U398" i="178"/>
  <c r="U497" i="178"/>
  <c r="V278" i="178"/>
  <c r="U278" i="178"/>
  <c r="U391" i="178"/>
  <c r="V277" i="178"/>
  <c r="U277" i="178"/>
  <c r="U164" i="178"/>
  <c r="V1032" i="178"/>
  <c r="U1032" i="178"/>
  <c r="BG379" i="178"/>
  <c r="AX378" i="178"/>
  <c r="BM237" i="178"/>
  <c r="BC65" i="178"/>
  <c r="BJ42" i="178"/>
  <c r="AT42" i="178"/>
  <c r="BE413" i="178"/>
  <c r="BJ398" i="178"/>
  <c r="BA576" i="178"/>
  <c r="BF536" i="178"/>
  <c r="AW526" i="178"/>
  <c r="BL493" i="178"/>
  <c r="BD392" i="178"/>
  <c r="BI391" i="178"/>
  <c r="BJ114" i="178"/>
  <c r="BF1032" i="178"/>
  <c r="BB147" i="178"/>
  <c r="Z164" i="178"/>
  <c r="BD379" i="178"/>
  <c r="BH65" i="178"/>
  <c r="AZ65" i="178"/>
  <c r="BD170" i="178"/>
  <c r="BH412" i="178"/>
  <c r="AZ412" i="178"/>
  <c r="BD567" i="178"/>
  <c r="BH497" i="178"/>
  <c r="AZ497" i="178"/>
  <c r="BJ279" i="178"/>
  <c r="AT237" i="178"/>
  <c r="AX237" i="178"/>
  <c r="BB237" i="178"/>
  <c r="BF237" i="178"/>
  <c r="BJ237" i="178"/>
  <c r="BL237" i="178"/>
  <c r="AT556" i="178"/>
  <c r="AX556" i="178"/>
  <c r="BB556" i="178"/>
  <c r="BF556" i="178"/>
  <c r="BJ556" i="178"/>
  <c r="BL556" i="178"/>
  <c r="AT413" i="178"/>
  <c r="AX413" i="178"/>
  <c r="BB413" i="178"/>
  <c r="BF413" i="178"/>
  <c r="BJ413" i="178"/>
  <c r="BL413" i="178"/>
  <c r="AT576" i="178"/>
  <c r="AX576" i="178"/>
  <c r="BB576" i="178"/>
  <c r="BF576" i="178"/>
  <c r="BJ576" i="178"/>
  <c r="BL576" i="178"/>
  <c r="AT526" i="178"/>
  <c r="AX526" i="178"/>
  <c r="BB526" i="178"/>
  <c r="BF526" i="178"/>
  <c r="BJ526" i="178"/>
  <c r="BL526" i="178"/>
  <c r="BL394" i="178"/>
  <c r="AR394" i="178"/>
  <c r="AV394" i="178"/>
  <c r="AZ394" i="178"/>
  <c r="BD394" i="178"/>
  <c r="BH394" i="178"/>
  <c r="AT394" i="178"/>
  <c r="BB394" i="178"/>
  <c r="BJ394" i="178"/>
  <c r="BL279" i="178"/>
  <c r="AR279" i="178"/>
  <c r="AV279" i="178"/>
  <c r="AZ279" i="178"/>
  <c r="BD279" i="178"/>
  <c r="BH279" i="178"/>
  <c r="BN279" i="178"/>
  <c r="AX279" i="178"/>
  <c r="BF279" i="178"/>
  <c r="AT980" i="178"/>
  <c r="AX980" i="178"/>
  <c r="BB980" i="178"/>
  <c r="BF980" i="178"/>
  <c r="BJ980" i="178"/>
  <c r="BL980" i="178"/>
  <c r="AR980" i="178"/>
  <c r="AZ980" i="178"/>
  <c r="BH980" i="178"/>
  <c r="AV980" i="178"/>
  <c r="BN980" i="178"/>
  <c r="AT141" i="178"/>
  <c r="AX141" i="178"/>
  <c r="BB141" i="178"/>
  <c r="BF141" i="178"/>
  <c r="BJ141" i="178"/>
  <c r="BL141" i="178"/>
  <c r="AV141" i="178"/>
  <c r="BD141" i="178"/>
  <c r="BN141" i="178"/>
  <c r="AR141" i="178"/>
  <c r="BH141" i="178"/>
  <c r="AT1031" i="178"/>
  <c r="AX1031" i="178"/>
  <c r="BB1031" i="178"/>
  <c r="BF1031" i="178"/>
  <c r="BJ1031" i="178"/>
  <c r="BL1031" i="178"/>
  <c r="AR1031" i="178"/>
  <c r="AZ1031" i="178"/>
  <c r="BH1031" i="178"/>
  <c r="BD1031" i="178"/>
  <c r="AT179" i="178"/>
  <c r="AX179" i="178"/>
  <c r="BB179" i="178"/>
  <c r="BF179" i="178"/>
  <c r="BJ179" i="178"/>
  <c r="BL179" i="178"/>
  <c r="AV179" i="178"/>
  <c r="BD179" i="178"/>
  <c r="BN179" i="178"/>
  <c r="AZ179" i="178"/>
  <c r="BN379" i="178"/>
  <c r="AT379" i="178"/>
  <c r="AX379" i="178"/>
  <c r="BB379" i="178"/>
  <c r="BF379" i="178"/>
  <c r="BJ379" i="178"/>
  <c r="BN65" i="178"/>
  <c r="AT65" i="178"/>
  <c r="AX65" i="178"/>
  <c r="BB65" i="178"/>
  <c r="BF65" i="178"/>
  <c r="BJ65" i="178"/>
  <c r="BN170" i="178"/>
  <c r="AT170" i="178"/>
  <c r="AX170" i="178"/>
  <c r="BB170" i="178"/>
  <c r="BF170" i="178"/>
  <c r="BJ170" i="178"/>
  <c r="BN412" i="178"/>
  <c r="AT412" i="178"/>
  <c r="AX412" i="178"/>
  <c r="BB412" i="178"/>
  <c r="BF412" i="178"/>
  <c r="BJ412" i="178"/>
  <c r="BN567" i="178"/>
  <c r="AT567" i="178"/>
  <c r="AX567" i="178"/>
  <c r="BB567" i="178"/>
  <c r="BF567" i="178"/>
  <c r="BJ567" i="178"/>
  <c r="BN497" i="178"/>
  <c r="AT497" i="178"/>
  <c r="AX497" i="178"/>
  <c r="BB497" i="178"/>
  <c r="BF497" i="178"/>
  <c r="BJ497" i="178"/>
  <c r="AT393" i="178"/>
  <c r="AX393" i="178"/>
  <c r="BB393" i="178"/>
  <c r="BF393" i="178"/>
  <c r="BJ393" i="178"/>
  <c r="BL393" i="178"/>
  <c r="AR393" i="178"/>
  <c r="AZ393" i="178"/>
  <c r="BH393" i="178"/>
  <c r="AT391" i="178"/>
  <c r="AX391" i="178"/>
  <c r="BB391" i="178"/>
  <c r="BF391" i="178"/>
  <c r="BJ391" i="178"/>
  <c r="BL391" i="178"/>
  <c r="AV391" i="178"/>
  <c r="BD391" i="178"/>
  <c r="BN391" i="178"/>
  <c r="BN776" i="178"/>
  <c r="AT776" i="178"/>
  <c r="AX776" i="178"/>
  <c r="BB776" i="178"/>
  <c r="BF776" i="178"/>
  <c r="BJ776" i="178"/>
  <c r="AR776" i="178"/>
  <c r="AZ776" i="178"/>
  <c r="BH776" i="178"/>
  <c r="BD776" i="178"/>
  <c r="BN164" i="178"/>
  <c r="AT164" i="178"/>
  <c r="AX164" i="178"/>
  <c r="BB164" i="178"/>
  <c r="BF164" i="178"/>
  <c r="BJ164" i="178"/>
  <c r="BL164" i="178"/>
  <c r="AV164" i="178"/>
  <c r="BD164" i="178"/>
  <c r="AZ164" i="178"/>
  <c r="BN1030" i="178"/>
  <c r="AT1030" i="178"/>
  <c r="AX1030" i="178"/>
  <c r="BB1030" i="178"/>
  <c r="BF1030" i="178"/>
  <c r="BJ1030" i="178"/>
  <c r="AR1030" i="178"/>
  <c r="AZ1030" i="178"/>
  <c r="BH1030" i="178"/>
  <c r="BL1030" i="178"/>
  <c r="AV1030" i="178"/>
  <c r="AB413" i="178"/>
  <c r="BL379" i="178"/>
  <c r="BH237" i="178"/>
  <c r="AZ237" i="178"/>
  <c r="AR237" i="178"/>
  <c r="BD556" i="178"/>
  <c r="AV556" i="178"/>
  <c r="BL170" i="178"/>
  <c r="BH413" i="178"/>
  <c r="AZ413" i="178"/>
  <c r="AR413" i="178"/>
  <c r="BD576" i="178"/>
  <c r="AV576" i="178"/>
  <c r="BL567" i="178"/>
  <c r="BH526" i="178"/>
  <c r="AZ526" i="178"/>
  <c r="AR526" i="178"/>
  <c r="BN394" i="178"/>
  <c r="BD393" i="178"/>
  <c r="AZ391" i="178"/>
  <c r="BL776" i="178"/>
  <c r="BH179" i="178"/>
  <c r="O743" i="55"/>
  <c r="P743" i="55"/>
  <c r="Q743" i="55"/>
  <c r="R743" i="55"/>
  <c r="C771" i="78"/>
  <c r="O191" i="55"/>
  <c r="P191" i="55"/>
  <c r="Q191" i="55"/>
  <c r="R191" i="55"/>
  <c r="C208" i="78"/>
  <c r="O121" i="55"/>
  <c r="P121" i="55"/>
  <c r="Q121" i="55"/>
  <c r="R121" i="55"/>
  <c r="C138" i="78"/>
  <c r="BK1032" i="178" l="1"/>
  <c r="Y854" i="178"/>
  <c r="Y853" i="178"/>
  <c r="X853" i="178"/>
  <c r="X854" i="178"/>
  <c r="AA854" i="178"/>
  <c r="AB854" i="178" s="1"/>
  <c r="AA853" i="178"/>
  <c r="AB853" i="178" s="1"/>
  <c r="AC164" i="178"/>
  <c r="AC413" i="178"/>
  <c r="AC1031" i="178"/>
  <c r="AC1032" i="178"/>
  <c r="AU147" i="178"/>
  <c r="AY147" i="178"/>
  <c r="BC147" i="178"/>
  <c r="BG147" i="178"/>
  <c r="BM147" i="178"/>
  <c r="AW147" i="178"/>
  <c r="BE147" i="178"/>
  <c r="BO147" i="178"/>
  <c r="AS147" i="178"/>
  <c r="BI147" i="178"/>
  <c r="BA147" i="178"/>
  <c r="AU277" i="178"/>
  <c r="AY277" i="178"/>
  <c r="BC277" i="178"/>
  <c r="BG277" i="178"/>
  <c r="BM277" i="178"/>
  <c r="AS277" i="178"/>
  <c r="BA277" i="178"/>
  <c r="BI277" i="178"/>
  <c r="BE277" i="178"/>
  <c r="AW277" i="178"/>
  <c r="BO277" i="178"/>
  <c r="AU241" i="178"/>
  <c r="AY241" i="178"/>
  <c r="BC241" i="178"/>
  <c r="BG241" i="178"/>
  <c r="BM241" i="178"/>
  <c r="AS241" i="178"/>
  <c r="BA241" i="178"/>
  <c r="BI241" i="178"/>
  <c r="BE241" i="178"/>
  <c r="AW241" i="178"/>
  <c r="BO241" i="178"/>
  <c r="BM231" i="178"/>
  <c r="AS231" i="178"/>
  <c r="AW231" i="178"/>
  <c r="BA231" i="178"/>
  <c r="BE231" i="178"/>
  <c r="BI231" i="178"/>
  <c r="BO231" i="178"/>
  <c r="AY231" i="178"/>
  <c r="BG231" i="178"/>
  <c r="BC231" i="178"/>
  <c r="AU231" i="178"/>
  <c r="BM406" i="178"/>
  <c r="AS406" i="178"/>
  <c r="AW406" i="178"/>
  <c r="BA406" i="178"/>
  <c r="BE406" i="178"/>
  <c r="BI406" i="178"/>
  <c r="BO406" i="178"/>
  <c r="AY406" i="178"/>
  <c r="BG406" i="178"/>
  <c r="AU406" i="178"/>
  <c r="BC406" i="178"/>
  <c r="AS493" i="178"/>
  <c r="AU493" i="178"/>
  <c r="BM493" i="178"/>
  <c r="BA493" i="178"/>
  <c r="BE493" i="178"/>
  <c r="BI493" i="178"/>
  <c r="AW493" i="178"/>
  <c r="BO493" i="178"/>
  <c r="AY493" i="178"/>
  <c r="BG493" i="178"/>
  <c r="BC493" i="178"/>
  <c r="BM647" i="178"/>
  <c r="AS647" i="178"/>
  <c r="AW647" i="178"/>
  <c r="BA647" i="178"/>
  <c r="BE647" i="178"/>
  <c r="BI647" i="178"/>
  <c r="AU647" i="178"/>
  <c r="BC647" i="178"/>
  <c r="BO647" i="178"/>
  <c r="AY647" i="178"/>
  <c r="BG647" i="178"/>
  <c r="BM378" i="178"/>
  <c r="AS378" i="178"/>
  <c r="AW378" i="178"/>
  <c r="BA378" i="178"/>
  <c r="BE378" i="178"/>
  <c r="BI378" i="178"/>
  <c r="AU378" i="178"/>
  <c r="BC378" i="178"/>
  <c r="BO378" i="178"/>
  <c r="BG378" i="178"/>
  <c r="AY378" i="178"/>
  <c r="AU452" i="178"/>
  <c r="AY452" i="178"/>
  <c r="BC452" i="178"/>
  <c r="BG452" i="178"/>
  <c r="BM452" i="178"/>
  <c r="AS452" i="178"/>
  <c r="BA452" i="178"/>
  <c r="BI452" i="178"/>
  <c r="AW452" i="178"/>
  <c r="BE452" i="178"/>
  <c r="BO452" i="178"/>
  <c r="BM219" i="178"/>
  <c r="AS219" i="178"/>
  <c r="AW219" i="178"/>
  <c r="BA219" i="178"/>
  <c r="BE219" i="178"/>
  <c r="BI219" i="178"/>
  <c r="AU219" i="178"/>
  <c r="BC219" i="178"/>
  <c r="BG219" i="178"/>
  <c r="AY219" i="178"/>
  <c r="BO219" i="178"/>
  <c r="BM555" i="178"/>
  <c r="AS555" i="178"/>
  <c r="AW555" i="178"/>
  <c r="BA555" i="178"/>
  <c r="BE555" i="178"/>
  <c r="BI555" i="178"/>
  <c r="AU555" i="178"/>
  <c r="BC555" i="178"/>
  <c r="BO555" i="178"/>
  <c r="BG555" i="178"/>
  <c r="AY555" i="178"/>
  <c r="BM42" i="178"/>
  <c r="AS42" i="178"/>
  <c r="AW42" i="178"/>
  <c r="BA42" i="178"/>
  <c r="BE42" i="178"/>
  <c r="BI42" i="178"/>
  <c r="BO42" i="178"/>
  <c r="AY42" i="178"/>
  <c r="BG42" i="178"/>
  <c r="AU42" i="178"/>
  <c r="BC42" i="178"/>
  <c r="AU1032" i="178"/>
  <c r="AY1032" i="178"/>
  <c r="BC1032" i="178"/>
  <c r="BG1032" i="178"/>
  <c r="BM1032" i="178"/>
  <c r="AS1032" i="178"/>
  <c r="BA1032" i="178"/>
  <c r="BI1032" i="178"/>
  <c r="AW1032" i="178"/>
  <c r="BO1032" i="178"/>
  <c r="BE1032" i="178"/>
  <c r="BM280" i="178"/>
  <c r="AS280" i="178"/>
  <c r="AW280" i="178"/>
  <c r="BA280" i="178"/>
  <c r="BE280" i="178"/>
  <c r="BI280" i="178"/>
  <c r="BO280" i="178"/>
  <c r="AY280" i="178"/>
  <c r="BG280" i="178"/>
  <c r="BC280" i="178"/>
  <c r="AU280" i="178"/>
  <c r="BM278" i="178"/>
  <c r="AS278" i="178"/>
  <c r="AW278" i="178"/>
  <c r="BA278" i="178"/>
  <c r="BE278" i="178"/>
  <c r="BI278" i="178"/>
  <c r="AU278" i="178"/>
  <c r="BC278" i="178"/>
  <c r="BG278" i="178"/>
  <c r="BO278" i="178"/>
  <c r="AY278" i="178"/>
  <c r="AU536" i="178"/>
  <c r="AY536" i="178"/>
  <c r="BC536" i="178"/>
  <c r="BG536" i="178"/>
  <c r="BM536" i="178"/>
  <c r="AS536" i="178"/>
  <c r="BA536" i="178"/>
  <c r="BI536" i="178"/>
  <c r="AW536" i="178"/>
  <c r="BE536" i="178"/>
  <c r="BO536" i="178"/>
  <c r="AU855" i="178"/>
  <c r="AY855" i="178"/>
  <c r="BC855" i="178"/>
  <c r="BG855" i="178"/>
  <c r="BM855" i="178"/>
  <c r="AW855" i="178"/>
  <c r="BE855" i="178"/>
  <c r="BO855" i="178"/>
  <c r="BA855" i="178"/>
  <c r="AS855" i="178"/>
  <c r="BI855" i="178"/>
  <c r="Z278" i="178"/>
  <c r="AC278" i="178" s="1"/>
  <c r="AS390" i="178"/>
  <c r="AW390" i="178"/>
  <c r="BA390" i="178"/>
  <c r="BE390" i="178"/>
  <c r="BI390" i="178"/>
  <c r="AU390" i="178"/>
  <c r="BC390" i="178"/>
  <c r="BO390" i="178"/>
  <c r="AY390" i="178"/>
  <c r="BM390" i="178"/>
  <c r="BG390" i="178"/>
  <c r="BM580" i="178"/>
  <c r="AS580" i="178"/>
  <c r="AW580" i="178"/>
  <c r="BA580" i="178"/>
  <c r="BE580" i="178"/>
  <c r="BI580" i="178"/>
  <c r="BO580" i="178"/>
  <c r="AY580" i="178"/>
  <c r="BG580" i="178"/>
  <c r="AU580" i="178"/>
  <c r="BC580" i="178"/>
  <c r="AU398" i="178"/>
  <c r="AY398" i="178"/>
  <c r="BC398" i="178"/>
  <c r="BG398" i="178"/>
  <c r="BM398" i="178"/>
  <c r="AW398" i="178"/>
  <c r="BE398" i="178"/>
  <c r="BO398" i="178"/>
  <c r="AS398" i="178"/>
  <c r="BA398" i="178"/>
  <c r="BI398" i="178"/>
  <c r="AU114" i="178"/>
  <c r="AY114" i="178"/>
  <c r="BC114" i="178"/>
  <c r="BG114" i="178"/>
  <c r="BM114" i="178"/>
  <c r="AW114" i="178"/>
  <c r="BE114" i="178"/>
  <c r="BO114" i="178"/>
  <c r="BA114" i="178"/>
  <c r="AS114" i="178"/>
  <c r="BI114" i="178"/>
  <c r="AS392" i="178"/>
  <c r="AW392" i="178"/>
  <c r="BA392" i="178"/>
  <c r="BE392" i="178"/>
  <c r="BI392" i="178"/>
  <c r="BO392" i="178"/>
  <c r="AY392" i="178"/>
  <c r="BG392" i="178"/>
  <c r="AU392" i="178"/>
  <c r="BM392" i="178"/>
  <c r="BC392" i="178"/>
  <c r="Z854" i="178" l="1"/>
  <c r="AC854" i="178" s="1"/>
  <c r="Z853" i="178"/>
  <c r="AC853" i="178" s="1"/>
  <c r="P997" i="178"/>
  <c r="P1003" i="178"/>
  <c r="P881" i="178"/>
  <c r="P884" i="178"/>
  <c r="P880" i="178"/>
  <c r="P883" i="178"/>
  <c r="P338" i="178"/>
  <c r="P330" i="178"/>
  <c r="P524" i="178"/>
  <c r="P714" i="178"/>
  <c r="P337" i="178"/>
  <c r="P327" i="178"/>
  <c r="P522" i="178"/>
  <c r="P712" i="178"/>
  <c r="P336" i="178"/>
  <c r="P326" i="178"/>
  <c r="P521" i="178"/>
  <c r="P711" i="178"/>
  <c r="P333" i="178"/>
  <c r="P323" i="178"/>
  <c r="P518" i="178"/>
  <c r="P510" i="178"/>
  <c r="O84" i="55" l="1"/>
  <c r="P84" i="55"/>
  <c r="Q84" i="55"/>
  <c r="R84" i="55"/>
  <c r="O85" i="55"/>
  <c r="P85" i="55"/>
  <c r="Q85" i="55"/>
  <c r="R85" i="55"/>
  <c r="C95" i="78"/>
  <c r="AD992" i="178"/>
  <c r="AE992" i="178"/>
  <c r="AF992" i="178"/>
  <c r="AG992" i="178"/>
  <c r="AH992" i="178"/>
  <c r="AI992" i="178"/>
  <c r="AJ992" i="178"/>
  <c r="AK992" i="178"/>
  <c r="AL992" i="178"/>
  <c r="AM992" i="178"/>
  <c r="AN992" i="178"/>
  <c r="AO992" i="178"/>
  <c r="AD1003" i="178"/>
  <c r="AE1003" i="178"/>
  <c r="AF1003" i="178"/>
  <c r="AG1003" i="178"/>
  <c r="AH1003" i="178"/>
  <c r="AI1003" i="178"/>
  <c r="AJ1003" i="178"/>
  <c r="AK1003" i="178"/>
  <c r="AL1003" i="178"/>
  <c r="AM1003" i="178"/>
  <c r="AN1003" i="178"/>
  <c r="AO1003" i="178"/>
  <c r="AD997" i="178"/>
  <c r="AE997" i="178"/>
  <c r="AF997" i="178"/>
  <c r="AG997" i="178"/>
  <c r="AH997" i="178"/>
  <c r="AI997" i="178"/>
  <c r="AJ997" i="178"/>
  <c r="AK997" i="178"/>
  <c r="AL997" i="178"/>
  <c r="AM997" i="178"/>
  <c r="AN997" i="178"/>
  <c r="AO997" i="178"/>
  <c r="T992" i="178"/>
  <c r="U992" i="178" s="1"/>
  <c r="W992" i="178"/>
  <c r="T1003" i="178"/>
  <c r="U1003" i="178" s="1"/>
  <c r="W1003" i="178"/>
  <c r="T997" i="178"/>
  <c r="U997" i="178" s="1"/>
  <c r="W997" i="178"/>
  <c r="V997" i="178" l="1"/>
  <c r="V1003" i="178"/>
  <c r="V992" i="178"/>
  <c r="Q997" i="178" l="1"/>
  <c r="Q1003" i="178"/>
  <c r="Q992" i="178"/>
  <c r="B992" i="178"/>
  <c r="B1003" i="178"/>
  <c r="B997" i="178"/>
  <c r="AZ992" i="178" l="1"/>
  <c r="AX992" i="178"/>
  <c r="AT992" i="178"/>
  <c r="BD992" i="178"/>
  <c r="BF992" i="178"/>
  <c r="AV992" i="178"/>
  <c r="BJ992" i="178"/>
  <c r="BB992" i="178"/>
  <c r="BL992" i="178"/>
  <c r="AR992" i="178"/>
  <c r="BN992" i="178"/>
  <c r="BH992" i="178"/>
  <c r="AV1003" i="178"/>
  <c r="BH1003" i="178"/>
  <c r="AX1003" i="178"/>
  <c r="AR1003" i="178"/>
  <c r="BJ1003" i="178"/>
  <c r="BN1003" i="178"/>
  <c r="BL1003" i="178"/>
  <c r="BB1003" i="178"/>
  <c r="AZ1003" i="178"/>
  <c r="BD1003" i="178"/>
  <c r="AT1003" i="178"/>
  <c r="BF1003" i="178"/>
  <c r="BJ997" i="178"/>
  <c r="BB997" i="178"/>
  <c r="BF997" i="178"/>
  <c r="AZ997" i="178"/>
  <c r="BN997" i="178"/>
  <c r="AT997" i="178"/>
  <c r="AV997" i="178"/>
  <c r="BH997" i="178"/>
  <c r="AX997" i="178"/>
  <c r="AR997" i="178"/>
  <c r="BD997" i="178"/>
  <c r="BL997" i="178"/>
  <c r="S1003" i="178"/>
  <c r="BK1003" i="178" s="1"/>
  <c r="S992" i="178"/>
  <c r="BK992" i="178" s="1"/>
  <c r="S997" i="178"/>
  <c r="BK997" i="178" s="1"/>
  <c r="AU992" i="178" l="1"/>
  <c r="AW992" i="178"/>
  <c r="BM992" i="178"/>
  <c r="BG992" i="178"/>
  <c r="BE992" i="178"/>
  <c r="BC992" i="178"/>
  <c r="BO992" i="178"/>
  <c r="BI992" i="178"/>
  <c r="AS992" i="178"/>
  <c r="AY992" i="178"/>
  <c r="BA992" i="178"/>
  <c r="BE997" i="178"/>
  <c r="BG997" i="178"/>
  <c r="BA997" i="178"/>
  <c r="AY997" i="178"/>
  <c r="BO997" i="178"/>
  <c r="BM997" i="178"/>
  <c r="AS997" i="178"/>
  <c r="AU997" i="178"/>
  <c r="AW997" i="178"/>
  <c r="BI997" i="178"/>
  <c r="BC997" i="178"/>
  <c r="BG1003" i="178"/>
  <c r="BO1003" i="178"/>
  <c r="BE1003" i="178"/>
  <c r="BM1003" i="178"/>
  <c r="AU1003" i="178"/>
  <c r="AW1003" i="178"/>
  <c r="BI1003" i="178"/>
  <c r="BC1003" i="178"/>
  <c r="BA1003" i="178"/>
  <c r="AY1003" i="178"/>
  <c r="AS1003" i="178"/>
  <c r="J18" i="70"/>
  <c r="L18" i="70"/>
  <c r="J19" i="70"/>
  <c r="L19" i="70"/>
  <c r="G18" i="70"/>
  <c r="H18" i="70" s="1"/>
  <c r="G19" i="70"/>
  <c r="I19" i="70" s="1"/>
  <c r="F19" i="70"/>
  <c r="F18" i="70"/>
  <c r="D18" i="70"/>
  <c r="E18" i="70"/>
  <c r="D19" i="70"/>
  <c r="E19" i="70"/>
  <c r="B18" i="70"/>
  <c r="B19" i="70"/>
  <c r="M18" i="70" l="1"/>
  <c r="K18" i="70"/>
  <c r="M19" i="70"/>
  <c r="K19" i="70"/>
  <c r="I18" i="70"/>
  <c r="H19" i="70"/>
  <c r="O331" i="55"/>
  <c r="P331" i="55"/>
  <c r="Q331" i="55"/>
  <c r="R331" i="55"/>
  <c r="O319" i="55"/>
  <c r="P319" i="55"/>
  <c r="Q319" i="55"/>
  <c r="R319" i="55"/>
  <c r="O332" i="55"/>
  <c r="P332" i="55"/>
  <c r="Q332" i="55"/>
  <c r="R332" i="55"/>
  <c r="C358" i="78"/>
  <c r="J20" i="70"/>
  <c r="K20" i="70" s="1"/>
  <c r="L20" i="70"/>
  <c r="M20" i="70" s="1"/>
  <c r="J21" i="70"/>
  <c r="K21" i="70" s="1"/>
  <c r="L21" i="70"/>
  <c r="M21" i="70" s="1"/>
  <c r="G20" i="70"/>
  <c r="H20" i="70" s="1"/>
  <c r="G21" i="70"/>
  <c r="I21" i="70" s="1"/>
  <c r="E20" i="70"/>
  <c r="E21" i="70"/>
  <c r="D20" i="70"/>
  <c r="D21" i="70"/>
  <c r="B21" i="70"/>
  <c r="B20" i="70"/>
  <c r="C345" i="78"/>
  <c r="O320" i="55"/>
  <c r="P320" i="55"/>
  <c r="Q320" i="55"/>
  <c r="R320" i="55"/>
  <c r="C346" i="78"/>
  <c r="H21" i="70" l="1"/>
  <c r="I20" i="70"/>
  <c r="C701" i="78" l="1"/>
  <c r="L119" i="70" l="1"/>
  <c r="J119" i="70"/>
  <c r="G119" i="70"/>
  <c r="H119" i="70" s="1"/>
  <c r="E119" i="70"/>
  <c r="D119" i="70"/>
  <c r="B119" i="70"/>
  <c r="L118" i="70"/>
  <c r="M118" i="70" s="1"/>
  <c r="J118" i="70"/>
  <c r="G118" i="70"/>
  <c r="H118" i="70" s="1"/>
  <c r="F118" i="70"/>
  <c r="E118" i="70"/>
  <c r="D118" i="70"/>
  <c r="B118" i="70"/>
  <c r="O858" i="55"/>
  <c r="P858" i="55"/>
  <c r="Q858" i="55"/>
  <c r="R858" i="55"/>
  <c r="O859" i="55"/>
  <c r="P859" i="55"/>
  <c r="Q859" i="55"/>
  <c r="R859" i="55"/>
  <c r="O472" i="55"/>
  <c r="P472" i="55"/>
  <c r="Q472" i="55"/>
  <c r="R472" i="55"/>
  <c r="C499" i="78"/>
  <c r="O119" i="70" l="1"/>
  <c r="N119" i="70"/>
  <c r="P119" i="70"/>
  <c r="M119" i="70"/>
  <c r="K118" i="70"/>
  <c r="K119" i="70"/>
  <c r="I118" i="70"/>
  <c r="I119" i="70"/>
  <c r="T119" i="70" l="1"/>
  <c r="Q119" i="70"/>
  <c r="R119" i="70" s="1"/>
  <c r="S119" i="70" s="1"/>
  <c r="J34" i="70" l="1"/>
  <c r="L34" i="70"/>
  <c r="F34" i="70"/>
  <c r="G34" i="70"/>
  <c r="H34" i="70" s="1"/>
  <c r="D34" i="70"/>
  <c r="E34" i="70"/>
  <c r="B34" i="70"/>
  <c r="J95" i="70"/>
  <c r="L95" i="70"/>
  <c r="M95" i="70" s="1"/>
  <c r="F95" i="70"/>
  <c r="G95" i="70"/>
  <c r="H95" i="70" s="1"/>
  <c r="D95" i="70"/>
  <c r="E95" i="70"/>
  <c r="B95" i="70"/>
  <c r="C705" i="78"/>
  <c r="C706" i="78"/>
  <c r="O679" i="55"/>
  <c r="P679" i="55"/>
  <c r="Q679" i="55"/>
  <c r="R679" i="55"/>
  <c r="Q99" i="178"/>
  <c r="Q113" i="178"/>
  <c r="Q120" i="178"/>
  <c r="Q508" i="178"/>
  <c r="Q510" i="178"/>
  <c r="Q518" i="178"/>
  <c r="Q323" i="178"/>
  <c r="Q333" i="178"/>
  <c r="Q704" i="178"/>
  <c r="Q711" i="178"/>
  <c r="Q521" i="178"/>
  <c r="Q326" i="178"/>
  <c r="Q336" i="178"/>
  <c r="Q705" i="178"/>
  <c r="Q712" i="178"/>
  <c r="Q522" i="178"/>
  <c r="Q327" i="178"/>
  <c r="Q337" i="178"/>
  <c r="Q708" i="178"/>
  <c r="Q714" i="178"/>
  <c r="Q524" i="178"/>
  <c r="Q330" i="178"/>
  <c r="Q338" i="178"/>
  <c r="Q512" i="178"/>
  <c r="Q514" i="178"/>
  <c r="Q516" i="178"/>
  <c r="Q321" i="178"/>
  <c r="Q331" i="178"/>
  <c r="Q975" i="178"/>
  <c r="Q904" i="178"/>
  <c r="Q976" i="178"/>
  <c r="Q905" i="178"/>
  <c r="Q341" i="178"/>
  <c r="Q339" i="178"/>
  <c r="Q296" i="178"/>
  <c r="Q297" i="178"/>
  <c r="Q289" i="178"/>
  <c r="Q877" i="178"/>
  <c r="Q883" i="178"/>
  <c r="Q880" i="178"/>
  <c r="Q878" i="178"/>
  <c r="Q884" i="178"/>
  <c r="Q881" i="178"/>
  <c r="M34" i="70" l="1"/>
  <c r="K34" i="70"/>
  <c r="P95" i="70"/>
  <c r="O95" i="70"/>
  <c r="N95" i="70"/>
  <c r="I34" i="70"/>
  <c r="K95" i="70"/>
  <c r="I95" i="70"/>
  <c r="E18" i="189"/>
  <c r="Q95" i="70" l="1"/>
  <c r="R95" i="70" s="1"/>
  <c r="S95" i="70" s="1"/>
  <c r="T95" i="70"/>
  <c r="J30" i="70"/>
  <c r="L30" i="70"/>
  <c r="G30" i="70"/>
  <c r="H30" i="70" s="1"/>
  <c r="F30" i="70"/>
  <c r="D30" i="70"/>
  <c r="E30" i="70"/>
  <c r="B30" i="70"/>
  <c r="O345" i="55"/>
  <c r="P345" i="55"/>
  <c r="Q345" i="55"/>
  <c r="R345" i="55"/>
  <c r="C372" i="78"/>
  <c r="P30" i="70" l="1"/>
  <c r="O30" i="70"/>
  <c r="N30" i="70"/>
  <c r="M30" i="70"/>
  <c r="K30" i="70"/>
  <c r="I30" i="70"/>
  <c r="T30" i="70" l="1"/>
  <c r="Q30" i="70"/>
  <c r="R30" i="70" s="1"/>
  <c r="S30" i="70" s="1"/>
  <c r="O675" i="55"/>
  <c r="P675" i="55"/>
  <c r="Q675" i="55"/>
  <c r="R675" i="55"/>
  <c r="C702" i="78"/>
  <c r="L93" i="70"/>
  <c r="J93" i="70"/>
  <c r="G93" i="70"/>
  <c r="H93" i="70" s="1"/>
  <c r="F93" i="70"/>
  <c r="E93" i="70"/>
  <c r="D93" i="70"/>
  <c r="B93" i="70"/>
  <c r="O638" i="55"/>
  <c r="P638" i="55"/>
  <c r="Q638" i="55"/>
  <c r="R638" i="55"/>
  <c r="C665" i="78"/>
  <c r="AA741" i="178" l="1"/>
  <c r="AB741" i="178" s="1"/>
  <c r="AA743" i="178"/>
  <c r="AB743" i="178" s="1"/>
  <c r="AA740" i="178"/>
  <c r="AB740" i="178" s="1"/>
  <c r="Y740" i="178"/>
  <c r="Y741" i="178"/>
  <c r="Y743" i="178"/>
  <c r="X740" i="178"/>
  <c r="X741" i="178"/>
  <c r="X743" i="178"/>
  <c r="K93" i="70"/>
  <c r="M93" i="70"/>
  <c r="I93" i="70"/>
  <c r="Z741" i="178" l="1"/>
  <c r="AC741" i="178" s="1"/>
  <c r="Z743" i="178"/>
  <c r="AC743" i="178" s="1"/>
  <c r="Z740" i="178"/>
  <c r="AC740" i="178" s="1"/>
  <c r="E62" i="190" l="1"/>
  <c r="D62" i="190"/>
  <c r="E60" i="190"/>
  <c r="D60" i="190"/>
  <c r="E58" i="190"/>
  <c r="D58" i="190"/>
  <c r="E56" i="190"/>
  <c r="D56" i="190"/>
  <c r="E54" i="190"/>
  <c r="D54" i="190"/>
  <c r="E52" i="190"/>
  <c r="D52" i="190"/>
  <c r="E50" i="190"/>
  <c r="D50" i="190"/>
  <c r="C50" i="190"/>
  <c r="E48" i="190"/>
  <c r="D48" i="190"/>
  <c r="E44" i="190"/>
  <c r="D44" i="190"/>
  <c r="C44" i="190"/>
  <c r="E42" i="190"/>
  <c r="D42" i="190"/>
  <c r="E36" i="190"/>
  <c r="D36" i="190"/>
  <c r="E34" i="190"/>
  <c r="D34" i="190"/>
  <c r="E32" i="190"/>
  <c r="D32" i="190"/>
  <c r="E30" i="190"/>
  <c r="D30" i="190"/>
  <c r="E28" i="190"/>
  <c r="D28" i="190"/>
  <c r="E26" i="190"/>
  <c r="D26" i="190"/>
  <c r="E24" i="190"/>
  <c r="D24" i="190"/>
  <c r="E22" i="190"/>
  <c r="D22" i="190"/>
  <c r="E20" i="190"/>
  <c r="D20" i="190"/>
  <c r="E18" i="190"/>
  <c r="D18" i="190"/>
  <c r="E16" i="190"/>
  <c r="E38" i="190" s="1"/>
  <c r="D16" i="190"/>
  <c r="E12" i="190"/>
  <c r="D12" i="190"/>
  <c r="E10" i="190"/>
  <c r="D10" i="190"/>
  <c r="E8" i="190"/>
  <c r="D8" i="190"/>
  <c r="E6" i="190"/>
  <c r="D6" i="190"/>
  <c r="D18" i="181"/>
  <c r="E66" i="190" l="1"/>
  <c r="D66" i="190"/>
  <c r="O886" i="55"/>
  <c r="P886" i="55"/>
  <c r="Q886" i="55"/>
  <c r="R886" i="55"/>
  <c r="C920" i="78"/>
  <c r="O763" i="55"/>
  <c r="P763" i="55"/>
  <c r="Q763" i="55"/>
  <c r="R763" i="55"/>
  <c r="C791" i="78"/>
  <c r="O733" i="55"/>
  <c r="P733" i="55"/>
  <c r="Q733" i="55"/>
  <c r="R733" i="55"/>
  <c r="C761" i="78"/>
  <c r="O315" i="55" l="1"/>
  <c r="P315" i="55"/>
  <c r="Q315" i="55"/>
  <c r="R315" i="55"/>
  <c r="C338" i="78"/>
  <c r="O314" i="55"/>
  <c r="P314" i="55"/>
  <c r="Q314" i="55"/>
  <c r="R314" i="55"/>
  <c r="C337" i="78"/>
  <c r="O313" i="55"/>
  <c r="P313" i="55"/>
  <c r="Q313" i="55"/>
  <c r="R313" i="55"/>
  <c r="C339" i="78"/>
  <c r="O59" i="55"/>
  <c r="P59" i="55"/>
  <c r="Q59" i="55"/>
  <c r="R59" i="55"/>
  <c r="C69" i="78"/>
  <c r="O52" i="55"/>
  <c r="P52" i="55"/>
  <c r="Q52" i="55"/>
  <c r="R52" i="55"/>
  <c r="C62" i="78"/>
  <c r="O492" i="55" l="1"/>
  <c r="P492" i="55"/>
  <c r="Q492" i="55"/>
  <c r="R492" i="55"/>
  <c r="C519" i="78"/>
  <c r="L62" i="189" l="1"/>
  <c r="L63" i="189" s="1"/>
  <c r="E62" i="189"/>
  <c r="D62" i="189"/>
  <c r="L60" i="189"/>
  <c r="L61" i="189" s="1"/>
  <c r="E60" i="189"/>
  <c r="D60" i="189"/>
  <c r="L58" i="189"/>
  <c r="L59" i="189" s="1"/>
  <c r="E58" i="189"/>
  <c r="D58" i="189"/>
  <c r="L56" i="189"/>
  <c r="L57" i="189" s="1"/>
  <c r="E56" i="189"/>
  <c r="D56" i="189"/>
  <c r="L54" i="189"/>
  <c r="L55" i="189" s="1"/>
  <c r="E54" i="189"/>
  <c r="D54" i="189"/>
  <c r="L52" i="189"/>
  <c r="L53" i="189" s="1"/>
  <c r="E52" i="189"/>
  <c r="D52" i="189"/>
  <c r="L50" i="189"/>
  <c r="L51" i="189" s="1"/>
  <c r="E50" i="189"/>
  <c r="D50" i="189"/>
  <c r="C50" i="189"/>
  <c r="E48" i="189"/>
  <c r="D48" i="189"/>
  <c r="L48" i="189" s="1"/>
  <c r="L49" i="189" s="1"/>
  <c r="E44" i="189"/>
  <c r="D44" i="189"/>
  <c r="L44" i="189" s="1"/>
  <c r="L45" i="189" s="1"/>
  <c r="C44" i="189"/>
  <c r="E42" i="189"/>
  <c r="D42" i="189"/>
  <c r="L42" i="189" s="1"/>
  <c r="L43" i="189" s="1"/>
  <c r="E38" i="189"/>
  <c r="L38" i="189" s="1"/>
  <c r="L39" i="189" s="1"/>
  <c r="E36" i="189"/>
  <c r="D36" i="189"/>
  <c r="L36" i="189" s="1"/>
  <c r="L37" i="189" s="1"/>
  <c r="E34" i="189"/>
  <c r="D34" i="189"/>
  <c r="L34" i="189" s="1"/>
  <c r="L35" i="189" s="1"/>
  <c r="E32" i="189"/>
  <c r="D32" i="189"/>
  <c r="L32" i="189" s="1"/>
  <c r="L33" i="189" s="1"/>
  <c r="E30" i="189"/>
  <c r="D30" i="189"/>
  <c r="L30" i="189" s="1"/>
  <c r="L31" i="189" s="1"/>
  <c r="E28" i="189"/>
  <c r="D28" i="189"/>
  <c r="L28" i="189" s="1"/>
  <c r="L29" i="189" s="1"/>
  <c r="E26" i="189"/>
  <c r="D26" i="189"/>
  <c r="L26" i="189" s="1"/>
  <c r="L27" i="189" s="1"/>
  <c r="E24" i="189"/>
  <c r="D24" i="189"/>
  <c r="L24" i="189" s="1"/>
  <c r="L25" i="189" s="1"/>
  <c r="E22" i="189"/>
  <c r="D22" i="189"/>
  <c r="L22" i="189" s="1"/>
  <c r="L23" i="189" s="1"/>
  <c r="E20" i="189"/>
  <c r="D20" i="189"/>
  <c r="L20" i="189" s="1"/>
  <c r="L21" i="189" s="1"/>
  <c r="D18" i="189"/>
  <c r="L18" i="189" s="1"/>
  <c r="L19" i="189" s="1"/>
  <c r="E16" i="189"/>
  <c r="D16" i="189"/>
  <c r="L16" i="189" s="1"/>
  <c r="L17" i="189" s="1"/>
  <c r="E12" i="189"/>
  <c r="D12" i="189"/>
  <c r="L12" i="189" s="1"/>
  <c r="L13" i="189" s="1"/>
  <c r="E10" i="189"/>
  <c r="D10" i="189"/>
  <c r="L10" i="189" s="1"/>
  <c r="L11" i="189" s="1"/>
  <c r="E8" i="189"/>
  <c r="D8" i="189"/>
  <c r="L8" i="189" s="1"/>
  <c r="L9" i="189" s="1"/>
  <c r="E6" i="189"/>
  <c r="E66" i="189" s="1"/>
  <c r="D6" i="189"/>
  <c r="L6" i="189" s="1"/>
  <c r="L7" i="189" s="1"/>
  <c r="D66" i="189" l="1"/>
  <c r="C100" i="78" l="1"/>
  <c r="O89" i="55"/>
  <c r="P89" i="55"/>
  <c r="Q89" i="55"/>
  <c r="R89" i="55"/>
  <c r="O28" i="55" l="1"/>
  <c r="P28" i="55"/>
  <c r="Q28" i="55"/>
  <c r="R28" i="55"/>
  <c r="C38" i="78"/>
  <c r="J94" i="70" l="1"/>
  <c r="L94" i="70"/>
  <c r="G94" i="70"/>
  <c r="H94" i="70" s="1"/>
  <c r="F94" i="70"/>
  <c r="D94" i="70"/>
  <c r="E94" i="70"/>
  <c r="B94" i="70"/>
  <c r="C703" i="78"/>
  <c r="C704" i="78"/>
  <c r="O678" i="55"/>
  <c r="P678" i="55"/>
  <c r="Q678" i="55"/>
  <c r="R678" i="55"/>
  <c r="O677" i="55"/>
  <c r="P677" i="55"/>
  <c r="Q677" i="55"/>
  <c r="R677" i="55"/>
  <c r="O676" i="55"/>
  <c r="P676" i="55"/>
  <c r="Q676" i="55"/>
  <c r="R676" i="55"/>
  <c r="AA749" i="178" l="1"/>
  <c r="AB749" i="178" s="1"/>
  <c r="AA746" i="178"/>
  <c r="AB746" i="178" s="1"/>
  <c r="Y749" i="178"/>
  <c r="Y746" i="178"/>
  <c r="X749" i="178"/>
  <c r="X746" i="178"/>
  <c r="P94" i="70"/>
  <c r="O94" i="70"/>
  <c r="N94" i="70"/>
  <c r="M94" i="70"/>
  <c r="K94" i="70"/>
  <c r="I94" i="70"/>
  <c r="Z746" i="178" l="1"/>
  <c r="AC746" i="178" s="1"/>
  <c r="Z749" i="178"/>
  <c r="AC749" i="178" s="1"/>
  <c r="T94" i="70"/>
  <c r="Q94" i="70"/>
  <c r="R94" i="70" s="1"/>
  <c r="S94" i="70" s="1"/>
  <c r="T824" i="178" l="1"/>
  <c r="U824" i="178" s="1"/>
  <c r="W824" i="178"/>
  <c r="AD824" i="178"/>
  <c r="AE824" i="178"/>
  <c r="AF824" i="178"/>
  <c r="AG824" i="178"/>
  <c r="AH824" i="178"/>
  <c r="AI824" i="178"/>
  <c r="AJ824" i="178"/>
  <c r="AK824" i="178"/>
  <c r="AL824" i="178"/>
  <c r="AM824" i="178"/>
  <c r="BK824" i="178" s="1"/>
  <c r="AN824" i="178"/>
  <c r="AO824" i="178"/>
  <c r="T50" i="178"/>
  <c r="V50" i="178" s="1"/>
  <c r="W50" i="178"/>
  <c r="AD50" i="178"/>
  <c r="AE50" i="178"/>
  <c r="AF50" i="178"/>
  <c r="AG50" i="178"/>
  <c r="AH50" i="178"/>
  <c r="AI50" i="178"/>
  <c r="AJ50" i="178"/>
  <c r="AK50" i="178"/>
  <c r="AL50" i="178"/>
  <c r="AM50" i="178"/>
  <c r="BK50" i="178" s="1"/>
  <c r="AN50" i="178"/>
  <c r="AO50" i="178"/>
  <c r="T80" i="178"/>
  <c r="W80" i="178"/>
  <c r="AD80" i="178"/>
  <c r="AE80" i="178"/>
  <c r="AF80" i="178"/>
  <c r="AG80" i="178"/>
  <c r="AH80" i="178"/>
  <c r="AI80" i="178"/>
  <c r="AJ80" i="178"/>
  <c r="AK80" i="178"/>
  <c r="AL80" i="178"/>
  <c r="AM80" i="178"/>
  <c r="BK80" i="178" s="1"/>
  <c r="AN80" i="178"/>
  <c r="AO80" i="178"/>
  <c r="T232" i="178"/>
  <c r="W232" i="178"/>
  <c r="AD232" i="178"/>
  <c r="AE232" i="178"/>
  <c r="AF232" i="178"/>
  <c r="AG232" i="178"/>
  <c r="AH232" i="178"/>
  <c r="AI232" i="178"/>
  <c r="AJ232" i="178"/>
  <c r="AK232" i="178"/>
  <c r="AL232" i="178"/>
  <c r="AM232" i="178"/>
  <c r="BK232" i="178" s="1"/>
  <c r="AN232" i="178"/>
  <c r="AO232" i="178"/>
  <c r="T161" i="178"/>
  <c r="U161" i="178" s="1"/>
  <c r="W161" i="178"/>
  <c r="AD161" i="178"/>
  <c r="AE161" i="178"/>
  <c r="AF161" i="178"/>
  <c r="AG161" i="178"/>
  <c r="AH161" i="178"/>
  <c r="AI161" i="178"/>
  <c r="AJ161" i="178"/>
  <c r="AK161" i="178"/>
  <c r="AL161" i="178"/>
  <c r="AM161" i="178"/>
  <c r="BK161" i="178" s="1"/>
  <c r="AN161" i="178"/>
  <c r="AO161" i="178"/>
  <c r="T236" i="178"/>
  <c r="U236" i="178" s="1"/>
  <c r="W236" i="178"/>
  <c r="AD236" i="178"/>
  <c r="AE236" i="178"/>
  <c r="AF236" i="178"/>
  <c r="AG236" i="178"/>
  <c r="AH236" i="178"/>
  <c r="AI236" i="178"/>
  <c r="AJ236" i="178"/>
  <c r="AK236" i="178"/>
  <c r="AL236" i="178"/>
  <c r="AM236" i="178"/>
  <c r="BK236" i="178" s="1"/>
  <c r="AN236" i="178"/>
  <c r="AO236" i="178"/>
  <c r="T360" i="178"/>
  <c r="W360" i="178"/>
  <c r="AD360" i="178"/>
  <c r="AE360" i="178"/>
  <c r="AF360" i="178"/>
  <c r="AG360" i="178"/>
  <c r="AH360" i="178"/>
  <c r="AI360" i="178"/>
  <c r="AJ360" i="178"/>
  <c r="AK360" i="178"/>
  <c r="AL360" i="178"/>
  <c r="AM360" i="178"/>
  <c r="BK360" i="178" s="1"/>
  <c r="AN360" i="178"/>
  <c r="AO360" i="178"/>
  <c r="T361" i="178"/>
  <c r="W361" i="178"/>
  <c r="AD361" i="178"/>
  <c r="AE361" i="178"/>
  <c r="AF361" i="178"/>
  <c r="AG361" i="178"/>
  <c r="AH361" i="178"/>
  <c r="AI361" i="178"/>
  <c r="AJ361" i="178"/>
  <c r="AK361" i="178"/>
  <c r="AL361" i="178"/>
  <c r="AM361" i="178"/>
  <c r="BK361" i="178" s="1"/>
  <c r="AN361" i="178"/>
  <c r="AO361" i="178"/>
  <c r="T1034" i="178"/>
  <c r="V1034" i="178" s="1"/>
  <c r="W1034" i="178"/>
  <c r="AD1034" i="178"/>
  <c r="AE1034" i="178"/>
  <c r="AF1034" i="178"/>
  <c r="AG1034" i="178"/>
  <c r="AH1034" i="178"/>
  <c r="AI1034" i="178"/>
  <c r="AJ1034" i="178"/>
  <c r="AK1034" i="178"/>
  <c r="AL1034" i="178"/>
  <c r="AM1034" i="178"/>
  <c r="BK1034" i="178" s="1"/>
  <c r="AN1034" i="178"/>
  <c r="AO1034" i="178"/>
  <c r="T508" i="178"/>
  <c r="U508" i="178" s="1"/>
  <c r="W508" i="178"/>
  <c r="AD508" i="178"/>
  <c r="AE508" i="178"/>
  <c r="AF508" i="178"/>
  <c r="AG508" i="178"/>
  <c r="AH508" i="178"/>
  <c r="AI508" i="178"/>
  <c r="AJ508" i="178"/>
  <c r="AK508" i="178"/>
  <c r="AL508" i="178"/>
  <c r="AM508" i="178"/>
  <c r="AN508" i="178"/>
  <c r="AO508" i="178"/>
  <c r="T510" i="178"/>
  <c r="V510" i="178" s="1"/>
  <c r="W510" i="178"/>
  <c r="AD510" i="178"/>
  <c r="AE510" i="178"/>
  <c r="AF510" i="178"/>
  <c r="AG510" i="178"/>
  <c r="AH510" i="178"/>
  <c r="AI510" i="178"/>
  <c r="AJ510" i="178"/>
  <c r="AK510" i="178"/>
  <c r="AL510" i="178"/>
  <c r="AM510" i="178"/>
  <c r="AN510" i="178"/>
  <c r="AO510" i="178"/>
  <c r="T518" i="178"/>
  <c r="U518" i="178" s="1"/>
  <c r="W518" i="178"/>
  <c r="AD518" i="178"/>
  <c r="AE518" i="178"/>
  <c r="AF518" i="178"/>
  <c r="AG518" i="178"/>
  <c r="AH518" i="178"/>
  <c r="AI518" i="178"/>
  <c r="AJ518" i="178"/>
  <c r="AK518" i="178"/>
  <c r="AL518" i="178"/>
  <c r="AM518" i="178"/>
  <c r="AN518" i="178"/>
  <c r="AO518" i="178"/>
  <c r="T323" i="178"/>
  <c r="U323" i="178" s="1"/>
  <c r="W323" i="178"/>
  <c r="AD323" i="178"/>
  <c r="AE323" i="178"/>
  <c r="AF323" i="178"/>
  <c r="AG323" i="178"/>
  <c r="AH323" i="178"/>
  <c r="AI323" i="178"/>
  <c r="AJ323" i="178"/>
  <c r="AK323" i="178"/>
  <c r="AL323" i="178"/>
  <c r="AM323" i="178"/>
  <c r="AN323" i="178"/>
  <c r="AO323" i="178"/>
  <c r="T333" i="178"/>
  <c r="U333" i="178" s="1"/>
  <c r="W333" i="178"/>
  <c r="AD333" i="178"/>
  <c r="AE333" i="178"/>
  <c r="AF333" i="178"/>
  <c r="AG333" i="178"/>
  <c r="AH333" i="178"/>
  <c r="AI333" i="178"/>
  <c r="AJ333" i="178"/>
  <c r="AK333" i="178"/>
  <c r="AL333" i="178"/>
  <c r="AM333" i="178"/>
  <c r="AN333" i="178"/>
  <c r="AO333" i="178"/>
  <c r="S508" i="178"/>
  <c r="S510" i="178"/>
  <c r="S323" i="178"/>
  <c r="S333" i="178"/>
  <c r="B824" i="178"/>
  <c r="B50" i="178"/>
  <c r="B80" i="178"/>
  <c r="B232" i="178"/>
  <c r="B161" i="178"/>
  <c r="B236" i="178"/>
  <c r="B360" i="178"/>
  <c r="B361" i="178"/>
  <c r="B1034" i="178"/>
  <c r="B508" i="178"/>
  <c r="B510" i="178"/>
  <c r="B518" i="178"/>
  <c r="B323" i="178"/>
  <c r="B333" i="178"/>
  <c r="BK323" i="178" l="1"/>
  <c r="BK510" i="178"/>
  <c r="BK333" i="178"/>
  <c r="BK508" i="178"/>
  <c r="U50" i="178"/>
  <c r="U1034" i="178"/>
  <c r="V824" i="178"/>
  <c r="U510" i="178"/>
  <c r="V236" i="178"/>
  <c r="V518" i="178"/>
  <c r="BB360" i="178"/>
  <c r="AW360" i="178"/>
  <c r="AR236" i="178"/>
  <c r="BH236" i="178"/>
  <c r="BG236" i="178"/>
  <c r="BD232" i="178"/>
  <c r="BE232" i="178"/>
  <c r="AZ161" i="178"/>
  <c r="BA161" i="178"/>
  <c r="AS80" i="178"/>
  <c r="S518" i="178"/>
  <c r="BK518" i="178" s="1"/>
  <c r="AX1034" i="178"/>
  <c r="BJ360" i="178"/>
  <c r="BH360" i="178"/>
  <c r="AZ360" i="178"/>
  <c r="AR360" i="178"/>
  <c r="BJ1034" i="178"/>
  <c r="BJ361" i="178"/>
  <c r="BJ236" i="178"/>
  <c r="BL232" i="178"/>
  <c r="AV232" i="178"/>
  <c r="BJ824" i="178"/>
  <c r="AZ236" i="178"/>
  <c r="BJ161" i="178"/>
  <c r="BJ232" i="178"/>
  <c r="BJ50" i="178"/>
  <c r="BJ80" i="178"/>
  <c r="BN361" i="178"/>
  <c r="BO361" i="178"/>
  <c r="BG361" i="178"/>
  <c r="BF361" i="178"/>
  <c r="AY361" i="178"/>
  <c r="AX361" i="178"/>
  <c r="BM1034" i="178"/>
  <c r="BL1034" i="178"/>
  <c r="BD1034" i="178"/>
  <c r="BE1034" i="178"/>
  <c r="AV1034" i="178"/>
  <c r="AW1034" i="178"/>
  <c r="BL361" i="178"/>
  <c r="BM361" i="178"/>
  <c r="BD361" i="178"/>
  <c r="BE361" i="178"/>
  <c r="AV361" i="178"/>
  <c r="AW361" i="178"/>
  <c r="BB1034" i="178"/>
  <c r="BC1034" i="178"/>
  <c r="AT1034" i="178"/>
  <c r="AU1034" i="178"/>
  <c r="BB232" i="178"/>
  <c r="AT232" i="178"/>
  <c r="BN1034" i="178"/>
  <c r="BO1034" i="178"/>
  <c r="BF1034" i="178"/>
  <c r="BG1034" i="178"/>
  <c r="BH361" i="178"/>
  <c r="BI361" i="178"/>
  <c r="AZ361" i="178"/>
  <c r="BA361" i="178"/>
  <c r="AR361" i="178"/>
  <c r="AS361" i="178"/>
  <c r="BH232" i="178"/>
  <c r="AZ232" i="178"/>
  <c r="AR232" i="178"/>
  <c r="BN824" i="178"/>
  <c r="BO824" i="178"/>
  <c r="BG824" i="178"/>
  <c r="BF824" i="178"/>
  <c r="AY824" i="178"/>
  <c r="AX824" i="178"/>
  <c r="BN360" i="178"/>
  <c r="BF360" i="178"/>
  <c r="AX360" i="178"/>
  <c r="BL236" i="178"/>
  <c r="BD236" i="178"/>
  <c r="AV236" i="178"/>
  <c r="BN161" i="178"/>
  <c r="BF161" i="178"/>
  <c r="AX161" i="178"/>
  <c r="U232" i="178"/>
  <c r="V232" i="178"/>
  <c r="BH80" i="178"/>
  <c r="AZ80" i="178"/>
  <c r="AR80" i="178"/>
  <c r="BN50" i="178"/>
  <c r="BO50" i="178"/>
  <c r="BF50" i="178"/>
  <c r="BG50" i="178"/>
  <c r="AX50" i="178"/>
  <c r="AY50" i="178"/>
  <c r="BL824" i="178"/>
  <c r="BM824" i="178"/>
  <c r="BD824" i="178"/>
  <c r="BE824" i="178"/>
  <c r="AV824" i="178"/>
  <c r="AW824" i="178"/>
  <c r="BL360" i="178"/>
  <c r="BD360" i="178"/>
  <c r="AV360" i="178"/>
  <c r="BB236" i="178"/>
  <c r="AT236" i="178"/>
  <c r="BL161" i="178"/>
  <c r="BD161" i="178"/>
  <c r="AV161" i="178"/>
  <c r="BN80" i="178"/>
  <c r="BF80" i="178"/>
  <c r="AX80" i="178"/>
  <c r="BL50" i="178"/>
  <c r="BM50" i="178"/>
  <c r="BE50" i="178"/>
  <c r="BD50" i="178"/>
  <c r="AW50" i="178"/>
  <c r="AV50" i="178"/>
  <c r="AY1034" i="178"/>
  <c r="BB161" i="178"/>
  <c r="AT161" i="178"/>
  <c r="BF232" i="178"/>
  <c r="AX232" i="178"/>
  <c r="BL80" i="178"/>
  <c r="BD80" i="178"/>
  <c r="AV80" i="178"/>
  <c r="BB50" i="178"/>
  <c r="BC50" i="178"/>
  <c r="AT50" i="178"/>
  <c r="AU50" i="178"/>
  <c r="BC824" i="178"/>
  <c r="BB824" i="178"/>
  <c r="AU824" i="178"/>
  <c r="AT824" i="178"/>
  <c r="AT360" i="178"/>
  <c r="BH161" i="178"/>
  <c r="AR161" i="178"/>
  <c r="BN232" i="178"/>
  <c r="BH1034" i="178"/>
  <c r="BI1034" i="178"/>
  <c r="AZ1034" i="178"/>
  <c r="BA1034" i="178"/>
  <c r="AR1034" i="178"/>
  <c r="AS1034" i="178"/>
  <c r="BC361" i="178"/>
  <c r="BB361" i="178"/>
  <c r="AU361" i="178"/>
  <c r="AT361" i="178"/>
  <c r="BN236" i="178"/>
  <c r="BF236" i="178"/>
  <c r="AX236" i="178"/>
  <c r="BB80" i="178"/>
  <c r="AT80" i="178"/>
  <c r="BI50" i="178"/>
  <c r="BH50" i="178"/>
  <c r="BA50" i="178"/>
  <c r="AZ50" i="178"/>
  <c r="AS50" i="178"/>
  <c r="AR50" i="178"/>
  <c r="BH824" i="178"/>
  <c r="BI824" i="178"/>
  <c r="AZ824" i="178"/>
  <c r="BA824" i="178"/>
  <c r="AR824" i="178"/>
  <c r="AS824" i="178"/>
  <c r="V323" i="178"/>
  <c r="U361" i="178"/>
  <c r="V361" i="178"/>
  <c r="U360" i="178"/>
  <c r="V360" i="178"/>
  <c r="V333" i="178"/>
  <c r="V508" i="178"/>
  <c r="V161" i="178"/>
  <c r="U80" i="178"/>
  <c r="V80" i="178"/>
  <c r="Q127" i="55"/>
  <c r="P127" i="55"/>
  <c r="O127" i="55"/>
  <c r="AW232" i="178" l="1"/>
  <c r="BG232" i="178"/>
  <c r="AS232" i="178"/>
  <c r="BI232" i="178"/>
  <c r="BC232" i="178"/>
  <c r="BM232" i="178"/>
  <c r="AY232" i="178"/>
  <c r="BA232" i="178"/>
  <c r="AU232" i="178"/>
  <c r="BO232" i="178"/>
  <c r="BI360" i="178"/>
  <c r="AU161" i="178"/>
  <c r="BM360" i="178"/>
  <c r="AY161" i="178"/>
  <c r="AY360" i="178"/>
  <c r="BM161" i="178"/>
  <c r="AU80" i="178"/>
  <c r="BE80" i="178"/>
  <c r="BO80" i="178"/>
  <c r="BG80" i="178"/>
  <c r="AW161" i="178"/>
  <c r="BI80" i="178"/>
  <c r="BO161" i="178"/>
  <c r="BM236" i="178"/>
  <c r="BI161" i="178"/>
  <c r="BA236" i="178"/>
  <c r="AW80" i="178"/>
  <c r="BM80" i="178"/>
  <c r="BC161" i="178"/>
  <c r="BA80" i="178"/>
  <c r="AS161" i="178"/>
  <c r="BC80" i="178"/>
  <c r="AY80" i="178"/>
  <c r="BE161" i="178"/>
  <c r="BG161" i="178"/>
  <c r="BE236" i="178"/>
  <c r="AY236" i="178"/>
  <c r="BC236" i="178"/>
  <c r="BA360" i="178"/>
  <c r="BO360" i="178"/>
  <c r="BG360" i="178"/>
  <c r="BE360" i="178"/>
  <c r="AU236" i="178"/>
  <c r="AW236" i="178"/>
  <c r="AU360" i="178"/>
  <c r="AS360" i="178"/>
  <c r="BO236" i="178"/>
  <c r="BC360" i="178"/>
  <c r="BI236" i="178"/>
  <c r="AS236" i="178"/>
  <c r="O369" i="55"/>
  <c r="P369" i="55"/>
  <c r="Q369" i="55"/>
  <c r="R369" i="55"/>
  <c r="C396" i="78"/>
  <c r="O34" i="70" l="1"/>
  <c r="N34" i="70"/>
  <c r="P34" i="70"/>
  <c r="T34" i="70" s="1"/>
  <c r="J4" i="70"/>
  <c r="L4" i="70"/>
  <c r="J5" i="70"/>
  <c r="L5" i="70"/>
  <c r="G4" i="70"/>
  <c r="H4" i="70" s="1"/>
  <c r="G5" i="70"/>
  <c r="I5" i="70" s="1"/>
  <c r="F5" i="70"/>
  <c r="F4" i="70"/>
  <c r="D4" i="70"/>
  <c r="E4" i="70"/>
  <c r="D5" i="70"/>
  <c r="B4" i="70"/>
  <c r="B5" i="70"/>
  <c r="Q34" i="70" l="1"/>
  <c r="R34" i="70" s="1"/>
  <c r="S34" i="70" s="1"/>
  <c r="M5" i="70"/>
  <c r="M4" i="70"/>
  <c r="K5" i="70"/>
  <c r="K4" i="70"/>
  <c r="I4" i="70"/>
  <c r="H5" i="70"/>
  <c r="E62" i="187" l="1"/>
  <c r="D62" i="187"/>
  <c r="E60" i="187"/>
  <c r="D60" i="187"/>
  <c r="L60" i="187" s="1"/>
  <c r="L61" i="187" s="1"/>
  <c r="E58" i="187"/>
  <c r="D58" i="187"/>
  <c r="E56" i="187"/>
  <c r="D56" i="187"/>
  <c r="L56" i="187" s="1"/>
  <c r="L57" i="187" s="1"/>
  <c r="T55" i="187"/>
  <c r="T54" i="187"/>
  <c r="E54" i="187"/>
  <c r="D54" i="187"/>
  <c r="L54" i="187" s="1"/>
  <c r="L55" i="187" s="1"/>
  <c r="T52" i="187"/>
  <c r="E52" i="187"/>
  <c r="D52" i="187"/>
  <c r="T50" i="187"/>
  <c r="E50" i="187"/>
  <c r="D50" i="187"/>
  <c r="C50" i="187"/>
  <c r="T49" i="187"/>
  <c r="T48" i="187"/>
  <c r="E48" i="187"/>
  <c r="D48" i="187"/>
  <c r="E44" i="187"/>
  <c r="D44" i="187"/>
  <c r="C44" i="187"/>
  <c r="T43" i="187"/>
  <c r="T42" i="187"/>
  <c r="E42" i="187"/>
  <c r="D42" i="187"/>
  <c r="E36" i="187"/>
  <c r="D36" i="187"/>
  <c r="L36" i="187" s="1"/>
  <c r="L37" i="187" s="1"/>
  <c r="E34" i="187"/>
  <c r="D34" i="187"/>
  <c r="L34" i="187" s="1"/>
  <c r="L35" i="187" s="1"/>
  <c r="E32" i="187"/>
  <c r="D32" i="187"/>
  <c r="L32" i="187" s="1"/>
  <c r="L33" i="187" s="1"/>
  <c r="E30" i="187"/>
  <c r="D30" i="187"/>
  <c r="L30" i="187" s="1"/>
  <c r="L31" i="187" s="1"/>
  <c r="E28" i="187"/>
  <c r="D28" i="187"/>
  <c r="L28" i="187" s="1"/>
  <c r="L29" i="187" s="1"/>
  <c r="T26" i="187"/>
  <c r="E26" i="187"/>
  <c r="D26" i="187"/>
  <c r="L26" i="187" s="1"/>
  <c r="L27" i="187" s="1"/>
  <c r="T25" i="187"/>
  <c r="T24" i="187"/>
  <c r="E24" i="187"/>
  <c r="D24" i="187"/>
  <c r="L24" i="187" s="1"/>
  <c r="L25" i="187" s="1"/>
  <c r="T23" i="187"/>
  <c r="T22" i="187"/>
  <c r="E22" i="187"/>
  <c r="D22" i="187"/>
  <c r="L22" i="187" s="1"/>
  <c r="L23" i="187" s="1"/>
  <c r="T21" i="187"/>
  <c r="E20" i="187"/>
  <c r="D20" i="187"/>
  <c r="L20" i="187" s="1"/>
  <c r="L21" i="187" s="1"/>
  <c r="T19" i="187"/>
  <c r="T18" i="187"/>
  <c r="E18" i="187"/>
  <c r="D18" i="187"/>
  <c r="L18" i="187" s="1"/>
  <c r="L19" i="187" s="1"/>
  <c r="T17" i="187"/>
  <c r="T16" i="187"/>
  <c r="E16" i="187"/>
  <c r="D16" i="187"/>
  <c r="L16" i="187" s="1"/>
  <c r="L17" i="187" s="1"/>
  <c r="E12" i="187"/>
  <c r="D12" i="187"/>
  <c r="E10" i="187"/>
  <c r="D10" i="187"/>
  <c r="T9" i="187"/>
  <c r="T8" i="187"/>
  <c r="E8" i="187"/>
  <c r="D8" i="187"/>
  <c r="T7" i="187"/>
  <c r="T6" i="187"/>
  <c r="E6" i="187"/>
  <c r="D6" i="187"/>
  <c r="L50" i="187" l="1"/>
  <c r="L51" i="187" s="1"/>
  <c r="L58" i="187"/>
  <c r="L59" i="187" s="1"/>
  <c r="L42" i="187"/>
  <c r="L43" i="187" s="1"/>
  <c r="L10" i="187"/>
  <c r="L11" i="187" s="1"/>
  <c r="L8" i="187"/>
  <c r="L9" i="187" s="1"/>
  <c r="L62" i="187"/>
  <c r="L63" i="187" s="1"/>
  <c r="L48" i="187"/>
  <c r="L49" i="187" s="1"/>
  <c r="L52" i="187"/>
  <c r="L53" i="187" s="1"/>
  <c r="L44" i="187"/>
  <c r="L45" i="187" s="1"/>
  <c r="E38" i="187"/>
  <c r="L38" i="187" s="1"/>
  <c r="L39" i="187" s="1"/>
  <c r="E66" i="187"/>
  <c r="L12" i="187"/>
  <c r="L13" i="187" s="1"/>
  <c r="D66" i="187"/>
  <c r="L6" i="187"/>
  <c r="L7" i="187" s="1"/>
  <c r="J17" i="70" l="1"/>
  <c r="L17" i="70"/>
  <c r="J16" i="70"/>
  <c r="L16" i="70"/>
  <c r="G17" i="70"/>
  <c r="H17" i="70" s="1"/>
  <c r="G16" i="70"/>
  <c r="I16" i="70" s="1"/>
  <c r="F16" i="70"/>
  <c r="F17" i="70"/>
  <c r="D17" i="70"/>
  <c r="E17" i="70"/>
  <c r="D16" i="70"/>
  <c r="E16" i="70"/>
  <c r="B17" i="70"/>
  <c r="B16" i="70"/>
  <c r="O318" i="55"/>
  <c r="P318" i="55"/>
  <c r="Q318" i="55"/>
  <c r="R318" i="55"/>
  <c r="O317" i="55"/>
  <c r="P317" i="55"/>
  <c r="Q317" i="55"/>
  <c r="R317" i="55"/>
  <c r="P16" i="70" l="1"/>
  <c r="O16" i="70"/>
  <c r="N16" i="70"/>
  <c r="P21" i="70"/>
  <c r="T21" i="70" s="1"/>
  <c r="P20" i="70"/>
  <c r="T20" i="70" s="1"/>
  <c r="O21" i="70"/>
  <c r="O20" i="70"/>
  <c r="N20" i="70"/>
  <c r="N21" i="70"/>
  <c r="N18" i="70"/>
  <c r="N19" i="70"/>
  <c r="P19" i="70"/>
  <c r="T19" i="70" s="1"/>
  <c r="P18" i="70"/>
  <c r="T18" i="70" s="1"/>
  <c r="O18" i="70"/>
  <c r="O19" i="70"/>
  <c r="M17" i="70"/>
  <c r="K17" i="70"/>
  <c r="M16" i="70"/>
  <c r="K16" i="70"/>
  <c r="H16" i="70"/>
  <c r="I17" i="70"/>
  <c r="T16" i="70" l="1"/>
  <c r="Q20" i="70"/>
  <c r="R20" i="70" s="1"/>
  <c r="S20" i="70" s="1"/>
  <c r="Q21" i="70"/>
  <c r="R21" i="70" s="1"/>
  <c r="S21" i="70" s="1"/>
  <c r="Q19" i="70"/>
  <c r="R19" i="70" s="1"/>
  <c r="S19" i="70" s="1"/>
  <c r="Q18" i="70"/>
  <c r="R18" i="70" s="1"/>
  <c r="S18" i="70" s="1"/>
  <c r="Q16" i="70"/>
  <c r="R16" i="70" s="1"/>
  <c r="S16" i="70" s="1"/>
  <c r="O366" i="55" l="1"/>
  <c r="P366" i="55"/>
  <c r="Q366" i="55"/>
  <c r="R366" i="55"/>
  <c r="C235" i="78"/>
  <c r="O217" i="55"/>
  <c r="P217" i="55"/>
  <c r="Q217" i="55"/>
  <c r="R217" i="55"/>
  <c r="C336" i="78" l="1"/>
  <c r="AD437" i="178"/>
  <c r="AE437" i="178"/>
  <c r="AF437" i="178"/>
  <c r="AG437" i="178"/>
  <c r="AH437" i="178"/>
  <c r="AI437" i="178"/>
  <c r="AJ437" i="178"/>
  <c r="AK437" i="178"/>
  <c r="AL437" i="178"/>
  <c r="AM437" i="178"/>
  <c r="BK437" i="178" s="1"/>
  <c r="AN437" i="178"/>
  <c r="AO437" i="178"/>
  <c r="T437" i="178"/>
  <c r="U437" i="178" s="1"/>
  <c r="W437" i="178"/>
  <c r="B437" i="178"/>
  <c r="BL437" i="178" l="1"/>
  <c r="AR437" i="178"/>
  <c r="AV437" i="178"/>
  <c r="AZ437" i="178"/>
  <c r="BD437" i="178"/>
  <c r="BH437" i="178"/>
  <c r="BN437" i="178"/>
  <c r="AX437" i="178"/>
  <c r="BF437" i="178"/>
  <c r="AT437" i="178"/>
  <c r="BB437" i="178"/>
  <c r="BJ437" i="178"/>
  <c r="V437" i="178"/>
  <c r="AU437" i="178" l="1"/>
  <c r="AY437" i="178"/>
  <c r="BC437" i="178"/>
  <c r="BG437" i="178"/>
  <c r="BM437" i="178"/>
  <c r="AW437" i="178"/>
  <c r="BE437" i="178"/>
  <c r="BO437" i="178"/>
  <c r="AS437" i="178"/>
  <c r="BA437" i="178"/>
  <c r="BI437" i="178"/>
  <c r="C479" i="78" l="1"/>
  <c r="O131" i="55"/>
  <c r="P131" i="55"/>
  <c r="Q131" i="55"/>
  <c r="R131" i="55"/>
  <c r="C148" i="78"/>
  <c r="O744" i="55"/>
  <c r="P744" i="55"/>
  <c r="Q744" i="55"/>
  <c r="C393" i="78"/>
  <c r="O60" i="55"/>
  <c r="P60" i="55"/>
  <c r="Q60" i="55"/>
  <c r="R60" i="55"/>
  <c r="C70" i="78"/>
  <c r="C400" i="78"/>
  <c r="C239" i="78"/>
  <c r="C240" i="78"/>
  <c r="O623" i="55"/>
  <c r="P623" i="55"/>
  <c r="Q623" i="55"/>
  <c r="R623" i="55"/>
  <c r="O624" i="55"/>
  <c r="P624" i="55"/>
  <c r="Q624" i="55"/>
  <c r="R624" i="55"/>
  <c r="C650" i="78"/>
  <c r="C651" i="78"/>
  <c r="O622" i="55"/>
  <c r="P622" i="55"/>
  <c r="Q622" i="55"/>
  <c r="R622" i="55"/>
  <c r="C649" i="78"/>
  <c r="C652" i="78"/>
  <c r="O119" i="55"/>
  <c r="P119" i="55"/>
  <c r="Q119" i="55"/>
  <c r="R119" i="55"/>
  <c r="C866" i="78"/>
  <c r="O832" i="55"/>
  <c r="P832" i="55"/>
  <c r="Q832" i="55"/>
  <c r="R832" i="55"/>
  <c r="O830" i="55"/>
  <c r="P830" i="55"/>
  <c r="Q830" i="55"/>
  <c r="R830" i="55"/>
  <c r="C136" i="78"/>
  <c r="C137" i="78"/>
  <c r="C864" i="78"/>
  <c r="C690" i="78"/>
  <c r="X954" i="178" l="1"/>
  <c r="Y70" i="178"/>
  <c r="X70" i="178"/>
  <c r="AA954" i="178"/>
  <c r="AB954" i="178" s="1"/>
  <c r="Y954" i="178"/>
  <c r="AA70" i="178"/>
  <c r="AB70" i="178" s="1"/>
  <c r="R127" i="55"/>
  <c r="C144" i="78"/>
  <c r="O821" i="55"/>
  <c r="P821" i="55"/>
  <c r="Q821" i="55"/>
  <c r="R821" i="55"/>
  <c r="O822" i="55"/>
  <c r="P822" i="55"/>
  <c r="Q822" i="55"/>
  <c r="R822" i="55"/>
  <c r="O818" i="55"/>
  <c r="P818" i="55"/>
  <c r="Q818" i="55"/>
  <c r="R818" i="55"/>
  <c r="O819" i="55"/>
  <c r="P819" i="55"/>
  <c r="Q819" i="55"/>
  <c r="R819" i="55"/>
  <c r="O213" i="55"/>
  <c r="P213" i="55"/>
  <c r="Q213" i="55"/>
  <c r="R213" i="55"/>
  <c r="O215" i="55"/>
  <c r="P215" i="55"/>
  <c r="Q215" i="55"/>
  <c r="R215" i="55"/>
  <c r="C852" i="78"/>
  <c r="C853" i="78"/>
  <c r="C854" i="78"/>
  <c r="C855" i="78"/>
  <c r="C856" i="78"/>
  <c r="C230" i="78"/>
  <c r="C232" i="78"/>
  <c r="O311" i="55"/>
  <c r="P311" i="55"/>
  <c r="Q311" i="55"/>
  <c r="R311" i="55"/>
  <c r="O312" i="55"/>
  <c r="P312" i="55"/>
  <c r="Q312" i="55"/>
  <c r="R312" i="55"/>
  <c r="O261" i="55"/>
  <c r="P261" i="55"/>
  <c r="Q261" i="55"/>
  <c r="R261" i="55"/>
  <c r="O469" i="55"/>
  <c r="P469" i="55"/>
  <c r="Q469" i="55"/>
  <c r="R469" i="55"/>
  <c r="O885" i="55"/>
  <c r="P885" i="55"/>
  <c r="Q885" i="55"/>
  <c r="R885" i="55"/>
  <c r="C335" i="78"/>
  <c r="C284" i="78"/>
  <c r="C496" i="78"/>
  <c r="C919" i="78"/>
  <c r="O465" i="55"/>
  <c r="P465" i="55"/>
  <c r="Q465" i="55"/>
  <c r="R465" i="55"/>
  <c r="O466" i="55"/>
  <c r="P466" i="55"/>
  <c r="Q466" i="55"/>
  <c r="R466" i="55"/>
  <c r="O464" i="55"/>
  <c r="P464" i="55"/>
  <c r="Q464" i="55"/>
  <c r="R464" i="55"/>
  <c r="O192" i="55"/>
  <c r="P192" i="55"/>
  <c r="Q192" i="55"/>
  <c r="R192" i="55"/>
  <c r="O176" i="55"/>
  <c r="P176" i="55"/>
  <c r="Q176" i="55"/>
  <c r="R176" i="55"/>
  <c r="C494" i="78"/>
  <c r="C493" i="78"/>
  <c r="C495" i="78"/>
  <c r="C492" i="78"/>
  <c r="C209" i="78"/>
  <c r="C219" i="78"/>
  <c r="C193" i="78"/>
  <c r="T160" i="178"/>
  <c r="U160" i="178" s="1"/>
  <c r="W160" i="178"/>
  <c r="AD160" i="178"/>
  <c r="AE160" i="178"/>
  <c r="AF160" i="178"/>
  <c r="AG160" i="178"/>
  <c r="AH160" i="178"/>
  <c r="AI160" i="178"/>
  <c r="AJ160" i="178"/>
  <c r="AK160" i="178"/>
  <c r="AL160" i="178"/>
  <c r="AM160" i="178"/>
  <c r="AN160" i="178"/>
  <c r="AO160" i="178"/>
  <c r="T504" i="178"/>
  <c r="U504" i="178" s="1"/>
  <c r="W504" i="178"/>
  <c r="AD504" i="178"/>
  <c r="AE504" i="178"/>
  <c r="AF504" i="178"/>
  <c r="AG504" i="178"/>
  <c r="AH504" i="178"/>
  <c r="AI504" i="178"/>
  <c r="AJ504" i="178"/>
  <c r="AK504" i="178"/>
  <c r="AL504" i="178"/>
  <c r="AM504" i="178"/>
  <c r="BK504" i="178" s="1"/>
  <c r="AN504" i="178"/>
  <c r="AO504" i="178"/>
  <c r="B160" i="178"/>
  <c r="B504" i="178"/>
  <c r="T759" i="178"/>
  <c r="U759" i="178" s="1"/>
  <c r="W759" i="178"/>
  <c r="AD759" i="178"/>
  <c r="AE759" i="178"/>
  <c r="AF759" i="178"/>
  <c r="AG759" i="178"/>
  <c r="AH759" i="178"/>
  <c r="AI759" i="178"/>
  <c r="AJ759" i="178"/>
  <c r="AK759" i="178"/>
  <c r="AL759" i="178"/>
  <c r="AM759" i="178"/>
  <c r="BK759" i="178" s="1"/>
  <c r="AN759" i="178"/>
  <c r="AO759" i="178"/>
  <c r="T339" i="178"/>
  <c r="W339" i="178"/>
  <c r="AD339" i="178"/>
  <c r="AE339" i="178"/>
  <c r="AF339" i="178"/>
  <c r="AG339" i="178"/>
  <c r="AH339" i="178"/>
  <c r="AI339" i="178"/>
  <c r="AJ339" i="178"/>
  <c r="AK339" i="178"/>
  <c r="AL339" i="178"/>
  <c r="AM339" i="178"/>
  <c r="AN339" i="178"/>
  <c r="AO339" i="178"/>
  <c r="T482" i="178"/>
  <c r="W482" i="178"/>
  <c r="AD482" i="178"/>
  <c r="AE482" i="178"/>
  <c r="AF482" i="178"/>
  <c r="AG482" i="178"/>
  <c r="AH482" i="178"/>
  <c r="AI482" i="178"/>
  <c r="AJ482" i="178"/>
  <c r="AK482" i="178"/>
  <c r="AL482" i="178"/>
  <c r="AM482" i="178"/>
  <c r="BK482" i="178" s="1"/>
  <c r="AN482" i="178"/>
  <c r="AO482" i="178"/>
  <c r="B759" i="178"/>
  <c r="B339" i="178"/>
  <c r="B482" i="178"/>
  <c r="B711" i="178"/>
  <c r="B712" i="178"/>
  <c r="C220" i="78"/>
  <c r="O203" i="55"/>
  <c r="P203" i="55"/>
  <c r="Q203" i="55"/>
  <c r="R203" i="55"/>
  <c r="Z70" i="178" l="1"/>
  <c r="AC70" i="178" s="1"/>
  <c r="Z954" i="178"/>
  <c r="AC954" i="178" s="1"/>
  <c r="X280" i="178"/>
  <c r="X279" i="178"/>
  <c r="AA280" i="178"/>
  <c r="AB280" i="178" s="1"/>
  <c r="AA279" i="178"/>
  <c r="AB279" i="178" s="1"/>
  <c r="Y280" i="178"/>
  <c r="Y279" i="178"/>
  <c r="Y147" i="178"/>
  <c r="Y465" i="178"/>
  <c r="Y469" i="178"/>
  <c r="Y467" i="178"/>
  <c r="X147" i="178"/>
  <c r="X465" i="178"/>
  <c r="X469" i="178"/>
  <c r="X467" i="178"/>
  <c r="AA147" i="178"/>
  <c r="AB147" i="178" s="1"/>
  <c r="AA465" i="178"/>
  <c r="AB465" i="178" s="1"/>
  <c r="AA469" i="178"/>
  <c r="AB469" i="178" s="1"/>
  <c r="AA467" i="178"/>
  <c r="AB467" i="178" s="1"/>
  <c r="AT482" i="178"/>
  <c r="AX482" i="178"/>
  <c r="BB482" i="178"/>
  <c r="BF482" i="178"/>
  <c r="BJ482" i="178"/>
  <c r="BL482" i="178"/>
  <c r="AR482" i="178"/>
  <c r="AV482" i="178"/>
  <c r="AZ482" i="178"/>
  <c r="BD482" i="178"/>
  <c r="BH482" i="178"/>
  <c r="BN482" i="178"/>
  <c r="AT339" i="178"/>
  <c r="AX339" i="178"/>
  <c r="BB339" i="178"/>
  <c r="BF339" i="178"/>
  <c r="BJ339" i="178"/>
  <c r="BL339" i="178"/>
  <c r="AR339" i="178"/>
  <c r="AV339" i="178"/>
  <c r="AZ339" i="178"/>
  <c r="BD339" i="178"/>
  <c r="BH339" i="178"/>
  <c r="BN339" i="178"/>
  <c r="AT504" i="178"/>
  <c r="AX504" i="178"/>
  <c r="BB504" i="178"/>
  <c r="BF504" i="178"/>
  <c r="BJ504" i="178"/>
  <c r="BL504" i="178"/>
  <c r="AR504" i="178"/>
  <c r="AV504" i="178"/>
  <c r="AZ504" i="178"/>
  <c r="BD504" i="178"/>
  <c r="BH504" i="178"/>
  <c r="BN504" i="178"/>
  <c r="AR759" i="178"/>
  <c r="AV759" i="178"/>
  <c r="AZ759" i="178"/>
  <c r="BD759" i="178"/>
  <c r="BH759" i="178"/>
  <c r="BN759" i="178"/>
  <c r="AT759" i="178"/>
  <c r="AX759" i="178"/>
  <c r="BB759" i="178"/>
  <c r="BF759" i="178"/>
  <c r="BJ759" i="178"/>
  <c r="BL759" i="178"/>
  <c r="BN160" i="178"/>
  <c r="AT160" i="178"/>
  <c r="AX160" i="178"/>
  <c r="BB160" i="178"/>
  <c r="BF160" i="178"/>
  <c r="BJ160" i="178"/>
  <c r="BL160" i="178"/>
  <c r="BD160" i="178"/>
  <c r="AR160" i="178"/>
  <c r="BH160" i="178"/>
  <c r="AV160" i="178"/>
  <c r="AZ160" i="178"/>
  <c r="V504" i="178"/>
  <c r="S160" i="178"/>
  <c r="BK160" i="178" s="1"/>
  <c r="V160" i="178"/>
  <c r="U482" i="178"/>
  <c r="V482" i="178"/>
  <c r="S339" i="178"/>
  <c r="BK339" i="178" s="1"/>
  <c r="U339" i="178"/>
  <c r="V339" i="178"/>
  <c r="V759" i="178"/>
  <c r="Z280" i="178" l="1"/>
  <c r="AC280" i="178" s="1"/>
  <c r="Z279" i="178"/>
  <c r="AC279" i="178" s="1"/>
  <c r="Z465" i="178"/>
  <c r="AC465" i="178" s="1"/>
  <c r="Z469" i="178"/>
  <c r="AC469" i="178" s="1"/>
  <c r="Z147" i="178"/>
  <c r="AC147" i="178" s="1"/>
  <c r="Z467" i="178"/>
  <c r="AC467" i="178" s="1"/>
  <c r="BO339" i="178"/>
  <c r="AU339" i="178"/>
  <c r="AY339" i="178"/>
  <c r="BC339" i="178"/>
  <c r="BG339" i="178"/>
  <c r="BM339" i="178"/>
  <c r="BE339" i="178"/>
  <c r="AS339" i="178"/>
  <c r="BI339" i="178"/>
  <c r="AW339" i="178"/>
  <c r="BA339" i="178"/>
  <c r="BO504" i="178"/>
  <c r="AU504" i="178"/>
  <c r="AY504" i="178"/>
  <c r="BC504" i="178"/>
  <c r="BG504" i="178"/>
  <c r="BM504" i="178"/>
  <c r="AW504" i="178"/>
  <c r="BA504" i="178"/>
  <c r="BE504" i="178"/>
  <c r="AS504" i="178"/>
  <c r="BI504" i="178"/>
  <c r="BO482" i="178"/>
  <c r="AU482" i="178"/>
  <c r="AY482" i="178"/>
  <c r="BC482" i="178"/>
  <c r="BG482" i="178"/>
  <c r="BM482" i="178"/>
  <c r="AS482" i="178"/>
  <c r="BI482" i="178"/>
  <c r="AW482" i="178"/>
  <c r="BA482" i="178"/>
  <c r="BE482" i="178"/>
  <c r="BM759" i="178"/>
  <c r="AS759" i="178"/>
  <c r="AW759" i="178"/>
  <c r="BA759" i="178"/>
  <c r="BE759" i="178"/>
  <c r="BI759" i="178"/>
  <c r="BO759" i="178"/>
  <c r="AY759" i="178"/>
  <c r="BC759" i="178"/>
  <c r="AU759" i="178"/>
  <c r="BG759" i="178"/>
  <c r="AS160" i="178"/>
  <c r="AW160" i="178"/>
  <c r="BA160" i="178"/>
  <c r="BE160" i="178"/>
  <c r="BI160" i="178"/>
  <c r="BO160" i="178"/>
  <c r="AU160" i="178"/>
  <c r="AY160" i="178"/>
  <c r="BC160" i="178"/>
  <c r="BG160" i="178"/>
  <c r="BM160" i="178"/>
  <c r="T711" i="178"/>
  <c r="U711" i="178" s="1"/>
  <c r="W711" i="178"/>
  <c r="AD711" i="178"/>
  <c r="AE711" i="178"/>
  <c r="AF711" i="178"/>
  <c r="AG711" i="178"/>
  <c r="AH711" i="178"/>
  <c r="AI711" i="178"/>
  <c r="AJ711" i="178"/>
  <c r="AK711" i="178"/>
  <c r="AL711" i="178"/>
  <c r="AM711" i="178"/>
  <c r="AN711" i="178"/>
  <c r="AO711" i="178"/>
  <c r="T712" i="178"/>
  <c r="V712" i="178" s="1"/>
  <c r="W712" i="178"/>
  <c r="AD712" i="178"/>
  <c r="AE712" i="178"/>
  <c r="AF712" i="178"/>
  <c r="AG712" i="178"/>
  <c r="AH712" i="178"/>
  <c r="AI712" i="178"/>
  <c r="AJ712" i="178"/>
  <c r="AK712" i="178"/>
  <c r="AL712" i="178"/>
  <c r="AM712" i="178"/>
  <c r="AN712" i="178"/>
  <c r="AO712" i="178"/>
  <c r="T316" i="178"/>
  <c r="U316" i="178" s="1"/>
  <c r="W316" i="178"/>
  <c r="AD316" i="178"/>
  <c r="AE316" i="178"/>
  <c r="AF316" i="178"/>
  <c r="AG316" i="178"/>
  <c r="AH316" i="178"/>
  <c r="AI316" i="178"/>
  <c r="AJ316" i="178"/>
  <c r="AK316" i="178"/>
  <c r="AL316" i="178"/>
  <c r="AM316" i="178"/>
  <c r="BK316" i="178" s="1"/>
  <c r="AN316" i="178"/>
  <c r="AO316" i="178"/>
  <c r="B316" i="178"/>
  <c r="T1038" i="178"/>
  <c r="U1038" i="178" s="1"/>
  <c r="W1038" i="178"/>
  <c r="AD1038" i="178"/>
  <c r="AE1038" i="178"/>
  <c r="AF1038" i="178"/>
  <c r="AG1038" i="178"/>
  <c r="AH1038" i="178"/>
  <c r="AI1038" i="178"/>
  <c r="AJ1038" i="178"/>
  <c r="AK1038" i="178"/>
  <c r="AL1038" i="178"/>
  <c r="AM1038" i="178"/>
  <c r="BK1038" i="178" s="1"/>
  <c r="AN1038" i="178"/>
  <c r="AO1038" i="178"/>
  <c r="T362" i="178"/>
  <c r="U362" i="178" s="1"/>
  <c r="W362" i="178"/>
  <c r="AD362" i="178"/>
  <c r="AE362" i="178"/>
  <c r="AF362" i="178"/>
  <c r="AG362" i="178"/>
  <c r="AH362" i="178"/>
  <c r="AI362" i="178"/>
  <c r="AJ362" i="178"/>
  <c r="AK362" i="178"/>
  <c r="AL362" i="178"/>
  <c r="AM362" i="178"/>
  <c r="BK362" i="178" s="1"/>
  <c r="AN362" i="178"/>
  <c r="AO362" i="178"/>
  <c r="T167" i="178"/>
  <c r="U167" i="178" s="1"/>
  <c r="W167" i="178"/>
  <c r="AD167" i="178"/>
  <c r="AE167" i="178"/>
  <c r="AF167" i="178"/>
  <c r="AG167" i="178"/>
  <c r="AH167" i="178"/>
  <c r="AI167" i="178"/>
  <c r="AJ167" i="178"/>
  <c r="AK167" i="178"/>
  <c r="AL167" i="178"/>
  <c r="AM167" i="178"/>
  <c r="BK167" i="178" s="1"/>
  <c r="AN167" i="178"/>
  <c r="AO167" i="178"/>
  <c r="T524" i="178"/>
  <c r="U524" i="178" s="1"/>
  <c r="W524" i="178"/>
  <c r="AD524" i="178"/>
  <c r="AE524" i="178"/>
  <c r="AF524" i="178"/>
  <c r="AG524" i="178"/>
  <c r="AH524" i="178"/>
  <c r="AI524" i="178"/>
  <c r="AJ524" i="178"/>
  <c r="AK524" i="178"/>
  <c r="AL524" i="178"/>
  <c r="AM524" i="178"/>
  <c r="AN524" i="178"/>
  <c r="AO524" i="178"/>
  <c r="T792" i="178"/>
  <c r="V792" i="178" s="1"/>
  <c r="W792" i="178"/>
  <c r="AD792" i="178"/>
  <c r="AE792" i="178"/>
  <c r="AF792" i="178"/>
  <c r="AG792" i="178"/>
  <c r="AH792" i="178"/>
  <c r="AI792" i="178"/>
  <c r="AJ792" i="178"/>
  <c r="AK792" i="178"/>
  <c r="AL792" i="178"/>
  <c r="AM792" i="178"/>
  <c r="BK792" i="178" s="1"/>
  <c r="AN792" i="178"/>
  <c r="AO792" i="178"/>
  <c r="T967" i="178"/>
  <c r="U967" i="178" s="1"/>
  <c r="W967" i="178"/>
  <c r="AD967" i="178"/>
  <c r="AE967" i="178"/>
  <c r="AF967" i="178"/>
  <c r="AG967" i="178"/>
  <c r="AH967" i="178"/>
  <c r="AI967" i="178"/>
  <c r="AJ967" i="178"/>
  <c r="AK967" i="178"/>
  <c r="AL967" i="178"/>
  <c r="AM967" i="178"/>
  <c r="BK967" i="178" s="1"/>
  <c r="AN967" i="178"/>
  <c r="AO967" i="178"/>
  <c r="Q1045" i="178"/>
  <c r="B1038" i="178"/>
  <c r="B362" i="178"/>
  <c r="B167" i="178"/>
  <c r="B524" i="178"/>
  <c r="B792" i="178"/>
  <c r="B967" i="178"/>
  <c r="S711" i="178" l="1"/>
  <c r="BK711" i="178" s="1"/>
  <c r="AT711" i="178"/>
  <c r="AX711" i="178"/>
  <c r="BB711" i="178"/>
  <c r="BF711" i="178"/>
  <c r="BJ711" i="178"/>
  <c r="BL711" i="178"/>
  <c r="AR711" i="178"/>
  <c r="AV711" i="178"/>
  <c r="AZ711" i="178"/>
  <c r="BD711" i="178"/>
  <c r="BH711" i="178"/>
  <c r="BN711" i="178"/>
  <c r="AT967" i="178"/>
  <c r="AX967" i="178"/>
  <c r="BB967" i="178"/>
  <c r="BF967" i="178"/>
  <c r="BJ967" i="178"/>
  <c r="BL967" i="178"/>
  <c r="AR967" i="178"/>
  <c r="AV967" i="178"/>
  <c r="AZ967" i="178"/>
  <c r="BD967" i="178"/>
  <c r="BH967" i="178"/>
  <c r="BN967" i="178"/>
  <c r="AT524" i="178"/>
  <c r="AX524" i="178"/>
  <c r="BB524" i="178"/>
  <c r="BF524" i="178"/>
  <c r="BJ524" i="178"/>
  <c r="BL524" i="178"/>
  <c r="AR524" i="178"/>
  <c r="AV524" i="178"/>
  <c r="AZ524" i="178"/>
  <c r="BD524" i="178"/>
  <c r="BH524" i="178"/>
  <c r="BN524" i="178"/>
  <c r="BN792" i="178"/>
  <c r="AT792" i="178"/>
  <c r="AX792" i="178"/>
  <c r="BB792" i="178"/>
  <c r="BF792" i="178"/>
  <c r="BJ792" i="178"/>
  <c r="BL792" i="178"/>
  <c r="AV792" i="178"/>
  <c r="AZ792" i="178"/>
  <c r="BH792" i="178"/>
  <c r="BD792" i="178"/>
  <c r="AR792" i="178"/>
  <c r="BL167" i="178"/>
  <c r="AR167" i="178"/>
  <c r="AV167" i="178"/>
  <c r="AZ167" i="178"/>
  <c r="BD167" i="178"/>
  <c r="BH167" i="178"/>
  <c r="BN167" i="178"/>
  <c r="BF167" i="178"/>
  <c r="AT167" i="178"/>
  <c r="BJ167" i="178"/>
  <c r="BB167" i="178"/>
  <c r="AX167" i="178"/>
  <c r="AR362" i="178"/>
  <c r="AV362" i="178"/>
  <c r="AZ362" i="178"/>
  <c r="BD362" i="178"/>
  <c r="BH362" i="178"/>
  <c r="BN362" i="178"/>
  <c r="AT362" i="178"/>
  <c r="AX362" i="178"/>
  <c r="BB362" i="178"/>
  <c r="BF362" i="178"/>
  <c r="BJ362" i="178"/>
  <c r="BL362" i="178"/>
  <c r="BL316" i="178"/>
  <c r="AR316" i="178"/>
  <c r="AV316" i="178"/>
  <c r="AZ316" i="178"/>
  <c r="BD316" i="178"/>
  <c r="BH316" i="178"/>
  <c r="BN316" i="178"/>
  <c r="AX316" i="178"/>
  <c r="BB316" i="178"/>
  <c r="BJ316" i="178"/>
  <c r="BF316" i="178"/>
  <c r="AT316" i="178"/>
  <c r="BL1038" i="178"/>
  <c r="AR1038" i="178"/>
  <c r="AV1038" i="178"/>
  <c r="AZ1038" i="178"/>
  <c r="BD1038" i="178"/>
  <c r="BH1038" i="178"/>
  <c r="BN1038" i="178"/>
  <c r="BB1038" i="178"/>
  <c r="BF1038" i="178"/>
  <c r="AT1038" i="178"/>
  <c r="BJ1038" i="178"/>
  <c r="AX1038" i="178"/>
  <c r="S712" i="178"/>
  <c r="BK712" i="178" s="1"/>
  <c r="AR712" i="178"/>
  <c r="AV712" i="178"/>
  <c r="AZ712" i="178"/>
  <c r="BD712" i="178"/>
  <c r="BH712" i="178"/>
  <c r="BN712" i="178"/>
  <c r="AX712" i="178"/>
  <c r="BF712" i="178"/>
  <c r="AT712" i="178"/>
  <c r="BB712" i="178"/>
  <c r="BJ712" i="178"/>
  <c r="BL712" i="178"/>
  <c r="U792" i="178"/>
  <c r="V167" i="178"/>
  <c r="V316" i="178"/>
  <c r="U712" i="178"/>
  <c r="V711" i="178"/>
  <c r="V967" i="178"/>
  <c r="S524" i="178"/>
  <c r="BK524" i="178" s="1"/>
  <c r="V362" i="178"/>
  <c r="V524" i="178"/>
  <c r="V1038" i="178"/>
  <c r="AU1038" i="178" l="1"/>
  <c r="AY1038" i="178"/>
  <c r="BC1038" i="178"/>
  <c r="BG1038" i="178"/>
  <c r="BM1038" i="178"/>
  <c r="AS1038" i="178"/>
  <c r="AW1038" i="178"/>
  <c r="BA1038" i="178"/>
  <c r="BE1038" i="178"/>
  <c r="BI1038" i="178"/>
  <c r="BO1038" i="178"/>
  <c r="AU316" i="178"/>
  <c r="AY316" i="178"/>
  <c r="BC316" i="178"/>
  <c r="BG316" i="178"/>
  <c r="BM316" i="178"/>
  <c r="AS316" i="178"/>
  <c r="AW316" i="178"/>
  <c r="BA316" i="178"/>
  <c r="BE316" i="178"/>
  <c r="BI316" i="178"/>
  <c r="BO316" i="178"/>
  <c r="BO524" i="178"/>
  <c r="AU524" i="178"/>
  <c r="AY524" i="178"/>
  <c r="BC524" i="178"/>
  <c r="BG524" i="178"/>
  <c r="BM524" i="178"/>
  <c r="AW524" i="178"/>
  <c r="BA524" i="178"/>
  <c r="BI524" i="178"/>
  <c r="BE524" i="178"/>
  <c r="AS524" i="178"/>
  <c r="BM362" i="178"/>
  <c r="AS362" i="178"/>
  <c r="AW362" i="178"/>
  <c r="BA362" i="178"/>
  <c r="BE362" i="178"/>
  <c r="BI362" i="178"/>
  <c r="BO362" i="178"/>
  <c r="AU362" i="178"/>
  <c r="AY362" i="178"/>
  <c r="BC362" i="178"/>
  <c r="BG362" i="178"/>
  <c r="AS792" i="178"/>
  <c r="AW792" i="178"/>
  <c r="BA792" i="178"/>
  <c r="BE792" i="178"/>
  <c r="BI792" i="178"/>
  <c r="BO792" i="178"/>
  <c r="AU792" i="178"/>
  <c r="AY792" i="178"/>
  <c r="BC792" i="178"/>
  <c r="BG792" i="178"/>
  <c r="BM792" i="178"/>
  <c r="BO967" i="178"/>
  <c r="AU967" i="178"/>
  <c r="AY967" i="178"/>
  <c r="BC967" i="178"/>
  <c r="BG967" i="178"/>
  <c r="BM967" i="178"/>
  <c r="BA967" i="178"/>
  <c r="BE967" i="178"/>
  <c r="AS967" i="178"/>
  <c r="BI967" i="178"/>
  <c r="AW967" i="178"/>
  <c r="AU167" i="178"/>
  <c r="AY167" i="178"/>
  <c r="BC167" i="178"/>
  <c r="BG167" i="178"/>
  <c r="BM167" i="178"/>
  <c r="AS167" i="178"/>
  <c r="AW167" i="178"/>
  <c r="BA167" i="178"/>
  <c r="BE167" i="178"/>
  <c r="BI167" i="178"/>
  <c r="BO167" i="178"/>
  <c r="BM712" i="178"/>
  <c r="AS712" i="178"/>
  <c r="AW712" i="178"/>
  <c r="BA712" i="178"/>
  <c r="BE712" i="178"/>
  <c r="BI712" i="178"/>
  <c r="BO712" i="178"/>
  <c r="AY712" i="178"/>
  <c r="BG712" i="178"/>
  <c r="BC712" i="178"/>
  <c r="AU712" i="178"/>
  <c r="BO711" i="178"/>
  <c r="AU711" i="178"/>
  <c r="AY711" i="178"/>
  <c r="BC711" i="178"/>
  <c r="BG711" i="178"/>
  <c r="BM711" i="178"/>
  <c r="BE711" i="178"/>
  <c r="AS711" i="178"/>
  <c r="BI711" i="178"/>
  <c r="AW711" i="178"/>
  <c r="BA711" i="178"/>
  <c r="T708" i="178" l="1"/>
  <c r="V708" i="178" s="1"/>
  <c r="W708" i="178"/>
  <c r="AD708" i="178"/>
  <c r="AE708" i="178"/>
  <c r="AF708" i="178"/>
  <c r="AG708" i="178"/>
  <c r="AH708" i="178"/>
  <c r="AI708" i="178"/>
  <c r="AJ708" i="178"/>
  <c r="AK708" i="178"/>
  <c r="AL708" i="178"/>
  <c r="AM708" i="178"/>
  <c r="AN708" i="178"/>
  <c r="AO708" i="178"/>
  <c r="T168" i="178"/>
  <c r="U168" i="178" s="1"/>
  <c r="W168" i="178"/>
  <c r="AD168" i="178"/>
  <c r="AE168" i="178"/>
  <c r="AF168" i="178"/>
  <c r="AG168" i="178"/>
  <c r="AH168" i="178"/>
  <c r="AI168" i="178"/>
  <c r="AJ168" i="178"/>
  <c r="AK168" i="178"/>
  <c r="AL168" i="178"/>
  <c r="AM168" i="178"/>
  <c r="BK168" i="178" s="1"/>
  <c r="AN168" i="178"/>
  <c r="AO168" i="178"/>
  <c r="T782" i="178"/>
  <c r="V782" i="178" s="1"/>
  <c r="W782" i="178"/>
  <c r="AD782" i="178"/>
  <c r="AE782" i="178"/>
  <c r="AF782" i="178"/>
  <c r="AG782" i="178"/>
  <c r="AH782" i="178"/>
  <c r="AI782" i="178"/>
  <c r="AJ782" i="178"/>
  <c r="AK782" i="178"/>
  <c r="AL782" i="178"/>
  <c r="AM782" i="178"/>
  <c r="BK782" i="178" s="1"/>
  <c r="AN782" i="178"/>
  <c r="AO782" i="178"/>
  <c r="T786" i="178"/>
  <c r="U786" i="178" s="1"/>
  <c r="W786" i="178"/>
  <c r="AD786" i="178"/>
  <c r="AE786" i="178"/>
  <c r="AF786" i="178"/>
  <c r="AG786" i="178"/>
  <c r="AH786" i="178"/>
  <c r="AI786" i="178"/>
  <c r="AJ786" i="178"/>
  <c r="AK786" i="178"/>
  <c r="AL786" i="178"/>
  <c r="AM786" i="178"/>
  <c r="BK786" i="178" s="1"/>
  <c r="AN786" i="178"/>
  <c r="AO786" i="178"/>
  <c r="S708" i="178"/>
  <c r="B708" i="178"/>
  <c r="B168" i="178"/>
  <c r="B782" i="178"/>
  <c r="B786" i="178"/>
  <c r="BK708" i="178" l="1"/>
  <c r="BC786" i="178"/>
  <c r="AU786" i="178"/>
  <c r="BO782" i="178"/>
  <c r="BG782" i="178"/>
  <c r="AY782" i="178"/>
  <c r="BC168" i="178"/>
  <c r="AU168" i="178"/>
  <c r="BO708" i="178"/>
  <c r="BG708" i="178"/>
  <c r="AY708" i="178"/>
  <c r="BI786" i="178"/>
  <c r="BA786" i="178"/>
  <c r="AS786" i="178"/>
  <c r="BM782" i="178"/>
  <c r="BE782" i="178"/>
  <c r="AW782" i="178"/>
  <c r="BI168" i="178"/>
  <c r="BA168" i="178"/>
  <c r="AS168" i="178"/>
  <c r="BM708" i="178"/>
  <c r="BE708" i="178"/>
  <c r="AW708" i="178"/>
  <c r="BO786" i="178"/>
  <c r="BG786" i="178"/>
  <c r="AY786" i="178"/>
  <c r="BC782" i="178"/>
  <c r="AU782" i="178"/>
  <c r="BO168" i="178"/>
  <c r="BG168" i="178"/>
  <c r="AY168" i="178"/>
  <c r="BC708" i="178"/>
  <c r="AU708" i="178"/>
  <c r="BM786" i="178"/>
  <c r="BE786" i="178"/>
  <c r="AW786" i="178"/>
  <c r="BI782" i="178"/>
  <c r="BA782" i="178"/>
  <c r="AS782" i="178"/>
  <c r="BM168" i="178"/>
  <c r="BE168" i="178"/>
  <c r="AW168" i="178"/>
  <c r="BI708" i="178"/>
  <c r="BA708" i="178"/>
  <c r="AS708" i="178"/>
  <c r="BL168" i="178"/>
  <c r="AR168" i="178"/>
  <c r="AV168" i="178"/>
  <c r="AZ168" i="178"/>
  <c r="BD168" i="178"/>
  <c r="BH168" i="178"/>
  <c r="BN168" i="178"/>
  <c r="BF168" i="178"/>
  <c r="AT168" i="178"/>
  <c r="BJ168" i="178"/>
  <c r="BB168" i="178"/>
  <c r="AX168" i="178"/>
  <c r="AR782" i="178"/>
  <c r="AV782" i="178"/>
  <c r="AZ782" i="178"/>
  <c r="BD782" i="178"/>
  <c r="BH782" i="178"/>
  <c r="BN782" i="178"/>
  <c r="AT782" i="178"/>
  <c r="AX782" i="178"/>
  <c r="BB782" i="178"/>
  <c r="BF782" i="178"/>
  <c r="BJ782" i="178"/>
  <c r="BL782" i="178"/>
  <c r="AT708" i="178"/>
  <c r="AX708" i="178"/>
  <c r="BB708" i="178"/>
  <c r="BF708" i="178"/>
  <c r="BJ708" i="178"/>
  <c r="BL708" i="178"/>
  <c r="AR708" i="178"/>
  <c r="AV708" i="178"/>
  <c r="AZ708" i="178"/>
  <c r="BD708" i="178"/>
  <c r="BH708" i="178"/>
  <c r="BN708" i="178"/>
  <c r="AT786" i="178"/>
  <c r="AX786" i="178"/>
  <c r="BB786" i="178"/>
  <c r="BF786" i="178"/>
  <c r="BJ786" i="178"/>
  <c r="BL786" i="178"/>
  <c r="AR786" i="178"/>
  <c r="AV786" i="178"/>
  <c r="AZ786" i="178"/>
  <c r="BD786" i="178"/>
  <c r="BH786" i="178"/>
  <c r="BN786" i="178"/>
  <c r="U708" i="178"/>
  <c r="V168" i="178"/>
  <c r="V786" i="178"/>
  <c r="U782" i="178"/>
  <c r="T724" i="178"/>
  <c r="U724" i="178" s="1"/>
  <c r="W724" i="178"/>
  <c r="AD724" i="178"/>
  <c r="AE724" i="178"/>
  <c r="AF724" i="178"/>
  <c r="AG724" i="178"/>
  <c r="AH724" i="178"/>
  <c r="AI724" i="178"/>
  <c r="AJ724" i="178"/>
  <c r="AK724" i="178"/>
  <c r="AL724" i="178"/>
  <c r="AM724" i="178"/>
  <c r="BK724" i="178" s="1"/>
  <c r="AN724" i="178"/>
  <c r="AO724" i="178"/>
  <c r="T950" i="178"/>
  <c r="U950" i="178" s="1"/>
  <c r="W950" i="178"/>
  <c r="AD950" i="178"/>
  <c r="AE950" i="178"/>
  <c r="AF950" i="178"/>
  <c r="AG950" i="178"/>
  <c r="AH950" i="178"/>
  <c r="AI950" i="178"/>
  <c r="AJ950" i="178"/>
  <c r="AK950" i="178"/>
  <c r="AL950" i="178"/>
  <c r="AM950" i="178"/>
  <c r="BK950" i="178" s="1"/>
  <c r="AN950" i="178"/>
  <c r="AO950" i="178"/>
  <c r="T726" i="178"/>
  <c r="U726" i="178" s="1"/>
  <c r="W726" i="178"/>
  <c r="AD726" i="178"/>
  <c r="AE726" i="178"/>
  <c r="AF726" i="178"/>
  <c r="AG726" i="178"/>
  <c r="AH726" i="178"/>
  <c r="AI726" i="178"/>
  <c r="AJ726" i="178"/>
  <c r="AK726" i="178"/>
  <c r="AL726" i="178"/>
  <c r="AM726" i="178"/>
  <c r="BK726" i="178" s="1"/>
  <c r="AN726" i="178"/>
  <c r="AO726" i="178"/>
  <c r="T951" i="178"/>
  <c r="V951" i="178" s="1"/>
  <c r="W951" i="178"/>
  <c r="AD951" i="178"/>
  <c r="AE951" i="178"/>
  <c r="AF951" i="178"/>
  <c r="AG951" i="178"/>
  <c r="AH951" i="178"/>
  <c r="AI951" i="178"/>
  <c r="AJ951" i="178"/>
  <c r="AK951" i="178"/>
  <c r="AL951" i="178"/>
  <c r="AM951" i="178"/>
  <c r="BK951" i="178" s="1"/>
  <c r="AN951" i="178"/>
  <c r="AO951" i="178"/>
  <c r="T330" i="178"/>
  <c r="U330" i="178" s="1"/>
  <c r="W330" i="178"/>
  <c r="AD330" i="178"/>
  <c r="AE330" i="178"/>
  <c r="AF330" i="178"/>
  <c r="AG330" i="178"/>
  <c r="AH330" i="178"/>
  <c r="AI330" i="178"/>
  <c r="AJ330" i="178"/>
  <c r="AK330" i="178"/>
  <c r="AL330" i="178"/>
  <c r="AM330" i="178"/>
  <c r="AN330" i="178"/>
  <c r="AO330" i="178"/>
  <c r="T338" i="178"/>
  <c r="U338" i="178" s="1"/>
  <c r="W338" i="178"/>
  <c r="AD338" i="178"/>
  <c r="AE338" i="178"/>
  <c r="AF338" i="178"/>
  <c r="AG338" i="178"/>
  <c r="AH338" i="178"/>
  <c r="AI338" i="178"/>
  <c r="AJ338" i="178"/>
  <c r="AK338" i="178"/>
  <c r="AL338" i="178"/>
  <c r="AM338" i="178"/>
  <c r="AN338" i="178"/>
  <c r="AO338" i="178"/>
  <c r="T525" i="178"/>
  <c r="U525" i="178" s="1"/>
  <c r="W525" i="178"/>
  <c r="AD525" i="178"/>
  <c r="AE525" i="178"/>
  <c r="AF525" i="178"/>
  <c r="AG525" i="178"/>
  <c r="AH525" i="178"/>
  <c r="AI525" i="178"/>
  <c r="AJ525" i="178"/>
  <c r="AK525" i="178"/>
  <c r="AL525" i="178"/>
  <c r="AM525" i="178"/>
  <c r="BK525" i="178" s="1"/>
  <c r="AN525" i="178"/>
  <c r="AO525" i="178"/>
  <c r="T529" i="178"/>
  <c r="U529" i="178" s="1"/>
  <c r="W529" i="178"/>
  <c r="AD529" i="178"/>
  <c r="AE529" i="178"/>
  <c r="AF529" i="178"/>
  <c r="AG529" i="178"/>
  <c r="AH529" i="178"/>
  <c r="AI529" i="178"/>
  <c r="AJ529" i="178"/>
  <c r="AK529" i="178"/>
  <c r="AL529" i="178"/>
  <c r="AM529" i="178"/>
  <c r="BK529" i="178" s="1"/>
  <c r="AN529" i="178"/>
  <c r="AO529" i="178"/>
  <c r="B724" i="178"/>
  <c r="B950" i="178"/>
  <c r="B726" i="178"/>
  <c r="B951" i="178"/>
  <c r="B330" i="178"/>
  <c r="B338" i="178"/>
  <c r="B525" i="178"/>
  <c r="B529" i="178"/>
  <c r="B483" i="178"/>
  <c r="T936" i="178"/>
  <c r="U936" i="178" s="1"/>
  <c r="W936" i="178"/>
  <c r="AD936" i="178"/>
  <c r="AE936" i="178"/>
  <c r="AF936" i="178"/>
  <c r="AG936" i="178"/>
  <c r="AH936" i="178"/>
  <c r="AI936" i="178"/>
  <c r="AJ936" i="178"/>
  <c r="AK936" i="178"/>
  <c r="AL936" i="178"/>
  <c r="AM936" i="178"/>
  <c r="BK936" i="178" s="1"/>
  <c r="AN936" i="178"/>
  <c r="AO936" i="178"/>
  <c r="T483" i="178"/>
  <c r="U483" i="178" s="1"/>
  <c r="W483" i="178"/>
  <c r="AD483" i="178"/>
  <c r="AE483" i="178"/>
  <c r="AF483" i="178"/>
  <c r="AG483" i="178"/>
  <c r="AH483" i="178"/>
  <c r="AI483" i="178"/>
  <c r="AJ483" i="178"/>
  <c r="AK483" i="178"/>
  <c r="AL483" i="178"/>
  <c r="AM483" i="178"/>
  <c r="BK483" i="178" s="1"/>
  <c r="AN483" i="178"/>
  <c r="AO483" i="178"/>
  <c r="T169" i="178"/>
  <c r="U169" i="178" s="1"/>
  <c r="W169" i="178"/>
  <c r="AD169" i="178"/>
  <c r="AE169" i="178"/>
  <c r="AF169" i="178"/>
  <c r="AG169" i="178"/>
  <c r="AH169" i="178"/>
  <c r="AI169" i="178"/>
  <c r="AJ169" i="178"/>
  <c r="AK169" i="178"/>
  <c r="AL169" i="178"/>
  <c r="AM169" i="178"/>
  <c r="BK169" i="178" s="1"/>
  <c r="AN169" i="178"/>
  <c r="AO169" i="178"/>
  <c r="T405" i="178"/>
  <c r="U405" i="178" s="1"/>
  <c r="W405" i="178"/>
  <c r="AD405" i="178"/>
  <c r="AE405" i="178"/>
  <c r="AF405" i="178"/>
  <c r="AG405" i="178"/>
  <c r="AH405" i="178"/>
  <c r="AI405" i="178"/>
  <c r="AJ405" i="178"/>
  <c r="AK405" i="178"/>
  <c r="AL405" i="178"/>
  <c r="AM405" i="178"/>
  <c r="BK405" i="178" s="1"/>
  <c r="AN405" i="178"/>
  <c r="AO405" i="178"/>
  <c r="T823" i="178"/>
  <c r="V823" i="178" s="1"/>
  <c r="W823" i="178"/>
  <c r="AD823" i="178"/>
  <c r="AE823" i="178"/>
  <c r="AF823" i="178"/>
  <c r="AG823" i="178"/>
  <c r="AH823" i="178"/>
  <c r="AI823" i="178"/>
  <c r="AJ823" i="178"/>
  <c r="AK823" i="178"/>
  <c r="AL823" i="178"/>
  <c r="AM823" i="178"/>
  <c r="BK823" i="178" s="1"/>
  <c r="AN823" i="178"/>
  <c r="AO823" i="178"/>
  <c r="T877" i="178"/>
  <c r="U877" i="178" s="1"/>
  <c r="W877" i="178"/>
  <c r="AD877" i="178"/>
  <c r="AE877" i="178"/>
  <c r="AF877" i="178"/>
  <c r="AG877" i="178"/>
  <c r="AH877" i="178"/>
  <c r="AI877" i="178"/>
  <c r="AJ877" i="178"/>
  <c r="AK877" i="178"/>
  <c r="AL877" i="178"/>
  <c r="AM877" i="178"/>
  <c r="AN877" i="178"/>
  <c r="AO877" i="178"/>
  <c r="B936" i="178"/>
  <c r="B169" i="178"/>
  <c r="B405" i="178"/>
  <c r="B823" i="178"/>
  <c r="B877" i="178"/>
  <c r="B883" i="178"/>
  <c r="S338" i="178" l="1"/>
  <c r="BK338" i="178" s="1"/>
  <c r="BN338" i="178"/>
  <c r="AT338" i="178"/>
  <c r="AX338" i="178"/>
  <c r="BB338" i="178"/>
  <c r="BF338" i="178"/>
  <c r="BJ338" i="178"/>
  <c r="BL338" i="178"/>
  <c r="AZ338" i="178"/>
  <c r="BD338" i="178"/>
  <c r="AR338" i="178"/>
  <c r="BH338" i="178"/>
  <c r="AV338" i="178"/>
  <c r="AR951" i="178"/>
  <c r="AV951" i="178"/>
  <c r="AZ951" i="178"/>
  <c r="BD951" i="178"/>
  <c r="BH951" i="178"/>
  <c r="AX951" i="178"/>
  <c r="AT951" i="178"/>
  <c r="BJ951" i="178"/>
  <c r="BL951" i="178"/>
  <c r="BB951" i="178"/>
  <c r="BN951" i="178"/>
  <c r="BF951" i="178"/>
  <c r="AT483" i="178"/>
  <c r="AX483" i="178"/>
  <c r="BB483" i="178"/>
  <c r="BF483" i="178"/>
  <c r="BJ483" i="178"/>
  <c r="BL483" i="178"/>
  <c r="AR483" i="178"/>
  <c r="AV483" i="178"/>
  <c r="AZ483" i="178"/>
  <c r="BD483" i="178"/>
  <c r="BH483" i="178"/>
  <c r="BN483" i="178"/>
  <c r="BL936" i="178"/>
  <c r="AT936" i="178"/>
  <c r="AZ936" i="178"/>
  <c r="BJ936" i="178"/>
  <c r="BH936" i="178"/>
  <c r="AV936" i="178"/>
  <c r="BB936" i="178"/>
  <c r="BD936" i="178"/>
  <c r="AR936" i="178"/>
  <c r="BF936" i="178"/>
  <c r="AX936" i="178"/>
  <c r="BN936" i="178"/>
  <c r="S883" i="178"/>
  <c r="AT405" i="178"/>
  <c r="AX405" i="178"/>
  <c r="BB405" i="178"/>
  <c r="BF405" i="178"/>
  <c r="BJ405" i="178"/>
  <c r="BL405" i="178"/>
  <c r="AR405" i="178"/>
  <c r="AV405" i="178"/>
  <c r="AZ405" i="178"/>
  <c r="BD405" i="178"/>
  <c r="BH405" i="178"/>
  <c r="BN405" i="178"/>
  <c r="BL529" i="178"/>
  <c r="AR529" i="178"/>
  <c r="AV529" i="178"/>
  <c r="AZ529" i="178"/>
  <c r="BD529" i="178"/>
  <c r="BH529" i="178"/>
  <c r="BN529" i="178"/>
  <c r="AX529" i="178"/>
  <c r="BF529" i="178"/>
  <c r="AT529" i="178"/>
  <c r="BB529" i="178"/>
  <c r="BJ529" i="178"/>
  <c r="S330" i="178"/>
  <c r="BK330" i="178" s="1"/>
  <c r="AR330" i="178"/>
  <c r="AV330" i="178"/>
  <c r="AZ330" i="178"/>
  <c r="BD330" i="178"/>
  <c r="BH330" i="178"/>
  <c r="BN330" i="178"/>
  <c r="AT330" i="178"/>
  <c r="AX330" i="178"/>
  <c r="BB330" i="178"/>
  <c r="BF330" i="178"/>
  <c r="BJ330" i="178"/>
  <c r="BL330" i="178"/>
  <c r="AT525" i="178"/>
  <c r="AX525" i="178"/>
  <c r="BB525" i="178"/>
  <c r="BF525" i="178"/>
  <c r="BJ525" i="178"/>
  <c r="BL525" i="178"/>
  <c r="AV525" i="178"/>
  <c r="AZ525" i="178"/>
  <c r="BN525" i="178"/>
  <c r="BD525" i="178"/>
  <c r="BH525" i="178"/>
  <c r="AR525" i="178"/>
  <c r="AT726" i="178"/>
  <c r="AX726" i="178"/>
  <c r="BB726" i="178"/>
  <c r="BF726" i="178"/>
  <c r="BJ726" i="178"/>
  <c r="AV726" i="178"/>
  <c r="AR726" i="178"/>
  <c r="BH726" i="178"/>
  <c r="BN726" i="178"/>
  <c r="BD726" i="178"/>
  <c r="AZ726" i="178"/>
  <c r="BL726" i="178"/>
  <c r="AR950" i="178"/>
  <c r="AV950" i="178"/>
  <c r="AZ950" i="178"/>
  <c r="BD950" i="178"/>
  <c r="BH950" i="178"/>
  <c r="BB950" i="178"/>
  <c r="BN950" i="178"/>
  <c r="BF950" i="178"/>
  <c r="AT950" i="178"/>
  <c r="AX950" i="178"/>
  <c r="BJ950" i="178"/>
  <c r="BL950" i="178"/>
  <c r="BN877" i="178"/>
  <c r="AT877" i="178"/>
  <c r="AX877" i="178"/>
  <c r="BB877" i="178"/>
  <c r="BF877" i="178"/>
  <c r="BJ877" i="178"/>
  <c r="BL877" i="178"/>
  <c r="BD877" i="178"/>
  <c r="AR877" i="178"/>
  <c r="BH877" i="178"/>
  <c r="AV877" i="178"/>
  <c r="AZ877" i="178"/>
  <c r="AT823" i="178"/>
  <c r="AX823" i="178"/>
  <c r="BB823" i="178"/>
  <c r="BF823" i="178"/>
  <c r="BJ823" i="178"/>
  <c r="BL823" i="178"/>
  <c r="AR823" i="178"/>
  <c r="AV823" i="178"/>
  <c r="AZ823" i="178"/>
  <c r="BD823" i="178"/>
  <c r="BH823" i="178"/>
  <c r="BN823" i="178"/>
  <c r="BL169" i="178"/>
  <c r="AR169" i="178"/>
  <c r="AV169" i="178"/>
  <c r="AZ169" i="178"/>
  <c r="BD169" i="178"/>
  <c r="BH169" i="178"/>
  <c r="BN169" i="178"/>
  <c r="AX169" i="178"/>
  <c r="BB169" i="178"/>
  <c r="BJ169" i="178"/>
  <c r="BF169" i="178"/>
  <c r="AT169" i="178"/>
  <c r="BL724" i="178"/>
  <c r="AX724" i="178"/>
  <c r="BD724" i="178"/>
  <c r="AT724" i="178"/>
  <c r="BH724" i="178"/>
  <c r="AV724" i="178"/>
  <c r="BB724" i="178"/>
  <c r="BJ724" i="178"/>
  <c r="AZ724" i="178"/>
  <c r="BN724" i="178"/>
  <c r="AR724" i="178"/>
  <c r="BF724" i="178"/>
  <c r="U951" i="178"/>
  <c r="V724" i="178"/>
  <c r="V338" i="178"/>
  <c r="V525" i="178"/>
  <c r="V726" i="178"/>
  <c r="V950" i="178"/>
  <c r="V529" i="178"/>
  <c r="V330" i="178"/>
  <c r="V405" i="178"/>
  <c r="U823" i="178"/>
  <c r="V169" i="178"/>
  <c r="V877" i="178"/>
  <c r="S877" i="178"/>
  <c r="BK877" i="178" s="1"/>
  <c r="V483" i="178"/>
  <c r="V936" i="178"/>
  <c r="AU936" i="178" l="1"/>
  <c r="AY936" i="178"/>
  <c r="BC936" i="178"/>
  <c r="BG936" i="178"/>
  <c r="BE936" i="178"/>
  <c r="AS936" i="178"/>
  <c r="BA936" i="178"/>
  <c r="BO936" i="178"/>
  <c r="BI936" i="178"/>
  <c r="AW936" i="178"/>
  <c r="BM936" i="178"/>
  <c r="AU169" i="178"/>
  <c r="AY169" i="178"/>
  <c r="BC169" i="178"/>
  <c r="BG169" i="178"/>
  <c r="BM169" i="178"/>
  <c r="AS169" i="178"/>
  <c r="AW169" i="178"/>
  <c r="BA169" i="178"/>
  <c r="BE169" i="178"/>
  <c r="BI169" i="178"/>
  <c r="BO169" i="178"/>
  <c r="AS877" i="178"/>
  <c r="AW877" i="178"/>
  <c r="BA877" i="178"/>
  <c r="BE877" i="178"/>
  <c r="BI877" i="178"/>
  <c r="BO877" i="178"/>
  <c r="AU877" i="178"/>
  <c r="AY877" i="178"/>
  <c r="BC877" i="178"/>
  <c r="BG877" i="178"/>
  <c r="BM877" i="178"/>
  <c r="BO726" i="178"/>
  <c r="BA726" i="178"/>
  <c r="BG726" i="178"/>
  <c r="BM726" i="178"/>
  <c r="AW726" i="178"/>
  <c r="BC726" i="178"/>
  <c r="AS726" i="178"/>
  <c r="AU726" i="178"/>
  <c r="BE726" i="178"/>
  <c r="BI726" i="178"/>
  <c r="AY726" i="178"/>
  <c r="BM330" i="178"/>
  <c r="AS330" i="178"/>
  <c r="AW330" i="178"/>
  <c r="BA330" i="178"/>
  <c r="BE330" i="178"/>
  <c r="BI330" i="178"/>
  <c r="BO330" i="178"/>
  <c r="BG330" i="178"/>
  <c r="AU330" i="178"/>
  <c r="AY330" i="178"/>
  <c r="BC330" i="178"/>
  <c r="BM951" i="178"/>
  <c r="AS951" i="178"/>
  <c r="BC951" i="178"/>
  <c r="BI951" i="178"/>
  <c r="BO951" i="178"/>
  <c r="AY951" i="178"/>
  <c r="BE951" i="178"/>
  <c r="BA951" i="178"/>
  <c r="AW951" i="178"/>
  <c r="BG951" i="178"/>
  <c r="AU951" i="178"/>
  <c r="BO483" i="178"/>
  <c r="AU483" i="178"/>
  <c r="AY483" i="178"/>
  <c r="BC483" i="178"/>
  <c r="BG483" i="178"/>
  <c r="BM483" i="178"/>
  <c r="BE483" i="178"/>
  <c r="AS483" i="178"/>
  <c r="BI483" i="178"/>
  <c r="AW483" i="178"/>
  <c r="BA483" i="178"/>
  <c r="BO823" i="178"/>
  <c r="AU823" i="178"/>
  <c r="AY823" i="178"/>
  <c r="BC823" i="178"/>
  <c r="BG823" i="178"/>
  <c r="BM823" i="178"/>
  <c r="BA823" i="178"/>
  <c r="BE823" i="178"/>
  <c r="AW823" i="178"/>
  <c r="AS823" i="178"/>
  <c r="BI823" i="178"/>
  <c r="AS525" i="178"/>
  <c r="AW525" i="178"/>
  <c r="BA525" i="178"/>
  <c r="BE525" i="178"/>
  <c r="BI525" i="178"/>
  <c r="BO525" i="178"/>
  <c r="AU525" i="178"/>
  <c r="AY525" i="178"/>
  <c r="BC525" i="178"/>
  <c r="BG525" i="178"/>
  <c r="BM525" i="178"/>
  <c r="AS338" i="178"/>
  <c r="AW338" i="178"/>
  <c r="BA338" i="178"/>
  <c r="BE338" i="178"/>
  <c r="BI338" i="178"/>
  <c r="BO338" i="178"/>
  <c r="AU338" i="178"/>
  <c r="AY338" i="178"/>
  <c r="BC338" i="178"/>
  <c r="BG338" i="178"/>
  <c r="BM338" i="178"/>
  <c r="BO405" i="178"/>
  <c r="AU405" i="178"/>
  <c r="AY405" i="178"/>
  <c r="BC405" i="178"/>
  <c r="BG405" i="178"/>
  <c r="BM405" i="178"/>
  <c r="AS405" i="178"/>
  <c r="BI405" i="178"/>
  <c r="AW405" i="178"/>
  <c r="BE405" i="178"/>
  <c r="BA405" i="178"/>
  <c r="AU724" i="178"/>
  <c r="AY724" i="178"/>
  <c r="BC724" i="178"/>
  <c r="BG724" i="178"/>
  <c r="AS724" i="178"/>
  <c r="BI724" i="178"/>
  <c r="BO724" i="178"/>
  <c r="BA724" i="178"/>
  <c r="AW724" i="178"/>
  <c r="BM724" i="178"/>
  <c r="BE724" i="178"/>
  <c r="BM950" i="178"/>
  <c r="AW950" i="178"/>
  <c r="BG950" i="178"/>
  <c r="AS950" i="178"/>
  <c r="AY950" i="178"/>
  <c r="BO950" i="178"/>
  <c r="BA950" i="178"/>
  <c r="BI950" i="178"/>
  <c r="BC950" i="178"/>
  <c r="BE950" i="178"/>
  <c r="AU950" i="178"/>
  <c r="AU529" i="178"/>
  <c r="AY529" i="178"/>
  <c r="BC529" i="178"/>
  <c r="BG529" i="178"/>
  <c r="BM529" i="178"/>
  <c r="AW529" i="178"/>
  <c r="BE529" i="178"/>
  <c r="BO529" i="178"/>
  <c r="AS529" i="178"/>
  <c r="BA529" i="178"/>
  <c r="BI529" i="178"/>
  <c r="T494" i="178"/>
  <c r="V494" i="178" s="1"/>
  <c r="W494" i="178"/>
  <c r="AD494" i="178"/>
  <c r="AE494" i="178"/>
  <c r="AF494" i="178"/>
  <c r="AG494" i="178"/>
  <c r="AH494" i="178"/>
  <c r="AI494" i="178"/>
  <c r="AJ494" i="178"/>
  <c r="AK494" i="178"/>
  <c r="AL494" i="178"/>
  <c r="AM494" i="178"/>
  <c r="BK494" i="178" s="1"/>
  <c r="AN494" i="178"/>
  <c r="AO494" i="178"/>
  <c r="T793" i="178"/>
  <c r="U793" i="178" s="1"/>
  <c r="W793" i="178"/>
  <c r="AD793" i="178"/>
  <c r="AE793" i="178"/>
  <c r="AF793" i="178"/>
  <c r="AG793" i="178"/>
  <c r="AH793" i="178"/>
  <c r="AI793" i="178"/>
  <c r="AJ793" i="178"/>
  <c r="AK793" i="178"/>
  <c r="AL793" i="178"/>
  <c r="AM793" i="178"/>
  <c r="BK793" i="178" s="1"/>
  <c r="AN793" i="178"/>
  <c r="AO793" i="178"/>
  <c r="T883" i="178"/>
  <c r="V883" i="178" s="1"/>
  <c r="W883" i="178"/>
  <c r="AD883" i="178"/>
  <c r="AR883" i="178" s="1"/>
  <c r="AE883" i="178"/>
  <c r="AT883" i="178" s="1"/>
  <c r="AF883" i="178"/>
  <c r="AV883" i="178" s="1"/>
  <c r="AG883" i="178"/>
  <c r="AX883" i="178" s="1"/>
  <c r="AH883" i="178"/>
  <c r="AZ883" i="178" s="1"/>
  <c r="AI883" i="178"/>
  <c r="BB883" i="178" s="1"/>
  <c r="AJ883" i="178"/>
  <c r="BD883" i="178" s="1"/>
  <c r="AK883" i="178"/>
  <c r="BF883" i="178" s="1"/>
  <c r="AL883" i="178"/>
  <c r="BH883" i="178" s="1"/>
  <c r="AM883" i="178"/>
  <c r="AN883" i="178"/>
  <c r="BL883" i="178" s="1"/>
  <c r="AO883" i="178"/>
  <c r="BN883" i="178" s="1"/>
  <c r="B494" i="178"/>
  <c r="B793" i="178"/>
  <c r="B678" i="178"/>
  <c r="B911" i="178"/>
  <c r="BJ883" i="178" l="1"/>
  <c r="BK883" i="178"/>
  <c r="BL494" i="178"/>
  <c r="AR494" i="178"/>
  <c r="AV494" i="178"/>
  <c r="AZ494" i="178"/>
  <c r="BD494" i="178"/>
  <c r="BH494" i="178"/>
  <c r="BN494" i="178"/>
  <c r="BB494" i="178"/>
  <c r="BF494" i="178"/>
  <c r="AX494" i="178"/>
  <c r="AT494" i="178"/>
  <c r="BJ494" i="178"/>
  <c r="AY883" i="178"/>
  <c r="BA883" i="178"/>
  <c r="AU883" i="178"/>
  <c r="BO883" i="178"/>
  <c r="AW883" i="178"/>
  <c r="AR793" i="178"/>
  <c r="AV793" i="178"/>
  <c r="AZ793" i="178"/>
  <c r="BD793" i="178"/>
  <c r="BH793" i="178"/>
  <c r="AX793" i="178"/>
  <c r="BJ793" i="178"/>
  <c r="BN793" i="178"/>
  <c r="AT793" i="178"/>
  <c r="BB793" i="178"/>
  <c r="BF793" i="178"/>
  <c r="BL793" i="178"/>
  <c r="BG883" i="178"/>
  <c r="BI883" i="178"/>
  <c r="AS883" i="178"/>
  <c r="BC883" i="178"/>
  <c r="BE883" i="178"/>
  <c r="BM883" i="178"/>
  <c r="U883" i="178"/>
  <c r="U494" i="178"/>
  <c r="V793" i="178"/>
  <c r="AU494" i="178" l="1"/>
  <c r="AY494" i="178"/>
  <c r="BC494" i="178"/>
  <c r="BG494" i="178"/>
  <c r="AW494" i="178"/>
  <c r="BE494" i="178"/>
  <c r="BM494" i="178"/>
  <c r="AS494" i="178"/>
  <c r="BA494" i="178"/>
  <c r="BI494" i="178"/>
  <c r="BO494" i="178"/>
  <c r="BM793" i="178"/>
  <c r="AS793" i="178"/>
  <c r="AW793" i="178"/>
  <c r="BA793" i="178"/>
  <c r="BE793" i="178"/>
  <c r="BI793" i="178"/>
  <c r="BO793" i="178"/>
  <c r="BC793" i="178"/>
  <c r="BG793" i="178"/>
  <c r="AU793" i="178"/>
  <c r="AY793" i="178"/>
  <c r="S296" i="178" l="1"/>
  <c r="S878" i="178"/>
  <c r="S976" i="178"/>
  <c r="S140" i="178"/>
  <c r="S327" i="178"/>
  <c r="S326" i="178"/>
  <c r="S341" i="178"/>
  <c r="S331" i="178"/>
  <c r="S178" i="178"/>
  <c r="S120" i="178"/>
  <c r="S337" i="178"/>
  <c r="S714" i="178"/>
  <c r="S321" i="178"/>
  <c r="S884" i="178"/>
  <c r="S522" i="178"/>
  <c r="S336" i="178"/>
  <c r="S975" i="178"/>
  <c r="S297" i="178"/>
  <c r="S512" i="178"/>
  <c r="S905" i="178"/>
  <c r="S99" i="178"/>
  <c r="S514" i="178"/>
  <c r="S904" i="178"/>
  <c r="S880" i="178"/>
  <c r="S516" i="178"/>
  <c r="S705" i="178"/>
  <c r="S113" i="178"/>
  <c r="S521" i="178"/>
  <c r="S881" i="178"/>
  <c r="S704" i="178"/>
  <c r="C394" i="78"/>
  <c r="P83" i="55"/>
  <c r="P86" i="55"/>
  <c r="P87" i="55"/>
  <c r="P88" i="55"/>
  <c r="P90" i="55"/>
  <c r="P92" i="55"/>
  <c r="P93" i="55"/>
  <c r="Y39" i="178" s="1"/>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20" i="55"/>
  <c r="P122" i="55"/>
  <c r="P123" i="55"/>
  <c r="P124" i="55"/>
  <c r="P125" i="55"/>
  <c r="P126" i="55"/>
  <c r="P128" i="55"/>
  <c r="P129" i="55"/>
  <c r="P130" i="55"/>
  <c r="P132" i="55"/>
  <c r="P133" i="55"/>
  <c r="P134" i="55"/>
  <c r="P135" i="55"/>
  <c r="P136" i="55"/>
  <c r="P137" i="55"/>
  <c r="P138" i="55"/>
  <c r="P139" i="55"/>
  <c r="P140" i="55"/>
  <c r="P141" i="55"/>
  <c r="P142" i="55"/>
  <c r="P143" i="55"/>
  <c r="P144" i="55"/>
  <c r="P145" i="55"/>
  <c r="P146" i="55"/>
  <c r="P148" i="55"/>
  <c r="P149" i="55"/>
  <c r="P150" i="55"/>
  <c r="P151" i="55"/>
  <c r="P152" i="55"/>
  <c r="P153" i="55"/>
  <c r="P154" i="55"/>
  <c r="P156" i="55"/>
  <c r="P157" i="55"/>
  <c r="P158" i="55"/>
  <c r="P159" i="55"/>
  <c r="P160" i="55"/>
  <c r="P161" i="55"/>
  <c r="P162" i="55"/>
  <c r="P163" i="55"/>
  <c r="P164" i="55"/>
  <c r="P165" i="55"/>
  <c r="P166" i="55"/>
  <c r="P167" i="55"/>
  <c r="P168" i="55"/>
  <c r="P169" i="55"/>
  <c r="P170" i="55"/>
  <c r="P171" i="55"/>
  <c r="P172" i="55"/>
  <c r="P173" i="55"/>
  <c r="P174" i="55"/>
  <c r="P175" i="55"/>
  <c r="P177" i="55"/>
  <c r="P178" i="55"/>
  <c r="P179" i="55"/>
  <c r="P180" i="55"/>
  <c r="P181" i="55"/>
  <c r="P182" i="55"/>
  <c r="P183" i="55"/>
  <c r="P184" i="55"/>
  <c r="P185" i="55"/>
  <c r="P186" i="55"/>
  <c r="P187" i="55"/>
  <c r="P188" i="55"/>
  <c r="P189" i="55"/>
  <c r="P190" i="55"/>
  <c r="P200" i="55"/>
  <c r="P201" i="55"/>
  <c r="P202" i="55"/>
  <c r="P204" i="55"/>
  <c r="P205" i="55"/>
  <c r="P206" i="55"/>
  <c r="P207" i="55"/>
  <c r="P208" i="55"/>
  <c r="P209" i="55"/>
  <c r="P210" i="55"/>
  <c r="P211" i="55"/>
  <c r="P212" i="55"/>
  <c r="P218" i="55"/>
  <c r="P720" i="55"/>
  <c r="P374" i="55"/>
  <c r="P224" i="55"/>
  <c r="P225" i="55"/>
  <c r="P226" i="55"/>
  <c r="P227" i="55"/>
  <c r="P228" i="55"/>
  <c r="P229" i="55"/>
  <c r="P230" i="55"/>
  <c r="P231" i="55"/>
  <c r="P232" i="55"/>
  <c r="P233" i="55"/>
  <c r="P234" i="55"/>
  <c r="P291" i="55"/>
  <c r="P292" i="55"/>
  <c r="P235" i="55"/>
  <c r="P236" i="55"/>
  <c r="P237" i="55"/>
  <c r="P238" i="55"/>
  <c r="P239" i="55"/>
  <c r="P240" i="55"/>
  <c r="P241" i="55"/>
  <c r="P242" i="55"/>
  <c r="P243" i="55"/>
  <c r="P244" i="55"/>
  <c r="P245" i="55"/>
  <c r="P246" i="55"/>
  <c r="P247" i="55"/>
  <c r="P248" i="55"/>
  <c r="P249" i="55"/>
  <c r="P250" i="55"/>
  <c r="P251" i="55"/>
  <c r="P252" i="55"/>
  <c r="Y219" i="178" s="1"/>
  <c r="P253" i="55"/>
  <c r="P254" i="55"/>
  <c r="P255" i="55"/>
  <c r="P256" i="55"/>
  <c r="P257" i="55"/>
  <c r="P258" i="55"/>
  <c r="P259" i="55"/>
  <c r="Y231" i="178" s="1"/>
  <c r="P260" i="55"/>
  <c r="P264" i="55"/>
  <c r="P265" i="55"/>
  <c r="P266" i="55"/>
  <c r="P267" i="55"/>
  <c r="P268" i="55"/>
  <c r="P269" i="55"/>
  <c r="P270" i="55"/>
  <c r="P271" i="55"/>
  <c r="P262" i="55"/>
  <c r="P272" i="55"/>
  <c r="P273" i="55"/>
  <c r="P274" i="55"/>
  <c r="P275" i="55"/>
  <c r="P277" i="55"/>
  <c r="P278" i="55"/>
  <c r="P279" i="55"/>
  <c r="P280" i="55"/>
  <c r="P281" i="55"/>
  <c r="P282" i="55"/>
  <c r="P283" i="55"/>
  <c r="P285" i="55"/>
  <c r="P284" i="55"/>
  <c r="P286" i="55"/>
  <c r="P287" i="55"/>
  <c r="P288" i="55"/>
  <c r="P289" i="55"/>
  <c r="P290" i="55"/>
  <c r="P293" i="55"/>
  <c r="P294" i="55"/>
  <c r="P296" i="55"/>
  <c r="P297" i="55"/>
  <c r="P298" i="55"/>
  <c r="P299" i="55"/>
  <c r="P300" i="55"/>
  <c r="P301" i="55"/>
  <c r="P302" i="55"/>
  <c r="P303" i="55"/>
  <c r="P304" i="55"/>
  <c r="P305" i="55"/>
  <c r="P306" i="55"/>
  <c r="P307" i="55"/>
  <c r="P308" i="55"/>
  <c r="P309" i="55"/>
  <c r="P316" i="55"/>
  <c r="P333" i="55"/>
  <c r="P334" i="55"/>
  <c r="P335" i="55"/>
  <c r="P336" i="55"/>
  <c r="P337" i="55"/>
  <c r="P338" i="55"/>
  <c r="P339" i="55"/>
  <c r="P340" i="55"/>
  <c r="Y318" i="178" s="1"/>
  <c r="P341" i="55"/>
  <c r="P346" i="55"/>
  <c r="P342" i="55"/>
  <c r="P343" i="55"/>
  <c r="P344" i="55"/>
  <c r="P347" i="55"/>
  <c r="P348" i="55"/>
  <c r="P349" i="55"/>
  <c r="P350" i="55"/>
  <c r="P351" i="55"/>
  <c r="P352" i="55"/>
  <c r="P353" i="55"/>
  <c r="P354" i="55"/>
  <c r="P355" i="55"/>
  <c r="P356" i="55"/>
  <c r="P357" i="55"/>
  <c r="P358" i="55"/>
  <c r="P359" i="55"/>
  <c r="P360" i="55"/>
  <c r="P361" i="55"/>
  <c r="P362" i="55"/>
  <c r="P363" i="55"/>
  <c r="P364" i="55"/>
  <c r="P365" i="55"/>
  <c r="P375" i="55"/>
  <c r="P376" i="55"/>
  <c r="P377" i="55"/>
  <c r="P378" i="55"/>
  <c r="P379" i="55"/>
  <c r="P380" i="55"/>
  <c r="P381" i="55"/>
  <c r="P382" i="55"/>
  <c r="P383" i="55"/>
  <c r="P384" i="55"/>
  <c r="P385" i="55"/>
  <c r="P386" i="55"/>
  <c r="P387" i="55"/>
  <c r="P388" i="55"/>
  <c r="P389" i="55"/>
  <c r="P390" i="55"/>
  <c r="P391" i="55"/>
  <c r="P392" i="55"/>
  <c r="P393" i="55"/>
  <c r="P394" i="55"/>
  <c r="P395" i="55"/>
  <c r="P396" i="55"/>
  <c r="P411" i="55"/>
  <c r="P397" i="55"/>
  <c r="P398" i="55"/>
  <c r="P399" i="55"/>
  <c r="P400" i="55"/>
  <c r="P401" i="55"/>
  <c r="P402" i="55"/>
  <c r="P403" i="55"/>
  <c r="P404" i="55"/>
  <c r="P405" i="55"/>
  <c r="P406" i="55"/>
  <c r="P407" i="55"/>
  <c r="P408" i="55"/>
  <c r="Y410" i="178" s="1"/>
  <c r="P409" i="55"/>
  <c r="P412" i="55"/>
  <c r="P413" i="55"/>
  <c r="P414" i="55"/>
  <c r="P415" i="55"/>
  <c r="P416" i="55"/>
  <c r="P417" i="55"/>
  <c r="P418" i="55"/>
  <c r="P419" i="55"/>
  <c r="P420" i="55"/>
  <c r="P421" i="55"/>
  <c r="P422" i="55"/>
  <c r="P423" i="55"/>
  <c r="P424" i="55"/>
  <c r="P425" i="55"/>
  <c r="P426" i="55"/>
  <c r="P427" i="55"/>
  <c r="P428" i="55"/>
  <c r="P429" i="55"/>
  <c r="P430" i="55"/>
  <c r="P431" i="55"/>
  <c r="P432" i="55"/>
  <c r="P433" i="55"/>
  <c r="Y427" i="178" s="1"/>
  <c r="P434" i="55"/>
  <c r="P435" i="55"/>
  <c r="P436" i="55"/>
  <c r="P437" i="55"/>
  <c r="P438" i="55"/>
  <c r="P439" i="55"/>
  <c r="P440" i="55"/>
  <c r="P441" i="55"/>
  <c r="Y440" i="178" s="1"/>
  <c r="P442" i="55"/>
  <c r="P443" i="55"/>
  <c r="P444" i="55"/>
  <c r="P445" i="55"/>
  <c r="P446" i="55"/>
  <c r="P447" i="55"/>
  <c r="P448" i="55"/>
  <c r="P449" i="55"/>
  <c r="P450" i="55"/>
  <c r="P451" i="55"/>
  <c r="P467" i="55"/>
  <c r="P452" i="55"/>
  <c r="P453" i="55"/>
  <c r="P454" i="55"/>
  <c r="P455" i="55"/>
  <c r="P456" i="55"/>
  <c r="P457" i="55"/>
  <c r="P458" i="55"/>
  <c r="P459" i="55"/>
  <c r="P460" i="55"/>
  <c r="P461" i="55"/>
  <c r="P462" i="55"/>
  <c r="P463" i="55"/>
  <c r="P468" i="55"/>
  <c r="P470" i="55"/>
  <c r="P471" i="55"/>
  <c r="Y474" i="178" s="1"/>
  <c r="P660" i="55"/>
  <c r="P474" i="55"/>
  <c r="P475" i="55"/>
  <c r="P476" i="55"/>
  <c r="P477" i="55"/>
  <c r="P478" i="55"/>
  <c r="P479" i="55"/>
  <c r="P480" i="55"/>
  <c r="P481" i="55"/>
  <c r="P482" i="55"/>
  <c r="P483" i="55"/>
  <c r="P484" i="55"/>
  <c r="P485" i="55"/>
  <c r="P486" i="55"/>
  <c r="P487" i="55"/>
  <c r="P488" i="55"/>
  <c r="P489" i="55"/>
  <c r="P493" i="55"/>
  <c r="P494" i="55"/>
  <c r="P495" i="55"/>
  <c r="P496" i="55"/>
  <c r="P497" i="55"/>
  <c r="P498" i="55"/>
  <c r="P499" i="55"/>
  <c r="P500" i="55"/>
  <c r="P501" i="55"/>
  <c r="P502" i="55"/>
  <c r="P503" i="55"/>
  <c r="P504" i="55"/>
  <c r="P505" i="55"/>
  <c r="P506" i="55"/>
  <c r="P507" i="55"/>
  <c r="P508" i="55"/>
  <c r="P509" i="55"/>
  <c r="P510" i="55"/>
  <c r="P511" i="55"/>
  <c r="P512" i="55"/>
  <c r="P513" i="55"/>
  <c r="P514" i="55"/>
  <c r="P515" i="55"/>
  <c r="P516" i="55"/>
  <c r="P517" i="55"/>
  <c r="P518" i="55"/>
  <c r="P519" i="55"/>
  <c r="P520" i="55"/>
  <c r="P521" i="55"/>
  <c r="P522" i="55"/>
  <c r="P523" i="55"/>
  <c r="P524" i="55"/>
  <c r="P525" i="55"/>
  <c r="P526" i="55"/>
  <c r="P527" i="55"/>
  <c r="P528" i="55"/>
  <c r="P529" i="55"/>
  <c r="P530" i="55"/>
  <c r="P531" i="55"/>
  <c r="P532" i="55"/>
  <c r="P533" i="55"/>
  <c r="P534" i="55"/>
  <c r="P535" i="55"/>
  <c r="P536" i="55"/>
  <c r="P537" i="55"/>
  <c r="P673" i="55"/>
  <c r="P538" i="55"/>
  <c r="P539" i="55"/>
  <c r="P540" i="55"/>
  <c r="P671" i="55"/>
  <c r="P672" i="55"/>
  <c r="Y736" i="178" s="1"/>
  <c r="P541" i="55"/>
  <c r="P542" i="55"/>
  <c r="P543" i="55"/>
  <c r="P544" i="55"/>
  <c r="P545" i="55"/>
  <c r="P546" i="55"/>
  <c r="P547" i="55"/>
  <c r="P548" i="55"/>
  <c r="P549" i="55"/>
  <c r="P550" i="55"/>
  <c r="P551" i="55"/>
  <c r="P552" i="55"/>
  <c r="P553" i="55"/>
  <c r="P554" i="55"/>
  <c r="P555" i="55"/>
  <c r="P556" i="55"/>
  <c r="P557" i="55"/>
  <c r="P558" i="55"/>
  <c r="P559" i="55"/>
  <c r="P560" i="55"/>
  <c r="P561" i="55"/>
  <c r="P562" i="55"/>
  <c r="P563" i="55"/>
  <c r="P564" i="55"/>
  <c r="P565" i="55"/>
  <c r="P566" i="55"/>
  <c r="P567" i="55"/>
  <c r="P568" i="55"/>
  <c r="P569" i="55"/>
  <c r="P570" i="55"/>
  <c r="P571" i="55"/>
  <c r="P572" i="55"/>
  <c r="P573" i="55"/>
  <c r="P574" i="55"/>
  <c r="P575" i="55"/>
  <c r="P576" i="55"/>
  <c r="P577" i="55"/>
  <c r="P578" i="55"/>
  <c r="P579" i="55"/>
  <c r="P580" i="55"/>
  <c r="P581" i="55"/>
  <c r="P582" i="55"/>
  <c r="P583" i="55"/>
  <c r="P584" i="55"/>
  <c r="P585" i="55"/>
  <c r="P586" i="55"/>
  <c r="P587" i="55"/>
  <c r="P588" i="55"/>
  <c r="P589" i="55"/>
  <c r="P590" i="55"/>
  <c r="P591" i="55"/>
  <c r="P592" i="55"/>
  <c r="P593" i="55"/>
  <c r="P594" i="55"/>
  <c r="P595" i="55"/>
  <c r="P596" i="55"/>
  <c r="P597" i="55"/>
  <c r="P598" i="55"/>
  <c r="P599" i="55"/>
  <c r="P601" i="55"/>
  <c r="P600" i="55"/>
  <c r="P602" i="55"/>
  <c r="P603" i="55"/>
  <c r="P604" i="55"/>
  <c r="P605" i="55"/>
  <c r="Y562" i="178" s="1"/>
  <c r="P606" i="55"/>
  <c r="P607" i="55"/>
  <c r="P608" i="55"/>
  <c r="P609" i="55"/>
  <c r="P610" i="55"/>
  <c r="P611" i="55"/>
  <c r="P612" i="55"/>
  <c r="P613" i="55"/>
  <c r="P614" i="55"/>
  <c r="P615" i="55"/>
  <c r="P616" i="55"/>
  <c r="P617" i="55"/>
  <c r="P618" i="55"/>
  <c r="P619" i="55"/>
  <c r="P620" i="55"/>
  <c r="P621" i="55"/>
  <c r="P625" i="55"/>
  <c r="P626" i="55"/>
  <c r="P627" i="55"/>
  <c r="P628" i="55"/>
  <c r="P629" i="55"/>
  <c r="P630" i="55"/>
  <c r="P631" i="55"/>
  <c r="P632" i="55"/>
  <c r="P633" i="55"/>
  <c r="P634" i="55"/>
  <c r="P635" i="55"/>
  <c r="P636" i="55"/>
  <c r="P637" i="55"/>
  <c r="P639" i="55"/>
  <c r="P640" i="55"/>
  <c r="P641" i="55"/>
  <c r="P642" i="55"/>
  <c r="P643" i="55"/>
  <c r="P644" i="55"/>
  <c r="P645" i="55"/>
  <c r="P646" i="55"/>
  <c r="P647" i="55"/>
  <c r="Y695" i="178" s="1"/>
  <c r="P648" i="55"/>
  <c r="P649" i="55"/>
  <c r="Y698" i="178" s="1"/>
  <c r="P650" i="55"/>
  <c r="Y702" i="178" s="1"/>
  <c r="P651" i="55"/>
  <c r="P652" i="55"/>
  <c r="Y703" i="178" s="1"/>
  <c r="P653" i="55"/>
  <c r="P654" i="55"/>
  <c r="P655" i="55"/>
  <c r="P656" i="55"/>
  <c r="P657" i="55"/>
  <c r="P658" i="55"/>
  <c r="P659" i="55"/>
  <c r="P661" i="55"/>
  <c r="P662" i="55"/>
  <c r="Y720" i="178" s="1"/>
  <c r="P663" i="55"/>
  <c r="P664" i="55"/>
  <c r="P665" i="55"/>
  <c r="P666" i="55"/>
  <c r="P667" i="55"/>
  <c r="P668" i="55"/>
  <c r="P669" i="55"/>
  <c r="P670" i="55"/>
  <c r="P681" i="55"/>
  <c r="P674" i="55"/>
  <c r="Y739" i="178" s="1"/>
  <c r="P682" i="55"/>
  <c r="O17" i="70"/>
  <c r="P685" i="55"/>
  <c r="P686" i="55"/>
  <c r="P687" i="55"/>
  <c r="P688" i="55"/>
  <c r="P689" i="55"/>
  <c r="P690" i="55"/>
  <c r="P691" i="55"/>
  <c r="P692" i="55"/>
  <c r="P693" i="55"/>
  <c r="P694" i="55"/>
  <c r="P695" i="55"/>
  <c r="P696" i="55"/>
  <c r="P697" i="55"/>
  <c r="P698" i="55"/>
  <c r="P699" i="55"/>
  <c r="P700" i="55"/>
  <c r="P701" i="55"/>
  <c r="P702" i="55"/>
  <c r="P703" i="55"/>
  <c r="P704" i="55"/>
  <c r="P705" i="55"/>
  <c r="P706" i="55"/>
  <c r="P707" i="55"/>
  <c r="P708" i="55"/>
  <c r="Y775" i="178" s="1"/>
  <c r="P709" i="55"/>
  <c r="Y779" i="178" s="1"/>
  <c r="P710" i="55"/>
  <c r="P711" i="55"/>
  <c r="P712" i="55"/>
  <c r="P713" i="55"/>
  <c r="P714" i="55"/>
  <c r="P715" i="55"/>
  <c r="P716" i="55"/>
  <c r="P717" i="55"/>
  <c r="P718" i="55"/>
  <c r="P719" i="55"/>
  <c r="P721" i="55"/>
  <c r="P722" i="55"/>
  <c r="P723" i="55"/>
  <c r="P724" i="55"/>
  <c r="P725" i="55"/>
  <c r="P726" i="55"/>
  <c r="P727" i="55"/>
  <c r="P728" i="55"/>
  <c r="P729" i="55"/>
  <c r="P730" i="55"/>
  <c r="P731" i="55"/>
  <c r="P732" i="55"/>
  <c r="P735" i="55"/>
  <c r="P736" i="55"/>
  <c r="P737" i="55"/>
  <c r="P738" i="55"/>
  <c r="P739" i="55"/>
  <c r="P740" i="55"/>
  <c r="P741" i="55"/>
  <c r="P742" i="55"/>
  <c r="P745" i="55"/>
  <c r="P746" i="55"/>
  <c r="P747" i="55"/>
  <c r="P748" i="55"/>
  <c r="P749" i="55"/>
  <c r="P750" i="55"/>
  <c r="P751" i="55"/>
  <c r="P752" i="55"/>
  <c r="P753" i="55"/>
  <c r="P754" i="55"/>
  <c r="P755" i="55"/>
  <c r="P756" i="55"/>
  <c r="P757" i="55"/>
  <c r="P758" i="55"/>
  <c r="P759" i="55"/>
  <c r="Y339" i="178" s="1"/>
  <c r="P760" i="55"/>
  <c r="P761" i="55"/>
  <c r="P762" i="55"/>
  <c r="P764" i="55"/>
  <c r="P765" i="55"/>
  <c r="P766" i="55"/>
  <c r="P767" i="55"/>
  <c r="P768" i="55"/>
  <c r="P769" i="55"/>
  <c r="P770" i="55"/>
  <c r="P771" i="55"/>
  <c r="P772" i="55"/>
  <c r="P773" i="55"/>
  <c r="P774" i="55"/>
  <c r="P775" i="55"/>
  <c r="P776" i="55"/>
  <c r="P777" i="55"/>
  <c r="P778" i="55"/>
  <c r="P784" i="55"/>
  <c r="P785" i="55"/>
  <c r="P786" i="55"/>
  <c r="P779" i="55"/>
  <c r="P780" i="55"/>
  <c r="P781" i="55"/>
  <c r="P782" i="55"/>
  <c r="P783" i="55"/>
  <c r="P787" i="55"/>
  <c r="P788" i="55"/>
  <c r="P789" i="55"/>
  <c r="P793" i="55"/>
  <c r="P831" i="55"/>
  <c r="P794" i="55"/>
  <c r="P795" i="55"/>
  <c r="P796" i="55"/>
  <c r="P797" i="55"/>
  <c r="P798" i="55"/>
  <c r="P799" i="55"/>
  <c r="P833" i="55"/>
  <c r="P834" i="55"/>
  <c r="P800" i="55"/>
  <c r="P801" i="55"/>
  <c r="P802" i="55"/>
  <c r="P803" i="55"/>
  <c r="P804" i="55"/>
  <c r="P805" i="55"/>
  <c r="P806" i="55"/>
  <c r="P807" i="55"/>
  <c r="P808" i="55"/>
  <c r="P809" i="55"/>
  <c r="P810" i="55"/>
  <c r="P811" i="55"/>
  <c r="P812" i="55"/>
  <c r="P813" i="55"/>
  <c r="P814" i="55"/>
  <c r="P815" i="55"/>
  <c r="Y922" i="178" s="1"/>
  <c r="P816" i="55"/>
  <c r="P817" i="55"/>
  <c r="P820" i="55"/>
  <c r="P823" i="55"/>
  <c r="P824" i="55"/>
  <c r="P825" i="55"/>
  <c r="P826" i="55"/>
  <c r="P827" i="55"/>
  <c r="P828" i="55"/>
  <c r="P829" i="55"/>
  <c r="P368" i="55"/>
  <c r="P836" i="55"/>
  <c r="P837" i="55"/>
  <c r="Y977" i="178" s="1"/>
  <c r="P838" i="55"/>
  <c r="P839" i="55"/>
  <c r="P840" i="55"/>
  <c r="P841" i="55"/>
  <c r="P842" i="55"/>
  <c r="P843" i="55"/>
  <c r="P844" i="55"/>
  <c r="P845" i="55"/>
  <c r="P846" i="55"/>
  <c r="P847" i="55"/>
  <c r="P848" i="55"/>
  <c r="P849" i="55"/>
  <c r="P850" i="55"/>
  <c r="P851" i="55"/>
  <c r="P852" i="55"/>
  <c r="P853" i="55"/>
  <c r="P854" i="55"/>
  <c r="P855" i="55"/>
  <c r="P856" i="55"/>
  <c r="P857" i="55"/>
  <c r="O118" i="70" s="1"/>
  <c r="P860" i="55"/>
  <c r="P861" i="55"/>
  <c r="P862" i="55"/>
  <c r="P863" i="55"/>
  <c r="P864" i="55"/>
  <c r="P865" i="55"/>
  <c r="P866" i="55"/>
  <c r="P867" i="55"/>
  <c r="P868" i="55"/>
  <c r="P869" i="55"/>
  <c r="P870" i="55"/>
  <c r="P871" i="55"/>
  <c r="P872" i="55"/>
  <c r="P873" i="55"/>
  <c r="P874" i="55"/>
  <c r="P875" i="55"/>
  <c r="P876" i="55"/>
  <c r="P877" i="55"/>
  <c r="P878" i="55"/>
  <c r="P879" i="55"/>
  <c r="P880" i="55"/>
  <c r="P881" i="55"/>
  <c r="P882" i="55"/>
  <c r="P883" i="55"/>
  <c r="P884" i="55"/>
  <c r="P891" i="55"/>
  <c r="P892" i="55"/>
  <c r="P893" i="55"/>
  <c r="P894" i="55"/>
  <c r="P895" i="55"/>
  <c r="P896" i="55"/>
  <c r="P367" i="55"/>
  <c r="P898" i="55"/>
  <c r="P899" i="55"/>
  <c r="P900" i="55"/>
  <c r="P901" i="55"/>
  <c r="P902" i="55"/>
  <c r="P903" i="55"/>
  <c r="P904" i="55"/>
  <c r="P905" i="55"/>
  <c r="P906" i="55"/>
  <c r="P907" i="55"/>
  <c r="P2" i="55"/>
  <c r="P3" i="55"/>
  <c r="P4" i="55"/>
  <c r="P7" i="55"/>
  <c r="P8" i="55"/>
  <c r="P9" i="55"/>
  <c r="P11" i="55"/>
  <c r="P12" i="55"/>
  <c r="P13" i="55"/>
  <c r="P14" i="55"/>
  <c r="P15" i="55"/>
  <c r="P16" i="55"/>
  <c r="P17" i="55"/>
  <c r="P276" i="55"/>
  <c r="P19" i="55"/>
  <c r="P20" i="55"/>
  <c r="P21" i="55"/>
  <c r="P22" i="55"/>
  <c r="P23" i="55"/>
  <c r="P24" i="55"/>
  <c r="P25" i="55"/>
  <c r="P26" i="55"/>
  <c r="P27" i="55"/>
  <c r="P91" i="55"/>
  <c r="P29" i="55"/>
  <c r="P30" i="55"/>
  <c r="P31" i="55"/>
  <c r="P32" i="55"/>
  <c r="P33" i="55"/>
  <c r="P34" i="55"/>
  <c r="P35" i="55"/>
  <c r="P36" i="55"/>
  <c r="P37" i="55"/>
  <c r="P38" i="55"/>
  <c r="P39" i="55"/>
  <c r="P40" i="55"/>
  <c r="P41" i="55"/>
  <c r="P42" i="55"/>
  <c r="P43" i="55"/>
  <c r="P44" i="55"/>
  <c r="P45" i="55"/>
  <c r="P46" i="55"/>
  <c r="P47" i="55"/>
  <c r="P48" i="55"/>
  <c r="P49" i="55"/>
  <c r="P50" i="55"/>
  <c r="P51" i="55"/>
  <c r="P53" i="55"/>
  <c r="P54" i="55"/>
  <c r="P55" i="55"/>
  <c r="P56" i="55"/>
  <c r="P57" i="55"/>
  <c r="P58" i="55"/>
  <c r="P61" i="55"/>
  <c r="P62" i="55"/>
  <c r="P63" i="55"/>
  <c r="Y20" i="178" s="1"/>
  <c r="P64" i="55"/>
  <c r="P65" i="55"/>
  <c r="P66" i="55"/>
  <c r="Y915" i="178" s="1"/>
  <c r="P67" i="55"/>
  <c r="P68" i="55"/>
  <c r="P69" i="55"/>
  <c r="P70" i="55"/>
  <c r="P71" i="55"/>
  <c r="P72" i="55"/>
  <c r="Y38" i="178" s="1"/>
  <c r="P76" i="55"/>
  <c r="P77" i="55"/>
  <c r="P79" i="55"/>
  <c r="P80" i="55"/>
  <c r="P81" i="55"/>
  <c r="P82" i="55"/>
  <c r="O82" i="55"/>
  <c r="Q82" i="55"/>
  <c r="R82" i="55"/>
  <c r="O83" i="55"/>
  <c r="Q83" i="55"/>
  <c r="R83" i="55"/>
  <c r="C93" i="78"/>
  <c r="C94" i="78"/>
  <c r="O895" i="55"/>
  <c r="Q895" i="55"/>
  <c r="R895" i="55"/>
  <c r="C929" i="78"/>
  <c r="O207" i="55"/>
  <c r="Q207" i="55"/>
  <c r="R207" i="55"/>
  <c r="C224" i="78"/>
  <c r="C225" i="78"/>
  <c r="O367" i="55"/>
  <c r="Q367" i="55"/>
  <c r="R367" i="55"/>
  <c r="O368" i="55"/>
  <c r="Q368" i="55"/>
  <c r="R368" i="55"/>
  <c r="C395" i="78"/>
  <c r="O212" i="55"/>
  <c r="Q212" i="55"/>
  <c r="R212" i="55"/>
  <c r="C229" i="78"/>
  <c r="C199" i="78"/>
  <c r="O182" i="55"/>
  <c r="Q182" i="55"/>
  <c r="R182" i="55"/>
  <c r="O183" i="55"/>
  <c r="Q183" i="55"/>
  <c r="R183" i="55"/>
  <c r="O120" i="55"/>
  <c r="Q120" i="55"/>
  <c r="R120" i="55"/>
  <c r="O55" i="55"/>
  <c r="Q55" i="55"/>
  <c r="R55" i="55"/>
  <c r="C65" i="78"/>
  <c r="O47" i="55"/>
  <c r="Q47" i="55"/>
  <c r="R47" i="55"/>
  <c r="Y220" i="178" l="1"/>
  <c r="Y668" i="178"/>
  <c r="Y666" i="178"/>
  <c r="Y667" i="178"/>
  <c r="Y665" i="178"/>
  <c r="Y133" i="178"/>
  <c r="Y48" i="178"/>
  <c r="Y35" i="178"/>
  <c r="Y37" i="178"/>
  <c r="Y36" i="178"/>
  <c r="Y941" i="178"/>
  <c r="Y942" i="178"/>
  <c r="Y943" i="178"/>
  <c r="Y944" i="178"/>
  <c r="Y940" i="178"/>
  <c r="Y961" i="178"/>
  <c r="Y962" i="178"/>
  <c r="Y917" i="178"/>
  <c r="Y916" i="178"/>
  <c r="Y836" i="178"/>
  <c r="Y837" i="178"/>
  <c r="Y838" i="178"/>
  <c r="Y839" i="178"/>
  <c r="Y840" i="178"/>
  <c r="Y719" i="178"/>
  <c r="Y718" i="178"/>
  <c r="Y924" i="178"/>
  <c r="Y923" i="178"/>
  <c r="Y852" i="178"/>
  <c r="Y846" i="178"/>
  <c r="Y851" i="178"/>
  <c r="Y847" i="178"/>
  <c r="Y848" i="178"/>
  <c r="Y849" i="178"/>
  <c r="Y850" i="178"/>
  <c r="Y595" i="178"/>
  <c r="Y597" i="178"/>
  <c r="Y596" i="178"/>
  <c r="Y600" i="178"/>
  <c r="Y128" i="178"/>
  <c r="Y392" i="178"/>
  <c r="Y393" i="178"/>
  <c r="Y101" i="178"/>
  <c r="Y102" i="178"/>
  <c r="Y103" i="178"/>
  <c r="Y970" i="178"/>
  <c r="Y972" i="178"/>
  <c r="Y969" i="178"/>
  <c r="Y971" i="178"/>
  <c r="Y973" i="178"/>
  <c r="Y388" i="178"/>
  <c r="Y387" i="178"/>
  <c r="Y389" i="178"/>
  <c r="Y111" i="178"/>
  <c r="Y112" i="178"/>
  <c r="Y109" i="178"/>
  <c r="Y110" i="178"/>
  <c r="Y481" i="178"/>
  <c r="Y479" i="178"/>
  <c r="Y480" i="178"/>
  <c r="Y397" i="178"/>
  <c r="Y396" i="178"/>
  <c r="Y394" i="178"/>
  <c r="Y395" i="178"/>
  <c r="Y956" i="178"/>
  <c r="Y958" i="178"/>
  <c r="Y957" i="178"/>
  <c r="Y1001" i="178"/>
  <c r="Y1011" i="178"/>
  <c r="Y1013" i="178"/>
  <c r="Y592" i="178"/>
  <c r="Y1002" i="178"/>
  <c r="Y1012" i="178"/>
  <c r="Y1014" i="178"/>
  <c r="Y24" i="178"/>
  <c r="Y28" i="178"/>
  <c r="Y23" i="178"/>
  <c r="Y25" i="178"/>
  <c r="Y30" i="178"/>
  <c r="X19" i="178"/>
  <c r="X476" i="178"/>
  <c r="Y1038" i="178"/>
  <c r="Y914" i="178"/>
  <c r="Y669" i="178"/>
  <c r="Y1021" i="178"/>
  <c r="Y664" i="178"/>
  <c r="Y663" i="178"/>
  <c r="Y774" i="178"/>
  <c r="Y992" i="178"/>
  <c r="Y913" i="178"/>
  <c r="Y477" i="178"/>
  <c r="Y747" i="178"/>
  <c r="Y124" i="178"/>
  <c r="AA82" i="178"/>
  <c r="AB82" i="178" s="1"/>
  <c r="AA86" i="178"/>
  <c r="AB86" i="178" s="1"/>
  <c r="AA83" i="178"/>
  <c r="AB83" i="178" s="1"/>
  <c r="AA84" i="178"/>
  <c r="AB84" i="178" s="1"/>
  <c r="AA81" i="178"/>
  <c r="AB81" i="178" s="1"/>
  <c r="AA85" i="178"/>
  <c r="AB85" i="178" s="1"/>
  <c r="X475" i="178"/>
  <c r="Y21" i="178"/>
  <c r="Y22" i="178"/>
  <c r="Y131" i="178"/>
  <c r="Y920" i="178"/>
  <c r="Y540" i="178"/>
  <c r="Y475" i="178"/>
  <c r="Y316" i="178"/>
  <c r="Y92" i="178"/>
  <c r="Y93" i="178"/>
  <c r="Y96" i="178"/>
  <c r="Y706" i="178"/>
  <c r="Y95" i="178"/>
  <c r="Y661" i="178"/>
  <c r="Y97" i="178"/>
  <c r="Y123" i="178"/>
  <c r="Y472" i="178"/>
  <c r="Y912" i="178"/>
  <c r="Y98" i="178"/>
  <c r="Y122" i="178"/>
  <c r="Y471" i="178"/>
  <c r="Y662" i="178"/>
  <c r="Y696" i="178"/>
  <c r="Y453" i="178"/>
  <c r="Y721" i="178"/>
  <c r="Y89" i="178"/>
  <c r="Y659" i="178"/>
  <c r="Y451" i="178"/>
  <c r="Y657" i="178"/>
  <c r="Y58" i="178"/>
  <c r="Y60" i="178"/>
  <c r="Y446" i="178"/>
  <c r="Y684" i="178"/>
  <c r="Y59" i="178"/>
  <c r="Y61" i="178"/>
  <c r="Y651" i="178"/>
  <c r="Y1042" i="178"/>
  <c r="Y1023" i="178"/>
  <c r="Y1028" i="178"/>
  <c r="Y1029" i="178"/>
  <c r="Y1022" i="178"/>
  <c r="Y1025" i="178"/>
  <c r="Y1026" i="178"/>
  <c r="Y1033" i="178"/>
  <c r="Y414" i="178"/>
  <c r="Y51" i="178"/>
  <c r="Y624" i="178"/>
  <c r="Y722" i="178"/>
  <c r="Y713" i="178"/>
  <c r="Y707" i="178"/>
  <c r="Y933" i="178"/>
  <c r="Y558" i="178"/>
  <c r="Y717" i="178"/>
  <c r="Y767" i="178"/>
  <c r="Y401" i="178"/>
  <c r="Y772" i="178"/>
  <c r="Y644" i="178"/>
  <c r="Y929" i="178"/>
  <c r="Y488" i="178"/>
  <c r="Y26" i="178"/>
  <c r="Y29" i="178"/>
  <c r="Y344" i="178"/>
  <c r="Y346" i="178"/>
  <c r="Y349" i="178"/>
  <c r="Y363" i="178"/>
  <c r="Y622" i="178"/>
  <c r="Y643" i="178"/>
  <c r="Y499" i="178"/>
  <c r="Y27" i="178"/>
  <c r="Y332" i="178"/>
  <c r="Y345" i="178"/>
  <c r="Y348" i="178"/>
  <c r="Y350" i="178"/>
  <c r="Y354" i="178"/>
  <c r="Y364" i="178"/>
  <c r="Y716" i="178"/>
  <c r="Y434" i="178"/>
  <c r="Y898" i="178"/>
  <c r="Y900" i="178"/>
  <c r="Y902" i="178"/>
  <c r="Y248" i="178"/>
  <c r="Y250" i="178"/>
  <c r="Y252" i="178"/>
  <c r="Y254" i="178"/>
  <c r="Y264" i="178"/>
  <c r="Y266" i="178"/>
  <c r="Y621" i="178"/>
  <c r="Y641" i="178"/>
  <c r="Y433" i="178"/>
  <c r="Y899" i="178"/>
  <c r="Y901" i="178"/>
  <c r="Y247" i="178"/>
  <c r="Y249" i="178"/>
  <c r="Y251" i="178"/>
  <c r="Y253" i="178"/>
  <c r="Y263" i="178"/>
  <c r="Y265" i="178"/>
  <c r="Y270" i="178"/>
  <c r="Y715" i="178"/>
  <c r="Y863" i="178"/>
  <c r="Y865" i="178"/>
  <c r="Y867" i="178"/>
  <c r="Y200" i="178"/>
  <c r="Y864" i="178"/>
  <c r="Y866" i="178"/>
  <c r="Y868" i="178"/>
  <c r="Y862" i="178"/>
  <c r="Y827" i="178"/>
  <c r="Y859" i="178"/>
  <c r="Y618" i="178"/>
  <c r="Y197" i="178"/>
  <c r="Y844" i="178"/>
  <c r="Y778" i="178"/>
  <c r="Y832" i="178"/>
  <c r="Y805" i="178"/>
  <c r="Y801" i="178"/>
  <c r="Y794" i="178"/>
  <c r="Y797" i="178"/>
  <c r="Y799" i="178"/>
  <c r="Y796" i="178"/>
  <c r="Y798" i="178"/>
  <c r="Y800" i="178"/>
  <c r="Y795" i="178"/>
  <c r="Y691" i="178"/>
  <c r="Y690" i="178"/>
  <c r="Y647" i="178"/>
  <c r="Y648" i="178"/>
  <c r="Y637" i="178"/>
  <c r="Y639" i="178"/>
  <c r="Y636" i="178"/>
  <c r="Y638" i="178"/>
  <c r="Y612" i="178"/>
  <c r="Y608" i="178"/>
  <c r="Y189" i="178"/>
  <c r="Y673" i="178"/>
  <c r="Y605" i="178"/>
  <c r="Y729" i="178"/>
  <c r="Y742" i="178"/>
  <c r="Y745" i="178"/>
  <c r="Y602" i="178"/>
  <c r="Y418" i="178"/>
  <c r="Y744" i="178"/>
  <c r="Y187" i="178"/>
  <c r="Y567" i="178"/>
  <c r="Y571" i="178"/>
  <c r="Y497" i="178"/>
  <c r="Y501" i="178"/>
  <c r="Y509" i="178"/>
  <c r="Y520" i="178"/>
  <c r="Y500" i="178"/>
  <c r="Y503" i="178"/>
  <c r="Y511" i="178"/>
  <c r="Y493" i="178"/>
  <c r="Y496" i="178"/>
  <c r="Y495" i="178"/>
  <c r="Y466" i="178"/>
  <c r="Y468" i="178"/>
  <c r="Y599" i="178"/>
  <c r="Y569" i="178"/>
  <c r="Y317" i="178"/>
  <c r="Y590" i="178"/>
  <c r="Y591" i="178"/>
  <c r="Y995" i="178"/>
  <c r="Y998" i="178"/>
  <c r="Y154" i="178"/>
  <c r="Y996" i="178"/>
  <c r="Y999" i="178"/>
  <c r="Y589" i="178"/>
  <c r="Y1016" i="178"/>
  <c r="Y594" i="178"/>
  <c r="Y245" i="178"/>
  <c r="Y244" i="178"/>
  <c r="Y239" i="178"/>
  <c r="Y585" i="178"/>
  <c r="Y988" i="178"/>
  <c r="Y213" i="178"/>
  <c r="Y215" i="178"/>
  <c r="Y214" i="178"/>
  <c r="Y216" i="178"/>
  <c r="Y217" i="178"/>
  <c r="Y218" i="178"/>
  <c r="Y312" i="178"/>
  <c r="Y583" i="178"/>
  <c r="Y157" i="178"/>
  <c r="Y304" i="178"/>
  <c r="Y305" i="178"/>
  <c r="Y307" i="178"/>
  <c r="Y764" i="178"/>
  <c r="Y306" i="178"/>
  <c r="Y581" i="178"/>
  <c r="Y553" i="178"/>
  <c r="Y114" i="178"/>
  <c r="Y139" i="178"/>
  <c r="Y144" i="178"/>
  <c r="Y142" i="178"/>
  <c r="Y143" i="178"/>
  <c r="Y115" i="178"/>
  <c r="Y119" i="178"/>
  <c r="Y121" i="178"/>
  <c r="Y132" i="178"/>
  <c r="Y544" i="178"/>
  <c r="Y299" i="178"/>
  <c r="Y756" i="178"/>
  <c r="Y81" i="178"/>
  <c r="Y83" i="178"/>
  <c r="Y85" i="178"/>
  <c r="Y87" i="178"/>
  <c r="Y91" i="178"/>
  <c r="Y100" i="178"/>
  <c r="Y82" i="178"/>
  <c r="Y84" i="178"/>
  <c r="Y86" i="178"/>
  <c r="Y90" i="178"/>
  <c r="Y94" i="178"/>
  <c r="Y79" i="178"/>
  <c r="Y919" i="178"/>
  <c r="Y539" i="178"/>
  <c r="Y130" i="178"/>
  <c r="Y127" i="178"/>
  <c r="Y15" i="178"/>
  <c r="Y17" i="178"/>
  <c r="Y14" i="178"/>
  <c r="Y16" i="178"/>
  <c r="Y5" i="178"/>
  <c r="Y7" i="178"/>
  <c r="Y9" i="178"/>
  <c r="Y4" i="178"/>
  <c r="Y6" i="178"/>
  <c r="Y8" i="178"/>
  <c r="Y10" i="178"/>
  <c r="Y506" i="178"/>
  <c r="Y997" i="178"/>
  <c r="Y751" i="178"/>
  <c r="Y513" i="178"/>
  <c r="Y126" i="178"/>
  <c r="Y505" i="178"/>
  <c r="Y953" i="178"/>
  <c r="Y454" i="178"/>
  <c r="Y697" i="178"/>
  <c r="Y88" i="178"/>
  <c r="Y658" i="178"/>
  <c r="Y450" i="178"/>
  <c r="Y449" i="178"/>
  <c r="Y656" i="178"/>
  <c r="Y966" i="178"/>
  <c r="Y810" i="178"/>
  <c r="Y812" i="178"/>
  <c r="Y814" i="178"/>
  <c r="Y816" i="178"/>
  <c r="Y809" i="178"/>
  <c r="Y811" i="178"/>
  <c r="Y813" i="178"/>
  <c r="Y815" i="178"/>
  <c r="Y650" i="178"/>
  <c r="Y683" i="178"/>
  <c r="Y57" i="178"/>
  <c r="Y631" i="178"/>
  <c r="Y978" i="178"/>
  <c r="Y979" i="178"/>
  <c r="Y104" i="178"/>
  <c r="Y686" i="178"/>
  <c r="Y563" i="178"/>
  <c r="O93" i="70"/>
  <c r="Y417" i="178"/>
  <c r="Y628" i="178"/>
  <c r="Y408" i="178"/>
  <c r="Y627" i="178"/>
  <c r="Y404" i="178"/>
  <c r="Y931" i="178"/>
  <c r="Y926" i="178"/>
  <c r="Y780" i="178"/>
  <c r="Y927" i="178"/>
  <c r="Y642" i="178"/>
  <c r="Y907" i="178"/>
  <c r="Y909" i="178"/>
  <c r="Y906" i="178"/>
  <c r="Y271" i="178"/>
  <c r="Y322" i="178"/>
  <c r="Y771" i="178"/>
  <c r="Y892" i="178"/>
  <c r="Y887" i="178"/>
  <c r="Y871" i="178"/>
  <c r="Y885" i="178"/>
  <c r="Y872" i="178"/>
  <c r="Y875" i="178"/>
  <c r="Y870" i="178"/>
  <c r="Y575" i="178"/>
  <c r="Y861" i="178"/>
  <c r="Y199" i="178"/>
  <c r="Y770" i="178"/>
  <c r="Y857" i="178"/>
  <c r="Y826" i="178"/>
  <c r="Y431" i="178"/>
  <c r="Y858" i="178"/>
  <c r="Y619" i="178"/>
  <c r="Y845" i="178"/>
  <c r="Y196" i="178"/>
  <c r="Y572" i="178"/>
  <c r="Y430" i="178"/>
  <c r="Y777" i="178"/>
  <c r="Y843" i="178"/>
  <c r="Y831" i="178"/>
  <c r="Y806" i="178"/>
  <c r="Y523" i="178"/>
  <c r="Y804" i="178"/>
  <c r="Y790" i="178"/>
  <c r="Y789" i="178"/>
  <c r="Y193" i="178"/>
  <c r="Y788" i="178"/>
  <c r="Y787" i="178"/>
  <c r="Y192" i="178"/>
  <c r="Y681" i="178"/>
  <c r="Y470" i="178"/>
  <c r="Y615" i="178"/>
  <c r="Y825" i="178"/>
  <c r="Y452" i="178"/>
  <c r="Y733" i="178"/>
  <c r="Y734" i="178"/>
  <c r="Y426" i="178"/>
  <c r="Y614" i="178"/>
  <c r="Y190" i="178"/>
  <c r="Y611" i="178"/>
  <c r="Y424" i="178"/>
  <c r="Y604" i="178"/>
  <c r="Y580" i="178"/>
  <c r="Y606" i="178"/>
  <c r="Y555" i="178"/>
  <c r="Y564" i="178"/>
  <c r="Y559" i="178"/>
  <c r="Y462" i="178"/>
  <c r="Y463" i="178"/>
  <c r="Y464" i="178"/>
  <c r="Y568" i="178"/>
  <c r="Y230" i="178"/>
  <c r="Y1018" i="178"/>
  <c r="Y460" i="178"/>
  <c r="Y459" i="178"/>
  <c r="Y461" i="178"/>
  <c r="Y439" i="178"/>
  <c r="Y442" i="178"/>
  <c r="Y181" i="178"/>
  <c r="Y175" i="178"/>
  <c r="Y380" i="178"/>
  <c r="Y381" i="178"/>
  <c r="Y171" i="178"/>
  <c r="Y162" i="178"/>
  <c r="Y671" i="178"/>
  <c r="Y994" i="178"/>
  <c r="Y163" i="178"/>
  <c r="Y1015" i="178"/>
  <c r="Y593" i="178"/>
  <c r="Y587" i="178"/>
  <c r="Y990" i="178"/>
  <c r="Y362" i="178"/>
  <c r="Y234" i="178"/>
  <c r="Y233" i="178"/>
  <c r="Y194" i="178"/>
  <c r="Y209" i="178"/>
  <c r="Y211" i="178"/>
  <c r="Y208" i="178"/>
  <c r="Y210" i="178"/>
  <c r="Y212" i="178"/>
  <c r="Y753" i="178"/>
  <c r="Y137" i="178"/>
  <c r="Y78" i="178"/>
  <c r="Y65" i="178"/>
  <c r="Y71" i="178"/>
  <c r="Y73" i="178"/>
  <c r="Y75" i="178"/>
  <c r="Y72" i="178"/>
  <c r="Y74" i="178"/>
  <c r="Y76" i="178"/>
  <c r="Y752" i="178"/>
  <c r="Y515" i="178"/>
  <c r="AA312" i="178"/>
  <c r="AB312" i="178" s="1"/>
  <c r="AA476" i="178"/>
  <c r="AB476" i="178" s="1"/>
  <c r="Y18" i="178"/>
  <c r="Y19" i="178"/>
  <c r="Y11" i="178"/>
  <c r="Y13" i="178"/>
  <c r="Y12" i="178"/>
  <c r="Y258" i="178"/>
  <c r="Y476" i="178"/>
  <c r="Y1003" i="178"/>
  <c r="Y748" i="178"/>
  <c r="Y125" i="178"/>
  <c r="Y478" i="178"/>
  <c r="Y952" i="178"/>
  <c r="Y456" i="178"/>
  <c r="Y458" i="178"/>
  <c r="Y660" i="178"/>
  <c r="Y652" i="178"/>
  <c r="Y653" i="178"/>
  <c r="Y655" i="178"/>
  <c r="Y448" i="178"/>
  <c r="Y654" i="178"/>
  <c r="Y1040" i="178"/>
  <c r="Y963" i="178"/>
  <c r="Y700" i="178"/>
  <c r="Y693" i="178"/>
  <c r="Y62" i="178"/>
  <c r="Y699" i="178"/>
  <c r="Y701" i="178"/>
  <c r="Y694" i="178"/>
  <c r="Y447" i="178"/>
  <c r="Y633" i="178"/>
  <c r="Y649" i="178"/>
  <c r="Y422" i="178"/>
  <c r="Y688" i="178"/>
  <c r="Y578" i="178"/>
  <c r="Y632" i="178"/>
  <c r="Y689" i="178"/>
  <c r="Y682" i="178"/>
  <c r="Y56" i="178"/>
  <c r="Y980" i="178"/>
  <c r="Y1009" i="178"/>
  <c r="Y982" i="178"/>
  <c r="Y984" i="178"/>
  <c r="Y981" i="178"/>
  <c r="Y987" i="178"/>
  <c r="Y1004" i="178"/>
  <c r="Y1007" i="178"/>
  <c r="Y1010" i="178"/>
  <c r="Y985" i="178"/>
  <c r="Y983" i="178"/>
  <c r="Y986" i="178"/>
  <c r="Y1005" i="178"/>
  <c r="Y1006" i="178"/>
  <c r="Y1008" i="178"/>
  <c r="Y415" i="178"/>
  <c r="Y625" i="178"/>
  <c r="Y626" i="178"/>
  <c r="Y416" i="178"/>
  <c r="Y407" i="178"/>
  <c r="Y489" i="178"/>
  <c r="Y403" i="178"/>
  <c r="Y561" i="178"/>
  <c r="Y945" i="178"/>
  <c r="Y946" i="178"/>
  <c r="Y938" i="178"/>
  <c r="Y947" i="178"/>
  <c r="Y948" i="178"/>
  <c r="Y934" i="178"/>
  <c r="Y935" i="178"/>
  <c r="Y33" i="178"/>
  <c r="Y31" i="178"/>
  <c r="Y400" i="178"/>
  <c r="Y895" i="178"/>
  <c r="Y896" i="178"/>
  <c r="Y897" i="178"/>
  <c r="Y894" i="178"/>
  <c r="Y893" i="178"/>
  <c r="Y886" i="178"/>
  <c r="Y574" i="178"/>
  <c r="Y860" i="178"/>
  <c r="Y198" i="178"/>
  <c r="Y769" i="178"/>
  <c r="Y334" i="178"/>
  <c r="Y570" i="178"/>
  <c r="Y429" i="178"/>
  <c r="Y841" i="178"/>
  <c r="Y842" i="178"/>
  <c r="Y195" i="178"/>
  <c r="Y617" i="178"/>
  <c r="Y428" i="178"/>
  <c r="Y803" i="178"/>
  <c r="Y773" i="178"/>
  <c r="Y761" i="178"/>
  <c r="Y760" i="178"/>
  <c r="Y723" i="178"/>
  <c r="Y735" i="178"/>
  <c r="Y725" i="178"/>
  <c r="Y709" i="178"/>
  <c r="Y710" i="178"/>
  <c r="Y685" i="178"/>
  <c r="Y680" i="178"/>
  <c r="Y676" i="178"/>
  <c r="Y610" i="178"/>
  <c r="Y607" i="178"/>
  <c r="Y398" i="178"/>
  <c r="Y1020" i="178"/>
  <c r="Y738" i="178"/>
  <c r="Y419" i="178"/>
  <c r="Y737" i="178"/>
  <c r="Y601" i="178"/>
  <c r="Y186" i="178"/>
  <c r="Y536" i="178"/>
  <c r="Y538" i="178"/>
  <c r="Y546" i="178"/>
  <c r="Y554" i="178"/>
  <c r="Y537" i="178"/>
  <c r="Y542" i="178"/>
  <c r="Y550" i="178"/>
  <c r="Y498" i="178"/>
  <c r="Y328" i="178"/>
  <c r="Y1019" i="178"/>
  <c r="Y185" i="178"/>
  <c r="Y484" i="178"/>
  <c r="Y485" i="178"/>
  <c r="Y487" i="178"/>
  <c r="Y490" i="178"/>
  <c r="Y492" i="178"/>
  <c r="Y324" i="178"/>
  <c r="Y486" i="178"/>
  <c r="Y473" i="178"/>
  <c r="Y435" i="178"/>
  <c r="Y438" i="178"/>
  <c r="Y180" i="178"/>
  <c r="Y329" i="178"/>
  <c r="Y176" i="178"/>
  <c r="Y672" i="178"/>
  <c r="Y1017" i="178"/>
  <c r="Y598" i="178"/>
  <c r="Y384" i="178"/>
  <c r="Y386" i="178"/>
  <c r="Y385" i="178"/>
  <c r="Y379" i="178"/>
  <c r="Y367" i="178"/>
  <c r="Y369" i="178"/>
  <c r="Y371" i="178"/>
  <c r="Y373" i="178"/>
  <c r="Y375" i="178"/>
  <c r="Y377" i="178"/>
  <c r="Y366" i="178"/>
  <c r="Y368" i="178"/>
  <c r="Y370" i="178"/>
  <c r="Y372" i="178"/>
  <c r="Y374" i="178"/>
  <c r="Y376" i="178"/>
  <c r="Y156" i="178"/>
  <c r="Y282" i="178"/>
  <c r="Y290" i="178"/>
  <c r="Y301" i="178"/>
  <c r="Y315" i="178"/>
  <c r="Y319" i="178"/>
  <c r="Y335" i="178"/>
  <c r="Y283" i="178"/>
  <c r="Y298" i="178"/>
  <c r="Y320" i="178"/>
  <c r="Y325" i="178"/>
  <c r="Y340" i="178"/>
  <c r="Y228" i="178"/>
  <c r="Y262" i="178"/>
  <c r="Y267" i="178"/>
  <c r="Y993" i="178"/>
  <c r="Y259" i="178"/>
  <c r="Y261" i="178"/>
  <c r="Y260" i="178"/>
  <c r="Y241" i="178"/>
  <c r="Y243" i="178"/>
  <c r="Y242" i="178"/>
  <c r="Y313" i="178"/>
  <c r="Y903" i="178"/>
  <c r="Y158" i="178"/>
  <c r="Y153" i="178"/>
  <c r="Y545" i="178"/>
  <c r="Y548" i="178"/>
  <c r="Y549" i="178"/>
  <c r="Y766" i="178"/>
  <c r="Y66" i="178"/>
  <c r="Y67" i="178"/>
  <c r="Y68" i="178"/>
  <c r="Y69" i="178"/>
  <c r="Y116" i="178"/>
  <c r="Y117" i="178"/>
  <c r="Y118" i="178"/>
  <c r="Y314" i="178"/>
  <c r="Y765" i="178"/>
  <c r="Y670" i="178"/>
  <c r="Y182" i="178"/>
  <c r="Y183" i="178"/>
  <c r="Y179" i="178"/>
  <c r="Y150" i="178"/>
  <c r="Y145" i="178"/>
  <c r="Y148" i="178"/>
  <c r="Y146" i="178"/>
  <c r="Y159" i="178"/>
  <c r="Y141" i="178"/>
  <c r="Y552" i="178"/>
  <c r="Y135" i="178"/>
  <c r="Y42" i="178"/>
  <c r="Y43" i="178"/>
  <c r="Y45" i="178"/>
  <c r="Y47" i="178"/>
  <c r="Y44" i="178"/>
  <c r="Y46" i="178"/>
  <c r="Y64" i="178"/>
  <c r="Y41" i="178"/>
  <c r="Y40" i="178"/>
  <c r="Y129" i="178"/>
  <c r="AA19" i="178"/>
  <c r="AB19" i="178" s="1"/>
  <c r="X83" i="178"/>
  <c r="X84" i="178"/>
  <c r="X81" i="178"/>
  <c r="X85" i="178"/>
  <c r="Z85" i="178" s="1"/>
  <c r="X82" i="178"/>
  <c r="X86" i="178"/>
  <c r="X312" i="178"/>
  <c r="Z312" i="178" s="1"/>
  <c r="AA475" i="178"/>
  <c r="AB475" i="178" s="1"/>
  <c r="Y455" i="178"/>
  <c r="Y967" i="178"/>
  <c r="Y457" i="178"/>
  <c r="Y968" i="178"/>
  <c r="Y1035" i="178"/>
  <c r="Y1039" i="178"/>
  <c r="Y869" i="178"/>
  <c r="Y817" i="178"/>
  <c r="Y820" i="178"/>
  <c r="Y822" i="178"/>
  <c r="Y835" i="178"/>
  <c r="Y819" i="178"/>
  <c r="Y821" i="178"/>
  <c r="Y834" i="178"/>
  <c r="Y784" i="178"/>
  <c r="Y785" i="178"/>
  <c r="Y783" i="178"/>
  <c r="Y1036" i="178"/>
  <c r="Y1037" i="178"/>
  <c r="Y776" i="178"/>
  <c r="Y52" i="178"/>
  <c r="Y54" i="178"/>
  <c r="Y420" i="178"/>
  <c r="Y630" i="178"/>
  <c r="Y152" i="178"/>
  <c r="Y566" i="178"/>
  <c r="Y53" i="178"/>
  <c r="Y55" i="178"/>
  <c r="Y421" i="178"/>
  <c r="Y768" i="178"/>
  <c r="Y565" i="178"/>
  <c r="Y959" i="178"/>
  <c r="Y960" i="178"/>
  <c r="Y34" i="178"/>
  <c r="Y402" i="178"/>
  <c r="Y937" i="178"/>
  <c r="Y645" i="178"/>
  <c r="Y32" i="178"/>
  <c r="Y557" i="178"/>
  <c r="Y623" i="178"/>
  <c r="Y49" i="178"/>
  <c r="Y930" i="178"/>
  <c r="Y411" i="178"/>
  <c r="Y399" i="178"/>
  <c r="Y640" i="178"/>
  <c r="Y432" i="178"/>
  <c r="Y889" i="178"/>
  <c r="Y891" i="178"/>
  <c r="Y202" i="178"/>
  <c r="Y204" i="178"/>
  <c r="Y206" i="178"/>
  <c r="Y221" i="178"/>
  <c r="Y223" i="178"/>
  <c r="Y225" i="178"/>
  <c r="Y620" i="178"/>
  <c r="Y358" i="178"/>
  <c r="Y888" i="178"/>
  <c r="Y890" i="178"/>
  <c r="Y201" i="178"/>
  <c r="Y203" i="178"/>
  <c r="Y205" i="178"/>
  <c r="Y207" i="178"/>
  <c r="Y222" i="178"/>
  <c r="Y224" i="178"/>
  <c r="Y226" i="178"/>
  <c r="Y674" i="178"/>
  <c r="Y833" i="178"/>
  <c r="Y955" i="178"/>
  <c r="Y409" i="178"/>
  <c r="Y629" i="178"/>
  <c r="Y616" i="178"/>
  <c r="Y754" i="178"/>
  <c r="Y755" i="178"/>
  <c r="Y730" i="178"/>
  <c r="Y732" i="178"/>
  <c r="Y613" i="178"/>
  <c r="Y425" i="178"/>
  <c r="Y731" i="178"/>
  <c r="Y191" i="178"/>
  <c r="Y609" i="178"/>
  <c r="Y188" i="178"/>
  <c r="Y727" i="178"/>
  <c r="Y576" i="178"/>
  <c r="Y579" i="178"/>
  <c r="Y577" i="178"/>
  <c r="Y526" i="178"/>
  <c r="Y528" i="178"/>
  <c r="Y531" i="178"/>
  <c r="Y533" i="178"/>
  <c r="Y527" i="178"/>
  <c r="Y530" i="178"/>
  <c r="Y532" i="178"/>
  <c r="Y603" i="178"/>
  <c r="Y441" i="178"/>
  <c r="Y444" i="178"/>
  <c r="Y443" i="178"/>
  <c r="Y406" i="178"/>
  <c r="Y423" i="178"/>
  <c r="Y382" i="178"/>
  <c r="Y383" i="178"/>
  <c r="Y378" i="178"/>
  <c r="Y347" i="178"/>
  <c r="Y352" i="178"/>
  <c r="Y355" i="178"/>
  <c r="Y359" i="178"/>
  <c r="Y343" i="178"/>
  <c r="Y351" i="178"/>
  <c r="Y353" i="178"/>
  <c r="Y356" i="178"/>
  <c r="Y268" i="178"/>
  <c r="Y272" i="178"/>
  <c r="Y274" i="178"/>
  <c r="Y276" i="178"/>
  <c r="Y269" i="178"/>
  <c r="Y273" i="178"/>
  <c r="Y275" i="178"/>
  <c r="Y281" i="178"/>
  <c r="Y991" i="178"/>
  <c r="Y588" i="178"/>
  <c r="Y237" i="178"/>
  <c r="Y238" i="178"/>
  <c r="Y240" i="178"/>
  <c r="Y170" i="178"/>
  <c r="Y989" i="178"/>
  <c r="Y586" i="178"/>
  <c r="Y184" i="178"/>
  <c r="Y308" i="178"/>
  <c r="Y309" i="178"/>
  <c r="Y311" i="178"/>
  <c r="Y310" i="178"/>
  <c r="Y582" i="178"/>
  <c r="Y303" i="178"/>
  <c r="Y151" i="178"/>
  <c r="Y174" i="178"/>
  <c r="Y584" i="178"/>
  <c r="Y177" i="178"/>
  <c r="Y173" i="178"/>
  <c r="Y172" i="178"/>
  <c r="Y149" i="178"/>
  <c r="Y302" i="178"/>
  <c r="Y763" i="178"/>
  <c r="Y138" i="178"/>
  <c r="Y300" i="178"/>
  <c r="Y757" i="178"/>
  <c r="Y758" i="178"/>
  <c r="Y551" i="178"/>
  <c r="Y519" i="178"/>
  <c r="Y105" i="178"/>
  <c r="Y107" i="178"/>
  <c r="Y288" i="178"/>
  <c r="Y134" i="178"/>
  <c r="Y921" i="178"/>
  <c r="Y106" i="178"/>
  <c r="Y108" i="178"/>
  <c r="Y295" i="178"/>
  <c r="Y541" i="178"/>
  <c r="Y824" i="178"/>
  <c r="Y855" i="178"/>
  <c r="Y556" i="178"/>
  <c r="Y412" i="178"/>
  <c r="Y277" i="178"/>
  <c r="Y390" i="178"/>
  <c r="Y391" i="178"/>
  <c r="Y1024" i="178"/>
  <c r="Y873" i="178"/>
  <c r="Y964" i="178"/>
  <c r="Y965" i="178"/>
  <c r="Y1027" i="178"/>
  <c r="Y874" i="178"/>
  <c r="Y759" i="178"/>
  <c r="Y792" i="178"/>
  <c r="Y708" i="178"/>
  <c r="Y712" i="178"/>
  <c r="Y711" i="178"/>
  <c r="Y168" i="178"/>
  <c r="Y482" i="178"/>
  <c r="Y786" i="178"/>
  <c r="Y437" i="178"/>
  <c r="Y232" i="178"/>
  <c r="Y510" i="178"/>
  <c r="Y518" i="178"/>
  <c r="Y323" i="178"/>
  <c r="Y508" i="178"/>
  <c r="Y333" i="178"/>
  <c r="Y361" i="178"/>
  <c r="Y1034" i="178"/>
  <c r="Y50" i="178"/>
  <c r="Y80" i="178"/>
  <c r="Y236" i="178"/>
  <c r="Y360" i="178"/>
  <c r="Y161" i="178"/>
  <c r="O4" i="70"/>
  <c r="O5" i="70"/>
  <c r="Y160" i="178"/>
  <c r="Y504" i="178"/>
  <c r="Y167" i="178"/>
  <c r="Y524" i="178"/>
  <c r="Y169" i="178"/>
  <c r="Y405" i="178"/>
  <c r="Y525" i="178"/>
  <c r="Y529" i="178"/>
  <c r="Y883" i="178"/>
  <c r="Y950" i="178"/>
  <c r="Y726" i="178"/>
  <c r="Y483" i="178"/>
  <c r="Y330" i="178"/>
  <c r="Y338" i="178"/>
  <c r="Y724" i="178"/>
  <c r="Y936" i="178"/>
  <c r="Y494" i="178"/>
  <c r="Y793" i="178"/>
  <c r="Y782" i="178"/>
  <c r="Y823" i="178"/>
  <c r="Y877" i="178"/>
  <c r="Y951" i="178"/>
  <c r="AC85" i="178" l="1"/>
  <c r="Z83" i="178"/>
  <c r="AC83" i="178" s="1"/>
  <c r="Z82" i="178"/>
  <c r="AC82" i="178" s="1"/>
  <c r="Z84" i="178"/>
  <c r="AC84" i="178" s="1"/>
  <c r="Z86" i="178"/>
  <c r="AC86" i="178" s="1"/>
  <c r="Z81" i="178"/>
  <c r="AC81" i="178" s="1"/>
  <c r="AC312" i="178"/>
  <c r="Z476" i="178"/>
  <c r="AC476" i="178" s="1"/>
  <c r="Z19" i="178"/>
  <c r="AC19" i="178" s="1"/>
  <c r="Z475" i="178"/>
  <c r="AC475" i="178" s="1"/>
  <c r="S289" i="178"/>
  <c r="L132" i="183" l="1"/>
  <c r="J132" i="183"/>
  <c r="G132" i="183"/>
  <c r="H132" i="183" s="1"/>
  <c r="F132" i="183"/>
  <c r="E132" i="183"/>
  <c r="D132" i="183"/>
  <c r="B132" i="183"/>
  <c r="L131" i="183"/>
  <c r="J131" i="183"/>
  <c r="G131" i="183"/>
  <c r="I131" i="183" s="1"/>
  <c r="F131" i="183"/>
  <c r="E131" i="183"/>
  <c r="D131" i="183"/>
  <c r="B131" i="183"/>
  <c r="L130" i="183"/>
  <c r="J130" i="183"/>
  <c r="G130" i="183"/>
  <c r="H130" i="183" s="1"/>
  <c r="F130" i="183"/>
  <c r="E130" i="183"/>
  <c r="D130" i="183"/>
  <c r="B130" i="183"/>
  <c r="L129" i="183"/>
  <c r="M129" i="183" s="1"/>
  <c r="J129" i="183"/>
  <c r="K129" i="183" s="1"/>
  <c r="G129" i="183"/>
  <c r="I129" i="183" s="1"/>
  <c r="E129" i="183"/>
  <c r="D129" i="183"/>
  <c r="B129" i="183"/>
  <c r="L128" i="183"/>
  <c r="M128" i="183" s="1"/>
  <c r="J128" i="183"/>
  <c r="K128" i="183" s="1"/>
  <c r="G128" i="183"/>
  <c r="I128" i="183" s="1"/>
  <c r="E128" i="183"/>
  <c r="D128" i="183"/>
  <c r="B128" i="183"/>
  <c r="L127" i="183"/>
  <c r="M127" i="183" s="1"/>
  <c r="J127" i="183"/>
  <c r="K127" i="183" s="1"/>
  <c r="G127" i="183"/>
  <c r="H127" i="183" s="1"/>
  <c r="E127" i="183"/>
  <c r="D127" i="183"/>
  <c r="B127" i="183"/>
  <c r="L126" i="183"/>
  <c r="M126" i="183" s="1"/>
  <c r="J126" i="183"/>
  <c r="K126" i="183" s="1"/>
  <c r="G126" i="183"/>
  <c r="I126" i="183" s="1"/>
  <c r="E126" i="183"/>
  <c r="D126" i="183"/>
  <c r="B126" i="183"/>
  <c r="L125" i="183"/>
  <c r="M125" i="183" s="1"/>
  <c r="J125" i="183"/>
  <c r="G125" i="183"/>
  <c r="I125" i="183" s="1"/>
  <c r="F125" i="183"/>
  <c r="E125" i="183"/>
  <c r="D125" i="183"/>
  <c r="B125" i="183"/>
  <c r="L124" i="183"/>
  <c r="J124" i="183"/>
  <c r="G124" i="183"/>
  <c r="H124" i="183" s="1"/>
  <c r="F124" i="183"/>
  <c r="E124" i="183"/>
  <c r="D124" i="183"/>
  <c r="B124" i="183"/>
  <c r="L123" i="183"/>
  <c r="M123" i="183" s="1"/>
  <c r="J123" i="183"/>
  <c r="G123" i="183"/>
  <c r="I123" i="183" s="1"/>
  <c r="F123" i="183"/>
  <c r="E123" i="183"/>
  <c r="D123" i="183"/>
  <c r="B123" i="183"/>
  <c r="L122" i="183"/>
  <c r="J122" i="183"/>
  <c r="G122" i="183"/>
  <c r="H122" i="183" s="1"/>
  <c r="F122" i="183"/>
  <c r="E122" i="183"/>
  <c r="D122" i="183"/>
  <c r="B122" i="183"/>
  <c r="L121" i="183"/>
  <c r="M121" i="183" s="1"/>
  <c r="J121" i="183"/>
  <c r="G121" i="183"/>
  <c r="I121" i="183" s="1"/>
  <c r="F121" i="183"/>
  <c r="E121" i="183"/>
  <c r="D121" i="183"/>
  <c r="B121" i="183"/>
  <c r="L120" i="183"/>
  <c r="J120" i="183"/>
  <c r="G120" i="183"/>
  <c r="H120" i="183" s="1"/>
  <c r="F120" i="183"/>
  <c r="E120" i="183"/>
  <c r="D120" i="183"/>
  <c r="B120" i="183"/>
  <c r="L119" i="183"/>
  <c r="M119" i="183" s="1"/>
  <c r="J119" i="183"/>
  <c r="G119" i="183"/>
  <c r="I119" i="183" s="1"/>
  <c r="F119" i="183"/>
  <c r="E119" i="183"/>
  <c r="D119" i="183"/>
  <c r="B119" i="183"/>
  <c r="L118" i="183"/>
  <c r="J118" i="183"/>
  <c r="G118" i="183"/>
  <c r="H118" i="183" s="1"/>
  <c r="F118" i="183"/>
  <c r="E118" i="183"/>
  <c r="D118" i="183"/>
  <c r="B118" i="183"/>
  <c r="L117" i="183"/>
  <c r="J117" i="183"/>
  <c r="G117" i="183"/>
  <c r="H117" i="183" s="1"/>
  <c r="F117" i="183"/>
  <c r="E117" i="183"/>
  <c r="D117" i="183"/>
  <c r="B117" i="183"/>
  <c r="L116" i="183"/>
  <c r="J116" i="183"/>
  <c r="G116" i="183"/>
  <c r="H116" i="183" s="1"/>
  <c r="F116" i="183"/>
  <c r="E116" i="183"/>
  <c r="D116" i="183"/>
  <c r="B116" i="183"/>
  <c r="L115" i="183"/>
  <c r="M115" i="183" s="1"/>
  <c r="J115" i="183"/>
  <c r="G115" i="183"/>
  <c r="I115" i="183" s="1"/>
  <c r="F115" i="183"/>
  <c r="E115" i="183"/>
  <c r="D115" i="183"/>
  <c r="B115" i="183"/>
  <c r="L114" i="183"/>
  <c r="J114" i="183"/>
  <c r="G114" i="183"/>
  <c r="H114" i="183" s="1"/>
  <c r="F114" i="183"/>
  <c r="E114" i="183"/>
  <c r="D114" i="183"/>
  <c r="B114" i="183"/>
  <c r="L113" i="183"/>
  <c r="J113" i="183"/>
  <c r="G113" i="183"/>
  <c r="I113" i="183" s="1"/>
  <c r="F113" i="183"/>
  <c r="E113" i="183"/>
  <c r="D113" i="183"/>
  <c r="B113" i="183"/>
  <c r="L112" i="183"/>
  <c r="J112" i="183"/>
  <c r="G112" i="183"/>
  <c r="H112" i="183" s="1"/>
  <c r="F112" i="183"/>
  <c r="E112" i="183"/>
  <c r="D112" i="183"/>
  <c r="B112" i="183"/>
  <c r="L111" i="183"/>
  <c r="M111" i="183" s="1"/>
  <c r="J111" i="183"/>
  <c r="G111" i="183"/>
  <c r="H111" i="183" s="1"/>
  <c r="F111" i="183"/>
  <c r="E111" i="183"/>
  <c r="D111" i="183"/>
  <c r="B111" i="183"/>
  <c r="L110" i="183"/>
  <c r="J110" i="183"/>
  <c r="G110" i="183"/>
  <c r="H110" i="183" s="1"/>
  <c r="F110" i="183"/>
  <c r="E110" i="183"/>
  <c r="D110" i="183"/>
  <c r="B110" i="183"/>
  <c r="L109" i="183"/>
  <c r="J109" i="183"/>
  <c r="G109" i="183"/>
  <c r="I109" i="183" s="1"/>
  <c r="F109" i="183"/>
  <c r="E109" i="183"/>
  <c r="D109" i="183"/>
  <c r="B109" i="183"/>
  <c r="L108" i="183"/>
  <c r="J108" i="183"/>
  <c r="G108" i="183"/>
  <c r="H108" i="183" s="1"/>
  <c r="F108" i="183"/>
  <c r="E108" i="183"/>
  <c r="D108" i="183"/>
  <c r="B108" i="183"/>
  <c r="L107" i="183"/>
  <c r="M107" i="183" s="1"/>
  <c r="J107" i="183"/>
  <c r="G107" i="183"/>
  <c r="I107" i="183" s="1"/>
  <c r="F107" i="183"/>
  <c r="E107" i="183"/>
  <c r="D107" i="183"/>
  <c r="B107" i="183"/>
  <c r="L106" i="183"/>
  <c r="J106" i="183"/>
  <c r="G106" i="183"/>
  <c r="H106" i="183" s="1"/>
  <c r="F106" i="183"/>
  <c r="E106" i="183"/>
  <c r="D106" i="183"/>
  <c r="B106" i="183"/>
  <c r="L105" i="183"/>
  <c r="J105" i="183"/>
  <c r="G105" i="183"/>
  <c r="I105" i="183" s="1"/>
  <c r="F105" i="183"/>
  <c r="E105" i="183"/>
  <c r="D105" i="183"/>
  <c r="B105" i="183"/>
  <c r="L104" i="183"/>
  <c r="J104" i="183"/>
  <c r="G104" i="183"/>
  <c r="H104" i="183" s="1"/>
  <c r="F104" i="183"/>
  <c r="E104" i="183"/>
  <c r="D104" i="183"/>
  <c r="B104" i="183"/>
  <c r="L103" i="183"/>
  <c r="M103" i="183" s="1"/>
  <c r="J103" i="183"/>
  <c r="G103" i="183"/>
  <c r="I103" i="183" s="1"/>
  <c r="F103" i="183"/>
  <c r="E103" i="183"/>
  <c r="D103" i="183"/>
  <c r="B103" i="183"/>
  <c r="L102" i="183"/>
  <c r="J102" i="183"/>
  <c r="G102" i="183"/>
  <c r="H102" i="183" s="1"/>
  <c r="F102" i="183"/>
  <c r="E102" i="183"/>
  <c r="D102" i="183"/>
  <c r="B102" i="183"/>
  <c r="L101" i="183"/>
  <c r="J101" i="183"/>
  <c r="G101" i="183"/>
  <c r="I101" i="183" s="1"/>
  <c r="F101" i="183"/>
  <c r="E101" i="183"/>
  <c r="D101" i="183"/>
  <c r="B101" i="183"/>
  <c r="L100" i="183"/>
  <c r="J100" i="183"/>
  <c r="G100" i="183"/>
  <c r="H100" i="183" s="1"/>
  <c r="F100" i="183"/>
  <c r="E100" i="183"/>
  <c r="D100" i="183"/>
  <c r="B100" i="183"/>
  <c r="L99" i="183"/>
  <c r="M99" i="183" s="1"/>
  <c r="J99" i="183"/>
  <c r="G99" i="183"/>
  <c r="I99" i="183" s="1"/>
  <c r="F99" i="183"/>
  <c r="E99" i="183"/>
  <c r="D99" i="183"/>
  <c r="B99" i="183"/>
  <c r="L98" i="183"/>
  <c r="J98" i="183"/>
  <c r="G98" i="183"/>
  <c r="H98" i="183" s="1"/>
  <c r="F98" i="183"/>
  <c r="E98" i="183"/>
  <c r="D98" i="183"/>
  <c r="B98" i="183"/>
  <c r="L97" i="183"/>
  <c r="J97" i="183"/>
  <c r="G97" i="183"/>
  <c r="I97" i="183" s="1"/>
  <c r="F97" i="183"/>
  <c r="E97" i="183"/>
  <c r="D97" i="183"/>
  <c r="B97" i="183"/>
  <c r="L96" i="183"/>
  <c r="J96" i="183"/>
  <c r="G96" i="183"/>
  <c r="H96" i="183" s="1"/>
  <c r="F96" i="183"/>
  <c r="E96" i="183"/>
  <c r="D96" i="183"/>
  <c r="B96" i="183"/>
  <c r="L95" i="183"/>
  <c r="M95" i="183" s="1"/>
  <c r="J95" i="183"/>
  <c r="G95" i="183"/>
  <c r="I95" i="183" s="1"/>
  <c r="F95" i="183"/>
  <c r="E95" i="183"/>
  <c r="D95" i="183"/>
  <c r="B95" i="183"/>
  <c r="L94" i="183"/>
  <c r="J94" i="183"/>
  <c r="G94" i="183"/>
  <c r="H94" i="183" s="1"/>
  <c r="F94" i="183"/>
  <c r="E94" i="183"/>
  <c r="D94" i="183"/>
  <c r="B94" i="183"/>
  <c r="L93" i="183"/>
  <c r="J93" i="183"/>
  <c r="G93" i="183"/>
  <c r="H93" i="183" s="1"/>
  <c r="F93" i="183"/>
  <c r="E93" i="183"/>
  <c r="D93" i="183"/>
  <c r="B93" i="183"/>
  <c r="L92" i="183"/>
  <c r="J92" i="183"/>
  <c r="G92" i="183"/>
  <c r="H92" i="183" s="1"/>
  <c r="F92" i="183"/>
  <c r="E92" i="183"/>
  <c r="D92" i="183"/>
  <c r="B92" i="183"/>
  <c r="L91" i="183"/>
  <c r="M91" i="183" s="1"/>
  <c r="J91" i="183"/>
  <c r="G91" i="183"/>
  <c r="I91" i="183" s="1"/>
  <c r="F91" i="183"/>
  <c r="E91" i="183"/>
  <c r="D91" i="183"/>
  <c r="B91" i="183"/>
  <c r="L90" i="183"/>
  <c r="J90" i="183"/>
  <c r="G90" i="183"/>
  <c r="I90" i="183" s="1"/>
  <c r="F90" i="183"/>
  <c r="E90" i="183"/>
  <c r="D90" i="183"/>
  <c r="B90" i="183"/>
  <c r="L89" i="183"/>
  <c r="J89" i="183"/>
  <c r="G89" i="183"/>
  <c r="H89" i="183" s="1"/>
  <c r="F89" i="183"/>
  <c r="E89" i="183"/>
  <c r="D89" i="183"/>
  <c r="B89" i="183"/>
  <c r="L88" i="183"/>
  <c r="J88" i="183"/>
  <c r="G88" i="183"/>
  <c r="F88" i="183"/>
  <c r="E88" i="183"/>
  <c r="D88" i="183"/>
  <c r="B88" i="183"/>
  <c r="L87" i="183"/>
  <c r="M87" i="183" s="1"/>
  <c r="J87" i="183"/>
  <c r="G87" i="183"/>
  <c r="H87" i="183" s="1"/>
  <c r="F87" i="183"/>
  <c r="E87" i="183"/>
  <c r="D87" i="183"/>
  <c r="B87" i="183"/>
  <c r="L86" i="183"/>
  <c r="J86" i="183"/>
  <c r="G86" i="183"/>
  <c r="F86" i="183"/>
  <c r="E86" i="183"/>
  <c r="D86" i="183"/>
  <c r="B86" i="183"/>
  <c r="L85" i="183"/>
  <c r="J85" i="183"/>
  <c r="G85" i="183"/>
  <c r="H85" i="183" s="1"/>
  <c r="F85" i="183"/>
  <c r="E85" i="183"/>
  <c r="D85" i="183"/>
  <c r="B85" i="183"/>
  <c r="L84" i="183"/>
  <c r="J84" i="183"/>
  <c r="G84" i="183"/>
  <c r="F84" i="183"/>
  <c r="E84" i="183"/>
  <c r="D84" i="183"/>
  <c r="B84" i="183"/>
  <c r="L83" i="183"/>
  <c r="M83" i="183" s="1"/>
  <c r="J83" i="183"/>
  <c r="G83" i="183"/>
  <c r="H83" i="183" s="1"/>
  <c r="F83" i="183"/>
  <c r="E83" i="183"/>
  <c r="D83" i="183"/>
  <c r="B83" i="183"/>
  <c r="L82" i="183"/>
  <c r="J82" i="183"/>
  <c r="G82" i="183"/>
  <c r="F82" i="183"/>
  <c r="E82" i="183"/>
  <c r="D82" i="183"/>
  <c r="B82" i="183"/>
  <c r="L81" i="183"/>
  <c r="J81" i="183"/>
  <c r="G81" i="183"/>
  <c r="H81" i="183" s="1"/>
  <c r="F81" i="183"/>
  <c r="E81" i="183"/>
  <c r="D81" i="183"/>
  <c r="B81" i="183"/>
  <c r="L80" i="183"/>
  <c r="J80" i="183"/>
  <c r="G80" i="183"/>
  <c r="F80" i="183"/>
  <c r="E80" i="183"/>
  <c r="D80" i="183"/>
  <c r="B80" i="183"/>
  <c r="L79" i="183"/>
  <c r="M79" i="183" s="1"/>
  <c r="J79" i="183"/>
  <c r="G79" i="183"/>
  <c r="H79" i="183" s="1"/>
  <c r="F79" i="183"/>
  <c r="E79" i="183"/>
  <c r="D79" i="183"/>
  <c r="B79" i="183"/>
  <c r="L78" i="183"/>
  <c r="J78" i="183"/>
  <c r="G78" i="183"/>
  <c r="F78" i="183"/>
  <c r="E78" i="183"/>
  <c r="D78" i="183"/>
  <c r="B78" i="183"/>
  <c r="L77" i="183"/>
  <c r="J77" i="183"/>
  <c r="G77" i="183"/>
  <c r="H77" i="183" s="1"/>
  <c r="F77" i="183"/>
  <c r="E77" i="183"/>
  <c r="D77" i="183"/>
  <c r="B77" i="183"/>
  <c r="L76" i="183"/>
  <c r="J76" i="183"/>
  <c r="G76" i="183"/>
  <c r="F76" i="183"/>
  <c r="E76" i="183"/>
  <c r="D76" i="183"/>
  <c r="B76" i="183"/>
  <c r="L75" i="183"/>
  <c r="M75" i="183" s="1"/>
  <c r="J75" i="183"/>
  <c r="G75" i="183"/>
  <c r="H75" i="183" s="1"/>
  <c r="F75" i="183"/>
  <c r="E75" i="183"/>
  <c r="D75" i="183"/>
  <c r="B75" i="183"/>
  <c r="L74" i="183"/>
  <c r="J74" i="183"/>
  <c r="G74" i="183"/>
  <c r="F74" i="183"/>
  <c r="E74" i="183"/>
  <c r="D74" i="183"/>
  <c r="B74" i="183"/>
  <c r="L73" i="183"/>
  <c r="J73" i="183"/>
  <c r="G73" i="183"/>
  <c r="H73" i="183" s="1"/>
  <c r="F73" i="183"/>
  <c r="E73" i="183"/>
  <c r="D73" i="183"/>
  <c r="B73" i="183"/>
  <c r="L72" i="183"/>
  <c r="J72" i="183"/>
  <c r="G72" i="183"/>
  <c r="F72" i="183"/>
  <c r="E72" i="183"/>
  <c r="D72" i="183"/>
  <c r="B72" i="183"/>
  <c r="L71" i="183"/>
  <c r="M71" i="183" s="1"/>
  <c r="J71" i="183"/>
  <c r="G71" i="183"/>
  <c r="H71" i="183" s="1"/>
  <c r="F71" i="183"/>
  <c r="E71" i="183"/>
  <c r="D71" i="183"/>
  <c r="B71" i="183"/>
  <c r="L70" i="183"/>
  <c r="J70" i="183"/>
  <c r="G70" i="183"/>
  <c r="F70" i="183"/>
  <c r="E70" i="183"/>
  <c r="D70" i="183"/>
  <c r="B70" i="183"/>
  <c r="L69" i="183"/>
  <c r="J69" i="183"/>
  <c r="G69" i="183"/>
  <c r="H69" i="183" s="1"/>
  <c r="F69" i="183"/>
  <c r="E69" i="183"/>
  <c r="D69" i="183"/>
  <c r="B69" i="183"/>
  <c r="L68" i="183"/>
  <c r="J68" i="183"/>
  <c r="G68" i="183"/>
  <c r="F68" i="183"/>
  <c r="E68" i="183"/>
  <c r="D68" i="183"/>
  <c r="B68" i="183"/>
  <c r="L67" i="183"/>
  <c r="M67" i="183" s="1"/>
  <c r="J67" i="183"/>
  <c r="G67" i="183"/>
  <c r="H67" i="183" s="1"/>
  <c r="F67" i="183"/>
  <c r="E67" i="183"/>
  <c r="D67" i="183"/>
  <c r="B67" i="183"/>
  <c r="L66" i="183"/>
  <c r="J66" i="183"/>
  <c r="G66" i="183"/>
  <c r="F66" i="183"/>
  <c r="E66" i="183"/>
  <c r="D66" i="183"/>
  <c r="B66" i="183"/>
  <c r="L65" i="183"/>
  <c r="J65" i="183"/>
  <c r="G65" i="183"/>
  <c r="H65" i="183" s="1"/>
  <c r="F65" i="183"/>
  <c r="E65" i="183"/>
  <c r="D65" i="183"/>
  <c r="B65" i="183"/>
  <c r="L64" i="183"/>
  <c r="J64" i="183"/>
  <c r="G64" i="183"/>
  <c r="F64" i="183"/>
  <c r="E64" i="183"/>
  <c r="D64" i="183"/>
  <c r="B64" i="183"/>
  <c r="L63" i="183"/>
  <c r="M63" i="183" s="1"/>
  <c r="J63" i="183"/>
  <c r="G63" i="183"/>
  <c r="H63" i="183" s="1"/>
  <c r="F63" i="183"/>
  <c r="E63" i="183"/>
  <c r="D63" i="183"/>
  <c r="B63" i="183"/>
  <c r="L62" i="183"/>
  <c r="J62" i="183"/>
  <c r="G62" i="183"/>
  <c r="F62" i="183"/>
  <c r="E62" i="183"/>
  <c r="D62" i="183"/>
  <c r="B62" i="183"/>
  <c r="L61" i="183"/>
  <c r="J61" i="183"/>
  <c r="G61" i="183"/>
  <c r="H61" i="183" s="1"/>
  <c r="F61" i="183"/>
  <c r="E61" i="183"/>
  <c r="D61" i="183"/>
  <c r="B61" i="183"/>
  <c r="L60" i="183"/>
  <c r="J60" i="183"/>
  <c r="G60" i="183"/>
  <c r="F60" i="183"/>
  <c r="E60" i="183"/>
  <c r="D60" i="183"/>
  <c r="B60" i="183"/>
  <c r="L59" i="183"/>
  <c r="M59" i="183" s="1"/>
  <c r="J59" i="183"/>
  <c r="G59" i="183"/>
  <c r="H59" i="183" s="1"/>
  <c r="F59" i="183"/>
  <c r="E59" i="183"/>
  <c r="D59" i="183"/>
  <c r="B59" i="183"/>
  <c r="L58" i="183"/>
  <c r="J58" i="183"/>
  <c r="G58" i="183"/>
  <c r="H58" i="183" s="1"/>
  <c r="F58" i="183"/>
  <c r="E58" i="183"/>
  <c r="D58" i="183"/>
  <c r="B58" i="183"/>
  <c r="L57" i="183"/>
  <c r="J57" i="183"/>
  <c r="G57" i="183"/>
  <c r="H57" i="183" s="1"/>
  <c r="F57" i="183"/>
  <c r="E57" i="183"/>
  <c r="D57" i="183"/>
  <c r="B57" i="183"/>
  <c r="L56" i="183"/>
  <c r="J56" i="183"/>
  <c r="G56" i="183"/>
  <c r="H56" i="183" s="1"/>
  <c r="F56" i="183"/>
  <c r="E56" i="183"/>
  <c r="D56" i="183"/>
  <c r="B56" i="183"/>
  <c r="L55" i="183"/>
  <c r="M55" i="183" s="1"/>
  <c r="J55" i="183"/>
  <c r="G55" i="183"/>
  <c r="H55" i="183" s="1"/>
  <c r="F55" i="183"/>
  <c r="E55" i="183"/>
  <c r="D55" i="183"/>
  <c r="B55" i="183"/>
  <c r="L54" i="183"/>
  <c r="J54" i="183"/>
  <c r="G54" i="183"/>
  <c r="H54" i="183" s="1"/>
  <c r="F54" i="183"/>
  <c r="E54" i="183"/>
  <c r="D54" i="183"/>
  <c r="B54" i="183"/>
  <c r="L53" i="183"/>
  <c r="J53" i="183"/>
  <c r="G53" i="183"/>
  <c r="I53" i="183" s="1"/>
  <c r="F53" i="183"/>
  <c r="E53" i="183"/>
  <c r="D53" i="183"/>
  <c r="B53" i="183"/>
  <c r="L52" i="183"/>
  <c r="J52" i="183"/>
  <c r="G52" i="183"/>
  <c r="H52" i="183" s="1"/>
  <c r="F52" i="183"/>
  <c r="E52" i="183"/>
  <c r="D52" i="183"/>
  <c r="B52" i="183"/>
  <c r="L51" i="183"/>
  <c r="J51" i="183"/>
  <c r="G51" i="183"/>
  <c r="H51" i="183" s="1"/>
  <c r="F51" i="183"/>
  <c r="E51" i="183"/>
  <c r="D51" i="183"/>
  <c r="B51" i="183"/>
  <c r="L50" i="183"/>
  <c r="J50" i="183"/>
  <c r="G50" i="183"/>
  <c r="H50" i="183" s="1"/>
  <c r="F50" i="183"/>
  <c r="E50" i="183"/>
  <c r="D50" i="183"/>
  <c r="B50" i="183"/>
  <c r="L49" i="183"/>
  <c r="J49" i="183"/>
  <c r="G49" i="183"/>
  <c r="H49" i="183" s="1"/>
  <c r="F49" i="183"/>
  <c r="E49" i="183"/>
  <c r="D49" i="183"/>
  <c r="B49" i="183"/>
  <c r="L48" i="183"/>
  <c r="J48" i="183"/>
  <c r="G48" i="183"/>
  <c r="H48" i="183" s="1"/>
  <c r="F48" i="183"/>
  <c r="E48" i="183"/>
  <c r="D48" i="183"/>
  <c r="B48" i="183"/>
  <c r="L47" i="183"/>
  <c r="J47" i="183"/>
  <c r="G47" i="183"/>
  <c r="H47" i="183" s="1"/>
  <c r="F47" i="183"/>
  <c r="E47" i="183"/>
  <c r="D47" i="183"/>
  <c r="B47" i="183"/>
  <c r="L46" i="183"/>
  <c r="J46" i="183"/>
  <c r="G46" i="183"/>
  <c r="H46" i="183" s="1"/>
  <c r="F46" i="183"/>
  <c r="E46" i="183"/>
  <c r="D46" i="183"/>
  <c r="B46" i="183"/>
  <c r="L45" i="183"/>
  <c r="M45" i="183" s="1"/>
  <c r="J45" i="183"/>
  <c r="K45" i="183" s="1"/>
  <c r="G45" i="183"/>
  <c r="H45" i="183" s="1"/>
  <c r="E45" i="183"/>
  <c r="D45" i="183"/>
  <c r="B45" i="183"/>
  <c r="L44" i="183"/>
  <c r="J44" i="183"/>
  <c r="G44" i="183"/>
  <c r="I44" i="183" s="1"/>
  <c r="F44" i="183"/>
  <c r="E44" i="183"/>
  <c r="D44" i="183"/>
  <c r="B44" i="183"/>
  <c r="L43" i="183"/>
  <c r="J43" i="183"/>
  <c r="G43" i="183"/>
  <c r="H43" i="183" s="1"/>
  <c r="F43" i="183"/>
  <c r="E43" i="183"/>
  <c r="D43" i="183"/>
  <c r="B43" i="183"/>
  <c r="L42" i="183"/>
  <c r="M42" i="183" s="1"/>
  <c r="J42" i="183"/>
  <c r="K42" i="183" s="1"/>
  <c r="G42" i="183"/>
  <c r="I42" i="183" s="1"/>
  <c r="E42" i="183"/>
  <c r="D42" i="183"/>
  <c r="B42" i="183"/>
  <c r="L41" i="183"/>
  <c r="M41" i="183" s="1"/>
  <c r="J41" i="183"/>
  <c r="K41" i="183" s="1"/>
  <c r="G41" i="183"/>
  <c r="I41" i="183" s="1"/>
  <c r="E41" i="183"/>
  <c r="D41" i="183"/>
  <c r="B41" i="183"/>
  <c r="L40" i="183"/>
  <c r="M40" i="183" s="1"/>
  <c r="J40" i="183"/>
  <c r="G40" i="183"/>
  <c r="H40" i="183" s="1"/>
  <c r="F40" i="183"/>
  <c r="E40" i="183"/>
  <c r="D40" i="183"/>
  <c r="B40" i="183"/>
  <c r="L39" i="183"/>
  <c r="J39" i="183"/>
  <c r="G39" i="183"/>
  <c r="I39" i="183" s="1"/>
  <c r="F39" i="183"/>
  <c r="E39" i="183"/>
  <c r="D39" i="183"/>
  <c r="B39" i="183"/>
  <c r="L38" i="183"/>
  <c r="M38" i="183" s="1"/>
  <c r="J38" i="183"/>
  <c r="K38" i="183" s="1"/>
  <c r="G38" i="183"/>
  <c r="H38" i="183" s="1"/>
  <c r="E38" i="183"/>
  <c r="D38" i="183"/>
  <c r="B38" i="183"/>
  <c r="L37" i="183"/>
  <c r="J37" i="183"/>
  <c r="G37" i="183"/>
  <c r="H37" i="183" s="1"/>
  <c r="F37" i="183"/>
  <c r="E37" i="183"/>
  <c r="D37" i="183"/>
  <c r="B37" i="183"/>
  <c r="L36" i="183"/>
  <c r="J36" i="183"/>
  <c r="G36" i="183"/>
  <c r="I36" i="183" s="1"/>
  <c r="F36" i="183"/>
  <c r="E36" i="183"/>
  <c r="D36" i="183"/>
  <c r="B36" i="183"/>
  <c r="L35" i="183"/>
  <c r="J35" i="183"/>
  <c r="G35" i="183"/>
  <c r="H35" i="183" s="1"/>
  <c r="F35" i="183"/>
  <c r="E35" i="183"/>
  <c r="D35" i="183"/>
  <c r="B35" i="183"/>
  <c r="L34" i="183"/>
  <c r="J34" i="183"/>
  <c r="G34" i="183"/>
  <c r="I34" i="183" s="1"/>
  <c r="F34" i="183"/>
  <c r="E34" i="183"/>
  <c r="D34" i="183"/>
  <c r="B34" i="183"/>
  <c r="L33" i="183"/>
  <c r="M33" i="183" s="1"/>
  <c r="J33" i="183"/>
  <c r="K33" i="183" s="1"/>
  <c r="G33" i="183"/>
  <c r="H33" i="183" s="1"/>
  <c r="E33" i="183"/>
  <c r="D33" i="183"/>
  <c r="B33" i="183"/>
  <c r="L32" i="183"/>
  <c r="J32" i="183"/>
  <c r="G32" i="183"/>
  <c r="I32" i="183" s="1"/>
  <c r="F32" i="183"/>
  <c r="E32" i="183"/>
  <c r="D32" i="183"/>
  <c r="B32" i="183"/>
  <c r="L31" i="183"/>
  <c r="J31" i="183"/>
  <c r="G31" i="183"/>
  <c r="H31" i="183" s="1"/>
  <c r="F31" i="183"/>
  <c r="E31" i="183"/>
  <c r="D31" i="183"/>
  <c r="B31" i="183"/>
  <c r="L30" i="183"/>
  <c r="M30" i="183" s="1"/>
  <c r="J30" i="183"/>
  <c r="G30" i="183"/>
  <c r="I30" i="183" s="1"/>
  <c r="F30" i="183"/>
  <c r="E30" i="183"/>
  <c r="D30" i="183"/>
  <c r="B30" i="183"/>
  <c r="L29" i="183"/>
  <c r="J29" i="183"/>
  <c r="G29" i="183"/>
  <c r="H29" i="183" s="1"/>
  <c r="F29" i="183"/>
  <c r="E29" i="183"/>
  <c r="D29" i="183"/>
  <c r="B29" i="183"/>
  <c r="L28" i="183"/>
  <c r="J28" i="183"/>
  <c r="G28" i="183"/>
  <c r="I28" i="183" s="1"/>
  <c r="F28" i="183"/>
  <c r="E28" i="183"/>
  <c r="D28" i="183"/>
  <c r="B28" i="183"/>
  <c r="L27" i="183"/>
  <c r="J27" i="183"/>
  <c r="G27" i="183"/>
  <c r="H27" i="183" s="1"/>
  <c r="F27" i="183"/>
  <c r="E27" i="183"/>
  <c r="D27" i="183"/>
  <c r="B27" i="183"/>
  <c r="L26" i="183"/>
  <c r="M26" i="183" s="1"/>
  <c r="J26" i="183"/>
  <c r="G26" i="183"/>
  <c r="F26" i="183"/>
  <c r="E26" i="183"/>
  <c r="D26" i="183"/>
  <c r="B26" i="183"/>
  <c r="L25" i="183"/>
  <c r="J25" i="183"/>
  <c r="G25" i="183"/>
  <c r="H25" i="183" s="1"/>
  <c r="F25" i="183"/>
  <c r="E25" i="183"/>
  <c r="D25" i="183"/>
  <c r="B25" i="183"/>
  <c r="L24" i="183"/>
  <c r="J24" i="183"/>
  <c r="G24" i="183"/>
  <c r="I24" i="183" s="1"/>
  <c r="F24" i="183"/>
  <c r="E24" i="183"/>
  <c r="D24" i="183"/>
  <c r="B24" i="183"/>
  <c r="L23" i="183"/>
  <c r="J23" i="183"/>
  <c r="G23" i="183"/>
  <c r="H23" i="183" s="1"/>
  <c r="F23" i="183"/>
  <c r="E23" i="183"/>
  <c r="D23" i="183"/>
  <c r="B23" i="183"/>
  <c r="L22" i="183"/>
  <c r="M22" i="183" s="1"/>
  <c r="J22" i="183"/>
  <c r="G22" i="183"/>
  <c r="I22" i="183" s="1"/>
  <c r="F22" i="183"/>
  <c r="E22" i="183"/>
  <c r="D22" i="183"/>
  <c r="B22" i="183"/>
  <c r="L21" i="183"/>
  <c r="J21" i="183"/>
  <c r="G21" i="183"/>
  <c r="H21" i="183" s="1"/>
  <c r="F21" i="183"/>
  <c r="E21" i="183"/>
  <c r="D21" i="183"/>
  <c r="B21" i="183"/>
  <c r="L20" i="183"/>
  <c r="M20" i="183" s="1"/>
  <c r="J20" i="183"/>
  <c r="K20" i="183" s="1"/>
  <c r="G20" i="183"/>
  <c r="I20" i="183" s="1"/>
  <c r="E20" i="183"/>
  <c r="D20" i="183"/>
  <c r="B20" i="183"/>
  <c r="L19" i="183"/>
  <c r="J19" i="183"/>
  <c r="G19" i="183"/>
  <c r="I19" i="183" s="1"/>
  <c r="F19" i="183"/>
  <c r="E19" i="183"/>
  <c r="D19" i="183"/>
  <c r="B19" i="183"/>
  <c r="L18" i="183"/>
  <c r="M18" i="183" s="1"/>
  <c r="J18" i="183"/>
  <c r="K18" i="183" s="1"/>
  <c r="G18" i="183"/>
  <c r="I18" i="183" s="1"/>
  <c r="E18" i="183"/>
  <c r="D18" i="183"/>
  <c r="B18" i="183"/>
  <c r="L17" i="183"/>
  <c r="M17" i="183" s="1"/>
  <c r="J17" i="183"/>
  <c r="K17" i="183" s="1"/>
  <c r="G17" i="183"/>
  <c r="I17" i="183" s="1"/>
  <c r="E17" i="183"/>
  <c r="D17" i="183"/>
  <c r="B17" i="183"/>
  <c r="L16" i="183"/>
  <c r="M16" i="183" s="1"/>
  <c r="J16" i="183"/>
  <c r="K16" i="183" s="1"/>
  <c r="G16" i="183"/>
  <c r="I16" i="183" s="1"/>
  <c r="E16" i="183"/>
  <c r="D16" i="183"/>
  <c r="B16" i="183"/>
  <c r="L15" i="183"/>
  <c r="M15" i="183" s="1"/>
  <c r="J15" i="183"/>
  <c r="K15" i="183" s="1"/>
  <c r="G15" i="183"/>
  <c r="H15" i="183" s="1"/>
  <c r="E15" i="183"/>
  <c r="D15" i="183"/>
  <c r="B15" i="183"/>
  <c r="L14" i="183"/>
  <c r="M14" i="183" s="1"/>
  <c r="J14" i="183"/>
  <c r="K14" i="183" s="1"/>
  <c r="G14" i="183"/>
  <c r="I14" i="183" s="1"/>
  <c r="E14" i="183"/>
  <c r="D14" i="183"/>
  <c r="B14" i="183"/>
  <c r="L13" i="183"/>
  <c r="M13" i="183" s="1"/>
  <c r="J13" i="183"/>
  <c r="K13" i="183" s="1"/>
  <c r="G13" i="183"/>
  <c r="I13" i="183" s="1"/>
  <c r="E13" i="183"/>
  <c r="D13" i="183"/>
  <c r="B13" i="183"/>
  <c r="L12" i="183"/>
  <c r="M12" i="183" s="1"/>
  <c r="J12" i="183"/>
  <c r="K12" i="183" s="1"/>
  <c r="G12" i="183"/>
  <c r="I12" i="183" s="1"/>
  <c r="E12" i="183"/>
  <c r="D12" i="183"/>
  <c r="B12" i="183"/>
  <c r="L11" i="183"/>
  <c r="M11" i="183" s="1"/>
  <c r="J11" i="183"/>
  <c r="K11" i="183" s="1"/>
  <c r="G11" i="183"/>
  <c r="H11" i="183" s="1"/>
  <c r="E11" i="183"/>
  <c r="D11" i="183"/>
  <c r="B11" i="183"/>
  <c r="L10" i="183"/>
  <c r="M10" i="183" s="1"/>
  <c r="J10" i="183"/>
  <c r="K10" i="183" s="1"/>
  <c r="G10" i="183"/>
  <c r="I10" i="183" s="1"/>
  <c r="E10" i="183"/>
  <c r="D10" i="183"/>
  <c r="B10" i="183"/>
  <c r="L9" i="183"/>
  <c r="J9" i="183"/>
  <c r="G9" i="183"/>
  <c r="I9" i="183" s="1"/>
  <c r="F9" i="183"/>
  <c r="E9" i="183"/>
  <c r="D9" i="183"/>
  <c r="B9" i="183"/>
  <c r="L8" i="183"/>
  <c r="J8" i="183"/>
  <c r="G8" i="183"/>
  <c r="H8" i="183" s="1"/>
  <c r="F8" i="183"/>
  <c r="E8" i="183"/>
  <c r="D8" i="183"/>
  <c r="B8" i="183"/>
  <c r="L7" i="183"/>
  <c r="M7" i="183" s="1"/>
  <c r="J7" i="183"/>
  <c r="K7" i="183" s="1"/>
  <c r="G7" i="183"/>
  <c r="I7" i="183" s="1"/>
  <c r="E7" i="183"/>
  <c r="D7" i="183"/>
  <c r="B7" i="183"/>
  <c r="L6" i="183"/>
  <c r="M6" i="183" s="1"/>
  <c r="J6" i="183"/>
  <c r="K6" i="183" s="1"/>
  <c r="G6" i="183"/>
  <c r="H6" i="183" s="1"/>
  <c r="E6" i="183"/>
  <c r="D6" i="183"/>
  <c r="B6" i="183"/>
  <c r="L5" i="183"/>
  <c r="J5" i="183"/>
  <c r="G5" i="183"/>
  <c r="H5" i="183" s="1"/>
  <c r="F5" i="183"/>
  <c r="E5" i="183"/>
  <c r="D5" i="183"/>
  <c r="L4" i="183"/>
  <c r="J4" i="183"/>
  <c r="G4" i="183"/>
  <c r="I4" i="183" s="1"/>
  <c r="F4" i="183"/>
  <c r="E4" i="183"/>
  <c r="D4" i="183"/>
  <c r="B4" i="183"/>
  <c r="L3" i="183"/>
  <c r="J3" i="183"/>
  <c r="G3" i="183"/>
  <c r="I3" i="183" s="1"/>
  <c r="F3" i="183"/>
  <c r="E3" i="183"/>
  <c r="D3" i="183"/>
  <c r="B3" i="183"/>
  <c r="L2" i="183"/>
  <c r="J2" i="183"/>
  <c r="G2" i="183"/>
  <c r="I2" i="183" s="1"/>
  <c r="F2" i="183"/>
  <c r="E2" i="183"/>
  <c r="D2" i="183"/>
  <c r="B2" i="183"/>
  <c r="T635" i="178"/>
  <c r="U635" i="178" s="1"/>
  <c r="W635" i="178"/>
  <c r="AD635" i="178"/>
  <c r="AE635" i="178"/>
  <c r="AF635" i="178"/>
  <c r="AG635" i="178"/>
  <c r="AH635" i="178"/>
  <c r="AI635" i="178"/>
  <c r="AJ635" i="178"/>
  <c r="AK635" i="178"/>
  <c r="AL635" i="178"/>
  <c r="AM635" i="178"/>
  <c r="AN635" i="178"/>
  <c r="AO635" i="178"/>
  <c r="T326" i="178"/>
  <c r="U326" i="178" s="1"/>
  <c r="W326" i="178"/>
  <c r="AD326" i="178"/>
  <c r="AE326" i="178"/>
  <c r="AF326" i="178"/>
  <c r="AG326" i="178"/>
  <c r="AH326" i="178"/>
  <c r="AI326" i="178"/>
  <c r="AJ326" i="178"/>
  <c r="AK326" i="178"/>
  <c r="AL326" i="178"/>
  <c r="AM326" i="178"/>
  <c r="AN326" i="178"/>
  <c r="AO326" i="178"/>
  <c r="T918" i="178"/>
  <c r="V918" i="178" s="1"/>
  <c r="W918" i="178"/>
  <c r="AD918" i="178"/>
  <c r="AE918" i="178"/>
  <c r="AF918" i="178"/>
  <c r="AG918" i="178"/>
  <c r="AH918" i="178"/>
  <c r="AI918" i="178"/>
  <c r="AJ918" i="178"/>
  <c r="AK918" i="178"/>
  <c r="AL918" i="178"/>
  <c r="AM918" i="178"/>
  <c r="AN918" i="178"/>
  <c r="AO918" i="178"/>
  <c r="T791" i="178"/>
  <c r="V791" i="178" s="1"/>
  <c r="W791" i="178"/>
  <c r="AD791" i="178"/>
  <c r="AE791" i="178"/>
  <c r="AF791" i="178"/>
  <c r="AG791" i="178"/>
  <c r="AH791" i="178"/>
  <c r="AI791" i="178"/>
  <c r="AJ791" i="178"/>
  <c r="AK791" i="178"/>
  <c r="AL791" i="178"/>
  <c r="AM791" i="178"/>
  <c r="AN791" i="178"/>
  <c r="AO791" i="178"/>
  <c r="T905" i="178"/>
  <c r="V905" i="178" s="1"/>
  <c r="W905" i="178"/>
  <c r="AD905" i="178"/>
  <c r="AE905" i="178"/>
  <c r="AF905" i="178"/>
  <c r="AG905" i="178"/>
  <c r="AH905" i="178"/>
  <c r="AI905" i="178"/>
  <c r="AJ905" i="178"/>
  <c r="AK905" i="178"/>
  <c r="AL905" i="178"/>
  <c r="AM905" i="178"/>
  <c r="AN905" i="178"/>
  <c r="AO905" i="178"/>
  <c r="T728" i="178"/>
  <c r="W728" i="178"/>
  <c r="AD728" i="178"/>
  <c r="AE728" i="178"/>
  <c r="AF728" i="178"/>
  <c r="AG728" i="178"/>
  <c r="AH728" i="178"/>
  <c r="AI728" i="178"/>
  <c r="AJ728" i="178"/>
  <c r="AK728" i="178"/>
  <c r="AL728" i="178"/>
  <c r="AM728" i="178"/>
  <c r="AN728" i="178"/>
  <c r="AO728" i="178"/>
  <c r="T113" i="178"/>
  <c r="V113" i="178" s="1"/>
  <c r="W113" i="178"/>
  <c r="AD113" i="178"/>
  <c r="AE113" i="178"/>
  <c r="AF113" i="178"/>
  <c r="AG113" i="178"/>
  <c r="AH113" i="178"/>
  <c r="AI113" i="178"/>
  <c r="AJ113" i="178"/>
  <c r="AK113" i="178"/>
  <c r="AL113" i="178"/>
  <c r="AM113" i="178"/>
  <c r="AN113" i="178"/>
  <c r="AO113" i="178"/>
  <c r="T512" i="178"/>
  <c r="V512" i="178" s="1"/>
  <c r="W512" i="178"/>
  <c r="AD512" i="178"/>
  <c r="AE512" i="178"/>
  <c r="AF512" i="178"/>
  <c r="AG512" i="178"/>
  <c r="AH512" i="178"/>
  <c r="AI512" i="178"/>
  <c r="AJ512" i="178"/>
  <c r="AK512" i="178"/>
  <c r="AL512" i="178"/>
  <c r="AM512" i="178"/>
  <c r="AN512" i="178"/>
  <c r="AO512" i="178"/>
  <c r="BJ518" i="178"/>
  <c r="T830" i="178"/>
  <c r="U830" i="178" s="1"/>
  <c r="W830" i="178"/>
  <c r="AD830" i="178"/>
  <c r="AE830" i="178"/>
  <c r="AF830" i="178"/>
  <c r="AG830" i="178"/>
  <c r="AH830" i="178"/>
  <c r="AI830" i="178"/>
  <c r="AJ830" i="178"/>
  <c r="AK830" i="178"/>
  <c r="AL830" i="178"/>
  <c r="AM830" i="178"/>
  <c r="AN830" i="178"/>
  <c r="AO830" i="178"/>
  <c r="BJ323" i="178"/>
  <c r="T336" i="178"/>
  <c r="V336" i="178" s="1"/>
  <c r="W336" i="178"/>
  <c r="AD336" i="178"/>
  <c r="AE336" i="178"/>
  <c r="AF336" i="178"/>
  <c r="AG336" i="178"/>
  <c r="AH336" i="178"/>
  <c r="AI336" i="178"/>
  <c r="AJ336" i="178"/>
  <c r="AK336" i="178"/>
  <c r="AL336" i="178"/>
  <c r="AM336" i="178"/>
  <c r="AN336" i="178"/>
  <c r="AO336" i="178"/>
  <c r="T705" i="178"/>
  <c r="V705" i="178" s="1"/>
  <c r="W705" i="178"/>
  <c r="AD705" i="178"/>
  <c r="AE705" i="178"/>
  <c r="AF705" i="178"/>
  <c r="AG705" i="178"/>
  <c r="AH705" i="178"/>
  <c r="AI705" i="178"/>
  <c r="AJ705" i="178"/>
  <c r="AK705" i="178"/>
  <c r="AL705" i="178"/>
  <c r="AM705" i="178"/>
  <c r="AN705" i="178"/>
  <c r="AO705" i="178"/>
  <c r="T445" i="178"/>
  <c r="U445" i="178" s="1"/>
  <c r="W445" i="178"/>
  <c r="AD445" i="178"/>
  <c r="AE445" i="178"/>
  <c r="AF445" i="178"/>
  <c r="AG445" i="178"/>
  <c r="AH445" i="178"/>
  <c r="AI445" i="178"/>
  <c r="AJ445" i="178"/>
  <c r="AK445" i="178"/>
  <c r="AL445" i="178"/>
  <c r="AM445" i="178"/>
  <c r="AN445" i="178"/>
  <c r="AO445" i="178"/>
  <c r="T878" i="178"/>
  <c r="U878" i="178" s="1"/>
  <c r="W878" i="178"/>
  <c r="AD878" i="178"/>
  <c r="AE878" i="178"/>
  <c r="AF878" i="178"/>
  <c r="AG878" i="178"/>
  <c r="AH878" i="178"/>
  <c r="AI878" i="178"/>
  <c r="AJ878" i="178"/>
  <c r="AK878" i="178"/>
  <c r="AL878" i="178"/>
  <c r="AM878" i="178"/>
  <c r="AN878" i="178"/>
  <c r="AO878" i="178"/>
  <c r="T762" i="178"/>
  <c r="U762" i="178" s="1"/>
  <c r="W762" i="178"/>
  <c r="AD762" i="178"/>
  <c r="AE762" i="178"/>
  <c r="AF762" i="178"/>
  <c r="AG762" i="178"/>
  <c r="AH762" i="178"/>
  <c r="AI762" i="178"/>
  <c r="AJ762" i="178"/>
  <c r="AK762" i="178"/>
  <c r="AL762" i="178"/>
  <c r="AM762" i="178"/>
  <c r="AN762" i="178"/>
  <c r="AO762" i="178"/>
  <c r="T256" i="178"/>
  <c r="U256" i="178" s="1"/>
  <c r="W256" i="178"/>
  <c r="AD256" i="178"/>
  <c r="AE256" i="178"/>
  <c r="AF256" i="178"/>
  <c r="AG256" i="178"/>
  <c r="AH256" i="178"/>
  <c r="AI256" i="178"/>
  <c r="AJ256" i="178"/>
  <c r="AK256" i="178"/>
  <c r="AL256" i="178"/>
  <c r="AM256" i="178"/>
  <c r="AN256" i="178"/>
  <c r="AO256" i="178"/>
  <c r="M53" i="183" l="1"/>
  <c r="M57" i="183"/>
  <c r="M61" i="183"/>
  <c r="M65" i="183"/>
  <c r="M69" i="183"/>
  <c r="M73" i="183"/>
  <c r="M77" i="183"/>
  <c r="M81" i="183"/>
  <c r="M85" i="183"/>
  <c r="M89" i="183"/>
  <c r="M93" i="183"/>
  <c r="M97" i="183"/>
  <c r="M101" i="183"/>
  <c r="M105" i="183"/>
  <c r="M109" i="183"/>
  <c r="M113" i="183"/>
  <c r="M117" i="183"/>
  <c r="BJ830" i="178"/>
  <c r="BK830" i="178"/>
  <c r="BJ256" i="178"/>
  <c r="BK256" i="178"/>
  <c r="BJ762" i="178"/>
  <c r="BK762" i="178"/>
  <c r="BJ445" i="178"/>
  <c r="BK445" i="178"/>
  <c r="BJ336" i="178"/>
  <c r="BK336" i="178"/>
  <c r="BJ512" i="178"/>
  <c r="BK512" i="178"/>
  <c r="BJ113" i="178"/>
  <c r="BK113" i="178"/>
  <c r="BJ905" i="178"/>
  <c r="BK905" i="178"/>
  <c r="BJ918" i="178"/>
  <c r="BK918" i="178"/>
  <c r="BJ635" i="178"/>
  <c r="BK635" i="178"/>
  <c r="BJ878" i="178"/>
  <c r="BK878" i="178"/>
  <c r="BJ705" i="178"/>
  <c r="BK705" i="178"/>
  <c r="BJ728" i="178"/>
  <c r="BK728" i="178"/>
  <c r="BJ791" i="178"/>
  <c r="BK791" i="178"/>
  <c r="BJ326" i="178"/>
  <c r="BK326" i="178"/>
  <c r="K8" i="183"/>
  <c r="K53" i="183"/>
  <c r="K57" i="183"/>
  <c r="K101" i="183"/>
  <c r="K105" i="183"/>
  <c r="K109" i="183"/>
  <c r="K121" i="183"/>
  <c r="K21" i="183"/>
  <c r="K39" i="183"/>
  <c r="K56" i="183"/>
  <c r="K60" i="183"/>
  <c r="K64" i="183"/>
  <c r="K68" i="183"/>
  <c r="K72" i="183"/>
  <c r="K76" i="183"/>
  <c r="K80" i="183"/>
  <c r="K84" i="183"/>
  <c r="K88" i="183"/>
  <c r="M24" i="183"/>
  <c r="M28" i="183"/>
  <c r="M32" i="183"/>
  <c r="M44" i="183"/>
  <c r="K61" i="183"/>
  <c r="K65" i="183"/>
  <c r="K69" i="183"/>
  <c r="K73" i="183"/>
  <c r="K77" i="183"/>
  <c r="K81" i="183"/>
  <c r="K85" i="183"/>
  <c r="K89" i="183"/>
  <c r="K93" i="183"/>
  <c r="K97" i="183"/>
  <c r="K113" i="183"/>
  <c r="K117" i="183"/>
  <c r="K125" i="183"/>
  <c r="M130" i="183"/>
  <c r="K2" i="183"/>
  <c r="K5" i="183"/>
  <c r="K4" i="183"/>
  <c r="K58" i="183"/>
  <c r="K62" i="183"/>
  <c r="K66" i="183"/>
  <c r="K70" i="183"/>
  <c r="K74" i="183"/>
  <c r="K78" i="183"/>
  <c r="K82" i="183"/>
  <c r="K86" i="183"/>
  <c r="K90" i="183"/>
  <c r="M131" i="183"/>
  <c r="M9" i="183"/>
  <c r="K22" i="183"/>
  <c r="M23" i="183"/>
  <c r="K26" i="183"/>
  <c r="M27" i="183"/>
  <c r="K30" i="183"/>
  <c r="M31" i="183"/>
  <c r="M34" i="183"/>
  <c r="M43" i="183"/>
  <c r="M46" i="183"/>
  <c r="M50" i="183"/>
  <c r="M58" i="183"/>
  <c r="M62" i="183"/>
  <c r="M66" i="183"/>
  <c r="M70" i="183"/>
  <c r="M74" i="183"/>
  <c r="M78" i="183"/>
  <c r="M82" i="183"/>
  <c r="M86" i="183"/>
  <c r="M90" i="183"/>
  <c r="M94" i="183"/>
  <c r="M98" i="183"/>
  <c r="M102" i="183"/>
  <c r="K124" i="183"/>
  <c r="K24" i="183"/>
  <c r="M25" i="183"/>
  <c r="K28" i="183"/>
  <c r="M29" i="183"/>
  <c r="K32" i="183"/>
  <c r="M36" i="183"/>
  <c r="M39" i="183"/>
  <c r="K44" i="183"/>
  <c r="M48" i="183"/>
  <c r="M52" i="183"/>
  <c r="K55" i="183"/>
  <c r="M56" i="183"/>
  <c r="K59" i="183"/>
  <c r="M60" i="183"/>
  <c r="K63" i="183"/>
  <c r="M64" i="183"/>
  <c r="K67" i="183"/>
  <c r="M68" i="183"/>
  <c r="K71" i="183"/>
  <c r="M72" i="183"/>
  <c r="K75" i="183"/>
  <c r="M76" i="183"/>
  <c r="K79" i="183"/>
  <c r="M80" i="183"/>
  <c r="K83" i="183"/>
  <c r="M84" i="183"/>
  <c r="K87" i="183"/>
  <c r="M88" i="183"/>
  <c r="K91" i="183"/>
  <c r="M92" i="183"/>
  <c r="K95" i="183"/>
  <c r="M96" i="183"/>
  <c r="K99" i="183"/>
  <c r="M100" i="183"/>
  <c r="K103" i="183"/>
  <c r="K107" i="183"/>
  <c r="K111" i="183"/>
  <c r="K115" i="183"/>
  <c r="K119" i="183"/>
  <c r="K123" i="183"/>
  <c r="M124" i="183"/>
  <c r="K131" i="183"/>
  <c r="M132" i="183"/>
  <c r="AZ256" i="178"/>
  <c r="BA256" i="178"/>
  <c r="BL762" i="178"/>
  <c r="BM762" i="178"/>
  <c r="AV762" i="178"/>
  <c r="AW762" i="178"/>
  <c r="BL878" i="178"/>
  <c r="BM878" i="178"/>
  <c r="BD878" i="178"/>
  <c r="BE878" i="178"/>
  <c r="AV878" i="178"/>
  <c r="AW878" i="178"/>
  <c r="BL445" i="178"/>
  <c r="BM445" i="178"/>
  <c r="BD445" i="178"/>
  <c r="BE445" i="178"/>
  <c r="AV445" i="178"/>
  <c r="AW445" i="178"/>
  <c r="BH705" i="178"/>
  <c r="BI705" i="178"/>
  <c r="AZ705" i="178"/>
  <c r="BA705" i="178"/>
  <c r="AR705" i="178"/>
  <c r="AS705" i="178"/>
  <c r="BH336" i="178"/>
  <c r="BI336" i="178"/>
  <c r="AZ336" i="178"/>
  <c r="BA336" i="178"/>
  <c r="AR336" i="178"/>
  <c r="AS336" i="178"/>
  <c r="BH323" i="178"/>
  <c r="BI323" i="178"/>
  <c r="AZ323" i="178"/>
  <c r="BA323" i="178"/>
  <c r="AR323" i="178"/>
  <c r="AS323" i="178"/>
  <c r="BL830" i="178"/>
  <c r="BM830" i="178"/>
  <c r="BD830" i="178"/>
  <c r="BE830" i="178"/>
  <c r="AV830" i="178"/>
  <c r="AW830" i="178"/>
  <c r="BL518" i="178"/>
  <c r="BM518" i="178"/>
  <c r="BD518" i="178"/>
  <c r="BE518" i="178"/>
  <c r="AV518" i="178"/>
  <c r="AW518" i="178"/>
  <c r="BL512" i="178"/>
  <c r="BM512" i="178"/>
  <c r="BD512" i="178"/>
  <c r="BE512" i="178"/>
  <c r="AV512" i="178"/>
  <c r="AW512" i="178"/>
  <c r="BL113" i="178"/>
  <c r="BM113" i="178"/>
  <c r="BD113" i="178"/>
  <c r="BE113" i="178"/>
  <c r="AV113" i="178"/>
  <c r="AW113" i="178"/>
  <c r="BL728" i="178"/>
  <c r="BM728" i="178"/>
  <c r="BD728" i="178"/>
  <c r="BE728" i="178"/>
  <c r="AV728" i="178"/>
  <c r="AW728" i="178"/>
  <c r="BH905" i="178"/>
  <c r="BI905" i="178"/>
  <c r="AZ905" i="178"/>
  <c r="BA905" i="178"/>
  <c r="AR905" i="178"/>
  <c r="AS905" i="178"/>
  <c r="BH791" i="178"/>
  <c r="BI791" i="178"/>
  <c r="AZ791" i="178"/>
  <c r="BA791" i="178"/>
  <c r="AR791" i="178"/>
  <c r="AS791" i="178"/>
  <c r="BL918" i="178"/>
  <c r="BM918" i="178"/>
  <c r="BD918" i="178"/>
  <c r="BE918" i="178"/>
  <c r="AV918" i="178"/>
  <c r="AW918" i="178"/>
  <c r="BL326" i="178"/>
  <c r="BM326" i="178"/>
  <c r="BD326" i="178"/>
  <c r="BE326" i="178"/>
  <c r="AV326" i="178"/>
  <c r="AW326" i="178"/>
  <c r="BH635" i="178"/>
  <c r="BI635" i="178"/>
  <c r="AZ635" i="178"/>
  <c r="BA635" i="178"/>
  <c r="AR635" i="178"/>
  <c r="AS635" i="178"/>
  <c r="BH256" i="178"/>
  <c r="BI256" i="178"/>
  <c r="AR256" i="178"/>
  <c r="AS256" i="178"/>
  <c r="BD762" i="178"/>
  <c r="BE762" i="178"/>
  <c r="BN256" i="178"/>
  <c r="BO256" i="178"/>
  <c r="BF256" i="178"/>
  <c r="BG256" i="178"/>
  <c r="AX256" i="178"/>
  <c r="AY256" i="178"/>
  <c r="BB762" i="178"/>
  <c r="BC762" i="178"/>
  <c r="AT762" i="178"/>
  <c r="AU762" i="178"/>
  <c r="BB878" i="178"/>
  <c r="BC878" i="178"/>
  <c r="AT878" i="178"/>
  <c r="AU878" i="178"/>
  <c r="BB445" i="178"/>
  <c r="BC445" i="178"/>
  <c r="AT445" i="178"/>
  <c r="AU445" i="178"/>
  <c r="BN705" i="178"/>
  <c r="BO705" i="178"/>
  <c r="BF705" i="178"/>
  <c r="BG705" i="178"/>
  <c r="AX705" i="178"/>
  <c r="AY705" i="178"/>
  <c r="BN336" i="178"/>
  <c r="BO336" i="178"/>
  <c r="BF336" i="178"/>
  <c r="BG336" i="178"/>
  <c r="AX336" i="178"/>
  <c r="AY336" i="178"/>
  <c r="BN323" i="178"/>
  <c r="BO323" i="178"/>
  <c r="BF323" i="178"/>
  <c r="BG323" i="178"/>
  <c r="AX323" i="178"/>
  <c r="AY323" i="178"/>
  <c r="BB830" i="178"/>
  <c r="BC830" i="178"/>
  <c r="AT830" i="178"/>
  <c r="AU830" i="178"/>
  <c r="BB518" i="178"/>
  <c r="BC518" i="178"/>
  <c r="AT518" i="178"/>
  <c r="AU518" i="178"/>
  <c r="BB512" i="178"/>
  <c r="BC512" i="178"/>
  <c r="AT512" i="178"/>
  <c r="AU512" i="178"/>
  <c r="BB113" i="178"/>
  <c r="BC113" i="178"/>
  <c r="AT113" i="178"/>
  <c r="AU113" i="178"/>
  <c r="BB728" i="178"/>
  <c r="BC728" i="178"/>
  <c r="AT728" i="178"/>
  <c r="AU728" i="178"/>
  <c r="BN905" i="178"/>
  <c r="BO905" i="178"/>
  <c r="BF905" i="178"/>
  <c r="BG905" i="178"/>
  <c r="AX905" i="178"/>
  <c r="AY905" i="178"/>
  <c r="BN791" i="178"/>
  <c r="BO791" i="178"/>
  <c r="BF791" i="178"/>
  <c r="BG791" i="178"/>
  <c r="AX791" i="178"/>
  <c r="AY791" i="178"/>
  <c r="BB918" i="178"/>
  <c r="BC918" i="178"/>
  <c r="AT918" i="178"/>
  <c r="AU918" i="178"/>
  <c r="BB326" i="178"/>
  <c r="BC326" i="178"/>
  <c r="AT326" i="178"/>
  <c r="AU326" i="178"/>
  <c r="BN635" i="178"/>
  <c r="BO635" i="178"/>
  <c r="BF635" i="178"/>
  <c r="BG635" i="178"/>
  <c r="AX635" i="178"/>
  <c r="AY635" i="178"/>
  <c r="BD256" i="178"/>
  <c r="BE256" i="178"/>
  <c r="AZ762" i="178"/>
  <c r="BA762" i="178"/>
  <c r="BH878" i="178"/>
  <c r="BI878" i="178"/>
  <c r="AZ878" i="178"/>
  <c r="BA878" i="178"/>
  <c r="AR878" i="178"/>
  <c r="AS878" i="178"/>
  <c r="BH445" i="178"/>
  <c r="BI445" i="178"/>
  <c r="AZ445" i="178"/>
  <c r="BA445" i="178"/>
  <c r="AR445" i="178"/>
  <c r="AS445" i="178"/>
  <c r="BL705" i="178"/>
  <c r="BM705" i="178"/>
  <c r="BD705" i="178"/>
  <c r="BE705" i="178"/>
  <c r="AV705" i="178"/>
  <c r="AW705" i="178"/>
  <c r="BL336" i="178"/>
  <c r="BM336" i="178"/>
  <c r="BD336" i="178"/>
  <c r="BE336" i="178"/>
  <c r="AV336" i="178"/>
  <c r="AW336" i="178"/>
  <c r="BL323" i="178"/>
  <c r="BM323" i="178"/>
  <c r="BD323" i="178"/>
  <c r="BE323" i="178"/>
  <c r="AV323" i="178"/>
  <c r="AW323" i="178"/>
  <c r="BH830" i="178"/>
  <c r="BI830" i="178"/>
  <c r="AZ830" i="178"/>
  <c r="BA830" i="178"/>
  <c r="AR830" i="178"/>
  <c r="AS830" i="178"/>
  <c r="BH518" i="178"/>
  <c r="BI518" i="178"/>
  <c r="AZ518" i="178"/>
  <c r="BA518" i="178"/>
  <c r="AR518" i="178"/>
  <c r="AS518" i="178"/>
  <c r="BH512" i="178"/>
  <c r="BI512" i="178"/>
  <c r="AZ512" i="178"/>
  <c r="BA512" i="178"/>
  <c r="AR512" i="178"/>
  <c r="AS512" i="178"/>
  <c r="BH113" i="178"/>
  <c r="BI113" i="178"/>
  <c r="AZ113" i="178"/>
  <c r="BA113" i="178"/>
  <c r="AR113" i="178"/>
  <c r="AS113" i="178"/>
  <c r="BH728" i="178"/>
  <c r="BI728" i="178"/>
  <c r="AZ728" i="178"/>
  <c r="BA728" i="178"/>
  <c r="AR728" i="178"/>
  <c r="AS728" i="178"/>
  <c r="BL905" i="178"/>
  <c r="BM905" i="178"/>
  <c r="BD905" i="178"/>
  <c r="BE905" i="178"/>
  <c r="AV905" i="178"/>
  <c r="AW905" i="178"/>
  <c r="BL791" i="178"/>
  <c r="BM791" i="178"/>
  <c r="BD791" i="178"/>
  <c r="BE791" i="178"/>
  <c r="AV791" i="178"/>
  <c r="AW791" i="178"/>
  <c r="BH918" i="178"/>
  <c r="BI918" i="178"/>
  <c r="AZ918" i="178"/>
  <c r="BA918" i="178"/>
  <c r="AR918" i="178"/>
  <c r="AS918" i="178"/>
  <c r="BH326" i="178"/>
  <c r="BI326" i="178"/>
  <c r="AZ326" i="178"/>
  <c r="BA326" i="178"/>
  <c r="AR326" i="178"/>
  <c r="AS326" i="178"/>
  <c r="BL635" i="178"/>
  <c r="BM635" i="178"/>
  <c r="BD635" i="178"/>
  <c r="BE635" i="178"/>
  <c r="AV635" i="178"/>
  <c r="AW635" i="178"/>
  <c r="BL256" i="178"/>
  <c r="BM256" i="178"/>
  <c r="AV256" i="178"/>
  <c r="AW256" i="178"/>
  <c r="BH762" i="178"/>
  <c r="BI762" i="178"/>
  <c r="AR762" i="178"/>
  <c r="AS762" i="178"/>
  <c r="BB256" i="178"/>
  <c r="BC256" i="178"/>
  <c r="AT256" i="178"/>
  <c r="AU256" i="178"/>
  <c r="BN762" i="178"/>
  <c r="BO762" i="178"/>
  <c r="BF762" i="178"/>
  <c r="BG762" i="178"/>
  <c r="AX762" i="178"/>
  <c r="AY762" i="178"/>
  <c r="BN878" i="178"/>
  <c r="BO878" i="178"/>
  <c r="BF878" i="178"/>
  <c r="BG878" i="178"/>
  <c r="AX878" i="178"/>
  <c r="AY878" i="178"/>
  <c r="BN445" i="178"/>
  <c r="BO445" i="178"/>
  <c r="BF445" i="178"/>
  <c r="BG445" i="178"/>
  <c r="AX445" i="178"/>
  <c r="AY445" i="178"/>
  <c r="BB705" i="178"/>
  <c r="BC705" i="178"/>
  <c r="AT705" i="178"/>
  <c r="AU705" i="178"/>
  <c r="BB336" i="178"/>
  <c r="BC336" i="178"/>
  <c r="AT336" i="178"/>
  <c r="AU336" i="178"/>
  <c r="BB323" i="178"/>
  <c r="BC323" i="178"/>
  <c r="AT323" i="178"/>
  <c r="AU323" i="178"/>
  <c r="BN830" i="178"/>
  <c r="BO830" i="178"/>
  <c r="BF830" i="178"/>
  <c r="BG830" i="178"/>
  <c r="AX830" i="178"/>
  <c r="AY830" i="178"/>
  <c r="BN518" i="178"/>
  <c r="BO518" i="178"/>
  <c r="BF518" i="178"/>
  <c r="BG518" i="178"/>
  <c r="AX518" i="178"/>
  <c r="AY518" i="178"/>
  <c r="BN512" i="178"/>
  <c r="BO512" i="178"/>
  <c r="BF512" i="178"/>
  <c r="BG512" i="178"/>
  <c r="AX512" i="178"/>
  <c r="AY512" i="178"/>
  <c r="BN113" i="178"/>
  <c r="BO113" i="178"/>
  <c r="BF113" i="178"/>
  <c r="BG113" i="178"/>
  <c r="AX113" i="178"/>
  <c r="AY113" i="178"/>
  <c r="BN728" i="178"/>
  <c r="BO728" i="178"/>
  <c r="BF728" i="178"/>
  <c r="BG728" i="178"/>
  <c r="AX728" i="178"/>
  <c r="AY728" i="178"/>
  <c r="BB905" i="178"/>
  <c r="BC905" i="178"/>
  <c r="AT905" i="178"/>
  <c r="AU905" i="178"/>
  <c r="BB791" i="178"/>
  <c r="BC791" i="178"/>
  <c r="AT791" i="178"/>
  <c r="AU791" i="178"/>
  <c r="BN918" i="178"/>
  <c r="BO918" i="178"/>
  <c r="BF918" i="178"/>
  <c r="BG918" i="178"/>
  <c r="AX918" i="178"/>
  <c r="AY918" i="178"/>
  <c r="BN326" i="178"/>
  <c r="BO326" i="178"/>
  <c r="BF326" i="178"/>
  <c r="BG326" i="178"/>
  <c r="AX326" i="178"/>
  <c r="AY326" i="178"/>
  <c r="BB635" i="178"/>
  <c r="BC635" i="178"/>
  <c r="AT635" i="178"/>
  <c r="AU635" i="178"/>
  <c r="K31" i="183"/>
  <c r="K130" i="183"/>
  <c r="M4" i="183"/>
  <c r="M8" i="183"/>
  <c r="K92" i="183"/>
  <c r="K29" i="183"/>
  <c r="K47" i="183"/>
  <c r="K51" i="183"/>
  <c r="K122" i="183"/>
  <c r="M2" i="183"/>
  <c r="K27" i="183"/>
  <c r="K37" i="183"/>
  <c r="K46" i="183"/>
  <c r="K50" i="183"/>
  <c r="K25" i="183"/>
  <c r="K36" i="183"/>
  <c r="M21" i="183"/>
  <c r="K19" i="183"/>
  <c r="K35" i="183"/>
  <c r="K40" i="183"/>
  <c r="K49" i="183"/>
  <c r="M54" i="183"/>
  <c r="K120" i="183"/>
  <c r="K132" i="183"/>
  <c r="M5" i="183"/>
  <c r="K3" i="183"/>
  <c r="K9" i="183"/>
  <c r="K34" i="183"/>
  <c r="K43" i="183"/>
  <c r="K48" i="183"/>
  <c r="K52" i="183"/>
  <c r="K118" i="183"/>
  <c r="H3" i="183"/>
  <c r="I6" i="183"/>
  <c r="H9" i="183"/>
  <c r="I25" i="183"/>
  <c r="I48" i="183"/>
  <c r="I77" i="183"/>
  <c r="I98" i="183"/>
  <c r="H17" i="183"/>
  <c r="I81" i="183"/>
  <c r="I94" i="183"/>
  <c r="H2" i="183"/>
  <c r="I46" i="183"/>
  <c r="I61" i="183"/>
  <c r="I111" i="183"/>
  <c r="H10" i="183"/>
  <c r="H12" i="183"/>
  <c r="H19" i="183"/>
  <c r="H20" i="183"/>
  <c r="I27" i="183"/>
  <c r="I65" i="183"/>
  <c r="H14" i="183"/>
  <c r="H16" i="183"/>
  <c r="I52" i="183"/>
  <c r="H53" i="183"/>
  <c r="I69" i="183"/>
  <c r="I85" i="183"/>
  <c r="I93" i="183"/>
  <c r="I102" i="183"/>
  <c r="I38" i="183"/>
  <c r="I50" i="183"/>
  <c r="I73" i="183"/>
  <c r="I89" i="183"/>
  <c r="I117" i="183"/>
  <c r="H119" i="183"/>
  <c r="I124" i="183"/>
  <c r="I127" i="183"/>
  <c r="H128" i="183"/>
  <c r="I110" i="183"/>
  <c r="H4" i="183"/>
  <c r="H7" i="183"/>
  <c r="H13" i="183"/>
  <c r="I29" i="183"/>
  <c r="H34" i="183"/>
  <c r="H36" i="183"/>
  <c r="I40" i="183"/>
  <c r="H41" i="183"/>
  <c r="I43" i="183"/>
  <c r="H18" i="183"/>
  <c r="I23" i="183"/>
  <c r="I31" i="183"/>
  <c r="I56" i="183"/>
  <c r="I59" i="183"/>
  <c r="I67" i="183"/>
  <c r="I75" i="183"/>
  <c r="I83" i="183"/>
  <c r="H91" i="183"/>
  <c r="I100" i="183"/>
  <c r="H113" i="183"/>
  <c r="H121" i="183"/>
  <c r="H126" i="183"/>
  <c r="I130" i="183"/>
  <c r="H115" i="183"/>
  <c r="H123" i="183"/>
  <c r="I63" i="183"/>
  <c r="I71" i="183"/>
  <c r="I79" i="183"/>
  <c r="I87" i="183"/>
  <c r="I96" i="183"/>
  <c r="I104" i="183"/>
  <c r="I106" i="183"/>
  <c r="I108" i="183"/>
  <c r="H109" i="183"/>
  <c r="I132" i="183"/>
  <c r="I5" i="183"/>
  <c r="I8" i="183"/>
  <c r="I11" i="183"/>
  <c r="I15" i="183"/>
  <c r="I21" i="183"/>
  <c r="M3" i="183"/>
  <c r="M19" i="183"/>
  <c r="I26" i="183"/>
  <c r="H26" i="183"/>
  <c r="H22" i="183"/>
  <c r="K23" i="183"/>
  <c r="H24" i="183"/>
  <c r="I33" i="183"/>
  <c r="I35" i="183"/>
  <c r="M35" i="183"/>
  <c r="I37" i="183"/>
  <c r="M37" i="183"/>
  <c r="I45" i="183"/>
  <c r="I47" i="183"/>
  <c r="M47" i="183"/>
  <c r="I49" i="183"/>
  <c r="M49" i="183"/>
  <c r="I51" i="183"/>
  <c r="M51" i="183"/>
  <c r="I57" i="183"/>
  <c r="I66" i="183"/>
  <c r="H66" i="183"/>
  <c r="I74" i="183"/>
  <c r="H74" i="183"/>
  <c r="I82" i="183"/>
  <c r="H82" i="183"/>
  <c r="K54" i="183"/>
  <c r="I64" i="183"/>
  <c r="H64" i="183"/>
  <c r="I72" i="183"/>
  <c r="H72" i="183"/>
  <c r="I80" i="183"/>
  <c r="H80" i="183"/>
  <c r="I88" i="183"/>
  <c r="H88" i="183"/>
  <c r="H28" i="183"/>
  <c r="H30" i="183"/>
  <c r="H32" i="183"/>
  <c r="H39" i="183"/>
  <c r="H42" i="183"/>
  <c r="H44" i="183"/>
  <c r="I55" i="183"/>
  <c r="I62" i="183"/>
  <c r="H62" i="183"/>
  <c r="I70" i="183"/>
  <c r="H70" i="183"/>
  <c r="I78" i="183"/>
  <c r="H78" i="183"/>
  <c r="I86" i="183"/>
  <c r="H86" i="183"/>
  <c r="I54" i="183"/>
  <c r="I58" i="183"/>
  <c r="I60" i="183"/>
  <c r="H60" i="183"/>
  <c r="I68" i="183"/>
  <c r="H68" i="183"/>
  <c r="I76" i="183"/>
  <c r="H76" i="183"/>
  <c r="I84" i="183"/>
  <c r="H84" i="183"/>
  <c r="K110" i="183"/>
  <c r="M110" i="183"/>
  <c r="K116" i="183"/>
  <c r="M116" i="183"/>
  <c r="H90" i="183"/>
  <c r="K94" i="183"/>
  <c r="H95" i="183"/>
  <c r="K96" i="183"/>
  <c r="H97" i="183"/>
  <c r="K98" i="183"/>
  <c r="H99" i="183"/>
  <c r="K100" i="183"/>
  <c r="H101" i="183"/>
  <c r="K102" i="183"/>
  <c r="H103" i="183"/>
  <c r="K104" i="183"/>
  <c r="H105" i="183"/>
  <c r="K106" i="183"/>
  <c r="H107" i="183"/>
  <c r="K108" i="183"/>
  <c r="M104" i="183"/>
  <c r="M106" i="183"/>
  <c r="M108" i="183"/>
  <c r="K112" i="183"/>
  <c r="M112" i="183"/>
  <c r="I92" i="183"/>
  <c r="K114" i="183"/>
  <c r="M114" i="183"/>
  <c r="I112" i="183"/>
  <c r="I114" i="183"/>
  <c r="I116" i="183"/>
  <c r="I118" i="183"/>
  <c r="M118" i="183"/>
  <c r="I120" i="183"/>
  <c r="M120" i="183"/>
  <c r="I122" i="183"/>
  <c r="M122" i="183"/>
  <c r="H125" i="183"/>
  <c r="H129" i="183"/>
  <c r="H131" i="183"/>
  <c r="U705" i="178"/>
  <c r="U336" i="178"/>
  <c r="U918" i="178"/>
  <c r="U113" i="178"/>
  <c r="V762" i="178"/>
  <c r="V635" i="178"/>
  <c r="V256" i="178"/>
  <c r="V878" i="178"/>
  <c r="V445" i="178"/>
  <c r="V830" i="178"/>
  <c r="U512" i="178"/>
  <c r="U728" i="178"/>
  <c r="V728" i="178"/>
  <c r="U905" i="178"/>
  <c r="U791" i="178"/>
  <c r="V326" i="178"/>
  <c r="C42" i="78" l="1"/>
  <c r="O32" i="55"/>
  <c r="Q32" i="55"/>
  <c r="R32" i="55"/>
  <c r="C79" i="78"/>
  <c r="O68" i="55"/>
  <c r="Q68" i="55"/>
  <c r="R68" i="55"/>
  <c r="C747" i="78"/>
  <c r="O719" i="55"/>
  <c r="Q719" i="55"/>
  <c r="R719" i="55"/>
  <c r="C930" i="78"/>
  <c r="O896" i="55"/>
  <c r="Q896" i="55"/>
  <c r="R896" i="55"/>
  <c r="B728" i="178"/>
  <c r="B113" i="178"/>
  <c r="B512" i="178"/>
  <c r="B830" i="178"/>
  <c r="B336" i="178"/>
  <c r="B705" i="178"/>
  <c r="B445" i="178"/>
  <c r="B878" i="178"/>
  <c r="B791" i="178"/>
  <c r="B905" i="178"/>
  <c r="B918" i="178"/>
  <c r="B635" i="178"/>
  <c r="B326" i="178"/>
  <c r="AA1038" i="178" l="1"/>
  <c r="AB1038" i="178" s="1"/>
  <c r="X1038" i="178"/>
  <c r="Z1038" i="178" s="1"/>
  <c r="AC1038" i="178" l="1"/>
  <c r="C56" i="78"/>
  <c r="R57" i="55"/>
  <c r="Q57" i="55"/>
  <c r="AA18" i="178" s="1"/>
  <c r="AB18" i="178" s="1"/>
  <c r="O57" i="55"/>
  <c r="X18" i="178" s="1"/>
  <c r="Z18" i="178" s="1"/>
  <c r="AC18" i="178" l="1"/>
  <c r="E26" i="181"/>
  <c r="G26" i="181" s="1"/>
  <c r="K58" i="190" s="1"/>
  <c r="L58" i="190" s="1"/>
  <c r="L59" i="190" s="1"/>
  <c r="F26" i="181"/>
  <c r="F28" i="181" l="1"/>
  <c r="E28" i="181"/>
  <c r="G28" i="181" s="1"/>
  <c r="K62" i="190" s="1"/>
  <c r="L62" i="190" s="1"/>
  <c r="L63" i="190" s="1"/>
  <c r="F27" i="181"/>
  <c r="E27" i="181"/>
  <c r="F25" i="181"/>
  <c r="E25" i="181"/>
  <c r="F24" i="181"/>
  <c r="E24" i="181"/>
  <c r="F23" i="181"/>
  <c r="E23" i="181"/>
  <c r="G23" i="181" s="1"/>
  <c r="K52" i="190" s="1"/>
  <c r="L52" i="190" s="1"/>
  <c r="L53" i="190" s="1"/>
  <c r="F22" i="181"/>
  <c r="E22" i="181"/>
  <c r="G22" i="181" s="1"/>
  <c r="K50" i="190" s="1"/>
  <c r="L50" i="190" s="1"/>
  <c r="L51" i="190" s="1"/>
  <c r="F21" i="181"/>
  <c r="E21" i="181"/>
  <c r="F20" i="181"/>
  <c r="E20" i="181"/>
  <c r="F19" i="181"/>
  <c r="E19" i="181"/>
  <c r="G19" i="181" s="1"/>
  <c r="K42" i="190" s="1"/>
  <c r="L42" i="190" s="1"/>
  <c r="L43" i="190" s="1"/>
  <c r="F18" i="181"/>
  <c r="K38" i="190" s="1"/>
  <c r="L38" i="190" s="1"/>
  <c r="L39" i="190" s="1"/>
  <c r="E18" i="181"/>
  <c r="F17" i="181"/>
  <c r="E17" i="181"/>
  <c r="K36" i="190" s="1"/>
  <c r="L36" i="190" s="1"/>
  <c r="L37" i="190" s="1"/>
  <c r="F16" i="181"/>
  <c r="E16" i="181"/>
  <c r="K34" i="190" s="1"/>
  <c r="L34" i="190" s="1"/>
  <c r="L35" i="190" s="1"/>
  <c r="F15" i="181"/>
  <c r="E15" i="181"/>
  <c r="F14" i="181"/>
  <c r="E14" i="181"/>
  <c r="K30" i="190" s="1"/>
  <c r="L30" i="190" s="1"/>
  <c r="L31" i="190" s="1"/>
  <c r="F13" i="181"/>
  <c r="G13" i="181" s="1"/>
  <c r="E13" i="181"/>
  <c r="K28" i="190" s="1"/>
  <c r="L28" i="190" s="1"/>
  <c r="L29" i="190" s="1"/>
  <c r="F12" i="181"/>
  <c r="E12" i="181"/>
  <c r="K26" i="190" s="1"/>
  <c r="L26" i="190" s="1"/>
  <c r="L27" i="190" s="1"/>
  <c r="F11" i="181"/>
  <c r="E11" i="181"/>
  <c r="K24" i="190" s="1"/>
  <c r="L24" i="190" s="1"/>
  <c r="L25" i="190" s="1"/>
  <c r="F10" i="181"/>
  <c r="E10" i="181"/>
  <c r="K22" i="190" s="1"/>
  <c r="L22" i="190" s="1"/>
  <c r="L23" i="190" s="1"/>
  <c r="F9" i="181"/>
  <c r="E9" i="181"/>
  <c r="K20" i="190" s="1"/>
  <c r="L20" i="190" s="1"/>
  <c r="L21" i="190" s="1"/>
  <c r="F8" i="181"/>
  <c r="E8" i="181"/>
  <c r="K18" i="190" s="1"/>
  <c r="L18" i="190" s="1"/>
  <c r="L19" i="190" s="1"/>
  <c r="F7" i="181"/>
  <c r="E7" i="181"/>
  <c r="F6" i="181"/>
  <c r="E6" i="181"/>
  <c r="G6" i="181" s="1"/>
  <c r="K12" i="190" s="1"/>
  <c r="L12" i="190" s="1"/>
  <c r="L13" i="190" s="1"/>
  <c r="F5" i="181"/>
  <c r="E5" i="181"/>
  <c r="F4" i="181"/>
  <c r="E4" i="181"/>
  <c r="F3" i="181"/>
  <c r="E3" i="181"/>
  <c r="G17" i="181" l="1"/>
  <c r="G15" i="181"/>
  <c r="K32" i="190"/>
  <c r="L32" i="190" s="1"/>
  <c r="L33" i="190" s="1"/>
  <c r="G10" i="181"/>
  <c r="G9" i="181"/>
  <c r="G7" i="181"/>
  <c r="K16" i="190"/>
  <c r="L16" i="190" s="1"/>
  <c r="L17" i="190" s="1"/>
  <c r="G11" i="181"/>
  <c r="G5" i="181"/>
  <c r="K10" i="190" s="1"/>
  <c r="L10" i="190" s="1"/>
  <c r="L11" i="190" s="1"/>
  <c r="G4" i="181"/>
  <c r="K8" i="190" s="1"/>
  <c r="L8" i="190" s="1"/>
  <c r="L9" i="190" s="1"/>
  <c r="G12" i="181"/>
  <c r="G14" i="181"/>
  <c r="G16" i="181"/>
  <c r="G20" i="181"/>
  <c r="K44" i="190" s="1"/>
  <c r="L44" i="190" s="1"/>
  <c r="L45" i="190" s="1"/>
  <c r="G27" i="181"/>
  <c r="K60" i="190" s="1"/>
  <c r="L60" i="190" s="1"/>
  <c r="L61" i="190" s="1"/>
  <c r="G25" i="181"/>
  <c r="K56" i="190" s="1"/>
  <c r="L56" i="190" s="1"/>
  <c r="L57" i="190" s="1"/>
  <c r="G21" i="181"/>
  <c r="K48" i="190" s="1"/>
  <c r="L48" i="190" s="1"/>
  <c r="L49" i="190" s="1"/>
  <c r="G24" i="181"/>
  <c r="K54" i="190" s="1"/>
  <c r="L54" i="190" s="1"/>
  <c r="L55" i="190" s="1"/>
  <c r="G8" i="181"/>
  <c r="G3" i="181"/>
  <c r="K6" i="190" s="1"/>
  <c r="L6" i="190" s="1"/>
  <c r="L7" i="190" s="1"/>
  <c r="F85" i="70"/>
  <c r="F84" i="70"/>
  <c r="C862" i="78"/>
  <c r="C863" i="78"/>
  <c r="O828" i="55"/>
  <c r="Q828" i="55"/>
  <c r="R828" i="55"/>
  <c r="O829" i="55"/>
  <c r="Q829" i="55"/>
  <c r="R829" i="55"/>
  <c r="AA952" i="178" l="1"/>
  <c r="AB952" i="178" s="1"/>
  <c r="AA953" i="178"/>
  <c r="AB953" i="178" s="1"/>
  <c r="X952" i="178"/>
  <c r="Z952" i="178" s="1"/>
  <c r="X953" i="178"/>
  <c r="Z953" i="178" s="1"/>
  <c r="AD925" i="178"/>
  <c r="AE925" i="178"/>
  <c r="AF925" i="178"/>
  <c r="AG925" i="178"/>
  <c r="AH925" i="178"/>
  <c r="AI925" i="178"/>
  <c r="AJ925" i="178"/>
  <c r="AK925" i="178"/>
  <c r="AL925" i="178"/>
  <c r="AM925" i="178"/>
  <c r="AN925" i="178"/>
  <c r="AO925" i="178"/>
  <c r="T925" i="178"/>
  <c r="U925" i="178" s="1"/>
  <c r="W925" i="178"/>
  <c r="B925" i="178"/>
  <c r="C915" i="78"/>
  <c r="O881" i="55"/>
  <c r="Q881" i="55"/>
  <c r="R881" i="55"/>
  <c r="C910" i="78"/>
  <c r="O876" i="55"/>
  <c r="Q876" i="55"/>
  <c r="R876" i="55"/>
  <c r="BJ925" i="178" l="1"/>
  <c r="BK925" i="178"/>
  <c r="AC953" i="178"/>
  <c r="AC952" i="178"/>
  <c r="X1024" i="178"/>
  <c r="Z1024" i="178" s="1"/>
  <c r="AA1024" i="178"/>
  <c r="AB1024" i="178" s="1"/>
  <c r="BN925" i="178"/>
  <c r="BO925" i="178"/>
  <c r="BF925" i="178"/>
  <c r="BG925" i="178"/>
  <c r="AX925" i="178"/>
  <c r="AY925" i="178"/>
  <c r="BL925" i="178"/>
  <c r="BM925" i="178"/>
  <c r="BD925" i="178"/>
  <c r="BE925" i="178"/>
  <c r="AV925" i="178"/>
  <c r="AW925" i="178"/>
  <c r="BB925" i="178"/>
  <c r="BC925" i="178"/>
  <c r="AT925" i="178"/>
  <c r="AU925" i="178"/>
  <c r="BH925" i="178"/>
  <c r="BI925" i="178"/>
  <c r="AZ925" i="178"/>
  <c r="BA925" i="178"/>
  <c r="AR925" i="178"/>
  <c r="AS925" i="178"/>
  <c r="V925" i="178"/>
  <c r="AC1024" i="178" l="1"/>
  <c r="AD99" i="178" l="1"/>
  <c r="AE99" i="178"/>
  <c r="AF99" i="178"/>
  <c r="AG99" i="178"/>
  <c r="AH99" i="178"/>
  <c r="AI99" i="178"/>
  <c r="AJ99" i="178"/>
  <c r="AK99" i="178"/>
  <c r="AL99" i="178"/>
  <c r="AM99" i="178"/>
  <c r="AN99" i="178"/>
  <c r="AO99" i="178"/>
  <c r="T99" i="178"/>
  <c r="U99" i="178" s="1"/>
  <c r="W99" i="178"/>
  <c r="B99" i="178"/>
  <c r="BJ99" i="178" l="1"/>
  <c r="BK99" i="178"/>
  <c r="BH99" i="178"/>
  <c r="BI99" i="178"/>
  <c r="AZ99" i="178"/>
  <c r="BA99" i="178"/>
  <c r="AR99" i="178"/>
  <c r="AS99" i="178"/>
  <c r="BN99" i="178"/>
  <c r="BO99" i="178"/>
  <c r="BF99" i="178"/>
  <c r="BG99" i="178"/>
  <c r="AX99" i="178"/>
  <c r="AY99" i="178"/>
  <c r="BL99" i="178"/>
  <c r="BM99" i="178"/>
  <c r="BD99" i="178"/>
  <c r="BE99" i="178"/>
  <c r="AV99" i="178"/>
  <c r="AW99" i="178"/>
  <c r="BB99" i="178"/>
  <c r="BC99" i="178"/>
  <c r="AT99" i="178"/>
  <c r="AU99" i="178"/>
  <c r="V99" i="178"/>
  <c r="O190" i="55"/>
  <c r="Q190" i="55"/>
  <c r="R190" i="55"/>
  <c r="C207" i="78"/>
  <c r="O77" i="55"/>
  <c r="Q77" i="55"/>
  <c r="R77" i="55"/>
  <c r="C88" i="78"/>
  <c r="O72" i="55"/>
  <c r="Q72" i="55"/>
  <c r="R72" i="55"/>
  <c r="C83" i="78"/>
  <c r="C68" i="78"/>
  <c r="O58" i="55"/>
  <c r="Q58" i="55"/>
  <c r="R58" i="55"/>
  <c r="R468" i="55" l="1"/>
  <c r="Q468" i="55"/>
  <c r="O468" i="55"/>
  <c r="T1041" i="178" l="1"/>
  <c r="V1041" i="178" s="1"/>
  <c r="W1041" i="178"/>
  <c r="AD1041" i="178"/>
  <c r="AE1041" i="178"/>
  <c r="AF1041" i="178"/>
  <c r="AG1041" i="178"/>
  <c r="AH1041" i="178"/>
  <c r="AI1041" i="178"/>
  <c r="AJ1041" i="178"/>
  <c r="AK1041" i="178"/>
  <c r="AL1041" i="178"/>
  <c r="AM1041" i="178"/>
  <c r="AN1041" i="178"/>
  <c r="AO1041" i="178"/>
  <c r="T781" i="178"/>
  <c r="U781" i="178" s="1"/>
  <c r="W781" i="178"/>
  <c r="AD781" i="178"/>
  <c r="AE781" i="178"/>
  <c r="AF781" i="178"/>
  <c r="AG781" i="178"/>
  <c r="AH781" i="178"/>
  <c r="AI781" i="178"/>
  <c r="AJ781" i="178"/>
  <c r="AK781" i="178"/>
  <c r="AL781" i="178"/>
  <c r="AM781" i="178"/>
  <c r="AN781" i="178"/>
  <c r="AO781" i="178"/>
  <c r="O712" i="55"/>
  <c r="Q712" i="55"/>
  <c r="R712" i="55"/>
  <c r="C740" i="78"/>
  <c r="BJ781" i="178" l="1"/>
  <c r="BK781" i="178"/>
  <c r="BJ1041" i="178"/>
  <c r="BK1041" i="178"/>
  <c r="X1023" i="178"/>
  <c r="Z1023" i="178" s="1"/>
  <c r="X1029" i="178"/>
  <c r="Z1029" i="178" s="1"/>
  <c r="AA1023" i="178"/>
  <c r="AB1023" i="178" s="1"/>
  <c r="AA1029" i="178"/>
  <c r="AB1029" i="178" s="1"/>
  <c r="BN781" i="178"/>
  <c r="BO781" i="178"/>
  <c r="BF781" i="178"/>
  <c r="BG781" i="178"/>
  <c r="AX781" i="178"/>
  <c r="AY781" i="178"/>
  <c r="BB1041" i="178"/>
  <c r="BC1041" i="178"/>
  <c r="AT1041" i="178"/>
  <c r="AU1041" i="178"/>
  <c r="BL781" i="178"/>
  <c r="BM781" i="178"/>
  <c r="BD781" i="178"/>
  <c r="BE781" i="178"/>
  <c r="AV781" i="178"/>
  <c r="AW781" i="178"/>
  <c r="BH1041" i="178"/>
  <c r="BI1041" i="178"/>
  <c r="AZ1041" i="178"/>
  <c r="BA1041" i="178"/>
  <c r="AR1041" i="178"/>
  <c r="AS1041" i="178"/>
  <c r="BB781" i="178"/>
  <c r="BC781" i="178"/>
  <c r="AT781" i="178"/>
  <c r="AU781" i="178"/>
  <c r="BN1041" i="178"/>
  <c r="BO1041" i="178"/>
  <c r="BF1041" i="178"/>
  <c r="BG1041" i="178"/>
  <c r="AX1041" i="178"/>
  <c r="AY1041" i="178"/>
  <c r="BH781" i="178"/>
  <c r="BI781" i="178"/>
  <c r="AZ781" i="178"/>
  <c r="BA781" i="178"/>
  <c r="AR781" i="178"/>
  <c r="AS781" i="178"/>
  <c r="BL1041" i="178"/>
  <c r="BM1041" i="178"/>
  <c r="BD1041" i="178"/>
  <c r="BE1041" i="178"/>
  <c r="AV1041" i="178"/>
  <c r="AW1041" i="178"/>
  <c r="U1041" i="178"/>
  <c r="V781" i="178"/>
  <c r="AC1029" i="178" l="1"/>
  <c r="AC1023" i="178"/>
  <c r="B714" i="178"/>
  <c r="AD178" i="178"/>
  <c r="AE178" i="178"/>
  <c r="AF178" i="178"/>
  <c r="AG178" i="178"/>
  <c r="AH178" i="178"/>
  <c r="AI178" i="178"/>
  <c r="AJ178" i="178"/>
  <c r="AK178" i="178"/>
  <c r="AL178" i="178"/>
  <c r="AM178" i="178"/>
  <c r="AN178" i="178"/>
  <c r="AO178" i="178"/>
  <c r="T178" i="178"/>
  <c r="U178" i="178" s="1"/>
  <c r="W178" i="178"/>
  <c r="B502" i="178"/>
  <c r="B178" i="178"/>
  <c r="B120" i="178"/>
  <c r="B229" i="178"/>
  <c r="B255" i="178"/>
  <c r="B246" i="178"/>
  <c r="B521" i="178"/>
  <c r="B781" i="178"/>
  <c r="B296" i="178"/>
  <c r="B828" i="178"/>
  <c r="B289" i="178"/>
  <c r="B675" i="178"/>
  <c r="B677" i="178"/>
  <c r="B227" i="178"/>
  <c r="B704" i="178"/>
  <c r="B807" i="178"/>
  <c r="B884" i="178"/>
  <c r="B818" i="178"/>
  <c r="B932" i="178"/>
  <c r="B679" i="178"/>
  <c r="B140" i="178"/>
  <c r="B436" i="178"/>
  <c r="B321" i="178"/>
  <c r="B331" i="178"/>
  <c r="B976" i="178"/>
  <c r="B365" i="178"/>
  <c r="B341" i="178"/>
  <c r="B928" i="178"/>
  <c r="B856" i="178"/>
  <c r="B910" i="178"/>
  <c r="B560" i="178"/>
  <c r="B1041" i="178"/>
  <c r="B880" i="178"/>
  <c r="B881" i="178"/>
  <c r="B516" i="178"/>
  <c r="B257" i="178"/>
  <c r="B342" i="178"/>
  <c r="B802" i="178"/>
  <c r="BJ178" i="178" l="1"/>
  <c r="BK178" i="178"/>
  <c r="BL178" i="178"/>
  <c r="BM178" i="178"/>
  <c r="BD178" i="178"/>
  <c r="BE178" i="178"/>
  <c r="AV178" i="178"/>
  <c r="AW178" i="178"/>
  <c r="BB178" i="178"/>
  <c r="BC178" i="178"/>
  <c r="AT178" i="178"/>
  <c r="AU178" i="178"/>
  <c r="BH178" i="178"/>
  <c r="BI178" i="178"/>
  <c r="AZ178" i="178"/>
  <c r="BA178" i="178"/>
  <c r="AR178" i="178"/>
  <c r="AS178" i="178"/>
  <c r="BN178" i="178"/>
  <c r="BO178" i="178"/>
  <c r="BF178" i="178"/>
  <c r="BG178" i="178"/>
  <c r="AX178" i="178"/>
  <c r="AY178" i="178"/>
  <c r="V178" i="178"/>
  <c r="AD257" i="178"/>
  <c r="AE257" i="178"/>
  <c r="AF257" i="178"/>
  <c r="AG257" i="178"/>
  <c r="AH257" i="178"/>
  <c r="AI257" i="178"/>
  <c r="AJ257" i="178"/>
  <c r="AK257" i="178"/>
  <c r="AL257" i="178"/>
  <c r="AM257" i="178"/>
  <c r="AN257" i="178"/>
  <c r="AO257" i="178"/>
  <c r="AD342" i="178"/>
  <c r="AE342" i="178"/>
  <c r="AF342" i="178"/>
  <c r="AG342" i="178"/>
  <c r="AH342" i="178"/>
  <c r="AI342" i="178"/>
  <c r="AJ342" i="178"/>
  <c r="AK342" i="178"/>
  <c r="AL342" i="178"/>
  <c r="AM342" i="178"/>
  <c r="AN342" i="178"/>
  <c r="AO342" i="178"/>
  <c r="AD802" i="178"/>
  <c r="AE802" i="178"/>
  <c r="AF802" i="178"/>
  <c r="AG802" i="178"/>
  <c r="AH802" i="178"/>
  <c r="AI802" i="178"/>
  <c r="AJ802" i="178"/>
  <c r="AK802" i="178"/>
  <c r="AL802" i="178"/>
  <c r="AM802" i="178"/>
  <c r="AN802" i="178"/>
  <c r="AO802" i="178"/>
  <c r="AD516" i="178"/>
  <c r="AE516" i="178"/>
  <c r="AF516" i="178"/>
  <c r="AG516" i="178"/>
  <c r="AH516" i="178"/>
  <c r="AI516" i="178"/>
  <c r="AJ516" i="178"/>
  <c r="AK516" i="178"/>
  <c r="AL516" i="178"/>
  <c r="AM516" i="178"/>
  <c r="AN516" i="178"/>
  <c r="AO516" i="178"/>
  <c r="AD880" i="178"/>
  <c r="AE880" i="178"/>
  <c r="AF880" i="178"/>
  <c r="AG880" i="178"/>
  <c r="AH880" i="178"/>
  <c r="AI880" i="178"/>
  <c r="AJ880" i="178"/>
  <c r="AK880" i="178"/>
  <c r="AL880" i="178"/>
  <c r="AM880" i="178"/>
  <c r="AN880" i="178"/>
  <c r="AO880" i="178"/>
  <c r="AD881" i="178"/>
  <c r="AE881" i="178"/>
  <c r="AF881" i="178"/>
  <c r="AG881" i="178"/>
  <c r="AH881" i="178"/>
  <c r="AI881" i="178"/>
  <c r="AJ881" i="178"/>
  <c r="AK881" i="178"/>
  <c r="AL881" i="178"/>
  <c r="AM881" i="178"/>
  <c r="AN881" i="178"/>
  <c r="AO881" i="178"/>
  <c r="AD296" i="178"/>
  <c r="AE296" i="178"/>
  <c r="AF296" i="178"/>
  <c r="AG296" i="178"/>
  <c r="AH296" i="178"/>
  <c r="AI296" i="178"/>
  <c r="AJ296" i="178"/>
  <c r="AK296" i="178"/>
  <c r="AL296" i="178"/>
  <c r="AM296" i="178"/>
  <c r="AN296" i="178"/>
  <c r="AO296" i="178"/>
  <c r="AD828" i="178"/>
  <c r="AE828" i="178"/>
  <c r="AF828" i="178"/>
  <c r="AG828" i="178"/>
  <c r="AH828" i="178"/>
  <c r="AI828" i="178"/>
  <c r="AJ828" i="178"/>
  <c r="AK828" i="178"/>
  <c r="AL828" i="178"/>
  <c r="AM828" i="178"/>
  <c r="AN828" i="178"/>
  <c r="AO828" i="178"/>
  <c r="AD289" i="178"/>
  <c r="AE289" i="178"/>
  <c r="AF289" i="178"/>
  <c r="AG289" i="178"/>
  <c r="AH289" i="178"/>
  <c r="AI289" i="178"/>
  <c r="AJ289" i="178"/>
  <c r="AK289" i="178"/>
  <c r="AL289" i="178"/>
  <c r="AM289" i="178"/>
  <c r="AN289" i="178"/>
  <c r="AO289" i="178"/>
  <c r="AD675" i="178"/>
  <c r="AE675" i="178"/>
  <c r="AF675" i="178"/>
  <c r="AG675" i="178"/>
  <c r="AH675" i="178"/>
  <c r="AI675" i="178"/>
  <c r="AJ675" i="178"/>
  <c r="AK675" i="178"/>
  <c r="AL675" i="178"/>
  <c r="AM675" i="178"/>
  <c r="AN675" i="178"/>
  <c r="AO675" i="178"/>
  <c r="AD677" i="178"/>
  <c r="AE677" i="178"/>
  <c r="AF677" i="178"/>
  <c r="AG677" i="178"/>
  <c r="AH677" i="178"/>
  <c r="AI677" i="178"/>
  <c r="AJ677" i="178"/>
  <c r="AK677" i="178"/>
  <c r="AL677" i="178"/>
  <c r="AM677" i="178"/>
  <c r="AN677" i="178"/>
  <c r="AO677" i="178"/>
  <c r="AD227" i="178"/>
  <c r="AE227" i="178"/>
  <c r="AF227" i="178"/>
  <c r="AG227" i="178"/>
  <c r="AH227" i="178"/>
  <c r="AI227" i="178"/>
  <c r="AJ227" i="178"/>
  <c r="AK227" i="178"/>
  <c r="AL227" i="178"/>
  <c r="AM227" i="178"/>
  <c r="AN227" i="178"/>
  <c r="AO227" i="178"/>
  <c r="AD704" i="178"/>
  <c r="AE704" i="178"/>
  <c r="AF704" i="178"/>
  <c r="AG704" i="178"/>
  <c r="AH704" i="178"/>
  <c r="AI704" i="178"/>
  <c r="AJ704" i="178"/>
  <c r="AK704" i="178"/>
  <c r="AL704" i="178"/>
  <c r="AM704" i="178"/>
  <c r="AN704" i="178"/>
  <c r="AO704" i="178"/>
  <c r="BJ333" i="178"/>
  <c r="AD911" i="178"/>
  <c r="AE911" i="178"/>
  <c r="AF911" i="178"/>
  <c r="AG911" i="178"/>
  <c r="AH911" i="178"/>
  <c r="AI911" i="178"/>
  <c r="AJ911" i="178"/>
  <c r="AK911" i="178"/>
  <c r="AL911" i="178"/>
  <c r="AM911" i="178"/>
  <c r="AN911" i="178"/>
  <c r="AO911" i="178"/>
  <c r="AD807" i="178"/>
  <c r="AE807" i="178"/>
  <c r="AF807" i="178"/>
  <c r="AG807" i="178"/>
  <c r="AH807" i="178"/>
  <c r="AI807" i="178"/>
  <c r="AJ807" i="178"/>
  <c r="AK807" i="178"/>
  <c r="AL807" i="178"/>
  <c r="AM807" i="178"/>
  <c r="AN807" i="178"/>
  <c r="AO807" i="178"/>
  <c r="AD884" i="178"/>
  <c r="AE884" i="178"/>
  <c r="AF884" i="178"/>
  <c r="AG884" i="178"/>
  <c r="AH884" i="178"/>
  <c r="AI884" i="178"/>
  <c r="AJ884" i="178"/>
  <c r="AK884" i="178"/>
  <c r="AL884" i="178"/>
  <c r="AM884" i="178"/>
  <c r="AN884" i="178"/>
  <c r="AO884" i="178"/>
  <c r="AD818" i="178"/>
  <c r="AE818" i="178"/>
  <c r="AF818" i="178"/>
  <c r="AG818" i="178"/>
  <c r="AH818" i="178"/>
  <c r="AI818" i="178"/>
  <c r="AJ818" i="178"/>
  <c r="AK818" i="178"/>
  <c r="AL818" i="178"/>
  <c r="AM818" i="178"/>
  <c r="AN818" i="178"/>
  <c r="AO818" i="178"/>
  <c r="AD932" i="178"/>
  <c r="AE932" i="178"/>
  <c r="AF932" i="178"/>
  <c r="AG932" i="178"/>
  <c r="AH932" i="178"/>
  <c r="AI932" i="178"/>
  <c r="AJ932" i="178"/>
  <c r="AK932" i="178"/>
  <c r="AL932" i="178"/>
  <c r="AM932" i="178"/>
  <c r="AN932" i="178"/>
  <c r="AO932" i="178"/>
  <c r="AD679" i="178"/>
  <c r="AE679" i="178"/>
  <c r="AF679" i="178"/>
  <c r="AG679" i="178"/>
  <c r="AH679" i="178"/>
  <c r="AI679" i="178"/>
  <c r="AJ679" i="178"/>
  <c r="AK679" i="178"/>
  <c r="AL679" i="178"/>
  <c r="AM679" i="178"/>
  <c r="AN679" i="178"/>
  <c r="AO679" i="178"/>
  <c r="AD140" i="178"/>
  <c r="AE140" i="178"/>
  <c r="AF140" i="178"/>
  <c r="AG140" i="178"/>
  <c r="AH140" i="178"/>
  <c r="AI140" i="178"/>
  <c r="AJ140" i="178"/>
  <c r="AK140" i="178"/>
  <c r="AL140" i="178"/>
  <c r="AM140" i="178"/>
  <c r="AN140" i="178"/>
  <c r="AO140" i="178"/>
  <c r="AD436" i="178"/>
  <c r="AE436" i="178"/>
  <c r="AF436" i="178"/>
  <c r="AG436" i="178"/>
  <c r="AH436" i="178"/>
  <c r="AI436" i="178"/>
  <c r="AJ436" i="178"/>
  <c r="AK436" i="178"/>
  <c r="AL436" i="178"/>
  <c r="AM436" i="178"/>
  <c r="AN436" i="178"/>
  <c r="AO436" i="178"/>
  <c r="AD321" i="178"/>
  <c r="AE321" i="178"/>
  <c r="AF321" i="178"/>
  <c r="AG321" i="178"/>
  <c r="AH321" i="178"/>
  <c r="AI321" i="178"/>
  <c r="AJ321" i="178"/>
  <c r="AK321" i="178"/>
  <c r="AL321" i="178"/>
  <c r="AM321" i="178"/>
  <c r="AN321" i="178"/>
  <c r="AO321" i="178"/>
  <c r="AD331" i="178"/>
  <c r="AE331" i="178"/>
  <c r="AF331" i="178"/>
  <c r="AG331" i="178"/>
  <c r="AH331" i="178"/>
  <c r="AI331" i="178"/>
  <c r="AJ331" i="178"/>
  <c r="AK331" i="178"/>
  <c r="AL331" i="178"/>
  <c r="AM331" i="178"/>
  <c r="AN331" i="178"/>
  <c r="AO331" i="178"/>
  <c r="AD976" i="178"/>
  <c r="AE976" i="178"/>
  <c r="AF976" i="178"/>
  <c r="AG976" i="178"/>
  <c r="AH976" i="178"/>
  <c r="AI976" i="178"/>
  <c r="AJ976" i="178"/>
  <c r="AK976" i="178"/>
  <c r="AL976" i="178"/>
  <c r="AM976" i="178"/>
  <c r="AN976" i="178"/>
  <c r="AO976" i="178"/>
  <c r="AD365" i="178"/>
  <c r="AE365" i="178"/>
  <c r="AF365" i="178"/>
  <c r="AG365" i="178"/>
  <c r="AH365" i="178"/>
  <c r="AI365" i="178"/>
  <c r="AJ365" i="178"/>
  <c r="AK365" i="178"/>
  <c r="AL365" i="178"/>
  <c r="AM365" i="178"/>
  <c r="AN365" i="178"/>
  <c r="AO365" i="178"/>
  <c r="AD341" i="178"/>
  <c r="AE341" i="178"/>
  <c r="AF341" i="178"/>
  <c r="AG341" i="178"/>
  <c r="AH341" i="178"/>
  <c r="AI341" i="178"/>
  <c r="AJ341" i="178"/>
  <c r="AK341" i="178"/>
  <c r="AL341" i="178"/>
  <c r="AM341" i="178"/>
  <c r="AN341" i="178"/>
  <c r="AO341" i="178"/>
  <c r="AD928" i="178"/>
  <c r="AE928" i="178"/>
  <c r="AF928" i="178"/>
  <c r="AG928" i="178"/>
  <c r="AH928" i="178"/>
  <c r="AI928" i="178"/>
  <c r="AJ928" i="178"/>
  <c r="AK928" i="178"/>
  <c r="AL928" i="178"/>
  <c r="AM928" i="178"/>
  <c r="AN928" i="178"/>
  <c r="AO928" i="178"/>
  <c r="AD856" i="178"/>
  <c r="AE856" i="178"/>
  <c r="AF856" i="178"/>
  <c r="AG856" i="178"/>
  <c r="AH856" i="178"/>
  <c r="AI856" i="178"/>
  <c r="AJ856" i="178"/>
  <c r="AK856" i="178"/>
  <c r="AL856" i="178"/>
  <c r="AM856" i="178"/>
  <c r="AN856" i="178"/>
  <c r="AO856" i="178"/>
  <c r="AD910" i="178"/>
  <c r="AE910" i="178"/>
  <c r="AF910" i="178"/>
  <c r="AG910" i="178"/>
  <c r="AH910" i="178"/>
  <c r="AI910" i="178"/>
  <c r="AJ910" i="178"/>
  <c r="AK910" i="178"/>
  <c r="AL910" i="178"/>
  <c r="AM910" i="178"/>
  <c r="AN910" i="178"/>
  <c r="AO910" i="178"/>
  <c r="AD560" i="178"/>
  <c r="AE560" i="178"/>
  <c r="AF560" i="178"/>
  <c r="AG560" i="178"/>
  <c r="AH560" i="178"/>
  <c r="AI560" i="178"/>
  <c r="AJ560" i="178"/>
  <c r="AK560" i="178"/>
  <c r="AL560" i="178"/>
  <c r="AM560" i="178"/>
  <c r="AN560" i="178"/>
  <c r="AO560" i="178"/>
  <c r="BJ510" i="178"/>
  <c r="AD229" i="178"/>
  <c r="AE229" i="178"/>
  <c r="AF229" i="178"/>
  <c r="AG229" i="178"/>
  <c r="AH229" i="178"/>
  <c r="AI229" i="178"/>
  <c r="AJ229" i="178"/>
  <c r="AK229" i="178"/>
  <c r="AL229" i="178"/>
  <c r="AM229" i="178"/>
  <c r="AN229" i="178"/>
  <c r="AO229" i="178"/>
  <c r="AD255" i="178"/>
  <c r="AE255" i="178"/>
  <c r="AF255" i="178"/>
  <c r="AG255" i="178"/>
  <c r="AH255" i="178"/>
  <c r="AI255" i="178"/>
  <c r="AJ255" i="178"/>
  <c r="AK255" i="178"/>
  <c r="AL255" i="178"/>
  <c r="AM255" i="178"/>
  <c r="AN255" i="178"/>
  <c r="AO255" i="178"/>
  <c r="AD246" i="178"/>
  <c r="AE246" i="178"/>
  <c r="AF246" i="178"/>
  <c r="AG246" i="178"/>
  <c r="AH246" i="178"/>
  <c r="AI246" i="178"/>
  <c r="AJ246" i="178"/>
  <c r="AK246" i="178"/>
  <c r="AL246" i="178"/>
  <c r="AM246" i="178"/>
  <c r="AN246" i="178"/>
  <c r="AO246" i="178"/>
  <c r="AD521" i="178"/>
  <c r="AE521" i="178"/>
  <c r="AF521" i="178"/>
  <c r="AG521" i="178"/>
  <c r="AH521" i="178"/>
  <c r="AI521" i="178"/>
  <c r="AJ521" i="178"/>
  <c r="AK521" i="178"/>
  <c r="AL521" i="178"/>
  <c r="AM521" i="178"/>
  <c r="AN521" i="178"/>
  <c r="AO521" i="178"/>
  <c r="AD120" i="178"/>
  <c r="AE120" i="178"/>
  <c r="AF120" i="178"/>
  <c r="AG120" i="178"/>
  <c r="AH120" i="178"/>
  <c r="AI120" i="178"/>
  <c r="AJ120" i="178"/>
  <c r="AK120" i="178"/>
  <c r="AL120" i="178"/>
  <c r="AM120" i="178"/>
  <c r="AN120" i="178"/>
  <c r="AO120" i="178"/>
  <c r="AD502" i="178"/>
  <c r="AE502" i="178"/>
  <c r="AF502" i="178"/>
  <c r="AG502" i="178"/>
  <c r="AH502" i="178"/>
  <c r="AI502" i="178"/>
  <c r="AJ502" i="178"/>
  <c r="AK502" i="178"/>
  <c r="AL502" i="178"/>
  <c r="AM502" i="178"/>
  <c r="AN502" i="178"/>
  <c r="AO502" i="178"/>
  <c r="AD714" i="178"/>
  <c r="AE714" i="178"/>
  <c r="AF714" i="178"/>
  <c r="AG714" i="178"/>
  <c r="AH714" i="178"/>
  <c r="AI714" i="178"/>
  <c r="AJ714" i="178"/>
  <c r="AK714" i="178"/>
  <c r="AL714" i="178"/>
  <c r="AM714" i="178"/>
  <c r="AN714" i="178"/>
  <c r="AO714" i="178"/>
  <c r="T257" i="178"/>
  <c r="W257" i="178"/>
  <c r="T342" i="178"/>
  <c r="W342" i="178"/>
  <c r="T802" i="178"/>
  <c r="W802" i="178"/>
  <c r="T516" i="178"/>
  <c r="V516" i="178" s="1"/>
  <c r="W516" i="178"/>
  <c r="T880" i="178"/>
  <c r="U880" i="178" s="1"/>
  <c r="W880" i="178"/>
  <c r="T881" i="178"/>
  <c r="U881" i="178" s="1"/>
  <c r="W881" i="178"/>
  <c r="T296" i="178"/>
  <c r="U296" i="178" s="1"/>
  <c r="W296" i="178"/>
  <c r="T828" i="178"/>
  <c r="W828" i="178"/>
  <c r="T289" i="178"/>
  <c r="W289" i="178"/>
  <c r="T675" i="178"/>
  <c r="U675" i="178" s="1"/>
  <c r="W675" i="178"/>
  <c r="T677" i="178"/>
  <c r="U677" i="178" s="1"/>
  <c r="W677" i="178"/>
  <c r="T227" i="178"/>
  <c r="W227" i="178"/>
  <c r="T704" i="178"/>
  <c r="W704" i="178"/>
  <c r="T911" i="178"/>
  <c r="W911" i="178"/>
  <c r="T807" i="178"/>
  <c r="V807" i="178" s="1"/>
  <c r="W807" i="178"/>
  <c r="T884" i="178"/>
  <c r="V884" i="178" s="1"/>
  <c r="W884" i="178"/>
  <c r="T818" i="178"/>
  <c r="V818" i="178" s="1"/>
  <c r="W818" i="178"/>
  <c r="T932" i="178"/>
  <c r="W932" i="178"/>
  <c r="T679" i="178"/>
  <c r="V679" i="178" s="1"/>
  <c r="W679" i="178"/>
  <c r="T140" i="178"/>
  <c r="V140" i="178" s="1"/>
  <c r="W140" i="178"/>
  <c r="T436" i="178"/>
  <c r="V436" i="178" s="1"/>
  <c r="W436" i="178"/>
  <c r="T321" i="178"/>
  <c r="W321" i="178"/>
  <c r="T331" i="178"/>
  <c r="W331" i="178"/>
  <c r="T976" i="178"/>
  <c r="V976" i="178" s="1"/>
  <c r="W976" i="178"/>
  <c r="T365" i="178"/>
  <c r="W365" i="178"/>
  <c r="T341" i="178"/>
  <c r="V341" i="178" s="1"/>
  <c r="W341" i="178"/>
  <c r="T928" i="178"/>
  <c r="V928" i="178" s="1"/>
  <c r="W928" i="178"/>
  <c r="T856" i="178"/>
  <c r="V856" i="178" s="1"/>
  <c r="W856" i="178"/>
  <c r="T910" i="178"/>
  <c r="V910" i="178" s="1"/>
  <c r="W910" i="178"/>
  <c r="T560" i="178"/>
  <c r="V560" i="178" s="1"/>
  <c r="W560" i="178"/>
  <c r="T229" i="178"/>
  <c r="W229" i="178"/>
  <c r="T255" i="178"/>
  <c r="U255" i="178" s="1"/>
  <c r="W255" i="178"/>
  <c r="T246" i="178"/>
  <c r="W246" i="178"/>
  <c r="T521" i="178"/>
  <c r="U521" i="178" s="1"/>
  <c r="W521" i="178"/>
  <c r="T120" i="178"/>
  <c r="U120" i="178" s="1"/>
  <c r="W120" i="178"/>
  <c r="T502" i="178"/>
  <c r="W502" i="178"/>
  <c r="T714" i="178"/>
  <c r="W714" i="178"/>
  <c r="BJ508" i="178"/>
  <c r="AO534" i="178"/>
  <c r="AN534" i="178"/>
  <c r="AM534" i="178"/>
  <c r="AL534" i="178"/>
  <c r="AK534" i="178"/>
  <c r="AJ534" i="178"/>
  <c r="AI534" i="178"/>
  <c r="AH534" i="178"/>
  <c r="AG534" i="178"/>
  <c r="AF534" i="178"/>
  <c r="AE534" i="178"/>
  <c r="AD534" i="178"/>
  <c r="W534" i="178"/>
  <c r="T534" i="178"/>
  <c r="V534" i="178" s="1"/>
  <c r="B534" i="178"/>
  <c r="AO949" i="178"/>
  <c r="AN949" i="178"/>
  <c r="AM949" i="178"/>
  <c r="AL949" i="178"/>
  <c r="AK949" i="178"/>
  <c r="AJ949" i="178"/>
  <c r="AI949" i="178"/>
  <c r="AH949" i="178"/>
  <c r="AG949" i="178"/>
  <c r="AF949" i="178"/>
  <c r="AE949" i="178"/>
  <c r="AD949" i="178"/>
  <c r="W949" i="178"/>
  <c r="T949" i="178"/>
  <c r="V949" i="178" s="1"/>
  <c r="B949" i="178"/>
  <c r="AO514" i="178"/>
  <c r="AN514" i="178"/>
  <c r="AM514" i="178"/>
  <c r="AL514" i="178"/>
  <c r="AK514" i="178"/>
  <c r="AJ514" i="178"/>
  <c r="AI514" i="178"/>
  <c r="AH514" i="178"/>
  <c r="AG514" i="178"/>
  <c r="AF514" i="178"/>
  <c r="AE514" i="178"/>
  <c r="AD514" i="178"/>
  <c r="W514" i="178"/>
  <c r="T514" i="178"/>
  <c r="V514" i="178" s="1"/>
  <c r="B514" i="178"/>
  <c r="B256" i="178"/>
  <c r="AO634" i="178"/>
  <c r="AN634" i="178"/>
  <c r="AM634" i="178"/>
  <c r="AL634" i="178"/>
  <c r="AK634" i="178"/>
  <c r="AJ634" i="178"/>
  <c r="AI634" i="178"/>
  <c r="AH634" i="178"/>
  <c r="AG634" i="178"/>
  <c r="AF634" i="178"/>
  <c r="AE634" i="178"/>
  <c r="AD634" i="178"/>
  <c r="W634" i="178"/>
  <c r="T634" i="178"/>
  <c r="V634" i="178" s="1"/>
  <c r="B634" i="178"/>
  <c r="AO904" i="178"/>
  <c r="AN904" i="178"/>
  <c r="AM904" i="178"/>
  <c r="AL904" i="178"/>
  <c r="AK904" i="178"/>
  <c r="AJ904" i="178"/>
  <c r="AI904" i="178"/>
  <c r="AH904" i="178"/>
  <c r="AG904" i="178"/>
  <c r="AF904" i="178"/>
  <c r="AE904" i="178"/>
  <c r="AD904" i="178"/>
  <c r="W904" i="178"/>
  <c r="T904" i="178"/>
  <c r="V904" i="178" s="1"/>
  <c r="B904" i="178"/>
  <c r="AO939" i="178"/>
  <c r="AN939" i="178"/>
  <c r="AM939" i="178"/>
  <c r="AL939" i="178"/>
  <c r="AK939" i="178"/>
  <c r="AJ939" i="178"/>
  <c r="AI939" i="178"/>
  <c r="AH939" i="178"/>
  <c r="AG939" i="178"/>
  <c r="AF939" i="178"/>
  <c r="AE939" i="178"/>
  <c r="AD939" i="178"/>
  <c r="W939" i="178"/>
  <c r="T939" i="178"/>
  <c r="V939" i="178" s="1"/>
  <c r="B939" i="178"/>
  <c r="AO235" i="178"/>
  <c r="AN235" i="178"/>
  <c r="AM235" i="178"/>
  <c r="AL235" i="178"/>
  <c r="AK235" i="178"/>
  <c r="AJ235" i="178"/>
  <c r="AI235" i="178"/>
  <c r="AH235" i="178"/>
  <c r="AG235" i="178"/>
  <c r="AF235" i="178"/>
  <c r="AE235" i="178"/>
  <c r="AD235" i="178"/>
  <c r="W235" i="178"/>
  <c r="T235" i="178"/>
  <c r="V235" i="178" s="1"/>
  <c r="B235" i="178"/>
  <c r="AO975" i="178"/>
  <c r="AN975" i="178"/>
  <c r="AM975" i="178"/>
  <c r="AL975" i="178"/>
  <c r="AK975" i="178"/>
  <c r="AJ975" i="178"/>
  <c r="AI975" i="178"/>
  <c r="AH975" i="178"/>
  <c r="AG975" i="178"/>
  <c r="AF975" i="178"/>
  <c r="AE975" i="178"/>
  <c r="AD975" i="178"/>
  <c r="W975" i="178"/>
  <c r="T975" i="178"/>
  <c r="V975" i="178" s="1"/>
  <c r="B975" i="178"/>
  <c r="AO750" i="178"/>
  <c r="AN750" i="178"/>
  <c r="AM750" i="178"/>
  <c r="AL750" i="178"/>
  <c r="AK750" i="178"/>
  <c r="AJ750" i="178"/>
  <c r="AI750" i="178"/>
  <c r="AH750" i="178"/>
  <c r="AG750" i="178"/>
  <c r="AF750" i="178"/>
  <c r="AE750" i="178"/>
  <c r="AD750" i="178"/>
  <c r="W750" i="178"/>
  <c r="T750" i="178"/>
  <c r="V750" i="178" s="1"/>
  <c r="B750" i="178"/>
  <c r="AO808" i="178"/>
  <c r="AN808" i="178"/>
  <c r="AM808" i="178"/>
  <c r="AL808" i="178"/>
  <c r="AK808" i="178"/>
  <c r="AJ808" i="178"/>
  <c r="AI808" i="178"/>
  <c r="AH808" i="178"/>
  <c r="AG808" i="178"/>
  <c r="AF808" i="178"/>
  <c r="AE808" i="178"/>
  <c r="AD808" i="178"/>
  <c r="W808" i="178"/>
  <c r="T808" i="178"/>
  <c r="U808" i="178" s="1"/>
  <c r="B808" i="178"/>
  <c r="B762" i="178"/>
  <c r="AO77" i="178"/>
  <c r="AN77" i="178"/>
  <c r="AM77" i="178"/>
  <c r="AL77" i="178"/>
  <c r="AK77" i="178"/>
  <c r="AJ77" i="178"/>
  <c r="AI77" i="178"/>
  <c r="AH77" i="178"/>
  <c r="AG77" i="178"/>
  <c r="AF77" i="178"/>
  <c r="AE77" i="178"/>
  <c r="AD77" i="178"/>
  <c r="W77" i="178"/>
  <c r="T77" i="178"/>
  <c r="U77" i="178" s="1"/>
  <c r="B77" i="178"/>
  <c r="AO337" i="178"/>
  <c r="AN337" i="178"/>
  <c r="AM337" i="178"/>
  <c r="AL337" i="178"/>
  <c r="AK337" i="178"/>
  <c r="AJ337" i="178"/>
  <c r="AI337" i="178"/>
  <c r="AH337" i="178"/>
  <c r="AG337" i="178"/>
  <c r="AF337" i="178"/>
  <c r="AE337" i="178"/>
  <c r="AD337" i="178"/>
  <c r="W337" i="178"/>
  <c r="T337" i="178"/>
  <c r="V337" i="178" s="1"/>
  <c r="B337" i="178"/>
  <c r="AO327" i="178"/>
  <c r="AN327" i="178"/>
  <c r="AM327" i="178"/>
  <c r="AL327" i="178"/>
  <c r="AK327" i="178"/>
  <c r="AJ327" i="178"/>
  <c r="AI327" i="178"/>
  <c r="AH327" i="178"/>
  <c r="AG327" i="178"/>
  <c r="AF327" i="178"/>
  <c r="AE327" i="178"/>
  <c r="AD327" i="178"/>
  <c r="W327" i="178"/>
  <c r="T327" i="178"/>
  <c r="V327" i="178" s="1"/>
  <c r="B327" i="178"/>
  <c r="AO522" i="178"/>
  <c r="AN522" i="178"/>
  <c r="AM522" i="178"/>
  <c r="AL522" i="178"/>
  <c r="AK522" i="178"/>
  <c r="AJ522" i="178"/>
  <c r="AI522" i="178"/>
  <c r="AH522" i="178"/>
  <c r="AG522" i="178"/>
  <c r="AF522" i="178"/>
  <c r="AE522" i="178"/>
  <c r="AD522" i="178"/>
  <c r="W522" i="178"/>
  <c r="T522" i="178"/>
  <c r="V522" i="178" s="1"/>
  <c r="B522" i="178"/>
  <c r="AO908" i="178"/>
  <c r="AN908" i="178"/>
  <c r="AM908" i="178"/>
  <c r="AL908" i="178"/>
  <c r="AK908" i="178"/>
  <c r="AJ908" i="178"/>
  <c r="AI908" i="178"/>
  <c r="AH908" i="178"/>
  <c r="AG908" i="178"/>
  <c r="AF908" i="178"/>
  <c r="AE908" i="178"/>
  <c r="AD908" i="178"/>
  <c r="W908" i="178"/>
  <c r="T908" i="178"/>
  <c r="V908" i="178" s="1"/>
  <c r="B908" i="178"/>
  <c r="AO297" i="178"/>
  <c r="AN297" i="178"/>
  <c r="AM297" i="178"/>
  <c r="AL297" i="178"/>
  <c r="AK297" i="178"/>
  <c r="AJ297" i="178"/>
  <c r="AI297" i="178"/>
  <c r="AH297" i="178"/>
  <c r="AG297" i="178"/>
  <c r="AF297" i="178"/>
  <c r="AE297" i="178"/>
  <c r="AD297" i="178"/>
  <c r="W297" i="178"/>
  <c r="T297" i="178"/>
  <c r="V297" i="178" s="1"/>
  <c r="B297" i="178"/>
  <c r="AO678" i="178"/>
  <c r="AN678" i="178"/>
  <c r="AM678" i="178"/>
  <c r="AL678" i="178"/>
  <c r="AK678" i="178"/>
  <c r="AJ678" i="178"/>
  <c r="AI678" i="178"/>
  <c r="AH678" i="178"/>
  <c r="AG678" i="178"/>
  <c r="AF678" i="178"/>
  <c r="AE678" i="178"/>
  <c r="AD678" i="178"/>
  <c r="W678" i="178"/>
  <c r="T678" i="178"/>
  <c r="U678" i="178" s="1"/>
  <c r="AO829" i="178"/>
  <c r="AN829" i="178"/>
  <c r="AM829" i="178"/>
  <c r="AL829" i="178"/>
  <c r="AK829" i="178"/>
  <c r="AJ829" i="178"/>
  <c r="AI829" i="178"/>
  <c r="AH829" i="178"/>
  <c r="AG829" i="178"/>
  <c r="AF829" i="178"/>
  <c r="AE829" i="178"/>
  <c r="AD829" i="178"/>
  <c r="W829" i="178"/>
  <c r="T829" i="178"/>
  <c r="V829" i="178" s="1"/>
  <c r="B829" i="178"/>
  <c r="AO535" i="178"/>
  <c r="AN535" i="178"/>
  <c r="AM535" i="178"/>
  <c r="AL535" i="178"/>
  <c r="AK535" i="178"/>
  <c r="AJ535" i="178"/>
  <c r="AI535" i="178"/>
  <c r="AH535" i="178"/>
  <c r="AG535" i="178"/>
  <c r="AF535" i="178"/>
  <c r="AE535" i="178"/>
  <c r="AD535" i="178"/>
  <c r="W535" i="178"/>
  <c r="T535" i="178"/>
  <c r="U535" i="178" s="1"/>
  <c r="B535" i="178"/>
  <c r="BJ535" i="178" l="1"/>
  <c r="BK535" i="178"/>
  <c r="BJ77" i="178"/>
  <c r="BK77" i="178"/>
  <c r="BJ808" i="178"/>
  <c r="BK808" i="178"/>
  <c r="BJ975" i="178"/>
  <c r="BK975" i="178"/>
  <c r="BJ904" i="178"/>
  <c r="BK904" i="178"/>
  <c r="BJ560" i="178"/>
  <c r="BK560" i="178"/>
  <c r="BJ910" i="178"/>
  <c r="BK910" i="178"/>
  <c r="BJ856" i="178"/>
  <c r="BK856" i="178"/>
  <c r="BJ928" i="178"/>
  <c r="BK928" i="178"/>
  <c r="BJ341" i="178"/>
  <c r="BK341" i="178"/>
  <c r="BJ365" i="178"/>
  <c r="BK365" i="178"/>
  <c r="BJ976" i="178"/>
  <c r="BK976" i="178"/>
  <c r="BJ331" i="178"/>
  <c r="BK331" i="178"/>
  <c r="BJ321" i="178"/>
  <c r="BK321" i="178"/>
  <c r="BJ436" i="178"/>
  <c r="BK436" i="178"/>
  <c r="BJ140" i="178"/>
  <c r="BK140" i="178"/>
  <c r="BJ679" i="178"/>
  <c r="BK679" i="178"/>
  <c r="BJ932" i="178"/>
  <c r="BK932" i="178"/>
  <c r="BJ818" i="178"/>
  <c r="BK818" i="178"/>
  <c r="BJ884" i="178"/>
  <c r="BK884" i="178"/>
  <c r="BJ807" i="178"/>
  <c r="BK807" i="178"/>
  <c r="BJ911" i="178"/>
  <c r="BK911" i="178"/>
  <c r="BJ829" i="178"/>
  <c r="BK829" i="178"/>
  <c r="BJ908" i="178"/>
  <c r="BK908" i="178"/>
  <c r="BJ337" i="178"/>
  <c r="BK337" i="178"/>
  <c r="BJ939" i="178"/>
  <c r="BK939" i="178"/>
  <c r="BJ534" i="178"/>
  <c r="BK534" i="178"/>
  <c r="BJ704" i="178"/>
  <c r="BK704" i="178"/>
  <c r="BJ227" i="178"/>
  <c r="BK227" i="178"/>
  <c r="BJ677" i="178"/>
  <c r="BK677" i="178"/>
  <c r="BJ675" i="178"/>
  <c r="BK675" i="178"/>
  <c r="BJ289" i="178"/>
  <c r="BK289" i="178"/>
  <c r="BJ828" i="178"/>
  <c r="BK828" i="178"/>
  <c r="BJ296" i="178"/>
  <c r="BK296" i="178"/>
  <c r="BJ881" i="178"/>
  <c r="BK881" i="178"/>
  <c r="BJ880" i="178"/>
  <c r="BK880" i="178"/>
  <c r="BJ516" i="178"/>
  <c r="BK516" i="178"/>
  <c r="BJ802" i="178"/>
  <c r="BK802" i="178"/>
  <c r="BJ342" i="178"/>
  <c r="BK342" i="178"/>
  <c r="BJ257" i="178"/>
  <c r="BK257" i="178"/>
  <c r="BJ297" i="178"/>
  <c r="BK297" i="178"/>
  <c r="BJ327" i="178"/>
  <c r="BK327" i="178"/>
  <c r="BJ750" i="178"/>
  <c r="BK750" i="178"/>
  <c r="BJ235" i="178"/>
  <c r="BK235" i="178"/>
  <c r="BJ949" i="178"/>
  <c r="BK949" i="178"/>
  <c r="BJ678" i="178"/>
  <c r="BK678" i="178"/>
  <c r="BJ522" i="178"/>
  <c r="BK522" i="178"/>
  <c r="BJ634" i="178"/>
  <c r="BK634" i="178"/>
  <c r="BJ514" i="178"/>
  <c r="BK514" i="178"/>
  <c r="BJ714" i="178"/>
  <c r="BK714" i="178"/>
  <c r="BJ502" i="178"/>
  <c r="BK502" i="178"/>
  <c r="BJ120" i="178"/>
  <c r="BK120" i="178"/>
  <c r="BJ521" i="178"/>
  <c r="BK521" i="178"/>
  <c r="BJ246" i="178"/>
  <c r="BK246" i="178"/>
  <c r="BJ255" i="178"/>
  <c r="BK255" i="178"/>
  <c r="BJ229" i="178"/>
  <c r="BK229" i="178"/>
  <c r="AZ535" i="178"/>
  <c r="BA535" i="178"/>
  <c r="AX829" i="178"/>
  <c r="AY829" i="178"/>
  <c r="BN829" i="178"/>
  <c r="BO829" i="178"/>
  <c r="AR678" i="178"/>
  <c r="AS678" i="178"/>
  <c r="BH678" i="178"/>
  <c r="BI678" i="178"/>
  <c r="AZ297" i="178"/>
  <c r="BA297" i="178"/>
  <c r="AT908" i="178"/>
  <c r="AU908" i="178"/>
  <c r="AV522" i="178"/>
  <c r="AW522" i="178"/>
  <c r="BL522" i="178"/>
  <c r="BM522" i="178"/>
  <c r="BF327" i="178"/>
  <c r="BG327" i="178"/>
  <c r="AR337" i="178"/>
  <c r="AS337" i="178"/>
  <c r="BH337" i="178"/>
  <c r="BI337" i="178"/>
  <c r="AT77" i="178"/>
  <c r="AU77" i="178"/>
  <c r="BB77" i="178"/>
  <c r="BC77" i="178"/>
  <c r="AV808" i="178"/>
  <c r="AW808" i="178"/>
  <c r="BD808" i="178"/>
  <c r="BE808" i="178"/>
  <c r="BL808" i="178"/>
  <c r="BM808" i="178"/>
  <c r="AR750" i="178"/>
  <c r="AS750" i="178"/>
  <c r="AZ750" i="178"/>
  <c r="BA750" i="178"/>
  <c r="BH750" i="178"/>
  <c r="BI750" i="178"/>
  <c r="AX975" i="178"/>
  <c r="AY975" i="178"/>
  <c r="BF975" i="178"/>
  <c r="BG975" i="178"/>
  <c r="BN975" i="178"/>
  <c r="BO975" i="178"/>
  <c r="AR235" i="178"/>
  <c r="AS235" i="178"/>
  <c r="AZ235" i="178"/>
  <c r="BA235" i="178"/>
  <c r="BH235" i="178"/>
  <c r="BI235" i="178"/>
  <c r="AX939" i="178"/>
  <c r="AY939" i="178"/>
  <c r="BF939" i="178"/>
  <c r="BG939" i="178"/>
  <c r="BN939" i="178"/>
  <c r="BO939" i="178"/>
  <c r="AX904" i="178"/>
  <c r="AY904" i="178"/>
  <c r="BF904" i="178"/>
  <c r="BG904" i="178"/>
  <c r="BN904" i="178"/>
  <c r="BO904" i="178"/>
  <c r="AR634" i="178"/>
  <c r="AS634" i="178"/>
  <c r="AZ634" i="178"/>
  <c r="BA634" i="178"/>
  <c r="BH634" i="178"/>
  <c r="BI634" i="178"/>
  <c r="AX514" i="178"/>
  <c r="AY514" i="178"/>
  <c r="BF514" i="178"/>
  <c r="BG514" i="178"/>
  <c r="BN514" i="178"/>
  <c r="BO514" i="178"/>
  <c r="AX949" i="178"/>
  <c r="AY949" i="178"/>
  <c r="BF949" i="178"/>
  <c r="BG949" i="178"/>
  <c r="BN949" i="178"/>
  <c r="BO949" i="178"/>
  <c r="AV534" i="178"/>
  <c r="AW534" i="178"/>
  <c r="BD534" i="178"/>
  <c r="BE534" i="178"/>
  <c r="BL534" i="178"/>
  <c r="BM534" i="178"/>
  <c r="AX508" i="178"/>
  <c r="AY508" i="178"/>
  <c r="BF508" i="178"/>
  <c r="BG508" i="178"/>
  <c r="BN508" i="178"/>
  <c r="BO508" i="178"/>
  <c r="BL714" i="178"/>
  <c r="BM714" i="178"/>
  <c r="BD714" i="178"/>
  <c r="BE714" i="178"/>
  <c r="AV714" i="178"/>
  <c r="AW714" i="178"/>
  <c r="BL502" i="178"/>
  <c r="BM502" i="178"/>
  <c r="BD502" i="178"/>
  <c r="BE502" i="178"/>
  <c r="AV502" i="178"/>
  <c r="AW502" i="178"/>
  <c r="BL120" i="178"/>
  <c r="BM120" i="178"/>
  <c r="BD120" i="178"/>
  <c r="BE120" i="178"/>
  <c r="AV120" i="178"/>
  <c r="AW120" i="178"/>
  <c r="BL521" i="178"/>
  <c r="BM521" i="178"/>
  <c r="BD521" i="178"/>
  <c r="BE521" i="178"/>
  <c r="AV521" i="178"/>
  <c r="AW521" i="178"/>
  <c r="BL246" i="178"/>
  <c r="BM246" i="178"/>
  <c r="BD246" i="178"/>
  <c r="BE246" i="178"/>
  <c r="AV246" i="178"/>
  <c r="AW246" i="178"/>
  <c r="BL255" i="178"/>
  <c r="BM255" i="178"/>
  <c r="BD255" i="178"/>
  <c r="BE255" i="178"/>
  <c r="AV255" i="178"/>
  <c r="AW255" i="178"/>
  <c r="BL229" i="178"/>
  <c r="BM229" i="178"/>
  <c r="BD229" i="178"/>
  <c r="BE229" i="178"/>
  <c r="AV229" i="178"/>
  <c r="AW229" i="178"/>
  <c r="BL510" i="178"/>
  <c r="BM510" i="178"/>
  <c r="BD510" i="178"/>
  <c r="BE510" i="178"/>
  <c r="AV510" i="178"/>
  <c r="AW510" i="178"/>
  <c r="BL560" i="178"/>
  <c r="BM560" i="178"/>
  <c r="BD560" i="178"/>
  <c r="BE560" i="178"/>
  <c r="AV560" i="178"/>
  <c r="AW560" i="178"/>
  <c r="BL910" i="178"/>
  <c r="BM910" i="178"/>
  <c r="BD910" i="178"/>
  <c r="BE910" i="178"/>
  <c r="AV910" i="178"/>
  <c r="AW910" i="178"/>
  <c r="BL856" i="178"/>
  <c r="BM856" i="178"/>
  <c r="BD856" i="178"/>
  <c r="BE856" i="178"/>
  <c r="AV856" i="178"/>
  <c r="AW856" i="178"/>
  <c r="BL928" i="178"/>
  <c r="BM928" i="178"/>
  <c r="BD928" i="178"/>
  <c r="BE928" i="178"/>
  <c r="AV928" i="178"/>
  <c r="AW928" i="178"/>
  <c r="BL341" i="178"/>
  <c r="BM341" i="178"/>
  <c r="BD341" i="178"/>
  <c r="BE341" i="178"/>
  <c r="AV341" i="178"/>
  <c r="AW341" i="178"/>
  <c r="BL365" i="178"/>
  <c r="BM365" i="178"/>
  <c r="BD365" i="178"/>
  <c r="BE365" i="178"/>
  <c r="AV365" i="178"/>
  <c r="AW365" i="178"/>
  <c r="BL976" i="178"/>
  <c r="BM976" i="178"/>
  <c r="BD976" i="178"/>
  <c r="BE976" i="178"/>
  <c r="AV976" i="178"/>
  <c r="AW976" i="178"/>
  <c r="BL331" i="178"/>
  <c r="BM331" i="178"/>
  <c r="BD331" i="178"/>
  <c r="BE331" i="178"/>
  <c r="AV331" i="178"/>
  <c r="AW331" i="178"/>
  <c r="BL321" i="178"/>
  <c r="BM321" i="178"/>
  <c r="BD321" i="178"/>
  <c r="BE321" i="178"/>
  <c r="AV321" i="178"/>
  <c r="AW321" i="178"/>
  <c r="BL436" i="178"/>
  <c r="BM436" i="178"/>
  <c r="BD436" i="178"/>
  <c r="BE436" i="178"/>
  <c r="AV436" i="178"/>
  <c r="AW436" i="178"/>
  <c r="BL140" i="178"/>
  <c r="BM140" i="178"/>
  <c r="BD140" i="178"/>
  <c r="BE140" i="178"/>
  <c r="AV140" i="178"/>
  <c r="AW140" i="178"/>
  <c r="BL679" i="178"/>
  <c r="BM679" i="178"/>
  <c r="BD679" i="178"/>
  <c r="BE679" i="178"/>
  <c r="AV679" i="178"/>
  <c r="AW679" i="178"/>
  <c r="BL932" i="178"/>
  <c r="BM932" i="178"/>
  <c r="BD932" i="178"/>
  <c r="BE932" i="178"/>
  <c r="AV932" i="178"/>
  <c r="AW932" i="178"/>
  <c r="BL818" i="178"/>
  <c r="BM818" i="178"/>
  <c r="BD818" i="178"/>
  <c r="BE818" i="178"/>
  <c r="AV818" i="178"/>
  <c r="AW818" i="178"/>
  <c r="BL884" i="178"/>
  <c r="BM884" i="178"/>
  <c r="BD884" i="178"/>
  <c r="BE884" i="178"/>
  <c r="AV884" i="178"/>
  <c r="AW884" i="178"/>
  <c r="BL807" i="178"/>
  <c r="BM807" i="178"/>
  <c r="BD807" i="178"/>
  <c r="BE807" i="178"/>
  <c r="AV807" i="178"/>
  <c r="AW807" i="178"/>
  <c r="BL911" i="178"/>
  <c r="BM911" i="178"/>
  <c r="BD911" i="178"/>
  <c r="BE911" i="178"/>
  <c r="AV911" i="178"/>
  <c r="AW911" i="178"/>
  <c r="BL333" i="178"/>
  <c r="BM333" i="178"/>
  <c r="BD333" i="178"/>
  <c r="BE333" i="178"/>
  <c r="AV333" i="178"/>
  <c r="AW333" i="178"/>
  <c r="BL704" i="178"/>
  <c r="BM704" i="178"/>
  <c r="BD704" i="178"/>
  <c r="BE704" i="178"/>
  <c r="AV704" i="178"/>
  <c r="AW704" i="178"/>
  <c r="BL227" i="178"/>
  <c r="BM227" i="178"/>
  <c r="BD227" i="178"/>
  <c r="BE227" i="178"/>
  <c r="AV227" i="178"/>
  <c r="AW227" i="178"/>
  <c r="BL677" i="178"/>
  <c r="BM677" i="178"/>
  <c r="BD677" i="178"/>
  <c r="BE677" i="178"/>
  <c r="AV677" i="178"/>
  <c r="AW677" i="178"/>
  <c r="BL675" i="178"/>
  <c r="BM675" i="178"/>
  <c r="BD675" i="178"/>
  <c r="BE675" i="178"/>
  <c r="AV675" i="178"/>
  <c r="AW675" i="178"/>
  <c r="BL289" i="178"/>
  <c r="BM289" i="178"/>
  <c r="BD289" i="178"/>
  <c r="BE289" i="178"/>
  <c r="AV289" i="178"/>
  <c r="AW289" i="178"/>
  <c r="BL828" i="178"/>
  <c r="BM828" i="178"/>
  <c r="BD828" i="178"/>
  <c r="BE828" i="178"/>
  <c r="AV828" i="178"/>
  <c r="AW828" i="178"/>
  <c r="BL296" i="178"/>
  <c r="BM296" i="178"/>
  <c r="BD296" i="178"/>
  <c r="BE296" i="178"/>
  <c r="AV296" i="178"/>
  <c r="AW296" i="178"/>
  <c r="BL881" i="178"/>
  <c r="BM881" i="178"/>
  <c r="BD881" i="178"/>
  <c r="BE881" i="178"/>
  <c r="AV881" i="178"/>
  <c r="AW881" i="178"/>
  <c r="BL880" i="178"/>
  <c r="BM880" i="178"/>
  <c r="BD880" i="178"/>
  <c r="BE880" i="178"/>
  <c r="AV880" i="178"/>
  <c r="AW880" i="178"/>
  <c r="BL516" i="178"/>
  <c r="BM516" i="178"/>
  <c r="BD516" i="178"/>
  <c r="BE516" i="178"/>
  <c r="AV516" i="178"/>
  <c r="AW516" i="178"/>
  <c r="BL802" i="178"/>
  <c r="BM802" i="178"/>
  <c r="BD802" i="178"/>
  <c r="BE802" i="178"/>
  <c r="AV802" i="178"/>
  <c r="AW802" i="178"/>
  <c r="BL342" i="178"/>
  <c r="BM342" i="178"/>
  <c r="BD342" i="178"/>
  <c r="BE342" i="178"/>
  <c r="AV342" i="178"/>
  <c r="AW342" i="178"/>
  <c r="BL257" i="178"/>
  <c r="BM257" i="178"/>
  <c r="BD257" i="178"/>
  <c r="BE257" i="178"/>
  <c r="AV257" i="178"/>
  <c r="AW257" i="178"/>
  <c r="AR535" i="178"/>
  <c r="AS535" i="178"/>
  <c r="BH535" i="178"/>
  <c r="BI535" i="178"/>
  <c r="BF829" i="178"/>
  <c r="BG829" i="178"/>
  <c r="AZ678" i="178"/>
  <c r="BA678" i="178"/>
  <c r="AR297" i="178"/>
  <c r="AS297" i="178"/>
  <c r="BH297" i="178"/>
  <c r="BI297" i="178"/>
  <c r="BB908" i="178"/>
  <c r="BC908" i="178"/>
  <c r="BD522" i="178"/>
  <c r="BE522" i="178"/>
  <c r="AX327" i="178"/>
  <c r="AY327" i="178"/>
  <c r="BN327" i="178"/>
  <c r="BO327" i="178"/>
  <c r="AZ337" i="178"/>
  <c r="BA337" i="178"/>
  <c r="AT535" i="178"/>
  <c r="AU535" i="178"/>
  <c r="BB535" i="178"/>
  <c r="BC535" i="178"/>
  <c r="AR829" i="178"/>
  <c r="AS829" i="178"/>
  <c r="AZ829" i="178"/>
  <c r="BA829" i="178"/>
  <c r="BH829" i="178"/>
  <c r="BI829" i="178"/>
  <c r="AT678" i="178"/>
  <c r="AU678" i="178"/>
  <c r="BB678" i="178"/>
  <c r="BC678" i="178"/>
  <c r="AT297" i="178"/>
  <c r="AU297" i="178"/>
  <c r="BB297" i="178"/>
  <c r="BC297" i="178"/>
  <c r="AV908" i="178"/>
  <c r="AW908" i="178"/>
  <c r="BD908" i="178"/>
  <c r="BE908" i="178"/>
  <c r="BL908" i="178"/>
  <c r="BM908" i="178"/>
  <c r="AX522" i="178"/>
  <c r="AY522" i="178"/>
  <c r="BF522" i="178"/>
  <c r="BG522" i="178"/>
  <c r="BN522" i="178"/>
  <c r="BO522" i="178"/>
  <c r="AR327" i="178"/>
  <c r="AS327" i="178"/>
  <c r="AZ327" i="178"/>
  <c r="BA327" i="178"/>
  <c r="BH327" i="178"/>
  <c r="BI327" i="178"/>
  <c r="AT337" i="178"/>
  <c r="AU337" i="178"/>
  <c r="BB337" i="178"/>
  <c r="BC337" i="178"/>
  <c r="AV77" i="178"/>
  <c r="AW77" i="178"/>
  <c r="BD77" i="178"/>
  <c r="BE77" i="178"/>
  <c r="BL77" i="178"/>
  <c r="BM77" i="178"/>
  <c r="AX808" i="178"/>
  <c r="AY808" i="178"/>
  <c r="BF808" i="178"/>
  <c r="BG808" i="178"/>
  <c r="BN808" i="178"/>
  <c r="BO808" i="178"/>
  <c r="AT750" i="178"/>
  <c r="AU750" i="178"/>
  <c r="BB750" i="178"/>
  <c r="BC750" i="178"/>
  <c r="AR975" i="178"/>
  <c r="AS975" i="178"/>
  <c r="AZ975" i="178"/>
  <c r="BA975" i="178"/>
  <c r="BH975" i="178"/>
  <c r="BI975" i="178"/>
  <c r="AT235" i="178"/>
  <c r="AU235" i="178"/>
  <c r="BB235" i="178"/>
  <c r="BC235" i="178"/>
  <c r="AR939" i="178"/>
  <c r="AS939" i="178"/>
  <c r="AZ939" i="178"/>
  <c r="BA939" i="178"/>
  <c r="BH939" i="178"/>
  <c r="BI939" i="178"/>
  <c r="AR904" i="178"/>
  <c r="AS904" i="178"/>
  <c r="AZ904" i="178"/>
  <c r="BA904" i="178"/>
  <c r="BH904" i="178"/>
  <c r="BI904" i="178"/>
  <c r="AT634" i="178"/>
  <c r="AU634" i="178"/>
  <c r="BB634" i="178"/>
  <c r="BC634" i="178"/>
  <c r="AR514" i="178"/>
  <c r="AS514" i="178"/>
  <c r="AZ514" i="178"/>
  <c r="BA514" i="178"/>
  <c r="BH514" i="178"/>
  <c r="BI514" i="178"/>
  <c r="AR949" i="178"/>
  <c r="AS949" i="178"/>
  <c r="AZ949" i="178"/>
  <c r="BA949" i="178"/>
  <c r="BH949" i="178"/>
  <c r="BI949" i="178"/>
  <c r="AX534" i="178"/>
  <c r="AY534" i="178"/>
  <c r="BF534" i="178"/>
  <c r="BG534" i="178"/>
  <c r="BN534" i="178"/>
  <c r="BO534" i="178"/>
  <c r="AR508" i="178"/>
  <c r="AS508" i="178"/>
  <c r="AZ508" i="178"/>
  <c r="BA508" i="178"/>
  <c r="BH508" i="178"/>
  <c r="BI508" i="178"/>
  <c r="BB714" i="178"/>
  <c r="BC714" i="178"/>
  <c r="AT714" i="178"/>
  <c r="AU714" i="178"/>
  <c r="BB502" i="178"/>
  <c r="BC502" i="178"/>
  <c r="AT502" i="178"/>
  <c r="AU502" i="178"/>
  <c r="BB120" i="178"/>
  <c r="BC120" i="178"/>
  <c r="AT120" i="178"/>
  <c r="AU120" i="178"/>
  <c r="BB521" i="178"/>
  <c r="BC521" i="178"/>
  <c r="AT521" i="178"/>
  <c r="AU521" i="178"/>
  <c r="BB246" i="178"/>
  <c r="BC246" i="178"/>
  <c r="AT246" i="178"/>
  <c r="AU246" i="178"/>
  <c r="BB255" i="178"/>
  <c r="BC255" i="178"/>
  <c r="AT255" i="178"/>
  <c r="AU255" i="178"/>
  <c r="BB229" i="178"/>
  <c r="BC229" i="178"/>
  <c r="AT229" i="178"/>
  <c r="AU229" i="178"/>
  <c r="BB510" i="178"/>
  <c r="BC510" i="178"/>
  <c r="AT510" i="178"/>
  <c r="AU510" i="178"/>
  <c r="BB560" i="178"/>
  <c r="BC560" i="178"/>
  <c r="AT560" i="178"/>
  <c r="AU560" i="178"/>
  <c r="BB910" i="178"/>
  <c r="BC910" i="178"/>
  <c r="AT910" i="178"/>
  <c r="AU910" i="178"/>
  <c r="BB856" i="178"/>
  <c r="BC856" i="178"/>
  <c r="AT856" i="178"/>
  <c r="AU856" i="178"/>
  <c r="BB928" i="178"/>
  <c r="BC928" i="178"/>
  <c r="AT928" i="178"/>
  <c r="AU928" i="178"/>
  <c r="BB341" i="178"/>
  <c r="BC341" i="178"/>
  <c r="AT341" i="178"/>
  <c r="AU341" i="178"/>
  <c r="BB365" i="178"/>
  <c r="BC365" i="178"/>
  <c r="AT365" i="178"/>
  <c r="AU365" i="178"/>
  <c r="BB976" i="178"/>
  <c r="BC976" i="178"/>
  <c r="AT976" i="178"/>
  <c r="AU976" i="178"/>
  <c r="BB331" i="178"/>
  <c r="BC331" i="178"/>
  <c r="AT331" i="178"/>
  <c r="AU331" i="178"/>
  <c r="BB321" i="178"/>
  <c r="BC321" i="178"/>
  <c r="AT321" i="178"/>
  <c r="AU321" i="178"/>
  <c r="BB436" i="178"/>
  <c r="BC436" i="178"/>
  <c r="AT436" i="178"/>
  <c r="AU436" i="178"/>
  <c r="BB140" i="178"/>
  <c r="BC140" i="178"/>
  <c r="AT140" i="178"/>
  <c r="AU140" i="178"/>
  <c r="BB679" i="178"/>
  <c r="BC679" i="178"/>
  <c r="AT679" i="178"/>
  <c r="AU679" i="178"/>
  <c r="BB932" i="178"/>
  <c r="BC932" i="178"/>
  <c r="AT932" i="178"/>
  <c r="AU932" i="178"/>
  <c r="BB818" i="178"/>
  <c r="BC818" i="178"/>
  <c r="AT818" i="178"/>
  <c r="AU818" i="178"/>
  <c r="BB884" i="178"/>
  <c r="BC884" i="178"/>
  <c r="AT884" i="178"/>
  <c r="AU884" i="178"/>
  <c r="BB807" i="178"/>
  <c r="BC807" i="178"/>
  <c r="AT807" i="178"/>
  <c r="AU807" i="178"/>
  <c r="BB911" i="178"/>
  <c r="BC911" i="178"/>
  <c r="AT911" i="178"/>
  <c r="AU911" i="178"/>
  <c r="BB333" i="178"/>
  <c r="BC333" i="178"/>
  <c r="AT333" i="178"/>
  <c r="AU333" i="178"/>
  <c r="BB704" i="178"/>
  <c r="BC704" i="178"/>
  <c r="AT704" i="178"/>
  <c r="AU704" i="178"/>
  <c r="BB227" i="178"/>
  <c r="BC227" i="178"/>
  <c r="AT227" i="178"/>
  <c r="AU227" i="178"/>
  <c r="BB677" i="178"/>
  <c r="BC677" i="178"/>
  <c r="AT677" i="178"/>
  <c r="AU677" i="178"/>
  <c r="BB675" i="178"/>
  <c r="BC675" i="178"/>
  <c r="AT675" i="178"/>
  <c r="AU675" i="178"/>
  <c r="BB289" i="178"/>
  <c r="BC289" i="178"/>
  <c r="AT289" i="178"/>
  <c r="AU289" i="178"/>
  <c r="BB828" i="178"/>
  <c r="BC828" i="178"/>
  <c r="AT828" i="178"/>
  <c r="AU828" i="178"/>
  <c r="BB296" i="178"/>
  <c r="BC296" i="178"/>
  <c r="AT296" i="178"/>
  <c r="AU296" i="178"/>
  <c r="BB881" i="178"/>
  <c r="BC881" i="178"/>
  <c r="AT881" i="178"/>
  <c r="AU881" i="178"/>
  <c r="BB880" i="178"/>
  <c r="BC880" i="178"/>
  <c r="AT880" i="178"/>
  <c r="AU880" i="178"/>
  <c r="BB516" i="178"/>
  <c r="BC516" i="178"/>
  <c r="AT516" i="178"/>
  <c r="AU516" i="178"/>
  <c r="BB802" i="178"/>
  <c r="BC802" i="178"/>
  <c r="AT802" i="178"/>
  <c r="AU802" i="178"/>
  <c r="BB342" i="178"/>
  <c r="BC342" i="178"/>
  <c r="AT342" i="178"/>
  <c r="AU342" i="178"/>
  <c r="BB257" i="178"/>
  <c r="BC257" i="178"/>
  <c r="AT257" i="178"/>
  <c r="AU257" i="178"/>
  <c r="BD535" i="178"/>
  <c r="BE535" i="178"/>
  <c r="BB829" i="178"/>
  <c r="BC829" i="178"/>
  <c r="AV678" i="178"/>
  <c r="AW678" i="178"/>
  <c r="BL678" i="178"/>
  <c r="BM678" i="178"/>
  <c r="AV297" i="178"/>
  <c r="AW297" i="178"/>
  <c r="BL297" i="178"/>
  <c r="BM297" i="178"/>
  <c r="AR522" i="178"/>
  <c r="AS522" i="178"/>
  <c r="BH522" i="178"/>
  <c r="BI522" i="178"/>
  <c r="AT327" i="178"/>
  <c r="AU327" i="178"/>
  <c r="AV337" i="178"/>
  <c r="AW337" i="178"/>
  <c r="BL337" i="178"/>
  <c r="BM337" i="178"/>
  <c r="AX77" i="178"/>
  <c r="AY77" i="178"/>
  <c r="BF77" i="178"/>
  <c r="BG77" i="178"/>
  <c r="BN77" i="178"/>
  <c r="BO77" i="178"/>
  <c r="AR808" i="178"/>
  <c r="AS808" i="178"/>
  <c r="AZ808" i="178"/>
  <c r="BA808" i="178"/>
  <c r="BH808" i="178"/>
  <c r="BI808" i="178"/>
  <c r="AV750" i="178"/>
  <c r="AW750" i="178"/>
  <c r="BD750" i="178"/>
  <c r="BE750" i="178"/>
  <c r="BL750" i="178"/>
  <c r="BM750" i="178"/>
  <c r="AT975" i="178"/>
  <c r="AU975" i="178"/>
  <c r="BB975" i="178"/>
  <c r="BC975" i="178"/>
  <c r="AV235" i="178"/>
  <c r="AW235" i="178"/>
  <c r="BD235" i="178"/>
  <c r="BE235" i="178"/>
  <c r="BL235" i="178"/>
  <c r="BM235" i="178"/>
  <c r="AT939" i="178"/>
  <c r="AU939" i="178"/>
  <c r="BB939" i="178"/>
  <c r="BC939" i="178"/>
  <c r="AT904" i="178"/>
  <c r="AU904" i="178"/>
  <c r="BB904" i="178"/>
  <c r="BC904" i="178"/>
  <c r="AV634" i="178"/>
  <c r="AW634" i="178"/>
  <c r="BD634" i="178"/>
  <c r="BE634" i="178"/>
  <c r="BL634" i="178"/>
  <c r="BM634" i="178"/>
  <c r="AT514" i="178"/>
  <c r="AU514" i="178"/>
  <c r="BB514" i="178"/>
  <c r="BC514" i="178"/>
  <c r="AT949" i="178"/>
  <c r="AU949" i="178"/>
  <c r="BB949" i="178"/>
  <c r="BC949" i="178"/>
  <c r="AR534" i="178"/>
  <c r="AS534" i="178"/>
  <c r="AZ534" i="178"/>
  <c r="BA534" i="178"/>
  <c r="BH534" i="178"/>
  <c r="BI534" i="178"/>
  <c r="AT508" i="178"/>
  <c r="AU508" i="178"/>
  <c r="BB508" i="178"/>
  <c r="BC508" i="178"/>
  <c r="BH714" i="178"/>
  <c r="BI714" i="178"/>
  <c r="AZ714" i="178"/>
  <c r="BA714" i="178"/>
  <c r="AR714" i="178"/>
  <c r="AS714" i="178"/>
  <c r="BH502" i="178"/>
  <c r="BI502" i="178"/>
  <c r="AZ502" i="178"/>
  <c r="BA502" i="178"/>
  <c r="AR502" i="178"/>
  <c r="AS502" i="178"/>
  <c r="BH120" i="178"/>
  <c r="BI120" i="178"/>
  <c r="AZ120" i="178"/>
  <c r="BA120" i="178"/>
  <c r="AR120" i="178"/>
  <c r="AS120" i="178"/>
  <c r="BH521" i="178"/>
  <c r="BI521" i="178"/>
  <c r="AZ521" i="178"/>
  <c r="BA521" i="178"/>
  <c r="AR521" i="178"/>
  <c r="AS521" i="178"/>
  <c r="BH246" i="178"/>
  <c r="BI246" i="178"/>
  <c r="AZ246" i="178"/>
  <c r="BA246" i="178"/>
  <c r="AR246" i="178"/>
  <c r="AS246" i="178"/>
  <c r="BH255" i="178"/>
  <c r="BI255" i="178"/>
  <c r="AZ255" i="178"/>
  <c r="BA255" i="178"/>
  <c r="AR255" i="178"/>
  <c r="AS255" i="178"/>
  <c r="BH229" i="178"/>
  <c r="BI229" i="178"/>
  <c r="AZ229" i="178"/>
  <c r="BA229" i="178"/>
  <c r="AR229" i="178"/>
  <c r="AS229" i="178"/>
  <c r="BH510" i="178"/>
  <c r="BI510" i="178"/>
  <c r="AZ510" i="178"/>
  <c r="BA510" i="178"/>
  <c r="AR510" i="178"/>
  <c r="AS510" i="178"/>
  <c r="BH560" i="178"/>
  <c r="BI560" i="178"/>
  <c r="AZ560" i="178"/>
  <c r="BA560" i="178"/>
  <c r="AR560" i="178"/>
  <c r="AS560" i="178"/>
  <c r="BH910" i="178"/>
  <c r="BI910" i="178"/>
  <c r="AZ910" i="178"/>
  <c r="BA910" i="178"/>
  <c r="AR910" i="178"/>
  <c r="AS910" i="178"/>
  <c r="BH856" i="178"/>
  <c r="BI856" i="178"/>
  <c r="AZ856" i="178"/>
  <c r="BA856" i="178"/>
  <c r="AR856" i="178"/>
  <c r="AS856" i="178"/>
  <c r="BH928" i="178"/>
  <c r="BI928" i="178"/>
  <c r="AZ928" i="178"/>
  <c r="BA928" i="178"/>
  <c r="AR928" i="178"/>
  <c r="AS928" i="178"/>
  <c r="BH341" i="178"/>
  <c r="BI341" i="178"/>
  <c r="AZ341" i="178"/>
  <c r="BA341" i="178"/>
  <c r="AR341" i="178"/>
  <c r="AS341" i="178"/>
  <c r="BH365" i="178"/>
  <c r="BI365" i="178"/>
  <c r="AZ365" i="178"/>
  <c r="BA365" i="178"/>
  <c r="AR365" i="178"/>
  <c r="AS365" i="178"/>
  <c r="BH976" i="178"/>
  <c r="BI976" i="178"/>
  <c r="AZ976" i="178"/>
  <c r="BA976" i="178"/>
  <c r="AR976" i="178"/>
  <c r="AS976" i="178"/>
  <c r="BH331" i="178"/>
  <c r="BI331" i="178"/>
  <c r="AZ331" i="178"/>
  <c r="BA331" i="178"/>
  <c r="AR331" i="178"/>
  <c r="AS331" i="178"/>
  <c r="BH321" i="178"/>
  <c r="BI321" i="178"/>
  <c r="AZ321" i="178"/>
  <c r="BA321" i="178"/>
  <c r="AR321" i="178"/>
  <c r="AS321" i="178"/>
  <c r="BH436" i="178"/>
  <c r="BI436" i="178"/>
  <c r="AZ436" i="178"/>
  <c r="BA436" i="178"/>
  <c r="AR436" i="178"/>
  <c r="AS436" i="178"/>
  <c r="BH140" i="178"/>
  <c r="BI140" i="178"/>
  <c r="AZ140" i="178"/>
  <c r="BA140" i="178"/>
  <c r="AR140" i="178"/>
  <c r="AS140" i="178"/>
  <c r="BH679" i="178"/>
  <c r="BI679" i="178"/>
  <c r="AZ679" i="178"/>
  <c r="BA679" i="178"/>
  <c r="AR679" i="178"/>
  <c r="AS679" i="178"/>
  <c r="BH932" i="178"/>
  <c r="BI932" i="178"/>
  <c r="AZ932" i="178"/>
  <c r="BA932" i="178"/>
  <c r="AR932" i="178"/>
  <c r="AS932" i="178"/>
  <c r="BH818" i="178"/>
  <c r="BI818" i="178"/>
  <c r="AZ818" i="178"/>
  <c r="BA818" i="178"/>
  <c r="AR818" i="178"/>
  <c r="AS818" i="178"/>
  <c r="BH884" i="178"/>
  <c r="BI884" i="178"/>
  <c r="AZ884" i="178"/>
  <c r="BA884" i="178"/>
  <c r="AR884" i="178"/>
  <c r="AS884" i="178"/>
  <c r="BH807" i="178"/>
  <c r="BI807" i="178"/>
  <c r="AZ807" i="178"/>
  <c r="BA807" i="178"/>
  <c r="AR807" i="178"/>
  <c r="AS807" i="178"/>
  <c r="BH911" i="178"/>
  <c r="BI911" i="178"/>
  <c r="AZ911" i="178"/>
  <c r="BA911" i="178"/>
  <c r="AR911" i="178"/>
  <c r="AS911" i="178"/>
  <c r="BH333" i="178"/>
  <c r="BI333" i="178"/>
  <c r="AZ333" i="178"/>
  <c r="BA333" i="178"/>
  <c r="AR333" i="178"/>
  <c r="AS333" i="178"/>
  <c r="BH704" i="178"/>
  <c r="BI704" i="178"/>
  <c r="AZ704" i="178"/>
  <c r="BA704" i="178"/>
  <c r="AR704" i="178"/>
  <c r="AS704" i="178"/>
  <c r="BH227" i="178"/>
  <c r="BI227" i="178"/>
  <c r="AZ227" i="178"/>
  <c r="BA227" i="178"/>
  <c r="AR227" i="178"/>
  <c r="AS227" i="178"/>
  <c r="BH677" i="178"/>
  <c r="BI677" i="178"/>
  <c r="AZ677" i="178"/>
  <c r="BA677" i="178"/>
  <c r="AR677" i="178"/>
  <c r="AS677" i="178"/>
  <c r="BH675" i="178"/>
  <c r="BI675" i="178"/>
  <c r="AZ675" i="178"/>
  <c r="BA675" i="178"/>
  <c r="AR675" i="178"/>
  <c r="AS675" i="178"/>
  <c r="BH289" i="178"/>
  <c r="BI289" i="178"/>
  <c r="AZ289" i="178"/>
  <c r="BA289" i="178"/>
  <c r="AR289" i="178"/>
  <c r="AS289" i="178"/>
  <c r="BH828" i="178"/>
  <c r="BI828" i="178"/>
  <c r="AZ828" i="178"/>
  <c r="BA828" i="178"/>
  <c r="AR828" i="178"/>
  <c r="AS828" i="178"/>
  <c r="BH296" i="178"/>
  <c r="BI296" i="178"/>
  <c r="AZ296" i="178"/>
  <c r="BA296" i="178"/>
  <c r="AR296" i="178"/>
  <c r="AS296" i="178"/>
  <c r="BH881" i="178"/>
  <c r="BI881" i="178"/>
  <c r="AZ881" i="178"/>
  <c r="BA881" i="178"/>
  <c r="AR881" i="178"/>
  <c r="AS881" i="178"/>
  <c r="BH880" i="178"/>
  <c r="BI880" i="178"/>
  <c r="AZ880" i="178"/>
  <c r="BA880" i="178"/>
  <c r="AR880" i="178"/>
  <c r="AS880" i="178"/>
  <c r="BH516" i="178"/>
  <c r="BI516" i="178"/>
  <c r="AZ516" i="178"/>
  <c r="BA516" i="178"/>
  <c r="AR516" i="178"/>
  <c r="AS516" i="178"/>
  <c r="BH802" i="178"/>
  <c r="BI802" i="178"/>
  <c r="AZ802" i="178"/>
  <c r="BA802" i="178"/>
  <c r="AR802" i="178"/>
  <c r="AS802" i="178"/>
  <c r="BH342" i="178"/>
  <c r="BI342" i="178"/>
  <c r="AZ342" i="178"/>
  <c r="BA342" i="178"/>
  <c r="AR342" i="178"/>
  <c r="AS342" i="178"/>
  <c r="BH257" i="178"/>
  <c r="BI257" i="178"/>
  <c r="AZ257" i="178"/>
  <c r="BA257" i="178"/>
  <c r="AR257" i="178"/>
  <c r="AS257" i="178"/>
  <c r="AV535" i="178"/>
  <c r="AW535" i="178"/>
  <c r="BL535" i="178"/>
  <c r="BM535" i="178"/>
  <c r="AT829" i="178"/>
  <c r="AU829" i="178"/>
  <c r="BD678" i="178"/>
  <c r="BE678" i="178"/>
  <c r="BD297" i="178"/>
  <c r="BE297" i="178"/>
  <c r="AX908" i="178"/>
  <c r="AY908" i="178"/>
  <c r="BF908" i="178"/>
  <c r="BG908" i="178"/>
  <c r="BN908" i="178"/>
  <c r="BO908" i="178"/>
  <c r="AZ522" i="178"/>
  <c r="BA522" i="178"/>
  <c r="BB327" i="178"/>
  <c r="BC327" i="178"/>
  <c r="BD337" i="178"/>
  <c r="BE337" i="178"/>
  <c r="AX535" i="178"/>
  <c r="AY535" i="178"/>
  <c r="BF535" i="178"/>
  <c r="BG535" i="178"/>
  <c r="BN535" i="178"/>
  <c r="BO535" i="178"/>
  <c r="AV829" i="178"/>
  <c r="AW829" i="178"/>
  <c r="BD829" i="178"/>
  <c r="BE829" i="178"/>
  <c r="BL829" i="178"/>
  <c r="BM829" i="178"/>
  <c r="AX678" i="178"/>
  <c r="AY678" i="178"/>
  <c r="BF678" i="178"/>
  <c r="BG678" i="178"/>
  <c r="BN678" i="178"/>
  <c r="BO678" i="178"/>
  <c r="AX297" i="178"/>
  <c r="AY297" i="178"/>
  <c r="BF297" i="178"/>
  <c r="BG297" i="178"/>
  <c r="BN297" i="178"/>
  <c r="BO297" i="178"/>
  <c r="AR908" i="178"/>
  <c r="AS908" i="178"/>
  <c r="AZ908" i="178"/>
  <c r="BA908" i="178"/>
  <c r="BH908" i="178"/>
  <c r="BI908" i="178"/>
  <c r="AT522" i="178"/>
  <c r="AU522" i="178"/>
  <c r="BB522" i="178"/>
  <c r="BC522" i="178"/>
  <c r="AV327" i="178"/>
  <c r="AW327" i="178"/>
  <c r="BD327" i="178"/>
  <c r="BE327" i="178"/>
  <c r="BL327" i="178"/>
  <c r="BM327" i="178"/>
  <c r="AX337" i="178"/>
  <c r="AY337" i="178"/>
  <c r="BF337" i="178"/>
  <c r="BG337" i="178"/>
  <c r="BN337" i="178"/>
  <c r="BO337" i="178"/>
  <c r="AR77" i="178"/>
  <c r="AS77" i="178"/>
  <c r="AZ77" i="178"/>
  <c r="BA77" i="178"/>
  <c r="BH77" i="178"/>
  <c r="BI77" i="178"/>
  <c r="AT808" i="178"/>
  <c r="AU808" i="178"/>
  <c r="BB808" i="178"/>
  <c r="BC808" i="178"/>
  <c r="AX750" i="178"/>
  <c r="AY750" i="178"/>
  <c r="BF750" i="178"/>
  <c r="BG750" i="178"/>
  <c r="BN750" i="178"/>
  <c r="BO750" i="178"/>
  <c r="AV975" i="178"/>
  <c r="AW975" i="178"/>
  <c r="BD975" i="178"/>
  <c r="BE975" i="178"/>
  <c r="BL975" i="178"/>
  <c r="BM975" i="178"/>
  <c r="AX235" i="178"/>
  <c r="AY235" i="178"/>
  <c r="BF235" i="178"/>
  <c r="BG235" i="178"/>
  <c r="BN235" i="178"/>
  <c r="BO235" i="178"/>
  <c r="AV939" i="178"/>
  <c r="AW939" i="178"/>
  <c r="BD939" i="178"/>
  <c r="BE939" i="178"/>
  <c r="BL939" i="178"/>
  <c r="BM939" i="178"/>
  <c r="AV904" i="178"/>
  <c r="AW904" i="178"/>
  <c r="BD904" i="178"/>
  <c r="BE904" i="178"/>
  <c r="BL904" i="178"/>
  <c r="BM904" i="178"/>
  <c r="AX634" i="178"/>
  <c r="AY634" i="178"/>
  <c r="BF634" i="178"/>
  <c r="BG634" i="178"/>
  <c r="BN634" i="178"/>
  <c r="BO634" i="178"/>
  <c r="AV514" i="178"/>
  <c r="AW514" i="178"/>
  <c r="BD514" i="178"/>
  <c r="BE514" i="178"/>
  <c r="BL514" i="178"/>
  <c r="BM514" i="178"/>
  <c r="AV949" i="178"/>
  <c r="AW949" i="178"/>
  <c r="BD949" i="178"/>
  <c r="BE949" i="178"/>
  <c r="BL949" i="178"/>
  <c r="BM949" i="178"/>
  <c r="AT534" i="178"/>
  <c r="AU534" i="178"/>
  <c r="BB534" i="178"/>
  <c r="BC534" i="178"/>
  <c r="AV508" i="178"/>
  <c r="AW508" i="178"/>
  <c r="BD508" i="178"/>
  <c r="BE508" i="178"/>
  <c r="BL508" i="178"/>
  <c r="BM508" i="178"/>
  <c r="BN714" i="178"/>
  <c r="BO714" i="178"/>
  <c r="BF714" i="178"/>
  <c r="BG714" i="178"/>
  <c r="AX714" i="178"/>
  <c r="AY714" i="178"/>
  <c r="BN502" i="178"/>
  <c r="BO502" i="178"/>
  <c r="BF502" i="178"/>
  <c r="BG502" i="178"/>
  <c r="AX502" i="178"/>
  <c r="AY502" i="178"/>
  <c r="BN120" i="178"/>
  <c r="BO120" i="178"/>
  <c r="BF120" i="178"/>
  <c r="BG120" i="178"/>
  <c r="AX120" i="178"/>
  <c r="AY120" i="178"/>
  <c r="BN521" i="178"/>
  <c r="BO521" i="178"/>
  <c r="BF521" i="178"/>
  <c r="BG521" i="178"/>
  <c r="AX521" i="178"/>
  <c r="AY521" i="178"/>
  <c r="BN246" i="178"/>
  <c r="BO246" i="178"/>
  <c r="BF246" i="178"/>
  <c r="BG246" i="178"/>
  <c r="AX246" i="178"/>
  <c r="AY246" i="178"/>
  <c r="BN255" i="178"/>
  <c r="BO255" i="178"/>
  <c r="BF255" i="178"/>
  <c r="BG255" i="178"/>
  <c r="AX255" i="178"/>
  <c r="AY255" i="178"/>
  <c r="BN229" i="178"/>
  <c r="BO229" i="178"/>
  <c r="BF229" i="178"/>
  <c r="BG229" i="178"/>
  <c r="AX229" i="178"/>
  <c r="AY229" i="178"/>
  <c r="BN510" i="178"/>
  <c r="BO510" i="178"/>
  <c r="BF510" i="178"/>
  <c r="BG510" i="178"/>
  <c r="AX510" i="178"/>
  <c r="AY510" i="178"/>
  <c r="BN560" i="178"/>
  <c r="BO560" i="178"/>
  <c r="BF560" i="178"/>
  <c r="BG560" i="178"/>
  <c r="AX560" i="178"/>
  <c r="AY560" i="178"/>
  <c r="BN910" i="178"/>
  <c r="BO910" i="178"/>
  <c r="BF910" i="178"/>
  <c r="BG910" i="178"/>
  <c r="AX910" i="178"/>
  <c r="AY910" i="178"/>
  <c r="BN856" i="178"/>
  <c r="BO856" i="178"/>
  <c r="BF856" i="178"/>
  <c r="BG856" i="178"/>
  <c r="AX856" i="178"/>
  <c r="AY856" i="178"/>
  <c r="BN928" i="178"/>
  <c r="BO928" i="178"/>
  <c r="BF928" i="178"/>
  <c r="BG928" i="178"/>
  <c r="AX928" i="178"/>
  <c r="AY928" i="178"/>
  <c r="BN341" i="178"/>
  <c r="BO341" i="178"/>
  <c r="BF341" i="178"/>
  <c r="BG341" i="178"/>
  <c r="AX341" i="178"/>
  <c r="AY341" i="178"/>
  <c r="BN365" i="178"/>
  <c r="BO365" i="178"/>
  <c r="BF365" i="178"/>
  <c r="BG365" i="178"/>
  <c r="AX365" i="178"/>
  <c r="AY365" i="178"/>
  <c r="BN976" i="178"/>
  <c r="BO976" i="178"/>
  <c r="BF976" i="178"/>
  <c r="BG976" i="178"/>
  <c r="AX976" i="178"/>
  <c r="AY976" i="178"/>
  <c r="BN331" i="178"/>
  <c r="BO331" i="178"/>
  <c r="BF331" i="178"/>
  <c r="BG331" i="178"/>
  <c r="AX331" i="178"/>
  <c r="AY331" i="178"/>
  <c r="BN321" i="178"/>
  <c r="BO321" i="178"/>
  <c r="BF321" i="178"/>
  <c r="BG321" i="178"/>
  <c r="AX321" i="178"/>
  <c r="AY321" i="178"/>
  <c r="BN436" i="178"/>
  <c r="BO436" i="178"/>
  <c r="BF436" i="178"/>
  <c r="BG436" i="178"/>
  <c r="AX436" i="178"/>
  <c r="AY436" i="178"/>
  <c r="BN140" i="178"/>
  <c r="BO140" i="178"/>
  <c r="BF140" i="178"/>
  <c r="BG140" i="178"/>
  <c r="AX140" i="178"/>
  <c r="AY140" i="178"/>
  <c r="BN679" i="178"/>
  <c r="BO679" i="178"/>
  <c r="BF679" i="178"/>
  <c r="BG679" i="178"/>
  <c r="AX679" i="178"/>
  <c r="AY679" i="178"/>
  <c r="BN932" i="178"/>
  <c r="BO932" i="178"/>
  <c r="BF932" i="178"/>
  <c r="BG932" i="178"/>
  <c r="AX932" i="178"/>
  <c r="AY932" i="178"/>
  <c r="BN818" i="178"/>
  <c r="BO818" i="178"/>
  <c r="BF818" i="178"/>
  <c r="BG818" i="178"/>
  <c r="AX818" i="178"/>
  <c r="AY818" i="178"/>
  <c r="BN884" i="178"/>
  <c r="BO884" i="178"/>
  <c r="BF884" i="178"/>
  <c r="BG884" i="178"/>
  <c r="AX884" i="178"/>
  <c r="AY884" i="178"/>
  <c r="BN807" i="178"/>
  <c r="BO807" i="178"/>
  <c r="BF807" i="178"/>
  <c r="BG807" i="178"/>
  <c r="AX807" i="178"/>
  <c r="AY807" i="178"/>
  <c r="BN911" i="178"/>
  <c r="BO911" i="178"/>
  <c r="BF911" i="178"/>
  <c r="BG911" i="178"/>
  <c r="AX911" i="178"/>
  <c r="AY911" i="178"/>
  <c r="BN333" i="178"/>
  <c r="BO333" i="178"/>
  <c r="BF333" i="178"/>
  <c r="BG333" i="178"/>
  <c r="AX333" i="178"/>
  <c r="AY333" i="178"/>
  <c r="BN704" i="178"/>
  <c r="BO704" i="178"/>
  <c r="BF704" i="178"/>
  <c r="BG704" i="178"/>
  <c r="AX704" i="178"/>
  <c r="AY704" i="178"/>
  <c r="BN227" i="178"/>
  <c r="BO227" i="178"/>
  <c r="BF227" i="178"/>
  <c r="BG227" i="178"/>
  <c r="AX227" i="178"/>
  <c r="AY227" i="178"/>
  <c r="BN677" i="178"/>
  <c r="BO677" i="178"/>
  <c r="BF677" i="178"/>
  <c r="BG677" i="178"/>
  <c r="AX677" i="178"/>
  <c r="AY677" i="178"/>
  <c r="BN675" i="178"/>
  <c r="BO675" i="178"/>
  <c r="BF675" i="178"/>
  <c r="BG675" i="178"/>
  <c r="AX675" i="178"/>
  <c r="AY675" i="178"/>
  <c r="BN289" i="178"/>
  <c r="BO289" i="178"/>
  <c r="BF289" i="178"/>
  <c r="BG289" i="178"/>
  <c r="AX289" i="178"/>
  <c r="AY289" i="178"/>
  <c r="BN828" i="178"/>
  <c r="BO828" i="178"/>
  <c r="BF828" i="178"/>
  <c r="BG828" i="178"/>
  <c r="AX828" i="178"/>
  <c r="AY828" i="178"/>
  <c r="BN296" i="178"/>
  <c r="BO296" i="178"/>
  <c r="BF296" i="178"/>
  <c r="BG296" i="178"/>
  <c r="AX296" i="178"/>
  <c r="AY296" i="178"/>
  <c r="BN881" i="178"/>
  <c r="BO881" i="178"/>
  <c r="BF881" i="178"/>
  <c r="BG881" i="178"/>
  <c r="AX881" i="178"/>
  <c r="AY881" i="178"/>
  <c r="BN880" i="178"/>
  <c r="BO880" i="178"/>
  <c r="BF880" i="178"/>
  <c r="BG880" i="178"/>
  <c r="AX880" i="178"/>
  <c r="AY880" i="178"/>
  <c r="BN516" i="178"/>
  <c r="BO516" i="178"/>
  <c r="BF516" i="178"/>
  <c r="BG516" i="178"/>
  <c r="AX516" i="178"/>
  <c r="AY516" i="178"/>
  <c r="BN802" i="178"/>
  <c r="BO802" i="178"/>
  <c r="BF802" i="178"/>
  <c r="BG802" i="178"/>
  <c r="AX802" i="178"/>
  <c r="AY802" i="178"/>
  <c r="BN342" i="178"/>
  <c r="BO342" i="178"/>
  <c r="BF342" i="178"/>
  <c r="BG342" i="178"/>
  <c r="AX342" i="178"/>
  <c r="AY342" i="178"/>
  <c r="BN257" i="178"/>
  <c r="BO257" i="178"/>
  <c r="BF257" i="178"/>
  <c r="BG257" i="178"/>
  <c r="AX257" i="178"/>
  <c r="AY257" i="178"/>
  <c r="V521" i="178"/>
  <c r="U436" i="178"/>
  <c r="U807" i="178"/>
  <c r="U341" i="178"/>
  <c r="U516" i="178"/>
  <c r="U856" i="178"/>
  <c r="V880" i="178"/>
  <c r="U246" i="178"/>
  <c r="V246" i="178"/>
  <c r="V331" i="178"/>
  <c r="U331" i="178"/>
  <c r="U289" i="178"/>
  <c r="V289" i="178"/>
  <c r="U679" i="178"/>
  <c r="U818" i="178"/>
  <c r="V296" i="178"/>
  <c r="U714" i="178"/>
  <c r="V714" i="178"/>
  <c r="U560" i="178"/>
  <c r="V911" i="178"/>
  <c r="U911" i="178"/>
  <c r="V675" i="178"/>
  <c r="V120" i="178"/>
  <c r="U910" i="178"/>
  <c r="U229" i="178"/>
  <c r="V229" i="178"/>
  <c r="U502" i="178"/>
  <c r="V502" i="178"/>
  <c r="V365" i="178"/>
  <c r="U365" i="178"/>
  <c r="V255" i="178"/>
  <c r="U928" i="178"/>
  <c r="U140" i="178"/>
  <c r="V321" i="178"/>
  <c r="U321" i="178"/>
  <c r="V932" i="178"/>
  <c r="U932" i="178"/>
  <c r="U704" i="178"/>
  <c r="V704" i="178"/>
  <c r="U227" i="178"/>
  <c r="V227" i="178"/>
  <c r="U976" i="178"/>
  <c r="U884" i="178"/>
  <c r="U828" i="178"/>
  <c r="V828" i="178"/>
  <c r="V677" i="178"/>
  <c r="V881" i="178"/>
  <c r="U342" i="178"/>
  <c r="V342" i="178"/>
  <c r="U802" i="178"/>
  <c r="V802" i="178"/>
  <c r="U257" i="178"/>
  <c r="V257" i="178"/>
  <c r="V535" i="178"/>
  <c r="V678" i="178"/>
  <c r="U534" i="178"/>
  <c r="U297" i="178"/>
  <c r="U908" i="178"/>
  <c r="V77" i="178"/>
  <c r="V808" i="178"/>
  <c r="U235" i="178"/>
  <c r="U829" i="178"/>
  <c r="S1045" i="178"/>
  <c r="U750" i="178"/>
  <c r="U975" i="178"/>
  <c r="U522" i="178"/>
  <c r="U327" i="178"/>
  <c r="U337" i="178"/>
  <c r="U939" i="178"/>
  <c r="U904" i="178"/>
  <c r="U634" i="178"/>
  <c r="U514" i="178"/>
  <c r="U949" i="178"/>
  <c r="O670" i="55"/>
  <c r="Q670" i="55"/>
  <c r="R670" i="55"/>
  <c r="C697" i="78"/>
  <c r="B90" i="70"/>
  <c r="G90" i="70"/>
  <c r="H90" i="70" s="1"/>
  <c r="J90" i="70"/>
  <c r="L90" i="70"/>
  <c r="O669" i="55"/>
  <c r="Q669" i="55"/>
  <c r="R669" i="55"/>
  <c r="C696" i="78"/>
  <c r="F90" i="70"/>
  <c r="D90" i="70"/>
  <c r="E90" i="70"/>
  <c r="O668" i="55"/>
  <c r="Q668" i="55"/>
  <c r="R668" i="55"/>
  <c r="C695" i="78"/>
  <c r="O374" i="55"/>
  <c r="Q374" i="55"/>
  <c r="R374" i="55"/>
  <c r="C401" i="78"/>
  <c r="C191" i="78"/>
  <c r="O710" i="55"/>
  <c r="Q710" i="55"/>
  <c r="R710" i="55"/>
  <c r="O711" i="55"/>
  <c r="Q711" i="55"/>
  <c r="R711" i="55"/>
  <c r="C738" i="78"/>
  <c r="C739" i="78"/>
  <c r="O474" i="55"/>
  <c r="Q474" i="55"/>
  <c r="R474" i="55"/>
  <c r="C501" i="78"/>
  <c r="J10" i="70"/>
  <c r="L10" i="70"/>
  <c r="O233" i="55"/>
  <c r="O252" i="55"/>
  <c r="O5" i="183"/>
  <c r="Q233" i="55"/>
  <c r="Q252" i="55"/>
  <c r="G10" i="70"/>
  <c r="H10" i="70" s="1"/>
  <c r="F10" i="70"/>
  <c r="D10" i="70"/>
  <c r="E10" i="70"/>
  <c r="O251" i="55"/>
  <c r="Q251" i="55"/>
  <c r="R251" i="55"/>
  <c r="R252" i="55"/>
  <c r="C273" i="78"/>
  <c r="C274" i="78"/>
  <c r="C256" i="78"/>
  <c r="C200" i="78"/>
  <c r="O181" i="55"/>
  <c r="Q181" i="55"/>
  <c r="R181" i="55"/>
  <c r="O179" i="55"/>
  <c r="Q179" i="55"/>
  <c r="R179" i="55"/>
  <c r="O178" i="55"/>
  <c r="Q178" i="55"/>
  <c r="R178" i="55"/>
  <c r="C198" i="78"/>
  <c r="C195" i="78"/>
  <c r="C196" i="78"/>
  <c r="O153" i="55"/>
  <c r="Q153" i="55"/>
  <c r="O673" i="55"/>
  <c r="Q673" i="55"/>
  <c r="O604" i="55"/>
  <c r="Q604" i="55"/>
  <c r="O646" i="55"/>
  <c r="N74" i="70" s="1"/>
  <c r="Q646" i="55"/>
  <c r="O848" i="55"/>
  <c r="X988" i="178" s="1"/>
  <c r="Z988" i="178" s="1"/>
  <c r="Q848" i="55"/>
  <c r="AA988" i="178" s="1"/>
  <c r="AB988" i="178" s="1"/>
  <c r="O849" i="55"/>
  <c r="Q849" i="55"/>
  <c r="O850" i="55"/>
  <c r="Q850" i="55"/>
  <c r="O152" i="55"/>
  <c r="Q152" i="55"/>
  <c r="O154" i="55"/>
  <c r="Q154" i="55"/>
  <c r="O341" i="55"/>
  <c r="N23" i="70" s="1"/>
  <c r="Q341" i="55"/>
  <c r="O471" i="55"/>
  <c r="X474" i="178" s="1"/>
  <c r="Z474" i="178" s="1"/>
  <c r="Q471" i="55"/>
  <c r="AA474" i="178" s="1"/>
  <c r="AB474" i="178" s="1"/>
  <c r="O501" i="55"/>
  <c r="Q501" i="55"/>
  <c r="O671" i="55"/>
  <c r="O50" i="183"/>
  <c r="Q671" i="55"/>
  <c r="O672" i="55"/>
  <c r="X736" i="178" s="1"/>
  <c r="Z736" i="178" s="1"/>
  <c r="O51" i="183"/>
  <c r="Q672" i="55"/>
  <c r="AA736" i="178" s="1"/>
  <c r="AB736" i="178" s="1"/>
  <c r="O674" i="55"/>
  <c r="X739" i="178" s="1"/>
  <c r="Z739" i="178" s="1"/>
  <c r="O110" i="183"/>
  <c r="Q674" i="55"/>
  <c r="AA739" i="178" s="1"/>
  <c r="AB739" i="178" s="1"/>
  <c r="O841" i="55"/>
  <c r="Q841" i="55"/>
  <c r="O847" i="55"/>
  <c r="Q847" i="55"/>
  <c r="O855" i="55"/>
  <c r="Q855" i="55"/>
  <c r="O26" i="55"/>
  <c r="Q26" i="55"/>
  <c r="O91" i="55"/>
  <c r="Q91" i="55"/>
  <c r="O39" i="55"/>
  <c r="Q39" i="55"/>
  <c r="O54" i="55"/>
  <c r="Q54" i="55"/>
  <c r="O61" i="55"/>
  <c r="Q61" i="55"/>
  <c r="O64" i="55"/>
  <c r="Q64" i="55"/>
  <c r="O65" i="55"/>
  <c r="Q65" i="55"/>
  <c r="O66" i="55"/>
  <c r="Q66" i="55"/>
  <c r="O76" i="55"/>
  <c r="Q76" i="55"/>
  <c r="O86" i="55"/>
  <c r="Q86" i="55"/>
  <c r="O87" i="55"/>
  <c r="Q87" i="55"/>
  <c r="O88" i="55"/>
  <c r="Q88" i="55"/>
  <c r="O90" i="55"/>
  <c r="Q90" i="55"/>
  <c r="O112" i="55"/>
  <c r="X57" i="178" s="1"/>
  <c r="Z57" i="178" s="1"/>
  <c r="Q112" i="55"/>
  <c r="AA57" i="178" s="1"/>
  <c r="AB57" i="178" s="1"/>
  <c r="O113" i="55"/>
  <c r="Q113" i="55"/>
  <c r="O135" i="55"/>
  <c r="Q135" i="55"/>
  <c r="O136" i="55"/>
  <c r="X94" i="178" s="1"/>
  <c r="Z94" i="178" s="1"/>
  <c r="Q136" i="55"/>
  <c r="AA94" i="178" s="1"/>
  <c r="AB94" i="178" s="1"/>
  <c r="O174" i="55"/>
  <c r="Q174" i="55"/>
  <c r="O201" i="55"/>
  <c r="X157" i="178" s="1"/>
  <c r="Z157" i="178" s="1"/>
  <c r="Q201" i="55"/>
  <c r="AA157" i="178" s="1"/>
  <c r="AB157" i="178" s="1"/>
  <c r="O225" i="55"/>
  <c r="Q225" i="55"/>
  <c r="O227" i="55"/>
  <c r="Q227" i="55"/>
  <c r="O294" i="55"/>
  <c r="Y705" i="178"/>
  <c r="Q294" i="55"/>
  <c r="O231" i="55"/>
  <c r="Q231" i="55"/>
  <c r="O240" i="55"/>
  <c r="Q240" i="55"/>
  <c r="O244" i="55"/>
  <c r="Q244" i="55"/>
  <c r="O246" i="55"/>
  <c r="Q246" i="55"/>
  <c r="O249" i="55"/>
  <c r="Q249" i="55"/>
  <c r="O250" i="55"/>
  <c r="Q250" i="55"/>
  <c r="O256" i="55"/>
  <c r="Q256" i="55"/>
  <c r="O262" i="55"/>
  <c r="Q262" i="55"/>
  <c r="O291" i="55"/>
  <c r="Q291" i="55"/>
  <c r="O292" i="55"/>
  <c r="Q292" i="55"/>
  <c r="O362" i="55"/>
  <c r="Q362" i="55"/>
  <c r="O363" i="55"/>
  <c r="Q363" i="55"/>
  <c r="O394" i="55"/>
  <c r="Q394" i="55"/>
  <c r="O405" i="55"/>
  <c r="Q405" i="55"/>
  <c r="O407" i="55"/>
  <c r="Q407" i="55"/>
  <c r="O408" i="55"/>
  <c r="X410" i="178" s="1"/>
  <c r="Z410" i="178" s="1"/>
  <c r="Q408" i="55"/>
  <c r="AA410" i="178" s="1"/>
  <c r="AB410" i="178" s="1"/>
  <c r="O430" i="55"/>
  <c r="Q430" i="55"/>
  <c r="O442" i="55"/>
  <c r="Q442" i="55"/>
  <c r="O444" i="55"/>
  <c r="Q444" i="55"/>
  <c r="O470" i="55"/>
  <c r="Q470" i="55"/>
  <c r="O580" i="55"/>
  <c r="Q580" i="55"/>
  <c r="O596" i="55"/>
  <c r="Q596" i="55"/>
  <c r="O600" i="55"/>
  <c r="Q600" i="55"/>
  <c r="O615" i="55"/>
  <c r="Q615" i="55"/>
  <c r="O618" i="55"/>
  <c r="X631" i="178" s="1"/>
  <c r="Z631" i="178" s="1"/>
  <c r="Q618" i="55"/>
  <c r="AA631" i="178" s="1"/>
  <c r="AB631" i="178" s="1"/>
  <c r="O629" i="55"/>
  <c r="Q629" i="55"/>
  <c r="O659" i="55"/>
  <c r="Q659" i="55"/>
  <c r="O661" i="55"/>
  <c r="Q661" i="55"/>
  <c r="O662" i="55"/>
  <c r="X720" i="178" s="1"/>
  <c r="Z720" i="178" s="1"/>
  <c r="Q662" i="55"/>
  <c r="AA720" i="178" s="1"/>
  <c r="AB720" i="178" s="1"/>
  <c r="O692" i="55"/>
  <c r="Q692" i="55"/>
  <c r="O700" i="55"/>
  <c r="Q700" i="55"/>
  <c r="O707" i="55"/>
  <c r="Q707" i="55"/>
  <c r="O708" i="55"/>
  <c r="X775" i="178" s="1"/>
  <c r="Z775" i="178" s="1"/>
  <c r="Q708" i="55"/>
  <c r="AA775" i="178" s="1"/>
  <c r="AB775" i="178" s="1"/>
  <c r="O709" i="55"/>
  <c r="X779" i="178" s="1"/>
  <c r="Z779" i="178" s="1"/>
  <c r="Q709" i="55"/>
  <c r="AA779" i="178" s="1"/>
  <c r="AB779" i="178" s="1"/>
  <c r="O717" i="55"/>
  <c r="Q717" i="55"/>
  <c r="O718" i="55"/>
  <c r="Q718" i="55"/>
  <c r="O723" i="55"/>
  <c r="Q723" i="55"/>
  <c r="O724" i="55"/>
  <c r="Q724" i="55"/>
  <c r="O739" i="55"/>
  <c r="Q739" i="55"/>
  <c r="O741" i="55"/>
  <c r="Q741" i="55"/>
  <c r="O742" i="55"/>
  <c r="Q742" i="55"/>
  <c r="O833" i="55"/>
  <c r="Q833" i="55"/>
  <c r="O815" i="55"/>
  <c r="X922" i="178" s="1"/>
  <c r="Z922" i="178" s="1"/>
  <c r="Q815" i="55"/>
  <c r="AA922" i="178" s="1"/>
  <c r="AB922" i="178" s="1"/>
  <c r="O816" i="55"/>
  <c r="Q816" i="55"/>
  <c r="O826" i="55"/>
  <c r="Q826" i="55"/>
  <c r="O891" i="55"/>
  <c r="Q891" i="55"/>
  <c r="O894" i="55"/>
  <c r="Q894" i="55"/>
  <c r="O23" i="55"/>
  <c r="Q23" i="55"/>
  <c r="O30" i="55"/>
  <c r="Q30" i="55"/>
  <c r="O31" i="55"/>
  <c r="Q31" i="55"/>
  <c r="O33" i="55"/>
  <c r="Q33" i="55"/>
  <c r="O34" i="55"/>
  <c r="Q34" i="55"/>
  <c r="O35" i="55"/>
  <c r="Q35" i="55"/>
  <c r="O37" i="55"/>
  <c r="Q37" i="55"/>
  <c r="O38" i="55"/>
  <c r="Q38" i="55"/>
  <c r="O41" i="55"/>
  <c r="Q41" i="55"/>
  <c r="O46" i="55"/>
  <c r="Q46" i="55"/>
  <c r="O50" i="55"/>
  <c r="Q50" i="55"/>
  <c r="O56" i="55"/>
  <c r="Q56" i="55"/>
  <c r="O62" i="55"/>
  <c r="Q62" i="55"/>
  <c r="O63" i="55"/>
  <c r="X20" i="178" s="1"/>
  <c r="Z20" i="178" s="1"/>
  <c r="Q63" i="55"/>
  <c r="AA20" i="178" s="1"/>
  <c r="AB20" i="178" s="1"/>
  <c r="O70" i="55"/>
  <c r="Q70" i="55"/>
  <c r="O71" i="55"/>
  <c r="Q71" i="55"/>
  <c r="O79" i="55"/>
  <c r="Q79" i="55"/>
  <c r="O80" i="55"/>
  <c r="Q80" i="55"/>
  <c r="O92" i="55"/>
  <c r="Q92" i="55"/>
  <c r="O93" i="55"/>
  <c r="Q93" i="55"/>
  <c r="O94" i="55"/>
  <c r="Q94" i="55"/>
  <c r="O102" i="55"/>
  <c r="Q102" i="55"/>
  <c r="O111" i="55"/>
  <c r="Q111" i="55"/>
  <c r="O185" i="55"/>
  <c r="Q185" i="55"/>
  <c r="O134" i="55"/>
  <c r="Q134" i="55"/>
  <c r="O169" i="55"/>
  <c r="X220" i="178" s="1"/>
  <c r="Z220" i="178" s="1"/>
  <c r="Q169" i="55"/>
  <c r="O188" i="55"/>
  <c r="Q188" i="55"/>
  <c r="O229" i="55"/>
  <c r="Q229" i="55"/>
  <c r="O230" i="55"/>
  <c r="Q230" i="55"/>
  <c r="O232" i="55"/>
  <c r="Q232" i="55"/>
  <c r="O234" i="55"/>
  <c r="X184" i="178" s="1"/>
  <c r="Z184" i="178" s="1"/>
  <c r="Q234" i="55"/>
  <c r="AA184" i="178" s="1"/>
  <c r="AB184" i="178" s="1"/>
  <c r="O259" i="55"/>
  <c r="X231" i="178" s="1"/>
  <c r="Z231" i="178" s="1"/>
  <c r="Q259" i="55"/>
  <c r="AA231" i="178" s="1"/>
  <c r="AB231" i="178" s="1"/>
  <c r="O260" i="55"/>
  <c r="O8" i="183"/>
  <c r="Q260" i="55"/>
  <c r="O282" i="55"/>
  <c r="Q282" i="55"/>
  <c r="O283" i="55"/>
  <c r="Q283" i="55"/>
  <c r="O288" i="55"/>
  <c r="Y99" i="178"/>
  <c r="Q288" i="55"/>
  <c r="O289" i="55"/>
  <c r="O12" i="183"/>
  <c r="Q289" i="55"/>
  <c r="O290" i="55"/>
  <c r="O13" i="183"/>
  <c r="Q290" i="55"/>
  <c r="O293" i="55"/>
  <c r="Q293" i="55"/>
  <c r="O308" i="55"/>
  <c r="Q308" i="55"/>
  <c r="O396" i="55"/>
  <c r="Q396" i="55"/>
  <c r="O399" i="55"/>
  <c r="Q399" i="55"/>
  <c r="O400" i="55"/>
  <c r="Q400" i="55"/>
  <c r="O401" i="55"/>
  <c r="Q401" i="55"/>
  <c r="O402" i="55"/>
  <c r="Q402" i="55"/>
  <c r="O403" i="55"/>
  <c r="Q403" i="55"/>
  <c r="O404" i="55"/>
  <c r="Q404" i="55"/>
  <c r="O406" i="55"/>
  <c r="Q406" i="55"/>
  <c r="O441" i="55"/>
  <c r="X440" i="178" s="1"/>
  <c r="Z440" i="178" s="1"/>
  <c r="Q441" i="55"/>
  <c r="AA440" i="178" s="1"/>
  <c r="AB440" i="178" s="1"/>
  <c r="O445" i="55"/>
  <c r="Q445" i="55"/>
  <c r="O452" i="55"/>
  <c r="Y932" i="178"/>
  <c r="Q452" i="55"/>
  <c r="O461" i="55"/>
  <c r="Q461" i="55"/>
  <c r="O475" i="55"/>
  <c r="Q475" i="55"/>
  <c r="O476" i="55"/>
  <c r="Q476" i="55"/>
  <c r="O691" i="55"/>
  <c r="Q691" i="55"/>
  <c r="O713" i="55"/>
  <c r="Q713" i="55"/>
  <c r="O716" i="55"/>
  <c r="Q716" i="55"/>
  <c r="O738" i="55"/>
  <c r="Q738" i="55"/>
  <c r="O740" i="55"/>
  <c r="Q740" i="55"/>
  <c r="O831" i="55"/>
  <c r="O127" i="183"/>
  <c r="Q831" i="55"/>
  <c r="O834" i="55"/>
  <c r="O129" i="183"/>
  <c r="Q834" i="55"/>
  <c r="O825" i="55"/>
  <c r="Q825" i="55"/>
  <c r="O827" i="55"/>
  <c r="Q827" i="55"/>
  <c r="O882" i="55"/>
  <c r="Q882" i="55"/>
  <c r="O892" i="55"/>
  <c r="X1033" i="178" s="1"/>
  <c r="Z1033" i="178" s="1"/>
  <c r="Q892" i="55"/>
  <c r="AA1033" i="178" s="1"/>
  <c r="AB1033" i="178" s="1"/>
  <c r="O118" i="55"/>
  <c r="Q118" i="55"/>
  <c r="O163" i="55"/>
  <c r="Q163" i="55"/>
  <c r="O166" i="55"/>
  <c r="Q166" i="55"/>
  <c r="O180" i="55"/>
  <c r="Q180" i="55"/>
  <c r="O257" i="55"/>
  <c r="Q257" i="55"/>
  <c r="O340" i="55"/>
  <c r="O22" i="70"/>
  <c r="Q340" i="55"/>
  <c r="O433" i="55"/>
  <c r="X427" i="178" s="1"/>
  <c r="Z427" i="178" s="1"/>
  <c r="Q433" i="55"/>
  <c r="AA427" i="178" s="1"/>
  <c r="AB427" i="178" s="1"/>
  <c r="O436" i="55"/>
  <c r="Q436" i="55"/>
  <c r="O489" i="55"/>
  <c r="Q489" i="55"/>
  <c r="O522" i="55"/>
  <c r="N43" i="183" s="1"/>
  <c r="O43" i="183"/>
  <c r="Q522" i="55"/>
  <c r="P43" i="183" s="1"/>
  <c r="T43" i="183" s="1"/>
  <c r="O605" i="55"/>
  <c r="X562" i="178" s="1"/>
  <c r="Z562" i="178" s="1"/>
  <c r="Q605" i="55"/>
  <c r="AA562" i="178" s="1"/>
  <c r="AB562" i="178" s="1"/>
  <c r="O606" i="55"/>
  <c r="Q606" i="55"/>
  <c r="O612" i="55"/>
  <c r="Q612" i="55"/>
  <c r="O613" i="55"/>
  <c r="Q613" i="55"/>
  <c r="O614" i="55"/>
  <c r="Q614" i="55"/>
  <c r="O628" i="55"/>
  <c r="Q628" i="55"/>
  <c r="O639" i="55"/>
  <c r="Q639" i="55"/>
  <c r="O640" i="55"/>
  <c r="Q640" i="55"/>
  <c r="O642" i="55"/>
  <c r="Q642" i="55"/>
  <c r="O643" i="55"/>
  <c r="Q643" i="55"/>
  <c r="O644" i="55"/>
  <c r="Q644" i="55"/>
  <c r="O645" i="55"/>
  <c r="Q645" i="55"/>
  <c r="O647" i="55"/>
  <c r="X695" i="178" s="1"/>
  <c r="Z695" i="178" s="1"/>
  <c r="Q647" i="55"/>
  <c r="AA695" i="178" s="1"/>
  <c r="AB695" i="178" s="1"/>
  <c r="O648" i="55"/>
  <c r="Q648" i="55"/>
  <c r="O650" i="55"/>
  <c r="X702" i="178" s="1"/>
  <c r="Z702" i="178" s="1"/>
  <c r="Q650" i="55"/>
  <c r="AA702" i="178" s="1"/>
  <c r="AB702" i="178" s="1"/>
  <c r="O651" i="55"/>
  <c r="N82" i="70" s="1"/>
  <c r="O82" i="70"/>
  <c r="Q651" i="55"/>
  <c r="O796" i="55"/>
  <c r="Q796" i="55"/>
  <c r="O799" i="55"/>
  <c r="Q799" i="55"/>
  <c r="O158" i="55"/>
  <c r="Q158" i="55"/>
  <c r="O342" i="55"/>
  <c r="Q342" i="55"/>
  <c r="O356" i="55"/>
  <c r="O24" i="183"/>
  <c r="Q356" i="55"/>
  <c r="O358" i="55"/>
  <c r="O25" i="183"/>
  <c r="Q358" i="55"/>
  <c r="O364" i="55"/>
  <c r="Q364" i="55"/>
  <c r="O437" i="55"/>
  <c r="Q437" i="55"/>
  <c r="O485" i="55"/>
  <c r="Q485" i="55"/>
  <c r="O486" i="55"/>
  <c r="Q486" i="55"/>
  <c r="O533" i="55"/>
  <c r="Q533" i="55"/>
  <c r="O548" i="55"/>
  <c r="Q548" i="55"/>
  <c r="O616" i="55"/>
  <c r="Q616" i="55"/>
  <c r="O617" i="55"/>
  <c r="Q617" i="55"/>
  <c r="O621" i="55"/>
  <c r="Q621" i="55"/>
  <c r="O627" i="55"/>
  <c r="Q627" i="55"/>
  <c r="O649" i="55"/>
  <c r="X698" i="178" s="1"/>
  <c r="Z698" i="178" s="1"/>
  <c r="Q649" i="55"/>
  <c r="AA698" i="178" s="1"/>
  <c r="AB698" i="178" s="1"/>
  <c r="O652" i="55"/>
  <c r="X703" i="178" s="1"/>
  <c r="Z703" i="178" s="1"/>
  <c r="O102" i="183"/>
  <c r="Q652" i="55"/>
  <c r="AA703" i="178" s="1"/>
  <c r="AB703" i="178" s="1"/>
  <c r="O655" i="55"/>
  <c r="O105" i="183"/>
  <c r="Q655" i="55"/>
  <c r="O656" i="55"/>
  <c r="O106" i="183"/>
  <c r="Q656" i="55"/>
  <c r="O893" i="55"/>
  <c r="Q893" i="55"/>
  <c r="Y534" i="178"/>
  <c r="O883" i="55"/>
  <c r="Q883" i="55"/>
  <c r="O880" i="55"/>
  <c r="Q880" i="55"/>
  <c r="O879" i="55"/>
  <c r="Q879" i="55"/>
  <c r="O878" i="55"/>
  <c r="Q878" i="55"/>
  <c r="O877" i="55"/>
  <c r="Q877" i="55"/>
  <c r="O875" i="55"/>
  <c r="Q875" i="55"/>
  <c r="O873" i="55"/>
  <c r="Q873" i="55"/>
  <c r="O872" i="55"/>
  <c r="X1022" i="178" s="1"/>
  <c r="Z1022" i="178" s="1"/>
  <c r="Q872" i="55"/>
  <c r="AA1022" i="178" s="1"/>
  <c r="AB1022" i="178" s="1"/>
  <c r="O884" i="55"/>
  <c r="Q884" i="55"/>
  <c r="O871" i="55"/>
  <c r="Y881" i="178"/>
  <c r="Q871" i="55"/>
  <c r="O870" i="55"/>
  <c r="Q870" i="55"/>
  <c r="O864" i="55"/>
  <c r="Q864" i="55"/>
  <c r="O860" i="55"/>
  <c r="Q860" i="55"/>
  <c r="O857" i="55"/>
  <c r="O132" i="183"/>
  <c r="Q857" i="55"/>
  <c r="O856" i="55"/>
  <c r="Q856" i="55"/>
  <c r="O854" i="55"/>
  <c r="Q854" i="55"/>
  <c r="O853" i="55"/>
  <c r="Q853" i="55"/>
  <c r="O852" i="55"/>
  <c r="Q852" i="55"/>
  <c r="O851" i="55"/>
  <c r="Q851" i="55"/>
  <c r="O840" i="55"/>
  <c r="Q840" i="55"/>
  <c r="O837" i="55"/>
  <c r="X977" i="178" s="1"/>
  <c r="Z977" i="178" s="1"/>
  <c r="Q837" i="55"/>
  <c r="AA977" i="178" s="1"/>
  <c r="AB977" i="178" s="1"/>
  <c r="O836" i="55"/>
  <c r="Q836" i="55"/>
  <c r="O824" i="55"/>
  <c r="Q824" i="55"/>
  <c r="O823" i="55"/>
  <c r="Q823" i="55"/>
  <c r="O820" i="55"/>
  <c r="Q820" i="55"/>
  <c r="O817" i="55"/>
  <c r="Q817" i="55"/>
  <c r="O805" i="55"/>
  <c r="Q805" i="55"/>
  <c r="O804" i="55"/>
  <c r="Q804" i="55"/>
  <c r="O801" i="55"/>
  <c r="Q801" i="55"/>
  <c r="O800" i="55"/>
  <c r="Q800" i="55"/>
  <c r="O798" i="55"/>
  <c r="Q798" i="55"/>
  <c r="O797" i="55"/>
  <c r="Q797" i="55"/>
  <c r="O795" i="55"/>
  <c r="Q795" i="55"/>
  <c r="O794" i="55"/>
  <c r="Q794" i="55"/>
  <c r="O788" i="55"/>
  <c r="Q788" i="55"/>
  <c r="O787" i="55"/>
  <c r="Q787" i="55"/>
  <c r="O732" i="55"/>
  <c r="Q732" i="55"/>
  <c r="O782" i="55"/>
  <c r="Q782" i="55"/>
  <c r="O667" i="55"/>
  <c r="Q667" i="55"/>
  <c r="O731" i="55"/>
  <c r="Q731" i="55"/>
  <c r="O783" i="55"/>
  <c r="Q783" i="55"/>
  <c r="O781" i="55"/>
  <c r="Q781" i="55"/>
  <c r="O780" i="55"/>
  <c r="Q780" i="55"/>
  <c r="O786" i="55"/>
  <c r="Q786" i="55"/>
  <c r="O785" i="55"/>
  <c r="Q785" i="55"/>
  <c r="O784" i="55"/>
  <c r="O126" i="183"/>
  <c r="Q784" i="55"/>
  <c r="O778" i="55"/>
  <c r="O125" i="183"/>
  <c r="Q778" i="55"/>
  <c r="O777" i="55"/>
  <c r="N109" i="70" s="1"/>
  <c r="Q777" i="55"/>
  <c r="O776" i="55"/>
  <c r="Q776" i="55"/>
  <c r="O772" i="55"/>
  <c r="Q772" i="55"/>
  <c r="O771" i="55"/>
  <c r="Q771" i="55"/>
  <c r="O663" i="55"/>
  <c r="Q663" i="55"/>
  <c r="O770" i="55"/>
  <c r="Q770" i="55"/>
  <c r="O769" i="55"/>
  <c r="Q769" i="55"/>
  <c r="O760" i="55"/>
  <c r="Q760" i="55"/>
  <c r="O759" i="55"/>
  <c r="X339" i="178" s="1"/>
  <c r="Z339" i="178" s="1"/>
  <c r="Q759" i="55"/>
  <c r="AA339" i="178" s="1"/>
  <c r="AB339" i="178" s="1"/>
  <c r="O758" i="55"/>
  <c r="Q758" i="55"/>
  <c r="O757" i="55"/>
  <c r="Q757" i="55"/>
  <c r="O756" i="55"/>
  <c r="Q756" i="55"/>
  <c r="O755" i="55"/>
  <c r="Q755" i="55"/>
  <c r="O754" i="55"/>
  <c r="Q754" i="55"/>
  <c r="O753" i="55"/>
  <c r="Q753" i="55"/>
  <c r="O752" i="55"/>
  <c r="Q752" i="55"/>
  <c r="O737" i="55"/>
  <c r="Q737" i="55"/>
  <c r="O730" i="55"/>
  <c r="Q730" i="55"/>
  <c r="O729" i="55"/>
  <c r="Q729" i="55"/>
  <c r="O728" i="55"/>
  <c r="Q728" i="55"/>
  <c r="O726" i="55"/>
  <c r="Q726" i="55"/>
  <c r="O725" i="55"/>
  <c r="Q725" i="55"/>
  <c r="O693" i="55"/>
  <c r="Q693" i="55"/>
  <c r="O658" i="55"/>
  <c r="Q658" i="55"/>
  <c r="O657" i="55"/>
  <c r="Q657" i="55"/>
  <c r="O654" i="55"/>
  <c r="Q654" i="55"/>
  <c r="O653" i="55"/>
  <c r="Q653" i="55"/>
  <c r="O641" i="55"/>
  <c r="Q641" i="55"/>
  <c r="O635" i="55"/>
  <c r="Q635" i="55"/>
  <c r="O634" i="55"/>
  <c r="Q634" i="55"/>
  <c r="O633" i="55"/>
  <c r="Q633" i="55"/>
  <c r="O632" i="55"/>
  <c r="Q632" i="55"/>
  <c r="O631" i="55"/>
  <c r="Q631" i="55"/>
  <c r="O630" i="55"/>
  <c r="Y514" i="178"/>
  <c r="Q630" i="55"/>
  <c r="O626" i="55"/>
  <c r="Q626" i="55"/>
  <c r="O625" i="55"/>
  <c r="Q625" i="55"/>
  <c r="O637" i="55"/>
  <c r="Q637" i="55"/>
  <c r="O636" i="55"/>
  <c r="Q636" i="55"/>
  <c r="O665" i="55"/>
  <c r="Q665" i="55"/>
  <c r="O666" i="55"/>
  <c r="Q666" i="55"/>
  <c r="O620" i="55"/>
  <c r="O84" i="183"/>
  <c r="Q620" i="55"/>
  <c r="O619" i="55"/>
  <c r="Q619" i="55"/>
  <c r="O611" i="55"/>
  <c r="Q611" i="55"/>
  <c r="O610" i="55"/>
  <c r="N48" i="70" s="1"/>
  <c r="Q610" i="55"/>
  <c r="O609" i="55"/>
  <c r="Q609" i="55"/>
  <c r="O607" i="55"/>
  <c r="Q607" i="55"/>
  <c r="O603" i="55"/>
  <c r="Q603" i="55"/>
  <c r="O602" i="55"/>
  <c r="Q602" i="55"/>
  <c r="O601" i="55"/>
  <c r="Q601" i="55"/>
  <c r="O598" i="55"/>
  <c r="Q598" i="55"/>
  <c r="O597" i="55"/>
  <c r="Q597" i="55"/>
  <c r="O595" i="55"/>
  <c r="Q595" i="55"/>
  <c r="O594" i="55"/>
  <c r="Q594" i="55"/>
  <c r="O593" i="55"/>
  <c r="Q593" i="55"/>
  <c r="O592" i="55"/>
  <c r="Q592" i="55"/>
  <c r="O591" i="55"/>
  <c r="Q591" i="55"/>
  <c r="O590" i="55"/>
  <c r="Q590" i="55"/>
  <c r="O589" i="55"/>
  <c r="Q589" i="55"/>
  <c r="O585" i="55"/>
  <c r="Q585" i="55"/>
  <c r="O584" i="55"/>
  <c r="Q584" i="55"/>
  <c r="O583" i="55"/>
  <c r="Q583" i="55"/>
  <c r="O582" i="55"/>
  <c r="Q582" i="55"/>
  <c r="O581" i="55"/>
  <c r="Q581" i="55"/>
  <c r="O542" i="55"/>
  <c r="Q542" i="55"/>
  <c r="O540" i="55"/>
  <c r="Q540" i="55"/>
  <c r="O526" i="55"/>
  <c r="Q526" i="55"/>
  <c r="O523" i="55"/>
  <c r="N44" i="183" s="1"/>
  <c r="O44" i="183"/>
  <c r="Q523" i="55"/>
  <c r="P44" i="183" s="1"/>
  <c r="T44" i="183" s="1"/>
  <c r="O488" i="55"/>
  <c r="Q488" i="55"/>
  <c r="O487" i="55"/>
  <c r="Q487" i="55"/>
  <c r="O484" i="55"/>
  <c r="Q484" i="55"/>
  <c r="O481" i="55"/>
  <c r="Q481" i="55"/>
  <c r="O479" i="55"/>
  <c r="Q479" i="55"/>
  <c r="O460" i="55"/>
  <c r="Q460" i="55"/>
  <c r="O458" i="55"/>
  <c r="Q458" i="55"/>
  <c r="O457" i="55"/>
  <c r="Q457" i="55"/>
  <c r="O455" i="55"/>
  <c r="Q455" i="55"/>
  <c r="O454" i="55"/>
  <c r="Q454" i="55"/>
  <c r="O453" i="55"/>
  <c r="Y975" i="178"/>
  <c r="Q453" i="55"/>
  <c r="O467" i="55"/>
  <c r="Q467" i="55"/>
  <c r="O451" i="55"/>
  <c r="Q451" i="55"/>
  <c r="O450" i="55"/>
  <c r="Q450" i="55"/>
  <c r="O449" i="55"/>
  <c r="Q449" i="55"/>
  <c r="O448" i="55"/>
  <c r="Q448" i="55"/>
  <c r="O443" i="55"/>
  <c r="Q443" i="55"/>
  <c r="O440" i="55"/>
  <c r="Q440" i="55"/>
  <c r="O439" i="55"/>
  <c r="Q439" i="55"/>
  <c r="O438" i="55"/>
  <c r="Q438" i="55"/>
  <c r="O435" i="55"/>
  <c r="Q435" i="55"/>
  <c r="O434" i="55"/>
  <c r="Q434" i="55"/>
  <c r="O432" i="55"/>
  <c r="Q432" i="55"/>
  <c r="O431" i="55"/>
  <c r="Q431" i="55"/>
  <c r="O409" i="55"/>
  <c r="Q409" i="55"/>
  <c r="O397" i="55"/>
  <c r="Q397" i="55"/>
  <c r="O411" i="55"/>
  <c r="Q411" i="55"/>
  <c r="O391" i="55"/>
  <c r="Q391" i="55"/>
  <c r="O390" i="55"/>
  <c r="Q390" i="55"/>
  <c r="O381" i="55"/>
  <c r="Q381" i="55"/>
  <c r="O380" i="55"/>
  <c r="Q380" i="55"/>
  <c r="O365" i="55"/>
  <c r="O27" i="183"/>
  <c r="Q365" i="55"/>
  <c r="O344" i="55"/>
  <c r="Q344" i="55"/>
  <c r="O343" i="55"/>
  <c r="O28" i="70"/>
  <c r="Q343" i="55"/>
  <c r="O346" i="55"/>
  <c r="Q346" i="55"/>
  <c r="O338" i="55"/>
  <c r="Q338" i="55"/>
  <c r="O337" i="55"/>
  <c r="Q337" i="55"/>
  <c r="O336" i="55"/>
  <c r="Q336" i="55"/>
  <c r="O306" i="55"/>
  <c r="Q306" i="55"/>
  <c r="O305" i="55"/>
  <c r="Q305" i="55"/>
  <c r="O301" i="55"/>
  <c r="Y522" i="178"/>
  <c r="Q301" i="55"/>
  <c r="O309" i="55"/>
  <c r="Q309" i="55"/>
  <c r="O285" i="55"/>
  <c r="Q285" i="55"/>
  <c r="O284" i="55"/>
  <c r="Q284" i="55"/>
  <c r="O281" i="55"/>
  <c r="Q281" i="55"/>
  <c r="O275" i="55"/>
  <c r="Q275" i="55"/>
  <c r="O274" i="55"/>
  <c r="Q274" i="55"/>
  <c r="O258" i="55"/>
  <c r="Q258" i="55"/>
  <c r="O241" i="55"/>
  <c r="N4" i="183" s="1"/>
  <c r="O4" i="183"/>
  <c r="Q241" i="55"/>
  <c r="P4" i="183" s="1"/>
  <c r="T4" i="183" s="1"/>
  <c r="O239" i="55"/>
  <c r="Q239" i="55"/>
  <c r="O228" i="55"/>
  <c r="Q228" i="55"/>
  <c r="O779" i="55"/>
  <c r="Q779" i="55"/>
  <c r="O720" i="55"/>
  <c r="Q720" i="55"/>
  <c r="O218" i="55"/>
  <c r="Y908" i="178"/>
  <c r="Q218" i="55"/>
  <c r="O664" i="55"/>
  <c r="Q664" i="55"/>
  <c r="O184" i="55"/>
  <c r="Q184" i="55"/>
  <c r="O187" i="55"/>
  <c r="Q187" i="55"/>
  <c r="O189" i="55"/>
  <c r="Q189" i="55"/>
  <c r="O210" i="55"/>
  <c r="Q210" i="55"/>
  <c r="O209" i="55"/>
  <c r="Q209" i="55"/>
  <c r="O208" i="55"/>
  <c r="Q208" i="55"/>
  <c r="O211" i="55"/>
  <c r="Q211" i="55"/>
  <c r="O175" i="55"/>
  <c r="Q175" i="55"/>
  <c r="O173" i="55"/>
  <c r="X297" i="178" s="1"/>
  <c r="Y297" i="178"/>
  <c r="Q173" i="55"/>
  <c r="AA297" i="178" s="1"/>
  <c r="AB297" i="178" s="1"/>
  <c r="O172" i="55"/>
  <c r="Q172" i="55"/>
  <c r="O171" i="55"/>
  <c r="Q171" i="55"/>
  <c r="O170" i="55"/>
  <c r="Q170" i="55"/>
  <c r="O168" i="55"/>
  <c r="Q168" i="55"/>
  <c r="O165" i="55"/>
  <c r="Q165" i="55"/>
  <c r="O162" i="55"/>
  <c r="Q162" i="55"/>
  <c r="O161" i="55"/>
  <c r="Q161" i="55"/>
  <c r="O157" i="55"/>
  <c r="Q157" i="55"/>
  <c r="O156" i="55"/>
  <c r="Q156" i="55"/>
  <c r="O186" i="55"/>
  <c r="Q186" i="55"/>
  <c r="O177" i="55"/>
  <c r="Q177" i="55"/>
  <c r="O146" i="55"/>
  <c r="Q146" i="55"/>
  <c r="O138" i="55"/>
  <c r="Q138" i="55"/>
  <c r="O133" i="55"/>
  <c r="Q133" i="55"/>
  <c r="O132" i="55"/>
  <c r="Q132" i="55"/>
  <c r="O128" i="55"/>
  <c r="Q128" i="55"/>
  <c r="O117" i="55"/>
  <c r="Y791" i="178"/>
  <c r="Q117" i="55"/>
  <c r="O116" i="55"/>
  <c r="Q116" i="55"/>
  <c r="O115" i="55"/>
  <c r="Q115" i="55"/>
  <c r="O114" i="55"/>
  <c r="Q114" i="55"/>
  <c r="O99" i="55"/>
  <c r="Q99" i="55"/>
  <c r="O29" i="55"/>
  <c r="Q29" i="55"/>
  <c r="O276" i="55"/>
  <c r="Q276" i="55"/>
  <c r="O17" i="55"/>
  <c r="Q17" i="55"/>
  <c r="C810" i="78"/>
  <c r="R781" i="55"/>
  <c r="R783" i="55"/>
  <c r="R731" i="55"/>
  <c r="R667" i="55"/>
  <c r="R782" i="55"/>
  <c r="R732" i="55"/>
  <c r="O38" i="95"/>
  <c r="C38" i="95"/>
  <c r="D38" i="95"/>
  <c r="E38" i="95"/>
  <c r="F38" i="95"/>
  <c r="G38" i="95"/>
  <c r="H38" i="95"/>
  <c r="I38" i="95"/>
  <c r="J38" i="95"/>
  <c r="K38" i="95"/>
  <c r="L38" i="95"/>
  <c r="M38" i="95"/>
  <c r="N38" i="95"/>
  <c r="C691" i="78"/>
  <c r="R664" i="55"/>
  <c r="C748" i="78"/>
  <c r="C809" i="78"/>
  <c r="R720" i="55"/>
  <c r="R779" i="55"/>
  <c r="C756" i="78"/>
  <c r="C757" i="78"/>
  <c r="R728" i="55"/>
  <c r="R729" i="55"/>
  <c r="R173" i="55"/>
  <c r="C190" i="78"/>
  <c r="R187" i="55"/>
  <c r="R184" i="55"/>
  <c r="C206" i="78"/>
  <c r="C204" i="78"/>
  <c r="C861" i="78"/>
  <c r="R827" i="55"/>
  <c r="R817" i="55"/>
  <c r="R820" i="55"/>
  <c r="R823" i="55"/>
  <c r="R824" i="55"/>
  <c r="R825" i="55"/>
  <c r="R826" i="55"/>
  <c r="C857" i="78"/>
  <c r="C858" i="78"/>
  <c r="C859" i="78"/>
  <c r="C860" i="78"/>
  <c r="R445" i="55"/>
  <c r="C472" i="78"/>
  <c r="R409" i="55"/>
  <c r="C436" i="78"/>
  <c r="C433" i="78"/>
  <c r="R406" i="55"/>
  <c r="R99" i="55"/>
  <c r="C114" i="78"/>
  <c r="C115" i="78"/>
  <c r="C19" i="78"/>
  <c r="R17" i="55"/>
  <c r="C18" i="78"/>
  <c r="R276" i="55"/>
  <c r="R771" i="55"/>
  <c r="R772" i="55"/>
  <c r="R663" i="55"/>
  <c r="R770" i="55"/>
  <c r="C799" i="78"/>
  <c r="C800" i="78"/>
  <c r="C801" i="78"/>
  <c r="C798" i="78"/>
  <c r="C133" i="78"/>
  <c r="C134" i="78"/>
  <c r="C135" i="78"/>
  <c r="R116" i="55"/>
  <c r="R117" i="55"/>
  <c r="R118" i="55"/>
  <c r="J39" i="70"/>
  <c r="L39" i="70"/>
  <c r="G39" i="70"/>
  <c r="H39" i="70" s="1"/>
  <c r="F39" i="70"/>
  <c r="D39" i="70"/>
  <c r="E39" i="70"/>
  <c r="B39" i="70"/>
  <c r="C96" i="78"/>
  <c r="C307" i="78"/>
  <c r="R285" i="55"/>
  <c r="R284" i="55"/>
  <c r="R294" i="55"/>
  <c r="C107" i="78"/>
  <c r="C205" i="78"/>
  <c r="R188" i="55"/>
  <c r="R405" i="55"/>
  <c r="R288" i="55"/>
  <c r="R234" i="55"/>
  <c r="R293" i="55"/>
  <c r="C312" i="78"/>
  <c r="C252" i="78"/>
  <c r="C317" i="78"/>
  <c r="C253" i="78"/>
  <c r="C318" i="78"/>
  <c r="J22" i="70"/>
  <c r="K22" i="70" s="1"/>
  <c r="L22" i="70"/>
  <c r="M22" i="70" s="1"/>
  <c r="G22" i="70"/>
  <c r="I22" i="70" s="1"/>
  <c r="D22" i="70"/>
  <c r="E22" i="70"/>
  <c r="B22" i="70"/>
  <c r="C366" i="78"/>
  <c r="R340" i="55"/>
  <c r="N22" i="70"/>
  <c r="R708" i="55"/>
  <c r="C736" i="78"/>
  <c r="R662" i="55"/>
  <c r="R661" i="55"/>
  <c r="C688" i="78"/>
  <c r="R430" i="55"/>
  <c r="C457" i="78"/>
  <c r="R408" i="55"/>
  <c r="C435" i="78"/>
  <c r="R404" i="55"/>
  <c r="C431" i="78"/>
  <c r="R403" i="55"/>
  <c r="C430" i="78"/>
  <c r="C429" i="78"/>
  <c r="R402" i="55"/>
  <c r="R249" i="55"/>
  <c r="C271" i="78"/>
  <c r="R87" i="55"/>
  <c r="C98" i="78"/>
  <c r="C82" i="78"/>
  <c r="R71" i="55"/>
  <c r="C66" i="78"/>
  <c r="R56" i="55"/>
  <c r="R709" i="55"/>
  <c r="R88" i="55"/>
  <c r="R442" i="55"/>
  <c r="R444" i="55"/>
  <c r="R250" i="55"/>
  <c r="R90" i="55"/>
  <c r="C737" i="78"/>
  <c r="C99" i="78"/>
  <c r="C432" i="78"/>
  <c r="C469" i="78"/>
  <c r="C471" i="78"/>
  <c r="C272" i="78"/>
  <c r="C275" i="78"/>
  <c r="C101" i="78"/>
  <c r="C103" i="78"/>
  <c r="R441" i="55"/>
  <c r="C468" i="78"/>
  <c r="C812" i="78"/>
  <c r="C759" i="78"/>
  <c r="C694" i="78"/>
  <c r="C811" i="78"/>
  <c r="C760" i="78"/>
  <c r="C816" i="78"/>
  <c r="J109" i="70"/>
  <c r="L109" i="70"/>
  <c r="J110" i="70"/>
  <c r="L110" i="70"/>
  <c r="J111" i="70"/>
  <c r="L111" i="70"/>
  <c r="G111" i="70"/>
  <c r="H111" i="70" s="1"/>
  <c r="F111" i="70"/>
  <c r="D111" i="70"/>
  <c r="E111" i="70"/>
  <c r="G109" i="70"/>
  <c r="H109" i="70" s="1"/>
  <c r="G110" i="70"/>
  <c r="F110" i="70"/>
  <c r="F109" i="70"/>
  <c r="D109" i="70"/>
  <c r="E109" i="70"/>
  <c r="D110" i="70"/>
  <c r="E110" i="70"/>
  <c r="B109" i="70"/>
  <c r="B110" i="70"/>
  <c r="B111" i="70"/>
  <c r="C808" i="78"/>
  <c r="R777" i="55"/>
  <c r="O111" i="70"/>
  <c r="R778" i="55"/>
  <c r="J107" i="70"/>
  <c r="L107" i="70"/>
  <c r="J108" i="70"/>
  <c r="L108" i="70"/>
  <c r="G107" i="70"/>
  <c r="G108" i="70"/>
  <c r="I108" i="70" s="1"/>
  <c r="F108" i="70"/>
  <c r="F107" i="70"/>
  <c r="D107" i="70"/>
  <c r="E107" i="70"/>
  <c r="D108" i="70"/>
  <c r="E108" i="70"/>
  <c r="B107" i="70"/>
  <c r="B108" i="70"/>
  <c r="B113" i="70"/>
  <c r="O107" i="70"/>
  <c r="R776" i="55"/>
  <c r="O110" i="70"/>
  <c r="O109" i="70"/>
  <c r="P109" i="70"/>
  <c r="O108" i="70"/>
  <c r="J82" i="70"/>
  <c r="L82" i="70"/>
  <c r="J83" i="70"/>
  <c r="L83" i="70"/>
  <c r="G82" i="70"/>
  <c r="I82" i="70" s="1"/>
  <c r="G83" i="70"/>
  <c r="I83" i="70" s="1"/>
  <c r="F83" i="70"/>
  <c r="F82" i="70"/>
  <c r="D82" i="70"/>
  <c r="E82" i="70"/>
  <c r="D83" i="70"/>
  <c r="E83" i="70"/>
  <c r="B82" i="70"/>
  <c r="B83" i="70"/>
  <c r="J45" i="70"/>
  <c r="L45" i="70"/>
  <c r="G45" i="70"/>
  <c r="I45" i="70" s="1"/>
  <c r="F45" i="70"/>
  <c r="D45" i="70"/>
  <c r="E45" i="70"/>
  <c r="B45" i="70"/>
  <c r="C630" i="78"/>
  <c r="J80" i="70"/>
  <c r="L80" i="70"/>
  <c r="J81" i="70"/>
  <c r="L81" i="70"/>
  <c r="G80" i="70"/>
  <c r="H80" i="70" s="1"/>
  <c r="G81" i="70"/>
  <c r="F81" i="70"/>
  <c r="F80" i="70"/>
  <c r="D80" i="70"/>
  <c r="E80" i="70"/>
  <c r="D81" i="70"/>
  <c r="E81" i="70"/>
  <c r="B80" i="70"/>
  <c r="B81" i="70"/>
  <c r="R61" i="55"/>
  <c r="C491" i="78"/>
  <c r="O463" i="55"/>
  <c r="Q463" i="55"/>
  <c r="R463" i="55"/>
  <c r="R407" i="55"/>
  <c r="C434" i="78"/>
  <c r="C684" i="78"/>
  <c r="R657" i="55"/>
  <c r="R210" i="55"/>
  <c r="C226" i="78"/>
  <c r="C227" i="78"/>
  <c r="J13" i="70"/>
  <c r="L13" i="70"/>
  <c r="G13" i="70"/>
  <c r="H13" i="70" s="1"/>
  <c r="F13" i="70"/>
  <c r="D13" i="70"/>
  <c r="E13" i="70"/>
  <c r="B13" i="70"/>
  <c r="J15" i="70"/>
  <c r="K15" i="70" s="1"/>
  <c r="L15" i="70"/>
  <c r="M15" i="70" s="1"/>
  <c r="G15" i="70"/>
  <c r="H15" i="70" s="1"/>
  <c r="D15" i="70"/>
  <c r="E15" i="70"/>
  <c r="B15" i="70"/>
  <c r="C679" i="78"/>
  <c r="R652" i="55"/>
  <c r="C678" i="78"/>
  <c r="R651" i="55"/>
  <c r="C428" i="78"/>
  <c r="R401" i="55"/>
  <c r="C427" i="78"/>
  <c r="R400" i="55"/>
  <c r="C426" i="78"/>
  <c r="R399" i="55"/>
  <c r="R232" i="55"/>
  <c r="C254" i="78"/>
  <c r="R227" i="55"/>
  <c r="C245" i="78"/>
  <c r="O226" i="55"/>
  <c r="Q226" i="55"/>
  <c r="R226" i="55"/>
  <c r="C244" i="78"/>
  <c r="R169" i="55"/>
  <c r="C186" i="78"/>
  <c r="R174" i="55"/>
  <c r="R70" i="55"/>
  <c r="C81" i="78"/>
  <c r="C76" i="78"/>
  <c r="R65" i="55"/>
  <c r="R64" i="55"/>
  <c r="C75" i="78"/>
  <c r="P83" i="70"/>
  <c r="O83" i="70"/>
  <c r="P82" i="70"/>
  <c r="R337" i="55"/>
  <c r="R338" i="55"/>
  <c r="C363" i="78"/>
  <c r="C364" i="78"/>
  <c r="R170" i="55"/>
  <c r="R189" i="55"/>
  <c r="C187" i="78"/>
  <c r="C201" i="78"/>
  <c r="R162" i="55"/>
  <c r="R487" i="55"/>
  <c r="C514" i="78"/>
  <c r="C286" i="78"/>
  <c r="R653" i="55"/>
  <c r="C680" i="78"/>
  <c r="R218" i="55"/>
  <c r="C236" i="78"/>
  <c r="O544" i="55"/>
  <c r="Q544" i="55"/>
  <c r="R544" i="55"/>
  <c r="C571" i="78"/>
  <c r="O543" i="55"/>
  <c r="Q543" i="55"/>
  <c r="R543" i="55"/>
  <c r="C570" i="78"/>
  <c r="R488" i="55"/>
  <c r="C515" i="78"/>
  <c r="O762" i="55"/>
  <c r="Q762" i="55"/>
  <c r="R762" i="55"/>
  <c r="R883" i="55"/>
  <c r="R171" i="55"/>
  <c r="R172" i="55"/>
  <c r="R175" i="55"/>
  <c r="C790" i="78"/>
  <c r="C917" i="78"/>
  <c r="C188" i="78"/>
  <c r="C189" i="78"/>
  <c r="C192" i="78"/>
  <c r="F105" i="70"/>
  <c r="D105" i="70"/>
  <c r="E105" i="70"/>
  <c r="F104" i="70"/>
  <c r="F103" i="70"/>
  <c r="G102" i="70"/>
  <c r="J102" i="70"/>
  <c r="L102" i="70"/>
  <c r="G103" i="70"/>
  <c r="I103" i="70" s="1"/>
  <c r="J103" i="70"/>
  <c r="L103" i="70"/>
  <c r="G104" i="70"/>
  <c r="H104" i="70" s="1"/>
  <c r="J104" i="70"/>
  <c r="L104" i="70"/>
  <c r="G105" i="70"/>
  <c r="H105" i="70" s="1"/>
  <c r="J105" i="70"/>
  <c r="L105" i="70"/>
  <c r="M105" i="70" s="1"/>
  <c r="G106" i="70"/>
  <c r="H106" i="70" s="1"/>
  <c r="J106" i="70"/>
  <c r="L106" i="70"/>
  <c r="F102" i="70"/>
  <c r="F101" i="70"/>
  <c r="D102" i="70"/>
  <c r="E102" i="70"/>
  <c r="G100" i="70"/>
  <c r="H100" i="70" s="1"/>
  <c r="J100" i="70"/>
  <c r="L100" i="70"/>
  <c r="D100" i="70"/>
  <c r="E100" i="70"/>
  <c r="F100" i="70"/>
  <c r="F99" i="70"/>
  <c r="F98" i="70"/>
  <c r="B100" i="70"/>
  <c r="B101" i="70"/>
  <c r="B102" i="70"/>
  <c r="B103" i="70"/>
  <c r="B104" i="70"/>
  <c r="B105" i="70"/>
  <c r="O814" i="55"/>
  <c r="Q814" i="55"/>
  <c r="R814" i="55"/>
  <c r="C848" i="78"/>
  <c r="O812" i="55"/>
  <c r="Q812" i="55"/>
  <c r="R812" i="55"/>
  <c r="C846" i="78"/>
  <c r="O807" i="55"/>
  <c r="Q807" i="55"/>
  <c r="R807" i="55"/>
  <c r="C841" i="78"/>
  <c r="R726" i="55"/>
  <c r="C754" i="78"/>
  <c r="R260" i="55"/>
  <c r="C283" i="78"/>
  <c r="C185" i="78"/>
  <c r="R168" i="55"/>
  <c r="R292" i="55"/>
  <c r="R231" i="55"/>
  <c r="R233" i="55"/>
  <c r="R291" i="55"/>
  <c r="C316" i="78"/>
  <c r="C255" i="78"/>
  <c r="C315" i="78"/>
  <c r="C108" i="78"/>
  <c r="C314" i="78"/>
  <c r="C313" i="78"/>
  <c r="R290" i="55"/>
  <c r="R289" i="55"/>
  <c r="R894" i="55"/>
  <c r="C928" i="78"/>
  <c r="R815" i="55"/>
  <c r="C849" i="78"/>
  <c r="R718" i="55"/>
  <c r="C746" i="78"/>
  <c r="R707" i="55"/>
  <c r="C735" i="78"/>
  <c r="C502" i="78"/>
  <c r="C503" i="78"/>
  <c r="O660" i="55"/>
  <c r="Q660" i="55"/>
  <c r="R660" i="55"/>
  <c r="R475" i="55"/>
  <c r="R476" i="55"/>
  <c r="C687" i="78"/>
  <c r="O242" i="55"/>
  <c r="Q242" i="55"/>
  <c r="R242" i="55"/>
  <c r="C251" i="78"/>
  <c r="R201" i="55"/>
  <c r="C218" i="78"/>
  <c r="C686" i="78"/>
  <c r="R659" i="55"/>
  <c r="C67" i="78"/>
  <c r="R46" i="55"/>
  <c r="C51" i="78"/>
  <c r="R41" i="55"/>
  <c r="R882" i="55"/>
  <c r="C916" i="78"/>
  <c r="C789" i="78"/>
  <c r="O761" i="55"/>
  <c r="Q761" i="55"/>
  <c r="R761" i="55"/>
  <c r="C672" i="78"/>
  <c r="R645" i="55"/>
  <c r="R649" i="55"/>
  <c r="C676" i="78"/>
  <c r="C794" i="78"/>
  <c r="C795" i="78"/>
  <c r="C796" i="78"/>
  <c r="O766" i="55"/>
  <c r="Q766" i="55"/>
  <c r="R766" i="55"/>
  <c r="O767" i="55"/>
  <c r="Q767" i="55"/>
  <c r="R767" i="55"/>
  <c r="O768" i="55"/>
  <c r="Q768" i="55"/>
  <c r="R768" i="55"/>
  <c r="O517" i="55"/>
  <c r="Q517" i="55"/>
  <c r="R517" i="55"/>
  <c r="J74" i="70"/>
  <c r="L74" i="70"/>
  <c r="J75" i="70"/>
  <c r="L75" i="70"/>
  <c r="J76" i="70"/>
  <c r="L76" i="70"/>
  <c r="G74" i="70"/>
  <c r="H74" i="70" s="1"/>
  <c r="G75" i="70"/>
  <c r="H75" i="70" s="1"/>
  <c r="G76" i="70"/>
  <c r="H76" i="70" s="1"/>
  <c r="F76" i="70"/>
  <c r="F75" i="70"/>
  <c r="F74" i="70"/>
  <c r="D74" i="70"/>
  <c r="E74" i="70"/>
  <c r="D75" i="70"/>
  <c r="E75" i="70"/>
  <c r="D76" i="70"/>
  <c r="E76" i="70"/>
  <c r="B75" i="70"/>
  <c r="B74" i="70"/>
  <c r="B76" i="70"/>
  <c r="R646" i="55"/>
  <c r="C673" i="78"/>
  <c r="R641" i="55"/>
  <c r="C668" i="78"/>
  <c r="O518" i="55"/>
  <c r="Q518" i="55"/>
  <c r="R518" i="55"/>
  <c r="O519" i="55"/>
  <c r="Q519" i="55"/>
  <c r="R519" i="55"/>
  <c r="O520" i="55"/>
  <c r="Q520" i="55"/>
  <c r="R520" i="55"/>
  <c r="C547" i="78"/>
  <c r="C544" i="78"/>
  <c r="O167" i="55"/>
  <c r="Q167" i="55"/>
  <c r="R167" i="55"/>
  <c r="O200" i="55"/>
  <c r="Q200" i="55"/>
  <c r="R200" i="55"/>
  <c r="C184" i="78"/>
  <c r="J77" i="70"/>
  <c r="L77" i="70"/>
  <c r="J78" i="70"/>
  <c r="L78" i="70"/>
  <c r="D77" i="70"/>
  <c r="E77" i="70"/>
  <c r="D78" i="70"/>
  <c r="E78" i="70"/>
  <c r="G77" i="70"/>
  <c r="H77" i="70" s="1"/>
  <c r="G78" i="70"/>
  <c r="H78" i="70" s="1"/>
  <c r="F78" i="70"/>
  <c r="F77" i="70"/>
  <c r="B78" i="70"/>
  <c r="B77" i="70"/>
  <c r="C674" i="78"/>
  <c r="R647" i="55"/>
  <c r="J79" i="70"/>
  <c r="L79" i="70"/>
  <c r="G79" i="70"/>
  <c r="I79" i="70" s="1"/>
  <c r="F79" i="70"/>
  <c r="D79" i="70"/>
  <c r="E79" i="70"/>
  <c r="B79" i="70"/>
  <c r="R648" i="55"/>
  <c r="C675" i="78"/>
  <c r="R717" i="55"/>
  <c r="C745" i="78"/>
  <c r="R716" i="55"/>
  <c r="C744" i="78"/>
  <c r="R112" i="55"/>
  <c r="C129" i="78"/>
  <c r="R111" i="55"/>
  <c r="C128" i="78"/>
  <c r="R225" i="55"/>
  <c r="C243" i="78"/>
  <c r="C63" i="78"/>
  <c r="O53" i="55"/>
  <c r="Q53" i="55"/>
  <c r="R53" i="55"/>
  <c r="R639" i="55"/>
  <c r="R166" i="55"/>
  <c r="C666" i="78"/>
  <c r="C183" i="78"/>
  <c r="J53" i="70"/>
  <c r="L53" i="70"/>
  <c r="G53" i="70"/>
  <c r="H53" i="70" s="1"/>
  <c r="F53" i="70"/>
  <c r="F52" i="70"/>
  <c r="D53" i="70"/>
  <c r="E53" i="70"/>
  <c r="B53" i="70"/>
  <c r="R163" i="55"/>
  <c r="J65" i="70"/>
  <c r="L65" i="70"/>
  <c r="G65" i="70"/>
  <c r="F65" i="70"/>
  <c r="D65" i="70"/>
  <c r="E65" i="70"/>
  <c r="B65" i="70"/>
  <c r="J33" i="70"/>
  <c r="L33" i="70"/>
  <c r="G33" i="70"/>
  <c r="I33" i="70" s="1"/>
  <c r="F33" i="70"/>
  <c r="D33" i="70"/>
  <c r="E33" i="70"/>
  <c r="B33" i="70"/>
  <c r="F69" i="70"/>
  <c r="J71" i="70"/>
  <c r="L71" i="70"/>
  <c r="J72" i="70"/>
  <c r="L72" i="70"/>
  <c r="J73" i="70"/>
  <c r="L73" i="70"/>
  <c r="G71" i="70"/>
  <c r="H71" i="70" s="1"/>
  <c r="G72" i="70"/>
  <c r="H72" i="70" s="1"/>
  <c r="G73" i="70"/>
  <c r="H73" i="70" s="1"/>
  <c r="B71" i="70"/>
  <c r="B72" i="70"/>
  <c r="B73" i="70"/>
  <c r="R629" i="55"/>
  <c r="C656" i="78"/>
  <c r="F73" i="70"/>
  <c r="F71" i="70"/>
  <c r="F72" i="70"/>
  <c r="D71" i="70"/>
  <c r="E71" i="70"/>
  <c r="D72" i="70"/>
  <c r="E72" i="70"/>
  <c r="D73" i="70"/>
  <c r="E73" i="70"/>
  <c r="J3" i="70"/>
  <c r="L3" i="70"/>
  <c r="J11" i="70"/>
  <c r="K11" i="70" s="1"/>
  <c r="L11" i="70"/>
  <c r="M11" i="70" s="1"/>
  <c r="J12" i="70"/>
  <c r="K12" i="70" s="1"/>
  <c r="L12" i="70"/>
  <c r="M12" i="70" s="1"/>
  <c r="J14" i="70"/>
  <c r="K14" i="70" s="1"/>
  <c r="L14" i="70"/>
  <c r="M14" i="70" s="1"/>
  <c r="J23" i="70"/>
  <c r="K23" i="70" s="1"/>
  <c r="L23" i="70"/>
  <c r="M23" i="70" s="1"/>
  <c r="J24" i="70"/>
  <c r="K24" i="70" s="1"/>
  <c r="L24" i="70"/>
  <c r="M24" i="70" s="1"/>
  <c r="J25" i="70"/>
  <c r="L25" i="70"/>
  <c r="J26" i="70"/>
  <c r="K26" i="70" s="1"/>
  <c r="L26" i="70"/>
  <c r="M26" i="70" s="1"/>
  <c r="J27" i="70"/>
  <c r="L27" i="70"/>
  <c r="J28" i="70"/>
  <c r="L28" i="70"/>
  <c r="J29" i="70"/>
  <c r="L29" i="70"/>
  <c r="J31" i="70"/>
  <c r="L31" i="70"/>
  <c r="J32" i="70"/>
  <c r="L32" i="70"/>
  <c r="J35" i="70"/>
  <c r="L35" i="70"/>
  <c r="J36" i="70"/>
  <c r="L36" i="70"/>
  <c r="J37" i="70"/>
  <c r="L37" i="70"/>
  <c r="J38" i="70"/>
  <c r="L38" i="70"/>
  <c r="J40" i="70"/>
  <c r="K40" i="70" s="1"/>
  <c r="L40" i="70"/>
  <c r="M40" i="70" s="1"/>
  <c r="J92" i="70"/>
  <c r="L92" i="70"/>
  <c r="J91" i="70"/>
  <c r="L91" i="70"/>
  <c r="J86" i="70"/>
  <c r="L86" i="70"/>
  <c r="J87" i="70"/>
  <c r="L87" i="70"/>
  <c r="J41" i="70"/>
  <c r="L41" i="70"/>
  <c r="J42" i="70"/>
  <c r="L42" i="70"/>
  <c r="J43" i="70"/>
  <c r="L43" i="70"/>
  <c r="J84" i="70"/>
  <c r="L84" i="70"/>
  <c r="J85" i="70"/>
  <c r="K85" i="70" s="1"/>
  <c r="L85" i="70"/>
  <c r="M85" i="70" s="1"/>
  <c r="J88" i="70"/>
  <c r="L88" i="70"/>
  <c r="J89" i="70"/>
  <c r="L89" i="70"/>
  <c r="J44" i="70"/>
  <c r="L44" i="70"/>
  <c r="J46" i="70"/>
  <c r="L46" i="70"/>
  <c r="J47" i="70"/>
  <c r="L47" i="70"/>
  <c r="J48" i="70"/>
  <c r="L48" i="70"/>
  <c r="J49" i="70"/>
  <c r="L49" i="70"/>
  <c r="J50" i="70"/>
  <c r="L50" i="70"/>
  <c r="J51" i="70"/>
  <c r="L51" i="70"/>
  <c r="J52" i="70"/>
  <c r="L52" i="70"/>
  <c r="J54" i="70"/>
  <c r="L54" i="70"/>
  <c r="J55" i="70"/>
  <c r="L55" i="70"/>
  <c r="J56" i="70"/>
  <c r="L56" i="70"/>
  <c r="J57" i="70"/>
  <c r="L57" i="70"/>
  <c r="J58" i="70"/>
  <c r="L58" i="70"/>
  <c r="J59" i="70"/>
  <c r="L59" i="70"/>
  <c r="J60" i="70"/>
  <c r="L60" i="70"/>
  <c r="J61" i="70"/>
  <c r="L61" i="70"/>
  <c r="J62" i="70"/>
  <c r="L62" i="70"/>
  <c r="J63" i="70"/>
  <c r="L63" i="70"/>
  <c r="J64" i="70"/>
  <c r="L64" i="70"/>
  <c r="J66" i="70"/>
  <c r="L66" i="70"/>
  <c r="J67" i="70"/>
  <c r="L67" i="70"/>
  <c r="J68" i="70"/>
  <c r="L68" i="70"/>
  <c r="J69" i="70"/>
  <c r="L69" i="70"/>
  <c r="J70" i="70"/>
  <c r="L70" i="70"/>
  <c r="J96" i="70"/>
  <c r="L96" i="70"/>
  <c r="J97" i="70"/>
  <c r="L97" i="70"/>
  <c r="J98" i="70"/>
  <c r="K98" i="70" s="1"/>
  <c r="L98" i="70"/>
  <c r="J99" i="70"/>
  <c r="L99" i="70"/>
  <c r="J101" i="70"/>
  <c r="K101" i="70" s="1"/>
  <c r="L101" i="70"/>
  <c r="J112" i="70"/>
  <c r="K112" i="70" s="1"/>
  <c r="L112" i="70"/>
  <c r="M112" i="70" s="1"/>
  <c r="J113" i="70"/>
  <c r="K113" i="70" s="1"/>
  <c r="L113" i="70"/>
  <c r="M113" i="70" s="1"/>
  <c r="J114" i="70"/>
  <c r="K114" i="70" s="1"/>
  <c r="L114" i="70"/>
  <c r="M114" i="70" s="1"/>
  <c r="J115" i="70"/>
  <c r="K115" i="70" s="1"/>
  <c r="L115" i="70"/>
  <c r="M115" i="70" s="1"/>
  <c r="J116" i="70"/>
  <c r="L116" i="70"/>
  <c r="J117" i="70"/>
  <c r="L117" i="70"/>
  <c r="L2" i="70"/>
  <c r="J2" i="70"/>
  <c r="G56" i="70"/>
  <c r="G57" i="70"/>
  <c r="H57" i="70" s="1"/>
  <c r="F57" i="70"/>
  <c r="F56" i="70"/>
  <c r="D56" i="70"/>
  <c r="E56" i="70"/>
  <c r="D57" i="70"/>
  <c r="E57" i="70"/>
  <c r="B57" i="70"/>
  <c r="B56" i="70"/>
  <c r="G62" i="70"/>
  <c r="G63" i="70"/>
  <c r="H63" i="70" s="1"/>
  <c r="F63" i="70"/>
  <c r="F62" i="70"/>
  <c r="D62" i="70"/>
  <c r="E62" i="70"/>
  <c r="D63" i="70"/>
  <c r="E63" i="70"/>
  <c r="B62" i="70"/>
  <c r="B63" i="70"/>
  <c r="C645" i="78"/>
  <c r="R618" i="55"/>
  <c r="O727" i="55"/>
  <c r="Q727" i="55"/>
  <c r="R727" i="55"/>
  <c r="C755" i="78"/>
  <c r="O813" i="55"/>
  <c r="Q813" i="55"/>
  <c r="R813" i="55"/>
  <c r="C847" i="78"/>
  <c r="O811" i="55"/>
  <c r="Q811" i="55"/>
  <c r="R811" i="55"/>
  <c r="C845" i="78"/>
  <c r="R615" i="55"/>
  <c r="C642" i="78"/>
  <c r="R439" i="55"/>
  <c r="C466" i="78"/>
  <c r="R438" i="55"/>
  <c r="C465" i="78"/>
  <c r="O483" i="55"/>
  <c r="Q483" i="55"/>
  <c r="R483" i="55"/>
  <c r="C510" i="78"/>
  <c r="C511" i="78"/>
  <c r="R440" i="55"/>
  <c r="C467" i="78"/>
  <c r="R758" i="55"/>
  <c r="R759" i="55"/>
  <c r="C787" i="78"/>
  <c r="C786" i="78"/>
  <c r="C179" i="78"/>
  <c r="C181" i="78"/>
  <c r="O164" i="55"/>
  <c r="Q164" i="55"/>
  <c r="R164" i="55"/>
  <c r="R157" i="55"/>
  <c r="C174" i="78"/>
  <c r="R636" i="55"/>
  <c r="R665" i="55"/>
  <c r="R666" i="55"/>
  <c r="R637" i="55"/>
  <c r="R630" i="55"/>
  <c r="R275" i="55"/>
  <c r="R274" i="55"/>
  <c r="R635" i="55"/>
  <c r="R634" i="55"/>
  <c r="C663" i="78"/>
  <c r="C692" i="78"/>
  <c r="C693" i="78"/>
  <c r="C664" i="78"/>
  <c r="C657" i="78"/>
  <c r="C298" i="78"/>
  <c r="C297" i="78"/>
  <c r="C662" i="78"/>
  <c r="C661" i="78"/>
  <c r="R769" i="55"/>
  <c r="C797" i="78"/>
  <c r="C362" i="78"/>
  <c r="C658" i="78"/>
  <c r="R631" i="55"/>
  <c r="C734" i="78"/>
  <c r="C730" i="78"/>
  <c r="C731" i="78"/>
  <c r="C732" i="78"/>
  <c r="C733" i="78"/>
  <c r="O706" i="55"/>
  <c r="Q706" i="55"/>
  <c r="R706" i="55"/>
  <c r="O702" i="55"/>
  <c r="Q702" i="55"/>
  <c r="R702" i="55"/>
  <c r="O703" i="55"/>
  <c r="Q703" i="55"/>
  <c r="R703" i="55"/>
  <c r="O704" i="55"/>
  <c r="Q704" i="55"/>
  <c r="R704" i="55"/>
  <c r="O705" i="55"/>
  <c r="Q705" i="55"/>
  <c r="R705" i="55"/>
  <c r="R878" i="55"/>
  <c r="O462" i="55"/>
  <c r="Q462" i="55"/>
  <c r="R462" i="55"/>
  <c r="R877" i="55"/>
  <c r="R757" i="55"/>
  <c r="R165" i="55"/>
  <c r="R880" i="55"/>
  <c r="R879" i="55"/>
  <c r="C912" i="78"/>
  <c r="C490" i="78"/>
  <c r="C911" i="78"/>
  <c r="C785" i="78"/>
  <c r="C182" i="78"/>
  <c r="C914" i="78"/>
  <c r="C913" i="78"/>
  <c r="C203" i="78"/>
  <c r="R760" i="55"/>
  <c r="C788" i="78"/>
  <c r="G64" i="70"/>
  <c r="H64" i="70" s="1"/>
  <c r="F64" i="70"/>
  <c r="D64" i="70"/>
  <c r="E64" i="70"/>
  <c r="B64" i="70"/>
  <c r="C646" i="78"/>
  <c r="R619" i="55"/>
  <c r="G49" i="70"/>
  <c r="F49" i="70"/>
  <c r="D49" i="70"/>
  <c r="E49" i="70"/>
  <c r="B49" i="70"/>
  <c r="R611" i="55"/>
  <c r="C638" i="78"/>
  <c r="G48" i="70"/>
  <c r="H48" i="70" s="1"/>
  <c r="D48" i="70"/>
  <c r="E48" i="70"/>
  <c r="F48" i="70"/>
  <c r="B48" i="70"/>
  <c r="C637" i="78"/>
  <c r="R610" i="55"/>
  <c r="C891" i="78"/>
  <c r="R857" i="55"/>
  <c r="G37" i="70"/>
  <c r="I37" i="70" s="1"/>
  <c r="G36" i="70"/>
  <c r="I36" i="70" s="1"/>
  <c r="F37" i="70"/>
  <c r="D37" i="70"/>
  <c r="E37" i="70"/>
  <c r="B37" i="70"/>
  <c r="G35" i="70"/>
  <c r="I35" i="70" s="1"/>
  <c r="F35" i="70"/>
  <c r="D35" i="70"/>
  <c r="E35" i="70"/>
  <c r="B35" i="70"/>
  <c r="G60" i="70"/>
  <c r="H60" i="70" s="1"/>
  <c r="G61" i="70"/>
  <c r="H61" i="70" s="1"/>
  <c r="F61" i="70"/>
  <c r="F60" i="70"/>
  <c r="D60" i="70"/>
  <c r="E60" i="70"/>
  <c r="D61" i="70"/>
  <c r="E61" i="70"/>
  <c r="B60" i="70"/>
  <c r="B61" i="70"/>
  <c r="G54" i="70"/>
  <c r="G55" i="70"/>
  <c r="H55" i="70" s="1"/>
  <c r="F55" i="70"/>
  <c r="F54" i="70"/>
  <c r="D54" i="70"/>
  <c r="E54" i="70"/>
  <c r="D55" i="70"/>
  <c r="E55" i="70"/>
  <c r="B54" i="70"/>
  <c r="B55" i="70"/>
  <c r="G58" i="70"/>
  <c r="I58" i="70" s="1"/>
  <c r="G59" i="70"/>
  <c r="H59" i="70" s="1"/>
  <c r="F59" i="70"/>
  <c r="F58" i="70"/>
  <c r="D58" i="70"/>
  <c r="E58" i="70"/>
  <c r="D59" i="70"/>
  <c r="E59" i="70"/>
  <c r="B58" i="70"/>
  <c r="B59" i="70"/>
  <c r="G52" i="70"/>
  <c r="H52" i="70" s="1"/>
  <c r="D52" i="70"/>
  <c r="E52" i="70"/>
  <c r="B52" i="70"/>
  <c r="G50" i="70"/>
  <c r="I50" i="70" s="1"/>
  <c r="G51" i="70"/>
  <c r="H51" i="70" s="1"/>
  <c r="F51" i="70"/>
  <c r="F50" i="70"/>
  <c r="D50" i="70"/>
  <c r="E50" i="70"/>
  <c r="D51" i="70"/>
  <c r="E51" i="70"/>
  <c r="B50" i="70"/>
  <c r="B51" i="70"/>
  <c r="G2" i="70"/>
  <c r="H2" i="70" s="1"/>
  <c r="G3" i="70"/>
  <c r="H3" i="70" s="1"/>
  <c r="F3" i="70"/>
  <c r="F2" i="70"/>
  <c r="D2" i="70"/>
  <c r="E2" i="70"/>
  <c r="D3" i="70"/>
  <c r="E3" i="70"/>
  <c r="B3" i="70"/>
  <c r="B2" i="70"/>
  <c r="G38" i="70"/>
  <c r="I38" i="70" s="1"/>
  <c r="F38" i="70"/>
  <c r="D38" i="70"/>
  <c r="E38" i="70"/>
  <c r="B38" i="70"/>
  <c r="G69" i="70"/>
  <c r="G70" i="70"/>
  <c r="H70" i="70" s="1"/>
  <c r="F70" i="70"/>
  <c r="D69" i="70"/>
  <c r="E69" i="70"/>
  <c r="D70" i="70"/>
  <c r="E70" i="70"/>
  <c r="B69" i="70"/>
  <c r="B70" i="70"/>
  <c r="C655" i="78"/>
  <c r="R628" i="55"/>
  <c r="G66" i="70"/>
  <c r="I66" i="70" s="1"/>
  <c r="G67" i="70"/>
  <c r="H67" i="70" s="1"/>
  <c r="G68" i="70"/>
  <c r="I68" i="70" s="1"/>
  <c r="F68" i="70"/>
  <c r="F67" i="70"/>
  <c r="F66" i="70"/>
  <c r="D66" i="70"/>
  <c r="E66" i="70"/>
  <c r="D67" i="70"/>
  <c r="E67" i="70"/>
  <c r="D68" i="70"/>
  <c r="E68" i="70"/>
  <c r="B66" i="70"/>
  <c r="B67" i="70"/>
  <c r="B68" i="70"/>
  <c r="R617" i="55"/>
  <c r="C644" i="78"/>
  <c r="C643" i="78"/>
  <c r="R616" i="55"/>
  <c r="R612" i="55"/>
  <c r="R613" i="55"/>
  <c r="C640" i="78"/>
  <c r="C639" i="78"/>
  <c r="R486" i="55"/>
  <c r="C513" i="78"/>
  <c r="R485" i="55"/>
  <c r="C512" i="78"/>
  <c r="R484" i="55"/>
  <c r="R461" i="55"/>
  <c r="C489" i="78"/>
  <c r="C488" i="78"/>
  <c r="R460" i="55"/>
  <c r="O398" i="55"/>
  <c r="Q398" i="55"/>
  <c r="R398" i="55"/>
  <c r="C425" i="78"/>
  <c r="C87" i="78"/>
  <c r="R76" i="55"/>
  <c r="C71" i="78"/>
  <c r="R54" i="55"/>
  <c r="C64" i="78"/>
  <c r="C49" i="78"/>
  <c r="R39" i="55"/>
  <c r="C41" i="78"/>
  <c r="R31" i="55"/>
  <c r="C37" i="78"/>
  <c r="O27" i="55"/>
  <c r="Q27" i="55"/>
  <c r="R27" i="55"/>
  <c r="C36" i="78"/>
  <c r="R26" i="55"/>
  <c r="R700" i="55"/>
  <c r="C728" i="78"/>
  <c r="R470" i="55"/>
  <c r="R29" i="55"/>
  <c r="C39" i="78"/>
  <c r="R91" i="55"/>
  <c r="C102" i="78"/>
  <c r="G97" i="70"/>
  <c r="F97" i="70"/>
  <c r="D97" i="70"/>
  <c r="E97" i="70"/>
  <c r="B97" i="70"/>
  <c r="C279" i="78"/>
  <c r="R256" i="55"/>
  <c r="C620" i="78"/>
  <c r="C621" i="78"/>
  <c r="C622" i="78"/>
  <c r="R593" i="55"/>
  <c r="R594" i="55"/>
  <c r="R595" i="55"/>
  <c r="G47" i="70"/>
  <c r="H47" i="70" s="1"/>
  <c r="F47" i="70"/>
  <c r="D47" i="70"/>
  <c r="E47" i="70"/>
  <c r="G46" i="70"/>
  <c r="F46" i="70"/>
  <c r="D46" i="70"/>
  <c r="E46" i="70"/>
  <c r="B46" i="70"/>
  <c r="B47" i="70"/>
  <c r="R609" i="55"/>
  <c r="C636" i="78"/>
  <c r="C653" i="78"/>
  <c r="R625" i="55"/>
  <c r="R626" i="55"/>
  <c r="C793" i="78"/>
  <c r="O765" i="55"/>
  <c r="Q765" i="55"/>
  <c r="R765" i="55"/>
  <c r="R244" i="55"/>
  <c r="C266" i="78"/>
  <c r="C90" i="78"/>
  <c r="C91" i="78"/>
  <c r="O67" i="55"/>
  <c r="Q67" i="55"/>
  <c r="R67" i="55"/>
  <c r="O69" i="55"/>
  <c r="Q69" i="55"/>
  <c r="R69" i="55"/>
  <c r="R79" i="55"/>
  <c r="R80" i="55"/>
  <c r="C407" i="78"/>
  <c r="R380" i="55"/>
  <c r="C792" i="78"/>
  <c r="O764" i="55"/>
  <c r="Q764" i="55"/>
  <c r="R764" i="55"/>
  <c r="C270" i="78"/>
  <c r="C635" i="78"/>
  <c r="O608" i="55"/>
  <c r="N64" i="183" s="1"/>
  <c r="O64" i="183"/>
  <c r="Q608" i="55"/>
  <c r="P64" i="183" s="1"/>
  <c r="T64" i="183" s="1"/>
  <c r="R608" i="55"/>
  <c r="L33" i="95"/>
  <c r="M33" i="95"/>
  <c r="N33" i="95"/>
  <c r="O33" i="95"/>
  <c r="L34" i="95"/>
  <c r="M34" i="95"/>
  <c r="N34" i="95"/>
  <c r="O34" i="95"/>
  <c r="L35" i="95"/>
  <c r="M35" i="95"/>
  <c r="N35" i="95"/>
  <c r="O35" i="95"/>
  <c r="L36" i="95"/>
  <c r="M36" i="95"/>
  <c r="N36" i="95"/>
  <c r="O36" i="95"/>
  <c r="L37" i="95"/>
  <c r="M37" i="95"/>
  <c r="N37" i="95"/>
  <c r="O37" i="95"/>
  <c r="L39" i="95"/>
  <c r="M39" i="95"/>
  <c r="N39" i="95"/>
  <c r="O39" i="95"/>
  <c r="H34" i="95"/>
  <c r="I34" i="95"/>
  <c r="J34" i="95"/>
  <c r="K34" i="95"/>
  <c r="H35" i="95"/>
  <c r="I35" i="95"/>
  <c r="J35" i="95"/>
  <c r="K35" i="95"/>
  <c r="H36" i="95"/>
  <c r="I36" i="95"/>
  <c r="J36" i="95"/>
  <c r="K36" i="95"/>
  <c r="H37" i="95"/>
  <c r="I37" i="95"/>
  <c r="J37" i="95"/>
  <c r="K37" i="95"/>
  <c r="H39" i="95"/>
  <c r="I39" i="95"/>
  <c r="J39" i="95"/>
  <c r="K39" i="95"/>
  <c r="H40" i="95"/>
  <c r="I40" i="95"/>
  <c r="J40" i="95"/>
  <c r="K40" i="95"/>
  <c r="L14" i="95"/>
  <c r="M14" i="95"/>
  <c r="N14" i="95"/>
  <c r="O14" i="95"/>
  <c r="L15" i="95"/>
  <c r="M15" i="95"/>
  <c r="N15" i="95"/>
  <c r="O15" i="95"/>
  <c r="L16" i="95"/>
  <c r="M16" i="95"/>
  <c r="N16" i="95"/>
  <c r="O16" i="95"/>
  <c r="L17" i="95"/>
  <c r="M17" i="95"/>
  <c r="N17" i="95"/>
  <c r="O17" i="95"/>
  <c r="L18" i="95"/>
  <c r="M18" i="95"/>
  <c r="N18" i="95"/>
  <c r="O18" i="95"/>
  <c r="L19" i="95"/>
  <c r="M19" i="95"/>
  <c r="N19" i="95"/>
  <c r="O19" i="95"/>
  <c r="L20" i="95"/>
  <c r="M20" i="95"/>
  <c r="N20" i="95"/>
  <c r="O20" i="95"/>
  <c r="L21" i="95"/>
  <c r="M21" i="95"/>
  <c r="N21" i="95"/>
  <c r="O21" i="95"/>
  <c r="L22" i="95"/>
  <c r="M22" i="95"/>
  <c r="N22" i="95"/>
  <c r="O22" i="95"/>
  <c r="D14" i="95"/>
  <c r="E14" i="95"/>
  <c r="F14" i="95"/>
  <c r="G14" i="95"/>
  <c r="D15" i="95"/>
  <c r="E15" i="95"/>
  <c r="F15" i="95"/>
  <c r="G15" i="95"/>
  <c r="D16" i="95"/>
  <c r="E16" i="95"/>
  <c r="F16" i="95"/>
  <c r="G16" i="95"/>
  <c r="D17" i="95"/>
  <c r="E17" i="95"/>
  <c r="F17" i="95"/>
  <c r="G17" i="95"/>
  <c r="D18" i="95"/>
  <c r="E18" i="95"/>
  <c r="F18" i="95"/>
  <c r="G18" i="95"/>
  <c r="D19" i="95"/>
  <c r="E19" i="95"/>
  <c r="F19" i="95"/>
  <c r="G19" i="95"/>
  <c r="D20" i="95"/>
  <c r="E20" i="95"/>
  <c r="F20" i="95"/>
  <c r="G20" i="95"/>
  <c r="D21" i="95"/>
  <c r="E21" i="95"/>
  <c r="F21" i="95"/>
  <c r="G21" i="95"/>
  <c r="D22" i="95"/>
  <c r="E22" i="95"/>
  <c r="F22" i="95"/>
  <c r="G22" i="95"/>
  <c r="L6" i="95"/>
  <c r="M6" i="95"/>
  <c r="N6" i="95"/>
  <c r="O6" i="95"/>
  <c r="L7" i="95"/>
  <c r="M7" i="95"/>
  <c r="N7" i="95"/>
  <c r="O7" i="95"/>
  <c r="R33" i="55"/>
  <c r="C47" i="78"/>
  <c r="R37" i="55"/>
  <c r="C629" i="78"/>
  <c r="C631" i="78"/>
  <c r="R602" i="55"/>
  <c r="C627" i="78"/>
  <c r="R600" i="55"/>
  <c r="O7" i="55"/>
  <c r="Q7" i="55"/>
  <c r="R7" i="55"/>
  <c r="O8" i="55"/>
  <c r="Q8" i="55"/>
  <c r="R8" i="55"/>
  <c r="O9" i="55"/>
  <c r="Q9" i="55"/>
  <c r="R9" i="55"/>
  <c r="O11" i="55"/>
  <c r="Q11" i="55"/>
  <c r="R11" i="55"/>
  <c r="O12" i="55"/>
  <c r="Q12" i="55"/>
  <c r="R12" i="55"/>
  <c r="O13" i="55"/>
  <c r="Q13" i="55"/>
  <c r="R13" i="55"/>
  <c r="O14" i="55"/>
  <c r="Q14" i="55"/>
  <c r="R14" i="55"/>
  <c r="O15" i="55"/>
  <c r="Q15" i="55"/>
  <c r="R15" i="55"/>
  <c r="O16" i="55"/>
  <c r="Q16" i="55"/>
  <c r="R16" i="55"/>
  <c r="O19" i="55"/>
  <c r="Q19" i="55"/>
  <c r="R19" i="55"/>
  <c r="C7" i="78"/>
  <c r="C8" i="78"/>
  <c r="C9" i="78"/>
  <c r="C11" i="78"/>
  <c r="C12" i="78"/>
  <c r="C13" i="78"/>
  <c r="C14" i="78"/>
  <c r="C15" i="78"/>
  <c r="C16" i="78"/>
  <c r="C17" i="78"/>
  <c r="C20" i="78"/>
  <c r="C21" i="78"/>
  <c r="C22" i="78"/>
  <c r="C23" i="78"/>
  <c r="C299" i="78"/>
  <c r="C24" i="78"/>
  <c r="C26" i="78"/>
  <c r="C111" i="78"/>
  <c r="C303" i="78"/>
  <c r="O280" i="55"/>
  <c r="Q280" i="55"/>
  <c r="R280" i="55"/>
  <c r="C242" i="78"/>
  <c r="O224" i="55"/>
  <c r="Q224" i="55"/>
  <c r="R224" i="55"/>
  <c r="C97" i="78"/>
  <c r="R86" i="55"/>
  <c r="R601" i="55"/>
  <c r="C628" i="78"/>
  <c r="C632" i="78"/>
  <c r="C633" i="78"/>
  <c r="R605" i="55"/>
  <c r="R606" i="55"/>
  <c r="R257" i="55"/>
  <c r="C280" i="78"/>
  <c r="R604" i="55"/>
  <c r="C361" i="78"/>
  <c r="O335" i="55"/>
  <c r="Q335" i="55"/>
  <c r="R335" i="55"/>
  <c r="R246" i="55"/>
  <c r="C268" i="78"/>
  <c r="R607" i="55"/>
  <c r="C634" i="78"/>
  <c r="C281" i="78"/>
  <c r="R258" i="55"/>
  <c r="O159" i="55"/>
  <c r="Q159" i="55"/>
  <c r="R159" i="55"/>
  <c r="O160" i="55"/>
  <c r="Q160" i="55"/>
  <c r="R160" i="55"/>
  <c r="R161" i="55"/>
  <c r="C176" i="78"/>
  <c r="C177" i="78"/>
  <c r="C178" i="78"/>
  <c r="C463" i="78"/>
  <c r="R436" i="55"/>
  <c r="F36" i="70"/>
  <c r="D36" i="70"/>
  <c r="E36" i="70"/>
  <c r="B36" i="70"/>
  <c r="C462" i="78"/>
  <c r="R435" i="55"/>
  <c r="R434" i="55"/>
  <c r="C461" i="78"/>
  <c r="R433" i="55"/>
  <c r="C460" i="78"/>
  <c r="C459" i="78"/>
  <c r="R432" i="55"/>
  <c r="R411" i="55"/>
  <c r="C438" i="78"/>
  <c r="C424" i="78"/>
  <c r="G88" i="70"/>
  <c r="I88" i="70" s="1"/>
  <c r="G89" i="70"/>
  <c r="H89" i="70" s="1"/>
  <c r="F89" i="70"/>
  <c r="F88" i="70"/>
  <c r="D88" i="70"/>
  <c r="E88" i="70"/>
  <c r="D89" i="70"/>
  <c r="E89" i="70"/>
  <c r="B89" i="70"/>
  <c r="B88" i="70"/>
  <c r="O701" i="55"/>
  <c r="Q701" i="55"/>
  <c r="R701" i="55"/>
  <c r="C729" i="78"/>
  <c r="C625" i="78"/>
  <c r="R596" i="55"/>
  <c r="C623" i="78"/>
  <c r="R3" i="55"/>
  <c r="R4" i="55"/>
  <c r="R63" i="55"/>
  <c r="R20" i="55"/>
  <c r="R21" i="55"/>
  <c r="R22" i="55"/>
  <c r="R23" i="55"/>
  <c r="R30" i="55"/>
  <c r="R24" i="55"/>
  <c r="R25" i="55"/>
  <c r="R34" i="55"/>
  <c r="R35" i="55"/>
  <c r="R36" i="55"/>
  <c r="R38" i="55"/>
  <c r="R40" i="55"/>
  <c r="R42" i="55"/>
  <c r="R43" i="55"/>
  <c r="R44" i="55"/>
  <c r="R45" i="55"/>
  <c r="R48" i="55"/>
  <c r="R49" i="55"/>
  <c r="R50" i="55"/>
  <c r="R51" i="55"/>
  <c r="R62" i="55"/>
  <c r="R66" i="55"/>
  <c r="R81" i="55"/>
  <c r="R95" i="55"/>
  <c r="R96" i="55"/>
  <c r="R97" i="55"/>
  <c r="R98" i="55"/>
  <c r="R93" i="55"/>
  <c r="R94" i="55"/>
  <c r="R92" i="55"/>
  <c r="R229" i="55"/>
  <c r="R230" i="55"/>
  <c r="R228" i="55"/>
  <c r="R282" i="55"/>
  <c r="R283" i="55"/>
  <c r="R281" i="55"/>
  <c r="R100" i="55"/>
  <c r="R101" i="55"/>
  <c r="R102" i="55"/>
  <c r="R103" i="55"/>
  <c r="R114" i="55"/>
  <c r="R104" i="55"/>
  <c r="R115" i="55"/>
  <c r="R105" i="55"/>
  <c r="R106" i="55"/>
  <c r="R107" i="55"/>
  <c r="R108" i="55"/>
  <c r="R113" i="55"/>
  <c r="R109" i="55"/>
  <c r="R110" i="55"/>
  <c r="R122" i="55"/>
  <c r="R123" i="55"/>
  <c r="R124" i="55"/>
  <c r="R125" i="55"/>
  <c r="R126" i="55"/>
  <c r="R128" i="55"/>
  <c r="R129" i="55"/>
  <c r="R130" i="55"/>
  <c r="R185" i="55"/>
  <c r="R132" i="55"/>
  <c r="R133" i="55"/>
  <c r="R134" i="55"/>
  <c r="R135" i="55"/>
  <c r="R136" i="55"/>
  <c r="R137" i="55"/>
  <c r="R138" i="55"/>
  <c r="R139" i="55"/>
  <c r="R140" i="55"/>
  <c r="R141" i="55"/>
  <c r="R142" i="55"/>
  <c r="R143" i="55"/>
  <c r="R144" i="55"/>
  <c r="R145" i="55"/>
  <c r="R146" i="55"/>
  <c r="R177" i="55"/>
  <c r="R148" i="55"/>
  <c r="R149" i="55"/>
  <c r="R150" i="55"/>
  <c r="R151" i="55"/>
  <c r="R152" i="55"/>
  <c r="R153" i="55"/>
  <c r="R154" i="55"/>
  <c r="R202" i="55"/>
  <c r="R204" i="55"/>
  <c r="R205" i="55"/>
  <c r="R206" i="55"/>
  <c r="R211" i="55"/>
  <c r="R208" i="55"/>
  <c r="R209" i="55"/>
  <c r="R186" i="55"/>
  <c r="R156" i="55"/>
  <c r="R336" i="55"/>
  <c r="R893" i="55"/>
  <c r="R339" i="55"/>
  <c r="R235" i="55"/>
  <c r="R236" i="55"/>
  <c r="R237" i="55"/>
  <c r="R238" i="55"/>
  <c r="R239" i="55"/>
  <c r="R240" i="55"/>
  <c r="R241" i="55"/>
  <c r="R248" i="55"/>
  <c r="R243" i="55"/>
  <c r="R245" i="55"/>
  <c r="R247" i="55"/>
  <c r="R253" i="55"/>
  <c r="R254" i="55"/>
  <c r="R255" i="55"/>
  <c r="R259" i="55"/>
  <c r="R264" i="55"/>
  <c r="R265" i="55"/>
  <c r="R266" i="55"/>
  <c r="R267" i="55"/>
  <c r="R268" i="55"/>
  <c r="R269" i="55"/>
  <c r="R270" i="55"/>
  <c r="R271" i="55"/>
  <c r="R262" i="55"/>
  <c r="R272" i="55"/>
  <c r="R273" i="55"/>
  <c r="R277" i="55"/>
  <c r="R278" i="55"/>
  <c r="R279" i="55"/>
  <c r="R286" i="55"/>
  <c r="R287" i="55"/>
  <c r="R296" i="55"/>
  <c r="R297" i="55"/>
  <c r="R298" i="55"/>
  <c r="R308" i="55"/>
  <c r="R299" i="55"/>
  <c r="R309" i="55"/>
  <c r="R300" i="55"/>
  <c r="R301" i="55"/>
  <c r="R302" i="55"/>
  <c r="R303" i="55"/>
  <c r="R304" i="55"/>
  <c r="R305" i="55"/>
  <c r="R306" i="55"/>
  <c r="R307" i="55"/>
  <c r="R316" i="55"/>
  <c r="R730" i="55"/>
  <c r="R333" i="55"/>
  <c r="R334" i="55"/>
  <c r="R341" i="55"/>
  <c r="R346" i="55"/>
  <c r="R342" i="55"/>
  <c r="R343" i="55"/>
  <c r="R344" i="55"/>
  <c r="R347" i="55"/>
  <c r="R348" i="55"/>
  <c r="R349" i="55"/>
  <c r="R350" i="55"/>
  <c r="R351" i="55"/>
  <c r="R352" i="55"/>
  <c r="R353" i="55"/>
  <c r="R354" i="55"/>
  <c r="R355" i="55"/>
  <c r="R356" i="55"/>
  <c r="R357" i="55"/>
  <c r="R358" i="55"/>
  <c r="R359" i="55"/>
  <c r="R360" i="55"/>
  <c r="R361" i="55"/>
  <c r="R362" i="55"/>
  <c r="R363" i="55"/>
  <c r="R375" i="55"/>
  <c r="R376" i="55"/>
  <c r="R377" i="55"/>
  <c r="R378" i="55"/>
  <c r="R379" i="55"/>
  <c r="R381" i="55"/>
  <c r="R382" i="55"/>
  <c r="R383" i="55"/>
  <c r="R384" i="55"/>
  <c r="R385" i="55"/>
  <c r="R386" i="55"/>
  <c r="R387" i="55"/>
  <c r="R388" i="55"/>
  <c r="R389" i="55"/>
  <c r="R390" i="55"/>
  <c r="R391" i="55"/>
  <c r="R392" i="55"/>
  <c r="R393" i="55"/>
  <c r="R394" i="55"/>
  <c r="R395" i="55"/>
  <c r="R396" i="55"/>
  <c r="R397" i="55"/>
  <c r="R412" i="55"/>
  <c r="R413" i="55"/>
  <c r="R414" i="55"/>
  <c r="R415" i="55"/>
  <c r="R416" i="55"/>
  <c r="R417" i="55"/>
  <c r="R418" i="55"/>
  <c r="R419" i="55"/>
  <c r="R420" i="55"/>
  <c r="R421" i="55"/>
  <c r="R422" i="55"/>
  <c r="R423" i="55"/>
  <c r="R424" i="55"/>
  <c r="R425" i="55"/>
  <c r="R426" i="55"/>
  <c r="R427" i="55"/>
  <c r="R428" i="55"/>
  <c r="R429" i="55"/>
  <c r="R431" i="55"/>
  <c r="R443" i="55"/>
  <c r="R446" i="55"/>
  <c r="R447" i="55"/>
  <c r="R448" i="55"/>
  <c r="R449" i="55"/>
  <c r="R450" i="55"/>
  <c r="R451" i="55"/>
  <c r="R467" i="55"/>
  <c r="R452" i="55"/>
  <c r="R453" i="55"/>
  <c r="R454" i="55"/>
  <c r="R455" i="55"/>
  <c r="R456" i="55"/>
  <c r="R457" i="55"/>
  <c r="R458" i="55"/>
  <c r="R459" i="55"/>
  <c r="R471" i="55"/>
  <c r="R477" i="55"/>
  <c r="R478" i="55"/>
  <c r="R479" i="55"/>
  <c r="R480" i="55"/>
  <c r="R481" i="55"/>
  <c r="R482" i="55"/>
  <c r="R493" i="55"/>
  <c r="R494" i="55"/>
  <c r="R495" i="55"/>
  <c r="R496" i="55"/>
  <c r="R497" i="55"/>
  <c r="R498" i="55"/>
  <c r="R499" i="55"/>
  <c r="R500" i="55"/>
  <c r="R501" i="55"/>
  <c r="R502" i="55"/>
  <c r="R503" i="55"/>
  <c r="R504" i="55"/>
  <c r="R505" i="55"/>
  <c r="R506" i="55"/>
  <c r="R507" i="55"/>
  <c r="R508" i="55"/>
  <c r="R509" i="55"/>
  <c r="R510" i="55"/>
  <c r="R599" i="55"/>
  <c r="R511" i="55"/>
  <c r="R512" i="55"/>
  <c r="R513" i="55"/>
  <c r="R514" i="55"/>
  <c r="R515" i="55"/>
  <c r="R516" i="55"/>
  <c r="R643" i="55"/>
  <c r="R644" i="55"/>
  <c r="R521" i="55"/>
  <c r="R522" i="55"/>
  <c r="R523" i="55"/>
  <c r="R524" i="55"/>
  <c r="R525" i="55"/>
  <c r="R526" i="55"/>
  <c r="R527" i="55"/>
  <c r="R528" i="55"/>
  <c r="R529" i="55"/>
  <c r="R530" i="55"/>
  <c r="R531" i="55"/>
  <c r="R532" i="55"/>
  <c r="R533" i="55"/>
  <c r="R534" i="55"/>
  <c r="R535" i="55"/>
  <c r="R536" i="55"/>
  <c r="R537" i="55"/>
  <c r="R673" i="55"/>
  <c r="R538" i="55"/>
  <c r="R539" i="55"/>
  <c r="R540" i="55"/>
  <c r="R671" i="55"/>
  <c r="R672" i="55"/>
  <c r="R541" i="55"/>
  <c r="R542" i="55"/>
  <c r="R632" i="55"/>
  <c r="R633" i="55"/>
  <c r="R545" i="55"/>
  <c r="R546" i="55"/>
  <c r="R547" i="55"/>
  <c r="R548" i="55"/>
  <c r="R549" i="55"/>
  <c r="R550" i="55"/>
  <c r="R551" i="55"/>
  <c r="R552" i="55"/>
  <c r="R553" i="55"/>
  <c r="R554" i="55"/>
  <c r="R555" i="55"/>
  <c r="R556" i="55"/>
  <c r="R557" i="55"/>
  <c r="R558" i="55"/>
  <c r="R655" i="55"/>
  <c r="R656" i="55"/>
  <c r="R559" i="55"/>
  <c r="R560" i="55"/>
  <c r="R561" i="55"/>
  <c r="R562" i="55"/>
  <c r="R563" i="55"/>
  <c r="R564" i="55"/>
  <c r="R565" i="55"/>
  <c r="R566" i="55"/>
  <c r="R567" i="55"/>
  <c r="R568" i="55"/>
  <c r="R569" i="55"/>
  <c r="R570" i="55"/>
  <c r="R571" i="55"/>
  <c r="R603" i="55"/>
  <c r="R572" i="55"/>
  <c r="R573" i="55"/>
  <c r="R574" i="55"/>
  <c r="R575" i="55"/>
  <c r="R576" i="55"/>
  <c r="R577" i="55"/>
  <c r="R578" i="55"/>
  <c r="R579" i="55"/>
  <c r="R580" i="55"/>
  <c r="R581" i="55"/>
  <c r="R582" i="55"/>
  <c r="R583" i="55"/>
  <c r="R584" i="55"/>
  <c r="R585" i="55"/>
  <c r="R586" i="55"/>
  <c r="R654" i="55"/>
  <c r="R587" i="55"/>
  <c r="R588" i="55"/>
  <c r="R589" i="55"/>
  <c r="R590" i="55"/>
  <c r="R591" i="55"/>
  <c r="R592" i="55"/>
  <c r="R658" i="55"/>
  <c r="R681" i="55"/>
  <c r="R674" i="55"/>
  <c r="R682" i="55"/>
  <c r="R685" i="55"/>
  <c r="R686" i="55"/>
  <c r="R687" i="55"/>
  <c r="R688" i="55"/>
  <c r="R689" i="55"/>
  <c r="R690" i="55"/>
  <c r="R691" i="55"/>
  <c r="R692" i="55"/>
  <c r="R693" i="55"/>
  <c r="R694" i="55"/>
  <c r="R695" i="55"/>
  <c r="R696" i="55"/>
  <c r="R697" i="55"/>
  <c r="R698" i="55"/>
  <c r="R699" i="55"/>
  <c r="R713" i="55"/>
  <c r="R714" i="55"/>
  <c r="R715" i="55"/>
  <c r="R721" i="55"/>
  <c r="R722" i="55"/>
  <c r="R723" i="55"/>
  <c r="R724" i="55"/>
  <c r="R725" i="55"/>
  <c r="R735" i="55"/>
  <c r="R736" i="55"/>
  <c r="R737" i="55"/>
  <c r="R738" i="55"/>
  <c r="R739" i="55"/>
  <c r="R740" i="55"/>
  <c r="R741" i="55"/>
  <c r="R742" i="55"/>
  <c r="R744" i="55"/>
  <c r="R745" i="55"/>
  <c r="R746" i="55"/>
  <c r="R747" i="55"/>
  <c r="R748" i="55"/>
  <c r="R749" i="55"/>
  <c r="R750" i="55"/>
  <c r="R751" i="55"/>
  <c r="R752" i="55"/>
  <c r="R753" i="55"/>
  <c r="R754" i="55"/>
  <c r="R755" i="55"/>
  <c r="R756" i="55"/>
  <c r="R780" i="55"/>
  <c r="R773" i="55"/>
  <c r="R784" i="55"/>
  <c r="R774" i="55"/>
  <c r="R775" i="55"/>
  <c r="R786" i="55"/>
  <c r="R785" i="55"/>
  <c r="R787" i="55"/>
  <c r="R788" i="55"/>
  <c r="R789" i="55"/>
  <c r="R793" i="55"/>
  <c r="R831" i="55"/>
  <c r="R794" i="55"/>
  <c r="R795" i="55"/>
  <c r="R796" i="55"/>
  <c r="R797" i="55"/>
  <c r="R798" i="55"/>
  <c r="R799" i="55"/>
  <c r="R833" i="55"/>
  <c r="R834" i="55"/>
  <c r="R800" i="55"/>
  <c r="R801" i="55"/>
  <c r="R802" i="55"/>
  <c r="R816" i="55"/>
  <c r="R803" i="55"/>
  <c r="R804" i="55"/>
  <c r="R805" i="55"/>
  <c r="R806" i="55"/>
  <c r="R808" i="55"/>
  <c r="R809" i="55"/>
  <c r="R810" i="55"/>
  <c r="R836" i="55"/>
  <c r="R837" i="55"/>
  <c r="R838" i="55"/>
  <c r="R839" i="55"/>
  <c r="R840" i="55"/>
  <c r="R841" i="55"/>
  <c r="R842" i="55"/>
  <c r="R843" i="55"/>
  <c r="R844" i="55"/>
  <c r="R845" i="55"/>
  <c r="R846" i="55"/>
  <c r="R847" i="55"/>
  <c r="R848" i="55"/>
  <c r="R849" i="55"/>
  <c r="R850" i="55"/>
  <c r="R851" i="55"/>
  <c r="R852" i="55"/>
  <c r="R853" i="55"/>
  <c r="R854" i="55"/>
  <c r="R855" i="55"/>
  <c r="R856" i="55"/>
  <c r="R860" i="55"/>
  <c r="R861" i="55"/>
  <c r="R862" i="55"/>
  <c r="R863" i="55"/>
  <c r="R864" i="55"/>
  <c r="R865" i="55"/>
  <c r="R866" i="55"/>
  <c r="R867" i="55"/>
  <c r="R868" i="55"/>
  <c r="R869" i="55"/>
  <c r="R870" i="55"/>
  <c r="R871" i="55"/>
  <c r="R884" i="55"/>
  <c r="R872" i="55"/>
  <c r="R873" i="55"/>
  <c r="R874" i="55"/>
  <c r="R875" i="55"/>
  <c r="R891" i="55"/>
  <c r="R892" i="55"/>
  <c r="R597" i="55"/>
  <c r="R598" i="55"/>
  <c r="R364" i="55"/>
  <c r="R437" i="55"/>
  <c r="R158" i="55"/>
  <c r="R642" i="55"/>
  <c r="R489" i="55"/>
  <c r="R650" i="55"/>
  <c r="R180" i="55"/>
  <c r="R620" i="55"/>
  <c r="R898" i="55"/>
  <c r="R365" i="55"/>
  <c r="R899" i="55"/>
  <c r="R900" i="55"/>
  <c r="R901" i="55"/>
  <c r="R627" i="55"/>
  <c r="R621" i="55"/>
  <c r="R902" i="55"/>
  <c r="R614" i="55"/>
  <c r="R640" i="55"/>
  <c r="R903" i="55"/>
  <c r="R904" i="55"/>
  <c r="R905" i="55"/>
  <c r="R906" i="55"/>
  <c r="R907" i="55"/>
  <c r="R2" i="55"/>
  <c r="G116" i="70"/>
  <c r="H116" i="70" s="1"/>
  <c r="G117" i="70"/>
  <c r="I117" i="70" s="1"/>
  <c r="G44" i="70"/>
  <c r="I44" i="70" s="1"/>
  <c r="D44" i="70"/>
  <c r="E44" i="70"/>
  <c r="F44" i="70"/>
  <c r="B44" i="70"/>
  <c r="O39" i="70"/>
  <c r="P39" i="70"/>
  <c r="O898" i="55"/>
  <c r="Q898" i="55"/>
  <c r="O899" i="55"/>
  <c r="Q899" i="55"/>
  <c r="O900" i="55"/>
  <c r="Q900" i="55"/>
  <c r="O901" i="55"/>
  <c r="Q901" i="55"/>
  <c r="O902" i="55"/>
  <c r="Q902" i="55"/>
  <c r="C938" i="78"/>
  <c r="C641" i="78"/>
  <c r="C667" i="78"/>
  <c r="C935" i="78"/>
  <c r="C936" i="78"/>
  <c r="C937" i="78"/>
  <c r="C654" i="78"/>
  <c r="C648" i="78"/>
  <c r="C180" i="78"/>
  <c r="C516" i="78"/>
  <c r="C677" i="78"/>
  <c r="C197" i="78"/>
  <c r="C647" i="78"/>
  <c r="C932" i="78"/>
  <c r="C392" i="78"/>
  <c r="C933" i="78"/>
  <c r="C934" i="78"/>
  <c r="C624" i="78"/>
  <c r="C391" i="78"/>
  <c r="C464" i="78"/>
  <c r="C175" i="78"/>
  <c r="C669" i="78"/>
  <c r="F106" i="70"/>
  <c r="D106" i="70"/>
  <c r="E106" i="70"/>
  <c r="B106" i="70"/>
  <c r="C601" i="78"/>
  <c r="C602" i="78"/>
  <c r="C603" i="78"/>
  <c r="C604" i="78"/>
  <c r="C605" i="78"/>
  <c r="C606" i="78"/>
  <c r="C112" i="78"/>
  <c r="C113" i="78"/>
  <c r="C2" i="78"/>
  <c r="C3" i="78"/>
  <c r="C4" i="78"/>
  <c r="O579" i="55"/>
  <c r="Q579" i="55"/>
  <c r="O574" i="55"/>
  <c r="Q574" i="55"/>
  <c r="O575" i="55"/>
  <c r="Q575" i="55"/>
  <c r="O576" i="55"/>
  <c r="Q576" i="55"/>
  <c r="O577" i="55"/>
  <c r="Q577" i="55"/>
  <c r="O578" i="55"/>
  <c r="Q578" i="55"/>
  <c r="O95" i="55"/>
  <c r="Q95" i="55"/>
  <c r="O96" i="55"/>
  <c r="Q96" i="55"/>
  <c r="O97" i="55"/>
  <c r="Q97" i="55"/>
  <c r="O98" i="55"/>
  <c r="Q98" i="55"/>
  <c r="L40" i="95"/>
  <c r="M40" i="95"/>
  <c r="N40" i="95"/>
  <c r="O40" i="95"/>
  <c r="K33" i="95"/>
  <c r="J33" i="95"/>
  <c r="I33" i="95"/>
  <c r="H33" i="95"/>
  <c r="D34" i="95"/>
  <c r="E34" i="95"/>
  <c r="F34" i="95"/>
  <c r="G34" i="95"/>
  <c r="D35" i="95"/>
  <c r="E35" i="95"/>
  <c r="F35" i="95"/>
  <c r="G35" i="95"/>
  <c r="D36" i="95"/>
  <c r="E36" i="95"/>
  <c r="F36" i="95"/>
  <c r="G36" i="95"/>
  <c r="D37" i="95"/>
  <c r="E37" i="95"/>
  <c r="F37" i="95"/>
  <c r="G37" i="95"/>
  <c r="D39" i="95"/>
  <c r="E39" i="95"/>
  <c r="F39" i="95"/>
  <c r="G39" i="95"/>
  <c r="D40" i="95"/>
  <c r="E40" i="95"/>
  <c r="F40" i="95"/>
  <c r="G40" i="95"/>
  <c r="G33" i="95"/>
  <c r="F33" i="95"/>
  <c r="E33" i="95"/>
  <c r="D33" i="95"/>
  <c r="L28" i="95"/>
  <c r="M28" i="95"/>
  <c r="N28" i="95"/>
  <c r="O28" i="95"/>
  <c r="O27" i="95"/>
  <c r="O30" i="95" s="1"/>
  <c r="N27" i="95"/>
  <c r="N30" i="95" s="1"/>
  <c r="M27" i="95"/>
  <c r="M30" i="95" s="1"/>
  <c r="L27" i="95"/>
  <c r="L30" i="95" s="1"/>
  <c r="H28" i="95"/>
  <c r="I28" i="95"/>
  <c r="J28" i="95"/>
  <c r="K28" i="95"/>
  <c r="K27" i="95"/>
  <c r="J27" i="95"/>
  <c r="I27" i="95"/>
  <c r="H27" i="95"/>
  <c r="D28" i="95"/>
  <c r="E28" i="95"/>
  <c r="F28" i="95"/>
  <c r="G28" i="95"/>
  <c r="G27" i="95"/>
  <c r="G30" i="95" s="1"/>
  <c r="F27" i="95"/>
  <c r="F30" i="95" s="1"/>
  <c r="E27" i="95"/>
  <c r="E30" i="95" s="1"/>
  <c r="D27" i="95"/>
  <c r="D30" i="95" s="1"/>
  <c r="L5" i="95"/>
  <c r="M5" i="95"/>
  <c r="N5" i="95"/>
  <c r="O5" i="95"/>
  <c r="O4" i="95"/>
  <c r="N4" i="95"/>
  <c r="M4" i="95"/>
  <c r="L4" i="95"/>
  <c r="O13" i="95"/>
  <c r="O12" i="95"/>
  <c r="N13" i="95"/>
  <c r="N12" i="95"/>
  <c r="M13" i="95"/>
  <c r="M12" i="95"/>
  <c r="L13" i="95"/>
  <c r="L12" i="95"/>
  <c r="H5" i="95"/>
  <c r="I5" i="95"/>
  <c r="J5" i="95"/>
  <c r="K5" i="95"/>
  <c r="H6" i="95"/>
  <c r="I6" i="95"/>
  <c r="J6" i="95"/>
  <c r="K6" i="95"/>
  <c r="H7" i="95"/>
  <c r="I7" i="95"/>
  <c r="J7" i="95"/>
  <c r="K7" i="95"/>
  <c r="K4" i="95"/>
  <c r="J4" i="95"/>
  <c r="I4" i="95"/>
  <c r="H4" i="95"/>
  <c r="K22" i="95"/>
  <c r="K13" i="95"/>
  <c r="K14" i="95"/>
  <c r="K15" i="95"/>
  <c r="K16" i="95"/>
  <c r="K17" i="95"/>
  <c r="K18" i="95"/>
  <c r="K19" i="95"/>
  <c r="K20" i="95"/>
  <c r="K21" i="95"/>
  <c r="K12" i="95"/>
  <c r="J13" i="95"/>
  <c r="J14" i="95"/>
  <c r="J15" i="95"/>
  <c r="J16" i="95"/>
  <c r="J17" i="95"/>
  <c r="J18" i="95"/>
  <c r="J19" i="95"/>
  <c r="J20" i="95"/>
  <c r="J21" i="95"/>
  <c r="J22" i="95"/>
  <c r="J12" i="95"/>
  <c r="I13" i="95"/>
  <c r="I14" i="95"/>
  <c r="I15" i="95"/>
  <c r="I16" i="95"/>
  <c r="I17" i="95"/>
  <c r="I18" i="95"/>
  <c r="I19" i="95"/>
  <c r="I20" i="95"/>
  <c r="I21" i="95"/>
  <c r="I22" i="95"/>
  <c r="H22" i="95"/>
  <c r="H13" i="95"/>
  <c r="H14" i="95"/>
  <c r="H15" i="95"/>
  <c r="H16" i="95"/>
  <c r="H17" i="95"/>
  <c r="H18" i="95"/>
  <c r="H19" i="95"/>
  <c r="H20" i="95"/>
  <c r="H21" i="95"/>
  <c r="I12" i="95"/>
  <c r="H12" i="95"/>
  <c r="D5" i="95"/>
  <c r="E5" i="95"/>
  <c r="F5" i="95"/>
  <c r="G5" i="95"/>
  <c r="D6" i="95"/>
  <c r="E6" i="95"/>
  <c r="F6" i="95"/>
  <c r="G6" i="95"/>
  <c r="D7" i="95"/>
  <c r="E7" i="95"/>
  <c r="F7" i="95"/>
  <c r="G7" i="95"/>
  <c r="G4" i="95"/>
  <c r="F4" i="95"/>
  <c r="E4" i="95"/>
  <c r="D4" i="95"/>
  <c r="G13" i="95"/>
  <c r="F13" i="95"/>
  <c r="G12" i="95"/>
  <c r="F12" i="95"/>
  <c r="E13" i="95"/>
  <c r="E12" i="95"/>
  <c r="D12" i="95"/>
  <c r="D13" i="95"/>
  <c r="C685" i="78"/>
  <c r="O202" i="55"/>
  <c r="Q202" i="55"/>
  <c r="C169" i="78"/>
  <c r="C170" i="78"/>
  <c r="C171" i="78"/>
  <c r="C616" i="78"/>
  <c r="C617" i="78"/>
  <c r="C618" i="78"/>
  <c r="C619" i="78"/>
  <c r="C458" i="78"/>
  <c r="C127" i="78"/>
  <c r="C873" i="78"/>
  <c r="C840" i="78"/>
  <c r="C223" i="78"/>
  <c r="C162" i="78"/>
  <c r="C365" i="78"/>
  <c r="C842" i="78"/>
  <c r="C843" i="78"/>
  <c r="C844" i="78"/>
  <c r="C486" i="78"/>
  <c r="C487" i="78"/>
  <c r="C173" i="78"/>
  <c r="C753" i="78"/>
  <c r="C927" i="78"/>
  <c r="C614" i="78"/>
  <c r="C615" i="78"/>
  <c r="C591" i="78"/>
  <c r="C592" i="78"/>
  <c r="C593" i="78"/>
  <c r="C594" i="78"/>
  <c r="C586" i="78"/>
  <c r="C587" i="78"/>
  <c r="C588" i="78"/>
  <c r="C589" i="78"/>
  <c r="C590" i="78"/>
  <c r="C484" i="78"/>
  <c r="C485" i="78"/>
  <c r="C377" i="78"/>
  <c r="C376" i="78"/>
  <c r="C342" i="78"/>
  <c r="C330" i="78"/>
  <c r="C301" i="78"/>
  <c r="C302" i="78"/>
  <c r="C421" i="78"/>
  <c r="D11" i="70"/>
  <c r="E11" i="70"/>
  <c r="D12" i="70"/>
  <c r="E12" i="70"/>
  <c r="D14" i="70"/>
  <c r="E14" i="70"/>
  <c r="D23" i="70"/>
  <c r="E23" i="70"/>
  <c r="D24" i="70"/>
  <c r="E24" i="70"/>
  <c r="D25" i="70"/>
  <c r="E25" i="70"/>
  <c r="D26" i="70"/>
  <c r="E26" i="70"/>
  <c r="D27" i="70"/>
  <c r="E27" i="70"/>
  <c r="D28" i="70"/>
  <c r="E28" i="70"/>
  <c r="D29" i="70"/>
  <c r="E29" i="70"/>
  <c r="D31" i="70"/>
  <c r="E31" i="70"/>
  <c r="D32" i="70"/>
  <c r="E32" i="70"/>
  <c r="D40" i="70"/>
  <c r="E40" i="70"/>
  <c r="D92" i="70"/>
  <c r="E92" i="70"/>
  <c r="D91" i="70"/>
  <c r="E91" i="70"/>
  <c r="D86" i="70"/>
  <c r="E86" i="70"/>
  <c r="D87" i="70"/>
  <c r="E87" i="70"/>
  <c r="D41" i="70"/>
  <c r="E41" i="70"/>
  <c r="D42" i="70"/>
  <c r="E42" i="70"/>
  <c r="D43" i="70"/>
  <c r="E43" i="70"/>
  <c r="D84" i="70"/>
  <c r="E84" i="70"/>
  <c r="D85" i="70"/>
  <c r="E85" i="70"/>
  <c r="D96" i="70"/>
  <c r="E96" i="70"/>
  <c r="D98" i="70"/>
  <c r="E98" i="70"/>
  <c r="D99" i="70"/>
  <c r="E99" i="70"/>
  <c r="D101" i="70"/>
  <c r="E101" i="70"/>
  <c r="D103" i="70"/>
  <c r="E103" i="70"/>
  <c r="D104" i="70"/>
  <c r="E104" i="70"/>
  <c r="D112" i="70"/>
  <c r="E112" i="70"/>
  <c r="D113" i="70"/>
  <c r="E113" i="70"/>
  <c r="D114" i="70"/>
  <c r="E114" i="70"/>
  <c r="D115" i="70"/>
  <c r="E115" i="70"/>
  <c r="D116" i="70"/>
  <c r="E116" i="70"/>
  <c r="D117" i="70"/>
  <c r="E117" i="70"/>
  <c r="B11" i="70"/>
  <c r="B12" i="70"/>
  <c r="B14" i="70"/>
  <c r="B23" i="70"/>
  <c r="B24" i="70"/>
  <c r="B25" i="70"/>
  <c r="B26" i="70"/>
  <c r="B27" i="70"/>
  <c r="B28" i="70"/>
  <c r="B29" i="70"/>
  <c r="B31" i="70"/>
  <c r="B32" i="70"/>
  <c r="B40" i="70"/>
  <c r="B92" i="70"/>
  <c r="B91" i="70"/>
  <c r="B86" i="70"/>
  <c r="B87" i="70"/>
  <c r="B41" i="70"/>
  <c r="B42" i="70"/>
  <c r="B43" i="70"/>
  <c r="B84" i="70"/>
  <c r="B85" i="70"/>
  <c r="B96" i="70"/>
  <c r="B98" i="70"/>
  <c r="B99" i="70"/>
  <c r="B112" i="70"/>
  <c r="B114" i="70"/>
  <c r="B115" i="70"/>
  <c r="B116" i="70"/>
  <c r="B117" i="70"/>
  <c r="G96" i="70"/>
  <c r="I96" i="70" s="1"/>
  <c r="F96" i="70"/>
  <c r="G91" i="70"/>
  <c r="H91" i="70" s="1"/>
  <c r="F91" i="70"/>
  <c r="C752" i="78"/>
  <c r="C611" i="78"/>
  <c r="G42" i="70"/>
  <c r="I42" i="70" s="1"/>
  <c r="F42" i="70"/>
  <c r="C610" i="78"/>
  <c r="C613" i="78"/>
  <c r="G84" i="70"/>
  <c r="I84" i="70" s="1"/>
  <c r="G85" i="70"/>
  <c r="H85" i="70" s="1"/>
  <c r="C681" i="78"/>
  <c r="G43" i="70"/>
  <c r="I43" i="70" s="1"/>
  <c r="F43" i="70"/>
  <c r="C612" i="78"/>
  <c r="C805" i="78"/>
  <c r="C815" i="78"/>
  <c r="C814" i="78"/>
  <c r="C156" i="78"/>
  <c r="C157" i="78"/>
  <c r="C217" i="78"/>
  <c r="C30" i="78"/>
  <c r="C74" i="78"/>
  <c r="C106" i="78"/>
  <c r="C109" i="78"/>
  <c r="C308" i="78"/>
  <c r="C168" i="78"/>
  <c r="C139" i="78"/>
  <c r="C751" i="78"/>
  <c r="C725" i="78"/>
  <c r="C724" i="78"/>
  <c r="C585" i="78"/>
  <c r="C264" i="78"/>
  <c r="C154" i="78"/>
  <c r="C59" i="78"/>
  <c r="C374" i="78"/>
  <c r="F25" i="70"/>
  <c r="G40" i="70"/>
  <c r="H40" i="70" s="1"/>
  <c r="G92" i="70"/>
  <c r="H92" i="70" s="1"/>
  <c r="G86" i="70"/>
  <c r="H86" i="70" s="1"/>
  <c r="G87" i="70"/>
  <c r="H87" i="70" s="1"/>
  <c r="G98" i="70"/>
  <c r="H98" i="70" s="1"/>
  <c r="G99" i="70"/>
  <c r="H99" i="70" s="1"/>
  <c r="G101" i="70"/>
  <c r="H101" i="70" s="1"/>
  <c r="G112" i="70"/>
  <c r="I112" i="70" s="1"/>
  <c r="G113" i="70"/>
  <c r="H113" i="70" s="1"/>
  <c r="G114" i="70"/>
  <c r="I114" i="70" s="1"/>
  <c r="G115" i="70"/>
  <c r="H115" i="70" s="1"/>
  <c r="G41" i="70"/>
  <c r="I41" i="70" s="1"/>
  <c r="G27" i="70"/>
  <c r="H27" i="70" s="1"/>
  <c r="G28" i="70"/>
  <c r="H28" i="70" s="1"/>
  <c r="G29" i="70"/>
  <c r="H29" i="70" s="1"/>
  <c r="C45" i="78"/>
  <c r="C44" i="78"/>
  <c r="C46" i="78"/>
  <c r="C48" i="78"/>
  <c r="C50" i="78"/>
  <c r="C52" i="78"/>
  <c r="C53" i="78"/>
  <c r="C54" i="78"/>
  <c r="C55" i="78"/>
  <c r="C57" i="78"/>
  <c r="C58" i="78"/>
  <c r="C60" i="78"/>
  <c r="C61" i="78"/>
  <c r="C147" i="78"/>
  <c r="F29" i="70"/>
  <c r="F28" i="70"/>
  <c r="F27" i="70"/>
  <c r="F41" i="70"/>
  <c r="C608" i="78"/>
  <c r="C609" i="78"/>
  <c r="C370" i="78"/>
  <c r="C371" i="78"/>
  <c r="C820" i="78"/>
  <c r="C821" i="78"/>
  <c r="C819" i="78"/>
  <c r="C599" i="78"/>
  <c r="C104" i="78"/>
  <c r="C105" i="78"/>
  <c r="C247" i="78"/>
  <c r="C248" i="78"/>
  <c r="C305" i="78"/>
  <c r="C306" i="78"/>
  <c r="C304" i="78"/>
  <c r="C246" i="78"/>
  <c r="C454" i="78"/>
  <c r="C455" i="78"/>
  <c r="C456" i="78"/>
  <c r="C419" i="78"/>
  <c r="F87" i="70"/>
  <c r="F86" i="70"/>
  <c r="C375" i="78"/>
  <c r="C575" i="78"/>
  <c r="C388" i="78"/>
  <c r="C600" i="78"/>
  <c r="C596" i="78"/>
  <c r="C597" i="78"/>
  <c r="C598" i="78"/>
  <c r="C595" i="78"/>
  <c r="C418" i="78"/>
  <c r="C36" i="95"/>
  <c r="C329" i="78"/>
  <c r="C328" i="78"/>
  <c r="C569" i="78"/>
  <c r="C838" i="78"/>
  <c r="C784" i="78"/>
  <c r="C909" i="78"/>
  <c r="C483" i="78"/>
  <c r="C607" i="78"/>
  <c r="C772" i="78"/>
  <c r="C360" i="78"/>
  <c r="C839" i="78"/>
  <c r="C683" i="78"/>
  <c r="C682" i="78"/>
  <c r="C340" i="78"/>
  <c r="C926" i="78"/>
  <c r="C901" i="78"/>
  <c r="C851" i="78"/>
  <c r="C390" i="78"/>
  <c r="C836" i="78"/>
  <c r="C561" i="78"/>
  <c r="C769" i="78"/>
  <c r="C770" i="78"/>
  <c r="C743" i="78"/>
  <c r="C723" i="78"/>
  <c r="C578" i="78"/>
  <c r="C577" i="78"/>
  <c r="C529" i="78"/>
  <c r="C523" i="78"/>
  <c r="C522" i="78"/>
  <c r="C420" i="78"/>
  <c r="C332" i="78"/>
  <c r="C331" i="78"/>
  <c r="C292" i="78"/>
  <c r="C290" i="78"/>
  <c r="C291" i="78"/>
  <c r="C267" i="78"/>
  <c r="C250" i="78"/>
  <c r="C161" i="78"/>
  <c r="C160" i="78"/>
  <c r="C153" i="78"/>
  <c r="C152" i="78"/>
  <c r="C389" i="78"/>
  <c r="C92" i="78"/>
  <c r="C77" i="78"/>
  <c r="C72" i="78"/>
  <c r="C43" i="78"/>
  <c r="C27" i="78"/>
  <c r="C28" i="78"/>
  <c r="C31" i="78"/>
  <c r="C80" i="78"/>
  <c r="C29" i="78"/>
  <c r="C32" i="78"/>
  <c r="C33" i="78"/>
  <c r="C265" i="78"/>
  <c r="C344" i="78"/>
  <c r="C343" i="78"/>
  <c r="C581" i="78"/>
  <c r="C582" i="78"/>
  <c r="C583" i="78"/>
  <c r="C584" i="78"/>
  <c r="C295" i="78"/>
  <c r="C296" i="78"/>
  <c r="C889" i="78"/>
  <c r="C257" i="78"/>
  <c r="C727" i="78"/>
  <c r="C659" i="78"/>
  <c r="C660" i="78"/>
  <c r="C567" i="78"/>
  <c r="C573" i="78"/>
  <c r="C572" i="78"/>
  <c r="C300" i="78"/>
  <c r="C341" i="78"/>
  <c r="C40" i="78"/>
  <c r="C34" i="78"/>
  <c r="C35" i="78"/>
  <c r="C73" i="78"/>
  <c r="C78" i="78"/>
  <c r="C311" i="78"/>
  <c r="O11" i="183"/>
  <c r="C832" i="78"/>
  <c r="C823" i="78"/>
  <c r="C775" i="78"/>
  <c r="C718" i="78"/>
  <c r="C568" i="78"/>
  <c r="C474" i="78"/>
  <c r="C521" i="78"/>
  <c r="C837" i="78"/>
  <c r="C895" i="78"/>
  <c r="C749" i="78"/>
  <c r="C750" i="78"/>
  <c r="F117" i="70"/>
  <c r="F116" i="70"/>
  <c r="C886" i="78"/>
  <c r="C887" i="78"/>
  <c r="C888" i="78"/>
  <c r="C580" i="78"/>
  <c r="C579" i="78"/>
  <c r="C564" i="78"/>
  <c r="C416" i="78"/>
  <c r="C379" i="78"/>
  <c r="C380" i="78"/>
  <c r="G17" i="3"/>
  <c r="G16" i="3"/>
  <c r="G15" i="3"/>
  <c r="G12" i="3"/>
  <c r="G11" i="3"/>
  <c r="I9" i="3"/>
  <c r="H9" i="3"/>
  <c r="C33" i="95"/>
  <c r="C574" i="78"/>
  <c r="O55" i="183"/>
  <c r="C35" i="95"/>
  <c r="C18" i="95"/>
  <c r="C249" i="78"/>
  <c r="C896" i="78"/>
  <c r="C897" i="78"/>
  <c r="C536" i="78"/>
  <c r="C698" i="78"/>
  <c r="C699" i="78"/>
  <c r="C525" i="78"/>
  <c r="C506" i="78"/>
  <c r="C504" i="78"/>
  <c r="C505" i="78"/>
  <c r="C507" i="78"/>
  <c r="C508" i="78"/>
  <c r="C509" i="78"/>
  <c r="C453" i="78"/>
  <c r="C764" i="78"/>
  <c r="C882" i="78"/>
  <c r="C883" i="78"/>
  <c r="C884" i="78"/>
  <c r="C881" i="78"/>
  <c r="C885" i="78"/>
  <c r="G25" i="70"/>
  <c r="I25" i="70" s="1"/>
  <c r="G26" i="70"/>
  <c r="H26" i="70" s="1"/>
  <c r="C309" i="78"/>
  <c r="C228" i="78"/>
  <c r="C417" i="78"/>
  <c r="C322" i="78"/>
  <c r="C822" i="78"/>
  <c r="C559" i="78"/>
  <c r="C560" i="78"/>
  <c r="C548" i="78"/>
  <c r="C549" i="78"/>
  <c r="C550" i="78"/>
  <c r="C671" i="78"/>
  <c r="C546" i="78"/>
  <c r="C712" i="78"/>
  <c r="C520" i="78"/>
  <c r="C294" i="78"/>
  <c r="C293" i="78"/>
  <c r="C480" i="78"/>
  <c r="C159" i="78"/>
  <c r="C726" i="78"/>
  <c r="C369" i="78"/>
  <c r="C260" i="78"/>
  <c r="C924" i="78"/>
  <c r="C925" i="78"/>
  <c r="C835" i="78"/>
  <c r="C834" i="78"/>
  <c r="C387" i="78"/>
  <c r="C386" i="78"/>
  <c r="C741" i="78"/>
  <c r="C742" i="78"/>
  <c r="C221" i="78"/>
  <c r="O54" i="183"/>
  <c r="C158" i="78"/>
  <c r="C19" i="95"/>
  <c r="C20" i="95"/>
  <c r="C17" i="95"/>
  <c r="C16" i="95"/>
  <c r="C880" i="78"/>
  <c r="C908" i="78"/>
  <c r="C942" i="78"/>
  <c r="C709" i="78"/>
  <c r="C384" i="78"/>
  <c r="C382" i="78"/>
  <c r="C326" i="78"/>
  <c r="C277" i="78"/>
  <c r="C278" i="78"/>
  <c r="F92" i="70"/>
  <c r="C700" i="78"/>
  <c r="G31" i="70"/>
  <c r="H31" i="70" s="1"/>
  <c r="G32" i="70"/>
  <c r="H32" i="70" s="1"/>
  <c r="F32" i="70"/>
  <c r="F31" i="70"/>
  <c r="C565" i="78"/>
  <c r="C566" i="78"/>
  <c r="G14" i="70"/>
  <c r="H14" i="70" s="1"/>
  <c r="C28" i="95"/>
  <c r="C27" i="95"/>
  <c r="O9" i="183"/>
  <c r="O14" i="183"/>
  <c r="O33" i="183"/>
  <c r="O38" i="183"/>
  <c r="O46" i="183"/>
  <c r="O112" i="70"/>
  <c r="N4" i="51"/>
  <c r="N6" i="51"/>
  <c r="N32" i="51" s="1"/>
  <c r="K4" i="51"/>
  <c r="K6" i="51" s="1"/>
  <c r="K32" i="51" s="1"/>
  <c r="J4" i="51"/>
  <c r="J6" i="51"/>
  <c r="J32" i="51" s="1"/>
  <c r="M4" i="51"/>
  <c r="M6" i="51" s="1"/>
  <c r="M32" i="51" s="1"/>
  <c r="I4" i="51"/>
  <c r="I6" i="51" s="1"/>
  <c r="I32" i="51" s="1"/>
  <c r="H4" i="51"/>
  <c r="H6" i="51"/>
  <c r="H32" i="51" s="1"/>
  <c r="G4" i="51"/>
  <c r="G6" i="51" s="1"/>
  <c r="G32" i="51" s="1"/>
  <c r="F4" i="51"/>
  <c r="F6" i="51"/>
  <c r="F32" i="51" s="1"/>
  <c r="E4" i="51"/>
  <c r="E6" i="51" s="1"/>
  <c r="E32" i="51" s="1"/>
  <c r="D4" i="51"/>
  <c r="D6" i="51"/>
  <c r="D32" i="51" s="1"/>
  <c r="Q806" i="55"/>
  <c r="Q110" i="55"/>
  <c r="Q839" i="55"/>
  <c r="Q809" i="55"/>
  <c r="Q810" i="55"/>
  <c r="Q808" i="55"/>
  <c r="Q561" i="55"/>
  <c r="Q459" i="55"/>
  <c r="Q588" i="55"/>
  <c r="Q567" i="55"/>
  <c r="Q559" i="55"/>
  <c r="Q316" i="55"/>
  <c r="Q562" i="55"/>
  <c r="Q456" i="55"/>
  <c r="Q563" i="55"/>
  <c r="Q349" i="55"/>
  <c r="Q587" i="55"/>
  <c r="Q566" i="55"/>
  <c r="Q564" i="55"/>
  <c r="Q350" i="55"/>
  <c r="Q565" i="55"/>
  <c r="Q560" i="55"/>
  <c r="Q339" i="55"/>
  <c r="Q278" i="55"/>
  <c r="Q279" i="55"/>
  <c r="Q586" i="55"/>
  <c r="Q775" i="55"/>
  <c r="Q21" i="55"/>
  <c r="Q697" i="55"/>
  <c r="Q122" i="55"/>
  <c r="Q151" i="55"/>
  <c r="Q137" i="55"/>
  <c r="Q558" i="55"/>
  <c r="Q248" i="55"/>
  <c r="Q696" i="55"/>
  <c r="Q49" i="55"/>
  <c r="Q51" i="55"/>
  <c r="Q44" i="55"/>
  <c r="Q254" i="55"/>
  <c r="Q255" i="55"/>
  <c r="Q572" i="55"/>
  <c r="Q429" i="55"/>
  <c r="Q427" i="55"/>
  <c r="Q428" i="55"/>
  <c r="Q392" i="55"/>
  <c r="Q348" i="55"/>
  <c r="Q361" i="55"/>
  <c r="Q573" i="55"/>
  <c r="Q570" i="55"/>
  <c r="Q568" i="55"/>
  <c r="Q571" i="55"/>
  <c r="Q304" i="55"/>
  <c r="Q48" i="55"/>
  <c r="Q334" i="55"/>
  <c r="Q534" i="55"/>
  <c r="Q802" i="55"/>
  <c r="Q867" i="55"/>
  <c r="Q269" i="55"/>
  <c r="Q715" i="55"/>
  <c r="Q496" i="55"/>
  <c r="Q695" i="55"/>
  <c r="Q502" i="55"/>
  <c r="Q267" i="55"/>
  <c r="Q551" i="55"/>
  <c r="Q550" i="55"/>
  <c r="Q495" i="55"/>
  <c r="Q393" i="55"/>
  <c r="Q307" i="55"/>
  <c r="Q268" i="55"/>
  <c r="Q245" i="55"/>
  <c r="Q144" i="55"/>
  <c r="Q143" i="55"/>
  <c r="Q43" i="55"/>
  <c r="Q2" i="55"/>
  <c r="Q3" i="55"/>
  <c r="Q20" i="55"/>
  <c r="Q81" i="55"/>
  <c r="Q42" i="55"/>
  <c r="Q45" i="55"/>
  <c r="Q36" i="55"/>
  <c r="Q4" i="55"/>
  <c r="Q243" i="55"/>
  <c r="Q569" i="55"/>
  <c r="Q272" i="55"/>
  <c r="Q273" i="55"/>
  <c r="Q699" i="55"/>
  <c r="Q247" i="55"/>
  <c r="Q277" i="55"/>
  <c r="Q22" i="55"/>
  <c r="Q24" i="55"/>
  <c r="Q25" i="55"/>
  <c r="Q287" i="55"/>
  <c r="P11" i="183" s="1"/>
  <c r="T11" i="183" s="1"/>
  <c r="Q803" i="55"/>
  <c r="Q861" i="55"/>
  <c r="Q553" i="55"/>
  <c r="Q557" i="55"/>
  <c r="Q552" i="55"/>
  <c r="Q554" i="55"/>
  <c r="Q555" i="55"/>
  <c r="Q556" i="55"/>
  <c r="Q389" i="55"/>
  <c r="Q547" i="55"/>
  <c r="Q482" i="55"/>
  <c r="Q426" i="55"/>
  <c r="Q142" i="55"/>
  <c r="Q541" i="55"/>
  <c r="Q863" i="55"/>
  <c r="Q298" i="55"/>
  <c r="Q141" i="55"/>
  <c r="Q480" i="55"/>
  <c r="Q270" i="55"/>
  <c r="Q359" i="55"/>
  <c r="Q789" i="55"/>
  <c r="Q545" i="55"/>
  <c r="Q714" i="55"/>
  <c r="Q360" i="55"/>
  <c r="Q532" i="55"/>
  <c r="Q238" i="55"/>
  <c r="Q204" i="55"/>
  <c r="Q546" i="55"/>
  <c r="Q521" i="55"/>
  <c r="Q698" i="55"/>
  <c r="Q493" i="55"/>
  <c r="Q271" i="55"/>
  <c r="P17" i="70"/>
  <c r="T17" i="70" s="1"/>
  <c r="Q874" i="55"/>
  <c r="Q140" i="55"/>
  <c r="Q357" i="55"/>
  <c r="Q302" i="55"/>
  <c r="Q139" i="55"/>
  <c r="Q355" i="55"/>
  <c r="Q682" i="55"/>
  <c r="Q538" i="55"/>
  <c r="Q539" i="55"/>
  <c r="Q104" i="55"/>
  <c r="Q130" i="55"/>
  <c r="Q145" i="55"/>
  <c r="Q205" i="55"/>
  <c r="Q235" i="55"/>
  <c r="Q347" i="55"/>
  <c r="Q383" i="55"/>
  <c r="Q417" i="55"/>
  <c r="Q425" i="55"/>
  <c r="Q507" i="55"/>
  <c r="Q514" i="55"/>
  <c r="P38" i="183" s="1"/>
  <c r="T38" i="183" s="1"/>
  <c r="Q525" i="55"/>
  <c r="Q536" i="55"/>
  <c r="Q688" i="55"/>
  <c r="Q106" i="55"/>
  <c r="Q148" i="55"/>
  <c r="Q264" i="55"/>
  <c r="Q375" i="55"/>
  <c r="Q386" i="55"/>
  <c r="Q413" i="55"/>
  <c r="Q420" i="55"/>
  <c r="Q494" i="55"/>
  <c r="Q500" i="55"/>
  <c r="Q510" i="55"/>
  <c r="Q515" i="55"/>
  <c r="Q528" i="55"/>
  <c r="Q690" i="55"/>
  <c r="Q745" i="55"/>
  <c r="Q40" i="55"/>
  <c r="Q100" i="55"/>
  <c r="Q103" i="55"/>
  <c r="Q124" i="55"/>
  <c r="Q549" i="55"/>
  <c r="Q378" i="55"/>
  <c r="Q415" i="55"/>
  <c r="Q423" i="55"/>
  <c r="Q447" i="55"/>
  <c r="Q477" i="55"/>
  <c r="Q497" i="55"/>
  <c r="Q503" i="55"/>
  <c r="Q505" i="55"/>
  <c r="Q512" i="55"/>
  <c r="Q531" i="55"/>
  <c r="Q686" i="55"/>
  <c r="Q722" i="55"/>
  <c r="Q101" i="55"/>
  <c r="Q109" i="55"/>
  <c r="Q125" i="55"/>
  <c r="Q129" i="55"/>
  <c r="Q266" i="55"/>
  <c r="Q299" i="55"/>
  <c r="Q382" i="55"/>
  <c r="Q395" i="55"/>
  <c r="Q416" i="55"/>
  <c r="Q424" i="55"/>
  <c r="Q478" i="55"/>
  <c r="Q498" i="55"/>
  <c r="Q506" i="55"/>
  <c r="Q513" i="55"/>
  <c r="Q524" i="55"/>
  <c r="Q535" i="55"/>
  <c r="Q687" i="55"/>
  <c r="Q694" i="55"/>
  <c r="Q735" i="55"/>
  <c r="Q748" i="55"/>
  <c r="Q749" i="55"/>
  <c r="Q774" i="55"/>
  <c r="Q105" i="55"/>
  <c r="Q237" i="55"/>
  <c r="Q286" i="55"/>
  <c r="Q300" i="55"/>
  <c r="Q351" i="55"/>
  <c r="Q354" i="55"/>
  <c r="Q385" i="55"/>
  <c r="Q412" i="55"/>
  <c r="Q419" i="55"/>
  <c r="Q509" i="55"/>
  <c r="Q527" i="55"/>
  <c r="Q681" i="55"/>
  <c r="Q750" i="55"/>
  <c r="Q844" i="55"/>
  <c r="Q869" i="55"/>
  <c r="Q907" i="55"/>
  <c r="Q793" i="55"/>
  <c r="Q905" i="55"/>
  <c r="Q107" i="55"/>
  <c r="Q149" i="55"/>
  <c r="Q265" i="55"/>
  <c r="P9" i="183" s="1"/>
  <c r="T9" i="183" s="1"/>
  <c r="Q296" i="55"/>
  <c r="Q352" i="55"/>
  <c r="Q376" i="55"/>
  <c r="Q379" i="55"/>
  <c r="Q387" i="55"/>
  <c r="Q414" i="55"/>
  <c r="Q421" i="55"/>
  <c r="Q446" i="55"/>
  <c r="Q599" i="55"/>
  <c r="Q516" i="55"/>
  <c r="Q529" i="55"/>
  <c r="Q845" i="55"/>
  <c r="Q865" i="55"/>
  <c r="Q906" i="55"/>
  <c r="Q206" i="55"/>
  <c r="Q236" i="55"/>
  <c r="Q388" i="55"/>
  <c r="Q721" i="55"/>
  <c r="Q508" i="55"/>
  <c r="Q903" i="55"/>
  <c r="Q537" i="55"/>
  <c r="P91" i="70" s="1"/>
  <c r="Q843" i="55"/>
  <c r="Q123" i="55"/>
  <c r="Q303" i="55"/>
  <c r="Q422" i="55"/>
  <c r="Q511" i="55"/>
  <c r="P33" i="183" s="1"/>
  <c r="T33" i="183" s="1"/>
  <c r="Q747" i="55"/>
  <c r="Q418" i="55"/>
  <c r="Q838" i="55"/>
  <c r="Q866" i="55"/>
  <c r="Q689" i="55"/>
  <c r="Q746" i="55"/>
  <c r="Q377" i="55"/>
  <c r="Q384" i="55"/>
  <c r="Q685" i="55"/>
  <c r="Q126" i="55"/>
  <c r="Q846" i="55"/>
  <c r="Q842" i="55"/>
  <c r="Q353" i="55"/>
  <c r="Q530" i="55"/>
  <c r="P46" i="183" s="1"/>
  <c r="T46" i="183" s="1"/>
  <c r="Q862" i="55"/>
  <c r="Q253" i="55"/>
  <c r="Q499" i="55"/>
  <c r="Q736" i="55"/>
  <c r="Q751" i="55"/>
  <c r="Q773" i="55"/>
  <c r="P112" i="70"/>
  <c r="Q904" i="55"/>
  <c r="Q297" i="55"/>
  <c r="Q333" i="55"/>
  <c r="P14" i="183" s="1"/>
  <c r="T14" i="183" s="1"/>
  <c r="Q504" i="55"/>
  <c r="Q108" i="55"/>
  <c r="Q150" i="55"/>
  <c r="Q868" i="55"/>
  <c r="C4" i="51"/>
  <c r="C6" i="51" s="1"/>
  <c r="C32" i="51" s="1"/>
  <c r="L4" i="51"/>
  <c r="L6" i="51" s="1"/>
  <c r="L32" i="51" s="1"/>
  <c r="O806" i="55"/>
  <c r="O110" i="55"/>
  <c r="O839" i="55"/>
  <c r="O809" i="55"/>
  <c r="O810" i="55"/>
  <c r="O808" i="55"/>
  <c r="O459" i="55"/>
  <c r="O588" i="55"/>
  <c r="O567" i="55"/>
  <c r="O559" i="55"/>
  <c r="O565" i="55"/>
  <c r="O560" i="55"/>
  <c r="O349" i="55"/>
  <c r="O561" i="55"/>
  <c r="O564" i="55"/>
  <c r="O350" i="55"/>
  <c r="O316" i="55"/>
  <c r="O562" i="55"/>
  <c r="O456" i="55"/>
  <c r="O339" i="55"/>
  <c r="O563" i="55"/>
  <c r="O587" i="55"/>
  <c r="O566" i="55"/>
  <c r="O278" i="55"/>
  <c r="O279" i="55"/>
  <c r="O586" i="55"/>
  <c r="O775" i="55"/>
  <c r="O697" i="55"/>
  <c r="O151" i="55"/>
  <c r="O558" i="55"/>
  <c r="O248" i="55"/>
  <c r="O696" i="55"/>
  <c r="O137" i="55"/>
  <c r="O21" i="55"/>
  <c r="O122" i="55"/>
  <c r="O49" i="55"/>
  <c r="O51" i="55"/>
  <c r="O44" i="55"/>
  <c r="O736" i="55"/>
  <c r="O510" i="55"/>
  <c r="O690" i="55"/>
  <c r="O139" i="55"/>
  <c r="O863" i="55"/>
  <c r="O546" i="55"/>
  <c r="O555" i="55"/>
  <c r="O861" i="55"/>
  <c r="O22" i="55"/>
  <c r="O247" i="55"/>
  <c r="O3" i="55"/>
  <c r="O143" i="55"/>
  <c r="O267" i="55"/>
  <c r="O568" i="55"/>
  <c r="O428" i="55"/>
  <c r="O687" i="55"/>
  <c r="O238" i="55"/>
  <c r="O541" i="55"/>
  <c r="O426" i="55"/>
  <c r="O557" i="55"/>
  <c r="O803" i="55"/>
  <c r="O2" i="55"/>
  <c r="O571" i="55"/>
  <c r="O255" i="55"/>
  <c r="O515" i="55"/>
  <c r="O513" i="55"/>
  <c r="O421" i="55"/>
  <c r="N17" i="70"/>
  <c r="Q17" i="70" s="1"/>
  <c r="R17" i="70" s="1"/>
  <c r="S17" i="70" s="1"/>
  <c r="O271" i="55"/>
  <c r="N14" i="70" s="1"/>
  <c r="O360" i="55"/>
  <c r="O553" i="55"/>
  <c r="O287" i="55"/>
  <c r="N11" i="183" s="1"/>
  <c r="O272" i="55"/>
  <c r="O36" i="55"/>
  <c r="O20" i="55"/>
  <c r="O245" i="55"/>
  <c r="O269" i="55"/>
  <c r="O393" i="55"/>
  <c r="O334" i="55"/>
  <c r="O573" i="55"/>
  <c r="O427" i="55"/>
  <c r="O254" i="55"/>
  <c r="O493" i="55"/>
  <c r="O556" i="55"/>
  <c r="O24" i="55"/>
  <c r="O277" i="55"/>
  <c r="O273" i="55"/>
  <c r="O144" i="55"/>
  <c r="O307" i="55"/>
  <c r="O551" i="55"/>
  <c r="O392" i="55"/>
  <c r="O375" i="55"/>
  <c r="O478" i="55"/>
  <c r="O376" i="55"/>
  <c r="O511" i="55"/>
  <c r="N33" i="183" s="1"/>
  <c r="O538" i="55"/>
  <c r="O698" i="55"/>
  <c r="O270" i="55"/>
  <c r="O552" i="55"/>
  <c r="O569" i="55"/>
  <c r="O43" i="55"/>
  <c r="O42" i="55"/>
  <c r="O495" i="55"/>
  <c r="O802" i="55"/>
  <c r="O48" i="55"/>
  <c r="O304" i="55"/>
  <c r="O844" i="55"/>
  <c r="O347" i="55"/>
  <c r="O377" i="55"/>
  <c r="O539" i="55"/>
  <c r="O480" i="55"/>
  <c r="O4" i="55"/>
  <c r="O496" i="55"/>
  <c r="O502" i="55"/>
  <c r="O361" i="55"/>
  <c r="O205" i="55"/>
  <c r="O303" i="55"/>
  <c r="O103" i="55"/>
  <c r="O389" i="55"/>
  <c r="O81" i="55"/>
  <c r="O550" i="55"/>
  <c r="O715" i="55"/>
  <c r="O867" i="55"/>
  <c r="O534" i="55"/>
  <c r="O429" i="55"/>
  <c r="O572" i="55"/>
  <c r="O903" i="55"/>
  <c r="O688" i="55"/>
  <c r="O302" i="55"/>
  <c r="O521" i="55"/>
  <c r="O554" i="55"/>
  <c r="O25" i="55"/>
  <c r="O699" i="55"/>
  <c r="O45" i="55"/>
  <c r="O243" i="55"/>
  <c r="O695" i="55"/>
  <c r="O268" i="55"/>
  <c r="O570" i="55"/>
  <c r="O348" i="55"/>
  <c r="O424" i="55"/>
  <c r="O384" i="55"/>
  <c r="O355" i="55"/>
  <c r="O545" i="55"/>
  <c r="O482" i="55"/>
  <c r="O527" i="55"/>
  <c r="O735" i="55"/>
  <c r="O838" i="55"/>
  <c r="O685" i="55"/>
  <c r="O447" i="55"/>
  <c r="O682" i="55"/>
  <c r="O357" i="55"/>
  <c r="O204" i="55"/>
  <c r="O145" i="55"/>
  <c r="O842" i="55"/>
  <c r="O206" i="55"/>
  <c r="O549" i="55"/>
  <c r="O874" i="55"/>
  <c r="O789" i="55"/>
  <c r="O359" i="55"/>
  <c r="O141" i="55"/>
  <c r="O300" i="55"/>
  <c r="O536" i="55"/>
  <c r="O101" i="55"/>
  <c r="O774" i="55"/>
  <c r="O422" i="55"/>
  <c r="O599" i="55"/>
  <c r="O140" i="55"/>
  <c r="O298" i="55"/>
  <c r="O532" i="55"/>
  <c r="O714" i="55"/>
  <c r="O142" i="55"/>
  <c r="O547" i="55"/>
  <c r="O750" i="55"/>
  <c r="O412" i="55"/>
  <c r="O869" i="55"/>
  <c r="O751" i="55"/>
  <c r="O386" i="55"/>
  <c r="O264" i="55"/>
  <c r="O106" i="55"/>
  <c r="O535" i="55"/>
  <c r="O530" i="55"/>
  <c r="N46" i="183" s="1"/>
  <c r="O353" i="55"/>
  <c r="O529" i="55"/>
  <c r="O352" i="55"/>
  <c r="O689" i="55"/>
  <c r="O686" i="55"/>
  <c r="O477" i="55"/>
  <c r="O378" i="55"/>
  <c r="O100" i="55"/>
  <c r="O419" i="55"/>
  <c r="O906" i="55"/>
  <c r="O286" i="55"/>
  <c r="O904" i="55"/>
  <c r="O514" i="55"/>
  <c r="N38" i="183" s="1"/>
  <c r="O235" i="55"/>
  <c r="O528" i="55"/>
  <c r="O524" i="55"/>
  <c r="O745" i="55"/>
  <c r="O150" i="55"/>
  <c r="O516" i="55"/>
  <c r="O446" i="55"/>
  <c r="O149" i="55"/>
  <c r="O537" i="55"/>
  <c r="N91" i="70" s="1"/>
  <c r="O236" i="55"/>
  <c r="O531" i="55"/>
  <c r="O681" i="55"/>
  <c r="O773" i="55"/>
  <c r="O104" i="55"/>
  <c r="O507" i="55"/>
  <c r="O494" i="55"/>
  <c r="O506" i="55"/>
  <c r="O416" i="55"/>
  <c r="O299" i="55"/>
  <c r="O129" i="55"/>
  <c r="O525" i="55"/>
  <c r="O130" i="55"/>
  <c r="O793" i="55"/>
  <c r="O722" i="55"/>
  <c r="O504" i="55"/>
  <c r="O297" i="55"/>
  <c r="O126" i="55"/>
  <c r="O414" i="55"/>
  <c r="O296" i="55"/>
  <c r="O333" i="55"/>
  <c r="N14" i="183" s="1"/>
  <c r="O512" i="55"/>
  <c r="O423" i="55"/>
  <c r="O865" i="55"/>
  <c r="O868" i="55"/>
  <c r="O385" i="55"/>
  <c r="O351" i="55"/>
  <c r="O748" i="55"/>
  <c r="O425" i="55"/>
  <c r="O148" i="55"/>
  <c r="O749" i="55"/>
  <c r="O125" i="55"/>
  <c r="O500" i="55"/>
  <c r="O905" i="55"/>
  <c r="O846" i="55"/>
  <c r="O123" i="55"/>
  <c r="O508" i="55"/>
  <c r="O418" i="55"/>
  <c r="O505" i="55"/>
  <c r="O415" i="55"/>
  <c r="O40" i="55"/>
  <c r="O845" i="55"/>
  <c r="O862" i="55"/>
  <c r="O354" i="55"/>
  <c r="O747" i="55"/>
  <c r="O420" i="55"/>
  <c r="O417" i="55"/>
  <c r="O498" i="55"/>
  <c r="O395" i="55"/>
  <c r="O266" i="55"/>
  <c r="O109" i="55"/>
  <c r="O721" i="55"/>
  <c r="O388" i="55"/>
  <c r="O108" i="55"/>
  <c r="O387" i="55"/>
  <c r="O265" i="55"/>
  <c r="N9" i="183" s="1"/>
  <c r="O107" i="55"/>
  <c r="O503" i="55"/>
  <c r="O124" i="55"/>
  <c r="O237" i="55"/>
  <c r="O843" i="55"/>
  <c r="O105" i="55"/>
  <c r="O509" i="55"/>
  <c r="O907" i="55"/>
  <c r="O383" i="55"/>
  <c r="O413" i="55"/>
  <c r="O746" i="55"/>
  <c r="O866" i="55"/>
  <c r="O694" i="55"/>
  <c r="O382" i="55"/>
  <c r="O253" i="55"/>
  <c r="O379" i="55"/>
  <c r="O499" i="55"/>
  <c r="O497" i="55"/>
  <c r="C404" i="78"/>
  <c r="C402" i="78"/>
  <c r="C324" i="78"/>
  <c r="C310" i="78"/>
  <c r="C276" i="78"/>
  <c r="C263" i="78"/>
  <c r="C359" i="78"/>
  <c r="G23" i="70"/>
  <c r="H23" i="70" s="1"/>
  <c r="C1068" i="78"/>
  <c r="C1083" i="78"/>
  <c r="C1027" i="78"/>
  <c r="C1024" i="78"/>
  <c r="C1023" i="78"/>
  <c r="C1022" i="78"/>
  <c r="C1020" i="78"/>
  <c r="C1123" i="78"/>
  <c r="C1122" i="78"/>
  <c r="C1121" i="78"/>
  <c r="C1120" i="78"/>
  <c r="C1119" i="78"/>
  <c r="C1118" i="78"/>
  <c r="C1117" i="78"/>
  <c r="C1116" i="78"/>
  <c r="C1115" i="78"/>
  <c r="C1114" i="78"/>
  <c r="C1113" i="78"/>
  <c r="C1112" i="78"/>
  <c r="C1111" i="78"/>
  <c r="C1110" i="78"/>
  <c r="C1109" i="78"/>
  <c r="C1108" i="78"/>
  <c r="C1107" i="78"/>
  <c r="C1106" i="78"/>
  <c r="C1105" i="78"/>
  <c r="C1104" i="78"/>
  <c r="C1103" i="78"/>
  <c r="C1102" i="78"/>
  <c r="C1101" i="78"/>
  <c r="C1100" i="78"/>
  <c r="C497" i="78"/>
  <c r="C776" i="78"/>
  <c r="C194" i="78"/>
  <c r="C163" i="78"/>
  <c r="C449" i="78"/>
  <c r="C1028" i="78"/>
  <c r="C538" i="78"/>
  <c r="C874" i="78"/>
  <c r="C890" i="78"/>
  <c r="C763" i="78"/>
  <c r="C451" i="78"/>
  <c r="C1000" i="78"/>
  <c r="C999" i="78"/>
  <c r="C990" i="78"/>
  <c r="C989" i="78"/>
  <c r="C987" i="78"/>
  <c r="C966" i="78"/>
  <c r="C960" i="78"/>
  <c r="C563" i="78"/>
  <c r="C562" i="78"/>
  <c r="C526" i="78"/>
  <c r="C288" i="78"/>
  <c r="C259" i="78"/>
  <c r="C258" i="78"/>
  <c r="C768" i="78"/>
  <c r="C713" i="78"/>
  <c r="C766" i="78"/>
  <c r="C448" i="78"/>
  <c r="C689" i="78"/>
  <c r="C325" i="78"/>
  <c r="C323" i="78"/>
  <c r="C537" i="78"/>
  <c r="C287" i="78"/>
  <c r="C166" i="78"/>
  <c r="C1099" i="78"/>
  <c r="C1098" i="78"/>
  <c r="C1097" i="78"/>
  <c r="C1096" i="78"/>
  <c r="C1090" i="78"/>
  <c r="C1087" i="78"/>
  <c r="C1079" i="78"/>
  <c r="C871" i="78"/>
  <c r="C870" i="78"/>
  <c r="C333" i="78"/>
  <c r="C1070" i="78"/>
  <c r="C446" i="78"/>
  <c r="C777" i="78"/>
  <c r="C409" i="78"/>
  <c r="C1029" i="78"/>
  <c r="C1078" i="78"/>
  <c r="C1077" i="78"/>
  <c r="C1076" i="78"/>
  <c r="C1075" i="78"/>
  <c r="C1074" i="78"/>
  <c r="C1073" i="78"/>
  <c r="C1072" i="78"/>
  <c r="C1071" i="78"/>
  <c r="C1069" i="78"/>
  <c r="C1067" i="78"/>
  <c r="C1066" i="78"/>
  <c r="C1065" i="78"/>
  <c r="C1064" i="78"/>
  <c r="C1063" i="78"/>
  <c r="C979" i="78"/>
  <c r="C978" i="78"/>
  <c r="C977" i="78"/>
  <c r="C976" i="78"/>
  <c r="C975" i="78"/>
  <c r="C974" i="78"/>
  <c r="C973" i="78"/>
  <c r="C972" i="78"/>
  <c r="C971" i="78"/>
  <c r="C970" i="78"/>
  <c r="C969" i="78"/>
  <c r="C968" i="78"/>
  <c r="C967" i="78"/>
  <c r="C551" i="78"/>
  <c r="C1018" i="78"/>
  <c r="C868" i="78"/>
  <c r="C1037" i="78"/>
  <c r="C1036" i="78"/>
  <c r="C1035" i="78"/>
  <c r="C1034" i="78"/>
  <c r="C1021" i="78"/>
  <c r="C1038" i="78"/>
  <c r="C121" i="78"/>
  <c r="C131" i="78"/>
  <c r="C120" i="78"/>
  <c r="C473" i="78"/>
  <c r="C167" i="78"/>
  <c r="C151" i="78"/>
  <c r="C367" i="78"/>
  <c r="C722" i="78"/>
  <c r="C721" i="78"/>
  <c r="C719" i="78"/>
  <c r="C119" i="78"/>
  <c r="C118" i="78"/>
  <c r="C1039" i="78"/>
  <c r="C481" i="78"/>
  <c r="C716" i="78"/>
  <c r="C715" i="78"/>
  <c r="C373" i="78"/>
  <c r="C368" i="78"/>
  <c r="C1092" i="78"/>
  <c r="C146" i="78"/>
  <c r="C894" i="78"/>
  <c r="C1061" i="78"/>
  <c r="C1060" i="78"/>
  <c r="C1059" i="78"/>
  <c r="C412" i="78"/>
  <c r="C1042" i="78"/>
  <c r="C1041" i="78"/>
  <c r="C997" i="78"/>
  <c r="C1002" i="78"/>
  <c r="C781" i="78"/>
  <c r="C773" i="78"/>
  <c r="C482" i="78"/>
  <c r="C478" i="78"/>
  <c r="C405" i="78"/>
  <c r="C403" i="78"/>
  <c r="C872" i="78"/>
  <c r="C804" i="78"/>
  <c r="C774" i="78"/>
  <c r="C907" i="78"/>
  <c r="C143" i="78"/>
  <c r="C444" i="78"/>
  <c r="C867" i="78"/>
  <c r="C833" i="78"/>
  <c r="C117" i="78"/>
  <c r="C285" i="78"/>
  <c r="C289" i="78"/>
  <c r="C879" i="78"/>
  <c r="C878" i="78"/>
  <c r="C877" i="78"/>
  <c r="C875" i="78"/>
  <c r="C1016" i="78"/>
  <c r="C1015" i="78"/>
  <c r="C988" i="78"/>
  <c r="C986" i="78"/>
  <c r="C985" i="78"/>
  <c r="C984" i="78"/>
  <c r="C983" i="78"/>
  <c r="C982" i="78"/>
  <c r="C981" i="78"/>
  <c r="C980" i="78"/>
  <c r="C447" i="78"/>
  <c r="C817" i="78"/>
  <c r="C940" i="78"/>
  <c r="C905" i="78"/>
  <c r="C903" i="78"/>
  <c r="C782" i="78"/>
  <c r="C714" i="78"/>
  <c r="C452" i="78"/>
  <c r="C450" i="78"/>
  <c r="C410" i="78"/>
  <c r="C408" i="78"/>
  <c r="C545" i="78"/>
  <c r="C445" i="78"/>
  <c r="C443" i="78"/>
  <c r="C442" i="78"/>
  <c r="C528" i="78"/>
  <c r="C527" i="78"/>
  <c r="C951" i="78"/>
  <c r="C950" i="78"/>
  <c r="C949" i="78"/>
  <c r="C948" i="78"/>
  <c r="C947" i="78"/>
  <c r="C946" i="78"/>
  <c r="C945" i="78"/>
  <c r="C944" i="78"/>
  <c r="C778" i="78"/>
  <c r="C941" i="78"/>
  <c r="C533" i="78"/>
  <c r="C818" i="78"/>
  <c r="C116" i="78"/>
  <c r="C282" i="78"/>
  <c r="C939" i="78"/>
  <c r="C955" i="78"/>
  <c r="C1091" i="78"/>
  <c r="C1089" i="78"/>
  <c r="C1086" i="78"/>
  <c r="C995" i="78"/>
  <c r="C994" i="78"/>
  <c r="C993" i="78"/>
  <c r="C992" i="78"/>
  <c r="C991" i="78"/>
  <c r="C155" i="78"/>
  <c r="C720" i="78"/>
  <c r="C918" i="78"/>
  <c r="C767" i="78"/>
  <c r="C552" i="78"/>
  <c r="C381" i="78"/>
  <c r="C320" i="78"/>
  <c r="C1049" i="78"/>
  <c r="C1047" i="78"/>
  <c r="C1001" i="78"/>
  <c r="C998" i="78"/>
  <c r="C996" i="78"/>
  <c r="C959" i="78"/>
  <c r="C958" i="78"/>
  <c r="C626" i="78"/>
  <c r="C535" i="78"/>
  <c r="C534" i="78"/>
  <c r="C524" i="78"/>
  <c r="C943" i="78"/>
  <c r="C829" i="78"/>
  <c r="C150" i="78"/>
  <c r="C378" i="78"/>
  <c r="C1095" i="78"/>
  <c r="C1093" i="78"/>
  <c r="C1088" i="78"/>
  <c r="C831" i="78"/>
  <c r="C1062" i="78"/>
  <c r="C165" i="78"/>
  <c r="C902" i="78"/>
  <c r="C900" i="78"/>
  <c r="C899" i="78"/>
  <c r="C553" i="78"/>
  <c r="C803" i="78"/>
  <c r="C802" i="78"/>
  <c r="C558" i="78"/>
  <c r="C557" i="78"/>
  <c r="C556" i="78"/>
  <c r="C555" i="78"/>
  <c r="C554" i="78"/>
  <c r="C149" i="78"/>
  <c r="C202" i="78"/>
  <c r="C1014" i="78"/>
  <c r="C1013" i="78"/>
  <c r="C1012" i="78"/>
  <c r="C1011" i="78"/>
  <c r="C1010" i="78"/>
  <c r="C1009" i="78"/>
  <c r="C965" i="78"/>
  <c r="C964" i="78"/>
  <c r="C963" i="78"/>
  <c r="C962" i="78"/>
  <c r="C961" i="78"/>
  <c r="C957" i="78"/>
  <c r="C956" i="78"/>
  <c r="C898" i="78"/>
  <c r="C142" i="78"/>
  <c r="C383" i="78"/>
  <c r="C385" i="78"/>
  <c r="C850" i="78"/>
  <c r="C423" i="78"/>
  <c r="C327" i="78"/>
  <c r="C876" i="78"/>
  <c r="C1026" i="78"/>
  <c r="C1025" i="78"/>
  <c r="C1019" i="78"/>
  <c r="C1017" i="78"/>
  <c r="C1008" i="78"/>
  <c r="C1007" i="78"/>
  <c r="C1006" i="78"/>
  <c r="C1005" i="78"/>
  <c r="C1004" i="78"/>
  <c r="C1003" i="78"/>
  <c r="C954" i="78"/>
  <c r="C953" i="78"/>
  <c r="C952" i="78"/>
  <c r="C765" i="78"/>
  <c r="C670" i="78"/>
  <c r="C543" i="78"/>
  <c r="C262" i="78"/>
  <c r="C261" i="78"/>
  <c r="C122" i="78"/>
  <c r="C132" i="78"/>
  <c r="C110" i="78"/>
  <c r="C780" i="78"/>
  <c r="C779" i="78"/>
  <c r="C477" i="78"/>
  <c r="C1055" i="78"/>
  <c r="C1054" i="78"/>
  <c r="C1053" i="78"/>
  <c r="C1052" i="78"/>
  <c r="C1051" i="78"/>
  <c r="C1050" i="78"/>
  <c r="C1048" i="78"/>
  <c r="C1046" i="78"/>
  <c r="C1045" i="78"/>
  <c r="C1044" i="78"/>
  <c r="C1043" i="78"/>
  <c r="C865" i="78"/>
  <c r="C439" i="78"/>
  <c r="C576" i="78"/>
  <c r="C1085" i="78"/>
  <c r="C1084" i="78"/>
  <c r="C1082" i="78"/>
  <c r="C1081" i="78"/>
  <c r="C1080" i="78"/>
  <c r="C1040" i="78"/>
  <c r="C1033" i="78"/>
  <c r="C321" i="78"/>
  <c r="C498" i="78"/>
  <c r="C783" i="78"/>
  <c r="C758" i="78"/>
  <c r="C904" i="78"/>
  <c r="C141" i="78"/>
  <c r="C470" i="78"/>
  <c r="C806" i="78"/>
  <c r="C813" i="78"/>
  <c r="C807" i="78"/>
  <c r="C532" i="78"/>
  <c r="C531" i="78"/>
  <c r="C145" i="78"/>
  <c r="C269" i="78"/>
  <c r="C541" i="78"/>
  <c r="C540" i="78"/>
  <c r="C708" i="78"/>
  <c r="C530" i="78"/>
  <c r="C827" i="78"/>
  <c r="C906" i="78"/>
  <c r="C1094" i="78"/>
  <c r="C539" i="78"/>
  <c r="C1058" i="78"/>
  <c r="C1057" i="78"/>
  <c r="C1056" i="78"/>
  <c r="C411" i="78"/>
  <c r="C422" i="78"/>
  <c r="C415" i="78"/>
  <c r="C476" i="78"/>
  <c r="C475" i="78"/>
  <c r="C1032" i="78"/>
  <c r="C1031" i="78"/>
  <c r="C1030" i="78"/>
  <c r="C830" i="78"/>
  <c r="C717" i="78"/>
  <c r="C441" i="78"/>
  <c r="C440" i="78"/>
  <c r="C542" i="78"/>
  <c r="C406" i="78"/>
  <c r="C140" i="78"/>
  <c r="C414" i="78"/>
  <c r="C413" i="78"/>
  <c r="C828" i="78"/>
  <c r="C222" i="78"/>
  <c r="C126" i="78"/>
  <c r="C130" i="78"/>
  <c r="C125" i="78"/>
  <c r="C124" i="78"/>
  <c r="C123" i="78"/>
  <c r="C7" i="3"/>
  <c r="C15" i="95"/>
  <c r="C5" i="95"/>
  <c r="C6" i="95"/>
  <c r="C7" i="95"/>
  <c r="C37" i="95"/>
  <c r="C39" i="95"/>
  <c r="C40" i="95"/>
  <c r="C13" i="95"/>
  <c r="C14" i="95"/>
  <c r="C21" i="95"/>
  <c r="C22" i="95"/>
  <c r="C12" i="95"/>
  <c r="C4" i="95"/>
  <c r="G11" i="70"/>
  <c r="I11" i="70" s="1"/>
  <c r="G12" i="70"/>
  <c r="H12" i="70" s="1"/>
  <c r="G24" i="70"/>
  <c r="H24" i="70" s="1"/>
  <c r="B9" i="3"/>
  <c r="O45" i="70"/>
  <c r="N45" i="70"/>
  <c r="P45" i="70"/>
  <c r="P80" i="70"/>
  <c r="P81" i="70"/>
  <c r="O81" i="70"/>
  <c r="O80" i="70"/>
  <c r="N81" i="70"/>
  <c r="N80" i="70"/>
  <c r="P97" i="70"/>
  <c r="O61" i="70"/>
  <c r="P77" i="70"/>
  <c r="P13" i="70"/>
  <c r="P68" i="70"/>
  <c r="N106" i="70"/>
  <c r="O100" i="70"/>
  <c r="N61" i="70"/>
  <c r="P72" i="70"/>
  <c r="P79" i="70"/>
  <c r="P75" i="70"/>
  <c r="P15" i="70"/>
  <c r="O47" i="70"/>
  <c r="O52" i="70"/>
  <c r="O49" i="70"/>
  <c r="O73" i="70"/>
  <c r="O79" i="70"/>
  <c r="O74" i="70"/>
  <c r="O15" i="70"/>
  <c r="P92" i="70"/>
  <c r="P106" i="70"/>
  <c r="P101" i="70"/>
  <c r="P103" i="70"/>
  <c r="P104" i="70"/>
  <c r="O115" i="70"/>
  <c r="O104" i="70"/>
  <c r="N55" i="70"/>
  <c r="P35" i="70"/>
  <c r="N49" i="70"/>
  <c r="O64" i="70"/>
  <c r="N15" i="70"/>
  <c r="P117" i="70"/>
  <c r="N97" i="70"/>
  <c r="O13" i="70"/>
  <c r="P116" i="70"/>
  <c r="N13" i="70"/>
  <c r="P14" i="70"/>
  <c r="N56" i="70"/>
  <c r="P42" i="70"/>
  <c r="O57" i="70"/>
  <c r="N115" i="70"/>
  <c r="P98" i="70"/>
  <c r="P85" i="70"/>
  <c r="P41" i="70"/>
  <c r="N26" i="70"/>
  <c r="N41" i="70"/>
  <c r="N31" i="70"/>
  <c r="N87" i="70"/>
  <c r="N25" i="70"/>
  <c r="N29" i="70"/>
  <c r="N86" i="70"/>
  <c r="P86" i="70"/>
  <c r="N117" i="70"/>
  <c r="N116" i="70"/>
  <c r="O113" i="70"/>
  <c r="N40" i="70"/>
  <c r="N114" i="70"/>
  <c r="N85" i="70"/>
  <c r="N84" i="70"/>
  <c r="P27" i="70"/>
  <c r="N12" i="70"/>
  <c r="N103" i="70"/>
  <c r="N32" i="70"/>
  <c r="N43" i="70"/>
  <c r="P23" i="70"/>
  <c r="P96" i="70"/>
  <c r="N11" i="70"/>
  <c r="P25" i="70"/>
  <c r="P87" i="70"/>
  <c r="O54" i="70"/>
  <c r="P26" i="70"/>
  <c r="P113" i="70"/>
  <c r="P114" i="70"/>
  <c r="O98" i="70"/>
  <c r="O23" i="70"/>
  <c r="N33" i="70"/>
  <c r="P84" i="70"/>
  <c r="O96" i="70"/>
  <c r="N24" i="70"/>
  <c r="P11" i="70"/>
  <c r="P29" i="70"/>
  <c r="N99" i="70"/>
  <c r="N101" i="70"/>
  <c r="O12" i="70"/>
  <c r="P31" i="70"/>
  <c r="O31" i="70"/>
  <c r="P24" i="70"/>
  <c r="P32" i="70"/>
  <c r="O27" i="70"/>
  <c r="P12" i="70"/>
  <c r="P43" i="70"/>
  <c r="O40" i="70"/>
  <c r="N64" i="70"/>
  <c r="O11" i="70"/>
  <c r="O114" i="70"/>
  <c r="O38" i="70"/>
  <c r="O25" i="70"/>
  <c r="O68" i="70"/>
  <c r="P28" i="70"/>
  <c r="N76" i="70"/>
  <c r="N52" i="70"/>
  <c r="P67" i="70"/>
  <c r="N47" i="70"/>
  <c r="N75" i="70"/>
  <c r="O99" i="70"/>
  <c r="O14" i="70"/>
  <c r="P44" i="70"/>
  <c r="P3" i="70"/>
  <c r="P33" i="70"/>
  <c r="P60" i="70"/>
  <c r="P56" i="70"/>
  <c r="N63" i="70"/>
  <c r="N102" i="70"/>
  <c r="P115" i="70"/>
  <c r="P40" i="70"/>
  <c r="P99" i="70"/>
  <c r="P102" i="70"/>
  <c r="O101" i="70"/>
  <c r="O24" i="70"/>
  <c r="O32" i="70"/>
  <c r="O86" i="70"/>
  <c r="O66" i="70"/>
  <c r="O55" i="70"/>
  <c r="O65" i="70"/>
  <c r="N36" i="70"/>
  <c r="P47" i="70"/>
  <c r="N59" i="70"/>
  <c r="O48" i="70"/>
  <c r="O26" i="70"/>
  <c r="P89" i="70"/>
  <c r="P66" i="70"/>
  <c r="N58" i="70"/>
  <c r="P49" i="70"/>
  <c r="O44" i="70"/>
  <c r="O67" i="70"/>
  <c r="N54" i="70"/>
  <c r="N100" i="70"/>
  <c r="O106" i="70"/>
  <c r="O88" i="70"/>
  <c r="P46" i="70"/>
  <c r="N70" i="70"/>
  <c r="P78" i="70"/>
  <c r="O84" i="70"/>
  <c r="P2" i="70"/>
  <c r="P65" i="70"/>
  <c r="O37" i="70"/>
  <c r="P59" i="70"/>
  <c r="P61" i="70"/>
  <c r="N69" i="70"/>
  <c r="P57" i="70"/>
  <c r="O29" i="70"/>
  <c r="P36" i="70"/>
  <c r="O102" i="70"/>
  <c r="N68" i="70"/>
  <c r="O51" i="70"/>
  <c r="O58" i="70"/>
  <c r="N51" i="70"/>
  <c r="O70" i="70"/>
  <c r="O85" i="70"/>
  <c r="O59" i="70"/>
  <c r="N50" i="70"/>
  <c r="N53" i="70"/>
  <c r="P64" i="70"/>
  <c r="O41" i="70"/>
  <c r="O89" i="70"/>
  <c r="N66" i="70"/>
  <c r="O36" i="70"/>
  <c r="P37" i="70"/>
  <c r="O53" i="70"/>
  <c r="P71" i="70"/>
  <c r="N104" i="70"/>
  <c r="N105" i="70"/>
  <c r="O97" i="70"/>
  <c r="P100" i="70"/>
  <c r="N2" i="70"/>
  <c r="N3" i="70"/>
  <c r="O35" i="70"/>
  <c r="O50" i="70"/>
  <c r="P73" i="70"/>
  <c r="N78" i="70"/>
  <c r="N37" i="70"/>
  <c r="O46" i="70"/>
  <c r="N60" i="70"/>
  <c r="O69" i="70"/>
  <c r="N57" i="70"/>
  <c r="P62" i="70"/>
  <c r="O71" i="70"/>
  <c r="N77" i="70"/>
  <c r="P74" i="70"/>
  <c r="O75" i="70"/>
  <c r="P51" i="70"/>
  <c r="O56" i="70"/>
  <c r="P63" i="70"/>
  <c r="P76" i="70"/>
  <c r="O3" i="70"/>
  <c r="N38" i="70"/>
  <c r="N44" i="70"/>
  <c r="O103" i="70"/>
  <c r="O91" i="70"/>
  <c r="O116" i="70"/>
  <c r="N88" i="70"/>
  <c r="P54" i="70"/>
  <c r="O2" i="70"/>
  <c r="O33" i="70"/>
  <c r="P105" i="70"/>
  <c r="O92" i="70"/>
  <c r="O117" i="70"/>
  <c r="O87" i="70"/>
  <c r="P88" i="70"/>
  <c r="N89" i="70"/>
  <c r="P38" i="70"/>
  <c r="N65" i="70"/>
  <c r="O105" i="70"/>
  <c r="O43" i="70"/>
  <c r="O42" i="70"/>
  <c r="P55" i="70"/>
  <c r="N67" i="70"/>
  <c r="N46" i="70"/>
  <c r="P58" i="70"/>
  <c r="P50" i="70"/>
  <c r="P52" i="70"/>
  <c r="P53" i="70"/>
  <c r="P69" i="70"/>
  <c r="O63" i="70"/>
  <c r="N73" i="70"/>
  <c r="N71" i="70"/>
  <c r="N79" i="70"/>
  <c r="O78" i="70"/>
  <c r="O77" i="70"/>
  <c r="P70" i="70"/>
  <c r="O62" i="70"/>
  <c r="N72" i="70"/>
  <c r="O60" i="70"/>
  <c r="P48" i="70"/>
  <c r="O72" i="70"/>
  <c r="O76" i="70"/>
  <c r="P10" i="70"/>
  <c r="N10" i="70"/>
  <c r="O10" i="70"/>
  <c r="AA128" i="178" l="1"/>
  <c r="AB128" i="178" s="1"/>
  <c r="AC695" i="178"/>
  <c r="AC562" i="178"/>
  <c r="N110" i="70"/>
  <c r="X128" i="178"/>
  <c r="Z128" i="178" s="1"/>
  <c r="AC157" i="178"/>
  <c r="AC779" i="178"/>
  <c r="AC410" i="178"/>
  <c r="AA916" i="178"/>
  <c r="AB916" i="178" s="1"/>
  <c r="AA917" i="178"/>
  <c r="AB917" i="178" s="1"/>
  <c r="AA914" i="178"/>
  <c r="AB914" i="178" s="1"/>
  <c r="AA318" i="178"/>
  <c r="AB318" i="178" s="1"/>
  <c r="AA923" i="178"/>
  <c r="AB923" i="178" s="1"/>
  <c r="AA924" i="178"/>
  <c r="AB924" i="178" s="1"/>
  <c r="AA962" i="178"/>
  <c r="AB962" i="178" s="1"/>
  <c r="AA961" i="178"/>
  <c r="AB961" i="178" s="1"/>
  <c r="AA852" i="178"/>
  <c r="AB852" i="178" s="1"/>
  <c r="AA850" i="178"/>
  <c r="AB850" i="178" s="1"/>
  <c r="AA849" i="178"/>
  <c r="AB849" i="178" s="1"/>
  <c r="AA851" i="178"/>
  <c r="AB851" i="178" s="1"/>
  <c r="AA848" i="178"/>
  <c r="AB848" i="178" s="1"/>
  <c r="AA846" i="178"/>
  <c r="AB846" i="178" s="1"/>
  <c r="AA847" i="178"/>
  <c r="AB847" i="178" s="1"/>
  <c r="AA719" i="178"/>
  <c r="AB719" i="178" s="1"/>
  <c r="AA718" i="178"/>
  <c r="AB718" i="178" s="1"/>
  <c r="AA668" i="178"/>
  <c r="AB668" i="178" s="1"/>
  <c r="AA667" i="178"/>
  <c r="AB667" i="178" s="1"/>
  <c r="AA665" i="178"/>
  <c r="AB665" i="178" s="1"/>
  <c r="AA666" i="178"/>
  <c r="AB666" i="178" s="1"/>
  <c r="AA669" i="178"/>
  <c r="AB669" i="178" s="1"/>
  <c r="AA597" i="178"/>
  <c r="AB597" i="178" s="1"/>
  <c r="AA595" i="178"/>
  <c r="AB595" i="178" s="1"/>
  <c r="AA596" i="178"/>
  <c r="AB596" i="178" s="1"/>
  <c r="AA600" i="178"/>
  <c r="AB600" i="178" s="1"/>
  <c r="AA583" i="178"/>
  <c r="AB583" i="178" s="1"/>
  <c r="AA585" i="178"/>
  <c r="AB585" i="178" s="1"/>
  <c r="X916" i="178"/>
  <c r="Z916" i="178" s="1"/>
  <c r="X917" i="178"/>
  <c r="Z917" i="178" s="1"/>
  <c r="X914" i="178"/>
  <c r="Z914" i="178" s="1"/>
  <c r="X924" i="178"/>
  <c r="Z924" i="178" s="1"/>
  <c r="X923" i="178"/>
  <c r="Z923" i="178" s="1"/>
  <c r="X962" i="178"/>
  <c r="Z962" i="178" s="1"/>
  <c r="X961" i="178"/>
  <c r="Z961" i="178" s="1"/>
  <c r="X846" i="178"/>
  <c r="Z846" i="178" s="1"/>
  <c r="X848" i="178"/>
  <c r="Z848" i="178" s="1"/>
  <c r="X850" i="178"/>
  <c r="Z850" i="178" s="1"/>
  <c r="X849" i="178"/>
  <c r="Z849" i="178" s="1"/>
  <c r="X847" i="178"/>
  <c r="Z847" i="178" s="1"/>
  <c r="X852" i="178"/>
  <c r="Z852" i="178" s="1"/>
  <c r="X851" i="178"/>
  <c r="Z851" i="178" s="1"/>
  <c r="X719" i="178"/>
  <c r="Z719" i="178" s="1"/>
  <c r="X718" i="178"/>
  <c r="Z718" i="178" s="1"/>
  <c r="X667" i="178"/>
  <c r="Z667" i="178" s="1"/>
  <c r="X665" i="178"/>
  <c r="Z665" i="178" s="1"/>
  <c r="X668" i="178"/>
  <c r="Z668" i="178" s="1"/>
  <c r="X666" i="178"/>
  <c r="Z666" i="178" s="1"/>
  <c r="X669" i="178"/>
  <c r="Z669" i="178" s="1"/>
  <c r="X595" i="178"/>
  <c r="Z595" i="178" s="1"/>
  <c r="X597" i="178"/>
  <c r="Z597" i="178" s="1"/>
  <c r="X596" i="178"/>
  <c r="Z596" i="178" s="1"/>
  <c r="X600" i="178"/>
  <c r="Z600" i="178" s="1"/>
  <c r="X583" i="178"/>
  <c r="Z583" i="178" s="1"/>
  <c r="X585" i="178"/>
  <c r="Z585" i="178" s="1"/>
  <c r="AA915" i="178"/>
  <c r="AB915" i="178" s="1"/>
  <c r="AA35" i="178"/>
  <c r="AB35" i="178" s="1"/>
  <c r="AA36" i="178"/>
  <c r="AB36" i="178" s="1"/>
  <c r="AA37" i="178"/>
  <c r="AB37" i="178" s="1"/>
  <c r="AA133" i="178"/>
  <c r="AB133" i="178" s="1"/>
  <c r="AA48" i="178"/>
  <c r="AB48" i="178" s="1"/>
  <c r="X318" i="178"/>
  <c r="Z318" i="178" s="1"/>
  <c r="AA944" i="178"/>
  <c r="AB944" i="178" s="1"/>
  <c r="AA941" i="178"/>
  <c r="AB941" i="178" s="1"/>
  <c r="AA940" i="178"/>
  <c r="AB940" i="178" s="1"/>
  <c r="AA943" i="178"/>
  <c r="AB943" i="178" s="1"/>
  <c r="AA942" i="178"/>
  <c r="AB942" i="178" s="1"/>
  <c r="AA836" i="178"/>
  <c r="AB836" i="178" s="1"/>
  <c r="AA838" i="178"/>
  <c r="AB838" i="178" s="1"/>
  <c r="AA837" i="178"/>
  <c r="AB837" i="178" s="1"/>
  <c r="AA840" i="178"/>
  <c r="AB840" i="178" s="1"/>
  <c r="AA839" i="178"/>
  <c r="AB839" i="178" s="1"/>
  <c r="AC57" i="178"/>
  <c r="X915" i="178"/>
  <c r="Z915" i="178" s="1"/>
  <c r="X35" i="178"/>
  <c r="Z35" i="178" s="1"/>
  <c r="X36" i="178"/>
  <c r="Z36" i="178" s="1"/>
  <c r="X37" i="178"/>
  <c r="Z37" i="178" s="1"/>
  <c r="X133" i="178"/>
  <c r="Z133" i="178" s="1"/>
  <c r="X48" i="178"/>
  <c r="Z48" i="178" s="1"/>
  <c r="AC427" i="178"/>
  <c r="X941" i="178"/>
  <c r="Z941" i="178" s="1"/>
  <c r="X942" i="178"/>
  <c r="Z942" i="178" s="1"/>
  <c r="X940" i="178"/>
  <c r="Z940" i="178" s="1"/>
  <c r="X944" i="178"/>
  <c r="Z944" i="178" s="1"/>
  <c r="X943" i="178"/>
  <c r="Z943" i="178" s="1"/>
  <c r="AC922" i="178"/>
  <c r="X838" i="178"/>
  <c r="Z838" i="178" s="1"/>
  <c r="X839" i="178"/>
  <c r="Z839" i="178" s="1"/>
  <c r="X840" i="178"/>
  <c r="Z840" i="178" s="1"/>
  <c r="X836" i="178"/>
  <c r="Z836" i="178" s="1"/>
  <c r="X837" i="178"/>
  <c r="Z837" i="178" s="1"/>
  <c r="AC775" i="178"/>
  <c r="AC720" i="178"/>
  <c r="AC631" i="178"/>
  <c r="AC988" i="178"/>
  <c r="AC703" i="178"/>
  <c r="AA220" i="178"/>
  <c r="AB220" i="178" s="1"/>
  <c r="AC220" i="178" s="1"/>
  <c r="AC94" i="178"/>
  <c r="AC736" i="178"/>
  <c r="AC739" i="178"/>
  <c r="AA1028" i="178"/>
  <c r="AB1028" i="178" s="1"/>
  <c r="AA1026" i="178"/>
  <c r="AB1026" i="178" s="1"/>
  <c r="AA1025" i="178"/>
  <c r="AB1025" i="178" s="1"/>
  <c r="X479" i="178"/>
  <c r="Z479" i="178" s="1"/>
  <c r="X480" i="178"/>
  <c r="Z480" i="178" s="1"/>
  <c r="X481" i="178"/>
  <c r="Z481" i="178" s="1"/>
  <c r="AA396" i="178"/>
  <c r="AB396" i="178" s="1"/>
  <c r="AA397" i="178"/>
  <c r="AB397" i="178" s="1"/>
  <c r="AA394" i="178"/>
  <c r="AB394" i="178" s="1"/>
  <c r="AA395" i="178"/>
  <c r="AB395" i="178" s="1"/>
  <c r="AA388" i="178"/>
  <c r="AB388" i="178" s="1"/>
  <c r="AA387" i="178"/>
  <c r="AB387" i="178" s="1"/>
  <c r="AA389" i="178"/>
  <c r="AB389" i="178" s="1"/>
  <c r="AA101" i="178"/>
  <c r="AB101" i="178" s="1"/>
  <c r="AA103" i="178"/>
  <c r="AB103" i="178" s="1"/>
  <c r="AA102" i="178"/>
  <c r="AB102" i="178" s="1"/>
  <c r="AA100" i="178"/>
  <c r="AB100" i="178" s="1"/>
  <c r="AA219" i="178"/>
  <c r="AB219" i="178" s="1"/>
  <c r="AA215" i="178"/>
  <c r="AB215" i="178" s="1"/>
  <c r="AA216" i="178"/>
  <c r="AB216" i="178" s="1"/>
  <c r="AA217" i="178"/>
  <c r="AB217" i="178" s="1"/>
  <c r="AA218" i="178"/>
  <c r="AB218" i="178" s="1"/>
  <c r="X1025" i="178"/>
  <c r="Z1025" i="178" s="1"/>
  <c r="X1028" i="178"/>
  <c r="Z1028" i="178" s="1"/>
  <c r="X1026" i="178"/>
  <c r="Z1026" i="178" s="1"/>
  <c r="AA969" i="178"/>
  <c r="AB969" i="178" s="1"/>
  <c r="AA973" i="178"/>
  <c r="AB973" i="178" s="1"/>
  <c r="AA971" i="178"/>
  <c r="AB971" i="178" s="1"/>
  <c r="AA970" i="178"/>
  <c r="AB970" i="178" s="1"/>
  <c r="AA972" i="178"/>
  <c r="AB972" i="178" s="1"/>
  <c r="AC440" i="178"/>
  <c r="X397" i="178"/>
  <c r="Z397" i="178" s="1"/>
  <c r="AC397" i="178" s="1"/>
  <c r="X396" i="178"/>
  <c r="Z396" i="178" s="1"/>
  <c r="X394" i="178"/>
  <c r="Z394" i="178" s="1"/>
  <c r="X395" i="178"/>
  <c r="Z395" i="178" s="1"/>
  <c r="X387" i="178"/>
  <c r="Z387" i="178" s="1"/>
  <c r="AC387" i="178" s="1"/>
  <c r="X389" i="178"/>
  <c r="Z389" i="178" s="1"/>
  <c r="AC389" i="178" s="1"/>
  <c r="X388" i="178"/>
  <c r="Z388" i="178" s="1"/>
  <c r="AC184" i="178"/>
  <c r="AA87" i="178"/>
  <c r="AB87" i="178" s="1"/>
  <c r="AA91" i="178"/>
  <c r="AB91" i="178" s="1"/>
  <c r="AA90" i="178"/>
  <c r="AB90" i="178" s="1"/>
  <c r="X102" i="178"/>
  <c r="Z102" i="178" s="1"/>
  <c r="X101" i="178"/>
  <c r="Z101" i="178" s="1"/>
  <c r="X103" i="178"/>
  <c r="Z103" i="178" s="1"/>
  <c r="X100" i="178"/>
  <c r="Z100" i="178" s="1"/>
  <c r="AC702" i="178"/>
  <c r="AC1033" i="178"/>
  <c r="AA393" i="178"/>
  <c r="AB393" i="178" s="1"/>
  <c r="AA392" i="178"/>
  <c r="AB392" i="178" s="1"/>
  <c r="AA39" i="178"/>
  <c r="AB39" i="178" s="1"/>
  <c r="AA38" i="178"/>
  <c r="AB38" i="178" s="1"/>
  <c r="X91" i="178"/>
  <c r="Z91" i="178" s="1"/>
  <c r="X90" i="178"/>
  <c r="Z90" i="178" s="1"/>
  <c r="X87" i="178"/>
  <c r="Z87" i="178" s="1"/>
  <c r="AA110" i="178"/>
  <c r="AB110" i="178" s="1"/>
  <c r="AA109" i="178"/>
  <c r="AB109" i="178" s="1"/>
  <c r="AA112" i="178"/>
  <c r="AB112" i="178" s="1"/>
  <c r="AA111" i="178"/>
  <c r="AB111" i="178" s="1"/>
  <c r="AA213" i="178"/>
  <c r="AB213" i="178" s="1"/>
  <c r="AA214" i="178"/>
  <c r="AB214" i="178" s="1"/>
  <c r="AC977" i="178"/>
  <c r="AC1022" i="178"/>
  <c r="AC698" i="178"/>
  <c r="X970" i="178"/>
  <c r="Z970" i="178" s="1"/>
  <c r="X972" i="178"/>
  <c r="Z972" i="178" s="1"/>
  <c r="X971" i="178"/>
  <c r="Z971" i="178" s="1"/>
  <c r="X969" i="178"/>
  <c r="Z969" i="178" s="1"/>
  <c r="X973" i="178"/>
  <c r="Z973" i="178" s="1"/>
  <c r="AA480" i="178"/>
  <c r="AB480" i="178" s="1"/>
  <c r="AA481" i="178"/>
  <c r="AB481" i="178" s="1"/>
  <c r="AA479" i="178"/>
  <c r="AB479" i="178" s="1"/>
  <c r="X393" i="178"/>
  <c r="Z393" i="178" s="1"/>
  <c r="X392" i="178"/>
  <c r="Z392" i="178" s="1"/>
  <c r="AC231" i="178"/>
  <c r="X39" i="178"/>
  <c r="Z39" i="178" s="1"/>
  <c r="X38" i="178"/>
  <c r="Z38" i="178" s="1"/>
  <c r="AC20" i="178"/>
  <c r="AC474" i="178"/>
  <c r="X110" i="178"/>
  <c r="Z110" i="178" s="1"/>
  <c r="AC110" i="178" s="1"/>
  <c r="X112" i="178"/>
  <c r="Z112" i="178" s="1"/>
  <c r="X109" i="178"/>
  <c r="Z109" i="178" s="1"/>
  <c r="X111" i="178"/>
  <c r="Z111" i="178" s="1"/>
  <c r="AC111" i="178" s="1"/>
  <c r="X214" i="178"/>
  <c r="Z214" i="178" s="1"/>
  <c r="X213" i="178"/>
  <c r="Z213" i="178" s="1"/>
  <c r="X219" i="178"/>
  <c r="Z219" i="178" s="1"/>
  <c r="X215" i="178"/>
  <c r="Z215" i="178" s="1"/>
  <c r="X218" i="178"/>
  <c r="Z218" i="178" s="1"/>
  <c r="X217" i="178"/>
  <c r="Z217" i="178" s="1"/>
  <c r="X216" i="178"/>
  <c r="Z216" i="178" s="1"/>
  <c r="AA522" i="178"/>
  <c r="AB522" i="178" s="1"/>
  <c r="X522" i="178"/>
  <c r="Z522" i="178" s="1"/>
  <c r="AA956" i="178"/>
  <c r="AB956" i="178" s="1"/>
  <c r="AA958" i="178"/>
  <c r="AB958" i="178" s="1"/>
  <c r="AA957" i="178"/>
  <c r="AB957" i="178" s="1"/>
  <c r="X957" i="178"/>
  <c r="Z957" i="178" s="1"/>
  <c r="X956" i="178"/>
  <c r="Z956" i="178" s="1"/>
  <c r="X958" i="178"/>
  <c r="Z958" i="178" s="1"/>
  <c r="AA1002" i="178"/>
  <c r="AB1002" i="178" s="1"/>
  <c r="AA1012" i="178"/>
  <c r="AB1012" i="178" s="1"/>
  <c r="AA1014" i="178"/>
  <c r="AB1014" i="178" s="1"/>
  <c r="AA1001" i="178"/>
  <c r="AB1001" i="178" s="1"/>
  <c r="AA1011" i="178"/>
  <c r="AB1011" i="178" s="1"/>
  <c r="AA1013" i="178"/>
  <c r="AB1013" i="178" s="1"/>
  <c r="AA592" i="178"/>
  <c r="AB592" i="178" s="1"/>
  <c r="X1011" i="178"/>
  <c r="Z1011" i="178" s="1"/>
  <c r="X1013" i="178"/>
  <c r="Z1013" i="178" s="1"/>
  <c r="X592" i="178"/>
  <c r="Z592" i="178" s="1"/>
  <c r="X1002" i="178"/>
  <c r="Z1002" i="178" s="1"/>
  <c r="X1012" i="178"/>
  <c r="Z1012" i="178" s="1"/>
  <c r="X1014" i="178"/>
  <c r="Z1014" i="178" s="1"/>
  <c r="X1001" i="178"/>
  <c r="Z1001" i="178" s="1"/>
  <c r="AA228" i="178"/>
  <c r="AB228" i="178" s="1"/>
  <c r="AA262" i="178"/>
  <c r="AB262" i="178" s="1"/>
  <c r="AA267" i="178"/>
  <c r="AB267" i="178" s="1"/>
  <c r="AA993" i="178"/>
  <c r="AB993" i="178" s="1"/>
  <c r="X192" i="178"/>
  <c r="Z192" i="178" s="1"/>
  <c r="AA79" i="178"/>
  <c r="AB79" i="178" s="1"/>
  <c r="AA791" i="178"/>
  <c r="AB791" i="178" s="1"/>
  <c r="AA552" i="178"/>
  <c r="AB552" i="178" s="1"/>
  <c r="X114" i="178"/>
  <c r="Z114" i="178" s="1"/>
  <c r="X179" i="178"/>
  <c r="Z179" i="178" s="1"/>
  <c r="AA233" i="178"/>
  <c r="AB233" i="178" s="1"/>
  <c r="AA234" i="178"/>
  <c r="AB234" i="178" s="1"/>
  <c r="P27" i="183"/>
  <c r="T27" i="183" s="1"/>
  <c r="AA473" i="178"/>
  <c r="AB473" i="178" s="1"/>
  <c r="X603" i="178"/>
  <c r="Z603" i="178" s="1"/>
  <c r="X604" i="178"/>
  <c r="Z604" i="178" s="1"/>
  <c r="X610" i="178"/>
  <c r="Z610" i="178" s="1"/>
  <c r="X470" i="178"/>
  <c r="Z470" i="178" s="1"/>
  <c r="X825" i="178"/>
  <c r="Z825" i="178" s="1"/>
  <c r="X615" i="178"/>
  <c r="Z615" i="178" s="1"/>
  <c r="X681" i="178"/>
  <c r="Z681" i="178" s="1"/>
  <c r="X685" i="178"/>
  <c r="Z685" i="178" s="1"/>
  <c r="X773" i="178"/>
  <c r="Z773" i="178" s="1"/>
  <c r="AA616" i="178"/>
  <c r="AB616" i="178" s="1"/>
  <c r="AA805" i="178"/>
  <c r="AB805" i="178" s="1"/>
  <c r="AA195" i="178"/>
  <c r="AB195" i="178" s="1"/>
  <c r="AA831" i="178"/>
  <c r="AB831" i="178" s="1"/>
  <c r="AA833" i="178"/>
  <c r="AB833" i="178" s="1"/>
  <c r="AA844" i="178"/>
  <c r="AB844" i="178" s="1"/>
  <c r="AA778" i="178"/>
  <c r="AB778" i="178" s="1"/>
  <c r="AA197" i="178"/>
  <c r="AB197" i="178" s="1"/>
  <c r="AA618" i="178"/>
  <c r="AB618" i="178" s="1"/>
  <c r="N84" i="183"/>
  <c r="X886" i="178"/>
  <c r="Z886" i="178" s="1"/>
  <c r="AA963" i="178"/>
  <c r="AB963" i="178" s="1"/>
  <c r="P110" i="70"/>
  <c r="N125" i="183"/>
  <c r="AA1040" i="178"/>
  <c r="AB1040" i="178" s="1"/>
  <c r="AA968" i="178"/>
  <c r="AB968" i="178" s="1"/>
  <c r="AA1035" i="178"/>
  <c r="AB1035" i="178" s="1"/>
  <c r="AA451" i="178"/>
  <c r="AB451" i="178" s="1"/>
  <c r="AA657" i="178"/>
  <c r="AB657" i="178" s="1"/>
  <c r="AA168" i="178"/>
  <c r="AB168" i="178" s="1"/>
  <c r="AA624" i="178"/>
  <c r="AB624" i="178" s="1"/>
  <c r="AA650" i="178"/>
  <c r="AB650" i="178" s="1"/>
  <c r="AA658" i="178"/>
  <c r="AB658" i="178" s="1"/>
  <c r="AA88" i="178"/>
  <c r="AB88" i="178" s="1"/>
  <c r="AA660" i="178"/>
  <c r="AB660" i="178" s="1"/>
  <c r="AA1003" i="178"/>
  <c r="AB1003" i="178" s="1"/>
  <c r="AA664" i="178"/>
  <c r="AB664" i="178" s="1"/>
  <c r="AA663" i="178"/>
  <c r="AB663" i="178" s="1"/>
  <c r="AA774" i="178"/>
  <c r="AB774" i="178" s="1"/>
  <c r="N105" i="183"/>
  <c r="X937" i="178"/>
  <c r="Z937" i="178" s="1"/>
  <c r="AA931" i="178"/>
  <c r="AB931" i="178" s="1"/>
  <c r="AA887" i="178"/>
  <c r="AB887" i="178" s="1"/>
  <c r="AA892" i="178"/>
  <c r="AB892" i="178" s="1"/>
  <c r="AA801" i="178"/>
  <c r="AB801" i="178" s="1"/>
  <c r="AA787" i="178"/>
  <c r="AB787" i="178" s="1"/>
  <c r="AA788" i="178"/>
  <c r="AB788" i="178" s="1"/>
  <c r="N25" i="183"/>
  <c r="X460" i="178"/>
  <c r="Z460" i="178" s="1"/>
  <c r="X459" i="178"/>
  <c r="Z459" i="178" s="1"/>
  <c r="X461" i="178"/>
  <c r="Z461" i="178" s="1"/>
  <c r="AA406" i="178"/>
  <c r="AB406" i="178" s="1"/>
  <c r="AA423" i="178"/>
  <c r="AB423" i="178" s="1"/>
  <c r="AA697" i="178"/>
  <c r="AB697" i="178" s="1"/>
  <c r="AA454" i="178"/>
  <c r="AB454" i="178" s="1"/>
  <c r="X933" i="178"/>
  <c r="Z933" i="178" s="1"/>
  <c r="X558" i="178"/>
  <c r="Z558" i="178" s="1"/>
  <c r="X717" i="178"/>
  <c r="Z717" i="178" s="1"/>
  <c r="X767" i="178"/>
  <c r="Z767" i="178" s="1"/>
  <c r="X645" i="178"/>
  <c r="Z645" i="178" s="1"/>
  <c r="X32" i="178"/>
  <c r="Z32" i="178" s="1"/>
  <c r="X557" i="178"/>
  <c r="Z557" i="178" s="1"/>
  <c r="X623" i="178"/>
  <c r="Z623" i="178" s="1"/>
  <c r="X401" i="178"/>
  <c r="Z401" i="178" s="1"/>
  <c r="X772" i="178"/>
  <c r="Z772" i="178" s="1"/>
  <c r="X644" i="178"/>
  <c r="Z644" i="178" s="1"/>
  <c r="X929" i="178"/>
  <c r="Z929" i="178" s="1"/>
  <c r="X399" i="178"/>
  <c r="Z399" i="178" s="1"/>
  <c r="X863" i="178"/>
  <c r="Z863" i="178" s="1"/>
  <c r="X865" i="178"/>
  <c r="Z865" i="178" s="1"/>
  <c r="X867" i="178"/>
  <c r="Z867" i="178" s="1"/>
  <c r="X200" i="178"/>
  <c r="Z200" i="178" s="1"/>
  <c r="X864" i="178"/>
  <c r="Z864" i="178" s="1"/>
  <c r="X866" i="178"/>
  <c r="Z866" i="178" s="1"/>
  <c r="X868" i="178"/>
  <c r="Z868" i="178" s="1"/>
  <c r="X862" i="178"/>
  <c r="Z862" i="178" s="1"/>
  <c r="X574" i="178"/>
  <c r="Z574" i="178" s="1"/>
  <c r="X860" i="178"/>
  <c r="Z860" i="178" s="1"/>
  <c r="X198" i="178"/>
  <c r="Z198" i="178" s="1"/>
  <c r="X769" i="178"/>
  <c r="Z769" i="178" s="1"/>
  <c r="X826" i="178"/>
  <c r="Z826" i="178" s="1"/>
  <c r="X857" i="178"/>
  <c r="Z857" i="178" s="1"/>
  <c r="X431" i="178"/>
  <c r="Z431" i="178" s="1"/>
  <c r="X858" i="178"/>
  <c r="Z858" i="178" s="1"/>
  <c r="X619" i="178"/>
  <c r="Z619" i="178" s="1"/>
  <c r="AA193" i="178"/>
  <c r="AB193" i="178" s="1"/>
  <c r="AA790" i="178"/>
  <c r="AB790" i="178" s="1"/>
  <c r="AA789" i="178"/>
  <c r="AB789" i="178" s="1"/>
  <c r="AA189" i="178"/>
  <c r="AB189" i="178" s="1"/>
  <c r="AA673" i="178"/>
  <c r="AB673" i="178" s="1"/>
  <c r="AA729" i="178"/>
  <c r="AB729" i="178" s="1"/>
  <c r="AA605" i="178"/>
  <c r="AB605" i="178" s="1"/>
  <c r="X176" i="178"/>
  <c r="Z176" i="178" s="1"/>
  <c r="X672" i="178"/>
  <c r="Z672" i="178" s="1"/>
  <c r="X1017" i="178"/>
  <c r="Z1017" i="178" s="1"/>
  <c r="X598" i="178"/>
  <c r="Z598" i="178" s="1"/>
  <c r="X765" i="178"/>
  <c r="Z765" i="178" s="1"/>
  <c r="X670" i="178"/>
  <c r="Z670" i="178" s="1"/>
  <c r="X182" i="178"/>
  <c r="Z182" i="178" s="1"/>
  <c r="X183" i="178"/>
  <c r="Z183" i="178" s="1"/>
  <c r="X150" i="178"/>
  <c r="Z150" i="178" s="1"/>
  <c r="N98" i="70"/>
  <c r="X810" i="178"/>
  <c r="Z810" i="178" s="1"/>
  <c r="X812" i="178"/>
  <c r="Z812" i="178" s="1"/>
  <c r="X814" i="178"/>
  <c r="Z814" i="178" s="1"/>
  <c r="X816" i="178"/>
  <c r="Z816" i="178" s="1"/>
  <c r="X809" i="178"/>
  <c r="Z809" i="178" s="1"/>
  <c r="X811" i="178"/>
  <c r="Z811" i="178" s="1"/>
  <c r="X813" i="178"/>
  <c r="Z813" i="178" s="1"/>
  <c r="X815" i="178"/>
  <c r="Z815" i="178" s="1"/>
  <c r="X1037" i="178"/>
  <c r="Z1037" i="178" s="1"/>
  <c r="X1036" i="178"/>
  <c r="Z1036" i="178" s="1"/>
  <c r="X761" i="178"/>
  <c r="Z761" i="178" s="1"/>
  <c r="X760" i="178"/>
  <c r="Z760" i="178" s="1"/>
  <c r="AA647" i="178"/>
  <c r="AB647" i="178" s="1"/>
  <c r="AA648" i="178"/>
  <c r="AB648" i="178" s="1"/>
  <c r="AA580" i="178"/>
  <c r="AB580" i="178" s="1"/>
  <c r="AA606" i="178"/>
  <c r="AB606" i="178" s="1"/>
  <c r="AA567" i="178"/>
  <c r="AB567" i="178" s="1"/>
  <c r="AA571" i="178"/>
  <c r="AB571" i="178" s="1"/>
  <c r="AA536" i="178"/>
  <c r="AB536" i="178" s="1"/>
  <c r="AA538" i="178"/>
  <c r="AB538" i="178" s="1"/>
  <c r="AA546" i="178"/>
  <c r="AB546" i="178" s="1"/>
  <c r="AA554" i="178"/>
  <c r="AB554" i="178" s="1"/>
  <c r="AA537" i="178"/>
  <c r="AB537" i="178" s="1"/>
  <c r="AA542" i="178"/>
  <c r="AB542" i="178" s="1"/>
  <c r="AA550" i="178"/>
  <c r="AB550" i="178" s="1"/>
  <c r="AA497" i="178"/>
  <c r="AB497" i="178" s="1"/>
  <c r="AA501" i="178"/>
  <c r="AB501" i="178" s="1"/>
  <c r="AA509" i="178"/>
  <c r="AB509" i="178" s="1"/>
  <c r="AA520" i="178"/>
  <c r="AB520" i="178" s="1"/>
  <c r="AA500" i="178"/>
  <c r="AB500" i="178" s="1"/>
  <c r="AA503" i="178"/>
  <c r="AB503" i="178" s="1"/>
  <c r="AA511" i="178"/>
  <c r="AB511" i="178" s="1"/>
  <c r="AA383" i="178"/>
  <c r="AB383" i="178" s="1"/>
  <c r="AA382" i="178"/>
  <c r="AB382" i="178" s="1"/>
  <c r="X380" i="178"/>
  <c r="Z380" i="178" s="1"/>
  <c r="X381" i="178"/>
  <c r="Z381" i="178" s="1"/>
  <c r="X378" i="178"/>
  <c r="Z378" i="178" s="1"/>
  <c r="AA347" i="178"/>
  <c r="AB347" i="178" s="1"/>
  <c r="AA352" i="178"/>
  <c r="AB352" i="178" s="1"/>
  <c r="AA355" i="178"/>
  <c r="AB355" i="178" s="1"/>
  <c r="AA359" i="178"/>
  <c r="AB359" i="178" s="1"/>
  <c r="AA343" i="178"/>
  <c r="AB343" i="178" s="1"/>
  <c r="AA351" i="178"/>
  <c r="AB351" i="178" s="1"/>
  <c r="AA353" i="178"/>
  <c r="AB353" i="178" s="1"/>
  <c r="AA356" i="178"/>
  <c r="AB356" i="178" s="1"/>
  <c r="AA245" i="178"/>
  <c r="AB245" i="178" s="1"/>
  <c r="AA244" i="178"/>
  <c r="AB244" i="178" s="1"/>
  <c r="AA239" i="178"/>
  <c r="AB239" i="178" s="1"/>
  <c r="AA237" i="178"/>
  <c r="AB237" i="178" s="1"/>
  <c r="AA240" i="178"/>
  <c r="AB240" i="178" s="1"/>
  <c r="AA238" i="178"/>
  <c r="AB238" i="178" s="1"/>
  <c r="AA208" i="178"/>
  <c r="AB208" i="178" s="1"/>
  <c r="AA210" i="178"/>
  <c r="AB210" i="178" s="1"/>
  <c r="AA212" i="178"/>
  <c r="AB212" i="178" s="1"/>
  <c r="AA194" i="178"/>
  <c r="AB194" i="178" s="1"/>
  <c r="AA209" i="178"/>
  <c r="AB209" i="178" s="1"/>
  <c r="AA211" i="178"/>
  <c r="AB211" i="178" s="1"/>
  <c r="AA42" i="178"/>
  <c r="AB42" i="178" s="1"/>
  <c r="AA43" i="178"/>
  <c r="AB43" i="178" s="1"/>
  <c r="AA47" i="178"/>
  <c r="AB47" i="178" s="1"/>
  <c r="AA44" i="178"/>
  <c r="AB44" i="178" s="1"/>
  <c r="AA64" i="178"/>
  <c r="AB64" i="178" s="1"/>
  <c r="AA45" i="178"/>
  <c r="AB45" i="178" s="1"/>
  <c r="AA46" i="178"/>
  <c r="AB46" i="178" s="1"/>
  <c r="AA21" i="178"/>
  <c r="AB21" i="178" s="1"/>
  <c r="AA22" i="178"/>
  <c r="AB22" i="178" s="1"/>
  <c r="AA11" i="178"/>
  <c r="AB11" i="178" s="1"/>
  <c r="AA13" i="178"/>
  <c r="AB13" i="178" s="1"/>
  <c r="AA12" i="178"/>
  <c r="AB12" i="178" s="1"/>
  <c r="AA506" i="178"/>
  <c r="AB506" i="178" s="1"/>
  <c r="AA706" i="178"/>
  <c r="AB706" i="178" s="1"/>
  <c r="AA95" i="178"/>
  <c r="AB95" i="178" s="1"/>
  <c r="AA661" i="178"/>
  <c r="AB661" i="178" s="1"/>
  <c r="AA92" i="178"/>
  <c r="AB92" i="178" s="1"/>
  <c r="AA93" i="178"/>
  <c r="AB93" i="178" s="1"/>
  <c r="AA96" i="178"/>
  <c r="AB96" i="178" s="1"/>
  <c r="AA455" i="178"/>
  <c r="AB455" i="178" s="1"/>
  <c r="AA684" i="178"/>
  <c r="AB684" i="178" s="1"/>
  <c r="AA59" i="178"/>
  <c r="AB59" i="178" s="1"/>
  <c r="AA61" i="178"/>
  <c r="AB61" i="178" s="1"/>
  <c r="AA651" i="178"/>
  <c r="AB651" i="178" s="1"/>
  <c r="AA58" i="178"/>
  <c r="AB58" i="178" s="1"/>
  <c r="AA60" i="178"/>
  <c r="AB60" i="178" s="1"/>
  <c r="AA446" i="178"/>
  <c r="AB446" i="178" s="1"/>
  <c r="AA689" i="178"/>
  <c r="AB689" i="178" s="1"/>
  <c r="AA682" i="178"/>
  <c r="AB682" i="178" s="1"/>
  <c r="AA688" i="178"/>
  <c r="AB688" i="178" s="1"/>
  <c r="AA578" i="178"/>
  <c r="AB578" i="178" s="1"/>
  <c r="AA632" i="178"/>
  <c r="AB632" i="178" s="1"/>
  <c r="AA414" i="178"/>
  <c r="AB414" i="178" s="1"/>
  <c r="AA51" i="178"/>
  <c r="AB51" i="178" s="1"/>
  <c r="AA404" i="178"/>
  <c r="AB404" i="178" s="1"/>
  <c r="AA402" i="178"/>
  <c r="AB402" i="178" s="1"/>
  <c r="AA34" i="178"/>
  <c r="AB34" i="178" s="1"/>
  <c r="AA641" i="178"/>
  <c r="AB641" i="178" s="1"/>
  <c r="AA433" i="178"/>
  <c r="AB433" i="178" s="1"/>
  <c r="AA899" i="178"/>
  <c r="AB899" i="178" s="1"/>
  <c r="AA901" i="178"/>
  <c r="AB901" i="178" s="1"/>
  <c r="AA247" i="178"/>
  <c r="AB247" i="178" s="1"/>
  <c r="AA249" i="178"/>
  <c r="AB249" i="178" s="1"/>
  <c r="AA251" i="178"/>
  <c r="AB251" i="178" s="1"/>
  <c r="AA253" i="178"/>
  <c r="AB253" i="178" s="1"/>
  <c r="AA263" i="178"/>
  <c r="AB263" i="178" s="1"/>
  <c r="AA265" i="178"/>
  <c r="AB265" i="178" s="1"/>
  <c r="AA270" i="178"/>
  <c r="AB270" i="178" s="1"/>
  <c r="AA715" i="178"/>
  <c r="AB715" i="178" s="1"/>
  <c r="AA434" i="178"/>
  <c r="AB434" i="178" s="1"/>
  <c r="AA898" i="178"/>
  <c r="AB898" i="178" s="1"/>
  <c r="AA900" i="178"/>
  <c r="AB900" i="178" s="1"/>
  <c r="AA902" i="178"/>
  <c r="AB902" i="178" s="1"/>
  <c r="AA248" i="178"/>
  <c r="AB248" i="178" s="1"/>
  <c r="AA250" i="178"/>
  <c r="AB250" i="178" s="1"/>
  <c r="AA252" i="178"/>
  <c r="AB252" i="178" s="1"/>
  <c r="AA254" i="178"/>
  <c r="AB254" i="178" s="1"/>
  <c r="AA264" i="178"/>
  <c r="AB264" i="178" s="1"/>
  <c r="AA266" i="178"/>
  <c r="AB266" i="178" s="1"/>
  <c r="AA621" i="178"/>
  <c r="AB621" i="178" s="1"/>
  <c r="AA572" i="178"/>
  <c r="AB572" i="178" s="1"/>
  <c r="AA430" i="178"/>
  <c r="AB430" i="178" s="1"/>
  <c r="AA845" i="178"/>
  <c r="AB845" i="178" s="1"/>
  <c r="AA196" i="178"/>
  <c r="AB196" i="178" s="1"/>
  <c r="AA428" i="178"/>
  <c r="AB428" i="178" s="1"/>
  <c r="AA617" i="178"/>
  <c r="AB617" i="178" s="1"/>
  <c r="AA452" i="178"/>
  <c r="AB452" i="178" s="1"/>
  <c r="AA733" i="178"/>
  <c r="AB733" i="178" s="1"/>
  <c r="AA734" i="178"/>
  <c r="AB734" i="178" s="1"/>
  <c r="AA426" i="178"/>
  <c r="AB426" i="178" s="1"/>
  <c r="AA614" i="178"/>
  <c r="AB614" i="178" s="1"/>
  <c r="AA742" i="178"/>
  <c r="AB742" i="178" s="1"/>
  <c r="AA745" i="178"/>
  <c r="AB745" i="178" s="1"/>
  <c r="AA602" i="178"/>
  <c r="AB602" i="178" s="1"/>
  <c r="AA418" i="178"/>
  <c r="AB418" i="178" s="1"/>
  <c r="AA744" i="178"/>
  <c r="AB744" i="178" s="1"/>
  <c r="AA187" i="178"/>
  <c r="AB187" i="178" s="1"/>
  <c r="AA324" i="178"/>
  <c r="AB324" i="178" s="1"/>
  <c r="AA486" i="178"/>
  <c r="AB486" i="178" s="1"/>
  <c r="AA328" i="178"/>
  <c r="AB328" i="178" s="1"/>
  <c r="AA1019" i="178"/>
  <c r="AB1019" i="178" s="1"/>
  <c r="AA185" i="178"/>
  <c r="AB185" i="178" s="1"/>
  <c r="AA484" i="178"/>
  <c r="AB484" i="178" s="1"/>
  <c r="AA485" i="178"/>
  <c r="AB485" i="178" s="1"/>
  <c r="AA487" i="178"/>
  <c r="AB487" i="178" s="1"/>
  <c r="AA490" i="178"/>
  <c r="AB490" i="178" s="1"/>
  <c r="AA492" i="178"/>
  <c r="AB492" i="178" s="1"/>
  <c r="AA568" i="178"/>
  <c r="AB568" i="178" s="1"/>
  <c r="AA230" i="178"/>
  <c r="AB230" i="178" s="1"/>
  <c r="AA1018" i="178"/>
  <c r="AB1018" i="178" s="1"/>
  <c r="AA462" i="178"/>
  <c r="AB462" i="178" s="1"/>
  <c r="AA463" i="178"/>
  <c r="AB463" i="178" s="1"/>
  <c r="AA464" i="178"/>
  <c r="AB464" i="178" s="1"/>
  <c r="AA593" i="178"/>
  <c r="AB593" i="178" s="1"/>
  <c r="AA1015" i="178"/>
  <c r="AB1015" i="178" s="1"/>
  <c r="AA156" i="178"/>
  <c r="AB156" i="178" s="1"/>
  <c r="AA162" i="178"/>
  <c r="AB162" i="178" s="1"/>
  <c r="AA671" i="178"/>
  <c r="AB671" i="178" s="1"/>
  <c r="AA994" i="178"/>
  <c r="AB994" i="178" s="1"/>
  <c r="AA163" i="178"/>
  <c r="AB163" i="178" s="1"/>
  <c r="AA587" i="178"/>
  <c r="AB587" i="178" s="1"/>
  <c r="AA990" i="178"/>
  <c r="AB990" i="178" s="1"/>
  <c r="X175" i="178"/>
  <c r="Z175" i="178" s="1"/>
  <c r="X170" i="178"/>
  <c r="Z170" i="178" s="1"/>
  <c r="X989" i="178"/>
  <c r="Z989" i="178" s="1"/>
  <c r="X586" i="178"/>
  <c r="Z586" i="178" s="1"/>
  <c r="X303" i="178"/>
  <c r="Z303" i="178" s="1"/>
  <c r="X119" i="178"/>
  <c r="Z119" i="178" s="1"/>
  <c r="X132" i="178"/>
  <c r="Z132" i="178" s="1"/>
  <c r="X115" i="178"/>
  <c r="Z115" i="178" s="1"/>
  <c r="X544" i="178"/>
  <c r="Z544" i="178" s="1"/>
  <c r="X299" i="178"/>
  <c r="Z299" i="178" s="1"/>
  <c r="X756" i="178"/>
  <c r="Z756" i="178" s="1"/>
  <c r="X121" i="178"/>
  <c r="Z121" i="178" s="1"/>
  <c r="X105" i="178"/>
  <c r="Z105" i="178" s="1"/>
  <c r="X288" i="178"/>
  <c r="Z288" i="178" s="1"/>
  <c r="X106" i="178"/>
  <c r="Z106" i="178" s="1"/>
  <c r="X295" i="178"/>
  <c r="Z295" i="178" s="1"/>
  <c r="X519" i="178"/>
  <c r="Z519" i="178" s="1"/>
  <c r="X107" i="178"/>
  <c r="Z107" i="178" s="1"/>
  <c r="X134" i="178"/>
  <c r="Z134" i="178" s="1"/>
  <c r="X921" i="178"/>
  <c r="Z921" i="178" s="1"/>
  <c r="X108" i="178"/>
  <c r="Z108" i="178" s="1"/>
  <c r="X541" i="178"/>
  <c r="Z541" i="178" s="1"/>
  <c r="X515" i="178"/>
  <c r="Z515" i="178" s="1"/>
  <c r="X752" i="178"/>
  <c r="Z752" i="178" s="1"/>
  <c r="AC128" i="178"/>
  <c r="X920" i="178"/>
  <c r="Z920" i="178" s="1"/>
  <c r="X131" i="178"/>
  <c r="Z131" i="178" s="1"/>
  <c r="X540" i="178"/>
  <c r="Z540" i="178" s="1"/>
  <c r="AA723" i="178"/>
  <c r="AB723" i="178" s="1"/>
  <c r="AA735" i="178"/>
  <c r="AB735" i="178" s="1"/>
  <c r="AA725" i="178"/>
  <c r="AB725" i="178" s="1"/>
  <c r="AA710" i="178"/>
  <c r="AB710" i="178" s="1"/>
  <c r="AA709" i="178"/>
  <c r="AB709" i="178" s="1"/>
  <c r="AA146" i="178"/>
  <c r="AB146" i="178" s="1"/>
  <c r="AA159" i="178"/>
  <c r="AB159" i="178" s="1"/>
  <c r="AA145" i="178"/>
  <c r="AB145" i="178" s="1"/>
  <c r="AA148" i="178"/>
  <c r="AB148" i="178" s="1"/>
  <c r="AA126" i="178"/>
  <c r="AB126" i="178" s="1"/>
  <c r="AA505" i="178"/>
  <c r="AB505" i="178" s="1"/>
  <c r="AA751" i="178"/>
  <c r="AB751" i="178" s="1"/>
  <c r="AA513" i="178"/>
  <c r="AB513" i="178" s="1"/>
  <c r="AA747" i="178"/>
  <c r="AB747" i="178" s="1"/>
  <c r="AA124" i="178"/>
  <c r="AB124" i="178" s="1"/>
  <c r="AA913" i="178"/>
  <c r="AB913" i="178" s="1"/>
  <c r="AA477" i="178"/>
  <c r="AB477" i="178" s="1"/>
  <c r="AA763" i="178"/>
  <c r="AB763" i="178" s="1"/>
  <c r="AA149" i="178"/>
  <c r="AB149" i="178" s="1"/>
  <c r="AA302" i="178"/>
  <c r="AB302" i="178" s="1"/>
  <c r="AA268" i="178"/>
  <c r="AB268" i="178" s="1"/>
  <c r="AA272" i="178"/>
  <c r="AB272" i="178" s="1"/>
  <c r="AA274" i="178"/>
  <c r="AB274" i="178" s="1"/>
  <c r="AA276" i="178"/>
  <c r="AB276" i="178" s="1"/>
  <c r="AA269" i="178"/>
  <c r="AB269" i="178" s="1"/>
  <c r="AA273" i="178"/>
  <c r="AB273" i="178" s="1"/>
  <c r="AA275" i="178"/>
  <c r="AB275" i="178" s="1"/>
  <c r="AA281" i="178"/>
  <c r="AB281" i="178" s="1"/>
  <c r="X980" i="178"/>
  <c r="Z980" i="178" s="1"/>
  <c r="X1009" i="178"/>
  <c r="Z1009" i="178" s="1"/>
  <c r="X985" i="178"/>
  <c r="Z985" i="178" s="1"/>
  <c r="X983" i="178"/>
  <c r="Z983" i="178" s="1"/>
  <c r="X986" i="178"/>
  <c r="Z986" i="178" s="1"/>
  <c r="X1005" i="178"/>
  <c r="Z1005" i="178" s="1"/>
  <c r="X1006" i="178"/>
  <c r="Z1006" i="178" s="1"/>
  <c r="X1008" i="178"/>
  <c r="Z1008" i="178" s="1"/>
  <c r="X982" i="178"/>
  <c r="Z982" i="178" s="1"/>
  <c r="X984" i="178"/>
  <c r="Z984" i="178" s="1"/>
  <c r="X981" i="178"/>
  <c r="Z981" i="178" s="1"/>
  <c r="X987" i="178"/>
  <c r="Z987" i="178" s="1"/>
  <c r="X1004" i="178"/>
  <c r="Z1004" i="178" s="1"/>
  <c r="X1007" i="178"/>
  <c r="Z1007" i="178" s="1"/>
  <c r="X1010" i="178"/>
  <c r="Z1010" i="178" s="1"/>
  <c r="AA362" i="178"/>
  <c r="AB362" i="178" s="1"/>
  <c r="X415" i="178"/>
  <c r="Z415" i="178" s="1"/>
  <c r="X625" i="178"/>
  <c r="Z625" i="178" s="1"/>
  <c r="X626" i="178"/>
  <c r="Z626" i="178" s="1"/>
  <c r="X416" i="178"/>
  <c r="Z416" i="178" s="1"/>
  <c r="X407" i="178"/>
  <c r="Z407" i="178" s="1"/>
  <c r="N93" i="70"/>
  <c r="Q93" i="70" s="1"/>
  <c r="R93" i="70" s="1"/>
  <c r="S93" i="70" s="1"/>
  <c r="X417" i="178"/>
  <c r="Z417" i="178" s="1"/>
  <c r="X628" i="178"/>
  <c r="Z628" i="178" s="1"/>
  <c r="X408" i="178"/>
  <c r="Z408" i="178" s="1"/>
  <c r="X627" i="178"/>
  <c r="Z627" i="178" s="1"/>
  <c r="AA141" i="178"/>
  <c r="AB141" i="178" s="1"/>
  <c r="X79" i="178"/>
  <c r="Z79" i="178" s="1"/>
  <c r="AA553" i="178"/>
  <c r="AB553" i="178" s="1"/>
  <c r="X234" i="178"/>
  <c r="Z234" i="178" s="1"/>
  <c r="X233" i="178"/>
  <c r="Z233" i="178" s="1"/>
  <c r="X438" i="178"/>
  <c r="Z438" i="178" s="1"/>
  <c r="X435" i="178"/>
  <c r="Z435" i="178" s="1"/>
  <c r="X180" i="178"/>
  <c r="Z180" i="178" s="1"/>
  <c r="X329" i="178"/>
  <c r="Z329" i="178" s="1"/>
  <c r="AA498" i="178"/>
  <c r="AB498" i="178" s="1"/>
  <c r="AA607" i="178"/>
  <c r="AB607" i="178" s="1"/>
  <c r="AA609" i="178"/>
  <c r="AB609" i="178" s="1"/>
  <c r="AA680" i="178"/>
  <c r="AB680" i="178" s="1"/>
  <c r="AA676" i="178"/>
  <c r="AB676" i="178" s="1"/>
  <c r="AA691" i="178"/>
  <c r="AB691" i="178" s="1"/>
  <c r="AA690" i="178"/>
  <c r="AB690" i="178" s="1"/>
  <c r="X616" i="178"/>
  <c r="Z616" i="178" s="1"/>
  <c r="X805" i="178"/>
  <c r="Z805" i="178" s="1"/>
  <c r="X195" i="178"/>
  <c r="Z195" i="178" s="1"/>
  <c r="X831" i="178"/>
  <c r="Z831" i="178" s="1"/>
  <c r="X833" i="178"/>
  <c r="Z833" i="178" s="1"/>
  <c r="X844" i="178"/>
  <c r="Z844" i="178" s="1"/>
  <c r="X778" i="178"/>
  <c r="Z778" i="178" s="1"/>
  <c r="X197" i="178"/>
  <c r="Z197" i="178" s="1"/>
  <c r="X618" i="178"/>
  <c r="Z618" i="178" s="1"/>
  <c r="X963" i="178"/>
  <c r="Z963" i="178" s="1"/>
  <c r="X722" i="178"/>
  <c r="Z722" i="178" s="1"/>
  <c r="AA1039" i="178"/>
  <c r="AB1039" i="178" s="1"/>
  <c r="X1040" i="178"/>
  <c r="Z1040" i="178" s="1"/>
  <c r="X968" i="178"/>
  <c r="Z968" i="178" s="1"/>
  <c r="X1035" i="178"/>
  <c r="Z1035" i="178" s="1"/>
  <c r="X657" i="178"/>
  <c r="Z657" i="178" s="1"/>
  <c r="X451" i="178"/>
  <c r="Z451" i="178" s="1"/>
  <c r="X624" i="178"/>
  <c r="Z624" i="178" s="1"/>
  <c r="X650" i="178"/>
  <c r="Z650" i="178" s="1"/>
  <c r="X88" i="178"/>
  <c r="Z88" i="178" s="1"/>
  <c r="X658" i="178"/>
  <c r="Z658" i="178" s="1"/>
  <c r="X660" i="178"/>
  <c r="Z660" i="178" s="1"/>
  <c r="X1003" i="178"/>
  <c r="Z1003" i="178" s="1"/>
  <c r="X663" i="178"/>
  <c r="Z663" i="178" s="1"/>
  <c r="X774" i="178"/>
  <c r="Z774" i="178" s="1"/>
  <c r="X664" i="178"/>
  <c r="Z664" i="178" s="1"/>
  <c r="AA1021" i="178"/>
  <c r="AB1021" i="178" s="1"/>
  <c r="X946" i="178"/>
  <c r="Z946" i="178" s="1"/>
  <c r="X938" i="178"/>
  <c r="Z938" i="178" s="1"/>
  <c r="X947" i="178"/>
  <c r="Z947" i="178" s="1"/>
  <c r="X945" i="178"/>
  <c r="Z945" i="178" s="1"/>
  <c r="X948" i="178"/>
  <c r="Z948" i="178" s="1"/>
  <c r="P102" i="183"/>
  <c r="T102" i="183" s="1"/>
  <c r="AA935" i="178"/>
  <c r="AB935" i="178" s="1"/>
  <c r="AA934" i="178"/>
  <c r="AB934" i="178" s="1"/>
  <c r="X931" i="178"/>
  <c r="Z931" i="178" s="1"/>
  <c r="X892" i="178"/>
  <c r="Z892" i="178" s="1"/>
  <c r="X887" i="178"/>
  <c r="Z887" i="178" s="1"/>
  <c r="X801" i="178"/>
  <c r="Z801" i="178" s="1"/>
  <c r="X787" i="178"/>
  <c r="Z787" i="178" s="1"/>
  <c r="X788" i="178"/>
  <c r="Z788" i="178" s="1"/>
  <c r="AA443" i="178"/>
  <c r="AB443" i="178" s="1"/>
  <c r="AA441" i="178"/>
  <c r="AB441" i="178" s="1"/>
  <c r="AA444" i="178"/>
  <c r="AB444" i="178" s="1"/>
  <c r="X406" i="178"/>
  <c r="Z406" i="178" s="1"/>
  <c r="X423" i="178"/>
  <c r="Z423" i="178" s="1"/>
  <c r="X454" i="178"/>
  <c r="Z454" i="178" s="1"/>
  <c r="X697" i="178"/>
  <c r="Z697" i="178" s="1"/>
  <c r="AA33" i="178"/>
  <c r="AB33" i="178" s="1"/>
  <c r="AA411" i="178"/>
  <c r="AB411" i="178" s="1"/>
  <c r="AA49" i="178"/>
  <c r="AB49" i="178" s="1"/>
  <c r="AA930" i="178"/>
  <c r="AB930" i="178" s="1"/>
  <c r="AA400" i="178"/>
  <c r="AB400" i="178" s="1"/>
  <c r="AA31" i="178"/>
  <c r="AB31" i="178" s="1"/>
  <c r="AA906" i="178"/>
  <c r="AB906" i="178" s="1"/>
  <c r="AA271" i="178"/>
  <c r="AB271" i="178" s="1"/>
  <c r="AA322" i="178"/>
  <c r="AB322" i="178" s="1"/>
  <c r="AA771" i="178"/>
  <c r="AB771" i="178" s="1"/>
  <c r="AA642" i="178"/>
  <c r="AB642" i="178" s="1"/>
  <c r="AA907" i="178"/>
  <c r="AB907" i="178" s="1"/>
  <c r="AA909" i="178"/>
  <c r="AB909" i="178" s="1"/>
  <c r="AA199" i="178"/>
  <c r="AB199" i="178" s="1"/>
  <c r="AA770" i="178"/>
  <c r="AB770" i="178" s="1"/>
  <c r="AA575" i="178"/>
  <c r="AB575" i="178" s="1"/>
  <c r="AA861" i="178"/>
  <c r="AB861" i="178" s="1"/>
  <c r="AA859" i="178"/>
  <c r="AB859" i="178" s="1"/>
  <c r="AA827" i="178"/>
  <c r="AB827" i="178" s="1"/>
  <c r="X789" i="178"/>
  <c r="Z789" i="178" s="1"/>
  <c r="X193" i="178"/>
  <c r="Z193" i="178" s="1"/>
  <c r="X790" i="178"/>
  <c r="Z790" i="178" s="1"/>
  <c r="X729" i="178"/>
  <c r="Z729" i="178" s="1"/>
  <c r="X605" i="178"/>
  <c r="Z605" i="178" s="1"/>
  <c r="X189" i="178"/>
  <c r="Z189" i="178" s="1"/>
  <c r="X673" i="178"/>
  <c r="Z673" i="178" s="1"/>
  <c r="AA171" i="178"/>
  <c r="AB171" i="178" s="1"/>
  <c r="AA151" i="178"/>
  <c r="AB151" i="178" s="1"/>
  <c r="AA137" i="178"/>
  <c r="AB137" i="178" s="1"/>
  <c r="AA753" i="178"/>
  <c r="AB753" i="178" s="1"/>
  <c r="AA817" i="178"/>
  <c r="AB817" i="178" s="1"/>
  <c r="AA820" i="178"/>
  <c r="AB820" i="178" s="1"/>
  <c r="AA822" i="178"/>
  <c r="AB822" i="178" s="1"/>
  <c r="AA835" i="178"/>
  <c r="AB835" i="178" s="1"/>
  <c r="AA819" i="178"/>
  <c r="AB819" i="178" s="1"/>
  <c r="AA821" i="178"/>
  <c r="AB821" i="178" s="1"/>
  <c r="AA834" i="178"/>
  <c r="AB834" i="178" s="1"/>
  <c r="AA1042" i="178"/>
  <c r="AB1042" i="178" s="1"/>
  <c r="AA755" i="178"/>
  <c r="AB755" i="178" s="1"/>
  <c r="AA754" i="178"/>
  <c r="AB754" i="178" s="1"/>
  <c r="X647" i="178"/>
  <c r="Z647" i="178" s="1"/>
  <c r="AC647" i="178" s="1"/>
  <c r="X648" i="178"/>
  <c r="Z648" i="178" s="1"/>
  <c r="X580" i="178"/>
  <c r="Z580" i="178" s="1"/>
  <c r="X606" i="178"/>
  <c r="Z606" i="178" s="1"/>
  <c r="X567" i="178"/>
  <c r="Z567" i="178" s="1"/>
  <c r="X571" i="178"/>
  <c r="Z571" i="178" s="1"/>
  <c r="X536" i="178"/>
  <c r="Z536" i="178" s="1"/>
  <c r="X537" i="178"/>
  <c r="Z537" i="178" s="1"/>
  <c r="X542" i="178"/>
  <c r="Z542" i="178" s="1"/>
  <c r="X550" i="178"/>
  <c r="Z550" i="178" s="1"/>
  <c r="X538" i="178"/>
  <c r="Z538" i="178" s="1"/>
  <c r="X546" i="178"/>
  <c r="Z546" i="178" s="1"/>
  <c r="X554" i="178"/>
  <c r="Z554" i="178" s="1"/>
  <c r="X497" i="178"/>
  <c r="Z497" i="178" s="1"/>
  <c r="X500" i="178"/>
  <c r="Z500" i="178" s="1"/>
  <c r="X503" i="178"/>
  <c r="Z503" i="178" s="1"/>
  <c r="X511" i="178"/>
  <c r="Z511" i="178" s="1"/>
  <c r="X501" i="178"/>
  <c r="Z501" i="178" s="1"/>
  <c r="X509" i="178"/>
  <c r="Z509" i="178" s="1"/>
  <c r="X520" i="178"/>
  <c r="Z520" i="178" s="1"/>
  <c r="AA379" i="178"/>
  <c r="AB379" i="178" s="1"/>
  <c r="AA367" i="178"/>
  <c r="AB367" i="178" s="1"/>
  <c r="AA369" i="178"/>
  <c r="AB369" i="178" s="1"/>
  <c r="AA371" i="178"/>
  <c r="AB371" i="178" s="1"/>
  <c r="AA373" i="178"/>
  <c r="AB373" i="178" s="1"/>
  <c r="AA375" i="178"/>
  <c r="AB375" i="178" s="1"/>
  <c r="AA377" i="178"/>
  <c r="AB377" i="178" s="1"/>
  <c r="AA366" i="178"/>
  <c r="AB366" i="178" s="1"/>
  <c r="AA368" i="178"/>
  <c r="AB368" i="178" s="1"/>
  <c r="AA370" i="178"/>
  <c r="AB370" i="178" s="1"/>
  <c r="AA372" i="178"/>
  <c r="AB372" i="178" s="1"/>
  <c r="AA374" i="178"/>
  <c r="AB374" i="178" s="1"/>
  <c r="AA376" i="178"/>
  <c r="AB376" i="178" s="1"/>
  <c r="X343" i="178"/>
  <c r="Z343" i="178" s="1"/>
  <c r="X351" i="178"/>
  <c r="Z351" i="178" s="1"/>
  <c r="X353" i="178"/>
  <c r="Z353" i="178" s="1"/>
  <c r="X356" i="178"/>
  <c r="Z356" i="178" s="1"/>
  <c r="X347" i="178"/>
  <c r="Z347" i="178" s="1"/>
  <c r="X352" i="178"/>
  <c r="Z352" i="178" s="1"/>
  <c r="X355" i="178"/>
  <c r="Z355" i="178" s="1"/>
  <c r="X359" i="178"/>
  <c r="Z359" i="178" s="1"/>
  <c r="X244" i="178"/>
  <c r="Z244" i="178" s="1"/>
  <c r="X239" i="178"/>
  <c r="Z239" i="178" s="1"/>
  <c r="X245" i="178"/>
  <c r="Z245" i="178" s="1"/>
  <c r="X237" i="178"/>
  <c r="Z237" i="178" s="1"/>
  <c r="X238" i="178"/>
  <c r="Z238" i="178" s="1"/>
  <c r="X240" i="178"/>
  <c r="Z240" i="178" s="1"/>
  <c r="X194" i="178"/>
  <c r="Z194" i="178" s="1"/>
  <c r="X209" i="178"/>
  <c r="Z209" i="178" s="1"/>
  <c r="X211" i="178"/>
  <c r="Z211" i="178" s="1"/>
  <c r="X208" i="178"/>
  <c r="Z208" i="178" s="1"/>
  <c r="X210" i="178"/>
  <c r="Z210" i="178" s="1"/>
  <c r="X212" i="178"/>
  <c r="Z212" i="178" s="1"/>
  <c r="X42" i="178"/>
  <c r="Z42" i="178" s="1"/>
  <c r="X44" i="178"/>
  <c r="Z44" i="178" s="1"/>
  <c r="X64" i="178"/>
  <c r="Z64" i="178" s="1"/>
  <c r="X45" i="178"/>
  <c r="Z45" i="178" s="1"/>
  <c r="X46" i="178"/>
  <c r="Z46" i="178" s="1"/>
  <c r="X43" i="178"/>
  <c r="Z43" i="178" s="1"/>
  <c r="X47" i="178"/>
  <c r="Z47" i="178" s="1"/>
  <c r="X21" i="178"/>
  <c r="Z21" i="178" s="1"/>
  <c r="X22" i="178"/>
  <c r="Z22" i="178" s="1"/>
  <c r="X12" i="178"/>
  <c r="Z12" i="178" s="1"/>
  <c r="X11" i="178"/>
  <c r="Z11" i="178" s="1"/>
  <c r="X13" i="178"/>
  <c r="Z13" i="178" s="1"/>
  <c r="X506" i="178"/>
  <c r="Z506" i="178" s="1"/>
  <c r="X92" i="178"/>
  <c r="Z92" i="178" s="1"/>
  <c r="X93" i="178"/>
  <c r="Z93" i="178" s="1"/>
  <c r="X96" i="178"/>
  <c r="Z96" i="178" s="1"/>
  <c r="X706" i="178"/>
  <c r="Z706" i="178" s="1"/>
  <c r="X95" i="178"/>
  <c r="Z95" i="178" s="1"/>
  <c r="X661" i="178"/>
  <c r="Z661" i="178" s="1"/>
  <c r="X455" i="178"/>
  <c r="Z455" i="178" s="1"/>
  <c r="X58" i="178"/>
  <c r="Z58" i="178" s="1"/>
  <c r="X60" i="178"/>
  <c r="Z60" i="178" s="1"/>
  <c r="X446" i="178"/>
  <c r="Z446" i="178" s="1"/>
  <c r="X684" i="178"/>
  <c r="Z684" i="178" s="1"/>
  <c r="X59" i="178"/>
  <c r="Z59" i="178" s="1"/>
  <c r="X61" i="178"/>
  <c r="Z61" i="178" s="1"/>
  <c r="X651" i="178"/>
  <c r="Z651" i="178" s="1"/>
  <c r="X688" i="178"/>
  <c r="Z688" i="178" s="1"/>
  <c r="X578" i="178"/>
  <c r="Z578" i="178" s="1"/>
  <c r="X632" i="178"/>
  <c r="Z632" i="178" s="1"/>
  <c r="X689" i="178"/>
  <c r="Z689" i="178" s="1"/>
  <c r="X682" i="178"/>
  <c r="Z682" i="178" s="1"/>
  <c r="X414" i="178"/>
  <c r="Z414" i="178" s="1"/>
  <c r="X51" i="178"/>
  <c r="Z51" i="178" s="1"/>
  <c r="X404" i="178"/>
  <c r="Z404" i="178" s="1"/>
  <c r="X34" i="178"/>
  <c r="Z34" i="178" s="1"/>
  <c r="X402" i="178"/>
  <c r="Z402" i="178" s="1"/>
  <c r="X434" i="178"/>
  <c r="Z434" i="178" s="1"/>
  <c r="X898" i="178"/>
  <c r="Z898" i="178" s="1"/>
  <c r="X900" i="178"/>
  <c r="Z900" i="178" s="1"/>
  <c r="X902" i="178"/>
  <c r="Z902" i="178" s="1"/>
  <c r="X248" i="178"/>
  <c r="Z248" i="178" s="1"/>
  <c r="X250" i="178"/>
  <c r="Z250" i="178" s="1"/>
  <c r="X252" i="178"/>
  <c r="Z252" i="178" s="1"/>
  <c r="X254" i="178"/>
  <c r="Z254" i="178" s="1"/>
  <c r="X264" i="178"/>
  <c r="Z264" i="178" s="1"/>
  <c r="X266" i="178"/>
  <c r="Z266" i="178" s="1"/>
  <c r="X621" i="178"/>
  <c r="Z621" i="178" s="1"/>
  <c r="X641" i="178"/>
  <c r="Z641" i="178" s="1"/>
  <c r="X433" i="178"/>
  <c r="Z433" i="178" s="1"/>
  <c r="X899" i="178"/>
  <c r="Z899" i="178" s="1"/>
  <c r="X901" i="178"/>
  <c r="Z901" i="178" s="1"/>
  <c r="X247" i="178"/>
  <c r="Z247" i="178" s="1"/>
  <c r="X249" i="178"/>
  <c r="Z249" i="178" s="1"/>
  <c r="X251" i="178"/>
  <c r="Z251" i="178" s="1"/>
  <c r="X253" i="178"/>
  <c r="Z253" i="178" s="1"/>
  <c r="X263" i="178"/>
  <c r="Z263" i="178" s="1"/>
  <c r="X265" i="178"/>
  <c r="Z265" i="178" s="1"/>
  <c r="X270" i="178"/>
  <c r="Z270" i="178" s="1"/>
  <c r="X715" i="178"/>
  <c r="Z715" i="178" s="1"/>
  <c r="X845" i="178"/>
  <c r="Z845" i="178" s="1"/>
  <c r="X196" i="178"/>
  <c r="Z196" i="178" s="1"/>
  <c r="X572" i="178"/>
  <c r="Z572" i="178" s="1"/>
  <c r="X430" i="178"/>
  <c r="Z430" i="178" s="1"/>
  <c r="X617" i="178"/>
  <c r="Z617" i="178" s="1"/>
  <c r="X428" i="178"/>
  <c r="Z428" i="178" s="1"/>
  <c r="X452" i="178"/>
  <c r="Z452" i="178" s="1"/>
  <c r="X426" i="178"/>
  <c r="Z426" i="178" s="1"/>
  <c r="X614" i="178"/>
  <c r="Z614" i="178" s="1"/>
  <c r="X733" i="178"/>
  <c r="Z733" i="178" s="1"/>
  <c r="X734" i="178"/>
  <c r="Z734" i="178" s="1"/>
  <c r="X418" i="178"/>
  <c r="Z418" i="178" s="1"/>
  <c r="X744" i="178"/>
  <c r="Z744" i="178" s="1"/>
  <c r="X187" i="178"/>
  <c r="Z187" i="178" s="1"/>
  <c r="X742" i="178"/>
  <c r="Z742" i="178" s="1"/>
  <c r="X745" i="178"/>
  <c r="Z745" i="178" s="1"/>
  <c r="X602" i="178"/>
  <c r="Z602" i="178" s="1"/>
  <c r="X484" i="178"/>
  <c r="Z484" i="178" s="1"/>
  <c r="X485" i="178"/>
  <c r="Z485" i="178" s="1"/>
  <c r="X487" i="178"/>
  <c r="Z487" i="178" s="1"/>
  <c r="X490" i="178"/>
  <c r="Z490" i="178" s="1"/>
  <c r="X492" i="178"/>
  <c r="Z492" i="178" s="1"/>
  <c r="X324" i="178"/>
  <c r="Z324" i="178" s="1"/>
  <c r="X486" i="178"/>
  <c r="Z486" i="178" s="1"/>
  <c r="X328" i="178"/>
  <c r="Z328" i="178" s="1"/>
  <c r="X1019" i="178"/>
  <c r="Z1019" i="178" s="1"/>
  <c r="X185" i="178"/>
  <c r="Z185" i="178" s="1"/>
  <c r="X462" i="178"/>
  <c r="Z462" i="178" s="1"/>
  <c r="X463" i="178"/>
  <c r="Z463" i="178" s="1"/>
  <c r="X464" i="178"/>
  <c r="Z464" i="178" s="1"/>
  <c r="X568" i="178"/>
  <c r="Z568" i="178" s="1"/>
  <c r="X230" i="178"/>
  <c r="Z230" i="178" s="1"/>
  <c r="X1018" i="178"/>
  <c r="Z1018" i="178" s="1"/>
  <c r="X1015" i="178"/>
  <c r="Z1015" i="178" s="1"/>
  <c r="X593" i="178"/>
  <c r="Z593" i="178" s="1"/>
  <c r="X156" i="178"/>
  <c r="Z156" i="178" s="1"/>
  <c r="X994" i="178"/>
  <c r="Z994" i="178" s="1"/>
  <c r="X163" i="178"/>
  <c r="Z163" i="178" s="1"/>
  <c r="X162" i="178"/>
  <c r="Z162" i="178" s="1"/>
  <c r="X671" i="178"/>
  <c r="Z671" i="178" s="1"/>
  <c r="X990" i="178"/>
  <c r="Z990" i="178" s="1"/>
  <c r="X587" i="178"/>
  <c r="Z587" i="178" s="1"/>
  <c r="AA545" i="178"/>
  <c r="AB545" i="178" s="1"/>
  <c r="AA548" i="178"/>
  <c r="AB548" i="178" s="1"/>
  <c r="AA766" i="178"/>
  <c r="AB766" i="178" s="1"/>
  <c r="AA67" i="178"/>
  <c r="AB67" i="178" s="1"/>
  <c r="AA69" i="178"/>
  <c r="AB69" i="178" s="1"/>
  <c r="AA117" i="178"/>
  <c r="AB117" i="178" s="1"/>
  <c r="AA153" i="178"/>
  <c r="AB153" i="178" s="1"/>
  <c r="AA549" i="178"/>
  <c r="AB549" i="178" s="1"/>
  <c r="AA66" i="178"/>
  <c r="AB66" i="178" s="1"/>
  <c r="AA68" i="178"/>
  <c r="AB68" i="178" s="1"/>
  <c r="AA116" i="178"/>
  <c r="AB116" i="178" s="1"/>
  <c r="AA118" i="178"/>
  <c r="AB118" i="178" s="1"/>
  <c r="AA314" i="178"/>
  <c r="AB314" i="178" s="1"/>
  <c r="AA313" i="178"/>
  <c r="AB313" i="178" s="1"/>
  <c r="AA903" i="178"/>
  <c r="AB903" i="178" s="1"/>
  <c r="AA158" i="178"/>
  <c r="AB158" i="178" s="1"/>
  <c r="AA757" i="178"/>
  <c r="AB757" i="178" s="1"/>
  <c r="AA758" i="178"/>
  <c r="AB758" i="178" s="1"/>
  <c r="AA138" i="178"/>
  <c r="AB138" i="178" s="1"/>
  <c r="AA300" i="178"/>
  <c r="AB300" i="178" s="1"/>
  <c r="AA135" i="178"/>
  <c r="AB135" i="178" s="1"/>
  <c r="AA539" i="178"/>
  <c r="AB539" i="178" s="1"/>
  <c r="AA919" i="178"/>
  <c r="AB919" i="178" s="1"/>
  <c r="AA130" i="178"/>
  <c r="AB130" i="178" s="1"/>
  <c r="AA40" i="178"/>
  <c r="AB40" i="178" s="1"/>
  <c r="AA41" i="178"/>
  <c r="AB41" i="178" s="1"/>
  <c r="AA129" i="178"/>
  <c r="AB129" i="178" s="1"/>
  <c r="AA127" i="178"/>
  <c r="AB127" i="178" s="1"/>
  <c r="AA960" i="178"/>
  <c r="AB960" i="178" s="1"/>
  <c r="AA959" i="178"/>
  <c r="AB959" i="178" s="1"/>
  <c r="X955" i="178"/>
  <c r="Z955" i="178" s="1"/>
  <c r="X725" i="178"/>
  <c r="Z725" i="178" s="1"/>
  <c r="X723" i="178"/>
  <c r="Z723" i="178" s="1"/>
  <c r="X735" i="178"/>
  <c r="Z735" i="178" s="1"/>
  <c r="X709" i="178"/>
  <c r="Z709" i="178" s="1"/>
  <c r="X710" i="178"/>
  <c r="Z710" i="178" s="1"/>
  <c r="X145" i="178"/>
  <c r="Z145" i="178" s="1"/>
  <c r="X148" i="178"/>
  <c r="Z148" i="178" s="1"/>
  <c r="X146" i="178"/>
  <c r="Z146" i="178" s="1"/>
  <c r="X159" i="178"/>
  <c r="Z159" i="178" s="1"/>
  <c r="X751" i="178"/>
  <c r="Z751" i="178" s="1"/>
  <c r="X513" i="178"/>
  <c r="Z513" i="178" s="1"/>
  <c r="X126" i="178"/>
  <c r="Z126" i="178" s="1"/>
  <c r="X505" i="178"/>
  <c r="Z505" i="178" s="1"/>
  <c r="X913" i="178"/>
  <c r="Z913" i="178" s="1"/>
  <c r="X477" i="178"/>
  <c r="Z477" i="178" s="1"/>
  <c r="X747" i="178"/>
  <c r="Z747" i="178" s="1"/>
  <c r="X124" i="178"/>
  <c r="Z124" i="178" s="1"/>
  <c r="X149" i="178"/>
  <c r="Z149" i="178" s="1"/>
  <c r="X302" i="178"/>
  <c r="Z302" i="178" s="1"/>
  <c r="X763" i="178"/>
  <c r="Z763" i="178" s="1"/>
  <c r="AA310" i="178"/>
  <c r="AB310" i="178" s="1"/>
  <c r="AA582" i="178"/>
  <c r="AB582" i="178" s="1"/>
  <c r="AA308" i="178"/>
  <c r="AB308" i="178" s="1"/>
  <c r="AA309" i="178"/>
  <c r="AB309" i="178" s="1"/>
  <c r="AA311" i="178"/>
  <c r="AB311" i="178" s="1"/>
  <c r="X269" i="178"/>
  <c r="Z269" i="178" s="1"/>
  <c r="X273" i="178"/>
  <c r="Z273" i="178" s="1"/>
  <c r="X275" i="178"/>
  <c r="Z275" i="178" s="1"/>
  <c r="X281" i="178"/>
  <c r="Z281" i="178" s="1"/>
  <c r="X268" i="178"/>
  <c r="Z268" i="178" s="1"/>
  <c r="X272" i="178"/>
  <c r="Z272" i="178" s="1"/>
  <c r="X274" i="178"/>
  <c r="Z274" i="178" s="1"/>
  <c r="X276" i="178"/>
  <c r="Z276" i="178" s="1"/>
  <c r="X283" i="178"/>
  <c r="Z283" i="178" s="1"/>
  <c r="X298" i="178"/>
  <c r="Z298" i="178" s="1"/>
  <c r="X320" i="178"/>
  <c r="Z320" i="178" s="1"/>
  <c r="X325" i="178"/>
  <c r="Z325" i="178" s="1"/>
  <c r="X340" i="178"/>
  <c r="Z340" i="178" s="1"/>
  <c r="X282" i="178"/>
  <c r="Z282" i="178" s="1"/>
  <c r="X290" i="178"/>
  <c r="Z290" i="178" s="1"/>
  <c r="X301" i="178"/>
  <c r="Z301" i="178" s="1"/>
  <c r="X315" i="178"/>
  <c r="Z315" i="178" s="1"/>
  <c r="X319" i="178"/>
  <c r="Z319" i="178" s="1"/>
  <c r="X335" i="178"/>
  <c r="Z335" i="178" s="1"/>
  <c r="X362" i="178"/>
  <c r="Z362" i="178" s="1"/>
  <c r="X262" i="178"/>
  <c r="Z262" i="178" s="1"/>
  <c r="X267" i="178"/>
  <c r="Z267" i="178" s="1"/>
  <c r="X993" i="178"/>
  <c r="Z993" i="178" s="1"/>
  <c r="X228" i="178"/>
  <c r="Z228" i="178" s="1"/>
  <c r="AA78" i="178"/>
  <c r="AB78" i="178" s="1"/>
  <c r="AA551" i="178"/>
  <c r="AB551" i="178" s="1"/>
  <c r="X791" i="178"/>
  <c r="Z791" i="178" s="1"/>
  <c r="X552" i="178"/>
  <c r="Z552" i="178" s="1"/>
  <c r="X553" i="178"/>
  <c r="Z553" i="178" s="1"/>
  <c r="AA590" i="178"/>
  <c r="AB590" i="178" s="1"/>
  <c r="AA591" i="178"/>
  <c r="AB591" i="178" s="1"/>
  <c r="AA439" i="178"/>
  <c r="AB439" i="178" s="1"/>
  <c r="AA442" i="178"/>
  <c r="AB442" i="178" s="1"/>
  <c r="AA181" i="178"/>
  <c r="AB181" i="178" s="1"/>
  <c r="N27" i="183"/>
  <c r="X473" i="178"/>
  <c r="Z473" i="178" s="1"/>
  <c r="X498" i="178"/>
  <c r="Z498" i="178" s="1"/>
  <c r="X607" i="178"/>
  <c r="Z607" i="178" s="1"/>
  <c r="X609" i="178"/>
  <c r="Z609" i="178" s="1"/>
  <c r="X676" i="178"/>
  <c r="Z676" i="178" s="1"/>
  <c r="X680" i="178"/>
  <c r="Z680" i="178" s="1"/>
  <c r="X690" i="178"/>
  <c r="Z690" i="178" s="1"/>
  <c r="X691" i="178"/>
  <c r="Z691" i="178" s="1"/>
  <c r="AA804" i="178"/>
  <c r="AB804" i="178" s="1"/>
  <c r="AA806" i="178"/>
  <c r="AB806" i="178" s="1"/>
  <c r="AA523" i="178"/>
  <c r="AB523" i="178" s="1"/>
  <c r="AA832" i="178"/>
  <c r="AB832" i="178" s="1"/>
  <c r="AA843" i="178"/>
  <c r="AB843" i="178" s="1"/>
  <c r="AA777" i="178"/>
  <c r="AB777" i="178" s="1"/>
  <c r="P84" i="183"/>
  <c r="T84" i="183" s="1"/>
  <c r="AA886" i="178"/>
  <c r="AB886" i="178" s="1"/>
  <c r="AA927" i="178"/>
  <c r="AB927" i="178" s="1"/>
  <c r="AA926" i="178"/>
  <c r="AB926" i="178" s="1"/>
  <c r="AA780" i="178"/>
  <c r="AB780" i="178" s="1"/>
  <c r="AA707" i="178"/>
  <c r="AB707" i="178" s="1"/>
  <c r="AA713" i="178"/>
  <c r="AB713" i="178" s="1"/>
  <c r="AA792" i="178"/>
  <c r="AB792" i="178" s="1"/>
  <c r="AA783" i="178"/>
  <c r="AB783" i="178" s="1"/>
  <c r="AA784" i="178"/>
  <c r="AB784" i="178" s="1"/>
  <c r="AA785" i="178"/>
  <c r="AB785" i="178" s="1"/>
  <c r="AA966" i="178"/>
  <c r="AB966" i="178" s="1"/>
  <c r="P107" i="70"/>
  <c r="P125" i="183"/>
  <c r="T125" i="183" s="1"/>
  <c r="AA652" i="178"/>
  <c r="AB652" i="178" s="1"/>
  <c r="AA653" i="178"/>
  <c r="AB653" i="178" s="1"/>
  <c r="AA655" i="178"/>
  <c r="AB655" i="178" s="1"/>
  <c r="AA448" i="178"/>
  <c r="AB448" i="178" s="1"/>
  <c r="AA654" i="178"/>
  <c r="AB654" i="178" s="1"/>
  <c r="AA422" i="178"/>
  <c r="AB422" i="178" s="1"/>
  <c r="AA633" i="178"/>
  <c r="AB633" i="178" s="1"/>
  <c r="AA649" i="178"/>
  <c r="AB649" i="178" s="1"/>
  <c r="AA450" i="178"/>
  <c r="AB450" i="178" s="1"/>
  <c r="AA449" i="178"/>
  <c r="AB449" i="178" s="1"/>
  <c r="AA656" i="178"/>
  <c r="AB656" i="178" s="1"/>
  <c r="AA457" i="178"/>
  <c r="AB457" i="178" s="1"/>
  <c r="AA992" i="178"/>
  <c r="AB992" i="178" s="1"/>
  <c r="AA997" i="178"/>
  <c r="AB997" i="178" s="1"/>
  <c r="X1021" i="178"/>
  <c r="Z1021" i="178" s="1"/>
  <c r="P105" i="183"/>
  <c r="T105" i="183" s="1"/>
  <c r="AA937" i="178"/>
  <c r="AB937" i="178" s="1"/>
  <c r="AA894" i="178"/>
  <c r="AB894" i="178" s="1"/>
  <c r="AA895" i="178"/>
  <c r="AB895" i="178" s="1"/>
  <c r="AA896" i="178"/>
  <c r="AB896" i="178" s="1"/>
  <c r="AA897" i="178"/>
  <c r="AB897" i="178" s="1"/>
  <c r="AA893" i="178"/>
  <c r="AB893" i="178" s="1"/>
  <c r="AA872" i="178"/>
  <c r="AB872" i="178" s="1"/>
  <c r="AA875" i="178"/>
  <c r="AB875" i="178" s="1"/>
  <c r="AA871" i="178"/>
  <c r="AB871" i="178" s="1"/>
  <c r="AA885" i="178"/>
  <c r="AB885" i="178" s="1"/>
  <c r="AA870" i="178"/>
  <c r="AB870" i="178" s="1"/>
  <c r="AA803" i="178"/>
  <c r="AB803" i="178" s="1"/>
  <c r="AA795" i="178"/>
  <c r="AB795" i="178" s="1"/>
  <c r="AA612" i="178"/>
  <c r="AB612" i="178" s="1"/>
  <c r="AA608" i="178"/>
  <c r="AB608" i="178" s="1"/>
  <c r="P25" i="183"/>
  <c r="T25" i="183" s="1"/>
  <c r="AA459" i="178"/>
  <c r="AB459" i="178" s="1"/>
  <c r="AA461" i="178"/>
  <c r="AB461" i="178" s="1"/>
  <c r="AA460" i="178"/>
  <c r="AB460" i="178" s="1"/>
  <c r="AA584" i="178"/>
  <c r="AB584" i="178" s="1"/>
  <c r="AA177" i="178"/>
  <c r="AB177" i="178" s="1"/>
  <c r="AA174" i="178"/>
  <c r="AB174" i="178" s="1"/>
  <c r="AA172" i="178"/>
  <c r="AB172" i="178" s="1"/>
  <c r="AA173" i="178"/>
  <c r="AB173" i="178" s="1"/>
  <c r="AA89" i="178"/>
  <c r="AB89" i="178" s="1"/>
  <c r="AA659" i="178"/>
  <c r="AB659" i="178" s="1"/>
  <c r="AA696" i="178"/>
  <c r="AB696" i="178" s="1"/>
  <c r="AA453" i="178"/>
  <c r="AB453" i="178" s="1"/>
  <c r="AA721" i="178"/>
  <c r="AB721" i="178" s="1"/>
  <c r="X33" i="178"/>
  <c r="Z33" i="178" s="1"/>
  <c r="X49" i="178"/>
  <c r="Z49" i="178" s="1"/>
  <c r="X930" i="178"/>
  <c r="Z930" i="178" s="1"/>
  <c r="X411" i="178"/>
  <c r="Z411" i="178" s="1"/>
  <c r="X31" i="178"/>
  <c r="Z31" i="178" s="1"/>
  <c r="X400" i="178"/>
  <c r="Z400" i="178" s="1"/>
  <c r="X642" i="178"/>
  <c r="Z642" i="178" s="1"/>
  <c r="X907" i="178"/>
  <c r="Z907" i="178" s="1"/>
  <c r="X909" i="178"/>
  <c r="Z909" i="178" s="1"/>
  <c r="X906" i="178"/>
  <c r="Z906" i="178" s="1"/>
  <c r="X271" i="178"/>
  <c r="Z271" i="178" s="1"/>
  <c r="X322" i="178"/>
  <c r="Z322" i="178" s="1"/>
  <c r="X771" i="178"/>
  <c r="Z771" i="178" s="1"/>
  <c r="X575" i="178"/>
  <c r="Z575" i="178" s="1"/>
  <c r="X861" i="178"/>
  <c r="Z861" i="178" s="1"/>
  <c r="X199" i="178"/>
  <c r="Z199" i="178" s="1"/>
  <c r="X770" i="178"/>
  <c r="Z770" i="178" s="1"/>
  <c r="X827" i="178"/>
  <c r="Z827" i="178" s="1"/>
  <c r="X859" i="178"/>
  <c r="Z859" i="178" s="1"/>
  <c r="AA424" i="178"/>
  <c r="AB424" i="178" s="1"/>
  <c r="AA190" i="178"/>
  <c r="AB190" i="178" s="1"/>
  <c r="AA611" i="178"/>
  <c r="AB611" i="178" s="1"/>
  <c r="P22" i="70"/>
  <c r="T22" i="70" s="1"/>
  <c r="AA1017" i="178"/>
  <c r="AB1017" i="178" s="1"/>
  <c r="AA598" i="178"/>
  <c r="AB598" i="178" s="1"/>
  <c r="AA176" i="178"/>
  <c r="AB176" i="178" s="1"/>
  <c r="AA672" i="178"/>
  <c r="AB672" i="178" s="1"/>
  <c r="X171" i="178"/>
  <c r="Z171" i="178" s="1"/>
  <c r="X151" i="178"/>
  <c r="Z151" i="178" s="1"/>
  <c r="X753" i="178"/>
  <c r="Z753" i="178" s="1"/>
  <c r="X137" i="178"/>
  <c r="Z137" i="178" s="1"/>
  <c r="X817" i="178"/>
  <c r="Z817" i="178" s="1"/>
  <c r="X819" i="178"/>
  <c r="Z819" i="178" s="1"/>
  <c r="X821" i="178"/>
  <c r="Z821" i="178" s="1"/>
  <c r="X834" i="178"/>
  <c r="Z834" i="178" s="1"/>
  <c r="X820" i="178"/>
  <c r="Z820" i="178" s="1"/>
  <c r="X822" i="178"/>
  <c r="Z822" i="178" s="1"/>
  <c r="X835" i="178"/>
  <c r="Z835" i="178" s="1"/>
  <c r="X1042" i="178"/>
  <c r="Z1042" i="178" s="1"/>
  <c r="X754" i="178"/>
  <c r="Z754" i="178" s="1"/>
  <c r="X755" i="178"/>
  <c r="Z755" i="178" s="1"/>
  <c r="AA637" i="178"/>
  <c r="AB637" i="178" s="1"/>
  <c r="AA639" i="178"/>
  <c r="AB639" i="178" s="1"/>
  <c r="AA636" i="178"/>
  <c r="AB636" i="178" s="1"/>
  <c r="AA638" i="178"/>
  <c r="AB638" i="178" s="1"/>
  <c r="AA576" i="178"/>
  <c r="AB576" i="178" s="1"/>
  <c r="AA579" i="178"/>
  <c r="AB579" i="178" s="1"/>
  <c r="AA577" i="178"/>
  <c r="AB577" i="178" s="1"/>
  <c r="AA555" i="178"/>
  <c r="AB555" i="178" s="1"/>
  <c r="AA564" i="178"/>
  <c r="AB564" i="178" s="1"/>
  <c r="AA559" i="178"/>
  <c r="AB559" i="178" s="1"/>
  <c r="AA526" i="178"/>
  <c r="AB526" i="178" s="1"/>
  <c r="AA528" i="178"/>
  <c r="AB528" i="178" s="1"/>
  <c r="AA531" i="178"/>
  <c r="AB531" i="178" s="1"/>
  <c r="AA533" i="178"/>
  <c r="AB533" i="178" s="1"/>
  <c r="AA527" i="178"/>
  <c r="AB527" i="178" s="1"/>
  <c r="AA530" i="178"/>
  <c r="AB530" i="178" s="1"/>
  <c r="AA532" i="178"/>
  <c r="AB532" i="178" s="1"/>
  <c r="AA493" i="178"/>
  <c r="AB493" i="178" s="1"/>
  <c r="AA496" i="178"/>
  <c r="AB496" i="178" s="1"/>
  <c r="AA495" i="178"/>
  <c r="AB495" i="178" s="1"/>
  <c r="AA385" i="178"/>
  <c r="AB385" i="178" s="1"/>
  <c r="AA384" i="178"/>
  <c r="AB384" i="178" s="1"/>
  <c r="AA386" i="178"/>
  <c r="AB386" i="178" s="1"/>
  <c r="X382" i="178"/>
  <c r="Z382" i="178" s="1"/>
  <c r="X383" i="178"/>
  <c r="Z383" i="178" s="1"/>
  <c r="AA381" i="178"/>
  <c r="AB381" i="178" s="1"/>
  <c r="AA380" i="178"/>
  <c r="AB380" i="178" s="1"/>
  <c r="AA259" i="178"/>
  <c r="AB259" i="178" s="1"/>
  <c r="AA261" i="178"/>
  <c r="AB261" i="178" s="1"/>
  <c r="AA260" i="178"/>
  <c r="AB260" i="178" s="1"/>
  <c r="AA241" i="178"/>
  <c r="AB241" i="178" s="1"/>
  <c r="AA243" i="178"/>
  <c r="AB243" i="178" s="1"/>
  <c r="AA242" i="178"/>
  <c r="AB242" i="178" s="1"/>
  <c r="AA65" i="178"/>
  <c r="AB65" i="178" s="1"/>
  <c r="AA73" i="178"/>
  <c r="AB73" i="178" s="1"/>
  <c r="AA74" i="178"/>
  <c r="AB74" i="178" s="1"/>
  <c r="AA71" i="178"/>
  <c r="AB71" i="178" s="1"/>
  <c r="AA75" i="178"/>
  <c r="AB75" i="178" s="1"/>
  <c r="AA72" i="178"/>
  <c r="AB72" i="178" s="1"/>
  <c r="AA76" i="178"/>
  <c r="AB76" i="178" s="1"/>
  <c r="AA23" i="178"/>
  <c r="AB23" i="178" s="1"/>
  <c r="AA30" i="178"/>
  <c r="AB30" i="178" s="1"/>
  <c r="AA24" i="178"/>
  <c r="AB24" i="178" s="1"/>
  <c r="AA25" i="178"/>
  <c r="AB25" i="178" s="1"/>
  <c r="AA28" i="178"/>
  <c r="AB28" i="178" s="1"/>
  <c r="AA15" i="178"/>
  <c r="AB15" i="178" s="1"/>
  <c r="AA17" i="178"/>
  <c r="AB17" i="178" s="1"/>
  <c r="AA14" i="178"/>
  <c r="AB14" i="178" s="1"/>
  <c r="AA16" i="178"/>
  <c r="AB16" i="178" s="1"/>
  <c r="AA5" i="178"/>
  <c r="AB5" i="178" s="1"/>
  <c r="AA7" i="178"/>
  <c r="AB7" i="178" s="1"/>
  <c r="AA9" i="178"/>
  <c r="AB9" i="178" s="1"/>
  <c r="AA4" i="178"/>
  <c r="AB4" i="178" s="1"/>
  <c r="AA6" i="178"/>
  <c r="AB6" i="178" s="1"/>
  <c r="AA8" i="178"/>
  <c r="AB8" i="178" s="1"/>
  <c r="AA10" i="178"/>
  <c r="AB10" i="178" s="1"/>
  <c r="AA458" i="178"/>
  <c r="AB458" i="178" s="1"/>
  <c r="AA456" i="178"/>
  <c r="AB456" i="178" s="1"/>
  <c r="AA97" i="178"/>
  <c r="AB97" i="178" s="1"/>
  <c r="AA123" i="178"/>
  <c r="AB123" i="178" s="1"/>
  <c r="AA472" i="178"/>
  <c r="AB472" i="178" s="1"/>
  <c r="AA912" i="178"/>
  <c r="AB912" i="178" s="1"/>
  <c r="AA98" i="178"/>
  <c r="AB98" i="178" s="1"/>
  <c r="AA122" i="178"/>
  <c r="AB122" i="178" s="1"/>
  <c r="AA471" i="178"/>
  <c r="AB471" i="178" s="1"/>
  <c r="AA662" i="178"/>
  <c r="AB662" i="178" s="1"/>
  <c r="AA700" i="178"/>
  <c r="AB700" i="178" s="1"/>
  <c r="AA693" i="178"/>
  <c r="AB693" i="178" s="1"/>
  <c r="AA62" i="178"/>
  <c r="AB62" i="178" s="1"/>
  <c r="AA699" i="178"/>
  <c r="AB699" i="178" s="1"/>
  <c r="AA701" i="178"/>
  <c r="AB701" i="178" s="1"/>
  <c r="AA694" i="178"/>
  <c r="AB694" i="178" s="1"/>
  <c r="AA447" i="178"/>
  <c r="AB447" i="178" s="1"/>
  <c r="AA683" i="178"/>
  <c r="AB683" i="178" s="1"/>
  <c r="AA56" i="178"/>
  <c r="AB56" i="178" s="1"/>
  <c r="AA776" i="178"/>
  <c r="AB776" i="178" s="1"/>
  <c r="AA565" i="178"/>
  <c r="AB565" i="178" s="1"/>
  <c r="AA52" i="178"/>
  <c r="AB52" i="178" s="1"/>
  <c r="AA54" i="178"/>
  <c r="AB54" i="178" s="1"/>
  <c r="AA420" i="178"/>
  <c r="AB420" i="178" s="1"/>
  <c r="AA630" i="178"/>
  <c r="AB630" i="178" s="1"/>
  <c r="AA152" i="178"/>
  <c r="AB152" i="178" s="1"/>
  <c r="AA566" i="178"/>
  <c r="AB566" i="178" s="1"/>
  <c r="AA53" i="178"/>
  <c r="AB53" i="178" s="1"/>
  <c r="AA55" i="178"/>
  <c r="AB55" i="178" s="1"/>
  <c r="AA421" i="178"/>
  <c r="AB421" i="178" s="1"/>
  <c r="AA768" i="178"/>
  <c r="AB768" i="178" s="1"/>
  <c r="AA686" i="178"/>
  <c r="AB686" i="178" s="1"/>
  <c r="AA563" i="178"/>
  <c r="AB563" i="178" s="1"/>
  <c r="AA978" i="178"/>
  <c r="AB978" i="178" s="1"/>
  <c r="AA979" i="178"/>
  <c r="AB979" i="178" s="1"/>
  <c r="AA104" i="178"/>
  <c r="AB104" i="178" s="1"/>
  <c r="AA561" i="178"/>
  <c r="AB561" i="178" s="1"/>
  <c r="AA489" i="178"/>
  <c r="AB489" i="178" s="1"/>
  <c r="AA403" i="178"/>
  <c r="AB403" i="178" s="1"/>
  <c r="AA643" i="178"/>
  <c r="AB643" i="178" s="1"/>
  <c r="AA499" i="178"/>
  <c r="AB499" i="178" s="1"/>
  <c r="AA27" i="178"/>
  <c r="AB27" i="178" s="1"/>
  <c r="AA332" i="178"/>
  <c r="AB332" i="178" s="1"/>
  <c r="AA345" i="178"/>
  <c r="AB345" i="178" s="1"/>
  <c r="AA348" i="178"/>
  <c r="AB348" i="178" s="1"/>
  <c r="AA350" i="178"/>
  <c r="AB350" i="178" s="1"/>
  <c r="AA354" i="178"/>
  <c r="AB354" i="178" s="1"/>
  <c r="AA364" i="178"/>
  <c r="AB364" i="178" s="1"/>
  <c r="AA716" i="178"/>
  <c r="AB716" i="178" s="1"/>
  <c r="AA488" i="178"/>
  <c r="AB488" i="178" s="1"/>
  <c r="AA26" i="178"/>
  <c r="AB26" i="178" s="1"/>
  <c r="AA29" i="178"/>
  <c r="AB29" i="178" s="1"/>
  <c r="AA344" i="178"/>
  <c r="AB344" i="178" s="1"/>
  <c r="AA346" i="178"/>
  <c r="AB346" i="178" s="1"/>
  <c r="AA349" i="178"/>
  <c r="AB349" i="178" s="1"/>
  <c r="AA363" i="178"/>
  <c r="AB363" i="178" s="1"/>
  <c r="AA622" i="178"/>
  <c r="AB622" i="178" s="1"/>
  <c r="AA358" i="178"/>
  <c r="AB358" i="178" s="1"/>
  <c r="AA888" i="178"/>
  <c r="AB888" i="178" s="1"/>
  <c r="AA890" i="178"/>
  <c r="AB890" i="178" s="1"/>
  <c r="AA201" i="178"/>
  <c r="AB201" i="178" s="1"/>
  <c r="AA203" i="178"/>
  <c r="AB203" i="178" s="1"/>
  <c r="AA205" i="178"/>
  <c r="AB205" i="178" s="1"/>
  <c r="AA207" i="178"/>
  <c r="AB207" i="178" s="1"/>
  <c r="AA222" i="178"/>
  <c r="AB222" i="178" s="1"/>
  <c r="AA224" i="178"/>
  <c r="AB224" i="178" s="1"/>
  <c r="AA226" i="178"/>
  <c r="AB226" i="178" s="1"/>
  <c r="AA674" i="178"/>
  <c r="AB674" i="178" s="1"/>
  <c r="AA640" i="178"/>
  <c r="AB640" i="178" s="1"/>
  <c r="AA432" i="178"/>
  <c r="AB432" i="178" s="1"/>
  <c r="AA889" i="178"/>
  <c r="AB889" i="178" s="1"/>
  <c r="AA891" i="178"/>
  <c r="AB891" i="178" s="1"/>
  <c r="AA202" i="178"/>
  <c r="AB202" i="178" s="1"/>
  <c r="AA204" i="178"/>
  <c r="AB204" i="178" s="1"/>
  <c r="AA206" i="178"/>
  <c r="AB206" i="178" s="1"/>
  <c r="AA221" i="178"/>
  <c r="AB221" i="178" s="1"/>
  <c r="AA223" i="178"/>
  <c r="AB223" i="178" s="1"/>
  <c r="AA225" i="178"/>
  <c r="AB225" i="178" s="1"/>
  <c r="AA620" i="178"/>
  <c r="AB620" i="178" s="1"/>
  <c r="AA841" i="178"/>
  <c r="AB841" i="178" s="1"/>
  <c r="AA842" i="178"/>
  <c r="AB842" i="178" s="1"/>
  <c r="AA334" i="178"/>
  <c r="AB334" i="178" s="1"/>
  <c r="AA570" i="178"/>
  <c r="AB570" i="178" s="1"/>
  <c r="AA429" i="178"/>
  <c r="AB429" i="178" s="1"/>
  <c r="AA730" i="178"/>
  <c r="AB730" i="178" s="1"/>
  <c r="AA732" i="178"/>
  <c r="AB732" i="178" s="1"/>
  <c r="AA613" i="178"/>
  <c r="AB613" i="178" s="1"/>
  <c r="AA425" i="178"/>
  <c r="AB425" i="178" s="1"/>
  <c r="AA731" i="178"/>
  <c r="AB731" i="178" s="1"/>
  <c r="AA191" i="178"/>
  <c r="AB191" i="178" s="1"/>
  <c r="AA188" i="178"/>
  <c r="AB188" i="178" s="1"/>
  <c r="AA727" i="178"/>
  <c r="AB727" i="178" s="1"/>
  <c r="AA398" i="178"/>
  <c r="AB398" i="178" s="1"/>
  <c r="AA1020" i="178"/>
  <c r="AB1020" i="178" s="1"/>
  <c r="AA738" i="178"/>
  <c r="AB738" i="178" s="1"/>
  <c r="AA419" i="178"/>
  <c r="AB419" i="178" s="1"/>
  <c r="AA737" i="178"/>
  <c r="AB737" i="178" s="1"/>
  <c r="AA601" i="178"/>
  <c r="AB601" i="178" s="1"/>
  <c r="AA186" i="178"/>
  <c r="AB186" i="178" s="1"/>
  <c r="AA569" i="178"/>
  <c r="AB569" i="178" s="1"/>
  <c r="AA317" i="178"/>
  <c r="AB317" i="178" s="1"/>
  <c r="AA466" i="178"/>
  <c r="AB466" i="178" s="1"/>
  <c r="AA468" i="178"/>
  <c r="AB468" i="178" s="1"/>
  <c r="AA599" i="178"/>
  <c r="AB599" i="178" s="1"/>
  <c r="AA594" i="178"/>
  <c r="AB594" i="178" s="1"/>
  <c r="AA1016" i="178"/>
  <c r="AB1016" i="178" s="1"/>
  <c r="AA995" i="178"/>
  <c r="AB995" i="178" s="1"/>
  <c r="AA998" i="178"/>
  <c r="AB998" i="178" s="1"/>
  <c r="AA154" i="178"/>
  <c r="AB154" i="178" s="1"/>
  <c r="AA996" i="178"/>
  <c r="AB996" i="178" s="1"/>
  <c r="AA999" i="178"/>
  <c r="AB999" i="178" s="1"/>
  <c r="AA589" i="178"/>
  <c r="AB589" i="178" s="1"/>
  <c r="AA175" i="178"/>
  <c r="AB175" i="178" s="1"/>
  <c r="X153" i="178"/>
  <c r="Z153" i="178" s="1"/>
  <c r="X549" i="178"/>
  <c r="Z549" i="178" s="1"/>
  <c r="X66" i="178"/>
  <c r="Z66" i="178" s="1"/>
  <c r="X68" i="178"/>
  <c r="Z68" i="178" s="1"/>
  <c r="X116" i="178"/>
  <c r="Z116" i="178" s="1"/>
  <c r="X118" i="178"/>
  <c r="Z118" i="178" s="1"/>
  <c r="X545" i="178"/>
  <c r="Z545" i="178" s="1"/>
  <c r="X548" i="178"/>
  <c r="Z548" i="178" s="1"/>
  <c r="X766" i="178"/>
  <c r="Z766" i="178" s="1"/>
  <c r="X67" i="178"/>
  <c r="Z67" i="178" s="1"/>
  <c r="X69" i="178"/>
  <c r="Z69" i="178" s="1"/>
  <c r="X117" i="178"/>
  <c r="Z117" i="178" s="1"/>
  <c r="X313" i="178"/>
  <c r="Z313" i="178" s="1"/>
  <c r="X903" i="178"/>
  <c r="Z903" i="178" s="1"/>
  <c r="X158" i="178"/>
  <c r="Z158" i="178" s="1"/>
  <c r="X314" i="178"/>
  <c r="Z314" i="178" s="1"/>
  <c r="X138" i="178"/>
  <c r="Z138" i="178" s="1"/>
  <c r="X300" i="178"/>
  <c r="Z300" i="178" s="1"/>
  <c r="X757" i="178"/>
  <c r="Z757" i="178" s="1"/>
  <c r="X758" i="178"/>
  <c r="Z758" i="178" s="1"/>
  <c r="X135" i="178"/>
  <c r="Z135" i="178" s="1"/>
  <c r="X919" i="178"/>
  <c r="Z919" i="178" s="1"/>
  <c r="X130" i="178"/>
  <c r="Z130" i="178" s="1"/>
  <c r="X539" i="178"/>
  <c r="Z539" i="178" s="1"/>
  <c r="X40" i="178"/>
  <c r="Z40" i="178" s="1"/>
  <c r="X41" i="178"/>
  <c r="Z41" i="178" s="1"/>
  <c r="X129" i="178"/>
  <c r="Z129" i="178" s="1"/>
  <c r="X127" i="178"/>
  <c r="Z127" i="178" s="1"/>
  <c r="AA794" i="178"/>
  <c r="AB794" i="178" s="1"/>
  <c r="AA797" i="178"/>
  <c r="AB797" i="178" s="1"/>
  <c r="AA799" i="178"/>
  <c r="AB799" i="178" s="1"/>
  <c r="AA796" i="178"/>
  <c r="AB796" i="178" s="1"/>
  <c r="AA798" i="178"/>
  <c r="AB798" i="178" s="1"/>
  <c r="AA800" i="178"/>
  <c r="AB800" i="178" s="1"/>
  <c r="AA139" i="178"/>
  <c r="AB139" i="178" s="1"/>
  <c r="AA144" i="178"/>
  <c r="AB144" i="178" s="1"/>
  <c r="AA142" i="178"/>
  <c r="AB142" i="178" s="1"/>
  <c r="AA143" i="178"/>
  <c r="AB143" i="178" s="1"/>
  <c r="AA125" i="178"/>
  <c r="AB125" i="178" s="1"/>
  <c r="AA478" i="178"/>
  <c r="AB478" i="178" s="1"/>
  <c r="AA748" i="178"/>
  <c r="AB748" i="178" s="1"/>
  <c r="AA409" i="178"/>
  <c r="AB409" i="178" s="1"/>
  <c r="AA629" i="178"/>
  <c r="AB629" i="178" s="1"/>
  <c r="AA764" i="178"/>
  <c r="AB764" i="178" s="1"/>
  <c r="AA306" i="178"/>
  <c r="AB306" i="178" s="1"/>
  <c r="AA581" i="178"/>
  <c r="AB581" i="178" s="1"/>
  <c r="AA304" i="178"/>
  <c r="AB304" i="178" s="1"/>
  <c r="AA305" i="178"/>
  <c r="AB305" i="178" s="1"/>
  <c r="AA307" i="178"/>
  <c r="AB307" i="178" s="1"/>
  <c r="X308" i="178"/>
  <c r="Z308" i="178" s="1"/>
  <c r="X309" i="178"/>
  <c r="Z309" i="178" s="1"/>
  <c r="X311" i="178"/>
  <c r="Z311" i="178" s="1"/>
  <c r="X310" i="178"/>
  <c r="Z310" i="178" s="1"/>
  <c r="X582" i="178"/>
  <c r="Z582" i="178" s="1"/>
  <c r="AA282" i="178"/>
  <c r="AB282" i="178" s="1"/>
  <c r="AA290" i="178"/>
  <c r="AB290" i="178" s="1"/>
  <c r="AA301" i="178"/>
  <c r="AB301" i="178" s="1"/>
  <c r="AA315" i="178"/>
  <c r="AB315" i="178" s="1"/>
  <c r="AA319" i="178"/>
  <c r="AB319" i="178" s="1"/>
  <c r="AA335" i="178"/>
  <c r="AB335" i="178" s="1"/>
  <c r="AA283" i="178"/>
  <c r="AB283" i="178" s="1"/>
  <c r="AA298" i="178"/>
  <c r="AB298" i="178" s="1"/>
  <c r="AA320" i="178"/>
  <c r="AB320" i="178" s="1"/>
  <c r="AA325" i="178"/>
  <c r="AB325" i="178" s="1"/>
  <c r="AA340" i="178"/>
  <c r="AB340" i="178" s="1"/>
  <c r="X588" i="178"/>
  <c r="Z588" i="178" s="1"/>
  <c r="X991" i="178"/>
  <c r="Z991" i="178" s="1"/>
  <c r="X141" i="178"/>
  <c r="Z141" i="178" s="1"/>
  <c r="AA192" i="178"/>
  <c r="AB192" i="178" s="1"/>
  <c r="X78" i="178"/>
  <c r="Z78" i="178" s="1"/>
  <c r="X551" i="178"/>
  <c r="Z551" i="178" s="1"/>
  <c r="AA114" i="178"/>
  <c r="AB114" i="178" s="1"/>
  <c r="AA179" i="178"/>
  <c r="AB179" i="178" s="1"/>
  <c r="X590" i="178"/>
  <c r="Z590" i="178" s="1"/>
  <c r="X591" i="178"/>
  <c r="Z591" i="178" s="1"/>
  <c r="AA435" i="178"/>
  <c r="AB435" i="178" s="1"/>
  <c r="AA438" i="178"/>
  <c r="AB438" i="178" s="1"/>
  <c r="AA180" i="178"/>
  <c r="AB180" i="178" s="1"/>
  <c r="AA329" i="178"/>
  <c r="AB329" i="178" s="1"/>
  <c r="X442" i="178"/>
  <c r="Z442" i="178" s="1"/>
  <c r="X439" i="178"/>
  <c r="Z439" i="178" s="1"/>
  <c r="X181" i="178"/>
  <c r="Z181" i="178" s="1"/>
  <c r="AA603" i="178"/>
  <c r="AB603" i="178" s="1"/>
  <c r="AA604" i="178"/>
  <c r="AB604" i="178" s="1"/>
  <c r="AA610" i="178"/>
  <c r="AB610" i="178" s="1"/>
  <c r="AA470" i="178"/>
  <c r="AB470" i="178" s="1"/>
  <c r="AC470" i="178" s="1"/>
  <c r="AA615" i="178"/>
  <c r="AB615" i="178" s="1"/>
  <c r="AA825" i="178"/>
  <c r="AB825" i="178" s="1"/>
  <c r="AA685" i="178"/>
  <c r="AB685" i="178" s="1"/>
  <c r="AA773" i="178"/>
  <c r="AB773" i="178" s="1"/>
  <c r="X804" i="178"/>
  <c r="Z804" i="178" s="1"/>
  <c r="N42" i="70"/>
  <c r="X806" i="178"/>
  <c r="Z806" i="178" s="1"/>
  <c r="X523" i="178"/>
  <c r="Z523" i="178" s="1"/>
  <c r="X832" i="178"/>
  <c r="Z832" i="178" s="1"/>
  <c r="X777" i="178"/>
  <c r="Z777" i="178" s="1"/>
  <c r="X843" i="178"/>
  <c r="Z843" i="178" s="1"/>
  <c r="X926" i="178"/>
  <c r="Z926" i="178" s="1"/>
  <c r="X780" i="178"/>
  <c r="Z780" i="178" s="1"/>
  <c r="X927" i="178"/>
  <c r="Z927" i="178" s="1"/>
  <c r="X707" i="178"/>
  <c r="Z707" i="178" s="1"/>
  <c r="X713" i="178"/>
  <c r="Z713" i="178" s="1"/>
  <c r="X792" i="178"/>
  <c r="Z792" i="178" s="1"/>
  <c r="X784" i="178"/>
  <c r="Z784" i="178" s="1"/>
  <c r="X785" i="178"/>
  <c r="Z785" i="178" s="1"/>
  <c r="X783" i="178"/>
  <c r="Z783" i="178" s="1"/>
  <c r="X966" i="178"/>
  <c r="Z966" i="178" s="1"/>
  <c r="N108" i="70"/>
  <c r="X1039" i="178"/>
  <c r="Z1039" i="178" s="1"/>
  <c r="X448" i="178"/>
  <c r="Z448" i="178" s="1"/>
  <c r="X654" i="178"/>
  <c r="Z654" i="178" s="1"/>
  <c r="X652" i="178"/>
  <c r="Z652" i="178" s="1"/>
  <c r="X653" i="178"/>
  <c r="Z653" i="178" s="1"/>
  <c r="X655" i="178"/>
  <c r="Z655" i="178" s="1"/>
  <c r="X649" i="178"/>
  <c r="Z649" i="178" s="1"/>
  <c r="X422" i="178"/>
  <c r="Z422" i="178" s="1"/>
  <c r="X633" i="178"/>
  <c r="Z633" i="178" s="1"/>
  <c r="X449" i="178"/>
  <c r="Z449" i="178" s="1"/>
  <c r="X656" i="178"/>
  <c r="Z656" i="178" s="1"/>
  <c r="X450" i="178"/>
  <c r="Z450" i="178" s="1"/>
  <c r="X457" i="178"/>
  <c r="Z457" i="178" s="1"/>
  <c r="X992" i="178"/>
  <c r="Z992" i="178" s="1"/>
  <c r="X997" i="178"/>
  <c r="Z997" i="178" s="1"/>
  <c r="AA945" i="178"/>
  <c r="AB945" i="178" s="1"/>
  <c r="AA938" i="178"/>
  <c r="AB938" i="178" s="1"/>
  <c r="AA947" i="178"/>
  <c r="AB947" i="178" s="1"/>
  <c r="AA946" i="178"/>
  <c r="AB946" i="178" s="1"/>
  <c r="AA948" i="178"/>
  <c r="AB948" i="178" s="1"/>
  <c r="N102" i="183"/>
  <c r="Q102" i="183" s="1"/>
  <c r="R102" i="183" s="1"/>
  <c r="S102" i="183" s="1"/>
  <c r="X934" i="178"/>
  <c r="Z934" i="178" s="1"/>
  <c r="X935" i="178"/>
  <c r="Z935" i="178" s="1"/>
  <c r="X895" i="178"/>
  <c r="Z895" i="178" s="1"/>
  <c r="X896" i="178"/>
  <c r="Z896" i="178" s="1"/>
  <c r="X897" i="178"/>
  <c r="Z897" i="178" s="1"/>
  <c r="X894" i="178"/>
  <c r="Z894" i="178" s="1"/>
  <c r="X893" i="178"/>
  <c r="Z893" i="178" s="1"/>
  <c r="X871" i="178"/>
  <c r="Z871" i="178" s="1"/>
  <c r="X885" i="178"/>
  <c r="Z885" i="178" s="1"/>
  <c r="X872" i="178"/>
  <c r="Z872" i="178" s="1"/>
  <c r="X875" i="178"/>
  <c r="Z875" i="178" s="1"/>
  <c r="X870" i="178"/>
  <c r="Z870" i="178" s="1"/>
  <c r="X803" i="178"/>
  <c r="Z803" i="178" s="1"/>
  <c r="X795" i="178"/>
  <c r="Z795" i="178" s="1"/>
  <c r="X612" i="178"/>
  <c r="Z612" i="178" s="1"/>
  <c r="X608" i="178"/>
  <c r="Z608" i="178" s="1"/>
  <c r="X441" i="178"/>
  <c r="Z441" i="178" s="1"/>
  <c r="X444" i="178"/>
  <c r="Z444" i="178" s="1"/>
  <c r="X443" i="178"/>
  <c r="Z443" i="178" s="1"/>
  <c r="X174" i="178"/>
  <c r="Z174" i="178" s="1"/>
  <c r="X584" i="178"/>
  <c r="Z584" i="178" s="1"/>
  <c r="X177" i="178"/>
  <c r="Z177" i="178" s="1"/>
  <c r="X172" i="178"/>
  <c r="Z172" i="178" s="1"/>
  <c r="X173" i="178"/>
  <c r="Z173" i="178" s="1"/>
  <c r="X696" i="178"/>
  <c r="Z696" i="178" s="1"/>
  <c r="X453" i="178"/>
  <c r="Z453" i="178" s="1"/>
  <c r="X721" i="178"/>
  <c r="Z721" i="178" s="1"/>
  <c r="X89" i="178"/>
  <c r="Z89" i="178" s="1"/>
  <c r="X659" i="178"/>
  <c r="Z659" i="178" s="1"/>
  <c r="AA558" i="178"/>
  <c r="AB558" i="178" s="1"/>
  <c r="AA717" i="178"/>
  <c r="AB717" i="178" s="1"/>
  <c r="AA767" i="178"/>
  <c r="AB767" i="178" s="1"/>
  <c r="AA933" i="178"/>
  <c r="AB933" i="178" s="1"/>
  <c r="AA557" i="178"/>
  <c r="AB557" i="178" s="1"/>
  <c r="AA623" i="178"/>
  <c r="AB623" i="178" s="1"/>
  <c r="AA645" i="178"/>
  <c r="AB645" i="178" s="1"/>
  <c r="AA32" i="178"/>
  <c r="AB32" i="178" s="1"/>
  <c r="AA644" i="178"/>
  <c r="AB644" i="178" s="1"/>
  <c r="AA929" i="178"/>
  <c r="AB929" i="178" s="1"/>
  <c r="AA401" i="178"/>
  <c r="AB401" i="178" s="1"/>
  <c r="AA772" i="178"/>
  <c r="AB772" i="178" s="1"/>
  <c r="AA399" i="178"/>
  <c r="AB399" i="178" s="1"/>
  <c r="AA200" i="178"/>
  <c r="AB200" i="178" s="1"/>
  <c r="AA864" i="178"/>
  <c r="AB864" i="178" s="1"/>
  <c r="AA866" i="178"/>
  <c r="AB866" i="178" s="1"/>
  <c r="AA868" i="178"/>
  <c r="AB868" i="178" s="1"/>
  <c r="AA863" i="178"/>
  <c r="AB863" i="178" s="1"/>
  <c r="AA865" i="178"/>
  <c r="AB865" i="178" s="1"/>
  <c r="AA867" i="178"/>
  <c r="AB867" i="178" s="1"/>
  <c r="AA862" i="178"/>
  <c r="AB862" i="178" s="1"/>
  <c r="AA198" i="178"/>
  <c r="AB198" i="178" s="1"/>
  <c r="AA769" i="178"/>
  <c r="AB769" i="178" s="1"/>
  <c r="AA574" i="178"/>
  <c r="AB574" i="178" s="1"/>
  <c r="AA860" i="178"/>
  <c r="AB860" i="178" s="1"/>
  <c r="AA431" i="178"/>
  <c r="AB431" i="178" s="1"/>
  <c r="AA858" i="178"/>
  <c r="AB858" i="178" s="1"/>
  <c r="AA619" i="178"/>
  <c r="AB619" i="178" s="1"/>
  <c r="AA857" i="178"/>
  <c r="AB857" i="178" s="1"/>
  <c r="AA826" i="178"/>
  <c r="AB826" i="178" s="1"/>
  <c r="X190" i="178"/>
  <c r="Z190" i="178" s="1"/>
  <c r="X611" i="178"/>
  <c r="Z611" i="178" s="1"/>
  <c r="X424" i="178"/>
  <c r="Z424" i="178" s="1"/>
  <c r="AA182" i="178"/>
  <c r="AB182" i="178" s="1"/>
  <c r="AA183" i="178"/>
  <c r="AB183" i="178" s="1"/>
  <c r="AA765" i="178"/>
  <c r="AB765" i="178" s="1"/>
  <c r="AA670" i="178"/>
  <c r="AB670" i="178" s="1"/>
  <c r="AA150" i="178"/>
  <c r="AB150" i="178" s="1"/>
  <c r="AA809" i="178"/>
  <c r="AB809" i="178" s="1"/>
  <c r="AA811" i="178"/>
  <c r="AB811" i="178" s="1"/>
  <c r="AA813" i="178"/>
  <c r="AB813" i="178" s="1"/>
  <c r="AA815" i="178"/>
  <c r="AB815" i="178" s="1"/>
  <c r="AA810" i="178"/>
  <c r="AB810" i="178" s="1"/>
  <c r="AA812" i="178"/>
  <c r="AB812" i="178" s="1"/>
  <c r="AA814" i="178"/>
  <c r="AB814" i="178" s="1"/>
  <c r="AA816" i="178"/>
  <c r="AB816" i="178" s="1"/>
  <c r="AA1036" i="178"/>
  <c r="AB1036" i="178" s="1"/>
  <c r="AA1037" i="178"/>
  <c r="AB1037" i="178" s="1"/>
  <c r="AA760" i="178"/>
  <c r="AB760" i="178" s="1"/>
  <c r="AA761" i="178"/>
  <c r="AB761" i="178" s="1"/>
  <c r="X636" i="178"/>
  <c r="Z636" i="178" s="1"/>
  <c r="X638" i="178"/>
  <c r="Z638" i="178" s="1"/>
  <c r="X637" i="178"/>
  <c r="Z637" i="178" s="1"/>
  <c r="X639" i="178"/>
  <c r="Z639" i="178" s="1"/>
  <c r="X576" i="178"/>
  <c r="Z576" i="178" s="1"/>
  <c r="X577" i="178"/>
  <c r="Z577" i="178" s="1"/>
  <c r="X579" i="178"/>
  <c r="Z579" i="178" s="1"/>
  <c r="X555" i="178"/>
  <c r="Z555" i="178" s="1"/>
  <c r="X559" i="178"/>
  <c r="Z559" i="178" s="1"/>
  <c r="X564" i="178"/>
  <c r="Z564" i="178" s="1"/>
  <c r="X526" i="178"/>
  <c r="Z526" i="178" s="1"/>
  <c r="X527" i="178"/>
  <c r="Z527" i="178" s="1"/>
  <c r="X530" i="178"/>
  <c r="Z530" i="178" s="1"/>
  <c r="X532" i="178"/>
  <c r="Z532" i="178" s="1"/>
  <c r="X528" i="178"/>
  <c r="Z528" i="178" s="1"/>
  <c r="X531" i="178"/>
  <c r="Z531" i="178" s="1"/>
  <c r="X533" i="178"/>
  <c r="Z533" i="178" s="1"/>
  <c r="X493" i="178"/>
  <c r="Z493" i="178" s="1"/>
  <c r="X495" i="178"/>
  <c r="Z495" i="178" s="1"/>
  <c r="X496" i="178"/>
  <c r="Z496" i="178" s="1"/>
  <c r="X384" i="178"/>
  <c r="Z384" i="178" s="1"/>
  <c r="X386" i="178"/>
  <c r="Z386" i="178" s="1"/>
  <c r="X385" i="178"/>
  <c r="Z385" i="178" s="1"/>
  <c r="P12" i="183"/>
  <c r="T12" i="183" s="1"/>
  <c r="AA378" i="178"/>
  <c r="AB378" i="178" s="1"/>
  <c r="X366" i="178"/>
  <c r="Z366" i="178" s="1"/>
  <c r="X368" i="178"/>
  <c r="Z368" i="178" s="1"/>
  <c r="X370" i="178"/>
  <c r="Z370" i="178" s="1"/>
  <c r="X372" i="178"/>
  <c r="Z372" i="178" s="1"/>
  <c r="X374" i="178"/>
  <c r="Z374" i="178" s="1"/>
  <c r="X376" i="178"/>
  <c r="Z376" i="178" s="1"/>
  <c r="X367" i="178"/>
  <c r="Z367" i="178" s="1"/>
  <c r="X369" i="178"/>
  <c r="Z369" i="178" s="1"/>
  <c r="X371" i="178"/>
  <c r="Z371" i="178" s="1"/>
  <c r="X373" i="178"/>
  <c r="Z373" i="178" s="1"/>
  <c r="X375" i="178"/>
  <c r="Z375" i="178" s="1"/>
  <c r="X377" i="178"/>
  <c r="Z377" i="178" s="1"/>
  <c r="X260" i="178"/>
  <c r="Z260" i="178" s="1"/>
  <c r="X259" i="178"/>
  <c r="Z259" i="178" s="1"/>
  <c r="X261" i="178"/>
  <c r="Z261" i="178" s="1"/>
  <c r="X241" i="178"/>
  <c r="Z241" i="178" s="1"/>
  <c r="X242" i="178"/>
  <c r="Z242" i="178" s="1"/>
  <c r="X243" i="178"/>
  <c r="Z243" i="178" s="1"/>
  <c r="X65" i="178"/>
  <c r="Z65" i="178" s="1"/>
  <c r="X74" i="178"/>
  <c r="Z74" i="178" s="1"/>
  <c r="X71" i="178"/>
  <c r="Z71" i="178" s="1"/>
  <c r="X75" i="178"/>
  <c r="Z75" i="178" s="1"/>
  <c r="X72" i="178"/>
  <c r="Z72" i="178" s="1"/>
  <c r="X76" i="178"/>
  <c r="Z76" i="178" s="1"/>
  <c r="X73" i="178"/>
  <c r="Z73" i="178" s="1"/>
  <c r="X24" i="178"/>
  <c r="Z24" i="178" s="1"/>
  <c r="X25" i="178"/>
  <c r="Z25" i="178" s="1"/>
  <c r="X28" i="178"/>
  <c r="Z28" i="178" s="1"/>
  <c r="X23" i="178"/>
  <c r="Z23" i="178" s="1"/>
  <c r="X30" i="178"/>
  <c r="Z30" i="178" s="1"/>
  <c r="X14" i="178"/>
  <c r="Z14" i="178" s="1"/>
  <c r="X16" i="178"/>
  <c r="Z16" i="178" s="1"/>
  <c r="X15" i="178"/>
  <c r="Z15" i="178" s="1"/>
  <c r="X17" i="178"/>
  <c r="Z17" i="178" s="1"/>
  <c r="X4" i="178"/>
  <c r="Z4" i="178" s="1"/>
  <c r="X6" i="178"/>
  <c r="Z6" i="178" s="1"/>
  <c r="X8" i="178"/>
  <c r="Z8" i="178" s="1"/>
  <c r="X10" i="178"/>
  <c r="Z10" i="178" s="1"/>
  <c r="X5" i="178"/>
  <c r="Z5" i="178" s="1"/>
  <c r="X7" i="178"/>
  <c r="Z7" i="178" s="1"/>
  <c r="X9" i="178"/>
  <c r="Z9" i="178" s="1"/>
  <c r="X456" i="178"/>
  <c r="Z456" i="178" s="1"/>
  <c r="X458" i="178"/>
  <c r="Z458" i="178" s="1"/>
  <c r="X912" i="178"/>
  <c r="Z912" i="178" s="1"/>
  <c r="X98" i="178"/>
  <c r="Z98" i="178" s="1"/>
  <c r="X122" i="178"/>
  <c r="Z122" i="178" s="1"/>
  <c r="X471" i="178"/>
  <c r="Z471" i="178" s="1"/>
  <c r="X662" i="178"/>
  <c r="Z662" i="178" s="1"/>
  <c r="X97" i="178"/>
  <c r="Z97" i="178" s="1"/>
  <c r="X123" i="178"/>
  <c r="Z123" i="178" s="1"/>
  <c r="X472" i="178"/>
  <c r="Z472" i="178" s="1"/>
  <c r="X699" i="178"/>
  <c r="Z699" i="178" s="1"/>
  <c r="X701" i="178"/>
  <c r="Z701" i="178" s="1"/>
  <c r="X694" i="178"/>
  <c r="Z694" i="178" s="1"/>
  <c r="X447" i="178"/>
  <c r="Z447" i="178" s="1"/>
  <c r="X700" i="178"/>
  <c r="Z700" i="178" s="1"/>
  <c r="X693" i="178"/>
  <c r="Z693" i="178" s="1"/>
  <c r="X62" i="178"/>
  <c r="Z62" i="178" s="1"/>
  <c r="X683" i="178"/>
  <c r="Z683" i="178" s="1"/>
  <c r="X56" i="178"/>
  <c r="Z56" i="178" s="1"/>
  <c r="X776" i="178"/>
  <c r="Z776" i="178" s="1"/>
  <c r="X152" i="178"/>
  <c r="Z152" i="178" s="1"/>
  <c r="X566" i="178"/>
  <c r="Z566" i="178" s="1"/>
  <c r="X53" i="178"/>
  <c r="Z53" i="178" s="1"/>
  <c r="X55" i="178"/>
  <c r="Z55" i="178" s="1"/>
  <c r="X421" i="178"/>
  <c r="Z421" i="178" s="1"/>
  <c r="X768" i="178"/>
  <c r="Z768" i="178" s="1"/>
  <c r="X565" i="178"/>
  <c r="Z565" i="178" s="1"/>
  <c r="X52" i="178"/>
  <c r="Z52" i="178" s="1"/>
  <c r="X54" i="178"/>
  <c r="Z54" i="178" s="1"/>
  <c r="X420" i="178"/>
  <c r="Z420" i="178" s="1"/>
  <c r="X630" i="178"/>
  <c r="Z630" i="178" s="1"/>
  <c r="X978" i="178"/>
  <c r="Z978" i="178" s="1"/>
  <c r="X979" i="178"/>
  <c r="Z979" i="178" s="1"/>
  <c r="X104" i="178"/>
  <c r="Z104" i="178" s="1"/>
  <c r="X686" i="178"/>
  <c r="Z686" i="178" s="1"/>
  <c r="X563" i="178"/>
  <c r="Z563" i="178" s="1"/>
  <c r="X489" i="178"/>
  <c r="Z489" i="178" s="1"/>
  <c r="X403" i="178"/>
  <c r="Z403" i="178" s="1"/>
  <c r="X561" i="178"/>
  <c r="Z561" i="178" s="1"/>
  <c r="X488" i="178"/>
  <c r="Z488" i="178" s="1"/>
  <c r="X26" i="178"/>
  <c r="Z26" i="178" s="1"/>
  <c r="X29" i="178"/>
  <c r="Z29" i="178" s="1"/>
  <c r="X344" i="178"/>
  <c r="Z344" i="178" s="1"/>
  <c r="X346" i="178"/>
  <c r="Z346" i="178" s="1"/>
  <c r="X349" i="178"/>
  <c r="Z349" i="178" s="1"/>
  <c r="X363" i="178"/>
  <c r="Z363" i="178" s="1"/>
  <c r="X622" i="178"/>
  <c r="Z622" i="178" s="1"/>
  <c r="X643" i="178"/>
  <c r="Z643" i="178" s="1"/>
  <c r="X499" i="178"/>
  <c r="Z499" i="178" s="1"/>
  <c r="X27" i="178"/>
  <c r="Z27" i="178" s="1"/>
  <c r="X332" i="178"/>
  <c r="Z332" i="178" s="1"/>
  <c r="X345" i="178"/>
  <c r="Z345" i="178" s="1"/>
  <c r="X348" i="178"/>
  <c r="Z348" i="178" s="1"/>
  <c r="X350" i="178"/>
  <c r="Z350" i="178" s="1"/>
  <c r="X354" i="178"/>
  <c r="Z354" i="178" s="1"/>
  <c r="X364" i="178"/>
  <c r="Z364" i="178" s="1"/>
  <c r="X716" i="178"/>
  <c r="Z716" i="178" s="1"/>
  <c r="X640" i="178"/>
  <c r="Z640" i="178" s="1"/>
  <c r="X432" i="178"/>
  <c r="Z432" i="178" s="1"/>
  <c r="X889" i="178"/>
  <c r="Z889" i="178" s="1"/>
  <c r="X891" i="178"/>
  <c r="Z891" i="178" s="1"/>
  <c r="X202" i="178"/>
  <c r="Z202" i="178" s="1"/>
  <c r="X204" i="178"/>
  <c r="Z204" i="178" s="1"/>
  <c r="X206" i="178"/>
  <c r="Z206" i="178" s="1"/>
  <c r="X221" i="178"/>
  <c r="Z221" i="178" s="1"/>
  <c r="X223" i="178"/>
  <c r="Z223" i="178" s="1"/>
  <c r="X225" i="178"/>
  <c r="Z225" i="178" s="1"/>
  <c r="X620" i="178"/>
  <c r="Z620" i="178" s="1"/>
  <c r="X358" i="178"/>
  <c r="Z358" i="178" s="1"/>
  <c r="X888" i="178"/>
  <c r="Z888" i="178" s="1"/>
  <c r="X890" i="178"/>
  <c r="Z890" i="178" s="1"/>
  <c r="X201" i="178"/>
  <c r="Z201" i="178" s="1"/>
  <c r="X203" i="178"/>
  <c r="Z203" i="178" s="1"/>
  <c r="X205" i="178"/>
  <c r="Z205" i="178" s="1"/>
  <c r="X207" i="178"/>
  <c r="Z207" i="178" s="1"/>
  <c r="X222" i="178"/>
  <c r="Z222" i="178" s="1"/>
  <c r="X224" i="178"/>
  <c r="Z224" i="178" s="1"/>
  <c r="X226" i="178"/>
  <c r="Z226" i="178" s="1"/>
  <c r="X674" i="178"/>
  <c r="Z674" i="178" s="1"/>
  <c r="X334" i="178"/>
  <c r="Z334" i="178" s="1"/>
  <c r="X570" i="178"/>
  <c r="Z570" i="178" s="1"/>
  <c r="X429" i="178"/>
  <c r="Z429" i="178" s="1"/>
  <c r="X841" i="178"/>
  <c r="Z841" i="178" s="1"/>
  <c r="X842" i="178"/>
  <c r="Z842" i="178" s="1"/>
  <c r="X425" i="178"/>
  <c r="Z425" i="178" s="1"/>
  <c r="X731" i="178"/>
  <c r="Z731" i="178" s="1"/>
  <c r="X191" i="178"/>
  <c r="Z191" i="178" s="1"/>
  <c r="X730" i="178"/>
  <c r="Z730" i="178" s="1"/>
  <c r="X732" i="178"/>
  <c r="Z732" i="178" s="1"/>
  <c r="X613" i="178"/>
  <c r="Z613" i="178" s="1"/>
  <c r="X727" i="178"/>
  <c r="Z727" i="178" s="1"/>
  <c r="X188" i="178"/>
  <c r="Z188" i="178" s="1"/>
  <c r="X398" i="178"/>
  <c r="Z398" i="178" s="1"/>
  <c r="X419" i="178"/>
  <c r="Z419" i="178" s="1"/>
  <c r="X737" i="178"/>
  <c r="Z737" i="178" s="1"/>
  <c r="X601" i="178"/>
  <c r="Z601" i="178" s="1"/>
  <c r="X1020" i="178"/>
  <c r="Z1020" i="178" s="1"/>
  <c r="X738" i="178"/>
  <c r="Z738" i="178" s="1"/>
  <c r="X186" i="178"/>
  <c r="Z186" i="178" s="1"/>
  <c r="X466" i="178"/>
  <c r="Z466" i="178" s="1"/>
  <c r="X468" i="178"/>
  <c r="Z468" i="178" s="1"/>
  <c r="X599" i="178"/>
  <c r="Z599" i="178" s="1"/>
  <c r="X569" i="178"/>
  <c r="Z569" i="178" s="1"/>
  <c r="X317" i="178"/>
  <c r="Z317" i="178" s="1"/>
  <c r="X1016" i="178"/>
  <c r="Z1016" i="178" s="1"/>
  <c r="X594" i="178"/>
  <c r="Z594" i="178" s="1"/>
  <c r="X154" i="178"/>
  <c r="Z154" i="178" s="1"/>
  <c r="X996" i="178"/>
  <c r="Z996" i="178" s="1"/>
  <c r="X999" i="178"/>
  <c r="Z999" i="178" s="1"/>
  <c r="X589" i="178"/>
  <c r="Z589" i="178" s="1"/>
  <c r="X995" i="178"/>
  <c r="Z995" i="178" s="1"/>
  <c r="X998" i="178"/>
  <c r="Z998" i="178" s="1"/>
  <c r="AA170" i="178"/>
  <c r="AB170" i="178" s="1"/>
  <c r="AA586" i="178"/>
  <c r="AB586" i="178" s="1"/>
  <c r="AA989" i="178"/>
  <c r="AB989" i="178" s="1"/>
  <c r="AA303" i="178"/>
  <c r="AB303" i="178" s="1"/>
  <c r="AA299" i="178"/>
  <c r="AB299" i="178" s="1"/>
  <c r="AA121" i="178"/>
  <c r="AB121" i="178" s="1"/>
  <c r="AA756" i="178"/>
  <c r="AB756" i="178" s="1"/>
  <c r="AA119" i="178"/>
  <c r="AB119" i="178" s="1"/>
  <c r="AA115" i="178"/>
  <c r="AB115" i="178" s="1"/>
  <c r="AA132" i="178"/>
  <c r="AB132" i="178" s="1"/>
  <c r="AA544" i="178"/>
  <c r="AB544" i="178" s="1"/>
  <c r="AA921" i="178"/>
  <c r="AB921" i="178" s="1"/>
  <c r="AA108" i="178"/>
  <c r="AB108" i="178" s="1"/>
  <c r="AA541" i="178"/>
  <c r="AB541" i="178" s="1"/>
  <c r="AA105" i="178"/>
  <c r="AB105" i="178" s="1"/>
  <c r="AA288" i="178"/>
  <c r="AB288" i="178" s="1"/>
  <c r="AA106" i="178"/>
  <c r="AB106" i="178" s="1"/>
  <c r="AA295" i="178"/>
  <c r="AB295" i="178" s="1"/>
  <c r="AA519" i="178"/>
  <c r="AB519" i="178" s="1"/>
  <c r="AA107" i="178"/>
  <c r="AB107" i="178" s="1"/>
  <c r="AA134" i="178"/>
  <c r="AB134" i="178" s="1"/>
  <c r="AA752" i="178"/>
  <c r="AB752" i="178" s="1"/>
  <c r="AA515" i="178"/>
  <c r="AB515" i="178" s="1"/>
  <c r="AA920" i="178"/>
  <c r="AB920" i="178" s="1"/>
  <c r="AA131" i="178"/>
  <c r="AB131" i="178" s="1"/>
  <c r="AA540" i="178"/>
  <c r="AB540" i="178" s="1"/>
  <c r="N96" i="70"/>
  <c r="X959" i="178"/>
  <c r="Z959" i="178" s="1"/>
  <c r="X960" i="178"/>
  <c r="Z960" i="178" s="1"/>
  <c r="AA955" i="178"/>
  <c r="AB955" i="178" s="1"/>
  <c r="X796" i="178"/>
  <c r="Z796" i="178" s="1"/>
  <c r="X798" i="178"/>
  <c r="Z798" i="178" s="1"/>
  <c r="X800" i="178"/>
  <c r="Z800" i="178" s="1"/>
  <c r="X794" i="178"/>
  <c r="Z794" i="178" s="1"/>
  <c r="X797" i="178"/>
  <c r="Z797" i="178" s="1"/>
  <c r="X799" i="178"/>
  <c r="Z799" i="178" s="1"/>
  <c r="X142" i="178"/>
  <c r="Z142" i="178" s="1"/>
  <c r="X143" i="178"/>
  <c r="Z143" i="178" s="1"/>
  <c r="X139" i="178"/>
  <c r="Z139" i="178" s="1"/>
  <c r="X144" i="178"/>
  <c r="Z144" i="178" s="1"/>
  <c r="X748" i="178"/>
  <c r="Z748" i="178" s="1"/>
  <c r="X125" i="178"/>
  <c r="Z125" i="178" s="1"/>
  <c r="X478" i="178"/>
  <c r="Z478" i="178" s="1"/>
  <c r="X629" i="178"/>
  <c r="Z629" i="178" s="1"/>
  <c r="X409" i="178"/>
  <c r="Z409" i="178" s="1"/>
  <c r="X304" i="178"/>
  <c r="Z304" i="178" s="1"/>
  <c r="X305" i="178"/>
  <c r="Z305" i="178" s="1"/>
  <c r="X307" i="178"/>
  <c r="Z307" i="178" s="1"/>
  <c r="X764" i="178"/>
  <c r="Z764" i="178" s="1"/>
  <c r="X306" i="178"/>
  <c r="Z306" i="178" s="1"/>
  <c r="X581" i="178"/>
  <c r="Z581" i="178" s="1"/>
  <c r="AA991" i="178"/>
  <c r="AB991" i="178" s="1"/>
  <c r="AA588" i="178"/>
  <c r="AB588" i="178" s="1"/>
  <c r="AA980" i="178"/>
  <c r="AB980" i="178" s="1"/>
  <c r="AA1009" i="178"/>
  <c r="AB1009" i="178" s="1"/>
  <c r="AA982" i="178"/>
  <c r="AB982" i="178" s="1"/>
  <c r="AA984" i="178"/>
  <c r="AB984" i="178" s="1"/>
  <c r="AA981" i="178"/>
  <c r="AB981" i="178" s="1"/>
  <c r="AA987" i="178"/>
  <c r="AB987" i="178" s="1"/>
  <c r="AA1004" i="178"/>
  <c r="AB1004" i="178" s="1"/>
  <c r="AA1007" i="178"/>
  <c r="AB1007" i="178" s="1"/>
  <c r="AA1010" i="178"/>
  <c r="AB1010" i="178" s="1"/>
  <c r="AA985" i="178"/>
  <c r="AB985" i="178" s="1"/>
  <c r="AA983" i="178"/>
  <c r="AB983" i="178" s="1"/>
  <c r="AA986" i="178"/>
  <c r="AB986" i="178" s="1"/>
  <c r="AA1005" i="178"/>
  <c r="AB1005" i="178" s="1"/>
  <c r="AA1006" i="178"/>
  <c r="AB1006" i="178" s="1"/>
  <c r="AA1008" i="178"/>
  <c r="AB1008" i="178" s="1"/>
  <c r="AA416" i="178"/>
  <c r="AB416" i="178" s="1"/>
  <c r="AA407" i="178"/>
  <c r="AB407" i="178" s="1"/>
  <c r="AA415" i="178"/>
  <c r="AB415" i="178" s="1"/>
  <c r="AA625" i="178"/>
  <c r="AB625" i="178" s="1"/>
  <c r="AA626" i="178"/>
  <c r="AB626" i="178" s="1"/>
  <c r="P93" i="70"/>
  <c r="T93" i="70" s="1"/>
  <c r="AA408" i="178"/>
  <c r="AB408" i="178" s="1"/>
  <c r="AA627" i="178"/>
  <c r="AB627" i="178" s="1"/>
  <c r="AA417" i="178"/>
  <c r="AB417" i="178" s="1"/>
  <c r="AA628" i="178"/>
  <c r="AB628" i="178" s="1"/>
  <c r="AA258" i="178"/>
  <c r="AB258" i="178" s="1"/>
  <c r="X258" i="178"/>
  <c r="Z258" i="178" s="1"/>
  <c r="AA722" i="178"/>
  <c r="AB722" i="178" s="1"/>
  <c r="N27" i="70"/>
  <c r="N92" i="70"/>
  <c r="N28" i="70"/>
  <c r="AA967" i="178"/>
  <c r="AB967" i="178" s="1"/>
  <c r="X967" i="178"/>
  <c r="Z967" i="178" s="1"/>
  <c r="N83" i="70"/>
  <c r="AA316" i="178"/>
  <c r="AB316" i="178" s="1"/>
  <c r="X316" i="178"/>
  <c r="Z316" i="178" s="1"/>
  <c r="X556" i="178"/>
  <c r="Z556" i="178" s="1"/>
  <c r="X855" i="178"/>
  <c r="Z855" i="178" s="1"/>
  <c r="X379" i="178"/>
  <c r="Z379" i="178" s="1"/>
  <c r="AA556" i="178"/>
  <c r="AB556" i="178" s="1"/>
  <c r="AA855" i="178"/>
  <c r="AB855" i="178" s="1"/>
  <c r="AA412" i="178"/>
  <c r="AB412" i="178" s="1"/>
  <c r="X412" i="178"/>
  <c r="Z412" i="178" s="1"/>
  <c r="AA391" i="178"/>
  <c r="AB391" i="178" s="1"/>
  <c r="AA277" i="178"/>
  <c r="AB277" i="178" s="1"/>
  <c r="AA390" i="178"/>
  <c r="AB390" i="178" s="1"/>
  <c r="X277" i="178"/>
  <c r="Z277" i="178" s="1"/>
  <c r="X390" i="178"/>
  <c r="Z390" i="178" s="1"/>
  <c r="X391" i="178"/>
  <c r="Z391" i="178" s="1"/>
  <c r="AA759" i="178"/>
  <c r="AB759" i="178" s="1"/>
  <c r="AA869" i="178"/>
  <c r="AB869" i="178" s="1"/>
  <c r="AA874" i="178"/>
  <c r="AB874" i="178" s="1"/>
  <c r="AA681" i="178"/>
  <c r="AB681" i="178" s="1"/>
  <c r="X759" i="178"/>
  <c r="Z759" i="178" s="1"/>
  <c r="X869" i="178"/>
  <c r="Z869" i="178" s="1"/>
  <c r="X874" i="178"/>
  <c r="Z874" i="178" s="1"/>
  <c r="AA1027" i="178"/>
  <c r="AB1027" i="178" s="1"/>
  <c r="AA965" i="178"/>
  <c r="AB965" i="178" s="1"/>
  <c r="AA873" i="178"/>
  <c r="AB873" i="178" s="1"/>
  <c r="AA964" i="178"/>
  <c r="AB964" i="178" s="1"/>
  <c r="X1027" i="178"/>
  <c r="Z1027" i="178" s="1"/>
  <c r="X964" i="178"/>
  <c r="Z964" i="178" s="1"/>
  <c r="X965" i="178"/>
  <c r="Z965" i="178" s="1"/>
  <c r="X873" i="178"/>
  <c r="Z873" i="178" s="1"/>
  <c r="K53" i="70"/>
  <c r="T53" i="70" s="1"/>
  <c r="P129" i="183"/>
  <c r="T129" i="183" s="1"/>
  <c r="N132" i="183"/>
  <c r="Q132" i="183" s="1"/>
  <c r="N118" i="70"/>
  <c r="Q118" i="70" s="1"/>
  <c r="R118" i="70" s="1"/>
  <c r="S118" i="70" s="1"/>
  <c r="P132" i="183"/>
  <c r="T132" i="183" s="1"/>
  <c r="P118" i="70"/>
  <c r="T118" i="70" s="1"/>
  <c r="N12" i="183"/>
  <c r="Q12" i="183" s="1"/>
  <c r="AA712" i="178"/>
  <c r="AB712" i="178" s="1"/>
  <c r="X712" i="178"/>
  <c r="Z712" i="178" s="1"/>
  <c r="X711" i="178"/>
  <c r="Z711" i="178" s="1"/>
  <c r="N129" i="183"/>
  <c r="Q129" i="183" s="1"/>
  <c r="M104" i="70"/>
  <c r="P54" i="183"/>
  <c r="T54" i="183" s="1"/>
  <c r="N54" i="183"/>
  <c r="Q54" i="183" s="1"/>
  <c r="R54" i="183" s="1"/>
  <c r="S54" i="183" s="1"/>
  <c r="P24" i="183"/>
  <c r="T24" i="183" s="1"/>
  <c r="N24" i="183"/>
  <c r="Q24" i="183" s="1"/>
  <c r="R24" i="183" s="1"/>
  <c r="S24" i="183" s="1"/>
  <c r="N62" i="70"/>
  <c r="C13" i="3"/>
  <c r="X168" i="178"/>
  <c r="Z168" i="178" s="1"/>
  <c r="X881" i="178"/>
  <c r="Z881" i="178" s="1"/>
  <c r="X534" i="178"/>
  <c r="Z534" i="178" s="1"/>
  <c r="X824" i="178"/>
  <c r="Z824" i="178" s="1"/>
  <c r="N39" i="70"/>
  <c r="N35" i="70"/>
  <c r="AA711" i="178"/>
  <c r="AB711" i="178" s="1"/>
  <c r="AA824" i="178"/>
  <c r="AB824" i="178" s="1"/>
  <c r="P106" i="183"/>
  <c r="T106" i="183" s="1"/>
  <c r="X99" i="178"/>
  <c r="Z99" i="178" s="1"/>
  <c r="AA482" i="178"/>
  <c r="AB482" i="178" s="1"/>
  <c r="N106" i="183"/>
  <c r="Q106" i="183" s="1"/>
  <c r="R106" i="183" s="1"/>
  <c r="S106" i="183" s="1"/>
  <c r="X482" i="178"/>
  <c r="Z482" i="178" s="1"/>
  <c r="N13" i="183"/>
  <c r="Q13" i="183" s="1"/>
  <c r="R13" i="183" s="1"/>
  <c r="S13" i="183" s="1"/>
  <c r="AA99" i="178"/>
  <c r="AB99" i="178" s="1"/>
  <c r="AA975" i="178"/>
  <c r="AB975" i="178" s="1"/>
  <c r="M78" i="70"/>
  <c r="M10" i="70"/>
  <c r="K99" i="70"/>
  <c r="T99" i="70" s="1"/>
  <c r="X975" i="178"/>
  <c r="Z975" i="178" s="1"/>
  <c r="X518" i="178"/>
  <c r="Z518" i="178" s="1"/>
  <c r="X323" i="178"/>
  <c r="Z323" i="178" s="1"/>
  <c r="X508" i="178"/>
  <c r="Z508" i="178" s="1"/>
  <c r="X333" i="178"/>
  <c r="Z333" i="178" s="1"/>
  <c r="X510" i="178"/>
  <c r="Z510" i="178" s="1"/>
  <c r="X360" i="178"/>
  <c r="Z360" i="178" s="1"/>
  <c r="X161" i="178"/>
  <c r="Z161" i="178" s="1"/>
  <c r="X236" i="178"/>
  <c r="Z236" i="178" s="1"/>
  <c r="AA437" i="178"/>
  <c r="AB437" i="178" s="1"/>
  <c r="AA361" i="178"/>
  <c r="AB361" i="178" s="1"/>
  <c r="AA1034" i="178"/>
  <c r="AB1034" i="178" s="1"/>
  <c r="AA232" i="178"/>
  <c r="AB232" i="178" s="1"/>
  <c r="AA80" i="178"/>
  <c r="AB80" i="178" s="1"/>
  <c r="AA50" i="178"/>
  <c r="AB50" i="178" s="1"/>
  <c r="AA786" i="178"/>
  <c r="AB786" i="178" s="1"/>
  <c r="AA708" i="178"/>
  <c r="AB708" i="178" s="1"/>
  <c r="X437" i="178"/>
  <c r="Z437" i="178" s="1"/>
  <c r="X361" i="178"/>
  <c r="Z361" i="178" s="1"/>
  <c r="X1034" i="178"/>
  <c r="Z1034" i="178" s="1"/>
  <c r="X232" i="178"/>
  <c r="Z232" i="178" s="1"/>
  <c r="X50" i="178"/>
  <c r="Z50" i="178" s="1"/>
  <c r="X80" i="178"/>
  <c r="Z80" i="178" s="1"/>
  <c r="X786" i="178"/>
  <c r="Z786" i="178" s="1"/>
  <c r="X708" i="178"/>
  <c r="Z708" i="178" s="1"/>
  <c r="AA508" i="178"/>
  <c r="AB508" i="178" s="1"/>
  <c r="AA333" i="178"/>
  <c r="AB333" i="178" s="1"/>
  <c r="AA510" i="178"/>
  <c r="AB510" i="178" s="1"/>
  <c r="AA518" i="178"/>
  <c r="AB518" i="178" s="1"/>
  <c r="AA323" i="178"/>
  <c r="AB323" i="178" s="1"/>
  <c r="AA161" i="178"/>
  <c r="AB161" i="178" s="1"/>
  <c r="AA236" i="178"/>
  <c r="AB236" i="178" s="1"/>
  <c r="AA360" i="178"/>
  <c r="AB360" i="178" s="1"/>
  <c r="C12" i="3"/>
  <c r="C11" i="3"/>
  <c r="K73" i="70"/>
  <c r="T73" i="70" s="1"/>
  <c r="M43" i="70"/>
  <c r="M103" i="70"/>
  <c r="M107" i="70"/>
  <c r="P4" i="70"/>
  <c r="T4" i="70" s="1"/>
  <c r="P5" i="70"/>
  <c r="T5" i="70" s="1"/>
  <c r="N4" i="70"/>
  <c r="Q4" i="70" s="1"/>
  <c r="R4" i="70" s="1"/>
  <c r="S4" i="70" s="1"/>
  <c r="N5" i="70"/>
  <c r="Q5" i="70" s="1"/>
  <c r="R5" i="70" s="1"/>
  <c r="S5" i="70" s="1"/>
  <c r="M36" i="70"/>
  <c r="K69" i="70"/>
  <c r="T69" i="70" s="1"/>
  <c r="M28" i="70"/>
  <c r="K31" i="70"/>
  <c r="T31" i="70" s="1"/>
  <c r="K82" i="70"/>
  <c r="T82" i="70" s="1"/>
  <c r="K107" i="70"/>
  <c r="T107" i="70" s="1"/>
  <c r="M109" i="70"/>
  <c r="M99" i="70"/>
  <c r="M52" i="70"/>
  <c r="M89" i="70"/>
  <c r="M41" i="70"/>
  <c r="M86" i="70"/>
  <c r="M37" i="70"/>
  <c r="M25" i="70"/>
  <c r="M39" i="70"/>
  <c r="K52" i="70"/>
  <c r="T52" i="70" s="1"/>
  <c r="K79" i="70"/>
  <c r="T79" i="70" s="1"/>
  <c r="K108" i="70"/>
  <c r="K39" i="70"/>
  <c r="T39" i="70" s="1"/>
  <c r="N127" i="183"/>
  <c r="Q127" i="183" s="1"/>
  <c r="R127" i="183" s="1"/>
  <c r="S127" i="183" s="1"/>
  <c r="P127" i="183"/>
  <c r="T127" i="183" s="1"/>
  <c r="N112" i="70"/>
  <c r="Q112" i="70" s="1"/>
  <c r="R112" i="70" s="1"/>
  <c r="S112" i="70" s="1"/>
  <c r="N113" i="70"/>
  <c r="Q113" i="70" s="1"/>
  <c r="R113" i="70" s="1"/>
  <c r="N107" i="70"/>
  <c r="Q28" i="95"/>
  <c r="R28" i="95"/>
  <c r="K29" i="70"/>
  <c r="T29" i="70" s="1"/>
  <c r="X908" i="178"/>
  <c r="Z908" i="178" s="1"/>
  <c r="AA908" i="178"/>
  <c r="AB908" i="178" s="1"/>
  <c r="AC339" i="178"/>
  <c r="X678" i="178"/>
  <c r="AA160" i="178"/>
  <c r="AB160" i="178" s="1"/>
  <c r="AA504" i="178"/>
  <c r="AB504" i="178" s="1"/>
  <c r="P8" i="183"/>
  <c r="T8" i="183" s="1"/>
  <c r="X524" i="178"/>
  <c r="Z524" i="178" s="1"/>
  <c r="X504" i="178"/>
  <c r="Z504" i="178" s="1"/>
  <c r="X160" i="178"/>
  <c r="Z160" i="178" s="1"/>
  <c r="AA167" i="178"/>
  <c r="AB167" i="178" s="1"/>
  <c r="AA514" i="178"/>
  <c r="AB514" i="178" s="1"/>
  <c r="X167" i="178"/>
  <c r="Z167" i="178" s="1"/>
  <c r="N8" i="183"/>
  <c r="Q8" i="183" s="1"/>
  <c r="AA678" i="178"/>
  <c r="AB678" i="178" s="1"/>
  <c r="AA524" i="178"/>
  <c r="AB524" i="178" s="1"/>
  <c r="P55" i="183"/>
  <c r="T55" i="183" s="1"/>
  <c r="AA525" i="178"/>
  <c r="AB525" i="178" s="1"/>
  <c r="AA529" i="178"/>
  <c r="AB529" i="178" s="1"/>
  <c r="N51" i="183"/>
  <c r="Q51" i="183" s="1"/>
  <c r="R51" i="183" s="1"/>
  <c r="S51" i="183" s="1"/>
  <c r="AA936" i="178"/>
  <c r="AB936" i="178" s="1"/>
  <c r="AA724" i="178"/>
  <c r="AB724" i="178" s="1"/>
  <c r="AA483" i="178"/>
  <c r="AB483" i="178" s="1"/>
  <c r="P5" i="183"/>
  <c r="T5" i="183" s="1"/>
  <c r="X782" i="178"/>
  <c r="Z782" i="178" s="1"/>
  <c r="X823" i="178"/>
  <c r="Z823" i="178" s="1"/>
  <c r="N55" i="183"/>
  <c r="Q55" i="183" s="1"/>
  <c r="R55" i="183" s="1"/>
  <c r="S55" i="183" s="1"/>
  <c r="X525" i="178"/>
  <c r="Z525" i="178" s="1"/>
  <c r="X529" i="178"/>
  <c r="Z529" i="178" s="1"/>
  <c r="N126" i="183"/>
  <c r="Q126" i="183" s="1"/>
  <c r="R126" i="183" s="1"/>
  <c r="S126" i="183" s="1"/>
  <c r="AA793" i="178"/>
  <c r="AB793" i="178" s="1"/>
  <c r="N110" i="183"/>
  <c r="Q110" i="183" s="1"/>
  <c r="R110" i="183" s="1"/>
  <c r="S110" i="183" s="1"/>
  <c r="X405" i="178"/>
  <c r="Z405" i="178" s="1"/>
  <c r="X169" i="178"/>
  <c r="Z169" i="178" s="1"/>
  <c r="P50" i="183"/>
  <c r="T50" i="183" s="1"/>
  <c r="X936" i="178"/>
  <c r="Z936" i="178" s="1"/>
  <c r="X724" i="178"/>
  <c r="Z724" i="178" s="1"/>
  <c r="X483" i="178"/>
  <c r="Z483" i="178" s="1"/>
  <c r="AA877" i="178"/>
  <c r="AB877" i="178" s="1"/>
  <c r="AA883" i="178"/>
  <c r="AB883" i="178" s="1"/>
  <c r="AA338" i="178"/>
  <c r="AB338" i="178" s="1"/>
  <c r="AA330" i="178"/>
  <c r="AB330" i="178" s="1"/>
  <c r="X793" i="178"/>
  <c r="Z793" i="178" s="1"/>
  <c r="P13" i="183"/>
  <c r="T13" i="183" s="1"/>
  <c r="P51" i="183"/>
  <c r="T51" i="183" s="1"/>
  <c r="AA951" i="178"/>
  <c r="AB951" i="178" s="1"/>
  <c r="AA494" i="178"/>
  <c r="AB494" i="178" s="1"/>
  <c r="AA950" i="178"/>
  <c r="AB950" i="178" s="1"/>
  <c r="AA726" i="178"/>
  <c r="AB726" i="178" s="1"/>
  <c r="X877" i="178"/>
  <c r="Z877" i="178" s="1"/>
  <c r="X883" i="178"/>
  <c r="Z883" i="178" s="1"/>
  <c r="X330" i="178"/>
  <c r="Z330" i="178" s="1"/>
  <c r="X338" i="178"/>
  <c r="Z338" i="178" s="1"/>
  <c r="P126" i="183"/>
  <c r="T126" i="183" s="1"/>
  <c r="P110" i="183"/>
  <c r="T110" i="183" s="1"/>
  <c r="AA169" i="178"/>
  <c r="AB169" i="178" s="1"/>
  <c r="AA405" i="178"/>
  <c r="AB405" i="178" s="1"/>
  <c r="N50" i="183"/>
  <c r="Q50" i="183" s="1"/>
  <c r="R50" i="183" s="1"/>
  <c r="S50" i="183" s="1"/>
  <c r="X951" i="178"/>
  <c r="Z951" i="178" s="1"/>
  <c r="X494" i="178"/>
  <c r="Z494" i="178" s="1"/>
  <c r="X950" i="178"/>
  <c r="Z950" i="178" s="1"/>
  <c r="X726" i="178"/>
  <c r="Z726" i="178" s="1"/>
  <c r="N5" i="183"/>
  <c r="Q5" i="183" s="1"/>
  <c r="R5" i="183" s="1"/>
  <c r="S5" i="183" s="1"/>
  <c r="AA782" i="178"/>
  <c r="AB782" i="178" s="1"/>
  <c r="AA823" i="178"/>
  <c r="AB823" i="178" s="1"/>
  <c r="Q105" i="183"/>
  <c r="R105" i="183" s="1"/>
  <c r="S105" i="183" s="1"/>
  <c r="X932" i="178"/>
  <c r="Z932" i="178" s="1"/>
  <c r="AA534" i="178"/>
  <c r="AB534" i="178" s="1"/>
  <c r="AA705" i="178"/>
  <c r="AB705" i="178" s="1"/>
  <c r="AA881" i="178"/>
  <c r="AB881" i="178" s="1"/>
  <c r="P108" i="70"/>
  <c r="N111" i="70"/>
  <c r="Y678" i="178"/>
  <c r="X514" i="178"/>
  <c r="Z514" i="178" s="1"/>
  <c r="I80" i="70"/>
  <c r="X705" i="178"/>
  <c r="Z705" i="178" s="1"/>
  <c r="X925" i="178"/>
  <c r="Q46" i="183"/>
  <c r="R46" i="183" s="1"/>
  <c r="S46" i="183" s="1"/>
  <c r="AA925" i="178"/>
  <c r="AB925" i="178" s="1"/>
  <c r="AA932" i="178"/>
  <c r="AB932" i="178" s="1"/>
  <c r="Y925" i="178"/>
  <c r="Q4" i="183"/>
  <c r="R4" i="183" s="1"/>
  <c r="S4" i="183" s="1"/>
  <c r="P111" i="70"/>
  <c r="Q9" i="183"/>
  <c r="R9" i="183" s="1"/>
  <c r="S9" i="183" s="1"/>
  <c r="Q38" i="183"/>
  <c r="R38" i="183" s="1"/>
  <c r="S38" i="183" s="1"/>
  <c r="Q64" i="183"/>
  <c r="R64" i="183" s="1"/>
  <c r="S64" i="183" s="1"/>
  <c r="Q14" i="183"/>
  <c r="R14" i="183" s="1"/>
  <c r="S14" i="183" s="1"/>
  <c r="Q33" i="183"/>
  <c r="R33" i="183" s="1"/>
  <c r="S33" i="183" s="1"/>
  <c r="Q11" i="183"/>
  <c r="R11" i="183" s="1"/>
  <c r="S11" i="183" s="1"/>
  <c r="N37" i="183"/>
  <c r="N34" i="183"/>
  <c r="N36" i="183"/>
  <c r="N35" i="183"/>
  <c r="P42" i="183"/>
  <c r="T42" i="183" s="1"/>
  <c r="P41" i="183"/>
  <c r="T41" i="183" s="1"/>
  <c r="P40" i="183"/>
  <c r="T40" i="183" s="1"/>
  <c r="P39" i="183"/>
  <c r="T39" i="183" s="1"/>
  <c r="Y918" i="178"/>
  <c r="O17" i="183"/>
  <c r="O18" i="183"/>
  <c r="Y445" i="178"/>
  <c r="N21" i="183"/>
  <c r="N22" i="183"/>
  <c r="X762" i="178"/>
  <c r="O29" i="183"/>
  <c r="Q44" i="183"/>
  <c r="N59" i="183"/>
  <c r="P60" i="183"/>
  <c r="T60" i="183" s="1"/>
  <c r="N61" i="183"/>
  <c r="X256" i="178"/>
  <c r="N62" i="183"/>
  <c r="P65" i="183"/>
  <c r="T65" i="183" s="1"/>
  <c r="P66" i="183"/>
  <c r="T66" i="183" s="1"/>
  <c r="O67" i="183"/>
  <c r="N68" i="183"/>
  <c r="O108" i="183"/>
  <c r="O107" i="183"/>
  <c r="P124" i="183"/>
  <c r="T124" i="183" s="1"/>
  <c r="P123" i="183"/>
  <c r="T123" i="183" s="1"/>
  <c r="P130" i="183"/>
  <c r="T130" i="183" s="1"/>
  <c r="P131" i="183"/>
  <c r="T131" i="183" s="1"/>
  <c r="N87" i="183"/>
  <c r="N86" i="183"/>
  <c r="N85" i="183"/>
  <c r="P80" i="183"/>
  <c r="T80" i="183" s="1"/>
  <c r="P79" i="183"/>
  <c r="T79" i="183" s="1"/>
  <c r="O78" i="183"/>
  <c r="O77" i="183"/>
  <c r="N31" i="183"/>
  <c r="N19" i="183"/>
  <c r="N20" i="183"/>
  <c r="N101" i="183"/>
  <c r="P98" i="183"/>
  <c r="T98" i="183" s="1"/>
  <c r="O97" i="183"/>
  <c r="O96" i="183"/>
  <c r="P88" i="183"/>
  <c r="T88" i="183" s="1"/>
  <c r="P89" i="183"/>
  <c r="T89" i="183" s="1"/>
  <c r="O74" i="183"/>
  <c r="O73" i="183"/>
  <c r="N71" i="183"/>
  <c r="N72" i="183"/>
  <c r="Q43" i="183"/>
  <c r="P30" i="183"/>
  <c r="T30" i="183" s="1"/>
  <c r="AA905" i="178"/>
  <c r="AB905" i="178" s="1"/>
  <c r="O28" i="183"/>
  <c r="N15" i="183"/>
  <c r="N119" i="183"/>
  <c r="N117" i="183"/>
  <c r="N118" i="183"/>
  <c r="O7" i="183"/>
  <c r="O6" i="183"/>
  <c r="N128" i="183"/>
  <c r="O115" i="183"/>
  <c r="O116" i="183"/>
  <c r="N91" i="183"/>
  <c r="N92" i="183"/>
  <c r="N90" i="183"/>
  <c r="P75" i="183"/>
  <c r="T75" i="183" s="1"/>
  <c r="P76" i="183"/>
  <c r="T76" i="183" s="1"/>
  <c r="P10" i="183"/>
  <c r="T10" i="183" s="1"/>
  <c r="X336" i="178"/>
  <c r="Y830" i="178"/>
  <c r="Y512" i="178"/>
  <c r="AA728" i="178"/>
  <c r="AB728" i="178" s="1"/>
  <c r="N16" i="183"/>
  <c r="P95" i="183"/>
  <c r="T95" i="183" s="1"/>
  <c r="P94" i="183"/>
  <c r="T94" i="183" s="1"/>
  <c r="P93" i="183"/>
  <c r="T93" i="183" s="1"/>
  <c r="O63" i="183"/>
  <c r="N47" i="183"/>
  <c r="X878" i="178"/>
  <c r="N53" i="183"/>
  <c r="N52" i="183"/>
  <c r="N48" i="183"/>
  <c r="N49" i="183"/>
  <c r="P52" i="183"/>
  <c r="T52" i="183" s="1"/>
  <c r="P53" i="183"/>
  <c r="T53" i="183" s="1"/>
  <c r="O42" i="183"/>
  <c r="O41" i="183"/>
  <c r="O40" i="183"/>
  <c r="O39" i="183"/>
  <c r="X918" i="178"/>
  <c r="N18" i="183"/>
  <c r="N17" i="183"/>
  <c r="X445" i="178"/>
  <c r="P23" i="183"/>
  <c r="T23" i="183" s="1"/>
  <c r="N29" i="183"/>
  <c r="P45" i="183"/>
  <c r="T45" i="183" s="1"/>
  <c r="O60" i="183"/>
  <c r="O66" i="183"/>
  <c r="O65" i="183"/>
  <c r="N67" i="183"/>
  <c r="P83" i="183"/>
  <c r="T83" i="183" s="1"/>
  <c r="P103" i="183"/>
  <c r="T103" i="183" s="1"/>
  <c r="P104" i="183"/>
  <c r="T104" i="183" s="1"/>
  <c r="N107" i="183"/>
  <c r="N108" i="183"/>
  <c r="P121" i="183"/>
  <c r="T121" i="183" s="1"/>
  <c r="P122" i="183"/>
  <c r="T122" i="183" s="1"/>
  <c r="O123" i="183"/>
  <c r="O124" i="183"/>
  <c r="Q125" i="183"/>
  <c r="R125" i="183" s="1"/>
  <c r="S125" i="183" s="1"/>
  <c r="O131" i="183"/>
  <c r="O130" i="183"/>
  <c r="O79" i="183"/>
  <c r="O80" i="183"/>
  <c r="N78" i="183"/>
  <c r="N77" i="183"/>
  <c r="P26" i="183"/>
  <c r="T26" i="183" s="1"/>
  <c r="P3" i="183"/>
  <c r="T3" i="183" s="1"/>
  <c r="P2" i="183"/>
  <c r="T2" i="183" s="1"/>
  <c r="AA635" i="178"/>
  <c r="AB635" i="178" s="1"/>
  <c r="AA326" i="178"/>
  <c r="AB326" i="178" s="1"/>
  <c r="P100" i="183"/>
  <c r="T100" i="183" s="1"/>
  <c r="P99" i="183"/>
  <c r="T99" i="183" s="1"/>
  <c r="O98" i="183"/>
  <c r="N96" i="183"/>
  <c r="N97" i="183"/>
  <c r="O89" i="183"/>
  <c r="O88" i="183"/>
  <c r="N73" i="183"/>
  <c r="N74" i="183"/>
  <c r="P70" i="183"/>
  <c r="T70" i="183" s="1"/>
  <c r="P69" i="183"/>
  <c r="T69" i="183" s="1"/>
  <c r="P32" i="183"/>
  <c r="T32" i="183" s="1"/>
  <c r="O30" i="183"/>
  <c r="Y905" i="178"/>
  <c r="N28" i="183"/>
  <c r="P114" i="183"/>
  <c r="T114" i="183" s="1"/>
  <c r="P112" i="183"/>
  <c r="T112" i="183" s="1"/>
  <c r="P113" i="183"/>
  <c r="T113" i="183" s="1"/>
  <c r="N7" i="183"/>
  <c r="N6" i="183"/>
  <c r="P120" i="183"/>
  <c r="T120" i="183" s="1"/>
  <c r="N116" i="183"/>
  <c r="N115" i="183"/>
  <c r="P111" i="183"/>
  <c r="T111" i="183" s="1"/>
  <c r="P81" i="183"/>
  <c r="T81" i="183" s="1"/>
  <c r="P82" i="183"/>
  <c r="T82" i="183" s="1"/>
  <c r="O75" i="183"/>
  <c r="O76" i="183"/>
  <c r="AA1041" i="178"/>
  <c r="AB1041" i="178" s="1"/>
  <c r="O10" i="183"/>
  <c r="X830" i="178"/>
  <c r="X512" i="178"/>
  <c r="AA113" i="178"/>
  <c r="AB113" i="178" s="1"/>
  <c r="Y728" i="178"/>
  <c r="O94" i="183"/>
  <c r="O93" i="183"/>
  <c r="O95" i="183"/>
  <c r="N63" i="183"/>
  <c r="P90" i="70"/>
  <c r="P109" i="183"/>
  <c r="T109" i="183" s="1"/>
  <c r="O37" i="183"/>
  <c r="O34" i="183"/>
  <c r="O36" i="183"/>
  <c r="O35" i="183"/>
  <c r="P57" i="183"/>
  <c r="T57" i="183" s="1"/>
  <c r="P58" i="183"/>
  <c r="T58" i="183" s="1"/>
  <c r="P56" i="183"/>
  <c r="T56" i="183" s="1"/>
  <c r="O58" i="183"/>
  <c r="O57" i="183"/>
  <c r="O56" i="183"/>
  <c r="O49" i="183"/>
  <c r="O48" i="183"/>
  <c r="N41" i="183"/>
  <c r="N42" i="183"/>
  <c r="N40" i="183"/>
  <c r="N39" i="183"/>
  <c r="P21" i="183"/>
  <c r="T21" i="183" s="1"/>
  <c r="P22" i="183"/>
  <c r="T22" i="183" s="1"/>
  <c r="AA762" i="178"/>
  <c r="AB762" i="178" s="1"/>
  <c r="O23" i="183"/>
  <c r="Q27" i="183"/>
  <c r="R27" i="183" s="1"/>
  <c r="S27" i="183" s="1"/>
  <c r="O45" i="183"/>
  <c r="P59" i="183"/>
  <c r="T59" i="183" s="1"/>
  <c r="N60" i="183"/>
  <c r="P61" i="183"/>
  <c r="T61" i="183" s="1"/>
  <c r="AA256" i="178"/>
  <c r="AB256" i="178" s="1"/>
  <c r="P62" i="183"/>
  <c r="T62" i="183" s="1"/>
  <c r="N66" i="183"/>
  <c r="N65" i="183"/>
  <c r="P68" i="183"/>
  <c r="T68" i="183" s="1"/>
  <c r="O83" i="183"/>
  <c r="Q84" i="183"/>
  <c r="R84" i="183" s="1"/>
  <c r="S84" i="183" s="1"/>
  <c r="O104" i="183"/>
  <c r="O103" i="183"/>
  <c r="O121" i="183"/>
  <c r="O122" i="183"/>
  <c r="N124" i="183"/>
  <c r="N123" i="183"/>
  <c r="N131" i="183"/>
  <c r="N130" i="183"/>
  <c r="P87" i="183"/>
  <c r="T87" i="183" s="1"/>
  <c r="P86" i="183"/>
  <c r="T86" i="183" s="1"/>
  <c r="P85" i="183"/>
  <c r="T85" i="183" s="1"/>
  <c r="N79" i="183"/>
  <c r="N80" i="183"/>
  <c r="P31" i="183"/>
  <c r="T31" i="183" s="1"/>
  <c r="O26" i="183"/>
  <c r="Q25" i="183"/>
  <c r="P20" i="183"/>
  <c r="T20" i="183" s="1"/>
  <c r="P19" i="183"/>
  <c r="T19" i="183" s="1"/>
  <c r="Y635" i="178"/>
  <c r="O3" i="183"/>
  <c r="O2" i="183"/>
  <c r="Y326" i="178"/>
  <c r="P101" i="183"/>
  <c r="T101" i="183" s="1"/>
  <c r="O100" i="183"/>
  <c r="O99" i="183"/>
  <c r="N98" i="183"/>
  <c r="N88" i="183"/>
  <c r="N89" i="183"/>
  <c r="P72" i="183"/>
  <c r="T72" i="183" s="1"/>
  <c r="P71" i="183"/>
  <c r="T71" i="183" s="1"/>
  <c r="O70" i="183"/>
  <c r="O69" i="183"/>
  <c r="O32" i="183"/>
  <c r="N30" i="183"/>
  <c r="X905" i="178"/>
  <c r="P15" i="183"/>
  <c r="T15" i="183" s="1"/>
  <c r="P119" i="183"/>
  <c r="T119" i="183" s="1"/>
  <c r="P118" i="183"/>
  <c r="T118" i="183" s="1"/>
  <c r="P117" i="183"/>
  <c r="T117" i="183" s="1"/>
  <c r="O113" i="183"/>
  <c r="O114" i="183"/>
  <c r="O112" i="183"/>
  <c r="P128" i="183"/>
  <c r="T128" i="183" s="1"/>
  <c r="O120" i="183"/>
  <c r="O111" i="183"/>
  <c r="P91" i="183"/>
  <c r="T91" i="183" s="1"/>
  <c r="P92" i="183"/>
  <c r="T92" i="183" s="1"/>
  <c r="P90" i="183"/>
  <c r="T90" i="183" s="1"/>
  <c r="O82" i="183"/>
  <c r="O81" i="183"/>
  <c r="N76" i="183"/>
  <c r="N75" i="183"/>
  <c r="Y1041" i="178"/>
  <c r="N10" i="183"/>
  <c r="AA336" i="178"/>
  <c r="AB336" i="178" s="1"/>
  <c r="Y113" i="178"/>
  <c r="X728" i="178"/>
  <c r="P16" i="183"/>
  <c r="T16" i="183" s="1"/>
  <c r="N95" i="183"/>
  <c r="N93" i="183"/>
  <c r="N94" i="183"/>
  <c r="P47" i="183"/>
  <c r="T47" i="183" s="1"/>
  <c r="AA878" i="178"/>
  <c r="AB878" i="178" s="1"/>
  <c r="O109" i="183"/>
  <c r="P36" i="183"/>
  <c r="T36" i="183" s="1"/>
  <c r="P35" i="183"/>
  <c r="T35" i="183" s="1"/>
  <c r="P37" i="183"/>
  <c r="T37" i="183" s="1"/>
  <c r="P34" i="183"/>
  <c r="T34" i="183" s="1"/>
  <c r="N56" i="183"/>
  <c r="N57" i="183"/>
  <c r="N58" i="183"/>
  <c r="P49" i="183"/>
  <c r="T49" i="183" s="1"/>
  <c r="P48" i="183"/>
  <c r="T48" i="183" s="1"/>
  <c r="O53" i="183"/>
  <c r="O52" i="183"/>
  <c r="AA918" i="178"/>
  <c r="AB918" i="178" s="1"/>
  <c r="P17" i="183"/>
  <c r="T17" i="183" s="1"/>
  <c r="P18" i="183"/>
  <c r="T18" i="183" s="1"/>
  <c r="AA445" i="178"/>
  <c r="AB445" i="178" s="1"/>
  <c r="O22" i="183"/>
  <c r="O21" i="183"/>
  <c r="Y762" i="178"/>
  <c r="N23" i="183"/>
  <c r="P29" i="183"/>
  <c r="T29" i="183" s="1"/>
  <c r="N45" i="183"/>
  <c r="O59" i="183"/>
  <c r="O61" i="183"/>
  <c r="Y256" i="178"/>
  <c r="O62" i="183"/>
  <c r="P67" i="183"/>
  <c r="T67" i="183" s="1"/>
  <c r="O68" i="183"/>
  <c r="N83" i="183"/>
  <c r="N103" i="183"/>
  <c r="N104" i="183"/>
  <c r="P107" i="183"/>
  <c r="T107" i="183" s="1"/>
  <c r="P108" i="183"/>
  <c r="T108" i="183" s="1"/>
  <c r="N122" i="183"/>
  <c r="N121" i="183"/>
  <c r="O86" i="183"/>
  <c r="O85" i="183"/>
  <c r="O87" i="183"/>
  <c r="P78" i="183"/>
  <c r="T78" i="183" s="1"/>
  <c r="P77" i="183"/>
  <c r="T77" i="183" s="1"/>
  <c r="O31" i="183"/>
  <c r="N26" i="183"/>
  <c r="O20" i="183"/>
  <c r="O19" i="183"/>
  <c r="X635" i="178"/>
  <c r="X326" i="178"/>
  <c r="N3" i="183"/>
  <c r="N2" i="183"/>
  <c r="O101" i="183"/>
  <c r="N100" i="183"/>
  <c r="N99" i="183"/>
  <c r="P96" i="183"/>
  <c r="T96" i="183" s="1"/>
  <c r="P97" i="183"/>
  <c r="T97" i="183" s="1"/>
  <c r="P73" i="183"/>
  <c r="T73" i="183" s="1"/>
  <c r="P74" i="183"/>
  <c r="T74" i="183" s="1"/>
  <c r="O72" i="183"/>
  <c r="O71" i="183"/>
  <c r="N70" i="183"/>
  <c r="N69" i="183"/>
  <c r="N32" i="183"/>
  <c r="P28" i="183"/>
  <c r="T28" i="183" s="1"/>
  <c r="O15" i="183"/>
  <c r="O118" i="183"/>
  <c r="O117" i="183"/>
  <c r="O119" i="183"/>
  <c r="N114" i="183"/>
  <c r="N112" i="183"/>
  <c r="N113" i="183"/>
  <c r="P6" i="183"/>
  <c r="T6" i="183" s="1"/>
  <c r="P7" i="183"/>
  <c r="T7" i="183" s="1"/>
  <c r="O128" i="183"/>
  <c r="N120" i="183"/>
  <c r="P116" i="183"/>
  <c r="T116" i="183" s="1"/>
  <c r="P115" i="183"/>
  <c r="T115" i="183" s="1"/>
  <c r="N111" i="183"/>
  <c r="O92" i="183"/>
  <c r="O90" i="183"/>
  <c r="O91" i="183"/>
  <c r="N82" i="183"/>
  <c r="N81" i="183"/>
  <c r="X1041" i="178"/>
  <c r="Y336" i="178"/>
  <c r="AA830" i="178"/>
  <c r="AB830" i="178" s="1"/>
  <c r="AA512" i="178"/>
  <c r="AB512" i="178" s="1"/>
  <c r="X113" i="178"/>
  <c r="O16" i="183"/>
  <c r="P63" i="183"/>
  <c r="T63" i="183" s="1"/>
  <c r="O47" i="183"/>
  <c r="Y878" i="178"/>
  <c r="N90" i="70"/>
  <c r="N109" i="183"/>
  <c r="H27" i="3"/>
  <c r="S40" i="95"/>
  <c r="S39" i="95"/>
  <c r="S37" i="95"/>
  <c r="S36" i="95"/>
  <c r="S35" i="95"/>
  <c r="S34" i="95"/>
  <c r="S19" i="95"/>
  <c r="R20" i="95"/>
  <c r="S15" i="95"/>
  <c r="I109" i="70"/>
  <c r="K96" i="70"/>
  <c r="T96" i="70" s="1"/>
  <c r="K64" i="70"/>
  <c r="T64" i="70" s="1"/>
  <c r="K62" i="70"/>
  <c r="T62" i="70" s="1"/>
  <c r="K58" i="70"/>
  <c r="T58" i="70" s="1"/>
  <c r="K56" i="70"/>
  <c r="T56" i="70" s="1"/>
  <c r="K54" i="70"/>
  <c r="T54" i="70" s="1"/>
  <c r="K49" i="70"/>
  <c r="T49" i="70" s="1"/>
  <c r="K92" i="70"/>
  <c r="T92" i="70" s="1"/>
  <c r="M72" i="70"/>
  <c r="M75" i="70"/>
  <c r="M83" i="70"/>
  <c r="M50" i="70"/>
  <c r="K72" i="70"/>
  <c r="T72" i="70" s="1"/>
  <c r="M65" i="70"/>
  <c r="K78" i="70"/>
  <c r="K75" i="70"/>
  <c r="T75" i="70" s="1"/>
  <c r="K43" i="70"/>
  <c r="T43" i="70" s="1"/>
  <c r="K37" i="70"/>
  <c r="K65" i="70"/>
  <c r="T65" i="70" s="1"/>
  <c r="K13" i="70"/>
  <c r="T13" i="70" s="1"/>
  <c r="M31" i="70"/>
  <c r="K81" i="70"/>
  <c r="T81" i="70" s="1"/>
  <c r="M110" i="70"/>
  <c r="P22" i="95"/>
  <c r="P40" i="95"/>
  <c r="P39" i="95"/>
  <c r="P37" i="95"/>
  <c r="P36" i="95"/>
  <c r="P34" i="95"/>
  <c r="H37" i="70"/>
  <c r="L42" i="95"/>
  <c r="Q38" i="95"/>
  <c r="P35" i="95"/>
  <c r="O42" i="95"/>
  <c r="I13" i="70"/>
  <c r="H88" i="70"/>
  <c r="H45" i="70"/>
  <c r="I47" i="70"/>
  <c r="H83" i="70"/>
  <c r="I2" i="70"/>
  <c r="K25" i="70"/>
  <c r="I39" i="70"/>
  <c r="K27" i="70"/>
  <c r="T27" i="70" s="1"/>
  <c r="I74" i="70"/>
  <c r="H35" i="70"/>
  <c r="M2" i="70"/>
  <c r="K67" i="70"/>
  <c r="T67" i="70" s="1"/>
  <c r="K60" i="70"/>
  <c r="T60" i="70" s="1"/>
  <c r="K47" i="70"/>
  <c r="T47" i="70" s="1"/>
  <c r="K89" i="70"/>
  <c r="T89" i="70" s="1"/>
  <c r="K41" i="70"/>
  <c r="T41" i="70" s="1"/>
  <c r="K103" i="70"/>
  <c r="T103" i="70" s="1"/>
  <c r="M81" i="70"/>
  <c r="M27" i="70"/>
  <c r="K116" i="70"/>
  <c r="T116" i="70" s="1"/>
  <c r="K97" i="70"/>
  <c r="T97" i="70" s="1"/>
  <c r="K50" i="70"/>
  <c r="T50" i="70" s="1"/>
  <c r="K48" i="70"/>
  <c r="T48" i="70" s="1"/>
  <c r="K44" i="70"/>
  <c r="T44" i="70" s="1"/>
  <c r="K42" i="70"/>
  <c r="T42" i="70" s="1"/>
  <c r="K87" i="70"/>
  <c r="T87" i="70" s="1"/>
  <c r="K91" i="70"/>
  <c r="T91" i="70" s="1"/>
  <c r="K38" i="70"/>
  <c r="T38" i="70" s="1"/>
  <c r="K28" i="70"/>
  <c r="T28" i="70" s="1"/>
  <c r="M73" i="70"/>
  <c r="M71" i="70"/>
  <c r="M74" i="70"/>
  <c r="K105" i="70"/>
  <c r="Q105" i="70" s="1"/>
  <c r="R105" i="70" s="1"/>
  <c r="S105" i="70" s="1"/>
  <c r="M102" i="70"/>
  <c r="M80" i="70"/>
  <c r="M45" i="70"/>
  <c r="K110" i="70"/>
  <c r="K10" i="70"/>
  <c r="T10" i="70" s="1"/>
  <c r="M3" i="70"/>
  <c r="K33" i="70"/>
  <c r="T33" i="70" s="1"/>
  <c r="K77" i="70"/>
  <c r="T77" i="70" s="1"/>
  <c r="K83" i="70"/>
  <c r="T83" i="70" s="1"/>
  <c r="I100" i="70"/>
  <c r="I51" i="70"/>
  <c r="I10" i="70"/>
  <c r="H114" i="70"/>
  <c r="I73" i="70"/>
  <c r="I111" i="70"/>
  <c r="H50" i="70"/>
  <c r="I64" i="70"/>
  <c r="I3" i="70"/>
  <c r="I78" i="70"/>
  <c r="I104" i="70"/>
  <c r="M106" i="70"/>
  <c r="K88" i="70"/>
  <c r="T88" i="70" s="1"/>
  <c r="P33" i="95"/>
  <c r="H42" i="95"/>
  <c r="S16" i="95"/>
  <c r="R38" i="95"/>
  <c r="S33" i="95"/>
  <c r="S18" i="95"/>
  <c r="S14" i="95"/>
  <c r="S21" i="95"/>
  <c r="S17" i="95"/>
  <c r="G9" i="95"/>
  <c r="S20" i="95"/>
  <c r="S22" i="95"/>
  <c r="M82" i="70"/>
  <c r="I99" i="70"/>
  <c r="H84" i="70"/>
  <c r="X781" i="178"/>
  <c r="AA781" i="178"/>
  <c r="AB781" i="178" s="1"/>
  <c r="Y781" i="178"/>
  <c r="I40" i="70"/>
  <c r="H112" i="70"/>
  <c r="I28" i="70"/>
  <c r="J9" i="95"/>
  <c r="I30" i="95"/>
  <c r="O24" i="95"/>
  <c r="R13" i="95"/>
  <c r="E42" i="95"/>
  <c r="R4" i="95"/>
  <c r="H9" i="95"/>
  <c r="K42" i="95"/>
  <c r="P20" i="95"/>
  <c r="P19" i="95"/>
  <c r="P16" i="95"/>
  <c r="P15" i="95"/>
  <c r="P14" i="95"/>
  <c r="Q7" i="95"/>
  <c r="E50" i="95" s="1"/>
  <c r="Q5" i="95"/>
  <c r="S13" i="95"/>
  <c r="P7" i="95"/>
  <c r="D50" i="95" s="1"/>
  <c r="P6" i="95"/>
  <c r="N9" i="95"/>
  <c r="R22" i="95"/>
  <c r="R21" i="95"/>
  <c r="R18" i="95"/>
  <c r="R17" i="95"/>
  <c r="R14" i="95"/>
  <c r="K55" i="70"/>
  <c r="T55" i="70" s="1"/>
  <c r="T23" i="70"/>
  <c r="T11" i="70"/>
  <c r="M108" i="70"/>
  <c r="K74" i="70"/>
  <c r="T74" i="70" s="1"/>
  <c r="K80" i="70"/>
  <c r="K45" i="70"/>
  <c r="T45" i="70" s="1"/>
  <c r="K71" i="70"/>
  <c r="T71" i="70" s="1"/>
  <c r="M111" i="70"/>
  <c r="H46" i="70"/>
  <c r="I46" i="70"/>
  <c r="H69" i="70"/>
  <c r="I69" i="70"/>
  <c r="I62" i="70"/>
  <c r="H62" i="70"/>
  <c r="K117" i="70"/>
  <c r="K51" i="70"/>
  <c r="T51" i="70" s="1"/>
  <c r="K86" i="70"/>
  <c r="T86" i="70" s="1"/>
  <c r="K35" i="70"/>
  <c r="T35" i="70" s="1"/>
  <c r="K3" i="70"/>
  <c r="H65" i="70"/>
  <c r="I65" i="70"/>
  <c r="M76" i="70"/>
  <c r="M100" i="70"/>
  <c r="K100" i="70"/>
  <c r="T100" i="70" s="1"/>
  <c r="H102" i="70"/>
  <c r="I102" i="70"/>
  <c r="H81" i="70"/>
  <c r="I81" i="70"/>
  <c r="H107" i="70"/>
  <c r="I107" i="70"/>
  <c r="H110" i="70"/>
  <c r="I110" i="70"/>
  <c r="H22" i="70"/>
  <c r="M32" i="70"/>
  <c r="K32" i="70"/>
  <c r="T32" i="70" s="1"/>
  <c r="H97" i="70"/>
  <c r="I97" i="70"/>
  <c r="I54" i="70"/>
  <c r="H54" i="70"/>
  <c r="H49" i="70"/>
  <c r="I49" i="70"/>
  <c r="H56" i="70"/>
  <c r="I56" i="70"/>
  <c r="K70" i="70"/>
  <c r="T70" i="70" s="1"/>
  <c r="K68" i="70"/>
  <c r="T68" i="70" s="1"/>
  <c r="K66" i="70"/>
  <c r="T66" i="70" s="1"/>
  <c r="K63" i="70"/>
  <c r="T63" i="70" s="1"/>
  <c r="K61" i="70"/>
  <c r="T61" i="70" s="1"/>
  <c r="K59" i="70"/>
  <c r="T59" i="70" s="1"/>
  <c r="K57" i="70"/>
  <c r="T57" i="70" s="1"/>
  <c r="K46" i="70"/>
  <c r="K84" i="70"/>
  <c r="T84" i="70" s="1"/>
  <c r="K36" i="70"/>
  <c r="T36" i="70" s="1"/>
  <c r="M33" i="70"/>
  <c r="M53" i="70"/>
  <c r="M79" i="70"/>
  <c r="M77" i="70"/>
  <c r="M13" i="70"/>
  <c r="E12" i="3"/>
  <c r="K2" i="70"/>
  <c r="T2" i="70" s="1"/>
  <c r="M117" i="70"/>
  <c r="M101" i="70"/>
  <c r="Q101" i="70" s="1"/>
  <c r="R101" i="70" s="1"/>
  <c r="S101" i="70" s="1"/>
  <c r="M98" i="70"/>
  <c r="Q98" i="70" s="1"/>
  <c r="R98" i="70" s="1"/>
  <c r="S98" i="70" s="1"/>
  <c r="M96" i="70"/>
  <c r="M69" i="70"/>
  <c r="M67" i="70"/>
  <c r="M64" i="70"/>
  <c r="M62" i="70"/>
  <c r="M60" i="70"/>
  <c r="M58" i="70"/>
  <c r="M56" i="70"/>
  <c r="M54" i="70"/>
  <c r="M51" i="70"/>
  <c r="M49" i="70"/>
  <c r="M47" i="70"/>
  <c r="M92" i="70"/>
  <c r="M35" i="70"/>
  <c r="M29" i="70"/>
  <c r="K106" i="70"/>
  <c r="T106" i="70" s="1"/>
  <c r="K102" i="70"/>
  <c r="T102" i="70" s="1"/>
  <c r="K111" i="70"/>
  <c r="K109" i="70"/>
  <c r="T109" i="70" s="1"/>
  <c r="M90" i="70"/>
  <c r="K90" i="70"/>
  <c r="M116" i="70"/>
  <c r="M97" i="70"/>
  <c r="M70" i="70"/>
  <c r="M68" i="70"/>
  <c r="M66" i="70"/>
  <c r="M63" i="70"/>
  <c r="M61" i="70"/>
  <c r="M59" i="70"/>
  <c r="M57" i="70"/>
  <c r="M55" i="70"/>
  <c r="M48" i="70"/>
  <c r="M46" i="70"/>
  <c r="M44" i="70"/>
  <c r="M88" i="70"/>
  <c r="M84" i="70"/>
  <c r="M42" i="70"/>
  <c r="M87" i="70"/>
  <c r="M91" i="70"/>
  <c r="M38" i="70"/>
  <c r="K76" i="70"/>
  <c r="T76" i="70" s="1"/>
  <c r="K104" i="70"/>
  <c r="T104" i="70" s="1"/>
  <c r="Q33" i="95"/>
  <c r="F42" i="95"/>
  <c r="Q12" i="95"/>
  <c r="P18" i="95"/>
  <c r="S12" i="95"/>
  <c r="S4" i="95"/>
  <c r="S27" i="95"/>
  <c r="R40" i="95"/>
  <c r="R39" i="95"/>
  <c r="R37" i="95"/>
  <c r="R36" i="95"/>
  <c r="R35" i="95"/>
  <c r="R34" i="95"/>
  <c r="P21" i="95"/>
  <c r="P17" i="95"/>
  <c r="O9" i="95"/>
  <c r="J42" i="95"/>
  <c r="N42" i="95"/>
  <c r="P28" i="95"/>
  <c r="R16" i="95"/>
  <c r="S38" i="95"/>
  <c r="J24" i="95"/>
  <c r="H30" i="95"/>
  <c r="K30" i="95"/>
  <c r="R6" i="95"/>
  <c r="R33" i="95"/>
  <c r="Q13" i="95"/>
  <c r="P5" i="95"/>
  <c r="M9" i="95"/>
  <c r="G24" i="95"/>
  <c r="D9" i="95"/>
  <c r="Q39" i="95"/>
  <c r="Q37" i="95"/>
  <c r="Q36" i="95"/>
  <c r="Q35" i="95"/>
  <c r="Q34" i="95"/>
  <c r="S7" i="95"/>
  <c r="S6" i="95"/>
  <c r="Q27" i="95"/>
  <c r="E9" i="95"/>
  <c r="R19" i="95"/>
  <c r="R15" i="95"/>
  <c r="R7" i="95"/>
  <c r="D13" i="3"/>
  <c r="N24" i="95"/>
  <c r="Q6" i="95"/>
  <c r="Q22" i="95"/>
  <c r="Q21" i="95"/>
  <c r="Q19" i="95"/>
  <c r="Q18" i="95"/>
  <c r="Q17" i="95"/>
  <c r="Q15" i="95"/>
  <c r="Q14" i="95"/>
  <c r="Q40" i="95"/>
  <c r="P12" i="95"/>
  <c r="P4" i="95"/>
  <c r="H24" i="95"/>
  <c r="I24" i="95"/>
  <c r="D12" i="3"/>
  <c r="I12" i="70"/>
  <c r="D11" i="3"/>
  <c r="H68" i="70"/>
  <c r="H33" i="70"/>
  <c r="I70" i="70"/>
  <c r="E11" i="3"/>
  <c r="E13" i="3"/>
  <c r="H38" i="70"/>
  <c r="H36" i="70"/>
  <c r="H66" i="70"/>
  <c r="I71" i="70"/>
  <c r="M24" i="95"/>
  <c r="J30" i="95"/>
  <c r="K9" i="95"/>
  <c r="M42" i="95"/>
  <c r="K24" i="95"/>
  <c r="I42" i="95"/>
  <c r="L9" i="95"/>
  <c r="S28" i="95"/>
  <c r="I9" i="95"/>
  <c r="P13" i="95"/>
  <c r="Q20" i="95"/>
  <c r="L24" i="95"/>
  <c r="Q4" i="95"/>
  <c r="Q16" i="95"/>
  <c r="P38" i="95"/>
  <c r="S5" i="95"/>
  <c r="R5" i="95"/>
  <c r="F24" i="95"/>
  <c r="R27" i="95"/>
  <c r="E24" i="95"/>
  <c r="G42" i="95"/>
  <c r="D42" i="95"/>
  <c r="F9" i="95"/>
  <c r="D24" i="95"/>
  <c r="P27" i="95"/>
  <c r="R12" i="95"/>
  <c r="T85" i="70"/>
  <c r="Q85" i="70"/>
  <c r="R85" i="70" s="1"/>
  <c r="S85" i="70" s="1"/>
  <c r="Q11" i="70"/>
  <c r="R11" i="70" s="1"/>
  <c r="S11" i="70" s="1"/>
  <c r="T12" i="70"/>
  <c r="T15" i="70"/>
  <c r="Q12" i="70"/>
  <c r="R12" i="70" s="1"/>
  <c r="S12" i="70" s="1"/>
  <c r="T98" i="70"/>
  <c r="Q22" i="70"/>
  <c r="R22" i="70" s="1"/>
  <c r="S22" i="70" s="1"/>
  <c r="Q14" i="70"/>
  <c r="R14" i="70" s="1"/>
  <c r="S14" i="70" s="1"/>
  <c r="T14" i="70"/>
  <c r="T24" i="70"/>
  <c r="Q26" i="70"/>
  <c r="R26" i="70" s="1"/>
  <c r="S26" i="70" s="1"/>
  <c r="Q23" i="70"/>
  <c r="R23" i="70" s="1"/>
  <c r="Q15" i="70"/>
  <c r="R15" i="70" s="1"/>
  <c r="S15" i="70" s="1"/>
  <c r="Q24" i="70"/>
  <c r="R24" i="70" s="1"/>
  <c r="Q115" i="70"/>
  <c r="R115" i="70" s="1"/>
  <c r="S115" i="70" s="1"/>
  <c r="T115" i="70"/>
  <c r="T113" i="70"/>
  <c r="T101" i="70"/>
  <c r="T114" i="70"/>
  <c r="Q114" i="70"/>
  <c r="R114" i="70" s="1"/>
  <c r="S114" i="70" s="1"/>
  <c r="T112" i="70"/>
  <c r="Q40" i="70"/>
  <c r="R40" i="70" s="1"/>
  <c r="S40" i="70" s="1"/>
  <c r="T40" i="70"/>
  <c r="T26" i="70"/>
  <c r="Z297" i="178"/>
  <c r="AC297" i="178" s="1"/>
  <c r="I105" i="70"/>
  <c r="I98" i="70"/>
  <c r="I106" i="70"/>
  <c r="I52" i="70"/>
  <c r="I67" i="70"/>
  <c r="H79" i="70"/>
  <c r="I72" i="70"/>
  <c r="I113" i="70"/>
  <c r="H25" i="70"/>
  <c r="I77" i="70"/>
  <c r="I85" i="70"/>
  <c r="I15" i="70"/>
  <c r="I76" i="70"/>
  <c r="I60" i="70"/>
  <c r="I101" i="70"/>
  <c r="I23" i="70"/>
  <c r="I29" i="70"/>
  <c r="I115" i="70"/>
  <c r="H58" i="70"/>
  <c r="H44" i="70"/>
  <c r="I86" i="70"/>
  <c r="AA829" i="178"/>
  <c r="AB829" i="178" s="1"/>
  <c r="Y327" i="178"/>
  <c r="Y337" i="178"/>
  <c r="X77" i="178"/>
  <c r="Y939" i="178"/>
  <c r="AA120" i="178"/>
  <c r="AB120" i="178" s="1"/>
  <c r="AA516" i="178"/>
  <c r="AB516" i="178" s="1"/>
  <c r="X516" i="178"/>
  <c r="Y714" i="178"/>
  <c r="AA949" i="178"/>
  <c r="AB949" i="178" s="1"/>
  <c r="X949" i="178"/>
  <c r="Y560" i="178"/>
  <c r="AA856" i="178"/>
  <c r="AB856" i="178" s="1"/>
  <c r="AA910" i="178"/>
  <c r="AB910" i="178" s="1"/>
  <c r="X910" i="178"/>
  <c r="X856" i="178"/>
  <c r="Y976" i="178"/>
  <c r="Y818" i="178"/>
  <c r="AA884" i="178"/>
  <c r="AB884" i="178" s="1"/>
  <c r="Y911" i="178"/>
  <c r="Y802" i="178"/>
  <c r="Y342" i="178"/>
  <c r="AA257" i="178"/>
  <c r="AB257" i="178" s="1"/>
  <c r="X257" i="178"/>
  <c r="AA807" i="178"/>
  <c r="AB807" i="178" s="1"/>
  <c r="X807" i="178"/>
  <c r="AA679" i="178"/>
  <c r="AB679" i="178" s="1"/>
  <c r="Y829" i="178"/>
  <c r="X327" i="178"/>
  <c r="X337" i="178"/>
  <c r="AA521" i="178"/>
  <c r="AB521" i="178" s="1"/>
  <c r="AA750" i="178"/>
  <c r="AB750" i="178" s="1"/>
  <c r="AA235" i="178"/>
  <c r="AB235" i="178" s="1"/>
  <c r="X939" i="178"/>
  <c r="Y120" i="178"/>
  <c r="Y229" i="178"/>
  <c r="Y178" i="178"/>
  <c r="AA502" i="178"/>
  <c r="AB502" i="178" s="1"/>
  <c r="X502" i="178"/>
  <c r="Y246" i="178"/>
  <c r="Y255" i="178"/>
  <c r="X976" i="178"/>
  <c r="Y808" i="178"/>
  <c r="AA704" i="178"/>
  <c r="AB704" i="178" s="1"/>
  <c r="X704" i="178"/>
  <c r="AA227" i="178"/>
  <c r="AB227" i="178" s="1"/>
  <c r="AA677" i="178"/>
  <c r="AB677" i="178" s="1"/>
  <c r="X677" i="178"/>
  <c r="X227" i="178"/>
  <c r="Y675" i="178"/>
  <c r="Y535" i="178"/>
  <c r="AA289" i="178"/>
  <c r="AB289" i="178" s="1"/>
  <c r="AA828" i="178"/>
  <c r="AB828" i="178" s="1"/>
  <c r="X289" i="178"/>
  <c r="X828" i="178"/>
  <c r="Y296" i="178"/>
  <c r="Y880" i="178"/>
  <c r="Y928" i="178"/>
  <c r="Y341" i="178"/>
  <c r="AA365" i="178"/>
  <c r="AB365" i="178" s="1"/>
  <c r="X365" i="178"/>
  <c r="AA436" i="178"/>
  <c r="AB436" i="178" s="1"/>
  <c r="AA331" i="178"/>
  <c r="AB331" i="178" s="1"/>
  <c r="AA140" i="178"/>
  <c r="AB140" i="178" s="1"/>
  <c r="AA321" i="178"/>
  <c r="AB321" i="178" s="1"/>
  <c r="X140" i="178"/>
  <c r="X321" i="178"/>
  <c r="X436" i="178"/>
  <c r="X331" i="178"/>
  <c r="Y634" i="178"/>
  <c r="Y904" i="178"/>
  <c r="Y679" i="178"/>
  <c r="X829" i="178"/>
  <c r="AA77" i="178"/>
  <c r="AB77" i="178" s="1"/>
  <c r="Y521" i="178"/>
  <c r="Y750" i="178"/>
  <c r="Y235" i="178"/>
  <c r="X120" i="178"/>
  <c r="Y516" i="178"/>
  <c r="AA714" i="178"/>
  <c r="AB714" i="178" s="1"/>
  <c r="X714" i="178"/>
  <c r="Y949" i="178"/>
  <c r="AA560" i="178"/>
  <c r="AB560" i="178" s="1"/>
  <c r="X560" i="178"/>
  <c r="Y856" i="178"/>
  <c r="Y910" i="178"/>
  <c r="AA976" i="178"/>
  <c r="AB976" i="178" s="1"/>
  <c r="AA818" i="178"/>
  <c r="AB818" i="178" s="1"/>
  <c r="X818" i="178"/>
  <c r="Y884" i="178"/>
  <c r="AA911" i="178"/>
  <c r="AB911" i="178" s="1"/>
  <c r="X911" i="178"/>
  <c r="AA342" i="178"/>
  <c r="AB342" i="178" s="1"/>
  <c r="AA802" i="178"/>
  <c r="AB802" i="178" s="1"/>
  <c r="X802" i="178"/>
  <c r="X342" i="178"/>
  <c r="Y257" i="178"/>
  <c r="Y807" i="178"/>
  <c r="X679" i="178"/>
  <c r="AA327" i="178"/>
  <c r="AB327" i="178" s="1"/>
  <c r="AA337" i="178"/>
  <c r="AB337" i="178" s="1"/>
  <c r="Y77" i="178"/>
  <c r="X521" i="178"/>
  <c r="X750" i="178"/>
  <c r="X235" i="178"/>
  <c r="AA939" i="178"/>
  <c r="AB939" i="178" s="1"/>
  <c r="AA229" i="178"/>
  <c r="AB229" i="178" s="1"/>
  <c r="X229" i="178"/>
  <c r="AA178" i="178"/>
  <c r="AB178" i="178" s="1"/>
  <c r="X178" i="178"/>
  <c r="Y502" i="178"/>
  <c r="AA255" i="178"/>
  <c r="AB255" i="178" s="1"/>
  <c r="AA246" i="178"/>
  <c r="AB246" i="178" s="1"/>
  <c r="X246" i="178"/>
  <c r="X255" i="178"/>
  <c r="X884" i="178"/>
  <c r="AA808" i="178"/>
  <c r="AB808" i="178" s="1"/>
  <c r="X808" i="178"/>
  <c r="Y704" i="178"/>
  <c r="Y227" i="178"/>
  <c r="Y677" i="178"/>
  <c r="AA675" i="178"/>
  <c r="AB675" i="178" s="1"/>
  <c r="AA535" i="178"/>
  <c r="AB535" i="178" s="1"/>
  <c r="X675" i="178"/>
  <c r="X535" i="178"/>
  <c r="Y828" i="178"/>
  <c r="Y289" i="178"/>
  <c r="AA296" i="178"/>
  <c r="AB296" i="178" s="1"/>
  <c r="X296" i="178"/>
  <c r="AA880" i="178"/>
  <c r="AB880" i="178" s="1"/>
  <c r="AA928" i="178"/>
  <c r="AB928" i="178" s="1"/>
  <c r="AA341" i="178"/>
  <c r="AB341" i="178" s="1"/>
  <c r="X880" i="178"/>
  <c r="X928" i="178"/>
  <c r="X341" i="178"/>
  <c r="Y365" i="178"/>
  <c r="Y436" i="178"/>
  <c r="Y331" i="178"/>
  <c r="Y140" i="178"/>
  <c r="Y321" i="178"/>
  <c r="AA904" i="178"/>
  <c r="AB904" i="178" s="1"/>
  <c r="AA634" i="178"/>
  <c r="AB634" i="178" s="1"/>
  <c r="X904" i="178"/>
  <c r="X634" i="178"/>
  <c r="O90" i="70"/>
  <c r="I24" i="70"/>
  <c r="H42" i="70"/>
  <c r="H103" i="70"/>
  <c r="I116" i="70"/>
  <c r="I92" i="70"/>
  <c r="I53" i="70"/>
  <c r="I27" i="70"/>
  <c r="H11" i="70"/>
  <c r="I87" i="70"/>
  <c r="I55" i="70"/>
  <c r="I59" i="70"/>
  <c r="I61" i="70"/>
  <c r="I14" i="70"/>
  <c r="I32" i="70"/>
  <c r="I26" i="70"/>
  <c r="H41" i="70"/>
  <c r="H43" i="70"/>
  <c r="I31" i="70"/>
  <c r="I57" i="70"/>
  <c r="H108" i="70"/>
  <c r="I89" i="70"/>
  <c r="H82" i="70"/>
  <c r="H117" i="70"/>
  <c r="I63" i="70"/>
  <c r="I75" i="70"/>
  <c r="I48" i="70"/>
  <c r="I91" i="70"/>
  <c r="H96" i="70"/>
  <c r="I90" i="70"/>
  <c r="BN1044" i="178"/>
  <c r="AR1044" i="178"/>
  <c r="AR1046" i="178" s="1"/>
  <c r="I11" i="3" s="1"/>
  <c r="AT1044" i="178"/>
  <c r="BJ1044" i="178"/>
  <c r="BD1044" i="178"/>
  <c r="AX1044" i="178"/>
  <c r="BL1044" i="178"/>
  <c r="AV1044" i="178"/>
  <c r="BH1044" i="178"/>
  <c r="BB1044" i="178"/>
  <c r="AZ1044" i="178"/>
  <c r="AZ1046" i="178" s="1"/>
  <c r="H11" i="3" s="1"/>
  <c r="BF1044" i="178"/>
  <c r="AC42" i="178" l="1"/>
  <c r="AC134" i="178"/>
  <c r="AC794" i="178"/>
  <c r="AC267" i="178"/>
  <c r="AC846" i="178"/>
  <c r="AC369" i="178"/>
  <c r="AC168" i="178"/>
  <c r="AC141" i="178"/>
  <c r="AC498" i="178"/>
  <c r="AC580" i="178"/>
  <c r="AC371" i="178"/>
  <c r="AC788" i="178"/>
  <c r="AC774" i="178"/>
  <c r="AC959" i="178"/>
  <c r="AC722" i="178"/>
  <c r="AC685" i="178"/>
  <c r="AC473" i="178"/>
  <c r="AC106" i="178"/>
  <c r="AC373" i="178"/>
  <c r="AC375" i="178"/>
  <c r="AC370" i="178"/>
  <c r="AC520" i="178"/>
  <c r="AC546" i="178"/>
  <c r="AC367" i="178"/>
  <c r="AC851" i="178"/>
  <c r="AC583" i="178"/>
  <c r="AC667" i="178"/>
  <c r="AC406" i="178"/>
  <c r="AC595" i="178"/>
  <c r="AC1021" i="178"/>
  <c r="AC377" i="178"/>
  <c r="AC170" i="178"/>
  <c r="AC1039" i="178"/>
  <c r="AC441" i="178"/>
  <c r="AC934" i="178"/>
  <c r="AC372" i="178"/>
  <c r="AC190" i="178"/>
  <c r="AC671" i="178"/>
  <c r="AC522" i="178"/>
  <c r="AC382" i="178"/>
  <c r="AC552" i="178"/>
  <c r="AC968" i="178"/>
  <c r="AC35" i="178"/>
  <c r="AC449" i="178"/>
  <c r="AC69" i="178"/>
  <c r="AC133" i="178"/>
  <c r="AC443" i="178"/>
  <c r="AC935" i="178"/>
  <c r="AC262" i="178"/>
  <c r="AC971" i="178"/>
  <c r="AC48" i="178"/>
  <c r="AC906" i="178"/>
  <c r="AC915" i="178"/>
  <c r="AC91" i="178"/>
  <c r="AC567" i="178"/>
  <c r="AC374" i="178"/>
  <c r="AC845" i="178"/>
  <c r="AC632" i="178"/>
  <c r="AC383" i="178"/>
  <c r="AC90" i="178"/>
  <c r="AC228" i="178"/>
  <c r="AC193" i="178"/>
  <c r="AC452" i="178"/>
  <c r="AC379" i="178"/>
  <c r="AC366" i="178"/>
  <c r="AC792" i="178"/>
  <c r="AC12" i="178"/>
  <c r="AC44" i="178"/>
  <c r="AC605" i="178"/>
  <c r="AC657" i="178"/>
  <c r="AC963" i="178"/>
  <c r="AC958" i="178"/>
  <c r="AC960" i="178"/>
  <c r="AC378" i="178"/>
  <c r="AC444" i="178"/>
  <c r="AC37" i="178"/>
  <c r="AC233" i="178"/>
  <c r="AC368" i="178"/>
  <c r="AC89" i="178"/>
  <c r="AC993" i="178"/>
  <c r="AC1025" i="178"/>
  <c r="AC36" i="178"/>
  <c r="AC665" i="178"/>
  <c r="AC924" i="178"/>
  <c r="AC956" i="178"/>
  <c r="AC587" i="178"/>
  <c r="AC464" i="178"/>
  <c r="AC1019" i="178"/>
  <c r="AC187" i="178"/>
  <c r="AC404" i="178"/>
  <c r="AC96" i="178"/>
  <c r="AC13" i="178"/>
  <c r="AC209" i="178"/>
  <c r="AC790" i="178"/>
  <c r="AC847" i="178"/>
  <c r="AC917" i="178"/>
  <c r="AC274" i="178"/>
  <c r="AC275" i="178"/>
  <c r="AC923" i="178"/>
  <c r="AC593" i="178"/>
  <c r="AC185" i="178"/>
  <c r="AC324" i="178"/>
  <c r="AC211" i="178"/>
  <c r="AC801" i="178"/>
  <c r="AC266" i="178"/>
  <c r="AC250" i="178"/>
  <c r="AC455" i="178"/>
  <c r="AC550" i="178"/>
  <c r="AC423" i="178"/>
  <c r="AC490" i="178"/>
  <c r="AC602" i="178"/>
  <c r="AC265" i="178"/>
  <c r="AC249" i="178"/>
  <c r="AC651" i="178"/>
  <c r="AC661" i="178"/>
  <c r="AC210" i="178"/>
  <c r="AC359" i="178"/>
  <c r="AC356" i="178"/>
  <c r="AC658" i="178"/>
  <c r="AC363" i="178"/>
  <c r="AC344" i="178"/>
  <c r="AC776" i="178"/>
  <c r="AC62" i="178"/>
  <c r="AC471" i="178"/>
  <c r="AC65" i="178"/>
  <c r="AC398" i="178"/>
  <c r="AC224" i="178"/>
  <c r="AC203" i="178"/>
  <c r="AC358" i="178"/>
  <c r="AC122" i="178"/>
  <c r="AC385" i="178"/>
  <c r="AC462" i="178"/>
  <c r="AC486" i="178"/>
  <c r="AC418" i="178"/>
  <c r="AC402" i="178"/>
  <c r="AC92" i="178"/>
  <c r="AC245" i="178"/>
  <c r="AC697" i="178"/>
  <c r="AC787" i="178"/>
  <c r="AC663" i="178"/>
  <c r="AC700" i="178"/>
  <c r="AC9" i="178"/>
  <c r="AC638" i="178"/>
  <c r="AC272" i="178"/>
  <c r="AC273" i="178"/>
  <c r="AC710" i="178"/>
  <c r="AC581" i="178"/>
  <c r="AC799" i="178"/>
  <c r="AC650" i="178"/>
  <c r="AC797" i="178"/>
  <c r="AC72" i="178"/>
  <c r="AC496" i="178"/>
  <c r="AC527" i="178"/>
  <c r="AC29" i="178"/>
  <c r="AC998" i="178"/>
  <c r="AC222" i="178"/>
  <c r="AC201" i="178"/>
  <c r="AC660" i="178"/>
  <c r="AC624" i="178"/>
  <c r="AC1035" i="178"/>
  <c r="AC217" i="178"/>
  <c r="AC844" i="178"/>
  <c r="AC805" i="178"/>
  <c r="AC995" i="178"/>
  <c r="AC186" i="178"/>
  <c r="AC1040" i="178"/>
  <c r="AC197" i="178"/>
  <c r="AC831" i="178"/>
  <c r="AC758" i="178"/>
  <c r="AC313" i="178"/>
  <c r="AC766" i="178"/>
  <c r="AC116" i="178"/>
  <c r="AC153" i="178"/>
  <c r="AC1003" i="178"/>
  <c r="AC582" i="178"/>
  <c r="AC755" i="178"/>
  <c r="AC819" i="178"/>
  <c r="AC171" i="178"/>
  <c r="AC609" i="178"/>
  <c r="AC145" i="178"/>
  <c r="AC388" i="178"/>
  <c r="AC838" i="178"/>
  <c r="AC318" i="178"/>
  <c r="AC850" i="178"/>
  <c r="AC396" i="178"/>
  <c r="AC848" i="178"/>
  <c r="AC962" i="178"/>
  <c r="AC596" i="178"/>
  <c r="AC666" i="178"/>
  <c r="AC718" i="178"/>
  <c r="AC148" i="178"/>
  <c r="AC223" i="178"/>
  <c r="AC202" i="178"/>
  <c r="AC317" i="178"/>
  <c r="AC730" i="178"/>
  <c r="AC842" i="178"/>
  <c r="AC112" i="178"/>
  <c r="AC973" i="178"/>
  <c r="AC39" i="178"/>
  <c r="AC103" i="178"/>
  <c r="AC215" i="178"/>
  <c r="AC234" i="178"/>
  <c r="AC600" i="178"/>
  <c r="AC669" i="178"/>
  <c r="AC216" i="178"/>
  <c r="AC668" i="178"/>
  <c r="AC849" i="178"/>
  <c r="AC916" i="178"/>
  <c r="AC143" i="178"/>
  <c r="AC38" i="178"/>
  <c r="AC837" i="178"/>
  <c r="AC961" i="178"/>
  <c r="AC729" i="178"/>
  <c r="AC940" i="178"/>
  <c r="AC468" i="178"/>
  <c r="AC570" i="178"/>
  <c r="AC302" i="178"/>
  <c r="AC747" i="178"/>
  <c r="AC126" i="178"/>
  <c r="AC146" i="178"/>
  <c r="AC362" i="178"/>
  <c r="AC276" i="178"/>
  <c r="AC281" i="178"/>
  <c r="AC821" i="178"/>
  <c r="AC852" i="178"/>
  <c r="AC914" i="178"/>
  <c r="AC585" i="178"/>
  <c r="AC719" i="178"/>
  <c r="AC102" i="178"/>
  <c r="AC1026" i="178"/>
  <c r="AC836" i="178"/>
  <c r="AC943" i="178"/>
  <c r="AC606" i="178"/>
  <c r="AC618" i="178"/>
  <c r="AC833" i="178"/>
  <c r="AC616" i="178"/>
  <c r="AC944" i="178"/>
  <c r="AC840" i="178"/>
  <c r="AC942" i="178"/>
  <c r="AC542" i="178"/>
  <c r="AC892" i="178"/>
  <c r="AC664" i="178"/>
  <c r="AC839" i="178"/>
  <c r="AC941" i="178"/>
  <c r="AC597" i="178"/>
  <c r="AC125" i="178"/>
  <c r="AC139" i="178"/>
  <c r="AC607" i="178"/>
  <c r="AC446" i="178"/>
  <c r="AC47" i="178"/>
  <c r="AC511" i="178"/>
  <c r="AC978" i="178"/>
  <c r="AC52" i="178"/>
  <c r="AC14" i="178"/>
  <c r="AC25" i="178"/>
  <c r="AC555" i="178"/>
  <c r="AC795" i="178"/>
  <c r="AC654" i="178"/>
  <c r="AC1042" i="178"/>
  <c r="AC753" i="178"/>
  <c r="AC763" i="178"/>
  <c r="AC124" i="178"/>
  <c r="AC505" i="178"/>
  <c r="AC159" i="178"/>
  <c r="AC725" i="178"/>
  <c r="AC221" i="178"/>
  <c r="AC891" i="178"/>
  <c r="AC640" i="178"/>
  <c r="AC997" i="178"/>
  <c r="AC457" i="178"/>
  <c r="AC67" i="178"/>
  <c r="AC771" i="178"/>
  <c r="AC268" i="178"/>
  <c r="AC269" i="178"/>
  <c r="AC218" i="178"/>
  <c r="AC214" i="178"/>
  <c r="AC969" i="178"/>
  <c r="AC101" i="178"/>
  <c r="AC757" i="178"/>
  <c r="AC219" i="178"/>
  <c r="AC972" i="178"/>
  <c r="AC395" i="178"/>
  <c r="AC354" i="178"/>
  <c r="AC332" i="178"/>
  <c r="AC633" i="178"/>
  <c r="AC655" i="178"/>
  <c r="AC130" i="178"/>
  <c r="AC898" i="178"/>
  <c r="AC990" i="178"/>
  <c r="AC1018" i="178"/>
  <c r="AC432" i="178"/>
  <c r="AC433" i="178"/>
  <c r="AC68" i="178"/>
  <c r="AC764" i="178"/>
  <c r="AC488" i="178"/>
  <c r="AC751" i="178"/>
  <c r="AC643" i="178"/>
  <c r="AC545" i="178"/>
  <c r="AC689" i="178"/>
  <c r="AC642" i="178"/>
  <c r="AC778" i="178"/>
  <c r="AC310" i="178"/>
  <c r="AC149" i="178"/>
  <c r="AC513" i="178"/>
  <c r="AC88" i="178"/>
  <c r="AC364" i="178"/>
  <c r="AC345" i="178"/>
  <c r="AC563" i="178"/>
  <c r="AC55" i="178"/>
  <c r="AC557" i="178"/>
  <c r="AC551" i="178"/>
  <c r="AC919" i="178"/>
  <c r="AC314" i="178"/>
  <c r="AC117" i="178"/>
  <c r="AC548" i="178"/>
  <c r="AC151" i="178"/>
  <c r="AC451" i="178"/>
  <c r="AC195" i="178"/>
  <c r="AC181" i="178"/>
  <c r="AC590" i="178"/>
  <c r="AC109" i="178"/>
  <c r="AC392" i="178"/>
  <c r="AC1028" i="178"/>
  <c r="AC393" i="178"/>
  <c r="AC970" i="178"/>
  <c r="AC100" i="178"/>
  <c r="AC394" i="178"/>
  <c r="AC466" i="178"/>
  <c r="AC601" i="178"/>
  <c r="AC334" i="178"/>
  <c r="AC561" i="178"/>
  <c r="AC630" i="178"/>
  <c r="AC565" i="178"/>
  <c r="AC17" i="178"/>
  <c r="AC24" i="178"/>
  <c r="AC803" i="178"/>
  <c r="AC783" i="178"/>
  <c r="AC226" i="178"/>
  <c r="AC205" i="178"/>
  <c r="AC888" i="178"/>
  <c r="AC225" i="178"/>
  <c r="AC204" i="178"/>
  <c r="AC346" i="178"/>
  <c r="AC662" i="178"/>
  <c r="AC912" i="178"/>
  <c r="AC7" i="178"/>
  <c r="AC636" i="178"/>
  <c r="AC656" i="178"/>
  <c r="AC780" i="178"/>
  <c r="AC213" i="178"/>
  <c r="AC87" i="178"/>
  <c r="AC479" i="178"/>
  <c r="AC481" i="178"/>
  <c r="AC480" i="178"/>
  <c r="AC1016" i="178"/>
  <c r="AC1020" i="178"/>
  <c r="AC676" i="178"/>
  <c r="AC477" i="178"/>
  <c r="AC735" i="178"/>
  <c r="AC454" i="178"/>
  <c r="AC163" i="178"/>
  <c r="AC572" i="178"/>
  <c r="AC688" i="178"/>
  <c r="AC45" i="178"/>
  <c r="AC238" i="178"/>
  <c r="AC244" i="178"/>
  <c r="AC501" i="178"/>
  <c r="AC673" i="178"/>
  <c r="AC887" i="178"/>
  <c r="AC409" i="178"/>
  <c r="AC154" i="178"/>
  <c r="AC191" i="178"/>
  <c r="AC420" i="178"/>
  <c r="AC699" i="178"/>
  <c r="AC97" i="178"/>
  <c r="AC8" i="178"/>
  <c r="AC73" i="178"/>
  <c r="AC386" i="178"/>
  <c r="AC577" i="178"/>
  <c r="AC608" i="178"/>
  <c r="AC785" i="178"/>
  <c r="AC806" i="178"/>
  <c r="AC311" i="178"/>
  <c r="AC40" i="178"/>
  <c r="AC135" i="178"/>
  <c r="AC411" i="178"/>
  <c r="AC691" i="178"/>
  <c r="AC162" i="178"/>
  <c r="AC568" i="178"/>
  <c r="AC485" i="178"/>
  <c r="AC742" i="178"/>
  <c r="AC734" i="178"/>
  <c r="AC426" i="178"/>
  <c r="AC430" i="178"/>
  <c r="AC253" i="178"/>
  <c r="AC901" i="178"/>
  <c r="AC34" i="178"/>
  <c r="AC578" i="178"/>
  <c r="AC59" i="178"/>
  <c r="AC706" i="178"/>
  <c r="AC46" i="178"/>
  <c r="AC239" i="178"/>
  <c r="AC352" i="178"/>
  <c r="AC351" i="178"/>
  <c r="AC509" i="178"/>
  <c r="AC538" i="178"/>
  <c r="AC536" i="178"/>
  <c r="AC996" i="178"/>
  <c r="AC188" i="178"/>
  <c r="AC748" i="178"/>
  <c r="AC142" i="178"/>
  <c r="AC738" i="178"/>
  <c r="AC613" i="178"/>
  <c r="AC489" i="178"/>
  <c r="AC683" i="178"/>
  <c r="AC76" i="178"/>
  <c r="AC74" i="178"/>
  <c r="AC530" i="178"/>
  <c r="AC649" i="178"/>
  <c r="AC652" i="178"/>
  <c r="AC539" i="178"/>
  <c r="AC138" i="178"/>
  <c r="AC903" i="178"/>
  <c r="AC322" i="178"/>
  <c r="AC589" i="178"/>
  <c r="AC594" i="178"/>
  <c r="AC731" i="178"/>
  <c r="AC447" i="178"/>
  <c r="AC472" i="178"/>
  <c r="AC384" i="178"/>
  <c r="AC533" i="178"/>
  <c r="AC895" i="178"/>
  <c r="AC127" i="178"/>
  <c r="AC137" i="178"/>
  <c r="AC861" i="178"/>
  <c r="AC174" i="178"/>
  <c r="AC843" i="178"/>
  <c r="AC439" i="178"/>
  <c r="AC300" i="178"/>
  <c r="AC158" i="178"/>
  <c r="AC66" i="178"/>
  <c r="AC907" i="178"/>
  <c r="AC621" i="178"/>
  <c r="AC252" i="178"/>
  <c r="AC900" i="178"/>
  <c r="AC414" i="178"/>
  <c r="AC58" i="178"/>
  <c r="AC506" i="178"/>
  <c r="AC22" i="178"/>
  <c r="AC240" i="178"/>
  <c r="AC500" i="178"/>
  <c r="AC800" i="178"/>
  <c r="AC893" i="178"/>
  <c r="AC784" i="178"/>
  <c r="AC927" i="178"/>
  <c r="AC309" i="178"/>
  <c r="AC754" i="178"/>
  <c r="AC820" i="178"/>
  <c r="AC271" i="178"/>
  <c r="AC1015" i="178"/>
  <c r="AC492" i="178"/>
  <c r="AC484" i="178"/>
  <c r="AC733" i="178"/>
  <c r="AC270" i="178"/>
  <c r="AC251" i="178"/>
  <c r="AC899" i="178"/>
  <c r="AC682" i="178"/>
  <c r="AC684" i="178"/>
  <c r="AC212" i="178"/>
  <c r="AC347" i="178"/>
  <c r="AC343" i="178"/>
  <c r="AC804" i="178"/>
  <c r="AC129" i="178"/>
  <c r="AC575" i="178"/>
  <c r="AC680" i="178"/>
  <c r="AC709" i="178"/>
  <c r="AC994" i="178"/>
  <c r="AC614" i="178"/>
  <c r="AC196" i="178"/>
  <c r="AC64" i="178"/>
  <c r="AC554" i="178"/>
  <c r="AC189" i="178"/>
  <c r="AC966" i="178"/>
  <c r="AC909" i="178"/>
  <c r="AC648" i="178"/>
  <c r="AC571" i="178"/>
  <c r="AC376" i="178"/>
  <c r="AC463" i="178"/>
  <c r="AC328" i="178"/>
  <c r="AC744" i="178"/>
  <c r="AC428" i="178"/>
  <c r="AC93" i="178"/>
  <c r="AC11" i="178"/>
  <c r="AC194" i="178"/>
  <c r="AC789" i="178"/>
  <c r="AC913" i="178"/>
  <c r="AC723" i="178"/>
  <c r="AC156" i="178"/>
  <c r="AC254" i="178"/>
  <c r="AC902" i="178"/>
  <c r="AC51" i="178"/>
  <c r="AC60" i="178"/>
  <c r="AC43" i="178"/>
  <c r="AC503" i="178"/>
  <c r="AC537" i="178"/>
  <c r="AC21" i="178"/>
  <c r="AC716" i="178"/>
  <c r="AC350" i="178"/>
  <c r="AC27" i="178"/>
  <c r="AC403" i="178"/>
  <c r="AC768" i="178"/>
  <c r="AC566" i="178"/>
  <c r="AC23" i="178"/>
  <c r="AC242" i="178"/>
  <c r="AC532" i="178"/>
  <c r="AC564" i="178"/>
  <c r="AC424" i="178"/>
  <c r="AC453" i="178"/>
  <c r="AC885" i="178"/>
  <c r="AC304" i="178"/>
  <c r="AC979" i="178"/>
  <c r="AC54" i="178"/>
  <c r="AC16" i="178"/>
  <c r="AC28" i="178"/>
  <c r="AC584" i="178"/>
  <c r="AC999" i="178"/>
  <c r="AC425" i="178"/>
  <c r="AC123" i="178"/>
  <c r="AC458" i="178"/>
  <c r="AC4" i="178"/>
  <c r="AC531" i="178"/>
  <c r="AC173" i="178"/>
  <c r="AC875" i="178"/>
  <c r="AC686" i="178"/>
  <c r="AC53" i="178"/>
  <c r="AC701" i="178"/>
  <c r="AC456" i="178"/>
  <c r="AC10" i="178"/>
  <c r="AC75" i="178"/>
  <c r="AC243" i="178"/>
  <c r="AC259" i="178"/>
  <c r="AC495" i="178"/>
  <c r="AC528" i="178"/>
  <c r="AC579" i="178"/>
  <c r="AC637" i="178"/>
  <c r="AC721" i="178"/>
  <c r="AC172" i="178"/>
  <c r="AC872" i="178"/>
  <c r="AC894" i="178"/>
  <c r="AC777" i="178"/>
  <c r="AC442" i="178"/>
  <c r="AC41" i="178"/>
  <c r="AC822" i="178"/>
  <c r="AC400" i="178"/>
  <c r="AC230" i="178"/>
  <c r="AC487" i="178"/>
  <c r="AC745" i="178"/>
  <c r="AC617" i="178"/>
  <c r="AC263" i="178"/>
  <c r="AC247" i="178"/>
  <c r="AC641" i="178"/>
  <c r="AC61" i="178"/>
  <c r="AC95" i="178"/>
  <c r="AC208" i="178"/>
  <c r="AC355" i="178"/>
  <c r="AC353" i="178"/>
  <c r="AC696" i="178"/>
  <c r="AC450" i="178"/>
  <c r="AC422" i="178"/>
  <c r="AC653" i="178"/>
  <c r="AC926" i="178"/>
  <c r="AC834" i="178"/>
  <c r="AC827" i="178"/>
  <c r="AC264" i="178"/>
  <c r="AC248" i="178"/>
  <c r="AC434" i="178"/>
  <c r="AC770" i="178"/>
  <c r="AC930" i="178"/>
  <c r="AC690" i="178"/>
  <c r="AC1002" i="178"/>
  <c r="AC305" i="178"/>
  <c r="AC478" i="178"/>
  <c r="AC144" i="178"/>
  <c r="AC798" i="178"/>
  <c r="AC737" i="178"/>
  <c r="AC727" i="178"/>
  <c r="AC841" i="178"/>
  <c r="AC104" i="178"/>
  <c r="AC15" i="178"/>
  <c r="AC260" i="178"/>
  <c r="AC493" i="178"/>
  <c r="AC870" i="178"/>
  <c r="AC897" i="178"/>
  <c r="AC448" i="178"/>
  <c r="AC832" i="178"/>
  <c r="AC591" i="178"/>
  <c r="AC308" i="178"/>
  <c r="AC817" i="178"/>
  <c r="AC859" i="178"/>
  <c r="AC199" i="178"/>
  <c r="AC49" i="178"/>
  <c r="AC553" i="178"/>
  <c r="AC31" i="178"/>
  <c r="AC835" i="178"/>
  <c r="T110" i="70"/>
  <c r="Q53" i="70"/>
  <c r="R53" i="70" s="1"/>
  <c r="S53" i="70" s="1"/>
  <c r="AC1027" i="178"/>
  <c r="AC306" i="178"/>
  <c r="AC629" i="178"/>
  <c r="AC599" i="178"/>
  <c r="AC419" i="178"/>
  <c r="AC348" i="178"/>
  <c r="AC421" i="178"/>
  <c r="AC152" i="178"/>
  <c r="AC30" i="178"/>
  <c r="AC71" i="178"/>
  <c r="AC659" i="178"/>
  <c r="AC871" i="178"/>
  <c r="AC694" i="178"/>
  <c r="AC6" i="178"/>
  <c r="AC526" i="178"/>
  <c r="AC576" i="178"/>
  <c r="AC177" i="178"/>
  <c r="AC569" i="178"/>
  <c r="AC732" i="178"/>
  <c r="AC674" i="178"/>
  <c r="AC207" i="178"/>
  <c r="AC890" i="178"/>
  <c r="AC620" i="178"/>
  <c r="AC206" i="178"/>
  <c r="AC889" i="178"/>
  <c r="AC622" i="178"/>
  <c r="AC349" i="178"/>
  <c r="AC26" i="178"/>
  <c r="AC56" i="178"/>
  <c r="AC693" i="178"/>
  <c r="AC98" i="178"/>
  <c r="AC5" i="178"/>
  <c r="AC261" i="178"/>
  <c r="AC559" i="178"/>
  <c r="AC639" i="178"/>
  <c r="AC611" i="178"/>
  <c r="AC612" i="178"/>
  <c r="AC307" i="178"/>
  <c r="AC796" i="178"/>
  <c r="AC592" i="178"/>
  <c r="AC957" i="178"/>
  <c r="AC1014" i="178"/>
  <c r="AC1013" i="178"/>
  <c r="AC1012" i="178"/>
  <c r="AC241" i="178"/>
  <c r="AC1011" i="178"/>
  <c r="AC1001" i="178"/>
  <c r="AC992" i="178"/>
  <c r="AC237" i="178"/>
  <c r="AC497" i="178"/>
  <c r="AC179" i="178"/>
  <c r="AC114" i="178"/>
  <c r="AC791" i="178"/>
  <c r="AC713" i="178"/>
  <c r="AC523" i="178"/>
  <c r="AC681" i="178"/>
  <c r="AC980" i="178"/>
  <c r="AC707" i="178"/>
  <c r="AC991" i="178"/>
  <c r="AC78" i="178"/>
  <c r="AC319" i="178"/>
  <c r="AC282" i="178"/>
  <c r="AC948" i="178"/>
  <c r="AC946" i="178"/>
  <c r="AC417" i="178"/>
  <c r="AC626" i="178"/>
  <c r="AC987" i="178"/>
  <c r="AC1008" i="178"/>
  <c r="AC983" i="178"/>
  <c r="AC920" i="178"/>
  <c r="AC541" i="178"/>
  <c r="AC107" i="178"/>
  <c r="AC756" i="178"/>
  <c r="AC132" i="178"/>
  <c r="AC381" i="178"/>
  <c r="AC1036" i="178"/>
  <c r="AC813" i="178"/>
  <c r="AC814" i="178"/>
  <c r="AC150" i="178"/>
  <c r="AC183" i="178"/>
  <c r="AC765" i="178"/>
  <c r="AC176" i="178"/>
  <c r="AC858" i="178"/>
  <c r="AC826" i="178"/>
  <c r="AC198" i="178"/>
  <c r="AC864" i="178"/>
  <c r="AC863" i="178"/>
  <c r="AC644" i="178"/>
  <c r="AC558" i="178"/>
  <c r="AC825" i="178"/>
  <c r="AC603" i="178"/>
  <c r="AC192" i="178"/>
  <c r="AC588" i="178"/>
  <c r="AC429" i="178"/>
  <c r="AC315" i="178"/>
  <c r="AC340" i="178"/>
  <c r="AC298" i="178"/>
  <c r="AC945" i="178"/>
  <c r="AC329" i="178"/>
  <c r="AC180" i="178"/>
  <c r="AC627" i="178"/>
  <c r="AC625" i="178"/>
  <c r="AC1010" i="178"/>
  <c r="AC981" i="178"/>
  <c r="AC1006" i="178"/>
  <c r="AC985" i="178"/>
  <c r="AC108" i="178"/>
  <c r="AC519" i="178"/>
  <c r="AC288" i="178"/>
  <c r="AC299" i="178"/>
  <c r="AC119" i="178"/>
  <c r="AC989" i="178"/>
  <c r="AC380" i="178"/>
  <c r="AC1037" i="178"/>
  <c r="AC811" i="178"/>
  <c r="AC812" i="178"/>
  <c r="AC182" i="178"/>
  <c r="AC598" i="178"/>
  <c r="AC431" i="178"/>
  <c r="AC860" i="178"/>
  <c r="AC862" i="178"/>
  <c r="AC200" i="178"/>
  <c r="AC772" i="178"/>
  <c r="AC32" i="178"/>
  <c r="AC461" i="178"/>
  <c r="AC937" i="178"/>
  <c r="AC604" i="178"/>
  <c r="AC79" i="178"/>
  <c r="AC896" i="178"/>
  <c r="AC301" i="178"/>
  <c r="AC325" i="178"/>
  <c r="AC283" i="178"/>
  <c r="AC955" i="178"/>
  <c r="AC947" i="178"/>
  <c r="AC435" i="178"/>
  <c r="AC408" i="178"/>
  <c r="AC407" i="178"/>
  <c r="AC415" i="178"/>
  <c r="AC1007" i="178"/>
  <c r="AC984" i="178"/>
  <c r="AC1005" i="178"/>
  <c r="AC1009" i="178"/>
  <c r="AC540" i="178"/>
  <c r="AC752" i="178"/>
  <c r="AC921" i="178"/>
  <c r="AC295" i="178"/>
  <c r="AC105" i="178"/>
  <c r="AC544" i="178"/>
  <c r="AC715" i="178"/>
  <c r="AC760" i="178"/>
  <c r="AC809" i="178"/>
  <c r="AC810" i="178"/>
  <c r="AC1017" i="178"/>
  <c r="AC857" i="178"/>
  <c r="AC574" i="178"/>
  <c r="AC868" i="178"/>
  <c r="AC867" i="178"/>
  <c r="AC401" i="178"/>
  <c r="AC645" i="178"/>
  <c r="AC767" i="178"/>
  <c r="AC933" i="178"/>
  <c r="AC459" i="178"/>
  <c r="AC499" i="178"/>
  <c r="AC335" i="178"/>
  <c r="AC290" i="178"/>
  <c r="AC320" i="178"/>
  <c r="AC118" i="178"/>
  <c r="AC549" i="178"/>
  <c r="AC33" i="178"/>
  <c r="AC938" i="178"/>
  <c r="AC438" i="178"/>
  <c r="AC628" i="178"/>
  <c r="AC416" i="178"/>
  <c r="AC1004" i="178"/>
  <c r="AC982" i="178"/>
  <c r="AC986" i="178"/>
  <c r="AC131" i="178"/>
  <c r="AC515" i="178"/>
  <c r="AC121" i="178"/>
  <c r="AC115" i="178"/>
  <c r="AC303" i="178"/>
  <c r="AC586" i="178"/>
  <c r="AC175" i="178"/>
  <c r="AC761" i="178"/>
  <c r="AC815" i="178"/>
  <c r="AC816" i="178"/>
  <c r="AC670" i="178"/>
  <c r="AC672" i="178"/>
  <c r="AC619" i="178"/>
  <c r="AC769" i="178"/>
  <c r="AC866" i="178"/>
  <c r="AC865" i="178"/>
  <c r="AC399" i="178"/>
  <c r="AC929" i="178"/>
  <c r="AC623" i="178"/>
  <c r="AC717" i="178"/>
  <c r="AC460" i="178"/>
  <c r="AC931" i="178"/>
  <c r="AC886" i="178"/>
  <c r="AC773" i="178"/>
  <c r="AC615" i="178"/>
  <c r="AC610" i="178"/>
  <c r="AC534" i="178"/>
  <c r="AC975" i="178"/>
  <c r="AC316" i="178"/>
  <c r="AC712" i="178"/>
  <c r="AC759" i="178"/>
  <c r="AC967" i="178"/>
  <c r="AC482" i="178"/>
  <c r="AC869" i="178"/>
  <c r="AC874" i="178"/>
  <c r="AC258" i="178"/>
  <c r="Q78" i="70"/>
  <c r="R78" i="70" s="1"/>
  <c r="S78" i="70" s="1"/>
  <c r="AC965" i="178"/>
  <c r="AC390" i="178"/>
  <c r="AC277" i="178"/>
  <c r="AC855" i="178"/>
  <c r="AC556" i="178"/>
  <c r="AC412" i="178"/>
  <c r="AC391" i="178"/>
  <c r="AC873" i="178"/>
  <c r="AC964" i="178"/>
  <c r="AC824" i="178"/>
  <c r="AC711" i="178"/>
  <c r="Q39" i="70"/>
  <c r="R39" i="70" s="1"/>
  <c r="S39" i="70" s="1"/>
  <c r="Z678" i="178"/>
  <c r="AC678" i="178" s="1"/>
  <c r="AC99" i="178"/>
  <c r="AC708" i="178"/>
  <c r="T111" i="70"/>
  <c r="AC514" i="178"/>
  <c r="AC908" i="178"/>
  <c r="Q99" i="183"/>
  <c r="R99" i="183" s="1"/>
  <c r="S99" i="183" s="1"/>
  <c r="Q2" i="183"/>
  <c r="R2" i="183" s="1"/>
  <c r="S2" i="183" s="1"/>
  <c r="Q104" i="183"/>
  <c r="R104" i="183" s="1"/>
  <c r="S104" i="183" s="1"/>
  <c r="Q89" i="183"/>
  <c r="R89" i="183" s="1"/>
  <c r="S89" i="183" s="1"/>
  <c r="Q99" i="70"/>
  <c r="R99" i="70" s="1"/>
  <c r="AC786" i="178"/>
  <c r="AC437" i="178"/>
  <c r="T108" i="70"/>
  <c r="Z246" i="178"/>
  <c r="AC246" i="178" s="1"/>
  <c r="C18" i="3"/>
  <c r="I28" i="3" s="1"/>
  <c r="Q103" i="70"/>
  <c r="R103" i="70" s="1"/>
  <c r="S103" i="70" s="1"/>
  <c r="AC50" i="178"/>
  <c r="AC726" i="178"/>
  <c r="AC1034" i="178"/>
  <c r="AC361" i="178"/>
  <c r="AC80" i="178"/>
  <c r="Q112" i="183"/>
  <c r="R112" i="183" s="1"/>
  <c r="S112" i="183" s="1"/>
  <c r="AC232" i="178"/>
  <c r="AC236" i="178"/>
  <c r="AC360" i="178"/>
  <c r="AC161" i="178"/>
  <c r="AC510" i="178"/>
  <c r="AC333" i="178"/>
  <c r="AC323" i="178"/>
  <c r="AC518" i="178"/>
  <c r="AC508" i="178"/>
  <c r="AC330" i="178"/>
  <c r="Z178" i="178"/>
  <c r="AC178" i="178" s="1"/>
  <c r="AC950" i="178"/>
  <c r="AC951" i="178"/>
  <c r="AC881" i="178"/>
  <c r="Q30" i="95"/>
  <c r="Q73" i="70"/>
  <c r="R73" i="70" s="1"/>
  <c r="S73" i="70" s="1"/>
  <c r="Q79" i="70"/>
  <c r="R79" i="70" s="1"/>
  <c r="S79" i="70" s="1"/>
  <c r="Q82" i="70"/>
  <c r="R82" i="70" s="1"/>
  <c r="S82" i="70" s="1"/>
  <c r="Q37" i="70"/>
  <c r="R37" i="70" s="1"/>
  <c r="S37" i="70" s="1"/>
  <c r="Z1041" i="178"/>
  <c r="AC1041" i="178" s="1"/>
  <c r="Q69" i="70"/>
  <c r="R69" i="70" s="1"/>
  <c r="S69" i="70" s="1"/>
  <c r="R30" i="95"/>
  <c r="Q96" i="70"/>
  <c r="R96" i="70" s="1"/>
  <c r="S96" i="70" s="1"/>
  <c r="Q52" i="70"/>
  <c r="R52" i="70" s="1"/>
  <c r="S52" i="70" s="1"/>
  <c r="Q56" i="70"/>
  <c r="R56" i="70" s="1"/>
  <c r="S56" i="70" s="1"/>
  <c r="Q13" i="70"/>
  <c r="R13" i="70" s="1"/>
  <c r="S13" i="70" s="1"/>
  <c r="Q92" i="70"/>
  <c r="R92" i="70" s="1"/>
  <c r="S92" i="70" s="1"/>
  <c r="Q31" i="70"/>
  <c r="R31" i="70" s="1"/>
  <c r="Q107" i="70"/>
  <c r="R107" i="70" s="1"/>
  <c r="Q108" i="70"/>
  <c r="R108" i="70" s="1"/>
  <c r="Q50" i="70"/>
  <c r="R50" i="70" s="1"/>
  <c r="Q10" i="70"/>
  <c r="R10" i="70" s="1"/>
  <c r="S10" i="70" s="1"/>
  <c r="Q25" i="70"/>
  <c r="R25" i="70" s="1"/>
  <c r="S25" i="70" s="1"/>
  <c r="Q114" i="183"/>
  <c r="R114" i="183" s="1"/>
  <c r="S114" i="183" s="1"/>
  <c r="Q3" i="183"/>
  <c r="R3" i="183" s="1"/>
  <c r="S3" i="183" s="1"/>
  <c r="Q122" i="183"/>
  <c r="R122" i="183" s="1"/>
  <c r="S122" i="183" s="1"/>
  <c r="Q77" i="183"/>
  <c r="R77" i="183" s="1"/>
  <c r="S77" i="183" s="1"/>
  <c r="Q108" i="183"/>
  <c r="R108" i="183" s="1"/>
  <c r="S108" i="183" s="1"/>
  <c r="Q17" i="183"/>
  <c r="R17" i="183" s="1"/>
  <c r="S17" i="183" s="1"/>
  <c r="Q83" i="183"/>
  <c r="R83" i="183" s="1"/>
  <c r="S83" i="183" s="1"/>
  <c r="Q78" i="183"/>
  <c r="R78" i="183" s="1"/>
  <c r="S78" i="183" s="1"/>
  <c r="Z802" i="178"/>
  <c r="AC802" i="178" s="1"/>
  <c r="Q29" i="70"/>
  <c r="R29" i="70" s="1"/>
  <c r="S29" i="70" s="1"/>
  <c r="Q75" i="70"/>
  <c r="R75" i="70" s="1"/>
  <c r="Q109" i="183"/>
  <c r="R109" i="183" s="1"/>
  <c r="S109" i="183" s="1"/>
  <c r="Q38" i="70"/>
  <c r="R38" i="70" s="1"/>
  <c r="S38" i="70" s="1"/>
  <c r="Q60" i="70"/>
  <c r="R60" i="70" s="1"/>
  <c r="AC338" i="178"/>
  <c r="AC793" i="178"/>
  <c r="Q39" i="183"/>
  <c r="R39" i="183" s="1"/>
  <c r="S39" i="183" s="1"/>
  <c r="Q107" i="183"/>
  <c r="R107" i="183" s="1"/>
  <c r="S107" i="183" s="1"/>
  <c r="Q73" i="183"/>
  <c r="R73" i="183" s="1"/>
  <c r="S73" i="183" s="1"/>
  <c r="Q96" i="183"/>
  <c r="R96" i="183" s="1"/>
  <c r="S96" i="183" s="1"/>
  <c r="Q115" i="183"/>
  <c r="R115" i="183" s="1"/>
  <c r="S115" i="183" s="1"/>
  <c r="AC877" i="178"/>
  <c r="AC525" i="178"/>
  <c r="Z911" i="178"/>
  <c r="AC911" i="178" s="1"/>
  <c r="AC936" i="178"/>
  <c r="AC504" i="178"/>
  <c r="AC160" i="178"/>
  <c r="Q74" i="183"/>
  <c r="R74" i="183" s="1"/>
  <c r="S74" i="183" s="1"/>
  <c r="Q97" i="183"/>
  <c r="R97" i="183" s="1"/>
  <c r="S97" i="183" s="1"/>
  <c r="Q98" i="183"/>
  <c r="R98" i="183" s="1"/>
  <c r="S98" i="183" s="1"/>
  <c r="Q66" i="183"/>
  <c r="R66" i="183" s="1"/>
  <c r="S66" i="183" s="1"/>
  <c r="AC483" i="178"/>
  <c r="Q120" i="183"/>
  <c r="R120" i="183" s="1"/>
  <c r="S120" i="183" s="1"/>
  <c r="Q26" i="183"/>
  <c r="R26" i="183" s="1"/>
  <c r="S26" i="183" s="1"/>
  <c r="Z256" i="178"/>
  <c r="AC256" i="178" s="1"/>
  <c r="Q131" i="183"/>
  <c r="R131" i="183" s="1"/>
  <c r="S131" i="183" s="1"/>
  <c r="Q116" i="183"/>
  <c r="R116" i="183" s="1"/>
  <c r="S116" i="183" s="1"/>
  <c r="Q7" i="183"/>
  <c r="R7" i="183" s="1"/>
  <c r="S7" i="183" s="1"/>
  <c r="Q67" i="183"/>
  <c r="R67" i="183" s="1"/>
  <c r="S67" i="183" s="1"/>
  <c r="Q94" i="183"/>
  <c r="R94" i="183" s="1"/>
  <c r="S94" i="183" s="1"/>
  <c r="Q65" i="183"/>
  <c r="R65" i="183" s="1"/>
  <c r="S65" i="183" s="1"/>
  <c r="Q60" i="183"/>
  <c r="R60" i="183" s="1"/>
  <c r="S60" i="183" s="1"/>
  <c r="Q69" i="183"/>
  <c r="R69" i="183" s="1"/>
  <c r="S69" i="183" s="1"/>
  <c r="Q58" i="183"/>
  <c r="R58" i="183" s="1"/>
  <c r="S58" i="183" s="1"/>
  <c r="Q111" i="183"/>
  <c r="R111" i="183" s="1"/>
  <c r="S111" i="183" s="1"/>
  <c r="Q30" i="183"/>
  <c r="R30" i="183" s="1"/>
  <c r="S30" i="183" s="1"/>
  <c r="Q28" i="183"/>
  <c r="R28" i="183" s="1"/>
  <c r="S28" i="183" s="1"/>
  <c r="AC883" i="178"/>
  <c r="AC529" i="178"/>
  <c r="Q124" i="183"/>
  <c r="R124" i="183" s="1"/>
  <c r="S124" i="183" s="1"/>
  <c r="Q18" i="183"/>
  <c r="R18" i="183" s="1"/>
  <c r="S18" i="183" s="1"/>
  <c r="AC724" i="178"/>
  <c r="AC167" i="178"/>
  <c r="Q70" i="183"/>
  <c r="R70" i="183" s="1"/>
  <c r="S70" i="183" s="1"/>
  <c r="Q93" i="183"/>
  <c r="R93" i="183" s="1"/>
  <c r="S93" i="183" s="1"/>
  <c r="Q42" i="183"/>
  <c r="R42" i="183" s="1"/>
  <c r="S42" i="183" s="1"/>
  <c r="Z512" i="178"/>
  <c r="AC512" i="178" s="1"/>
  <c r="T90" i="70"/>
  <c r="Q75" i="183"/>
  <c r="R75" i="183" s="1"/>
  <c r="S75" i="183" s="1"/>
  <c r="Q32" i="183"/>
  <c r="R32" i="183" s="1"/>
  <c r="S32" i="183" s="1"/>
  <c r="AC524" i="178"/>
  <c r="Q103" i="183"/>
  <c r="R103" i="183" s="1"/>
  <c r="S103" i="183" s="1"/>
  <c r="Q130" i="183"/>
  <c r="R130" i="183" s="1"/>
  <c r="S130" i="183" s="1"/>
  <c r="Q6" i="183"/>
  <c r="R6" i="183" s="1"/>
  <c r="S6" i="183" s="1"/>
  <c r="Q29" i="183"/>
  <c r="R29" i="183" s="1"/>
  <c r="S29" i="183" s="1"/>
  <c r="Q56" i="183"/>
  <c r="R56" i="183" s="1"/>
  <c r="S56" i="183" s="1"/>
  <c r="AC494" i="178"/>
  <c r="AC169" i="178"/>
  <c r="AC782" i="178"/>
  <c r="AC405" i="178"/>
  <c r="AC823" i="178"/>
  <c r="AC705" i="178"/>
  <c r="AC932" i="178"/>
  <c r="Z762" i="178"/>
  <c r="AC762" i="178" s="1"/>
  <c r="Z918" i="178"/>
  <c r="AC918" i="178" s="1"/>
  <c r="Z634" i="178"/>
  <c r="AC634" i="178" s="1"/>
  <c r="Z939" i="178"/>
  <c r="AC939" i="178" s="1"/>
  <c r="Z949" i="178"/>
  <c r="AC949" i="178" s="1"/>
  <c r="Z808" i="178"/>
  <c r="AC808" i="178" s="1"/>
  <c r="Z77" i="178"/>
  <c r="AC77" i="178" s="1"/>
  <c r="Z635" i="178"/>
  <c r="AC635" i="178" s="1"/>
  <c r="Z880" i="178"/>
  <c r="AC880" i="178" s="1"/>
  <c r="Z714" i="178"/>
  <c r="AC714" i="178" s="1"/>
  <c r="Z255" i="178"/>
  <c r="AC255" i="178" s="1"/>
  <c r="Z535" i="178"/>
  <c r="AC535" i="178" s="1"/>
  <c r="Z342" i="178"/>
  <c r="AC342" i="178" s="1"/>
  <c r="Z904" i="178"/>
  <c r="AC904" i="178" s="1"/>
  <c r="Z337" i="178"/>
  <c r="AC337" i="178" s="1"/>
  <c r="Z675" i="178"/>
  <c r="AC675" i="178" s="1"/>
  <c r="Z830" i="178"/>
  <c r="AC830" i="178" s="1"/>
  <c r="Q42" i="70"/>
  <c r="R42" i="70" s="1"/>
  <c r="S42" i="70" s="1"/>
  <c r="Q58" i="70"/>
  <c r="R58" i="70" s="1"/>
  <c r="S58" i="70" s="1"/>
  <c r="T105" i="70"/>
  <c r="T78" i="70"/>
  <c r="Q28" i="70"/>
  <c r="R28" i="70" s="1"/>
  <c r="S28" i="70" s="1"/>
  <c r="Q77" i="70"/>
  <c r="R77" i="70" s="1"/>
  <c r="S77" i="70" s="1"/>
  <c r="Q65" i="70"/>
  <c r="R65" i="70" s="1"/>
  <c r="Q97" i="70"/>
  <c r="R97" i="70" s="1"/>
  <c r="S97" i="70" s="1"/>
  <c r="Z829" i="178"/>
  <c r="AC829" i="178" s="1"/>
  <c r="Z728" i="178"/>
  <c r="AC728" i="178" s="1"/>
  <c r="Q43" i="70"/>
  <c r="R43" i="70" s="1"/>
  <c r="S43" i="70" s="1"/>
  <c r="Q54" i="70"/>
  <c r="R54" i="70" s="1"/>
  <c r="S54" i="70" s="1"/>
  <c r="Q72" i="70"/>
  <c r="R72" i="70" s="1"/>
  <c r="S72" i="70" s="1"/>
  <c r="Q64" i="70"/>
  <c r="R64" i="70" s="1"/>
  <c r="S64" i="70" s="1"/>
  <c r="Z445" i="178"/>
  <c r="AC445" i="178" s="1"/>
  <c r="Z327" i="178"/>
  <c r="AC327" i="178" s="1"/>
  <c r="Z925" i="178"/>
  <c r="AC925" i="178" s="1"/>
  <c r="Z296" i="178"/>
  <c r="AC296" i="178" s="1"/>
  <c r="Q76" i="183"/>
  <c r="R76" i="183" s="1"/>
  <c r="S76" i="183" s="1"/>
  <c r="Q88" i="183"/>
  <c r="R88" i="183" s="1"/>
  <c r="S88" i="183" s="1"/>
  <c r="Q81" i="183"/>
  <c r="R81" i="183" s="1"/>
  <c r="S81" i="183" s="1"/>
  <c r="Q100" i="183"/>
  <c r="R100" i="183" s="1"/>
  <c r="S100" i="183" s="1"/>
  <c r="Q45" i="183"/>
  <c r="R45" i="183" s="1"/>
  <c r="S45" i="183" s="1"/>
  <c r="Q10" i="183"/>
  <c r="R10" i="183" s="1"/>
  <c r="S10" i="183" s="1"/>
  <c r="Q80" i="183"/>
  <c r="R80" i="183" s="1"/>
  <c r="S80" i="183" s="1"/>
  <c r="Q113" i="183"/>
  <c r="R113" i="183" s="1"/>
  <c r="S113" i="183" s="1"/>
  <c r="Q121" i="183"/>
  <c r="R121" i="183" s="1"/>
  <c r="S121" i="183" s="1"/>
  <c r="Q23" i="183"/>
  <c r="R23" i="183" s="1"/>
  <c r="S23" i="183" s="1"/>
  <c r="Q123" i="183"/>
  <c r="R123" i="183" s="1"/>
  <c r="S123" i="183" s="1"/>
  <c r="Q40" i="183"/>
  <c r="R40" i="183" s="1"/>
  <c r="S40" i="183" s="1"/>
  <c r="Z113" i="178"/>
  <c r="AC113" i="178" s="1"/>
  <c r="Z326" i="178"/>
  <c r="AC326" i="178" s="1"/>
  <c r="Q57" i="183"/>
  <c r="R57" i="183" s="1"/>
  <c r="S57" i="183" s="1"/>
  <c r="Q95" i="183"/>
  <c r="R95" i="183" s="1"/>
  <c r="S95" i="183" s="1"/>
  <c r="Z905" i="178"/>
  <c r="AC905" i="178" s="1"/>
  <c r="Q41" i="183"/>
  <c r="R41" i="183" s="1"/>
  <c r="S41" i="183" s="1"/>
  <c r="Q82" i="183"/>
  <c r="R82" i="183" s="1"/>
  <c r="S82" i="183" s="1"/>
  <c r="Q79" i="183"/>
  <c r="R79" i="183" s="1"/>
  <c r="S79" i="183" s="1"/>
  <c r="Q63" i="183"/>
  <c r="R63" i="183" s="1"/>
  <c r="S63" i="183" s="1"/>
  <c r="Z884" i="178"/>
  <c r="AC884" i="178" s="1"/>
  <c r="Q53" i="183"/>
  <c r="R53" i="183" s="1"/>
  <c r="S53" i="183" s="1"/>
  <c r="Q47" i="183"/>
  <c r="R47" i="183" s="1"/>
  <c r="S47" i="183" s="1"/>
  <c r="Q16" i="183"/>
  <c r="R16" i="183" s="1"/>
  <c r="S16" i="183" s="1"/>
  <c r="Z336" i="178"/>
  <c r="AC336" i="178" s="1"/>
  <c r="Q90" i="183"/>
  <c r="Q117" i="183"/>
  <c r="R117" i="183" s="1"/>
  <c r="S117" i="183" s="1"/>
  <c r="R43" i="183"/>
  <c r="S43" i="183" s="1"/>
  <c r="Q101" i="183"/>
  <c r="R101" i="183" s="1"/>
  <c r="S101" i="183" s="1"/>
  <c r="Q86" i="183"/>
  <c r="R86" i="183" s="1"/>
  <c r="S86" i="183" s="1"/>
  <c r="Q35" i="183"/>
  <c r="R8" i="183"/>
  <c r="S8" i="183" s="1"/>
  <c r="R129" i="183"/>
  <c r="S129" i="183" s="1"/>
  <c r="R25" i="183"/>
  <c r="S25" i="183" s="1"/>
  <c r="Q49" i="183"/>
  <c r="R49" i="183" s="1"/>
  <c r="S49" i="183" s="1"/>
  <c r="Z878" i="178"/>
  <c r="AC878" i="178" s="1"/>
  <c r="Q92" i="183"/>
  <c r="Q119" i="183"/>
  <c r="Q15" i="183"/>
  <c r="R15" i="183" s="1"/>
  <c r="S15" i="183" s="1"/>
  <c r="Q72" i="183"/>
  <c r="R72" i="183" s="1"/>
  <c r="S72" i="183" s="1"/>
  <c r="Q20" i="183"/>
  <c r="Q31" i="183"/>
  <c r="Q87" i="183"/>
  <c r="R87" i="183" s="1"/>
  <c r="S87" i="183" s="1"/>
  <c r="Q59" i="183"/>
  <c r="Q36" i="183"/>
  <c r="R36" i="183" s="1"/>
  <c r="S36" i="183" s="1"/>
  <c r="R12" i="183"/>
  <c r="S12" i="183" s="1"/>
  <c r="Q48" i="183"/>
  <c r="Q91" i="183"/>
  <c r="R91" i="183" s="1"/>
  <c r="S91" i="183" s="1"/>
  <c r="Q128" i="183"/>
  <c r="R128" i="183" s="1"/>
  <c r="S128" i="183" s="1"/>
  <c r="Q71" i="183"/>
  <c r="R71" i="183" s="1"/>
  <c r="S71" i="183" s="1"/>
  <c r="Q19" i="183"/>
  <c r="R19" i="183" s="1"/>
  <c r="S19" i="183" s="1"/>
  <c r="Q68" i="183"/>
  <c r="R68" i="183" s="1"/>
  <c r="S68" i="183" s="1"/>
  <c r="Q61" i="183"/>
  <c r="R61" i="183" s="1"/>
  <c r="S61" i="183" s="1"/>
  <c r="R44" i="183"/>
  <c r="S44" i="183" s="1"/>
  <c r="Q22" i="183"/>
  <c r="R22" i="183" s="1"/>
  <c r="S22" i="183" s="1"/>
  <c r="Q34" i="183"/>
  <c r="R34" i="183" s="1"/>
  <c r="S34" i="183" s="1"/>
  <c r="Q52" i="183"/>
  <c r="R52" i="183" s="1"/>
  <c r="S52" i="183" s="1"/>
  <c r="Q118" i="183"/>
  <c r="R118" i="183" s="1"/>
  <c r="S118" i="183" s="1"/>
  <c r="Q85" i="183"/>
  <c r="R85" i="183" s="1"/>
  <c r="S85" i="183" s="1"/>
  <c r="R132" i="183"/>
  <c r="S132" i="183" s="1"/>
  <c r="Q62" i="183"/>
  <c r="R62" i="183" s="1"/>
  <c r="S62" i="183" s="1"/>
  <c r="Q21" i="183"/>
  <c r="R21" i="183" s="1"/>
  <c r="S21" i="183" s="1"/>
  <c r="Q37" i="183"/>
  <c r="R37" i="183" s="1"/>
  <c r="S37" i="183" s="1"/>
  <c r="Q62" i="70"/>
  <c r="R62" i="70" s="1"/>
  <c r="S62" i="70" s="1"/>
  <c r="T25" i="70"/>
  <c r="T37" i="70"/>
  <c r="Q41" i="70"/>
  <c r="R41" i="70" s="1"/>
  <c r="S41" i="70" s="1"/>
  <c r="Q81" i="70"/>
  <c r="R81" i="70" s="1"/>
  <c r="S81" i="70" s="1"/>
  <c r="Q49" i="70"/>
  <c r="R49" i="70" s="1"/>
  <c r="S49" i="70" s="1"/>
  <c r="Q67" i="70"/>
  <c r="R67" i="70" s="1"/>
  <c r="S67" i="70" s="1"/>
  <c r="Q110" i="70"/>
  <c r="R110" i="70" s="1"/>
  <c r="S110" i="70" s="1"/>
  <c r="Q102" i="70"/>
  <c r="R102" i="70" s="1"/>
  <c r="Q83" i="70"/>
  <c r="R83" i="70" s="1"/>
  <c r="S83" i="70" s="1"/>
  <c r="Q27" i="70"/>
  <c r="R27" i="70" s="1"/>
  <c r="S27" i="70" s="1"/>
  <c r="Q87" i="70"/>
  <c r="R87" i="70" s="1"/>
  <c r="S87" i="70" s="1"/>
  <c r="Q44" i="70"/>
  <c r="R44" i="70" s="1"/>
  <c r="S44" i="70" s="1"/>
  <c r="Q116" i="70"/>
  <c r="R116" i="70" s="1"/>
  <c r="Q33" i="70"/>
  <c r="R33" i="70" s="1"/>
  <c r="S33" i="70" s="1"/>
  <c r="Q89" i="70"/>
  <c r="R89" i="70" s="1"/>
  <c r="Z341" i="178"/>
  <c r="AC341" i="178" s="1"/>
  <c r="Z928" i="178"/>
  <c r="AC928" i="178" s="1"/>
  <c r="Z229" i="178"/>
  <c r="AC229" i="178" s="1"/>
  <c r="Z521" i="178"/>
  <c r="AC521" i="178" s="1"/>
  <c r="Z750" i="178"/>
  <c r="AC750" i="178" s="1"/>
  <c r="Z679" i="178"/>
  <c r="AC679" i="178" s="1"/>
  <c r="Z235" i="178"/>
  <c r="AC235" i="178" s="1"/>
  <c r="Z120" i="178"/>
  <c r="AC120" i="178" s="1"/>
  <c r="Z818" i="178"/>
  <c r="AC818" i="178" s="1"/>
  <c r="Z560" i="178"/>
  <c r="AC560" i="178" s="1"/>
  <c r="Z976" i="178"/>
  <c r="AC976" i="178" s="1"/>
  <c r="S42" i="95"/>
  <c r="P42" i="95"/>
  <c r="Q47" i="70"/>
  <c r="R47" i="70" s="1"/>
  <c r="S47" i="70" s="1"/>
  <c r="Q48" i="70"/>
  <c r="R48" i="70" s="1"/>
  <c r="S48" i="70" s="1"/>
  <c r="Q3" i="70"/>
  <c r="R3" i="70" s="1"/>
  <c r="S3" i="70" s="1"/>
  <c r="Q91" i="70"/>
  <c r="R91" i="70" s="1"/>
  <c r="S91" i="70" s="1"/>
  <c r="O44" i="95"/>
  <c r="Q104" i="70"/>
  <c r="R104" i="70" s="1"/>
  <c r="S104" i="70" s="1"/>
  <c r="Q35" i="70"/>
  <c r="R35" i="70" s="1"/>
  <c r="S35" i="70" s="1"/>
  <c r="Q106" i="70"/>
  <c r="R106" i="70" s="1"/>
  <c r="Q36" i="70"/>
  <c r="R36" i="70" s="1"/>
  <c r="S36" i="70" s="1"/>
  <c r="Q57" i="70"/>
  <c r="R57" i="70" s="1"/>
  <c r="S57" i="70" s="1"/>
  <c r="Q66" i="70"/>
  <c r="R66" i="70" s="1"/>
  <c r="S66" i="70" s="1"/>
  <c r="Q2" i="70"/>
  <c r="R2" i="70" s="1"/>
  <c r="Q76" i="70"/>
  <c r="R76" i="70" s="1"/>
  <c r="Q109" i="70"/>
  <c r="R109" i="70" s="1"/>
  <c r="Q51" i="70"/>
  <c r="R51" i="70" s="1"/>
  <c r="S51" i="70" s="1"/>
  <c r="Q32" i="70"/>
  <c r="R32" i="70" s="1"/>
  <c r="S32" i="70" s="1"/>
  <c r="Q59" i="70"/>
  <c r="R59" i="70" s="1"/>
  <c r="S59" i="70" s="1"/>
  <c r="Q68" i="70"/>
  <c r="R68" i="70" s="1"/>
  <c r="S68" i="70" s="1"/>
  <c r="Q88" i="70"/>
  <c r="Q55" i="70"/>
  <c r="R55" i="70" s="1"/>
  <c r="S55" i="70" s="1"/>
  <c r="Q74" i="70"/>
  <c r="R74" i="70" s="1"/>
  <c r="S74" i="70" s="1"/>
  <c r="N44" i="95"/>
  <c r="G44" i="95"/>
  <c r="Q117" i="70"/>
  <c r="R117" i="70" s="1"/>
  <c r="S117" i="70" s="1"/>
  <c r="M44" i="95"/>
  <c r="J44" i="95"/>
  <c r="F44" i="95"/>
  <c r="S24" i="95"/>
  <c r="T117" i="70"/>
  <c r="S113" i="70"/>
  <c r="Q111" i="70"/>
  <c r="R111" i="70" s="1"/>
  <c r="S111" i="70" s="1"/>
  <c r="Q71" i="70"/>
  <c r="R71" i="70" s="1"/>
  <c r="Q84" i="70"/>
  <c r="R84" i="70" s="1"/>
  <c r="Q61" i="70"/>
  <c r="R61" i="70" s="1"/>
  <c r="S61" i="70" s="1"/>
  <c r="Q70" i="70"/>
  <c r="R70" i="70" s="1"/>
  <c r="S70" i="70" s="1"/>
  <c r="Q100" i="70"/>
  <c r="R100" i="70" s="1"/>
  <c r="S100" i="70" s="1"/>
  <c r="S23" i="70"/>
  <c r="Z781" i="178"/>
  <c r="AC781" i="178" s="1"/>
  <c r="Q42" i="95"/>
  <c r="P9" i="95"/>
  <c r="R9" i="95"/>
  <c r="Q9" i="95"/>
  <c r="H44" i="95"/>
  <c r="P30" i="95"/>
  <c r="S30" i="95"/>
  <c r="L44" i="95"/>
  <c r="K44" i="95"/>
  <c r="Q46" i="70"/>
  <c r="R46" i="70" s="1"/>
  <c r="S46" i="70" s="1"/>
  <c r="Q90" i="70"/>
  <c r="R90" i="70" s="1"/>
  <c r="S90" i="70" s="1"/>
  <c r="T3" i="70"/>
  <c r="T46" i="70"/>
  <c r="Q86" i="70"/>
  <c r="R86" i="70" s="1"/>
  <c r="S86" i="70" s="1"/>
  <c r="Q45" i="70"/>
  <c r="Q63" i="70"/>
  <c r="R63" i="70" s="1"/>
  <c r="S63" i="70" s="1"/>
  <c r="T80" i="70"/>
  <c r="Q80" i="70"/>
  <c r="R80" i="70" s="1"/>
  <c r="S80" i="70" s="1"/>
  <c r="E16" i="3"/>
  <c r="R42" i="95"/>
  <c r="D16" i="3"/>
  <c r="E44" i="95"/>
  <c r="Q24" i="95"/>
  <c r="P24" i="95"/>
  <c r="S9" i="95"/>
  <c r="R24" i="95"/>
  <c r="D44" i="95"/>
  <c r="S24" i="70"/>
  <c r="I44" i="95"/>
  <c r="Z321" i="178"/>
  <c r="AC321" i="178" s="1"/>
  <c r="Z828" i="178"/>
  <c r="AC828" i="178" s="1"/>
  <c r="Z677" i="178"/>
  <c r="AC677" i="178" s="1"/>
  <c r="Z704" i="178"/>
  <c r="AC704" i="178" s="1"/>
  <c r="Z502" i="178"/>
  <c r="AC502" i="178" s="1"/>
  <c r="Z516" i="178"/>
  <c r="AC516" i="178" s="1"/>
  <c r="Z331" i="178"/>
  <c r="AC331" i="178" s="1"/>
  <c r="Z289" i="178"/>
  <c r="AC289" i="178" s="1"/>
  <c r="Z807" i="178"/>
  <c r="AC807" i="178" s="1"/>
  <c r="Z436" i="178"/>
  <c r="AC436" i="178" s="1"/>
  <c r="Z140" i="178"/>
  <c r="AC140" i="178" s="1"/>
  <c r="Z257" i="178"/>
  <c r="AC257" i="178" s="1"/>
  <c r="Z365" i="178"/>
  <c r="AC365" i="178" s="1"/>
  <c r="Z227" i="178"/>
  <c r="AC227" i="178" s="1"/>
  <c r="Z856" i="178"/>
  <c r="AC856" i="178" s="1"/>
  <c r="Z910" i="178"/>
  <c r="AC910" i="178" s="1"/>
  <c r="AZ1048" i="178"/>
  <c r="H17" i="3" s="1"/>
  <c r="AZ1047" i="178"/>
  <c r="BI1044" i="178"/>
  <c r="AU1044" i="178"/>
  <c r="BM1044" i="178"/>
  <c r="AW1044" i="178"/>
  <c r="AY1044" i="178"/>
  <c r="AS1044" i="178"/>
  <c r="AS1046" i="178" s="1"/>
  <c r="I12" i="3" s="1"/>
  <c r="BE1044" i="178"/>
  <c r="BC1044" i="178"/>
  <c r="BA1044" i="178"/>
  <c r="BA1046" i="178" s="1"/>
  <c r="H12" i="3" s="1"/>
  <c r="BO1044" i="178"/>
  <c r="BG1044" i="178"/>
  <c r="AR1048" i="178"/>
  <c r="AR1047" i="178"/>
  <c r="S99" i="70" l="1"/>
  <c r="S107" i="70"/>
  <c r="S31" i="70"/>
  <c r="S108" i="70"/>
  <c r="S50" i="70"/>
  <c r="S60" i="70"/>
  <c r="S75" i="70"/>
  <c r="S65" i="70"/>
  <c r="S89" i="70"/>
  <c r="S102" i="70"/>
  <c r="S116" i="70"/>
  <c r="S2" i="70"/>
  <c r="R48" i="183"/>
  <c r="S48" i="183" s="1"/>
  <c r="R31" i="183"/>
  <c r="S31" i="183" s="1"/>
  <c r="R119" i="183"/>
  <c r="S119" i="183" s="1"/>
  <c r="R20" i="183"/>
  <c r="S20" i="183" s="1"/>
  <c r="R35" i="183"/>
  <c r="S35" i="183" s="1"/>
  <c r="R92" i="183"/>
  <c r="S92" i="183" s="1"/>
  <c r="R59" i="183"/>
  <c r="S59" i="183" s="1"/>
  <c r="R90" i="183"/>
  <c r="S90" i="183" s="1"/>
  <c r="S106" i="70"/>
  <c r="S76" i="70"/>
  <c r="S109" i="70"/>
  <c r="R88" i="70"/>
  <c r="S88" i="70" s="1"/>
  <c r="S71" i="70"/>
  <c r="P44" i="95"/>
  <c r="Q44" i="95"/>
  <c r="R44" i="95"/>
  <c r="S44" i="95"/>
  <c r="S84" i="70"/>
  <c r="U7" i="95"/>
  <c r="I17" i="3"/>
  <c r="C19" i="3" s="1"/>
  <c r="D31" i="3" s="1"/>
  <c r="R45" i="70"/>
  <c r="S45" i="70" s="1"/>
  <c r="AZ1049" i="178"/>
  <c r="AR1049" i="178"/>
  <c r="AS1047" i="178"/>
  <c r="BA1047" i="178"/>
  <c r="H16" i="3" s="1"/>
  <c r="V7" i="95" l="1"/>
  <c r="I16" i="3"/>
  <c r="C14" i="3" s="1"/>
  <c r="C16" i="3" s="1"/>
  <c r="C31" i="3" s="1"/>
  <c r="D49" i="95"/>
  <c r="BA1049" i="178"/>
  <c r="AS1049" i="178"/>
  <c r="C21" i="3" l="1"/>
  <c r="E31" i="3"/>
  <c r="E49" i="95"/>
  <c r="P47" i="95"/>
  <c r="P48" i="95" s="1"/>
  <c r="D51" i="95"/>
  <c r="Q47" i="95" l="1"/>
  <c r="Q48" i="95" s="1"/>
  <c r="E51" i="95"/>
</calcChain>
</file>

<file path=xl/comments1.xml><?xml version="1.0" encoding="utf-8"?>
<comments xmlns="http://schemas.openxmlformats.org/spreadsheetml/2006/main">
  <authors>
    <author>Agnetha Simm</author>
  </authors>
  <commentList>
    <comment ref="A6" authorId="0" shapeId="0">
      <text>
        <r>
          <rPr>
            <b/>
            <sz val="9"/>
            <color indexed="81"/>
            <rFont val="Tahoma"/>
            <family val="2"/>
          </rPr>
          <t>Agnetha Simm:</t>
        </r>
        <r>
          <rPr>
            <sz val="9"/>
            <color indexed="81"/>
            <rFont val="Tahoma"/>
            <family val="2"/>
          </rPr>
          <t xml:space="preserve">
Ersätter 6ID301</t>
        </r>
      </text>
    </comment>
    <comment ref="A7" authorId="0" shapeId="0">
      <text>
        <r>
          <rPr>
            <b/>
            <sz val="9"/>
            <color indexed="81"/>
            <rFont val="Tahoma"/>
            <family val="2"/>
          </rPr>
          <t>Agnetha Simm:</t>
        </r>
        <r>
          <rPr>
            <sz val="9"/>
            <color indexed="81"/>
            <rFont val="Tahoma"/>
            <family val="2"/>
          </rPr>
          <t xml:space="preserve">
Ersätter 6ID301</t>
        </r>
      </text>
    </comment>
    <comment ref="A8" authorId="0" shapeId="0">
      <text>
        <r>
          <rPr>
            <b/>
            <sz val="9"/>
            <color indexed="81"/>
            <rFont val="Tahoma"/>
            <family val="2"/>
          </rPr>
          <t>Agnetha Simm:</t>
        </r>
        <r>
          <rPr>
            <sz val="9"/>
            <color indexed="81"/>
            <rFont val="Tahoma"/>
            <family val="2"/>
          </rPr>
          <t xml:space="preserve">
Ers 6ID303</t>
        </r>
      </text>
    </comment>
    <comment ref="A13" authorId="0" shapeId="0">
      <text>
        <r>
          <rPr>
            <b/>
            <sz val="9"/>
            <color indexed="81"/>
            <rFont val="Tahoma"/>
            <family val="2"/>
          </rPr>
          <t>Agnetha Simm:</t>
        </r>
        <r>
          <rPr>
            <sz val="9"/>
            <color indexed="81"/>
            <rFont val="Tahoma"/>
            <family val="2"/>
          </rPr>
          <t xml:space="preserve">
Ers fiktiv 6GExx4</t>
        </r>
      </text>
    </comment>
    <comment ref="A15" authorId="0" shapeId="0">
      <text>
        <r>
          <rPr>
            <b/>
            <sz val="9"/>
            <color indexed="81"/>
            <rFont val="Tahoma"/>
            <family val="2"/>
          </rPr>
          <t>Agnetha Simm:</t>
        </r>
        <r>
          <rPr>
            <sz val="9"/>
            <color indexed="81"/>
            <rFont val="Tahoma"/>
            <family val="2"/>
          </rPr>
          <t xml:space="preserve">
Ersätter 6LI005</t>
        </r>
      </text>
    </comment>
    <comment ref="A64" authorId="0" shapeId="0">
      <text>
        <r>
          <rPr>
            <b/>
            <sz val="9"/>
            <color indexed="81"/>
            <rFont val="Tahoma"/>
            <family val="2"/>
          </rPr>
          <t>Agnetha Simm:</t>
        </r>
        <r>
          <rPr>
            <sz val="9"/>
            <color indexed="81"/>
            <rFont val="Tahoma"/>
            <family val="2"/>
          </rPr>
          <t xml:space="preserve">
Ersätter 6PE150</t>
        </r>
      </text>
    </comment>
    <comment ref="A103" authorId="0" shapeId="0">
      <text>
        <r>
          <rPr>
            <b/>
            <sz val="9"/>
            <color indexed="81"/>
            <rFont val="Tahoma"/>
            <family val="2"/>
          </rPr>
          <t>Agnetha Simm:</t>
        </r>
        <r>
          <rPr>
            <sz val="9"/>
            <color indexed="81"/>
            <rFont val="Tahoma"/>
            <family val="2"/>
          </rPr>
          <t xml:space="preserve">
Ers 6PE189</t>
        </r>
      </text>
    </comment>
    <comment ref="A104" authorId="0" shapeId="0">
      <text>
        <r>
          <rPr>
            <b/>
            <sz val="9"/>
            <color indexed="81"/>
            <rFont val="Tahoma"/>
            <family val="2"/>
          </rPr>
          <t>Agnetha Simm:</t>
        </r>
        <r>
          <rPr>
            <sz val="9"/>
            <color indexed="81"/>
            <rFont val="Tahoma"/>
            <family val="2"/>
          </rPr>
          <t xml:space="preserve">
Ers 6PE189</t>
        </r>
      </text>
    </comment>
    <comment ref="A105" authorId="0" shapeId="0">
      <text>
        <r>
          <rPr>
            <b/>
            <sz val="9"/>
            <color indexed="81"/>
            <rFont val="Tahoma"/>
            <family val="2"/>
          </rPr>
          <t>Agnetha Simm:</t>
        </r>
        <r>
          <rPr>
            <sz val="9"/>
            <color indexed="81"/>
            <rFont val="Tahoma"/>
            <family val="2"/>
          </rPr>
          <t xml:space="preserve">
Ersätter 6PE158</t>
        </r>
      </text>
    </comment>
    <comment ref="A106" authorId="0" shapeId="0">
      <text>
        <r>
          <rPr>
            <b/>
            <sz val="9"/>
            <color indexed="81"/>
            <rFont val="Tahoma"/>
            <family val="2"/>
          </rPr>
          <t>Agnetha Simm:</t>
        </r>
        <r>
          <rPr>
            <sz val="9"/>
            <color indexed="81"/>
            <rFont val="Tahoma"/>
            <family val="2"/>
          </rPr>
          <t xml:space="preserve">
Ersätter 6PE159</t>
        </r>
      </text>
    </comment>
    <comment ref="A107" authorId="0" shapeId="0">
      <text>
        <r>
          <rPr>
            <b/>
            <sz val="9"/>
            <color indexed="81"/>
            <rFont val="Tahoma"/>
            <family val="2"/>
          </rPr>
          <t>Agnetha Simm:</t>
        </r>
        <r>
          <rPr>
            <sz val="9"/>
            <color indexed="81"/>
            <rFont val="Tahoma"/>
            <family val="2"/>
          </rPr>
          <t xml:space="preserve">
Ers 6PE196</t>
        </r>
      </text>
    </comment>
    <comment ref="A108" authorId="0" shapeId="0">
      <text>
        <r>
          <rPr>
            <b/>
            <sz val="9"/>
            <color indexed="81"/>
            <rFont val="Tahoma"/>
            <family val="2"/>
          </rPr>
          <t>Agnetha Simm:</t>
        </r>
        <r>
          <rPr>
            <sz val="9"/>
            <color indexed="81"/>
            <rFont val="Tahoma"/>
            <family val="2"/>
          </rPr>
          <t xml:space="preserve">
Ers 6PE196</t>
        </r>
      </text>
    </comment>
    <comment ref="A126" authorId="0" shapeId="0">
      <text>
        <r>
          <rPr>
            <b/>
            <sz val="9"/>
            <color indexed="81"/>
            <rFont val="Tahoma"/>
            <family val="2"/>
          </rPr>
          <t>Agnetha Simm:</t>
        </r>
        <r>
          <rPr>
            <sz val="9"/>
            <color indexed="81"/>
            <rFont val="Tahoma"/>
            <family val="2"/>
          </rPr>
          <t xml:space="preserve">
Ersätter 6SP040</t>
        </r>
      </text>
    </comment>
  </commentList>
</comments>
</file>

<file path=xl/comments10.xml><?xml version="1.0" encoding="utf-8"?>
<comments xmlns="http://schemas.openxmlformats.org/spreadsheetml/2006/main">
  <authors>
    <author>Agnetha Simm</author>
    <author>Eva Alenius</author>
  </authors>
  <commentList>
    <comment ref="P165" authorId="0" shapeId="0">
      <text>
        <r>
          <rPr>
            <b/>
            <sz val="9"/>
            <color indexed="81"/>
            <rFont val="Tahoma"/>
            <family val="2"/>
          </rPr>
          <t>Agnetha Simm:</t>
        </r>
        <r>
          <rPr>
            <sz val="9"/>
            <color indexed="81"/>
            <rFont val="Tahoma"/>
            <family val="2"/>
          </rPr>
          <t xml:space="preserve">
Äskat 20, blir ej av enl uppg från inst IV 201028</t>
        </r>
      </text>
    </comment>
    <comment ref="P166" authorId="0" shapeId="0">
      <text>
        <r>
          <rPr>
            <b/>
            <sz val="9"/>
            <color indexed="81"/>
            <rFont val="Tahoma"/>
            <family val="2"/>
          </rPr>
          <t>Agnetha Simm:</t>
        </r>
        <r>
          <rPr>
            <sz val="9"/>
            <color indexed="81"/>
            <rFont val="Tahoma"/>
            <family val="2"/>
          </rPr>
          <t xml:space="preserve">
Äskat 20, blir ej av enl uppg från inst IV 201028</t>
        </r>
      </text>
    </comment>
    <comment ref="A255" authorId="0" shapeId="0">
      <text>
        <r>
          <rPr>
            <b/>
            <sz val="9"/>
            <color indexed="81"/>
            <rFont val="Tahoma"/>
            <family val="2"/>
          </rPr>
          <t>Agnetha Simm:</t>
        </r>
        <r>
          <rPr>
            <sz val="9"/>
            <color indexed="81"/>
            <rFont val="Tahoma"/>
            <family val="2"/>
          </rPr>
          <t xml:space="preserve">
Ers fiktiv 6FRIPED1</t>
        </r>
      </text>
    </comment>
    <comment ref="P279" authorId="0" shapeId="0">
      <text>
        <r>
          <rPr>
            <b/>
            <sz val="9"/>
            <color indexed="81"/>
            <rFont val="Tahoma"/>
            <family val="2"/>
          </rPr>
          <t>Agnetha Simm:</t>
        </r>
        <r>
          <rPr>
            <sz val="9"/>
            <color indexed="81"/>
            <rFont val="Tahoma"/>
            <family val="2"/>
          </rPr>
          <t xml:space="preserve">
Äskat 25, kompl äskat upp till 35. OK enl AN</t>
        </r>
      </text>
    </comment>
    <comment ref="P280" authorId="0" shapeId="0">
      <text>
        <r>
          <rPr>
            <b/>
            <sz val="9"/>
            <color indexed="81"/>
            <rFont val="Tahoma"/>
            <family val="2"/>
          </rPr>
          <t>Agnetha Simm:</t>
        </r>
        <r>
          <rPr>
            <sz val="9"/>
            <color indexed="81"/>
            <rFont val="Tahoma"/>
            <family val="2"/>
          </rPr>
          <t xml:space="preserve">
Äskat 10. Kompl äskat upp till 15. OK enl AN</t>
        </r>
      </text>
    </comment>
    <comment ref="P296" authorId="1" shapeId="0">
      <text>
        <r>
          <rPr>
            <b/>
            <sz val="9"/>
            <color indexed="81"/>
            <rFont val="Tahoma"/>
            <family val="2"/>
          </rPr>
          <t>Eva Alenius:</t>
        </r>
        <r>
          <rPr>
            <sz val="9"/>
            <color indexed="81"/>
            <rFont val="Tahoma"/>
            <family val="2"/>
          </rPr>
          <t xml:space="preserve">
Planeringstal 45, reg i Ladok 31</t>
        </r>
      </text>
    </comment>
    <comment ref="P297" authorId="1" shapeId="0">
      <text>
        <r>
          <rPr>
            <b/>
            <sz val="9"/>
            <color indexed="81"/>
            <rFont val="Tahoma"/>
            <family val="2"/>
          </rPr>
          <t>Eva Alenius:</t>
        </r>
        <r>
          <rPr>
            <sz val="9"/>
            <color indexed="81"/>
            <rFont val="Tahoma"/>
            <family val="2"/>
          </rPr>
          <t xml:space="preserve">
Planeringstal 65, reg i Ladok 61</t>
        </r>
      </text>
    </comment>
    <comment ref="P341" authorId="1" shapeId="0">
      <text>
        <r>
          <rPr>
            <b/>
            <sz val="9"/>
            <color indexed="81"/>
            <rFont val="Tahoma"/>
            <family val="2"/>
          </rPr>
          <t>Eva Alenius:</t>
        </r>
        <r>
          <rPr>
            <sz val="9"/>
            <color indexed="81"/>
            <rFont val="Tahoma"/>
            <family val="2"/>
          </rPr>
          <t xml:space="preserve">
Planeringstal 60, reg i Ladok 45</t>
        </r>
      </text>
    </comment>
    <comment ref="A362" authorId="0" shapeId="0">
      <text>
        <r>
          <rPr>
            <b/>
            <sz val="9"/>
            <color indexed="81"/>
            <rFont val="Tahoma"/>
            <family val="2"/>
          </rPr>
          <t>Agnetha Simm:</t>
        </r>
        <r>
          <rPr>
            <sz val="9"/>
            <color indexed="81"/>
            <rFont val="Tahoma"/>
            <family val="2"/>
          </rPr>
          <t xml:space="preserve">
</t>
        </r>
      </text>
    </comment>
    <comment ref="P494" authorId="0" shapeId="0">
      <text>
        <r>
          <rPr>
            <b/>
            <sz val="9"/>
            <color indexed="81"/>
            <rFont val="Tahoma"/>
            <family val="2"/>
          </rPr>
          <t>Agnetha Simm:</t>
        </r>
        <r>
          <rPr>
            <sz val="9"/>
            <color indexed="81"/>
            <rFont val="Tahoma"/>
            <family val="2"/>
          </rPr>
          <t xml:space="preserve">
Inst äskat o bev 10.
Begärt utökn till 25 som godk (29/4) av AN</t>
        </r>
      </text>
    </comment>
    <comment ref="P508" authorId="0" shapeId="0">
      <text>
        <r>
          <rPr>
            <b/>
            <sz val="9"/>
            <color indexed="81"/>
            <rFont val="Tahoma"/>
            <family val="2"/>
          </rPr>
          <t>Agnetha Simm:</t>
        </r>
        <r>
          <rPr>
            <sz val="9"/>
            <color indexed="81"/>
            <rFont val="Tahoma"/>
            <family val="2"/>
          </rPr>
          <t xml:space="preserve">
Plantal 60, reg första kurs enl Ladok 53</t>
        </r>
      </text>
    </comment>
    <comment ref="P512" authorId="1" shapeId="0">
      <text>
        <r>
          <rPr>
            <b/>
            <sz val="9"/>
            <color indexed="81"/>
            <rFont val="Tahoma"/>
            <family val="2"/>
          </rPr>
          <t>Eva Alenius:</t>
        </r>
        <r>
          <rPr>
            <sz val="9"/>
            <color indexed="81"/>
            <rFont val="Tahoma"/>
            <family val="2"/>
          </rPr>
          <t xml:space="preserve">
Planeringstal 203, reg i Ladok 149</t>
        </r>
      </text>
    </comment>
    <comment ref="P704" authorId="0" shapeId="0">
      <text>
        <r>
          <rPr>
            <b/>
            <sz val="9"/>
            <color indexed="81"/>
            <rFont val="Tahoma"/>
            <family val="2"/>
          </rPr>
          <t>Agnetha Simm:</t>
        </r>
        <r>
          <rPr>
            <sz val="9"/>
            <color indexed="81"/>
            <rFont val="Tahoma"/>
            <family val="2"/>
          </rPr>
          <t xml:space="preserve">
Plantal 30 reg i Ladok 24</t>
        </r>
      </text>
    </comment>
    <comment ref="P705" authorId="0" shapeId="0">
      <text>
        <r>
          <rPr>
            <b/>
            <sz val="9"/>
            <color indexed="81"/>
            <rFont val="Tahoma"/>
            <family val="2"/>
          </rPr>
          <t>Agnetha Simm:</t>
        </r>
        <r>
          <rPr>
            <sz val="9"/>
            <color indexed="81"/>
            <rFont val="Tahoma"/>
            <family val="2"/>
          </rPr>
          <t xml:space="preserve">
Plantal 65, reg i Ladok första kurs 41</t>
        </r>
      </text>
    </comment>
    <comment ref="P707" authorId="0" shapeId="0">
      <text>
        <r>
          <rPr>
            <b/>
            <sz val="9"/>
            <color indexed="81"/>
            <rFont val="Tahoma"/>
            <family val="2"/>
          </rPr>
          <t>Agnetha Simm:</t>
        </r>
        <r>
          <rPr>
            <sz val="9"/>
            <color indexed="81"/>
            <rFont val="Tahoma"/>
            <family val="2"/>
          </rPr>
          <t xml:space="preserve">
Plantal 30, reg på första kurs i Ladok 23</t>
        </r>
      </text>
    </comment>
    <comment ref="P708" authorId="0" shapeId="0">
      <text>
        <r>
          <rPr>
            <b/>
            <sz val="9"/>
            <color indexed="81"/>
            <rFont val="Tahoma"/>
            <family val="2"/>
          </rPr>
          <t>Agnetha Simm:</t>
        </r>
        <r>
          <rPr>
            <sz val="9"/>
            <color indexed="81"/>
            <rFont val="Tahoma"/>
            <family val="2"/>
          </rPr>
          <t xml:space="preserve">
Plantal 35, reg 43 på första kurs i Ladok</t>
        </r>
      </text>
    </comment>
    <comment ref="P762" authorId="0" shapeId="0">
      <text>
        <r>
          <rPr>
            <b/>
            <sz val="9"/>
            <color indexed="81"/>
            <rFont val="Tahoma"/>
            <family val="2"/>
          </rPr>
          <t>Agnetha Simm:</t>
        </r>
        <r>
          <rPr>
            <sz val="9"/>
            <color indexed="81"/>
            <rFont val="Tahoma"/>
            <family val="2"/>
          </rPr>
          <t xml:space="preserve">
Ändrat från 20 till 15 enl uppg fr inst</t>
        </r>
      </text>
    </comment>
    <comment ref="F869" authorId="0" shapeId="0">
      <text>
        <r>
          <rPr>
            <b/>
            <sz val="9"/>
            <color indexed="81"/>
            <rFont val="Tahoma"/>
            <family val="2"/>
          </rPr>
          <t>Agnetha Simm:</t>
        </r>
        <r>
          <rPr>
            <sz val="9"/>
            <color indexed="81"/>
            <rFont val="Tahoma"/>
            <family val="2"/>
          </rPr>
          <t xml:space="preserve">
äskat vt men saknar kurstillfälle för den term, finns däremot upplagt för ht, därför ändrat här till ht</t>
        </r>
      </text>
    </comment>
    <comment ref="P877" authorId="1" shapeId="0">
      <text>
        <r>
          <rPr>
            <b/>
            <sz val="9"/>
            <color indexed="81"/>
            <rFont val="Tahoma"/>
            <family val="2"/>
          </rPr>
          <t>Eva Alenius:</t>
        </r>
        <r>
          <rPr>
            <sz val="9"/>
            <color indexed="81"/>
            <rFont val="Tahoma"/>
            <family val="2"/>
          </rPr>
          <t xml:space="preserve">
Planeringstal 50, reg i Ladok 46</t>
        </r>
      </text>
    </comment>
    <comment ref="P878" authorId="1" shapeId="0">
      <text>
        <r>
          <rPr>
            <b/>
            <sz val="9"/>
            <color indexed="81"/>
            <rFont val="Tahoma"/>
            <family val="2"/>
          </rPr>
          <t>Eva Alenius:</t>
        </r>
        <r>
          <rPr>
            <sz val="9"/>
            <color indexed="81"/>
            <rFont val="Tahoma"/>
            <family val="2"/>
          </rPr>
          <t xml:space="preserve">
Planeringstal 55, reg i Ladok 48</t>
        </r>
      </text>
    </comment>
    <comment ref="P975" authorId="1" shapeId="0">
      <text>
        <r>
          <rPr>
            <b/>
            <sz val="9"/>
            <color indexed="81"/>
            <rFont val="Tahoma"/>
            <family val="2"/>
          </rPr>
          <t>Eva Alenius:</t>
        </r>
        <r>
          <rPr>
            <sz val="9"/>
            <color indexed="81"/>
            <rFont val="Tahoma"/>
            <family val="2"/>
          </rPr>
          <t xml:space="preserve">
Planeringstal 35, reg i Ladok 38</t>
        </r>
      </text>
    </comment>
    <comment ref="P976" authorId="1" shapeId="0">
      <text>
        <r>
          <rPr>
            <b/>
            <sz val="9"/>
            <color indexed="81"/>
            <rFont val="Tahoma"/>
            <family val="2"/>
          </rPr>
          <t>Eva Alenius:</t>
        </r>
        <r>
          <rPr>
            <sz val="9"/>
            <color indexed="81"/>
            <rFont val="Tahoma"/>
            <family val="2"/>
          </rPr>
          <t xml:space="preserve">
Planeringstal 30, 34 reg i Ladok</t>
        </r>
      </text>
    </comment>
    <comment ref="P992" authorId="1" shapeId="0">
      <text>
        <r>
          <rPr>
            <b/>
            <sz val="9"/>
            <color indexed="81"/>
            <rFont val="Tahoma"/>
            <family val="2"/>
          </rPr>
          <t>Eva Alenius:</t>
        </r>
        <r>
          <rPr>
            <sz val="9"/>
            <color indexed="81"/>
            <rFont val="Tahoma"/>
            <family val="2"/>
          </rPr>
          <t xml:space="preserve">
Planeringstal 35, reg i Ladok 27</t>
        </r>
      </text>
    </comment>
  </commentList>
</comments>
</file>

<file path=xl/comments11.xml><?xml version="1.0" encoding="utf-8"?>
<comments xmlns="http://schemas.openxmlformats.org/spreadsheetml/2006/main">
  <authors>
    <author>Agnetha Simm</author>
    <author>Eva Alenius</author>
  </authors>
  <commentList>
    <comment ref="A30" authorId="0" shapeId="0">
      <text>
        <r>
          <rPr>
            <b/>
            <sz val="9"/>
            <color indexed="81"/>
            <rFont val="Tahoma"/>
            <family val="2"/>
          </rPr>
          <t>Agnetha Simm:</t>
        </r>
        <r>
          <rPr>
            <sz val="9"/>
            <color indexed="81"/>
            <rFont val="Tahoma"/>
            <family val="2"/>
          </rPr>
          <t xml:space="preserve">
Ers 5BI151</t>
        </r>
      </text>
    </comment>
    <comment ref="A31" authorId="0" shapeId="0">
      <text>
        <r>
          <rPr>
            <b/>
            <sz val="9"/>
            <color indexed="81"/>
            <rFont val="Tahoma"/>
            <family val="2"/>
          </rPr>
          <t>Agnetha Simm:</t>
        </r>
        <r>
          <rPr>
            <sz val="9"/>
            <color indexed="81"/>
            <rFont val="Tahoma"/>
            <family val="2"/>
          </rPr>
          <t xml:space="preserve">
Ers 5BI204</t>
        </r>
      </text>
    </comment>
    <comment ref="A88" authorId="0" shapeId="0">
      <text>
        <r>
          <rPr>
            <b/>
            <sz val="9"/>
            <color indexed="81"/>
            <rFont val="Tahoma"/>
            <family val="2"/>
          </rPr>
          <t>Agnetha Simm:</t>
        </r>
        <r>
          <rPr>
            <sz val="9"/>
            <color indexed="81"/>
            <rFont val="Tahoma"/>
            <family val="2"/>
          </rPr>
          <t xml:space="preserve">
Ersätter 5BI184</t>
        </r>
      </text>
    </comment>
    <comment ref="A90" authorId="0" shapeId="0">
      <text>
        <r>
          <rPr>
            <b/>
            <sz val="9"/>
            <color indexed="81"/>
            <rFont val="Tahoma"/>
            <family val="2"/>
          </rPr>
          <t>Agnetha Simm:</t>
        </r>
        <r>
          <rPr>
            <sz val="9"/>
            <color indexed="81"/>
            <rFont val="Tahoma"/>
            <family val="2"/>
          </rPr>
          <t xml:space="preserve">
Ers 6BI023</t>
        </r>
      </text>
    </comment>
    <comment ref="A91" authorId="0" shapeId="0">
      <text>
        <r>
          <rPr>
            <b/>
            <sz val="9"/>
            <color indexed="81"/>
            <rFont val="Tahoma"/>
            <family val="2"/>
          </rPr>
          <t>Agnetha Simm:</t>
        </r>
        <r>
          <rPr>
            <sz val="9"/>
            <color indexed="81"/>
            <rFont val="Tahoma"/>
            <family val="2"/>
          </rPr>
          <t xml:space="preserve">
Ers 5BI194</t>
        </r>
      </text>
    </comment>
    <comment ref="A113" authorId="0" shapeId="0">
      <text>
        <r>
          <rPr>
            <b/>
            <sz val="9"/>
            <color indexed="81"/>
            <rFont val="Tahoma"/>
            <family val="2"/>
          </rPr>
          <t>Agnetha Simm:</t>
        </r>
        <r>
          <rPr>
            <sz val="9"/>
            <color indexed="81"/>
            <rFont val="Tahoma"/>
            <family val="2"/>
          </rPr>
          <t xml:space="preserve">
Ersätter 6EN028</t>
        </r>
      </text>
    </comment>
    <comment ref="A114" authorId="0" shapeId="0">
      <text>
        <r>
          <rPr>
            <b/>
            <sz val="9"/>
            <color indexed="81"/>
            <rFont val="Tahoma"/>
            <family val="2"/>
          </rPr>
          <t>Agnetha Simm:</t>
        </r>
        <r>
          <rPr>
            <sz val="9"/>
            <color indexed="81"/>
            <rFont val="Tahoma"/>
            <family val="2"/>
          </rPr>
          <t xml:space="preserve">
Fd 6EN021</t>
        </r>
      </text>
    </comment>
    <comment ref="A115" authorId="0" shapeId="0">
      <text>
        <r>
          <rPr>
            <b/>
            <sz val="9"/>
            <color indexed="81"/>
            <rFont val="Tahoma"/>
            <family val="2"/>
          </rPr>
          <t>Agnetha Simm:</t>
        </r>
        <r>
          <rPr>
            <sz val="9"/>
            <color indexed="81"/>
            <rFont val="Tahoma"/>
            <family val="2"/>
          </rPr>
          <t xml:space="preserve">
Fd 6EN023</t>
        </r>
      </text>
    </comment>
    <comment ref="A116" authorId="0" shapeId="0">
      <text>
        <r>
          <rPr>
            <b/>
            <sz val="9"/>
            <color indexed="81"/>
            <rFont val="Tahoma"/>
            <family val="2"/>
          </rPr>
          <t>Agnetha Simm:</t>
        </r>
        <r>
          <rPr>
            <sz val="9"/>
            <color indexed="81"/>
            <rFont val="Tahoma"/>
            <family val="2"/>
          </rPr>
          <t xml:space="preserve">
Ers 6EN022</t>
        </r>
      </text>
    </comment>
    <comment ref="A117" authorId="0" shapeId="0">
      <text>
        <r>
          <rPr>
            <b/>
            <sz val="9"/>
            <color indexed="81"/>
            <rFont val="Tahoma"/>
            <family val="2"/>
          </rPr>
          <t>Agnetha Simm:</t>
        </r>
        <r>
          <rPr>
            <sz val="9"/>
            <color indexed="81"/>
            <rFont val="Tahoma"/>
            <family val="2"/>
          </rPr>
          <t xml:space="preserve">
Ersätter 6EN024</t>
        </r>
      </text>
    </comment>
    <comment ref="A118" authorId="0" shapeId="0">
      <text>
        <r>
          <rPr>
            <b/>
            <sz val="9"/>
            <color indexed="81"/>
            <rFont val="Tahoma"/>
            <family val="2"/>
          </rPr>
          <t>Agnetha Simm:</t>
        </r>
        <r>
          <rPr>
            <sz val="9"/>
            <color indexed="81"/>
            <rFont val="Tahoma"/>
            <family val="2"/>
          </rPr>
          <t xml:space="preserve">
Ersätter 6EN025</t>
        </r>
      </text>
    </comment>
    <comment ref="A161" authorId="0" shapeId="0">
      <text>
        <r>
          <rPr>
            <b/>
            <sz val="9"/>
            <color indexed="81"/>
            <rFont val="Tahoma"/>
            <family val="2"/>
          </rPr>
          <t>Agnetha Simm:</t>
        </r>
        <r>
          <rPr>
            <sz val="9"/>
            <color indexed="81"/>
            <rFont val="Tahoma"/>
            <family val="2"/>
          </rPr>
          <t xml:space="preserve">
Fd fiktiv 6xxx15</t>
        </r>
      </text>
    </comment>
    <comment ref="A165" authorId="0" shapeId="0">
      <text>
        <r>
          <rPr>
            <b/>
            <sz val="9"/>
            <color indexed="81"/>
            <rFont val="Tahoma"/>
            <family val="2"/>
          </rPr>
          <t>Agnetha Simm:</t>
        </r>
        <r>
          <rPr>
            <sz val="9"/>
            <color indexed="81"/>
            <rFont val="Tahoma"/>
            <family val="2"/>
          </rPr>
          <t xml:space="preserve">
Fd fiktiv 6FRIEST7</t>
        </r>
      </text>
    </comment>
    <comment ref="B166" authorId="0" shapeId="0">
      <text>
        <r>
          <rPr>
            <b/>
            <sz val="9"/>
            <color indexed="81"/>
            <rFont val="Tahoma"/>
            <family val="2"/>
          </rPr>
          <t>Agnetha Simm:</t>
        </r>
        <r>
          <rPr>
            <sz val="9"/>
            <color indexed="81"/>
            <rFont val="Tahoma"/>
            <family val="2"/>
          </rPr>
          <t xml:space="preserve">
Bild/Slöjd</t>
        </r>
      </text>
    </comment>
    <comment ref="A170" authorId="0" shapeId="0">
      <text>
        <r>
          <rPr>
            <b/>
            <sz val="9"/>
            <color indexed="81"/>
            <rFont val="Tahoma"/>
            <family val="2"/>
          </rPr>
          <t>Agnetha Simm:</t>
        </r>
        <r>
          <rPr>
            <sz val="9"/>
            <color indexed="81"/>
            <rFont val="Tahoma"/>
            <family val="2"/>
          </rPr>
          <t xml:space="preserve">
fd fiktiv 6FRIEST6</t>
        </r>
      </text>
    </comment>
    <comment ref="A171" authorId="0" shapeId="0">
      <text>
        <r>
          <rPr>
            <b/>
            <sz val="9"/>
            <color indexed="81"/>
            <rFont val="Tahoma"/>
            <family val="2"/>
          </rPr>
          <t>Agnetha Simm:</t>
        </r>
        <r>
          <rPr>
            <sz val="9"/>
            <color indexed="81"/>
            <rFont val="Tahoma"/>
            <family val="2"/>
          </rPr>
          <t xml:space="preserve">
fd fiktiv 6FRIEST3</t>
        </r>
      </text>
    </comment>
    <comment ref="A172" authorId="0" shapeId="0">
      <text>
        <r>
          <rPr>
            <b/>
            <sz val="9"/>
            <color indexed="81"/>
            <rFont val="Tahoma"/>
            <family val="2"/>
          </rPr>
          <t>Agnetha Simm:</t>
        </r>
        <r>
          <rPr>
            <sz val="9"/>
            <color indexed="81"/>
            <rFont val="Tahoma"/>
            <family val="2"/>
          </rPr>
          <t xml:space="preserve">
fd fiktiv 6FRIEST4</t>
        </r>
      </text>
    </comment>
    <comment ref="A174" authorId="0" shapeId="0">
      <text>
        <r>
          <rPr>
            <b/>
            <sz val="9"/>
            <color indexed="81"/>
            <rFont val="Tahoma"/>
            <family val="2"/>
          </rPr>
          <t>Agnetha Simm:</t>
        </r>
        <r>
          <rPr>
            <sz val="9"/>
            <color indexed="81"/>
            <rFont val="Tahoma"/>
            <family val="2"/>
          </rPr>
          <t xml:space="preserve">
Ers fiktiv 6BIFÖ2</t>
        </r>
      </text>
    </comment>
    <comment ref="A177" authorId="0" shapeId="0">
      <text>
        <r>
          <rPr>
            <b/>
            <sz val="9"/>
            <color indexed="81"/>
            <rFont val="Tahoma"/>
            <family val="2"/>
          </rPr>
          <t>Agnetha Simm:</t>
        </r>
        <r>
          <rPr>
            <sz val="9"/>
            <color indexed="81"/>
            <rFont val="Tahoma"/>
            <family val="2"/>
          </rPr>
          <t xml:space="preserve">
Ers fd 6ES052
</t>
        </r>
      </text>
    </comment>
    <comment ref="A184" authorId="0" shapeId="0">
      <text>
        <r>
          <rPr>
            <b/>
            <sz val="9"/>
            <color indexed="81"/>
            <rFont val="Tahoma"/>
            <family val="2"/>
          </rPr>
          <t>Agnetha Simm:</t>
        </r>
        <r>
          <rPr>
            <sz val="9"/>
            <color indexed="81"/>
            <rFont val="Tahoma"/>
            <family val="2"/>
          </rPr>
          <t xml:space="preserve">
Ers fiktiv 6FRIEST3</t>
        </r>
      </text>
    </comment>
    <comment ref="A185" authorId="0" shapeId="0">
      <text>
        <r>
          <rPr>
            <b/>
            <sz val="9"/>
            <color indexed="81"/>
            <rFont val="Tahoma"/>
            <family val="2"/>
          </rPr>
          <t>Agnetha Simm:</t>
        </r>
        <r>
          <rPr>
            <sz val="9"/>
            <color indexed="81"/>
            <rFont val="Tahoma"/>
            <family val="2"/>
          </rPr>
          <t xml:space="preserve">
Ers 6ES031</t>
        </r>
      </text>
    </comment>
    <comment ref="A186" authorId="0" shapeId="0">
      <text>
        <r>
          <rPr>
            <b/>
            <sz val="9"/>
            <color indexed="81"/>
            <rFont val="Tahoma"/>
            <family val="2"/>
          </rPr>
          <t>Agnetha Simm:</t>
        </r>
        <r>
          <rPr>
            <sz val="9"/>
            <color indexed="81"/>
            <rFont val="Tahoma"/>
            <family val="2"/>
          </rPr>
          <t xml:space="preserve">
Ers fd 6ES069</t>
        </r>
      </text>
    </comment>
    <comment ref="A187" authorId="0" shapeId="0">
      <text>
        <r>
          <rPr>
            <b/>
            <sz val="9"/>
            <color indexed="81"/>
            <rFont val="Tahoma"/>
            <family val="2"/>
          </rPr>
          <t>Agnetha Simm:</t>
        </r>
        <r>
          <rPr>
            <sz val="9"/>
            <color indexed="81"/>
            <rFont val="Tahoma"/>
            <family val="2"/>
          </rPr>
          <t xml:space="preserve">
Fd fiktiv 6FRIEST2</t>
        </r>
      </text>
    </comment>
    <comment ref="A188" authorId="0" shapeId="0">
      <text>
        <r>
          <rPr>
            <b/>
            <sz val="9"/>
            <color indexed="81"/>
            <rFont val="Tahoma"/>
            <family val="2"/>
          </rPr>
          <t>Agnetha Simm:</t>
        </r>
        <r>
          <rPr>
            <sz val="9"/>
            <color indexed="81"/>
            <rFont val="Tahoma"/>
            <family val="2"/>
          </rPr>
          <t xml:space="preserve">
Fd fiktiv 6BIFÖ3</t>
        </r>
      </text>
    </comment>
    <comment ref="A189" authorId="0" shapeId="0">
      <text>
        <r>
          <rPr>
            <b/>
            <sz val="9"/>
            <color indexed="81"/>
            <rFont val="Tahoma"/>
            <family val="2"/>
          </rPr>
          <t>Agnetha Simm:</t>
        </r>
        <r>
          <rPr>
            <sz val="9"/>
            <color indexed="81"/>
            <rFont val="Tahoma"/>
            <family val="2"/>
          </rPr>
          <t xml:space="preserve">
Fd fiktiv 6FRIEST1</t>
        </r>
      </text>
    </comment>
    <comment ref="A191" authorId="0" shapeId="0">
      <text>
        <r>
          <rPr>
            <b/>
            <sz val="9"/>
            <color indexed="81"/>
            <rFont val="Tahoma"/>
            <family val="2"/>
          </rPr>
          <t>Agnetha Simm:</t>
        </r>
        <r>
          <rPr>
            <sz val="9"/>
            <color indexed="81"/>
            <rFont val="Tahoma"/>
            <family val="2"/>
          </rPr>
          <t xml:space="preserve">
Ers fiktiv 6FRIEST1</t>
        </r>
      </text>
    </comment>
    <comment ref="A198" authorId="0" shapeId="0">
      <text>
        <r>
          <rPr>
            <b/>
            <sz val="9"/>
            <color indexed="81"/>
            <rFont val="Tahoma"/>
            <family val="2"/>
          </rPr>
          <t>Agnetha Simm:</t>
        </r>
        <r>
          <rPr>
            <sz val="9"/>
            <color indexed="81"/>
            <rFont val="Tahoma"/>
            <family val="2"/>
          </rPr>
          <t xml:space="preserve">
Ers 6ES094 fr ht-21</t>
        </r>
      </text>
    </comment>
    <comment ref="A199" authorId="0" shapeId="0">
      <text>
        <r>
          <rPr>
            <b/>
            <sz val="9"/>
            <color indexed="81"/>
            <rFont val="Tahoma"/>
            <family val="2"/>
          </rPr>
          <t>Agnetha Simm:</t>
        </r>
        <r>
          <rPr>
            <sz val="9"/>
            <color indexed="81"/>
            <rFont val="Tahoma"/>
            <family val="2"/>
          </rPr>
          <t xml:space="preserve">
Ers 6ES072 fr ht-21</t>
        </r>
      </text>
    </comment>
    <comment ref="A211" authorId="0" shapeId="0">
      <text>
        <r>
          <rPr>
            <b/>
            <sz val="9"/>
            <color indexed="81"/>
            <rFont val="Tahoma"/>
            <family val="2"/>
          </rPr>
          <t>Agnetha Simm:</t>
        </r>
        <r>
          <rPr>
            <sz val="9"/>
            <color indexed="81"/>
            <rFont val="Tahoma"/>
            <family val="2"/>
          </rPr>
          <t xml:space="preserve">
Ers fd 6FA004</t>
        </r>
      </text>
    </comment>
    <comment ref="A231" authorId="0" shapeId="0">
      <text>
        <r>
          <rPr>
            <b/>
            <sz val="9"/>
            <color indexed="81"/>
            <rFont val="Tahoma"/>
            <family val="2"/>
          </rPr>
          <t>Agnetha Simm:</t>
        </r>
        <r>
          <rPr>
            <sz val="9"/>
            <color indexed="81"/>
            <rFont val="Tahoma"/>
            <family val="2"/>
          </rPr>
          <t xml:space="preserve">
Ers fiktiv 6GExx5</t>
        </r>
      </text>
    </comment>
    <comment ref="A232" authorId="0" shapeId="0">
      <text>
        <r>
          <rPr>
            <b/>
            <sz val="9"/>
            <color indexed="81"/>
            <rFont val="Tahoma"/>
            <family val="2"/>
          </rPr>
          <t>Agnetha Simm:</t>
        </r>
        <r>
          <rPr>
            <sz val="9"/>
            <color indexed="81"/>
            <rFont val="Tahoma"/>
            <family val="2"/>
          </rPr>
          <t xml:space="preserve">
Fd fiktiv 6GExx2</t>
        </r>
      </text>
    </comment>
    <comment ref="A233" authorId="0" shapeId="0">
      <text>
        <r>
          <rPr>
            <b/>
            <sz val="9"/>
            <color indexed="81"/>
            <rFont val="Tahoma"/>
            <family val="2"/>
          </rPr>
          <t>Agnetha Simm:</t>
        </r>
        <r>
          <rPr>
            <sz val="9"/>
            <color indexed="81"/>
            <rFont val="Tahoma"/>
            <family val="2"/>
          </rPr>
          <t xml:space="preserve">
Ers fiktiv 6GExx6</t>
        </r>
      </text>
    </comment>
    <comment ref="A234" authorId="0" shapeId="0">
      <text>
        <r>
          <rPr>
            <b/>
            <sz val="9"/>
            <color indexed="81"/>
            <rFont val="Tahoma"/>
            <family val="2"/>
          </rPr>
          <t>Agnetha Simm:</t>
        </r>
        <r>
          <rPr>
            <sz val="9"/>
            <color indexed="81"/>
            <rFont val="Tahoma"/>
            <family val="2"/>
          </rPr>
          <t xml:space="preserve">
Ers fiktiv 6GExx9</t>
        </r>
      </text>
    </comment>
    <comment ref="A248" authorId="0" shapeId="0">
      <text>
        <r>
          <rPr>
            <b/>
            <sz val="9"/>
            <color indexed="81"/>
            <rFont val="Tahoma"/>
            <family val="2"/>
          </rPr>
          <t>Agnetha Simm:</t>
        </r>
        <r>
          <rPr>
            <sz val="9"/>
            <color indexed="81"/>
            <rFont val="Tahoma"/>
            <family val="2"/>
          </rPr>
          <t xml:space="preserve">
Ersätter 6HI016</t>
        </r>
      </text>
    </comment>
    <comment ref="A250" authorId="0" shapeId="0">
      <text>
        <r>
          <rPr>
            <b/>
            <sz val="9"/>
            <color indexed="81"/>
            <rFont val="Tahoma"/>
            <family val="2"/>
          </rPr>
          <t>Agnetha Simm:</t>
        </r>
        <r>
          <rPr>
            <sz val="9"/>
            <color indexed="81"/>
            <rFont val="Tahoma"/>
            <family val="2"/>
          </rPr>
          <t xml:space="preserve">
Ersätter 6HI014</t>
        </r>
      </text>
    </comment>
    <comment ref="S257" authorId="0" shapeId="0">
      <text>
        <r>
          <rPr>
            <b/>
            <sz val="9"/>
            <color indexed="81"/>
            <rFont val="Tahoma"/>
            <family val="2"/>
          </rPr>
          <t>Agnetha Simm:</t>
        </r>
        <r>
          <rPr>
            <sz val="9"/>
            <color indexed="81"/>
            <rFont val="Tahoma"/>
            <family val="2"/>
          </rPr>
          <t xml:space="preserve">
OBS! Protokollet inkom 170307</t>
        </r>
      </text>
    </comment>
    <comment ref="S258" authorId="0" shapeId="0">
      <text>
        <r>
          <rPr>
            <b/>
            <sz val="9"/>
            <color indexed="81"/>
            <rFont val="Tahoma"/>
            <family val="2"/>
          </rPr>
          <t>Agnetha Simm:</t>
        </r>
        <r>
          <rPr>
            <sz val="9"/>
            <color indexed="81"/>
            <rFont val="Tahoma"/>
            <family val="2"/>
          </rPr>
          <t xml:space="preserve">
OBS! Protokollet inkom 170307</t>
        </r>
      </text>
    </comment>
    <comment ref="A259" authorId="0" shapeId="0">
      <text>
        <r>
          <rPr>
            <b/>
            <sz val="9"/>
            <color indexed="81"/>
            <rFont val="Tahoma"/>
            <family val="2"/>
          </rPr>
          <t>Agnetha Simm:</t>
        </r>
        <r>
          <rPr>
            <sz val="9"/>
            <color indexed="81"/>
            <rFont val="Tahoma"/>
            <family val="2"/>
          </rPr>
          <t xml:space="preserve">
Ersätter 6ID301</t>
        </r>
      </text>
    </comment>
    <comment ref="A262" authorId="0" shapeId="0">
      <text>
        <r>
          <rPr>
            <b/>
            <sz val="9"/>
            <color indexed="81"/>
            <rFont val="Tahoma"/>
            <family val="2"/>
          </rPr>
          <t>Agnetha Simm:</t>
        </r>
        <r>
          <rPr>
            <sz val="9"/>
            <color indexed="81"/>
            <rFont val="Tahoma"/>
            <family val="2"/>
          </rPr>
          <t xml:space="preserve">
Ers 6ID314</t>
        </r>
      </text>
    </comment>
    <comment ref="A263" authorId="0" shapeId="0">
      <text>
        <r>
          <rPr>
            <b/>
            <sz val="9"/>
            <color indexed="81"/>
            <rFont val="Tahoma"/>
            <family val="2"/>
          </rPr>
          <t>Agnetha Simm:</t>
        </r>
        <r>
          <rPr>
            <sz val="9"/>
            <color indexed="81"/>
            <rFont val="Tahoma"/>
            <family val="2"/>
          </rPr>
          <t xml:space="preserve">
Ers fiktiv 6FRIPED1</t>
        </r>
      </text>
    </comment>
    <comment ref="A269" authorId="0" shapeId="0">
      <text>
        <r>
          <rPr>
            <b/>
            <sz val="9"/>
            <color indexed="81"/>
            <rFont val="Tahoma"/>
            <family val="2"/>
          </rPr>
          <t>Agnetha Simm:</t>
        </r>
        <r>
          <rPr>
            <sz val="9"/>
            <color indexed="81"/>
            <rFont val="Tahoma"/>
            <family val="2"/>
          </rPr>
          <t xml:space="preserve">
Utgår! Se 6ID013</t>
        </r>
      </text>
    </comment>
    <comment ref="A274" authorId="0" shapeId="0">
      <text>
        <r>
          <rPr>
            <b/>
            <sz val="9"/>
            <color indexed="81"/>
            <rFont val="Tahoma"/>
            <family val="2"/>
          </rPr>
          <t>Agnetha Simm:</t>
        </r>
        <r>
          <rPr>
            <sz val="9"/>
            <color indexed="81"/>
            <rFont val="Tahoma"/>
            <family val="2"/>
          </rPr>
          <t xml:space="preserve">
Fd fiktiv 6FRITUV7</t>
        </r>
      </text>
    </comment>
    <comment ref="A275" authorId="0" shapeId="0">
      <text>
        <r>
          <rPr>
            <b/>
            <sz val="9"/>
            <color indexed="81"/>
            <rFont val="Tahoma"/>
            <family val="2"/>
          </rPr>
          <t>Agnetha Simm:</t>
        </r>
        <r>
          <rPr>
            <sz val="9"/>
            <color indexed="81"/>
            <rFont val="Tahoma"/>
            <family val="2"/>
          </rPr>
          <t xml:space="preserve">
Fd fiktiv 6FRITUV6</t>
        </r>
      </text>
    </comment>
    <comment ref="A276" authorId="0" shapeId="0">
      <text>
        <r>
          <rPr>
            <b/>
            <sz val="9"/>
            <color indexed="81"/>
            <rFont val="Tahoma"/>
            <family val="2"/>
          </rPr>
          <t>Agnetha Simm:</t>
        </r>
        <r>
          <rPr>
            <sz val="9"/>
            <color indexed="81"/>
            <rFont val="Tahoma"/>
            <family val="2"/>
          </rPr>
          <t xml:space="preserve">
Ers 2IT029</t>
        </r>
      </text>
    </comment>
    <comment ref="A289" authorId="0" shapeId="0">
      <text>
        <r>
          <rPr>
            <b/>
            <sz val="9"/>
            <color indexed="81"/>
            <rFont val="Tahoma"/>
            <family val="2"/>
          </rPr>
          <t>Agnetha Simm:</t>
        </r>
        <r>
          <rPr>
            <sz val="9"/>
            <color indexed="81"/>
            <rFont val="Tahoma"/>
            <family val="2"/>
          </rPr>
          <t xml:space="preserve">
Fd fiktiv 6GExx1</t>
        </r>
      </text>
    </comment>
    <comment ref="A290" authorId="0" shapeId="0">
      <text>
        <r>
          <rPr>
            <b/>
            <sz val="9"/>
            <color indexed="81"/>
            <rFont val="Tahoma"/>
            <family val="2"/>
          </rPr>
          <t>Agnetha Simm:</t>
        </r>
        <r>
          <rPr>
            <sz val="9"/>
            <color indexed="81"/>
            <rFont val="Tahoma"/>
            <family val="2"/>
          </rPr>
          <t xml:space="preserve">
Fd fiktiv 6GExx3</t>
        </r>
      </text>
    </comment>
    <comment ref="A291" authorId="0" shapeId="0">
      <text>
        <r>
          <rPr>
            <b/>
            <sz val="9"/>
            <color indexed="81"/>
            <rFont val="Tahoma"/>
            <family val="2"/>
          </rPr>
          <t>Agnetha Simm:</t>
        </r>
        <r>
          <rPr>
            <sz val="9"/>
            <color indexed="81"/>
            <rFont val="Tahoma"/>
            <family val="2"/>
          </rPr>
          <t xml:space="preserve">
Ersätter fiktiv 6GExx4</t>
        </r>
      </text>
    </comment>
    <comment ref="A292" authorId="0" shapeId="0">
      <text>
        <r>
          <rPr>
            <b/>
            <sz val="9"/>
            <color indexed="81"/>
            <rFont val="Tahoma"/>
            <family val="2"/>
          </rPr>
          <t>Agnetha Simm:</t>
        </r>
        <r>
          <rPr>
            <sz val="9"/>
            <color indexed="81"/>
            <rFont val="Tahoma"/>
            <family val="2"/>
          </rPr>
          <t xml:space="preserve">
Ers fiktiv 6GExx7</t>
        </r>
      </text>
    </comment>
    <comment ref="A294" authorId="0" shapeId="0">
      <text>
        <r>
          <rPr>
            <b/>
            <sz val="9"/>
            <color indexed="81"/>
            <rFont val="Tahoma"/>
            <family val="2"/>
          </rPr>
          <t>Agnetha Simm:</t>
        </r>
        <r>
          <rPr>
            <sz val="9"/>
            <color indexed="81"/>
            <rFont val="Tahoma"/>
            <family val="2"/>
          </rPr>
          <t xml:space="preserve">
Fd fiktiv 6GEund</t>
        </r>
      </text>
    </comment>
    <comment ref="A309" authorId="0" shapeId="0">
      <text>
        <r>
          <rPr>
            <b/>
            <sz val="9"/>
            <color indexed="81"/>
            <rFont val="Tahoma"/>
            <family val="2"/>
          </rPr>
          <t>Agnetha Simm:</t>
        </r>
        <r>
          <rPr>
            <sz val="9"/>
            <color indexed="81"/>
            <rFont val="Tahoma"/>
            <family val="2"/>
          </rPr>
          <t xml:space="preserve">
Ers 6KN009</t>
        </r>
      </text>
    </comment>
    <comment ref="A313" authorId="0" shapeId="0">
      <text>
        <r>
          <rPr>
            <b/>
            <sz val="9"/>
            <color indexed="81"/>
            <rFont val="Tahoma"/>
            <family val="2"/>
          </rPr>
          <t>Agnetha Simm:</t>
        </r>
        <r>
          <rPr>
            <sz val="9"/>
            <color indexed="81"/>
            <rFont val="Tahoma"/>
            <family val="2"/>
          </rPr>
          <t xml:space="preserve">
Ers 6KN027</t>
        </r>
      </text>
    </comment>
    <comment ref="A317" authorId="0" shapeId="0">
      <text>
        <r>
          <rPr>
            <b/>
            <sz val="9"/>
            <color indexed="81"/>
            <rFont val="Tahoma"/>
            <family val="2"/>
          </rPr>
          <t>Agnetha Simm:</t>
        </r>
        <r>
          <rPr>
            <sz val="9"/>
            <color indexed="81"/>
            <rFont val="Tahoma"/>
            <family val="2"/>
          </rPr>
          <t xml:space="preserve">
Ers fiktiv 6PKUny2</t>
        </r>
      </text>
    </comment>
    <comment ref="A318" authorId="0" shapeId="0">
      <text>
        <r>
          <rPr>
            <b/>
            <sz val="9"/>
            <color indexed="81"/>
            <rFont val="Tahoma"/>
            <family val="2"/>
          </rPr>
          <t>Agnetha Simm:</t>
        </r>
        <r>
          <rPr>
            <sz val="9"/>
            <color indexed="81"/>
            <rFont val="Tahoma"/>
            <family val="2"/>
          </rPr>
          <t xml:space="preserve">
Ers fiktiv 6KPUny1</t>
        </r>
      </text>
    </comment>
    <comment ref="A319" authorId="0" shapeId="0">
      <text>
        <r>
          <rPr>
            <b/>
            <sz val="9"/>
            <color indexed="81"/>
            <rFont val="Tahoma"/>
            <family val="2"/>
          </rPr>
          <t>Agnetha Simm:</t>
        </r>
        <r>
          <rPr>
            <sz val="9"/>
            <color indexed="81"/>
            <rFont val="Tahoma"/>
            <family val="2"/>
          </rPr>
          <t xml:space="preserve">
Ers fiktiv 6KPUUK3</t>
        </r>
      </text>
    </comment>
    <comment ref="A320" authorId="0" shapeId="0">
      <text>
        <r>
          <rPr>
            <b/>
            <sz val="9"/>
            <color indexed="81"/>
            <rFont val="Tahoma"/>
            <family val="2"/>
          </rPr>
          <t>Agnetha Simm:</t>
        </r>
        <r>
          <rPr>
            <sz val="9"/>
            <color indexed="81"/>
            <rFont val="Tahoma"/>
            <family val="2"/>
          </rPr>
          <t xml:space="preserve">
Ers fiktiv 6KPUVFU1</t>
        </r>
      </text>
    </comment>
    <comment ref="A336" authorId="0" shapeId="0">
      <text>
        <r>
          <rPr>
            <b/>
            <sz val="9"/>
            <color indexed="81"/>
            <rFont val="Tahoma"/>
            <family val="2"/>
          </rPr>
          <t>Agnetha Simm:</t>
        </r>
        <r>
          <rPr>
            <sz val="9"/>
            <color indexed="81"/>
            <rFont val="Tahoma"/>
            <family val="2"/>
          </rPr>
          <t xml:space="preserve">
Fd 6FRISPRÅK1</t>
        </r>
      </text>
    </comment>
    <comment ref="A339" authorId="0" shapeId="0">
      <text>
        <r>
          <rPr>
            <b/>
            <sz val="9"/>
            <color indexed="81"/>
            <rFont val="Tahoma"/>
            <family val="2"/>
          </rPr>
          <t>Agnetha Simm:</t>
        </r>
        <r>
          <rPr>
            <sz val="9"/>
            <color indexed="81"/>
            <rFont val="Tahoma"/>
            <family val="2"/>
          </rPr>
          <t xml:space="preserve">
Fd fiktiv 6FRISPRÅK3</t>
        </r>
      </text>
    </comment>
    <comment ref="A340" authorId="0" shapeId="0">
      <text>
        <r>
          <rPr>
            <b/>
            <sz val="9"/>
            <color indexed="81"/>
            <rFont val="Tahoma"/>
            <family val="2"/>
          </rPr>
          <t>Agnetha Simm:</t>
        </r>
        <r>
          <rPr>
            <sz val="9"/>
            <color indexed="81"/>
            <rFont val="Tahoma"/>
            <family val="2"/>
          </rPr>
          <t xml:space="preserve">
Ersätter 6LI005</t>
        </r>
      </text>
    </comment>
    <comment ref="A346" authorId="0" shapeId="0">
      <text>
        <r>
          <rPr>
            <b/>
            <sz val="9"/>
            <color indexed="81"/>
            <rFont val="Tahoma"/>
            <family val="2"/>
          </rPr>
          <t>Agnetha Simm:</t>
        </r>
        <r>
          <rPr>
            <sz val="9"/>
            <color indexed="81"/>
            <rFont val="Tahoma"/>
            <family val="2"/>
          </rPr>
          <t xml:space="preserve">
Ers 6LU003</t>
        </r>
      </text>
    </comment>
    <comment ref="A365" authorId="0" shapeId="0">
      <text>
        <r>
          <rPr>
            <b/>
            <sz val="9"/>
            <color indexed="81"/>
            <rFont val="Tahoma"/>
            <family val="2"/>
          </rPr>
          <t>Agnetha Simm:</t>
        </r>
        <r>
          <rPr>
            <sz val="9"/>
            <color indexed="81"/>
            <rFont val="Tahoma"/>
            <family val="2"/>
          </rPr>
          <t xml:space="preserve">
fd fiktiv 6xxx12</t>
        </r>
      </text>
    </comment>
    <comment ref="A366" authorId="0" shapeId="0">
      <text>
        <r>
          <rPr>
            <b/>
            <sz val="9"/>
            <color indexed="81"/>
            <rFont val="Tahoma"/>
            <family val="2"/>
          </rPr>
          <t>Agnetha Simm:</t>
        </r>
        <r>
          <rPr>
            <sz val="9"/>
            <color indexed="81"/>
            <rFont val="Tahoma"/>
            <family val="2"/>
          </rPr>
          <t xml:space="preserve">
Ers fiktiv 6SAlyd</t>
        </r>
      </text>
    </comment>
    <comment ref="A367" authorId="0" shapeId="0">
      <text>
        <r>
          <rPr>
            <b/>
            <sz val="9"/>
            <color indexed="81"/>
            <rFont val="Tahoma"/>
            <family val="2"/>
          </rPr>
          <t>Agnetha Simm:</t>
        </r>
        <r>
          <rPr>
            <sz val="9"/>
            <color indexed="81"/>
            <rFont val="Tahoma"/>
            <family val="2"/>
          </rPr>
          <t xml:space="preserve">
Ers fiktiv 6TYlyd</t>
        </r>
      </text>
    </comment>
    <comment ref="A368" authorId="0" shapeId="0">
      <text>
        <r>
          <rPr>
            <b/>
            <sz val="9"/>
            <color indexed="81"/>
            <rFont val="Tahoma"/>
            <family val="2"/>
          </rPr>
          <t>Agnetha Simm:</t>
        </r>
        <r>
          <rPr>
            <sz val="9"/>
            <color indexed="81"/>
            <rFont val="Tahoma"/>
            <family val="2"/>
          </rPr>
          <t xml:space="preserve">
Ers fiktiv 6SVlyd</t>
        </r>
      </text>
    </comment>
    <comment ref="A372" authorId="0" shapeId="0">
      <text>
        <r>
          <rPr>
            <b/>
            <sz val="9"/>
            <color indexed="81"/>
            <rFont val="Tahoma"/>
            <family val="2"/>
          </rPr>
          <t>Agnetha Simm:</t>
        </r>
        <r>
          <rPr>
            <sz val="9"/>
            <color indexed="81"/>
            <rFont val="Tahoma"/>
            <family val="2"/>
          </rPr>
          <t xml:space="preserve">
Ers fiktiv 6FRISPRÅK4</t>
        </r>
      </text>
    </comment>
    <comment ref="A373" authorId="0" shapeId="0">
      <text>
        <r>
          <rPr>
            <b/>
            <sz val="9"/>
            <color indexed="81"/>
            <rFont val="Tahoma"/>
            <family val="2"/>
          </rPr>
          <t>Agnetha Simm:</t>
        </r>
        <r>
          <rPr>
            <sz val="9"/>
            <color indexed="81"/>
            <rFont val="Tahoma"/>
            <family val="2"/>
          </rPr>
          <t xml:space="preserve">
Ers fiktiv 6RISPRÅK5</t>
        </r>
      </text>
    </comment>
    <comment ref="A374" authorId="0" shapeId="0">
      <text>
        <r>
          <rPr>
            <b/>
            <sz val="9"/>
            <color indexed="81"/>
            <rFont val="Tahoma"/>
            <family val="2"/>
          </rPr>
          <t>Agnetha Simm:</t>
        </r>
        <r>
          <rPr>
            <sz val="9"/>
            <color indexed="81"/>
            <rFont val="Tahoma"/>
            <family val="2"/>
          </rPr>
          <t xml:space="preserve">
Ersätter fiktiv 6FRISPRÅK3</t>
        </r>
      </text>
    </comment>
    <comment ref="A392" authorId="0" shapeId="0">
      <text>
        <r>
          <rPr>
            <b/>
            <sz val="9"/>
            <color indexed="81"/>
            <rFont val="Tahoma"/>
            <family val="2"/>
          </rPr>
          <t>Agnetha Simm:</t>
        </r>
        <r>
          <rPr>
            <sz val="9"/>
            <color indexed="81"/>
            <rFont val="Tahoma"/>
            <family val="2"/>
          </rPr>
          <t xml:space="preserve">
Ersätter 6MA021</t>
        </r>
      </text>
    </comment>
    <comment ref="A396" authorId="0" shapeId="0">
      <text>
        <r>
          <rPr>
            <b/>
            <sz val="9"/>
            <color indexed="81"/>
            <rFont val="Tahoma"/>
            <family val="2"/>
          </rPr>
          <t>Agnetha Simm:</t>
        </r>
        <r>
          <rPr>
            <sz val="9"/>
            <color indexed="81"/>
            <rFont val="Tahoma"/>
            <family val="2"/>
          </rPr>
          <t xml:space="preserve">
Fd 6MA019 enl uppg fr Nina Rudälv 150323</t>
        </r>
      </text>
    </comment>
    <comment ref="A411" authorId="0" shapeId="0">
      <text>
        <r>
          <rPr>
            <b/>
            <sz val="9"/>
            <color indexed="81"/>
            <rFont val="Tahoma"/>
            <family val="2"/>
          </rPr>
          <t>Agnetha Simm:</t>
        </r>
        <r>
          <rPr>
            <sz val="9"/>
            <color indexed="81"/>
            <rFont val="Tahoma"/>
            <family val="2"/>
          </rPr>
          <t xml:space="preserve">
Ers 6MA037</t>
        </r>
      </text>
    </comment>
    <comment ref="A441" authorId="0" shapeId="0">
      <text>
        <r>
          <rPr>
            <b/>
            <sz val="9"/>
            <color indexed="81"/>
            <rFont val="Tahoma"/>
            <family val="2"/>
          </rPr>
          <t>Agnetha Simm:</t>
        </r>
        <r>
          <rPr>
            <sz val="9"/>
            <color indexed="81"/>
            <rFont val="Tahoma"/>
            <family val="2"/>
          </rPr>
          <t xml:space="preserve">
Ers 6MA031 fr o m vt-19</t>
        </r>
      </text>
    </comment>
    <comment ref="A442" authorId="0" shapeId="0">
      <text>
        <r>
          <rPr>
            <b/>
            <sz val="9"/>
            <color indexed="81"/>
            <rFont val="Tahoma"/>
            <family val="2"/>
          </rPr>
          <t>Agnetha Simm:</t>
        </r>
        <r>
          <rPr>
            <sz val="9"/>
            <color indexed="81"/>
            <rFont val="Tahoma"/>
            <family val="2"/>
          </rPr>
          <t xml:space="preserve">
Ersätter 6MA020</t>
        </r>
      </text>
    </comment>
    <comment ref="A444" authorId="0" shapeId="0">
      <text>
        <r>
          <rPr>
            <b/>
            <sz val="9"/>
            <color indexed="81"/>
            <rFont val="Tahoma"/>
            <family val="2"/>
          </rPr>
          <t>Agnetha Simm:</t>
        </r>
        <r>
          <rPr>
            <sz val="9"/>
            <color indexed="81"/>
            <rFont val="Tahoma"/>
            <family val="2"/>
          </rPr>
          <t xml:space="preserve">
Ersätter 6MS001</t>
        </r>
      </text>
    </comment>
    <comment ref="A462" authorId="0" shapeId="0">
      <text>
        <r>
          <rPr>
            <b/>
            <sz val="9"/>
            <color indexed="81"/>
            <rFont val="Tahoma"/>
            <family val="2"/>
          </rPr>
          <t>Agnetha Simm:</t>
        </r>
        <r>
          <rPr>
            <sz val="9"/>
            <color indexed="81"/>
            <rFont val="Tahoma"/>
            <family val="2"/>
          </rPr>
          <t xml:space="preserve">
Fd fiktiv 6FRIEST4</t>
        </r>
      </text>
    </comment>
    <comment ref="A467" authorId="0" shapeId="0">
      <text>
        <r>
          <rPr>
            <b/>
            <sz val="9"/>
            <color indexed="81"/>
            <rFont val="Tahoma"/>
            <family val="2"/>
          </rPr>
          <t>Agnetha Simm:</t>
        </r>
        <r>
          <rPr>
            <sz val="9"/>
            <color indexed="81"/>
            <rFont val="Tahoma"/>
            <family val="2"/>
          </rPr>
          <t xml:space="preserve">
Ers 6MU022</t>
        </r>
      </text>
    </comment>
    <comment ref="A468" authorId="0" shapeId="0">
      <text>
        <r>
          <rPr>
            <b/>
            <sz val="9"/>
            <color indexed="81"/>
            <rFont val="Tahoma"/>
            <family val="2"/>
          </rPr>
          <t>Agnetha Simm:</t>
        </r>
        <r>
          <rPr>
            <sz val="9"/>
            <color indexed="81"/>
            <rFont val="Tahoma"/>
            <family val="2"/>
          </rPr>
          <t xml:space="preserve">
Ers 6MU022</t>
        </r>
      </text>
    </comment>
    <comment ref="A470" authorId="0" shapeId="0">
      <text>
        <r>
          <rPr>
            <b/>
            <sz val="9"/>
            <color indexed="81"/>
            <rFont val="Tahoma"/>
            <family val="2"/>
          </rPr>
          <t>Agnetha Simm:</t>
        </r>
        <r>
          <rPr>
            <sz val="9"/>
            <color indexed="81"/>
            <rFont val="Tahoma"/>
            <family val="2"/>
          </rPr>
          <t xml:space="preserve">
Ers 6MU050</t>
        </r>
      </text>
    </comment>
    <comment ref="A473" authorId="1" shapeId="0">
      <text>
        <r>
          <rPr>
            <b/>
            <sz val="9"/>
            <color indexed="81"/>
            <rFont val="Tahoma"/>
            <family val="2"/>
          </rPr>
          <t>Eva Alenius:</t>
        </r>
        <r>
          <rPr>
            <sz val="9"/>
            <color indexed="81"/>
            <rFont val="Tahoma"/>
            <family val="2"/>
          </rPr>
          <t xml:space="preserve">
Ers fiktiv 6NAlyd</t>
        </r>
      </text>
    </comment>
    <comment ref="A489" authorId="0" shapeId="0">
      <text>
        <r>
          <rPr>
            <b/>
            <sz val="9"/>
            <color indexed="81"/>
            <rFont val="Tahoma"/>
            <family val="2"/>
          </rPr>
          <t>Agnetha Simm:</t>
        </r>
        <r>
          <rPr>
            <sz val="9"/>
            <color indexed="81"/>
            <rFont val="Tahoma"/>
            <family val="2"/>
          </rPr>
          <t xml:space="preserve">
Fd fiktiv 6xxxx7</t>
        </r>
      </text>
    </comment>
    <comment ref="A532" authorId="0" shapeId="0">
      <text>
        <r>
          <rPr>
            <b/>
            <sz val="9"/>
            <color indexed="81"/>
            <rFont val="Tahoma"/>
            <family val="2"/>
          </rPr>
          <t>Agnetha Simm:</t>
        </r>
        <r>
          <rPr>
            <sz val="9"/>
            <color indexed="81"/>
            <rFont val="Tahoma"/>
            <family val="2"/>
          </rPr>
          <t xml:space="preserve">
Se 6PE259</t>
        </r>
      </text>
    </comment>
    <comment ref="A545" authorId="0" shapeId="0">
      <text>
        <r>
          <rPr>
            <b/>
            <sz val="9"/>
            <color indexed="81"/>
            <rFont val="Tahoma"/>
            <family val="2"/>
          </rPr>
          <t>Agnetha Simm:</t>
        </r>
        <r>
          <rPr>
            <sz val="9"/>
            <color indexed="81"/>
            <rFont val="Tahoma"/>
            <family val="2"/>
          </rPr>
          <t xml:space="preserve">
Se ny kurs 6PE258</t>
        </r>
      </text>
    </comment>
    <comment ref="A580" authorId="0" shapeId="0">
      <text>
        <r>
          <rPr>
            <b/>
            <sz val="9"/>
            <color indexed="81"/>
            <rFont val="Tahoma"/>
            <family val="2"/>
          </rPr>
          <t>Agnetha Simm:</t>
        </r>
        <r>
          <rPr>
            <sz val="9"/>
            <color indexed="81"/>
            <rFont val="Tahoma"/>
            <family val="2"/>
          </rPr>
          <t xml:space="preserve">
Fd 6NYFRIST12</t>
        </r>
      </text>
    </comment>
    <comment ref="A581" authorId="0" shapeId="0">
      <text>
        <r>
          <rPr>
            <b/>
            <sz val="9"/>
            <color indexed="81"/>
            <rFont val="Tahoma"/>
            <family val="2"/>
          </rPr>
          <t>Agnetha Simm:</t>
        </r>
        <r>
          <rPr>
            <sz val="9"/>
            <color indexed="81"/>
            <rFont val="Tahoma"/>
            <family val="2"/>
          </rPr>
          <t xml:space="preserve">
Fd fiktiv 6UKI1a</t>
        </r>
      </text>
    </comment>
    <comment ref="A582" authorId="0" shapeId="0">
      <text>
        <r>
          <rPr>
            <b/>
            <sz val="9"/>
            <color indexed="81"/>
            <rFont val="Tahoma"/>
            <family val="2"/>
          </rPr>
          <t>Agnetha Simm:</t>
        </r>
        <r>
          <rPr>
            <sz val="9"/>
            <color indexed="81"/>
            <rFont val="Tahoma"/>
            <family val="2"/>
          </rPr>
          <t xml:space="preserve">
Fd fiktiv 6VFU3a</t>
        </r>
      </text>
    </comment>
    <comment ref="A599" authorId="0" shapeId="0">
      <text>
        <r>
          <rPr>
            <b/>
            <sz val="9"/>
            <color indexed="81"/>
            <rFont val="Tahoma"/>
            <family val="2"/>
          </rPr>
          <t>Agnetha Simm:</t>
        </r>
        <r>
          <rPr>
            <sz val="9"/>
            <color indexed="81"/>
            <rFont val="Tahoma"/>
            <family val="2"/>
          </rPr>
          <t xml:space="preserve">
Ers 6PE093 fr o m ht-16 (kull h15)</t>
        </r>
      </text>
    </comment>
    <comment ref="A601" authorId="0" shapeId="0">
      <text>
        <r>
          <rPr>
            <b/>
            <sz val="9"/>
            <color indexed="81"/>
            <rFont val="Tahoma"/>
            <family val="2"/>
          </rPr>
          <t>Agnetha Simm:</t>
        </r>
        <r>
          <rPr>
            <sz val="9"/>
            <color indexed="81"/>
            <rFont val="Tahoma"/>
            <family val="2"/>
          </rPr>
          <t xml:space="preserve">
Ersätter 6PE174</t>
        </r>
      </text>
    </comment>
    <comment ref="A603" authorId="0" shapeId="0">
      <text>
        <r>
          <rPr>
            <b/>
            <sz val="9"/>
            <color indexed="81"/>
            <rFont val="Tahoma"/>
            <family val="2"/>
          </rPr>
          <t>Agnetha Simm:</t>
        </r>
        <r>
          <rPr>
            <sz val="9"/>
            <color indexed="81"/>
            <rFont val="Tahoma"/>
            <family val="2"/>
          </rPr>
          <t xml:space="preserve">
Ersätter 6PE173</t>
        </r>
      </text>
    </comment>
    <comment ref="A605" authorId="0" shapeId="0">
      <text>
        <r>
          <rPr>
            <b/>
            <sz val="9"/>
            <color indexed="81"/>
            <rFont val="Tahoma"/>
            <family val="2"/>
          </rPr>
          <t>Agnetha Simm:</t>
        </r>
        <r>
          <rPr>
            <sz val="9"/>
            <color indexed="81"/>
            <rFont val="Tahoma"/>
            <family val="2"/>
          </rPr>
          <t xml:space="preserve">
Ersätter 6LÄ050</t>
        </r>
      </text>
    </comment>
    <comment ref="A606" authorId="0" shapeId="0">
      <text>
        <r>
          <rPr>
            <b/>
            <sz val="9"/>
            <color indexed="81"/>
            <rFont val="Tahoma"/>
            <family val="2"/>
          </rPr>
          <t>Agnetha Simm:</t>
        </r>
        <r>
          <rPr>
            <sz val="9"/>
            <color indexed="81"/>
            <rFont val="Tahoma"/>
            <family val="2"/>
          </rPr>
          <t xml:space="preserve">
Ersätter 6LÄ051</t>
        </r>
      </text>
    </comment>
    <comment ref="A614" authorId="0" shapeId="0">
      <text>
        <r>
          <rPr>
            <b/>
            <sz val="9"/>
            <color indexed="81"/>
            <rFont val="Tahoma"/>
            <family val="2"/>
          </rPr>
          <t>Agnetha Simm:</t>
        </r>
        <r>
          <rPr>
            <sz val="9"/>
            <color indexed="81"/>
            <rFont val="Tahoma"/>
            <family val="2"/>
          </rPr>
          <t xml:space="preserve">
Fd fiktiv 6xxx23</t>
        </r>
      </text>
    </comment>
    <comment ref="A630" authorId="0" shapeId="0">
      <text>
        <r>
          <rPr>
            <b/>
            <sz val="9"/>
            <color indexed="81"/>
            <rFont val="Tahoma"/>
            <family val="2"/>
          </rPr>
          <t>Agnetha Simm:</t>
        </r>
        <r>
          <rPr>
            <sz val="9"/>
            <color indexed="81"/>
            <rFont val="Tahoma"/>
            <family val="2"/>
          </rPr>
          <t xml:space="preserve">
Fd 6FRITUV5</t>
        </r>
      </text>
    </comment>
    <comment ref="B630" authorId="0" shapeId="0">
      <text>
        <r>
          <rPr>
            <b/>
            <sz val="9"/>
            <color indexed="81"/>
            <rFont val="Tahoma"/>
            <family val="2"/>
          </rPr>
          <t>Agnetha Simm:</t>
        </r>
        <r>
          <rPr>
            <sz val="9"/>
            <color indexed="81"/>
            <rFont val="Tahoma"/>
            <family val="2"/>
          </rPr>
          <t xml:space="preserve">
Benämning förändrad efter första inskick till LH</t>
        </r>
      </text>
    </comment>
    <comment ref="A631" authorId="0" shapeId="0">
      <text>
        <r>
          <rPr>
            <b/>
            <sz val="9"/>
            <color indexed="81"/>
            <rFont val="Tahoma"/>
            <family val="2"/>
          </rPr>
          <t>Agnetha Simm:</t>
        </r>
        <r>
          <rPr>
            <sz val="9"/>
            <color indexed="81"/>
            <rFont val="Tahoma"/>
            <family val="2"/>
          </rPr>
          <t xml:space="preserve">
Fd fiktiv 6FRINMD1</t>
        </r>
      </text>
    </comment>
    <comment ref="A632" authorId="0" shapeId="0">
      <text>
        <r>
          <rPr>
            <b/>
            <sz val="9"/>
            <color indexed="81"/>
            <rFont val="Tahoma"/>
            <family val="2"/>
          </rPr>
          <t>Agnetha Simm:</t>
        </r>
        <r>
          <rPr>
            <sz val="9"/>
            <color indexed="81"/>
            <rFont val="Tahoma"/>
            <family val="2"/>
          </rPr>
          <t xml:space="preserve">
Ers 6PE139</t>
        </r>
      </text>
    </comment>
    <comment ref="A633" authorId="0" shapeId="0">
      <text>
        <r>
          <rPr>
            <b/>
            <sz val="9"/>
            <color indexed="81"/>
            <rFont val="Tahoma"/>
            <family val="2"/>
          </rPr>
          <t>Agnetha Simm:</t>
        </r>
        <r>
          <rPr>
            <sz val="9"/>
            <color indexed="81"/>
            <rFont val="Tahoma"/>
            <family val="2"/>
          </rPr>
          <t xml:space="preserve">
Ers 6PE140</t>
        </r>
      </text>
    </comment>
    <comment ref="A634" authorId="0" shapeId="0">
      <text>
        <r>
          <rPr>
            <b/>
            <sz val="9"/>
            <color indexed="81"/>
            <rFont val="Tahoma"/>
            <family val="2"/>
          </rPr>
          <t>Agnetha Simm:</t>
        </r>
        <r>
          <rPr>
            <sz val="9"/>
            <color indexed="81"/>
            <rFont val="Tahoma"/>
            <family val="2"/>
          </rPr>
          <t xml:space="preserve">
Fd fiktiv 6FRITUV9</t>
        </r>
      </text>
    </comment>
    <comment ref="A635" authorId="0" shapeId="0">
      <text>
        <r>
          <rPr>
            <b/>
            <sz val="9"/>
            <color indexed="81"/>
            <rFont val="Tahoma"/>
            <family val="2"/>
          </rPr>
          <t>Agnetha Simm:</t>
        </r>
        <r>
          <rPr>
            <sz val="9"/>
            <color indexed="81"/>
            <rFont val="Tahoma"/>
            <family val="2"/>
          </rPr>
          <t xml:space="preserve">
Fd fiktiv 6FRITUV8</t>
        </r>
      </text>
    </comment>
    <comment ref="A636" authorId="0" shapeId="0">
      <text>
        <r>
          <rPr>
            <b/>
            <sz val="9"/>
            <color indexed="81"/>
            <rFont val="Tahoma"/>
            <family val="2"/>
          </rPr>
          <t>Agnetha Simm:</t>
        </r>
        <r>
          <rPr>
            <sz val="9"/>
            <color indexed="81"/>
            <rFont val="Tahoma"/>
            <family val="2"/>
          </rPr>
          <t xml:space="preserve">
Ers fd 6PE232</t>
        </r>
      </text>
    </comment>
    <comment ref="A637" authorId="0" shapeId="0">
      <text>
        <r>
          <rPr>
            <b/>
            <sz val="9"/>
            <color indexed="81"/>
            <rFont val="Tahoma"/>
            <family val="2"/>
          </rPr>
          <t>Agnetha Simm:</t>
        </r>
        <r>
          <rPr>
            <sz val="9"/>
            <color indexed="81"/>
            <rFont val="Tahoma"/>
            <family val="2"/>
          </rPr>
          <t xml:space="preserve">
Ers fd 6PE233</t>
        </r>
      </text>
    </comment>
    <comment ref="B639" authorId="0" shapeId="0">
      <text>
        <r>
          <rPr>
            <b/>
            <sz val="9"/>
            <color indexed="81"/>
            <rFont val="Tahoma"/>
            <family val="2"/>
          </rPr>
          <t>Agnetha Simm:</t>
        </r>
        <r>
          <rPr>
            <sz val="9"/>
            <color indexed="81"/>
            <rFont val="Tahoma"/>
            <family val="2"/>
          </rPr>
          <t xml:space="preserve">
IDRH</t>
        </r>
      </text>
    </comment>
    <comment ref="A641" authorId="0" shapeId="0">
      <text>
        <r>
          <rPr>
            <b/>
            <sz val="9"/>
            <color indexed="81"/>
            <rFont val="Tahoma"/>
            <family val="2"/>
          </rPr>
          <t>Agnetha Simm:</t>
        </r>
        <r>
          <rPr>
            <sz val="9"/>
            <color indexed="81"/>
            <rFont val="Tahoma"/>
            <family val="2"/>
          </rPr>
          <t xml:space="preserve">
Ers 6PE100</t>
        </r>
      </text>
    </comment>
    <comment ref="A643" authorId="0" shapeId="0">
      <text>
        <r>
          <rPr>
            <b/>
            <sz val="9"/>
            <color indexed="81"/>
            <rFont val="Tahoma"/>
            <family val="2"/>
          </rPr>
          <t>Agnetha Simm:</t>
        </r>
        <r>
          <rPr>
            <sz val="9"/>
            <color indexed="81"/>
            <rFont val="Tahoma"/>
            <family val="2"/>
          </rPr>
          <t xml:space="preserve">
Fd 6PE102</t>
        </r>
      </text>
    </comment>
    <comment ref="A644" authorId="0" shapeId="0">
      <text>
        <r>
          <rPr>
            <b/>
            <sz val="9"/>
            <color indexed="81"/>
            <rFont val="Tahoma"/>
            <family val="2"/>
          </rPr>
          <t>Agnetha Simm:</t>
        </r>
        <r>
          <rPr>
            <sz val="9"/>
            <color indexed="81"/>
            <rFont val="Tahoma"/>
            <family val="2"/>
          </rPr>
          <t xml:space="preserve">
Fd 6PE105</t>
        </r>
      </text>
    </comment>
    <comment ref="A649" authorId="0" shapeId="0">
      <text>
        <r>
          <rPr>
            <b/>
            <sz val="9"/>
            <color indexed="81"/>
            <rFont val="Tahoma"/>
            <family val="2"/>
          </rPr>
          <t>Agnetha Simm:</t>
        </r>
        <r>
          <rPr>
            <sz val="9"/>
            <color indexed="81"/>
            <rFont val="Tahoma"/>
            <family val="2"/>
          </rPr>
          <t xml:space="preserve">
Ers 6PE117 fr o m vt-18</t>
        </r>
      </text>
    </comment>
    <comment ref="A650" authorId="0" shapeId="0">
      <text>
        <r>
          <rPr>
            <b/>
            <sz val="9"/>
            <color indexed="81"/>
            <rFont val="Tahoma"/>
            <family val="2"/>
          </rPr>
          <t>Agnetha Simm:</t>
        </r>
        <r>
          <rPr>
            <sz val="9"/>
            <color indexed="81"/>
            <rFont val="Tahoma"/>
            <family val="2"/>
          </rPr>
          <t xml:space="preserve">
Fd fiktiv 6xxxx8</t>
        </r>
      </text>
    </comment>
    <comment ref="A653" authorId="0" shapeId="0">
      <text>
        <r>
          <rPr>
            <b/>
            <sz val="9"/>
            <color indexed="81"/>
            <rFont val="Tahoma"/>
            <family val="2"/>
          </rPr>
          <t>Agnetha Simm:</t>
        </r>
        <r>
          <rPr>
            <sz val="9"/>
            <color indexed="81"/>
            <rFont val="Tahoma"/>
            <family val="2"/>
          </rPr>
          <t xml:space="preserve">
Fd fiktiv 6FRITUV1</t>
        </r>
      </text>
    </comment>
    <comment ref="B653" authorId="0" shapeId="0">
      <text>
        <r>
          <rPr>
            <b/>
            <sz val="9"/>
            <color indexed="81"/>
            <rFont val="Tahoma"/>
            <family val="2"/>
          </rPr>
          <t>Agnetha Simm:</t>
        </r>
        <r>
          <rPr>
            <sz val="9"/>
            <color indexed="81"/>
            <rFont val="Tahoma"/>
            <family val="2"/>
          </rPr>
          <t xml:space="preserve">
Benämningen förändrad efter äskandet till LH</t>
        </r>
      </text>
    </comment>
    <comment ref="A654" authorId="0" shapeId="0">
      <text>
        <r>
          <rPr>
            <b/>
            <sz val="9"/>
            <color indexed="81"/>
            <rFont val="Tahoma"/>
            <family val="2"/>
          </rPr>
          <t>Agnetha Simm:</t>
        </r>
        <r>
          <rPr>
            <sz val="9"/>
            <color indexed="81"/>
            <rFont val="Tahoma"/>
            <family val="2"/>
          </rPr>
          <t xml:space="preserve">
Ers 6PE189</t>
        </r>
      </text>
    </comment>
    <comment ref="A655" authorId="0" shapeId="0">
      <text>
        <r>
          <rPr>
            <b/>
            <sz val="9"/>
            <color indexed="81"/>
            <rFont val="Tahoma"/>
            <family val="2"/>
          </rPr>
          <t>Agnetha Simm:</t>
        </r>
        <r>
          <rPr>
            <sz val="9"/>
            <color indexed="81"/>
            <rFont val="Tahoma"/>
            <family val="2"/>
          </rPr>
          <t xml:space="preserve">
Ersätter 6PE158</t>
        </r>
      </text>
    </comment>
    <comment ref="A656" authorId="0" shapeId="0">
      <text>
        <r>
          <rPr>
            <b/>
            <sz val="9"/>
            <color indexed="81"/>
            <rFont val="Tahoma"/>
            <family val="2"/>
          </rPr>
          <t>Agnetha Simm:</t>
        </r>
        <r>
          <rPr>
            <sz val="9"/>
            <color indexed="81"/>
            <rFont val="Tahoma"/>
            <family val="2"/>
          </rPr>
          <t xml:space="preserve">
Ersätter 6PE159</t>
        </r>
      </text>
    </comment>
    <comment ref="A658" authorId="0" shapeId="0">
      <text>
        <r>
          <rPr>
            <b/>
            <sz val="9"/>
            <color indexed="81"/>
            <rFont val="Tahoma"/>
            <family val="2"/>
          </rPr>
          <t>Agnetha Simm:</t>
        </r>
        <r>
          <rPr>
            <sz val="9"/>
            <color indexed="81"/>
            <rFont val="Tahoma"/>
            <family val="2"/>
          </rPr>
          <t xml:space="preserve">
Ers 6PE196</t>
        </r>
      </text>
    </comment>
    <comment ref="A660" authorId="0" shapeId="0">
      <text>
        <r>
          <rPr>
            <b/>
            <sz val="9"/>
            <color indexed="81"/>
            <rFont val="Tahoma"/>
            <family val="2"/>
          </rPr>
          <t>Agnetha Simm:</t>
        </r>
        <r>
          <rPr>
            <sz val="9"/>
            <color indexed="81"/>
            <rFont val="Tahoma"/>
            <family val="2"/>
          </rPr>
          <t xml:space="preserve">
Ers 6NK000</t>
        </r>
      </text>
    </comment>
    <comment ref="A662" authorId="0" shapeId="0">
      <text>
        <r>
          <rPr>
            <b/>
            <sz val="9"/>
            <color indexed="81"/>
            <rFont val="Tahoma"/>
            <family val="2"/>
          </rPr>
          <t>Agnetha Simm:</t>
        </r>
        <r>
          <rPr>
            <sz val="9"/>
            <color indexed="81"/>
            <rFont val="Tahoma"/>
            <family val="2"/>
          </rPr>
          <t xml:space="preserve">
Ers 6SH303</t>
        </r>
      </text>
    </comment>
    <comment ref="A663" authorId="0" shapeId="0">
      <text>
        <r>
          <rPr>
            <b/>
            <sz val="9"/>
            <color indexed="81"/>
            <rFont val="Tahoma"/>
            <family val="2"/>
          </rPr>
          <t>Agnetha Simm:</t>
        </r>
        <r>
          <rPr>
            <sz val="9"/>
            <color indexed="81"/>
            <rFont val="Tahoma"/>
            <family val="2"/>
          </rPr>
          <t xml:space="preserve">
Ers 2PE273</t>
        </r>
      </text>
    </comment>
    <comment ref="A664" authorId="0" shapeId="0">
      <text>
        <r>
          <rPr>
            <b/>
            <sz val="9"/>
            <color indexed="81"/>
            <rFont val="Tahoma"/>
            <family val="2"/>
          </rPr>
          <t>Agnetha Simm:</t>
        </r>
        <r>
          <rPr>
            <sz val="9"/>
            <color indexed="81"/>
            <rFont val="Tahoma"/>
            <family val="2"/>
          </rPr>
          <t xml:space="preserve">
Fd fiktiv 6FRIPED2</t>
        </r>
      </text>
    </comment>
    <comment ref="A665" authorId="0" shapeId="0">
      <text>
        <r>
          <rPr>
            <b/>
            <sz val="9"/>
            <color indexed="81"/>
            <rFont val="Tahoma"/>
            <family val="2"/>
          </rPr>
          <t>Agnetha Simm:</t>
        </r>
        <r>
          <rPr>
            <sz val="9"/>
            <color indexed="81"/>
            <rFont val="Tahoma"/>
            <family val="2"/>
          </rPr>
          <t xml:space="preserve">
Ers fd 6PE231</t>
        </r>
      </text>
    </comment>
    <comment ref="A666" authorId="0" shapeId="0">
      <text>
        <r>
          <rPr>
            <b/>
            <sz val="9"/>
            <color indexed="81"/>
            <rFont val="Tahoma"/>
            <family val="2"/>
          </rPr>
          <t>Agnetha Simm:</t>
        </r>
        <r>
          <rPr>
            <sz val="9"/>
            <color indexed="81"/>
            <rFont val="Tahoma"/>
            <family val="2"/>
          </rPr>
          <t xml:space="preserve">
Ers fd 6PE230</t>
        </r>
      </text>
    </comment>
    <comment ref="A667" authorId="0" shapeId="0">
      <text>
        <r>
          <rPr>
            <b/>
            <sz val="9"/>
            <color indexed="81"/>
            <rFont val="Tahoma"/>
            <family val="2"/>
          </rPr>
          <t>Agnetha Simm:</t>
        </r>
        <r>
          <rPr>
            <sz val="9"/>
            <color indexed="81"/>
            <rFont val="Tahoma"/>
            <family val="2"/>
          </rPr>
          <t xml:space="preserve">
Ers fiktiv 6SPxx2b</t>
        </r>
      </text>
    </comment>
    <comment ref="A668" authorId="0" shapeId="0">
      <text>
        <r>
          <rPr>
            <b/>
            <sz val="9"/>
            <color indexed="81"/>
            <rFont val="Tahoma"/>
            <family val="2"/>
          </rPr>
          <t>Agnetha Simm:</t>
        </r>
        <r>
          <rPr>
            <sz val="9"/>
            <color indexed="81"/>
            <rFont val="Tahoma"/>
            <family val="2"/>
          </rPr>
          <t xml:space="preserve">
Fd fiktiv 6FRITUV2</t>
        </r>
      </text>
    </comment>
    <comment ref="A671" authorId="0" shapeId="0">
      <text>
        <r>
          <rPr>
            <b/>
            <sz val="9"/>
            <color indexed="81"/>
            <rFont val="Tahoma"/>
            <family val="2"/>
          </rPr>
          <t>Agnetha Simm:</t>
        </r>
        <r>
          <rPr>
            <sz val="9"/>
            <color indexed="81"/>
            <rFont val="Tahoma"/>
            <family val="2"/>
          </rPr>
          <t xml:space="preserve">
Ers 6PE135</t>
        </r>
      </text>
    </comment>
    <comment ref="A672" authorId="0" shapeId="0">
      <text>
        <r>
          <rPr>
            <b/>
            <sz val="9"/>
            <color indexed="81"/>
            <rFont val="Tahoma"/>
            <family val="2"/>
          </rPr>
          <t>Agnetha Simm:</t>
        </r>
        <r>
          <rPr>
            <sz val="9"/>
            <color indexed="81"/>
            <rFont val="Tahoma"/>
            <family val="2"/>
          </rPr>
          <t xml:space="preserve">
Ers 6PE136</t>
        </r>
      </text>
    </comment>
    <comment ref="A673" authorId="0" shapeId="0">
      <text>
        <r>
          <rPr>
            <b/>
            <sz val="9"/>
            <color indexed="81"/>
            <rFont val="Tahoma"/>
            <family val="2"/>
          </rPr>
          <t>Agnetha Simm:</t>
        </r>
        <r>
          <rPr>
            <sz val="9"/>
            <color indexed="81"/>
            <rFont val="Tahoma"/>
            <family val="2"/>
          </rPr>
          <t xml:space="preserve">
Ersätter 6PE129</t>
        </r>
      </text>
    </comment>
    <comment ref="A674" authorId="0" shapeId="0">
      <text>
        <r>
          <rPr>
            <b/>
            <sz val="9"/>
            <color indexed="81"/>
            <rFont val="Tahoma"/>
            <family val="2"/>
          </rPr>
          <t>Agnetha Simm:</t>
        </r>
        <r>
          <rPr>
            <sz val="9"/>
            <color indexed="81"/>
            <rFont val="Tahoma"/>
            <family val="2"/>
          </rPr>
          <t xml:space="preserve">
Ers 6PE302</t>
        </r>
      </text>
    </comment>
    <comment ref="A676" authorId="0" shapeId="0">
      <text>
        <r>
          <rPr>
            <b/>
            <sz val="9"/>
            <color indexed="81"/>
            <rFont val="Tahoma"/>
            <family val="2"/>
          </rPr>
          <t>Agnetha Simm:</t>
        </r>
        <r>
          <rPr>
            <sz val="9"/>
            <color indexed="81"/>
            <rFont val="Tahoma"/>
            <family val="2"/>
          </rPr>
          <t xml:space="preserve">
Ers 6PE254</t>
        </r>
      </text>
    </comment>
    <comment ref="A677" authorId="0" shapeId="0">
      <text>
        <r>
          <rPr>
            <b/>
            <sz val="9"/>
            <color indexed="81"/>
            <rFont val="Tahoma"/>
            <family val="2"/>
          </rPr>
          <t>Agnetha Simm:</t>
        </r>
        <r>
          <rPr>
            <sz val="9"/>
            <color indexed="81"/>
            <rFont val="Tahoma"/>
            <family val="2"/>
          </rPr>
          <t xml:space="preserve">
Ers 6PE261</t>
        </r>
      </text>
    </comment>
    <comment ref="A678" authorId="0" shapeId="0">
      <text>
        <r>
          <rPr>
            <b/>
            <sz val="9"/>
            <color indexed="81"/>
            <rFont val="Tahoma"/>
            <family val="2"/>
          </rPr>
          <t>Agnetha Simm:</t>
        </r>
        <r>
          <rPr>
            <sz val="9"/>
            <color indexed="81"/>
            <rFont val="Tahoma"/>
            <family val="2"/>
          </rPr>
          <t xml:space="preserve">
Ers 6PE255</t>
        </r>
      </text>
    </comment>
    <comment ref="A679" authorId="0" shapeId="0">
      <text>
        <r>
          <rPr>
            <b/>
            <sz val="9"/>
            <color indexed="81"/>
            <rFont val="Tahoma"/>
            <family val="2"/>
          </rPr>
          <t>Agnetha Simm:</t>
        </r>
        <r>
          <rPr>
            <sz val="9"/>
            <color indexed="81"/>
            <rFont val="Tahoma"/>
            <family val="2"/>
          </rPr>
          <t xml:space="preserve">
Ers 6PE224 fr o m vt-21, ändring av kursansvar</t>
        </r>
      </text>
    </comment>
    <comment ref="A680" authorId="0" shapeId="0">
      <text>
        <r>
          <rPr>
            <b/>
            <sz val="9"/>
            <color indexed="81"/>
            <rFont val="Tahoma"/>
            <family val="2"/>
          </rPr>
          <t>Agnetha Simm:</t>
        </r>
        <r>
          <rPr>
            <sz val="9"/>
            <color indexed="81"/>
            <rFont val="Tahoma"/>
            <family val="2"/>
          </rPr>
          <t xml:space="preserve">
Ers fiktiv 6FRIPED2</t>
        </r>
      </text>
    </comment>
    <comment ref="A683" authorId="0" shapeId="0">
      <text>
        <r>
          <rPr>
            <b/>
            <sz val="9"/>
            <color indexed="81"/>
            <rFont val="Tahoma"/>
            <family val="2"/>
          </rPr>
          <t>Agnetha Simm:</t>
        </r>
        <r>
          <rPr>
            <sz val="9"/>
            <color indexed="81"/>
            <rFont val="Tahoma"/>
            <family val="2"/>
          </rPr>
          <t xml:space="preserve">
Ers 6PE251 fr ht-21</t>
        </r>
      </text>
    </comment>
    <comment ref="A684" authorId="0" shapeId="0">
      <text>
        <r>
          <rPr>
            <b/>
            <sz val="9"/>
            <color indexed="81"/>
            <rFont val="Tahoma"/>
            <family val="2"/>
          </rPr>
          <t>Agnetha Simm:</t>
        </r>
        <r>
          <rPr>
            <sz val="9"/>
            <color indexed="81"/>
            <rFont val="Tahoma"/>
            <family val="2"/>
          </rPr>
          <t xml:space="preserve">
Ers 6PE253 fr ht-21</t>
        </r>
      </text>
    </comment>
    <comment ref="A702" authorId="0" shapeId="0">
      <text>
        <r>
          <rPr>
            <b/>
            <sz val="9"/>
            <color indexed="81"/>
            <rFont val="Tahoma"/>
            <family val="2"/>
          </rPr>
          <t>Agnetha Simm:</t>
        </r>
        <r>
          <rPr>
            <sz val="9"/>
            <color indexed="81"/>
            <rFont val="Tahoma"/>
            <family val="2"/>
          </rPr>
          <t xml:space="preserve">
Fd fiktiv 6FRIIDE2</t>
        </r>
      </text>
    </comment>
    <comment ref="A703" authorId="0" shapeId="0">
      <text>
        <r>
          <rPr>
            <b/>
            <sz val="9"/>
            <color indexed="81"/>
            <rFont val="Tahoma"/>
            <family val="2"/>
          </rPr>
          <t>Agnetha Simm:</t>
        </r>
        <r>
          <rPr>
            <sz val="9"/>
            <color indexed="81"/>
            <rFont val="Tahoma"/>
            <family val="2"/>
          </rPr>
          <t xml:space="preserve">
Fd fiktiv 6FRIIDE3</t>
        </r>
      </text>
    </comment>
    <comment ref="A704" authorId="0" shapeId="0">
      <text>
        <r>
          <rPr>
            <b/>
            <sz val="9"/>
            <color indexed="81"/>
            <rFont val="Tahoma"/>
            <family val="2"/>
          </rPr>
          <t>Agnetha Simm:</t>
        </r>
        <r>
          <rPr>
            <sz val="9"/>
            <color indexed="81"/>
            <rFont val="Tahoma"/>
            <family val="2"/>
          </rPr>
          <t xml:space="preserve">
Fd fiktiv 6FRIIDE4</t>
        </r>
      </text>
    </comment>
    <comment ref="A705" authorId="0" shapeId="0">
      <text>
        <r>
          <rPr>
            <b/>
            <sz val="9"/>
            <color indexed="81"/>
            <rFont val="Tahoma"/>
            <family val="2"/>
          </rPr>
          <t>Agnetha Simm:</t>
        </r>
        <r>
          <rPr>
            <sz val="9"/>
            <color indexed="81"/>
            <rFont val="Tahoma"/>
            <family val="2"/>
          </rPr>
          <t xml:space="preserve">
Fd fiktiv 6FRIIDE5</t>
        </r>
      </text>
    </comment>
    <comment ref="A706" authorId="0" shapeId="0">
      <text>
        <r>
          <rPr>
            <b/>
            <sz val="9"/>
            <color indexed="81"/>
            <rFont val="Tahoma"/>
            <family val="2"/>
          </rPr>
          <t>Agnetha Simm:</t>
        </r>
        <r>
          <rPr>
            <sz val="9"/>
            <color indexed="81"/>
            <rFont val="Tahoma"/>
            <family val="2"/>
          </rPr>
          <t xml:space="preserve">
Fd fiktiv 6FRIIDE1</t>
        </r>
      </text>
    </comment>
    <comment ref="A709" authorId="0" shapeId="0">
      <text>
        <r>
          <rPr>
            <b/>
            <sz val="9"/>
            <color indexed="81"/>
            <rFont val="Tahoma"/>
            <family val="2"/>
          </rPr>
          <t>Agnetha Simm:</t>
        </r>
        <r>
          <rPr>
            <sz val="9"/>
            <color indexed="81"/>
            <rFont val="Tahoma"/>
            <family val="2"/>
          </rPr>
          <t xml:space="preserve">
Ersätter 6RV001</t>
        </r>
      </text>
    </comment>
    <comment ref="A718" authorId="0" shapeId="0">
      <text>
        <r>
          <rPr>
            <b/>
            <sz val="9"/>
            <color indexed="81"/>
            <rFont val="Tahoma"/>
            <family val="2"/>
          </rPr>
          <t>Agnetha Simm:</t>
        </r>
        <r>
          <rPr>
            <sz val="9"/>
            <color indexed="81"/>
            <rFont val="Tahoma"/>
            <family val="2"/>
          </rPr>
          <t xml:space="preserve">
Ers fiktiv 6SAund</t>
        </r>
      </text>
    </comment>
    <comment ref="A720" authorId="0" shapeId="0">
      <text>
        <r>
          <rPr>
            <b/>
            <sz val="9"/>
            <color indexed="81"/>
            <rFont val="Tahoma"/>
            <family val="2"/>
          </rPr>
          <t>Agnetha Simm:</t>
        </r>
        <r>
          <rPr>
            <sz val="9"/>
            <color indexed="81"/>
            <rFont val="Tahoma"/>
            <family val="2"/>
          </rPr>
          <t xml:space="preserve">
Ers fiktiv 6FRISPRÅK2</t>
        </r>
      </text>
    </comment>
    <comment ref="A730" authorId="0" shapeId="0">
      <text>
        <r>
          <rPr>
            <b/>
            <sz val="9"/>
            <color indexed="81"/>
            <rFont val="Tahoma"/>
            <family val="2"/>
          </rPr>
          <t>Agnetha Simm:</t>
        </r>
        <r>
          <rPr>
            <sz val="9"/>
            <color indexed="81"/>
            <rFont val="Tahoma"/>
            <family val="2"/>
          </rPr>
          <t xml:space="preserve">
Ers 6LI004</t>
        </r>
      </text>
    </comment>
    <comment ref="A731" authorId="0" shapeId="0">
      <text>
        <r>
          <rPr>
            <b/>
            <sz val="9"/>
            <color indexed="81"/>
            <rFont val="Tahoma"/>
            <family val="2"/>
          </rPr>
          <t>Agnetha Simm:</t>
        </r>
        <r>
          <rPr>
            <sz val="9"/>
            <color indexed="81"/>
            <rFont val="Tahoma"/>
            <family val="2"/>
          </rPr>
          <t xml:space="preserve">
Ers fiktiv 6SPxx2a</t>
        </r>
      </text>
    </comment>
    <comment ref="A732" authorId="0" shapeId="0">
      <text>
        <r>
          <rPr>
            <b/>
            <sz val="9"/>
            <color indexed="81"/>
            <rFont val="Tahoma"/>
            <family val="2"/>
          </rPr>
          <t>Agnetha Simm:</t>
        </r>
        <r>
          <rPr>
            <sz val="9"/>
            <color indexed="81"/>
            <rFont val="Tahoma"/>
            <family val="2"/>
          </rPr>
          <t xml:space="preserve">
Ers fiktiv 6SPxx3</t>
        </r>
      </text>
    </comment>
    <comment ref="A734" authorId="0" shapeId="0">
      <text>
        <r>
          <rPr>
            <b/>
            <sz val="9"/>
            <color indexed="81"/>
            <rFont val="Tahoma"/>
            <family val="2"/>
          </rPr>
          <t>Agnetha Simm:</t>
        </r>
        <r>
          <rPr>
            <sz val="9"/>
            <color indexed="81"/>
            <rFont val="Tahoma"/>
            <family val="2"/>
          </rPr>
          <t xml:space="preserve">
Ers fiktiv 6FRISPRÅK8</t>
        </r>
      </text>
    </comment>
    <comment ref="A757" authorId="0" shapeId="0">
      <text>
        <r>
          <rPr>
            <b/>
            <sz val="9"/>
            <color indexed="81"/>
            <rFont val="Tahoma"/>
            <family val="2"/>
          </rPr>
          <t>Agnetha Simm:</t>
        </r>
        <r>
          <rPr>
            <sz val="9"/>
            <color indexed="81"/>
            <rFont val="Tahoma"/>
            <family val="2"/>
          </rPr>
          <t xml:space="preserve">
Fd 6FRIEST6</t>
        </r>
      </text>
    </comment>
    <comment ref="A761" authorId="0" shapeId="0">
      <text>
        <r>
          <rPr>
            <b/>
            <sz val="9"/>
            <color indexed="81"/>
            <rFont val="Tahoma"/>
            <family val="2"/>
          </rPr>
          <t>Agnetha Simm:</t>
        </r>
        <r>
          <rPr>
            <sz val="9"/>
            <color indexed="81"/>
            <rFont val="Tahoma"/>
            <family val="2"/>
          </rPr>
          <t xml:space="preserve">
Fd fiktiv 6SLxx3</t>
        </r>
      </text>
    </comment>
    <comment ref="A762" authorId="0" shapeId="0">
      <text>
        <r>
          <rPr>
            <b/>
            <sz val="9"/>
            <color indexed="81"/>
            <rFont val="Tahoma"/>
            <family val="2"/>
          </rPr>
          <t>Agnetha Simm:</t>
        </r>
        <r>
          <rPr>
            <sz val="9"/>
            <color indexed="81"/>
            <rFont val="Tahoma"/>
            <family val="2"/>
          </rPr>
          <t xml:space="preserve">
fd fiktiv 6FRIEST1</t>
        </r>
      </text>
    </comment>
    <comment ref="A776" authorId="0" shapeId="0">
      <text>
        <r>
          <rPr>
            <b/>
            <sz val="9"/>
            <color indexed="81"/>
            <rFont val="Tahoma"/>
            <family val="2"/>
          </rPr>
          <t>Agnetha Simm:</t>
        </r>
        <r>
          <rPr>
            <sz val="9"/>
            <color indexed="81"/>
            <rFont val="Tahoma"/>
            <family val="2"/>
          </rPr>
          <t xml:space="preserve">
Ers 6SP038</t>
        </r>
      </text>
    </comment>
    <comment ref="A777" authorId="0" shapeId="0">
      <text>
        <r>
          <rPr>
            <b/>
            <sz val="9"/>
            <color indexed="81"/>
            <rFont val="Tahoma"/>
            <family val="2"/>
          </rPr>
          <t>Agnetha Simm:</t>
        </r>
        <r>
          <rPr>
            <sz val="9"/>
            <color indexed="81"/>
            <rFont val="Tahoma"/>
            <family val="2"/>
          </rPr>
          <t xml:space="preserve">
Ers 6SP039</t>
        </r>
      </text>
    </comment>
    <comment ref="A779" authorId="0" shapeId="0">
      <text>
        <r>
          <rPr>
            <b/>
            <sz val="9"/>
            <color indexed="81"/>
            <rFont val="Tahoma"/>
            <family val="2"/>
          </rPr>
          <t>Agnetha Simm:</t>
        </r>
        <r>
          <rPr>
            <sz val="9"/>
            <color indexed="81"/>
            <rFont val="Tahoma"/>
            <family val="2"/>
          </rPr>
          <t xml:space="preserve">
Fd fiktiv 6FRITUV1</t>
        </r>
      </text>
    </comment>
    <comment ref="A780" authorId="0" shapeId="0">
      <text>
        <r>
          <rPr>
            <b/>
            <sz val="9"/>
            <color indexed="81"/>
            <rFont val="Tahoma"/>
            <family val="2"/>
          </rPr>
          <t>Agnetha Simm:</t>
        </r>
        <r>
          <rPr>
            <sz val="9"/>
            <color indexed="81"/>
            <rFont val="Tahoma"/>
            <family val="2"/>
          </rPr>
          <t xml:space="preserve">
Ers 6SP024</t>
        </r>
      </text>
    </comment>
    <comment ref="A781" authorId="0" shapeId="0">
      <text>
        <r>
          <rPr>
            <b/>
            <sz val="9"/>
            <color indexed="81"/>
            <rFont val="Tahoma"/>
            <family val="2"/>
          </rPr>
          <t>Agnetha Simm:</t>
        </r>
        <r>
          <rPr>
            <sz val="9"/>
            <color indexed="81"/>
            <rFont val="Tahoma"/>
            <family val="2"/>
          </rPr>
          <t xml:space="preserve">
Ers 6SP058</t>
        </r>
      </text>
    </comment>
    <comment ref="A782" authorId="0" shapeId="0">
      <text>
        <r>
          <rPr>
            <b/>
            <sz val="9"/>
            <color indexed="81"/>
            <rFont val="Tahoma"/>
            <family val="2"/>
          </rPr>
          <t>Agnetha Simm:</t>
        </r>
        <r>
          <rPr>
            <sz val="9"/>
            <color indexed="81"/>
            <rFont val="Tahoma"/>
            <family val="2"/>
          </rPr>
          <t xml:space="preserve">
Ers fiktiv 6SPxx2c</t>
        </r>
      </text>
    </comment>
    <comment ref="A783" authorId="0" shapeId="0">
      <text>
        <r>
          <rPr>
            <b/>
            <sz val="9"/>
            <color indexed="81"/>
            <rFont val="Tahoma"/>
            <family val="2"/>
          </rPr>
          <t>Agnetha Simm:</t>
        </r>
        <r>
          <rPr>
            <sz val="9"/>
            <color indexed="81"/>
            <rFont val="Tahoma"/>
            <family val="2"/>
          </rPr>
          <t xml:space="preserve">
Ers fiktiv 6SPxx2</t>
        </r>
      </text>
    </comment>
    <comment ref="A784" authorId="0" shapeId="0">
      <text>
        <r>
          <rPr>
            <b/>
            <sz val="9"/>
            <color indexed="81"/>
            <rFont val="Tahoma"/>
            <family val="2"/>
          </rPr>
          <t>Agnetha Simm:</t>
        </r>
        <r>
          <rPr>
            <sz val="9"/>
            <color indexed="81"/>
            <rFont val="Tahoma"/>
            <family val="2"/>
          </rPr>
          <t xml:space="preserve">
Ersätter 6SP053</t>
        </r>
      </text>
    </comment>
    <comment ref="A785" authorId="0" shapeId="0">
      <text>
        <r>
          <rPr>
            <b/>
            <sz val="9"/>
            <color indexed="81"/>
            <rFont val="Tahoma"/>
            <family val="2"/>
          </rPr>
          <t>Agnetha Simm:</t>
        </r>
        <r>
          <rPr>
            <sz val="9"/>
            <color indexed="81"/>
            <rFont val="Tahoma"/>
            <family val="2"/>
          </rPr>
          <t xml:space="preserve">
Ers 6SP054</t>
        </r>
      </text>
    </comment>
    <comment ref="A786" authorId="0" shapeId="0">
      <text>
        <r>
          <rPr>
            <b/>
            <sz val="9"/>
            <color indexed="81"/>
            <rFont val="Tahoma"/>
            <family val="2"/>
          </rPr>
          <t>Agnetha Simm:</t>
        </r>
        <r>
          <rPr>
            <sz val="9"/>
            <color indexed="81"/>
            <rFont val="Tahoma"/>
            <family val="2"/>
          </rPr>
          <t xml:space="preserve">
Ers 6SP055</t>
        </r>
      </text>
    </comment>
    <comment ref="A815" authorId="0" shapeId="0">
      <text>
        <r>
          <rPr>
            <b/>
            <sz val="9"/>
            <color indexed="81"/>
            <rFont val="Tahoma"/>
            <family val="2"/>
          </rPr>
          <t>Agnetha Simm:</t>
        </r>
        <r>
          <rPr>
            <sz val="9"/>
            <color indexed="81"/>
            <rFont val="Tahoma"/>
            <family val="2"/>
          </rPr>
          <t xml:space="preserve">
Ers 6SVund</t>
        </r>
      </text>
    </comment>
    <comment ref="A816" authorId="0" shapeId="0">
      <text>
        <r>
          <rPr>
            <b/>
            <sz val="9"/>
            <color indexed="81"/>
            <rFont val="Tahoma"/>
            <family val="2"/>
          </rPr>
          <t>Agnetha Simm:</t>
        </r>
        <r>
          <rPr>
            <sz val="9"/>
            <color indexed="81"/>
            <rFont val="Tahoma"/>
            <family val="2"/>
          </rPr>
          <t xml:space="preserve">
Ersätter 6SV034</t>
        </r>
      </text>
    </comment>
    <comment ref="A828" authorId="0" shapeId="0">
      <text>
        <r>
          <rPr>
            <b/>
            <sz val="9"/>
            <color indexed="81"/>
            <rFont val="Tahoma"/>
            <family val="2"/>
          </rPr>
          <t>Agnetha Simm:</t>
        </r>
        <r>
          <rPr>
            <sz val="9"/>
            <color indexed="81"/>
            <rFont val="Tahoma"/>
            <family val="2"/>
          </rPr>
          <t xml:space="preserve">
Ers fiktiv 6SOMSpråk3</t>
        </r>
      </text>
    </comment>
    <comment ref="A829" authorId="0" shapeId="0">
      <text>
        <r>
          <rPr>
            <b/>
            <sz val="9"/>
            <color indexed="81"/>
            <rFont val="Tahoma"/>
            <family val="2"/>
          </rPr>
          <t>Agnetha Simm:</t>
        </r>
        <r>
          <rPr>
            <sz val="9"/>
            <color indexed="81"/>
            <rFont val="Tahoma"/>
            <family val="2"/>
          </rPr>
          <t xml:space="preserve">
Ers fiktiv 6SOMSpråk3</t>
        </r>
      </text>
    </comment>
    <comment ref="A831" authorId="0" shapeId="0">
      <text>
        <r>
          <rPr>
            <b/>
            <sz val="9"/>
            <color indexed="81"/>
            <rFont val="Tahoma"/>
            <family val="2"/>
          </rPr>
          <t>Agnetha Simm:</t>
        </r>
        <r>
          <rPr>
            <sz val="9"/>
            <color indexed="81"/>
            <rFont val="Tahoma"/>
            <family val="2"/>
          </rPr>
          <t xml:space="preserve">
Ersätter 6SV020</t>
        </r>
      </text>
    </comment>
    <comment ref="A832" authorId="0" shapeId="0">
      <text>
        <r>
          <rPr>
            <b/>
            <sz val="9"/>
            <color indexed="81"/>
            <rFont val="Tahoma"/>
            <family val="2"/>
          </rPr>
          <t>Agnetha Simm:</t>
        </r>
        <r>
          <rPr>
            <sz val="9"/>
            <color indexed="81"/>
            <rFont val="Tahoma"/>
            <family val="2"/>
          </rPr>
          <t xml:space="preserve">
Fd fiktiv 6FRISPRÅK4</t>
        </r>
      </text>
    </comment>
    <comment ref="A833" authorId="0" shapeId="0">
      <text>
        <r>
          <rPr>
            <b/>
            <sz val="9"/>
            <color indexed="81"/>
            <rFont val="Tahoma"/>
            <family val="2"/>
          </rPr>
          <t>Agnetha Simm:</t>
        </r>
        <r>
          <rPr>
            <sz val="9"/>
            <color indexed="81"/>
            <rFont val="Tahoma"/>
            <family val="2"/>
          </rPr>
          <t xml:space="preserve">
Ers 6SV027</t>
        </r>
      </text>
    </comment>
    <comment ref="A834" authorId="0" shapeId="0">
      <text>
        <r>
          <rPr>
            <b/>
            <sz val="9"/>
            <color indexed="81"/>
            <rFont val="Tahoma"/>
            <family val="2"/>
          </rPr>
          <t>Agnetha Simm:</t>
        </r>
        <r>
          <rPr>
            <sz val="9"/>
            <color indexed="81"/>
            <rFont val="Tahoma"/>
            <family val="2"/>
          </rPr>
          <t xml:space="preserve">
Ers 6SV028</t>
        </r>
      </text>
    </comment>
    <comment ref="A835" authorId="0" shapeId="0">
      <text>
        <r>
          <rPr>
            <b/>
            <sz val="9"/>
            <color indexed="81"/>
            <rFont val="Tahoma"/>
            <family val="2"/>
          </rPr>
          <t>Agnetha Simm:</t>
        </r>
        <r>
          <rPr>
            <sz val="9"/>
            <color indexed="81"/>
            <rFont val="Tahoma"/>
            <family val="2"/>
          </rPr>
          <t xml:space="preserve">
Ers fiktiv FRISPRÅK10</t>
        </r>
      </text>
    </comment>
    <comment ref="A857" authorId="0" shapeId="0">
      <text>
        <r>
          <rPr>
            <b/>
            <sz val="9"/>
            <color indexed="81"/>
            <rFont val="Tahoma"/>
            <family val="2"/>
          </rPr>
          <t>Agnetha Simm:</t>
        </r>
        <r>
          <rPr>
            <sz val="9"/>
            <color indexed="81"/>
            <rFont val="Tahoma"/>
            <family val="2"/>
          </rPr>
          <t xml:space="preserve">
Ers 6SY027</t>
        </r>
      </text>
    </comment>
    <comment ref="A858" authorId="0" shapeId="0">
      <text>
        <r>
          <rPr>
            <b/>
            <sz val="9"/>
            <color indexed="81"/>
            <rFont val="Tahoma"/>
            <family val="2"/>
          </rPr>
          <t>Agnetha Simm:</t>
        </r>
        <r>
          <rPr>
            <sz val="9"/>
            <color indexed="81"/>
            <rFont val="Tahoma"/>
            <family val="2"/>
          </rPr>
          <t xml:space="preserve">
Ers fiktiv 6SYxx1</t>
        </r>
      </text>
    </comment>
    <comment ref="A859" authorId="0" shapeId="0">
      <text>
        <r>
          <rPr>
            <b/>
            <sz val="9"/>
            <color indexed="81"/>
            <rFont val="Tahoma"/>
            <family val="2"/>
          </rPr>
          <t>Agnetha Simm:</t>
        </r>
        <r>
          <rPr>
            <sz val="9"/>
            <color indexed="81"/>
            <rFont val="Tahoma"/>
            <family val="2"/>
          </rPr>
          <t xml:space="preserve">
Ers fiktiv 6SYxx2</t>
        </r>
      </text>
    </comment>
    <comment ref="A877" authorId="0" shapeId="0">
      <text>
        <r>
          <rPr>
            <b/>
            <sz val="9"/>
            <color indexed="81"/>
            <rFont val="Tahoma"/>
            <family val="2"/>
          </rPr>
          <t>Agnetha Simm:</t>
        </r>
        <r>
          <rPr>
            <sz val="9"/>
            <color indexed="81"/>
            <rFont val="Tahoma"/>
            <family val="2"/>
          </rPr>
          <t xml:space="preserve">
Fd 6FRIEST5</t>
        </r>
      </text>
    </comment>
    <comment ref="A878" authorId="0" shapeId="0">
      <text>
        <r>
          <rPr>
            <b/>
            <sz val="9"/>
            <color indexed="81"/>
            <rFont val="Tahoma"/>
            <family val="2"/>
          </rPr>
          <t>Agnetha Simm:</t>
        </r>
        <r>
          <rPr>
            <sz val="9"/>
            <color indexed="81"/>
            <rFont val="Tahoma"/>
            <family val="2"/>
          </rPr>
          <t xml:space="preserve">
Fd fiktiv 6FRIEST3</t>
        </r>
      </text>
    </comment>
    <comment ref="A879" authorId="0" shapeId="0">
      <text>
        <r>
          <rPr>
            <b/>
            <sz val="9"/>
            <color indexed="81"/>
            <rFont val="Tahoma"/>
            <family val="2"/>
          </rPr>
          <t>Agnetha Simm:</t>
        </r>
        <r>
          <rPr>
            <sz val="9"/>
            <color indexed="81"/>
            <rFont val="Tahoma"/>
            <family val="2"/>
          </rPr>
          <t xml:space="preserve">
Fd fiktiv 6FRIEST9</t>
        </r>
      </text>
    </comment>
    <comment ref="A880" authorId="0" shapeId="0">
      <text>
        <r>
          <rPr>
            <b/>
            <sz val="9"/>
            <color indexed="81"/>
            <rFont val="Tahoma"/>
            <family val="2"/>
          </rPr>
          <t>Agnetha Simm:</t>
        </r>
        <r>
          <rPr>
            <sz val="9"/>
            <color indexed="81"/>
            <rFont val="Tahoma"/>
            <family val="2"/>
          </rPr>
          <t xml:space="preserve">
Fd 6FRIEST8</t>
        </r>
      </text>
    </comment>
    <comment ref="A882" authorId="0" shapeId="0">
      <text>
        <r>
          <rPr>
            <b/>
            <sz val="9"/>
            <color indexed="81"/>
            <rFont val="Tahoma"/>
            <family val="2"/>
          </rPr>
          <t>Agnetha Simm:</t>
        </r>
        <r>
          <rPr>
            <sz val="9"/>
            <color indexed="81"/>
            <rFont val="Tahoma"/>
            <family val="2"/>
          </rPr>
          <t xml:space="preserve">
Fd fiktiv 6TXxx3</t>
        </r>
      </text>
    </comment>
    <comment ref="A883" authorId="0" shapeId="0">
      <text>
        <r>
          <rPr>
            <b/>
            <sz val="9"/>
            <color indexed="81"/>
            <rFont val="Tahoma"/>
            <family val="2"/>
          </rPr>
          <t>Agnetha Simm:</t>
        </r>
        <r>
          <rPr>
            <sz val="9"/>
            <color indexed="81"/>
            <rFont val="Tahoma"/>
            <family val="2"/>
          </rPr>
          <t xml:space="preserve">
fd fiktiv 6FRIEST2</t>
        </r>
      </text>
    </comment>
    <comment ref="A884" authorId="0" shapeId="0">
      <text>
        <r>
          <rPr>
            <b/>
            <sz val="9"/>
            <color indexed="81"/>
            <rFont val="Tahoma"/>
            <family val="2"/>
          </rPr>
          <t>Agnetha Simm:</t>
        </r>
        <r>
          <rPr>
            <sz val="9"/>
            <color indexed="81"/>
            <rFont val="Tahoma"/>
            <family val="2"/>
          </rPr>
          <t xml:space="preserve">
Ers 6TX018</t>
        </r>
      </text>
    </comment>
    <comment ref="A893" authorId="0" shapeId="0">
      <text>
        <r>
          <rPr>
            <b/>
            <sz val="9"/>
            <color indexed="81"/>
            <rFont val="Tahoma"/>
            <family val="2"/>
          </rPr>
          <t>Agnetha Simm:</t>
        </r>
        <r>
          <rPr>
            <sz val="9"/>
            <color indexed="81"/>
            <rFont val="Tahoma"/>
            <family val="2"/>
          </rPr>
          <t xml:space="preserve">
Fd 6FRISPRÅK2</t>
        </r>
      </text>
    </comment>
    <comment ref="A894" authorId="0" shapeId="0">
      <text>
        <r>
          <rPr>
            <b/>
            <sz val="9"/>
            <color indexed="81"/>
            <rFont val="Tahoma"/>
            <family val="2"/>
          </rPr>
          <t>Agnetha Simm:</t>
        </r>
        <r>
          <rPr>
            <sz val="9"/>
            <color indexed="81"/>
            <rFont val="Tahoma"/>
            <family val="2"/>
          </rPr>
          <t xml:space="preserve">
Ers 6TYund</t>
        </r>
      </text>
    </comment>
    <comment ref="A895" authorId="0" shapeId="0">
      <text>
        <r>
          <rPr>
            <b/>
            <sz val="9"/>
            <color indexed="81"/>
            <rFont val="Tahoma"/>
            <family val="2"/>
          </rPr>
          <t>Agnetha Simm:</t>
        </r>
        <r>
          <rPr>
            <sz val="9"/>
            <color indexed="81"/>
            <rFont val="Tahoma"/>
            <family val="2"/>
          </rPr>
          <t xml:space="preserve">
Ers 6TY012</t>
        </r>
      </text>
    </comment>
  </commentList>
</comments>
</file>

<file path=xl/comments12.xml><?xml version="1.0" encoding="utf-8"?>
<comments xmlns="http://schemas.openxmlformats.org/spreadsheetml/2006/main">
  <authors>
    <author>Agnetha Simm</author>
  </authors>
  <commentList>
    <comment ref="A119" authorId="0" shapeId="0">
      <text>
        <r>
          <rPr>
            <b/>
            <sz val="9"/>
            <color indexed="81"/>
            <rFont val="Tahoma"/>
            <family val="2"/>
          </rPr>
          <t>Agnetha Simm:</t>
        </r>
        <r>
          <rPr>
            <sz val="9"/>
            <color indexed="81"/>
            <rFont val="Tahoma"/>
            <family val="2"/>
          </rPr>
          <t xml:space="preserve">
Fd 3704 fr o m mars-19</t>
        </r>
      </text>
    </comment>
  </commentList>
</comments>
</file>

<file path=xl/comments13.xml><?xml version="1.0" encoding="utf-8"?>
<comments xmlns="http://schemas.openxmlformats.org/spreadsheetml/2006/main">
  <authors>
    <author>Agnetha Simm</author>
  </authors>
  <commentList>
    <comment ref="A40" authorId="0" shapeId="0">
      <text>
        <r>
          <rPr>
            <b/>
            <sz val="9"/>
            <color indexed="81"/>
            <rFont val="Tahoma"/>
            <family val="2"/>
          </rPr>
          <t>Agnetha Simm:</t>
        </r>
        <r>
          <rPr>
            <sz val="9"/>
            <color indexed="81"/>
            <rFont val="Tahoma"/>
            <family val="2"/>
          </rPr>
          <t xml:space="preserve">
Ers 5BI151</t>
        </r>
      </text>
    </comment>
    <comment ref="A99" authorId="0" shapeId="0">
      <text>
        <r>
          <rPr>
            <b/>
            <sz val="9"/>
            <color indexed="81"/>
            <rFont val="Tahoma"/>
            <family val="2"/>
          </rPr>
          <t>Agnetha Simm:</t>
        </r>
        <r>
          <rPr>
            <sz val="9"/>
            <color indexed="81"/>
            <rFont val="Tahoma"/>
            <family val="2"/>
          </rPr>
          <t xml:space="preserve">
Ersätter 5BI184</t>
        </r>
      </text>
    </comment>
    <comment ref="A101" authorId="0" shapeId="0">
      <text>
        <r>
          <rPr>
            <b/>
            <sz val="9"/>
            <color indexed="81"/>
            <rFont val="Tahoma"/>
            <family val="2"/>
          </rPr>
          <t>Agnetha Simm:</t>
        </r>
        <r>
          <rPr>
            <sz val="9"/>
            <color indexed="81"/>
            <rFont val="Tahoma"/>
            <family val="2"/>
          </rPr>
          <t xml:space="preserve">
Ers 6BI023</t>
        </r>
      </text>
    </comment>
    <comment ref="A102" authorId="0" shapeId="0">
      <text>
        <r>
          <rPr>
            <b/>
            <sz val="9"/>
            <color indexed="81"/>
            <rFont val="Tahoma"/>
            <family val="2"/>
          </rPr>
          <t>Agnetha Simm:</t>
        </r>
        <r>
          <rPr>
            <sz val="9"/>
            <color indexed="81"/>
            <rFont val="Tahoma"/>
            <family val="2"/>
          </rPr>
          <t xml:space="preserve">
Ers 5BI194</t>
        </r>
      </text>
    </comment>
    <comment ref="A103" authorId="0" shapeId="0">
      <text>
        <r>
          <rPr>
            <b/>
            <sz val="9"/>
            <color indexed="81"/>
            <rFont val="Tahoma"/>
            <family val="2"/>
          </rPr>
          <t>Agnetha Simm:</t>
        </r>
        <r>
          <rPr>
            <sz val="9"/>
            <color indexed="81"/>
            <rFont val="Tahoma"/>
            <family val="2"/>
          </rPr>
          <t xml:space="preserve">
Ersätter 6DI009</t>
        </r>
      </text>
    </comment>
    <comment ref="A104" authorId="0" shapeId="0">
      <text>
        <r>
          <rPr>
            <b/>
            <sz val="9"/>
            <color indexed="81"/>
            <rFont val="Tahoma"/>
            <family val="2"/>
          </rPr>
          <t>Agnetha Simm:
Ersätter 6DI007</t>
        </r>
      </text>
    </comment>
    <comment ref="A105" authorId="0" shapeId="0">
      <text>
        <r>
          <rPr>
            <b/>
            <sz val="9"/>
            <color indexed="81"/>
            <rFont val="Tahoma"/>
            <family val="2"/>
          </rPr>
          <t>Agnetha Simm:</t>
        </r>
        <r>
          <rPr>
            <sz val="9"/>
            <color indexed="81"/>
            <rFont val="Tahoma"/>
            <family val="2"/>
          </rPr>
          <t xml:space="preserve">
Ersätter 6DI008</t>
        </r>
      </text>
    </comment>
    <comment ref="A130" authorId="0" shapeId="0">
      <text>
        <r>
          <rPr>
            <b/>
            <sz val="9"/>
            <color indexed="81"/>
            <rFont val="Tahoma"/>
            <family val="2"/>
          </rPr>
          <t>Agnetha Simm:</t>
        </r>
        <r>
          <rPr>
            <sz val="9"/>
            <color indexed="81"/>
            <rFont val="Tahoma"/>
            <family val="2"/>
          </rPr>
          <t xml:space="preserve">
Ersätter 6EN028</t>
        </r>
      </text>
    </comment>
    <comment ref="A131" authorId="0" shapeId="0">
      <text>
        <r>
          <rPr>
            <b/>
            <sz val="9"/>
            <color indexed="81"/>
            <rFont val="Tahoma"/>
            <family val="2"/>
          </rPr>
          <t>Agnetha Simm:</t>
        </r>
        <r>
          <rPr>
            <sz val="9"/>
            <color indexed="81"/>
            <rFont val="Tahoma"/>
            <family val="2"/>
          </rPr>
          <t xml:space="preserve">
Fd 6EN021</t>
        </r>
      </text>
    </comment>
    <comment ref="A132" authorId="0" shapeId="0">
      <text>
        <r>
          <rPr>
            <b/>
            <sz val="9"/>
            <color indexed="81"/>
            <rFont val="Tahoma"/>
            <family val="2"/>
          </rPr>
          <t>Agnetha Simm:</t>
        </r>
        <r>
          <rPr>
            <sz val="9"/>
            <color indexed="81"/>
            <rFont val="Tahoma"/>
            <family val="2"/>
          </rPr>
          <t xml:space="preserve">
Fd 6EN023</t>
        </r>
      </text>
    </comment>
    <comment ref="A133" authorId="0" shapeId="0">
      <text>
        <r>
          <rPr>
            <b/>
            <sz val="9"/>
            <color indexed="81"/>
            <rFont val="Tahoma"/>
            <family val="2"/>
          </rPr>
          <t>Agnetha Simm:</t>
        </r>
        <r>
          <rPr>
            <sz val="9"/>
            <color indexed="81"/>
            <rFont val="Tahoma"/>
            <family val="2"/>
          </rPr>
          <t xml:space="preserve">
Ersätter 6EN022</t>
        </r>
      </text>
    </comment>
    <comment ref="A134" authorId="0" shapeId="0">
      <text>
        <r>
          <rPr>
            <b/>
            <sz val="9"/>
            <color indexed="81"/>
            <rFont val="Tahoma"/>
            <family val="2"/>
          </rPr>
          <t>Agnetha Simm:</t>
        </r>
        <r>
          <rPr>
            <sz val="9"/>
            <color indexed="81"/>
            <rFont val="Tahoma"/>
            <family val="2"/>
          </rPr>
          <t xml:space="preserve">
Ersätter 6EN024</t>
        </r>
      </text>
    </comment>
    <comment ref="A135" authorId="0" shapeId="0">
      <text>
        <r>
          <rPr>
            <b/>
            <sz val="9"/>
            <color indexed="81"/>
            <rFont val="Tahoma"/>
            <family val="2"/>
          </rPr>
          <t>Agnetha Simm:</t>
        </r>
        <r>
          <rPr>
            <sz val="9"/>
            <color indexed="81"/>
            <rFont val="Tahoma"/>
            <family val="2"/>
          </rPr>
          <t xml:space="preserve">
Ersätter 6EN025</t>
        </r>
      </text>
    </comment>
    <comment ref="A180" authorId="0" shapeId="0">
      <text>
        <r>
          <rPr>
            <b/>
            <sz val="9"/>
            <color indexed="81"/>
            <rFont val="Tahoma"/>
            <family val="2"/>
          </rPr>
          <t>Agnetha Simm:</t>
        </r>
        <r>
          <rPr>
            <sz val="9"/>
            <color indexed="81"/>
            <rFont val="Tahoma"/>
            <family val="2"/>
          </rPr>
          <t xml:space="preserve">
Fd fiktiv 6xxx20</t>
        </r>
      </text>
    </comment>
    <comment ref="A182" authorId="0" shapeId="0">
      <text>
        <r>
          <rPr>
            <b/>
            <sz val="9"/>
            <color indexed="81"/>
            <rFont val="Tahoma"/>
            <family val="2"/>
          </rPr>
          <t>Agnetha Simm:</t>
        </r>
        <r>
          <rPr>
            <sz val="9"/>
            <color indexed="81"/>
            <rFont val="Tahoma"/>
            <family val="2"/>
          </rPr>
          <t xml:space="preserve">
Fd fiktiv 6FRIEST7</t>
        </r>
      </text>
    </comment>
    <comment ref="A183" authorId="0" shapeId="0">
      <text>
        <r>
          <rPr>
            <b/>
            <sz val="9"/>
            <color indexed="81"/>
            <rFont val="Tahoma"/>
            <family val="2"/>
          </rPr>
          <t>Agnetha Simm:</t>
        </r>
        <r>
          <rPr>
            <sz val="9"/>
            <color indexed="81"/>
            <rFont val="Tahoma"/>
            <family val="2"/>
          </rPr>
          <t xml:space="preserve">
Fd fiktiv 6xxx22</t>
        </r>
      </text>
    </comment>
    <comment ref="A187" authorId="0" shapeId="0">
      <text>
        <r>
          <rPr>
            <b/>
            <sz val="9"/>
            <color indexed="81"/>
            <rFont val="Tahoma"/>
            <family val="2"/>
          </rPr>
          <t>Agnetha Simm:</t>
        </r>
        <r>
          <rPr>
            <sz val="9"/>
            <color indexed="81"/>
            <rFont val="Tahoma"/>
            <family val="2"/>
          </rPr>
          <t xml:space="preserve">
fd fiktiv 6FRIEST6</t>
        </r>
      </text>
    </comment>
    <comment ref="A188" authorId="0" shapeId="0">
      <text>
        <r>
          <rPr>
            <b/>
            <sz val="9"/>
            <color indexed="81"/>
            <rFont val="Tahoma"/>
            <family val="2"/>
          </rPr>
          <t>Agnetha Simm:</t>
        </r>
        <r>
          <rPr>
            <sz val="9"/>
            <color indexed="81"/>
            <rFont val="Tahoma"/>
            <family val="2"/>
          </rPr>
          <t xml:space="preserve">
fd fiktiv 6FRIEST3</t>
        </r>
      </text>
    </comment>
    <comment ref="A189" authorId="0" shapeId="0">
      <text>
        <r>
          <rPr>
            <b/>
            <sz val="9"/>
            <color indexed="81"/>
            <rFont val="Tahoma"/>
            <family val="2"/>
          </rPr>
          <t>Agnetha Simm:</t>
        </r>
        <r>
          <rPr>
            <sz val="9"/>
            <color indexed="81"/>
            <rFont val="Tahoma"/>
            <family val="2"/>
          </rPr>
          <t xml:space="preserve">
fd fiktiv 6FRIEST4</t>
        </r>
      </text>
    </comment>
    <comment ref="A191" authorId="0" shapeId="0">
      <text>
        <r>
          <rPr>
            <b/>
            <sz val="9"/>
            <color indexed="81"/>
            <rFont val="Tahoma"/>
            <family val="2"/>
          </rPr>
          <t>Agnetha Simm:</t>
        </r>
        <r>
          <rPr>
            <sz val="9"/>
            <color indexed="81"/>
            <rFont val="Tahoma"/>
            <family val="2"/>
          </rPr>
          <t xml:space="preserve">
Ers fiktiv 6BIFÖ2</t>
        </r>
      </text>
    </comment>
    <comment ref="A194" authorId="0" shapeId="0">
      <text>
        <r>
          <rPr>
            <b/>
            <sz val="9"/>
            <color indexed="81"/>
            <rFont val="Tahoma"/>
            <family val="2"/>
          </rPr>
          <t>Agnetha Simm:</t>
        </r>
        <r>
          <rPr>
            <sz val="9"/>
            <color indexed="81"/>
            <rFont val="Tahoma"/>
            <family val="2"/>
          </rPr>
          <t xml:space="preserve">
Ers fd 6ES052
</t>
        </r>
      </text>
    </comment>
    <comment ref="A195" authorId="0" shapeId="0">
      <text>
        <r>
          <rPr>
            <b/>
            <sz val="9"/>
            <color indexed="81"/>
            <rFont val="Tahoma"/>
            <family val="2"/>
          </rPr>
          <t>Agnetha Simm:</t>
        </r>
        <r>
          <rPr>
            <sz val="9"/>
            <color indexed="81"/>
            <rFont val="Tahoma"/>
            <family val="2"/>
          </rPr>
          <t xml:space="preserve">
Ers 6ES032</t>
        </r>
      </text>
    </comment>
    <comment ref="A196" authorId="0" shapeId="0">
      <text>
        <r>
          <rPr>
            <b/>
            <sz val="9"/>
            <color indexed="81"/>
            <rFont val="Tahoma"/>
            <family val="2"/>
          </rPr>
          <t>Agnetha Simm:</t>
        </r>
        <r>
          <rPr>
            <sz val="9"/>
            <color indexed="81"/>
            <rFont val="Tahoma"/>
            <family val="2"/>
          </rPr>
          <t xml:space="preserve">
Ers 6ES033</t>
        </r>
      </text>
    </comment>
    <comment ref="A197" authorId="0" shapeId="0">
      <text>
        <r>
          <rPr>
            <b/>
            <sz val="9"/>
            <color indexed="81"/>
            <rFont val="Tahoma"/>
            <family val="2"/>
          </rPr>
          <t>Agnetha Simm:</t>
        </r>
        <r>
          <rPr>
            <sz val="9"/>
            <color indexed="81"/>
            <rFont val="Tahoma"/>
            <family val="2"/>
          </rPr>
          <t xml:space="preserve">
Ers fiktiv 6xxxx9</t>
        </r>
      </text>
    </comment>
    <comment ref="A198" authorId="0" shapeId="0">
      <text>
        <r>
          <rPr>
            <b/>
            <sz val="9"/>
            <color indexed="81"/>
            <rFont val="Tahoma"/>
            <family val="2"/>
          </rPr>
          <t>Agnetha Simm:</t>
        </r>
        <r>
          <rPr>
            <sz val="9"/>
            <color indexed="81"/>
            <rFont val="Tahoma"/>
            <family val="2"/>
          </rPr>
          <t xml:space="preserve">
Ers 6ES041</t>
        </r>
      </text>
    </comment>
    <comment ref="A201" authorId="0" shapeId="0">
      <text>
        <r>
          <rPr>
            <b/>
            <sz val="9"/>
            <color indexed="81"/>
            <rFont val="Tahoma"/>
            <family val="2"/>
          </rPr>
          <t>Agnetha Simm:</t>
        </r>
        <r>
          <rPr>
            <sz val="9"/>
            <color indexed="81"/>
            <rFont val="Tahoma"/>
            <family val="2"/>
          </rPr>
          <t xml:space="preserve">
Ers fiktiv 6FRIEST3</t>
        </r>
      </text>
    </comment>
    <comment ref="A202" authorId="0" shapeId="0">
      <text>
        <r>
          <rPr>
            <b/>
            <sz val="9"/>
            <color indexed="81"/>
            <rFont val="Tahoma"/>
            <family val="2"/>
          </rPr>
          <t>Agnetha Simm:</t>
        </r>
        <r>
          <rPr>
            <sz val="9"/>
            <color indexed="81"/>
            <rFont val="Tahoma"/>
            <family val="2"/>
          </rPr>
          <t xml:space="preserve">
Ers 6ES031</t>
        </r>
      </text>
    </comment>
    <comment ref="A203" authorId="0" shapeId="0">
      <text>
        <r>
          <rPr>
            <b/>
            <sz val="9"/>
            <color indexed="81"/>
            <rFont val="Tahoma"/>
            <family val="2"/>
          </rPr>
          <t>Agnetha Simm:</t>
        </r>
        <r>
          <rPr>
            <sz val="9"/>
            <color indexed="81"/>
            <rFont val="Tahoma"/>
            <family val="2"/>
          </rPr>
          <t xml:space="preserve">
Ers fd 6ES069</t>
        </r>
      </text>
    </comment>
    <comment ref="A204" authorId="0" shapeId="0">
      <text>
        <r>
          <rPr>
            <b/>
            <sz val="9"/>
            <color indexed="81"/>
            <rFont val="Tahoma"/>
            <family val="2"/>
          </rPr>
          <t>Agnetha Simm:</t>
        </r>
        <r>
          <rPr>
            <sz val="9"/>
            <color indexed="81"/>
            <rFont val="Tahoma"/>
            <family val="2"/>
          </rPr>
          <t xml:space="preserve">
Fd fiktiv 6FRIEST2</t>
        </r>
      </text>
    </comment>
    <comment ref="A205" authorId="0" shapeId="0">
      <text>
        <r>
          <rPr>
            <b/>
            <sz val="9"/>
            <color indexed="81"/>
            <rFont val="Tahoma"/>
            <family val="2"/>
          </rPr>
          <t>Agnetha Simm:</t>
        </r>
        <r>
          <rPr>
            <sz val="9"/>
            <color indexed="81"/>
            <rFont val="Tahoma"/>
            <family val="2"/>
          </rPr>
          <t xml:space="preserve">
Fd fiktiv 6BIFÖ3</t>
        </r>
      </text>
    </comment>
    <comment ref="A206" authorId="0" shapeId="0">
      <text>
        <r>
          <rPr>
            <b/>
            <sz val="9"/>
            <color indexed="81"/>
            <rFont val="Tahoma"/>
            <family val="2"/>
          </rPr>
          <t>Agnetha Simm:</t>
        </r>
        <r>
          <rPr>
            <sz val="9"/>
            <color indexed="81"/>
            <rFont val="Tahoma"/>
            <family val="2"/>
          </rPr>
          <t xml:space="preserve">
Fd fiktiv 6FRIEST1</t>
        </r>
      </text>
    </comment>
    <comment ref="A215" authorId="0" shapeId="0">
      <text>
        <r>
          <rPr>
            <b/>
            <sz val="9"/>
            <color indexed="81"/>
            <rFont val="Tahoma"/>
            <family val="2"/>
          </rPr>
          <t>Agnetha Simm:</t>
        </r>
        <r>
          <rPr>
            <sz val="9"/>
            <color indexed="81"/>
            <rFont val="Tahoma"/>
            <family val="2"/>
          </rPr>
          <t xml:space="preserve">
Ers 6ES094 fr ht-21</t>
        </r>
      </text>
    </comment>
    <comment ref="A216" authorId="0" shapeId="0">
      <text>
        <r>
          <rPr>
            <b/>
            <sz val="9"/>
            <color indexed="81"/>
            <rFont val="Tahoma"/>
            <family val="2"/>
          </rPr>
          <t>Agnetha Simm:</t>
        </r>
        <r>
          <rPr>
            <sz val="9"/>
            <color indexed="81"/>
            <rFont val="Tahoma"/>
            <family val="2"/>
          </rPr>
          <t xml:space="preserve">
Ersätter 6ES072 fr ht-21</t>
        </r>
      </text>
    </comment>
    <comment ref="A228" authorId="0" shapeId="0">
      <text>
        <r>
          <rPr>
            <b/>
            <sz val="9"/>
            <color indexed="81"/>
            <rFont val="Tahoma"/>
            <family val="2"/>
          </rPr>
          <t>Agnetha Simm:</t>
        </r>
        <r>
          <rPr>
            <sz val="9"/>
            <color indexed="81"/>
            <rFont val="Tahoma"/>
            <family val="2"/>
          </rPr>
          <t xml:space="preserve">
Ers fd 6FA004</t>
        </r>
      </text>
    </comment>
    <comment ref="A246" authorId="0" shapeId="0">
      <text>
        <r>
          <rPr>
            <b/>
            <sz val="9"/>
            <color indexed="81"/>
            <rFont val="Tahoma"/>
            <family val="2"/>
          </rPr>
          <t>Agnetha Simm:</t>
        </r>
        <r>
          <rPr>
            <sz val="9"/>
            <color indexed="81"/>
            <rFont val="Tahoma"/>
            <family val="2"/>
          </rPr>
          <t xml:space="preserve">
Ersätter 6DI012</t>
        </r>
      </text>
    </comment>
    <comment ref="A247" authorId="0" shapeId="0">
      <text>
        <r>
          <rPr>
            <b/>
            <sz val="9"/>
            <color indexed="81"/>
            <rFont val="Tahoma"/>
            <family val="2"/>
          </rPr>
          <t>Agnetha Simm:</t>
        </r>
        <r>
          <rPr>
            <sz val="9"/>
            <color indexed="81"/>
            <rFont val="Tahoma"/>
            <family val="2"/>
          </rPr>
          <t xml:space="preserve">
Ersätter 6DI010</t>
        </r>
      </text>
    </comment>
    <comment ref="A248" authorId="0" shapeId="0">
      <text>
        <r>
          <rPr>
            <b/>
            <sz val="9"/>
            <color indexed="81"/>
            <rFont val="Tahoma"/>
            <family val="2"/>
          </rPr>
          <t>Agnetha Simm:</t>
        </r>
        <r>
          <rPr>
            <sz val="9"/>
            <color indexed="81"/>
            <rFont val="Tahoma"/>
            <family val="2"/>
          </rPr>
          <t xml:space="preserve">
Ersätter 6DI011</t>
        </r>
      </text>
    </comment>
    <comment ref="A253" authorId="0" shapeId="0">
      <text>
        <r>
          <rPr>
            <b/>
            <sz val="9"/>
            <color indexed="81"/>
            <rFont val="Tahoma"/>
            <family val="2"/>
          </rPr>
          <t>Agnetha Simm:</t>
        </r>
        <r>
          <rPr>
            <sz val="9"/>
            <color indexed="81"/>
            <rFont val="Tahoma"/>
            <family val="2"/>
          </rPr>
          <t xml:space="preserve">
Ers fiktiv 6GExx5</t>
        </r>
      </text>
    </comment>
    <comment ref="A254" authorId="0" shapeId="0">
      <text>
        <r>
          <rPr>
            <b/>
            <sz val="9"/>
            <color indexed="81"/>
            <rFont val="Tahoma"/>
            <family val="2"/>
          </rPr>
          <t>Agnetha Simm:</t>
        </r>
        <r>
          <rPr>
            <sz val="9"/>
            <color indexed="81"/>
            <rFont val="Tahoma"/>
            <family val="2"/>
          </rPr>
          <t xml:space="preserve">
Fd fiktiv 6GExx2</t>
        </r>
      </text>
    </comment>
    <comment ref="A255" authorId="0" shapeId="0">
      <text>
        <r>
          <rPr>
            <b/>
            <sz val="9"/>
            <color indexed="81"/>
            <rFont val="Tahoma"/>
            <family val="2"/>
          </rPr>
          <t>Agnetha Simm:</t>
        </r>
        <r>
          <rPr>
            <sz val="9"/>
            <color indexed="81"/>
            <rFont val="Tahoma"/>
            <family val="2"/>
          </rPr>
          <t xml:space="preserve">
Ers fiktiv 6GExx6</t>
        </r>
      </text>
    </comment>
    <comment ref="A267" authorId="0" shapeId="0">
      <text>
        <r>
          <rPr>
            <b/>
            <sz val="9"/>
            <color indexed="81"/>
            <rFont val="Tahoma"/>
            <family val="2"/>
          </rPr>
          <t>Agnetha Simm:</t>
        </r>
        <r>
          <rPr>
            <sz val="9"/>
            <color indexed="81"/>
            <rFont val="Tahoma"/>
            <family val="2"/>
          </rPr>
          <t xml:space="preserve">
Fd fiktiv kurskod 6HI8XX</t>
        </r>
      </text>
    </comment>
    <comment ref="A270" authorId="0" shapeId="0">
      <text>
        <r>
          <rPr>
            <b/>
            <sz val="9"/>
            <color indexed="81"/>
            <rFont val="Tahoma"/>
            <family val="2"/>
          </rPr>
          <t>Agnetha Simm:</t>
        </r>
        <r>
          <rPr>
            <sz val="9"/>
            <color indexed="81"/>
            <rFont val="Tahoma"/>
            <family val="2"/>
          </rPr>
          <t xml:space="preserve">
Ersätter 6HI016</t>
        </r>
      </text>
    </comment>
    <comment ref="A272" authorId="0" shapeId="0">
      <text>
        <r>
          <rPr>
            <b/>
            <sz val="9"/>
            <color indexed="81"/>
            <rFont val="Tahoma"/>
            <family val="2"/>
          </rPr>
          <t>Agnetha Simm:</t>
        </r>
        <r>
          <rPr>
            <sz val="9"/>
            <color indexed="81"/>
            <rFont val="Tahoma"/>
            <family val="2"/>
          </rPr>
          <t xml:space="preserve">
Ersätter 6HI014</t>
        </r>
      </text>
    </comment>
    <comment ref="A282" authorId="0" shapeId="0">
      <text>
        <r>
          <rPr>
            <b/>
            <sz val="9"/>
            <color indexed="81"/>
            <rFont val="Tahoma"/>
            <family val="2"/>
          </rPr>
          <t>Agnetha Simm:</t>
        </r>
        <r>
          <rPr>
            <sz val="9"/>
            <color indexed="81"/>
            <rFont val="Tahoma"/>
            <family val="2"/>
          </rPr>
          <t xml:space="preserve">
Ersätter 6ID301</t>
        </r>
      </text>
    </comment>
    <comment ref="A283" authorId="0" shapeId="0">
      <text>
        <r>
          <rPr>
            <b/>
            <sz val="9"/>
            <color indexed="81"/>
            <rFont val="Tahoma"/>
            <family val="2"/>
          </rPr>
          <t>Agnetha Simm:</t>
        </r>
        <r>
          <rPr>
            <sz val="9"/>
            <color indexed="81"/>
            <rFont val="Tahoma"/>
            <family val="2"/>
          </rPr>
          <t xml:space="preserve">
Ers 6ID303</t>
        </r>
      </text>
    </comment>
    <comment ref="A285" authorId="0" shapeId="0">
      <text>
        <r>
          <rPr>
            <b/>
            <sz val="9"/>
            <color indexed="81"/>
            <rFont val="Tahoma"/>
            <family val="2"/>
          </rPr>
          <t>Agnetha Simm:</t>
        </r>
        <r>
          <rPr>
            <sz val="9"/>
            <color indexed="81"/>
            <rFont val="Tahoma"/>
            <family val="2"/>
          </rPr>
          <t xml:space="preserve">
Ers 6ID314</t>
        </r>
      </text>
    </comment>
    <comment ref="A286" authorId="0" shapeId="0">
      <text>
        <r>
          <rPr>
            <b/>
            <sz val="9"/>
            <color indexed="81"/>
            <rFont val="Tahoma"/>
            <family val="2"/>
          </rPr>
          <t>Agnetha Simm:</t>
        </r>
        <r>
          <rPr>
            <sz val="9"/>
            <color indexed="81"/>
            <rFont val="Tahoma"/>
            <family val="2"/>
          </rPr>
          <t xml:space="preserve">
Ers fiktiv 6FRIPED1</t>
        </r>
      </text>
    </comment>
    <comment ref="A297" authorId="0" shapeId="0">
      <text>
        <r>
          <rPr>
            <b/>
            <sz val="9"/>
            <color indexed="81"/>
            <rFont val="Tahoma"/>
            <family val="2"/>
          </rPr>
          <t>Agnetha Simm:</t>
        </r>
        <r>
          <rPr>
            <sz val="9"/>
            <color indexed="81"/>
            <rFont val="Tahoma"/>
            <family val="2"/>
          </rPr>
          <t xml:space="preserve">
Fd fiktiv 6FRITUV7</t>
        </r>
      </text>
    </comment>
    <comment ref="A298" authorId="0" shapeId="0">
      <text>
        <r>
          <rPr>
            <b/>
            <sz val="9"/>
            <color indexed="81"/>
            <rFont val="Tahoma"/>
            <family val="2"/>
          </rPr>
          <t>Agnetha Simm:</t>
        </r>
        <r>
          <rPr>
            <sz val="9"/>
            <color indexed="81"/>
            <rFont val="Tahoma"/>
            <family val="2"/>
          </rPr>
          <t xml:space="preserve">
Fd fiktiv 6FRITUV6</t>
        </r>
      </text>
    </comment>
    <comment ref="A299" authorId="0" shapeId="0">
      <text>
        <r>
          <rPr>
            <b/>
            <sz val="9"/>
            <color indexed="81"/>
            <rFont val="Tahoma"/>
            <family val="2"/>
          </rPr>
          <t>Agnetha Simm:</t>
        </r>
        <r>
          <rPr>
            <sz val="9"/>
            <color indexed="81"/>
            <rFont val="Tahoma"/>
            <family val="2"/>
          </rPr>
          <t xml:space="preserve">
Ers 2IT029</t>
        </r>
      </text>
    </comment>
    <comment ref="A304" authorId="0" shapeId="0">
      <text>
        <r>
          <rPr>
            <b/>
            <sz val="9"/>
            <color indexed="81"/>
            <rFont val="Tahoma"/>
            <family val="2"/>
          </rPr>
          <t>Agnetha Simm:</t>
        </r>
        <r>
          <rPr>
            <sz val="9"/>
            <color indexed="81"/>
            <rFont val="Tahoma"/>
            <family val="2"/>
          </rPr>
          <t xml:space="preserve">
Ersätter 6DI015</t>
        </r>
      </text>
    </comment>
    <comment ref="A305" authorId="0" shapeId="0">
      <text>
        <r>
          <rPr>
            <b/>
            <sz val="9"/>
            <color indexed="81"/>
            <rFont val="Tahoma"/>
            <family val="2"/>
          </rPr>
          <t>Agnetha Simm:</t>
        </r>
        <r>
          <rPr>
            <sz val="9"/>
            <color indexed="81"/>
            <rFont val="Tahoma"/>
            <family val="2"/>
          </rPr>
          <t xml:space="preserve">
Ersätter 6DI013</t>
        </r>
      </text>
    </comment>
    <comment ref="A306" authorId="0" shapeId="0">
      <text>
        <r>
          <rPr>
            <b/>
            <sz val="9"/>
            <color indexed="81"/>
            <rFont val="Tahoma"/>
            <family val="2"/>
          </rPr>
          <t>Agnetha Simm:
Ersätter 6DI014</t>
        </r>
      </text>
    </comment>
    <comment ref="A312" authorId="0" shapeId="0">
      <text>
        <r>
          <rPr>
            <b/>
            <sz val="9"/>
            <color indexed="81"/>
            <rFont val="Tahoma"/>
            <family val="2"/>
          </rPr>
          <t>Agnetha Simm:</t>
        </r>
        <r>
          <rPr>
            <sz val="9"/>
            <color indexed="81"/>
            <rFont val="Tahoma"/>
            <family val="2"/>
          </rPr>
          <t xml:space="preserve">
Ers fiktiv 6GExx8</t>
        </r>
      </text>
    </comment>
    <comment ref="A313" authorId="0" shapeId="0">
      <text>
        <r>
          <rPr>
            <b/>
            <sz val="9"/>
            <color indexed="81"/>
            <rFont val="Tahoma"/>
            <family val="2"/>
          </rPr>
          <t>Agnetha Simm:</t>
        </r>
        <r>
          <rPr>
            <sz val="9"/>
            <color indexed="81"/>
            <rFont val="Tahoma"/>
            <family val="2"/>
          </rPr>
          <t xml:space="preserve">
Fd fiktiv 6GExx1</t>
        </r>
      </text>
    </comment>
    <comment ref="A314" authorId="0" shapeId="0">
      <text>
        <r>
          <rPr>
            <b/>
            <sz val="9"/>
            <color indexed="81"/>
            <rFont val="Tahoma"/>
            <family val="2"/>
          </rPr>
          <t>Agnetha Simm:</t>
        </r>
        <r>
          <rPr>
            <sz val="9"/>
            <color indexed="81"/>
            <rFont val="Tahoma"/>
            <family val="2"/>
          </rPr>
          <t xml:space="preserve">
Fd fiktiv 6GExx3</t>
        </r>
      </text>
    </comment>
    <comment ref="A315" authorId="0" shapeId="0">
      <text>
        <r>
          <rPr>
            <b/>
            <sz val="9"/>
            <color indexed="81"/>
            <rFont val="Tahoma"/>
            <family val="2"/>
          </rPr>
          <t>Agnetha Simm:</t>
        </r>
        <r>
          <rPr>
            <sz val="9"/>
            <color indexed="81"/>
            <rFont val="Tahoma"/>
            <family val="2"/>
          </rPr>
          <t xml:space="preserve">
Ersätter fiktiv 6GExx4</t>
        </r>
      </text>
    </comment>
    <comment ref="A316" authorId="0" shapeId="0">
      <text>
        <r>
          <rPr>
            <b/>
            <sz val="9"/>
            <color indexed="81"/>
            <rFont val="Tahoma"/>
            <family val="2"/>
          </rPr>
          <t>Agnetha Simm:</t>
        </r>
        <r>
          <rPr>
            <sz val="9"/>
            <color indexed="81"/>
            <rFont val="Tahoma"/>
            <family val="2"/>
          </rPr>
          <t xml:space="preserve">
Ers fiktiv 6GExx7</t>
        </r>
      </text>
    </comment>
    <comment ref="A317" authorId="0" shapeId="0">
      <text>
        <r>
          <rPr>
            <b/>
            <sz val="9"/>
            <color indexed="81"/>
            <rFont val="Tahoma"/>
            <family val="2"/>
          </rPr>
          <t>Agnetha Simm:</t>
        </r>
        <r>
          <rPr>
            <sz val="9"/>
            <color indexed="81"/>
            <rFont val="Tahoma"/>
            <family val="2"/>
          </rPr>
          <t xml:space="preserve">
Ers fiktiv 6GEx10</t>
        </r>
      </text>
    </comment>
    <comment ref="A318" authorId="0" shapeId="0">
      <text>
        <r>
          <rPr>
            <b/>
            <sz val="9"/>
            <color indexed="81"/>
            <rFont val="Tahoma"/>
            <family val="2"/>
          </rPr>
          <t>Agnetha Simm:</t>
        </r>
        <r>
          <rPr>
            <sz val="9"/>
            <color indexed="81"/>
            <rFont val="Tahoma"/>
            <family val="2"/>
          </rPr>
          <t xml:space="preserve">
Fd fiktiv 6GEund</t>
        </r>
      </text>
    </comment>
    <comment ref="A333" authorId="0" shapeId="0">
      <text>
        <r>
          <rPr>
            <b/>
            <sz val="9"/>
            <color indexed="81"/>
            <rFont val="Tahoma"/>
            <family val="2"/>
          </rPr>
          <t>Agnetha Simm:</t>
        </r>
        <r>
          <rPr>
            <sz val="9"/>
            <color indexed="81"/>
            <rFont val="Tahoma"/>
            <family val="2"/>
          </rPr>
          <t xml:space="preserve">
Ers 6KN009</t>
        </r>
      </text>
    </comment>
    <comment ref="A339" authorId="0" shapeId="0">
      <text>
        <r>
          <rPr>
            <b/>
            <sz val="9"/>
            <color indexed="81"/>
            <rFont val="Tahoma"/>
            <family val="2"/>
          </rPr>
          <t>Agnetha Simm:</t>
        </r>
        <r>
          <rPr>
            <sz val="9"/>
            <color indexed="81"/>
            <rFont val="Tahoma"/>
            <family val="2"/>
          </rPr>
          <t xml:space="preserve">
Ers 6KN027</t>
        </r>
      </text>
    </comment>
    <comment ref="A343" authorId="0" shapeId="0">
      <text>
        <r>
          <rPr>
            <b/>
            <sz val="9"/>
            <color indexed="81"/>
            <rFont val="Tahoma"/>
            <family val="2"/>
          </rPr>
          <t>Agnetha Simm:</t>
        </r>
        <r>
          <rPr>
            <sz val="9"/>
            <color indexed="81"/>
            <rFont val="Tahoma"/>
            <family val="2"/>
          </rPr>
          <t xml:space="preserve">
Ers fiktiv 6PKUny2</t>
        </r>
      </text>
    </comment>
    <comment ref="A344" authorId="0" shapeId="0">
      <text>
        <r>
          <rPr>
            <b/>
            <sz val="9"/>
            <color indexed="81"/>
            <rFont val="Tahoma"/>
            <family val="2"/>
          </rPr>
          <t>Agnetha Simm:</t>
        </r>
        <r>
          <rPr>
            <sz val="9"/>
            <color indexed="81"/>
            <rFont val="Tahoma"/>
            <family val="2"/>
          </rPr>
          <t xml:space="preserve">
Ers fiktiv 6KPUny1</t>
        </r>
      </text>
    </comment>
    <comment ref="A345" authorId="0" shapeId="0">
      <text>
        <r>
          <rPr>
            <b/>
            <sz val="9"/>
            <color indexed="81"/>
            <rFont val="Tahoma"/>
            <family val="2"/>
          </rPr>
          <t>Agnetha Simm:</t>
        </r>
        <r>
          <rPr>
            <sz val="9"/>
            <color indexed="81"/>
            <rFont val="Tahoma"/>
            <family val="2"/>
          </rPr>
          <t xml:space="preserve">
Ers fiktiv 6KPUUK3</t>
        </r>
      </text>
    </comment>
    <comment ref="A346" authorId="0" shapeId="0">
      <text>
        <r>
          <rPr>
            <b/>
            <sz val="9"/>
            <color indexed="81"/>
            <rFont val="Tahoma"/>
            <family val="2"/>
          </rPr>
          <t>Agnetha Simm:</t>
        </r>
        <r>
          <rPr>
            <sz val="9"/>
            <color indexed="81"/>
            <rFont val="Tahoma"/>
            <family val="2"/>
          </rPr>
          <t xml:space="preserve">
Ers fiktiv 6KPUVFU1</t>
        </r>
      </text>
    </comment>
    <comment ref="A361" authorId="0" shapeId="0">
      <text>
        <r>
          <rPr>
            <b/>
            <sz val="9"/>
            <color indexed="81"/>
            <rFont val="Tahoma"/>
            <family val="2"/>
          </rPr>
          <t>Agnetha Simm:</t>
        </r>
        <r>
          <rPr>
            <sz val="9"/>
            <color indexed="81"/>
            <rFont val="Tahoma"/>
            <family val="2"/>
          </rPr>
          <t xml:space="preserve">
Ersätter 6LI006</t>
        </r>
      </text>
    </comment>
    <comment ref="A362" authorId="0" shapeId="0">
      <text>
        <r>
          <rPr>
            <b/>
            <sz val="9"/>
            <color indexed="81"/>
            <rFont val="Tahoma"/>
            <family val="2"/>
          </rPr>
          <t>Agnetha Simm:</t>
        </r>
        <r>
          <rPr>
            <sz val="9"/>
            <color indexed="81"/>
            <rFont val="Tahoma"/>
            <family val="2"/>
          </rPr>
          <t xml:space="preserve">
Fd 6FRISPRÅK1</t>
        </r>
      </text>
    </comment>
    <comment ref="A365" authorId="0" shapeId="0">
      <text>
        <r>
          <rPr>
            <b/>
            <sz val="9"/>
            <color indexed="81"/>
            <rFont val="Tahoma"/>
            <family val="2"/>
          </rPr>
          <t>Agnetha Simm:</t>
        </r>
        <r>
          <rPr>
            <sz val="9"/>
            <color indexed="81"/>
            <rFont val="Tahoma"/>
            <family val="2"/>
          </rPr>
          <t xml:space="preserve">
Fd fiktiv 6FRISPRÅK3</t>
        </r>
      </text>
    </comment>
    <comment ref="A366" authorId="0" shapeId="0">
      <text>
        <r>
          <rPr>
            <b/>
            <sz val="9"/>
            <color indexed="81"/>
            <rFont val="Tahoma"/>
            <family val="2"/>
          </rPr>
          <t>Agnetha Simm:</t>
        </r>
        <r>
          <rPr>
            <sz val="9"/>
            <color indexed="81"/>
            <rFont val="Tahoma"/>
            <family val="2"/>
          </rPr>
          <t xml:space="preserve">
Ersätter 6LI005</t>
        </r>
      </text>
    </comment>
    <comment ref="A373" authorId="0" shapeId="0">
      <text>
        <r>
          <rPr>
            <b/>
            <sz val="9"/>
            <color indexed="81"/>
            <rFont val="Tahoma"/>
            <family val="2"/>
          </rPr>
          <t>Agnetha Simm:</t>
        </r>
        <r>
          <rPr>
            <sz val="9"/>
            <color indexed="81"/>
            <rFont val="Tahoma"/>
            <family val="2"/>
          </rPr>
          <t xml:space="preserve">
Ers 6LU003</t>
        </r>
      </text>
    </comment>
    <comment ref="A375" authorId="0" shapeId="0">
      <text>
        <r>
          <rPr>
            <b/>
            <sz val="9"/>
            <color indexed="81"/>
            <rFont val="Tahoma"/>
            <family val="2"/>
          </rPr>
          <t>Agnetha Simm:</t>
        </r>
        <r>
          <rPr>
            <sz val="9"/>
            <color indexed="81"/>
            <rFont val="Tahoma"/>
            <family val="2"/>
          </rPr>
          <t xml:space="preserve">
Fd fiktiv kurskod 6NYFRIST30</t>
        </r>
      </text>
    </comment>
    <comment ref="A387" authorId="0" shapeId="0">
      <text>
        <r>
          <rPr>
            <b/>
            <sz val="9"/>
            <color indexed="81"/>
            <rFont val="Tahoma"/>
            <family val="2"/>
          </rPr>
          <t>Agnetha Simm:</t>
        </r>
        <r>
          <rPr>
            <sz val="9"/>
            <color indexed="81"/>
            <rFont val="Tahoma"/>
            <family val="2"/>
          </rPr>
          <t xml:space="preserve">
Fd fiktiv kurskod 6SP8YY</t>
        </r>
      </text>
    </comment>
    <comment ref="A392" authorId="0" shapeId="0">
      <text>
        <r>
          <rPr>
            <b/>
            <sz val="9"/>
            <color indexed="81"/>
            <rFont val="Tahoma"/>
            <family val="2"/>
          </rPr>
          <t>Agnetha Simm:</t>
        </r>
        <r>
          <rPr>
            <sz val="9"/>
            <color indexed="81"/>
            <rFont val="Tahoma"/>
            <family val="2"/>
          </rPr>
          <t xml:space="preserve">
fd fiktiv 6xxx12</t>
        </r>
      </text>
    </comment>
    <comment ref="A393" authorId="0" shapeId="0">
      <text>
        <r>
          <rPr>
            <b/>
            <sz val="9"/>
            <color indexed="81"/>
            <rFont val="Tahoma"/>
            <family val="2"/>
          </rPr>
          <t>Agnetha Simm:</t>
        </r>
        <r>
          <rPr>
            <sz val="9"/>
            <color indexed="81"/>
            <rFont val="Tahoma"/>
            <family val="2"/>
          </rPr>
          <t xml:space="preserve">
Ers fiktiv 6SAlyd</t>
        </r>
      </text>
    </comment>
    <comment ref="A394" authorId="0" shapeId="0">
      <text>
        <r>
          <rPr>
            <b/>
            <sz val="9"/>
            <color indexed="81"/>
            <rFont val="Tahoma"/>
            <family val="2"/>
          </rPr>
          <t>Agnetha Simm:</t>
        </r>
        <r>
          <rPr>
            <sz val="9"/>
            <color indexed="81"/>
            <rFont val="Tahoma"/>
            <family val="2"/>
          </rPr>
          <t xml:space="preserve">
Ers fiktiv 6TYlyd</t>
        </r>
      </text>
    </comment>
    <comment ref="A395" authorId="0" shapeId="0">
      <text>
        <r>
          <rPr>
            <b/>
            <sz val="9"/>
            <color indexed="81"/>
            <rFont val="Tahoma"/>
            <family val="2"/>
          </rPr>
          <t>Agnetha Simm:</t>
        </r>
        <r>
          <rPr>
            <sz val="9"/>
            <color indexed="81"/>
            <rFont val="Tahoma"/>
            <family val="2"/>
          </rPr>
          <t xml:space="preserve">
Ers fiktiv 6SVlyd</t>
        </r>
      </text>
    </comment>
    <comment ref="A399" authorId="0" shapeId="0">
      <text>
        <r>
          <rPr>
            <b/>
            <sz val="9"/>
            <color indexed="81"/>
            <rFont val="Tahoma"/>
            <family val="2"/>
          </rPr>
          <t>Agnetha Simm:</t>
        </r>
        <r>
          <rPr>
            <sz val="9"/>
            <color indexed="81"/>
            <rFont val="Tahoma"/>
            <family val="2"/>
          </rPr>
          <t xml:space="preserve">
Ers fiktiv 6FRISPRÅK4</t>
        </r>
      </text>
    </comment>
    <comment ref="A400" authorId="0" shapeId="0">
      <text>
        <r>
          <rPr>
            <b/>
            <sz val="9"/>
            <color indexed="81"/>
            <rFont val="Tahoma"/>
            <family val="2"/>
          </rPr>
          <t>Agnetha Simm:</t>
        </r>
        <r>
          <rPr>
            <sz val="9"/>
            <color indexed="81"/>
            <rFont val="Tahoma"/>
            <family val="2"/>
          </rPr>
          <t xml:space="preserve">
Ers fiktiv 6RISPRÅK5</t>
        </r>
      </text>
    </comment>
    <comment ref="A401" authorId="0" shapeId="0">
      <text>
        <r>
          <rPr>
            <b/>
            <sz val="9"/>
            <color indexed="81"/>
            <rFont val="Tahoma"/>
            <family val="2"/>
          </rPr>
          <t>Agnetha Simm:</t>
        </r>
        <r>
          <rPr>
            <sz val="9"/>
            <color indexed="81"/>
            <rFont val="Tahoma"/>
            <family val="2"/>
          </rPr>
          <t xml:space="preserve">
Ersätter fiktiv 6FRISPRÅK3</t>
        </r>
      </text>
    </comment>
    <comment ref="A438" authorId="0" shapeId="0">
      <text>
        <r>
          <rPr>
            <b/>
            <sz val="9"/>
            <color indexed="81"/>
            <rFont val="Tahoma"/>
            <family val="2"/>
          </rPr>
          <t>Agnetha Simm:</t>
        </r>
        <r>
          <rPr>
            <sz val="9"/>
            <color indexed="81"/>
            <rFont val="Tahoma"/>
            <family val="2"/>
          </rPr>
          <t xml:space="preserve">
Ers 6MA037</t>
        </r>
      </text>
    </comment>
    <comment ref="A468" authorId="0" shapeId="0">
      <text>
        <r>
          <rPr>
            <b/>
            <sz val="9"/>
            <color indexed="81"/>
            <rFont val="Tahoma"/>
            <family val="2"/>
          </rPr>
          <t>Agnetha Simm:</t>
        </r>
        <r>
          <rPr>
            <sz val="9"/>
            <color indexed="81"/>
            <rFont val="Tahoma"/>
            <family val="2"/>
          </rPr>
          <t xml:space="preserve">
Ers 6MA031 fr o m vt-19</t>
        </r>
      </text>
    </comment>
    <comment ref="A469" authorId="0" shapeId="0">
      <text>
        <r>
          <rPr>
            <b/>
            <sz val="9"/>
            <color indexed="81"/>
            <rFont val="Tahoma"/>
            <family val="2"/>
          </rPr>
          <t>Agnetha Simm:</t>
        </r>
        <r>
          <rPr>
            <sz val="9"/>
            <color indexed="81"/>
            <rFont val="Tahoma"/>
            <family val="2"/>
          </rPr>
          <t xml:space="preserve">
Ersätter 6MA020</t>
        </r>
      </text>
    </comment>
    <comment ref="A471" authorId="0" shapeId="0">
      <text>
        <r>
          <rPr>
            <b/>
            <sz val="9"/>
            <color indexed="81"/>
            <rFont val="Tahoma"/>
            <family val="2"/>
          </rPr>
          <t>Agnetha Simm:</t>
        </r>
        <r>
          <rPr>
            <sz val="9"/>
            <color indexed="81"/>
            <rFont val="Tahoma"/>
            <family val="2"/>
          </rPr>
          <t xml:space="preserve">
Ersätter 6MS001</t>
        </r>
      </text>
    </comment>
    <comment ref="A483" authorId="0" shapeId="0">
      <text>
        <r>
          <rPr>
            <b/>
            <sz val="9"/>
            <color indexed="81"/>
            <rFont val="Tahoma"/>
            <family val="2"/>
          </rPr>
          <t>Agnetha Simm:</t>
        </r>
        <r>
          <rPr>
            <sz val="9"/>
            <color indexed="81"/>
            <rFont val="Tahoma"/>
            <family val="2"/>
          </rPr>
          <t xml:space="preserve">
Fd 6NYFRIST25</t>
        </r>
      </text>
    </comment>
    <comment ref="A490" authorId="0" shapeId="0">
      <text>
        <r>
          <rPr>
            <b/>
            <sz val="9"/>
            <color indexed="81"/>
            <rFont val="Tahoma"/>
            <family val="2"/>
          </rPr>
          <t>Agnetha Simm:</t>
        </r>
        <r>
          <rPr>
            <sz val="9"/>
            <color indexed="81"/>
            <rFont val="Tahoma"/>
            <family val="2"/>
          </rPr>
          <t xml:space="preserve">
Fd fiktiv 6FRIEST4</t>
        </r>
      </text>
    </comment>
    <comment ref="A495" authorId="0" shapeId="0">
      <text>
        <r>
          <rPr>
            <b/>
            <sz val="9"/>
            <color indexed="81"/>
            <rFont val="Tahoma"/>
            <family val="2"/>
          </rPr>
          <t>Agnetha Simm:</t>
        </r>
        <r>
          <rPr>
            <sz val="9"/>
            <color indexed="81"/>
            <rFont val="Tahoma"/>
            <family val="2"/>
          </rPr>
          <t xml:space="preserve">
Ers 6MU022</t>
        </r>
      </text>
    </comment>
    <comment ref="A497" authorId="0" shapeId="0">
      <text>
        <r>
          <rPr>
            <b/>
            <sz val="9"/>
            <color indexed="81"/>
            <rFont val="Tahoma"/>
            <family val="2"/>
          </rPr>
          <t>Agnetha Simm:</t>
        </r>
        <r>
          <rPr>
            <sz val="9"/>
            <color indexed="81"/>
            <rFont val="Tahoma"/>
            <family val="2"/>
          </rPr>
          <t xml:space="preserve">
Ers 6MU050</t>
        </r>
      </text>
    </comment>
    <comment ref="A516" authorId="0" shapeId="0">
      <text>
        <r>
          <rPr>
            <b/>
            <sz val="9"/>
            <color indexed="81"/>
            <rFont val="Tahoma"/>
            <family val="2"/>
          </rPr>
          <t>Agnetha Simm:</t>
        </r>
        <r>
          <rPr>
            <sz val="9"/>
            <color indexed="81"/>
            <rFont val="Tahoma"/>
            <family val="2"/>
          </rPr>
          <t xml:space="preserve">
Fd fiktiv 6xxxx7</t>
        </r>
      </text>
    </comment>
    <comment ref="A559" authorId="0" shapeId="0">
      <text>
        <r>
          <rPr>
            <b/>
            <sz val="9"/>
            <color indexed="81"/>
            <rFont val="Tahoma"/>
            <family val="2"/>
          </rPr>
          <t>Agnetha Simm:</t>
        </r>
        <r>
          <rPr>
            <sz val="9"/>
            <color indexed="81"/>
            <rFont val="Tahoma"/>
            <family val="2"/>
          </rPr>
          <t xml:space="preserve">
Se 6PE259</t>
        </r>
      </text>
    </comment>
    <comment ref="A561" authorId="0" shapeId="0">
      <text>
        <r>
          <rPr>
            <b/>
            <sz val="9"/>
            <color indexed="81"/>
            <rFont val="Tahoma"/>
            <family val="2"/>
          </rPr>
          <t>Agnetha Simm:</t>
        </r>
        <r>
          <rPr>
            <sz val="9"/>
            <color indexed="81"/>
            <rFont val="Tahoma"/>
            <family val="2"/>
          </rPr>
          <t xml:space="preserve">
Fd fiktiv kurskod 6SH7XX
Kursansvar tillfälligt Pedagogik vt-15. Ny kurs (kurskod) på g inför ht -15. OBS Stämmer ej med kursplan där TUV står som kursansvarig.</t>
        </r>
      </text>
    </comment>
    <comment ref="B561" authorId="0" shapeId="0">
      <text>
        <r>
          <rPr>
            <b/>
            <sz val="9"/>
            <color indexed="81"/>
            <rFont val="Tahoma"/>
            <family val="2"/>
          </rPr>
          <t>Agnetha Simm:</t>
        </r>
        <r>
          <rPr>
            <sz val="9"/>
            <color indexed="81"/>
            <rFont val="Tahoma"/>
            <family val="2"/>
          </rPr>
          <t xml:space="preserve">
Ändrat 150112</t>
        </r>
      </text>
    </comment>
    <comment ref="A572" authorId="0" shapeId="0">
      <text>
        <r>
          <rPr>
            <b/>
            <sz val="9"/>
            <color indexed="81"/>
            <rFont val="Tahoma"/>
            <family val="2"/>
          </rPr>
          <t>Agnetha Simm:</t>
        </r>
        <r>
          <rPr>
            <sz val="9"/>
            <color indexed="81"/>
            <rFont val="Tahoma"/>
            <family val="2"/>
          </rPr>
          <t xml:space="preserve">
Fd kurskod 6PE142</t>
        </r>
      </text>
    </comment>
    <comment ref="A573" authorId="0" shapeId="0">
      <text>
        <r>
          <rPr>
            <b/>
            <sz val="9"/>
            <color indexed="81"/>
            <rFont val="Tahoma"/>
            <family val="2"/>
          </rPr>
          <t>Agnetha Simm:</t>
        </r>
        <r>
          <rPr>
            <sz val="9"/>
            <color indexed="81"/>
            <rFont val="Tahoma"/>
            <family val="2"/>
          </rPr>
          <t xml:space="preserve">
Fd kurskod 6PE141</t>
        </r>
      </text>
    </comment>
    <comment ref="A576" authorId="0" shapeId="0">
      <text>
        <r>
          <rPr>
            <b/>
            <sz val="9"/>
            <color indexed="81"/>
            <rFont val="Tahoma"/>
            <family val="2"/>
          </rPr>
          <t>Agnetha Simm:</t>
        </r>
        <r>
          <rPr>
            <sz val="9"/>
            <color indexed="81"/>
            <rFont val="Tahoma"/>
            <family val="2"/>
          </rPr>
          <t xml:space="preserve">
Fd fiktiv kurskod 6LU0xx</t>
        </r>
      </text>
    </comment>
    <comment ref="A607" authorId="0" shapeId="0">
      <text>
        <r>
          <rPr>
            <b/>
            <sz val="9"/>
            <color indexed="81"/>
            <rFont val="Tahoma"/>
            <family val="2"/>
          </rPr>
          <t>Agnetha Simm:</t>
        </r>
        <r>
          <rPr>
            <sz val="9"/>
            <color indexed="81"/>
            <rFont val="Tahoma"/>
            <family val="2"/>
          </rPr>
          <t xml:space="preserve">
Fd 6NYFRIST12</t>
        </r>
      </text>
    </comment>
    <comment ref="A608" authorId="0" shapeId="0">
      <text>
        <r>
          <rPr>
            <b/>
            <sz val="9"/>
            <color indexed="81"/>
            <rFont val="Tahoma"/>
            <family val="2"/>
          </rPr>
          <t>Agnetha Simm:</t>
        </r>
        <r>
          <rPr>
            <sz val="9"/>
            <color indexed="81"/>
            <rFont val="Tahoma"/>
            <family val="2"/>
          </rPr>
          <t xml:space="preserve">
Fd fiktiv 6UKI1a</t>
        </r>
      </text>
    </comment>
    <comment ref="A609" authorId="0" shapeId="0">
      <text>
        <r>
          <rPr>
            <b/>
            <sz val="9"/>
            <color indexed="81"/>
            <rFont val="Tahoma"/>
            <family val="2"/>
          </rPr>
          <t>Agnetha Simm:</t>
        </r>
        <r>
          <rPr>
            <sz val="9"/>
            <color indexed="81"/>
            <rFont val="Tahoma"/>
            <family val="2"/>
          </rPr>
          <t xml:space="preserve">
Fd fiktiv 6VFU3a</t>
        </r>
      </text>
    </comment>
    <comment ref="A626" authorId="0" shapeId="0">
      <text>
        <r>
          <rPr>
            <b/>
            <sz val="9"/>
            <color indexed="81"/>
            <rFont val="Tahoma"/>
            <family val="2"/>
          </rPr>
          <t>Agnetha Simm:</t>
        </r>
        <r>
          <rPr>
            <sz val="9"/>
            <color indexed="81"/>
            <rFont val="Tahoma"/>
            <family val="2"/>
          </rPr>
          <t xml:space="preserve">
Ers 6PE093 fr o m ht-16 (kull h15)</t>
        </r>
      </text>
    </comment>
    <comment ref="A628" authorId="0" shapeId="0">
      <text>
        <r>
          <rPr>
            <b/>
            <sz val="9"/>
            <color indexed="81"/>
            <rFont val="Tahoma"/>
            <family val="2"/>
          </rPr>
          <t>Agnetha Simm:</t>
        </r>
        <r>
          <rPr>
            <sz val="9"/>
            <color indexed="81"/>
            <rFont val="Tahoma"/>
            <family val="2"/>
          </rPr>
          <t xml:space="preserve">
Ersätter 6PE174</t>
        </r>
      </text>
    </comment>
    <comment ref="A630" authorId="0" shapeId="0">
      <text>
        <r>
          <rPr>
            <b/>
            <sz val="9"/>
            <color indexed="81"/>
            <rFont val="Tahoma"/>
            <family val="2"/>
          </rPr>
          <t>Agnetha Simm:</t>
        </r>
        <r>
          <rPr>
            <sz val="9"/>
            <color indexed="81"/>
            <rFont val="Tahoma"/>
            <family val="2"/>
          </rPr>
          <t xml:space="preserve">
Ersätter 6PE173</t>
        </r>
      </text>
    </comment>
    <comment ref="A657" authorId="0" shapeId="0">
      <text>
        <r>
          <rPr>
            <b/>
            <sz val="9"/>
            <color indexed="81"/>
            <rFont val="Tahoma"/>
            <family val="2"/>
          </rPr>
          <t>Agnetha Simm:</t>
        </r>
        <r>
          <rPr>
            <sz val="9"/>
            <color indexed="81"/>
            <rFont val="Tahoma"/>
            <family val="2"/>
          </rPr>
          <t xml:space="preserve">
Fd 6FRITUV5</t>
        </r>
      </text>
    </comment>
    <comment ref="A658" authorId="0" shapeId="0">
      <text>
        <r>
          <rPr>
            <b/>
            <sz val="9"/>
            <color indexed="81"/>
            <rFont val="Tahoma"/>
            <family val="2"/>
          </rPr>
          <t>Agnetha Simm:</t>
        </r>
        <r>
          <rPr>
            <sz val="9"/>
            <color indexed="81"/>
            <rFont val="Tahoma"/>
            <family val="2"/>
          </rPr>
          <t xml:space="preserve">
Fd fiktiv 6FRINMD1</t>
        </r>
      </text>
    </comment>
    <comment ref="A659" authorId="0" shapeId="0">
      <text>
        <r>
          <rPr>
            <b/>
            <sz val="9"/>
            <color indexed="81"/>
            <rFont val="Tahoma"/>
            <family val="2"/>
          </rPr>
          <t>Agnetha Simm:</t>
        </r>
        <r>
          <rPr>
            <sz val="9"/>
            <color indexed="81"/>
            <rFont val="Tahoma"/>
            <family val="2"/>
          </rPr>
          <t xml:space="preserve">
Ers 6PE139</t>
        </r>
      </text>
    </comment>
    <comment ref="A660" authorId="0" shapeId="0">
      <text>
        <r>
          <rPr>
            <b/>
            <sz val="9"/>
            <color indexed="81"/>
            <rFont val="Tahoma"/>
            <family val="2"/>
          </rPr>
          <t>Agnetha Simm:</t>
        </r>
        <r>
          <rPr>
            <sz val="9"/>
            <color indexed="81"/>
            <rFont val="Tahoma"/>
            <family val="2"/>
          </rPr>
          <t xml:space="preserve">
Ers 6PE140</t>
        </r>
      </text>
    </comment>
    <comment ref="A661" authorId="0" shapeId="0">
      <text>
        <r>
          <rPr>
            <b/>
            <sz val="9"/>
            <color indexed="81"/>
            <rFont val="Tahoma"/>
            <family val="2"/>
          </rPr>
          <t>Agnetha Simm:</t>
        </r>
        <r>
          <rPr>
            <sz val="9"/>
            <color indexed="81"/>
            <rFont val="Tahoma"/>
            <family val="2"/>
          </rPr>
          <t xml:space="preserve">
Fd fiktiv 6FRITUV9</t>
        </r>
      </text>
    </comment>
    <comment ref="A662" authorId="0" shapeId="0">
      <text>
        <r>
          <rPr>
            <b/>
            <sz val="9"/>
            <color indexed="81"/>
            <rFont val="Tahoma"/>
            <family val="2"/>
          </rPr>
          <t>Agnetha Simm:</t>
        </r>
        <r>
          <rPr>
            <sz val="9"/>
            <color indexed="81"/>
            <rFont val="Tahoma"/>
            <family val="2"/>
          </rPr>
          <t xml:space="preserve">
Fd fiktiv 6FRITUV8</t>
        </r>
      </text>
    </comment>
    <comment ref="A663" authorId="0" shapeId="0">
      <text>
        <r>
          <rPr>
            <b/>
            <sz val="9"/>
            <color indexed="81"/>
            <rFont val="Tahoma"/>
            <family val="2"/>
          </rPr>
          <t>Agnetha Simm:</t>
        </r>
        <r>
          <rPr>
            <sz val="9"/>
            <color indexed="81"/>
            <rFont val="Tahoma"/>
            <family val="2"/>
          </rPr>
          <t xml:space="preserve">
Ers fd 6PE232</t>
        </r>
      </text>
    </comment>
    <comment ref="A664" authorId="0" shapeId="0">
      <text>
        <r>
          <rPr>
            <b/>
            <sz val="9"/>
            <color indexed="81"/>
            <rFont val="Tahoma"/>
            <family val="2"/>
          </rPr>
          <t>Agnetha Simm:</t>
        </r>
        <r>
          <rPr>
            <sz val="9"/>
            <color indexed="81"/>
            <rFont val="Tahoma"/>
            <family val="2"/>
          </rPr>
          <t xml:space="preserve">
Ers fd 6PE233</t>
        </r>
      </text>
    </comment>
    <comment ref="A666" authorId="0" shapeId="0">
      <text>
        <r>
          <rPr>
            <b/>
            <sz val="9"/>
            <color indexed="81"/>
            <rFont val="Tahoma"/>
            <family val="2"/>
          </rPr>
          <t>Agnetha Simm:</t>
        </r>
        <r>
          <rPr>
            <sz val="9"/>
            <color indexed="81"/>
            <rFont val="Tahoma"/>
            <family val="2"/>
          </rPr>
          <t xml:space="preserve">
Fd fiktiv 6xxx22</t>
        </r>
      </text>
    </comment>
    <comment ref="A667" authorId="0" shapeId="0">
      <text>
        <r>
          <rPr>
            <b/>
            <sz val="9"/>
            <color indexed="81"/>
            <rFont val="Tahoma"/>
            <family val="2"/>
          </rPr>
          <t>Agnetha Simm:</t>
        </r>
        <r>
          <rPr>
            <sz val="9"/>
            <color indexed="81"/>
            <rFont val="Tahoma"/>
            <family val="2"/>
          </rPr>
          <t xml:space="preserve">
Fd fiktiv 6xxx24</t>
        </r>
      </text>
    </comment>
    <comment ref="A668" authorId="0" shapeId="0">
      <text>
        <r>
          <rPr>
            <b/>
            <sz val="9"/>
            <color indexed="81"/>
            <rFont val="Tahoma"/>
            <family val="2"/>
          </rPr>
          <t>Agnetha Simm:</t>
        </r>
        <r>
          <rPr>
            <sz val="9"/>
            <color indexed="81"/>
            <rFont val="Tahoma"/>
            <family val="2"/>
          </rPr>
          <t xml:space="preserve">
Ers 6PE100</t>
        </r>
      </text>
    </comment>
    <comment ref="A669" authorId="0" shapeId="0">
      <text>
        <r>
          <rPr>
            <b/>
            <sz val="9"/>
            <color indexed="81"/>
            <rFont val="Tahoma"/>
            <family val="2"/>
          </rPr>
          <t>Agnetha Simm:</t>
        </r>
        <r>
          <rPr>
            <sz val="9"/>
            <color indexed="81"/>
            <rFont val="Tahoma"/>
            <family val="2"/>
          </rPr>
          <t xml:space="preserve">
Fd fiktiv 6xxxx6</t>
        </r>
      </text>
    </comment>
    <comment ref="A670" authorId="0" shapeId="0">
      <text>
        <r>
          <rPr>
            <b/>
            <sz val="9"/>
            <color indexed="81"/>
            <rFont val="Tahoma"/>
            <family val="2"/>
          </rPr>
          <t>Agnetha Simm:</t>
        </r>
        <r>
          <rPr>
            <sz val="9"/>
            <color indexed="81"/>
            <rFont val="Tahoma"/>
            <family val="2"/>
          </rPr>
          <t xml:space="preserve">
Fd 6PE102</t>
        </r>
      </text>
    </comment>
    <comment ref="A671" authorId="0" shapeId="0">
      <text>
        <r>
          <rPr>
            <b/>
            <sz val="9"/>
            <color indexed="81"/>
            <rFont val="Tahoma"/>
            <family val="2"/>
          </rPr>
          <t>Agnetha Simm:</t>
        </r>
        <r>
          <rPr>
            <sz val="9"/>
            <color indexed="81"/>
            <rFont val="Tahoma"/>
            <family val="2"/>
          </rPr>
          <t xml:space="preserve">
Fd 6PE105</t>
        </r>
      </text>
    </comment>
    <comment ref="A676" authorId="0" shapeId="0">
      <text>
        <r>
          <rPr>
            <b/>
            <sz val="9"/>
            <color indexed="81"/>
            <rFont val="Tahoma"/>
            <family val="2"/>
          </rPr>
          <t>Agnetha Simm:</t>
        </r>
        <r>
          <rPr>
            <sz val="9"/>
            <color indexed="81"/>
            <rFont val="Tahoma"/>
            <family val="2"/>
          </rPr>
          <t xml:space="preserve">
Ersätter 6PE117 fr o m vt-18</t>
        </r>
      </text>
    </comment>
    <comment ref="A677" authorId="0" shapeId="0">
      <text>
        <r>
          <rPr>
            <b/>
            <sz val="9"/>
            <color indexed="81"/>
            <rFont val="Tahoma"/>
            <family val="2"/>
          </rPr>
          <t>Agnetha Simm:</t>
        </r>
        <r>
          <rPr>
            <sz val="9"/>
            <color indexed="81"/>
            <rFont val="Tahoma"/>
            <family val="2"/>
          </rPr>
          <t xml:space="preserve">
Fd fiktiv 6xxxx8</t>
        </r>
      </text>
    </comment>
    <comment ref="A680" authorId="0" shapeId="0">
      <text>
        <r>
          <rPr>
            <b/>
            <sz val="9"/>
            <color indexed="81"/>
            <rFont val="Tahoma"/>
            <family val="2"/>
          </rPr>
          <t>Agnetha Simm:</t>
        </r>
        <r>
          <rPr>
            <sz val="9"/>
            <color indexed="81"/>
            <rFont val="Tahoma"/>
            <family val="2"/>
          </rPr>
          <t xml:space="preserve">
Fd fiktiv 6FRITUV1</t>
        </r>
      </text>
    </comment>
    <comment ref="A681" authorId="0" shapeId="0">
      <text>
        <r>
          <rPr>
            <b/>
            <sz val="9"/>
            <color indexed="81"/>
            <rFont val="Tahoma"/>
            <family val="2"/>
          </rPr>
          <t>Agnetha Simm:</t>
        </r>
        <r>
          <rPr>
            <sz val="9"/>
            <color indexed="81"/>
            <rFont val="Tahoma"/>
            <family val="2"/>
          </rPr>
          <t xml:space="preserve">
Ers 6PE189</t>
        </r>
      </text>
    </comment>
    <comment ref="A682" authorId="0" shapeId="0">
      <text>
        <r>
          <rPr>
            <b/>
            <sz val="9"/>
            <color indexed="81"/>
            <rFont val="Tahoma"/>
            <family val="2"/>
          </rPr>
          <t>Agnetha Simm:</t>
        </r>
        <r>
          <rPr>
            <sz val="9"/>
            <color indexed="81"/>
            <rFont val="Tahoma"/>
            <family val="2"/>
          </rPr>
          <t xml:space="preserve">
Ersätter 6PE158</t>
        </r>
      </text>
    </comment>
    <comment ref="A683" authorId="0" shapeId="0">
      <text>
        <r>
          <rPr>
            <b/>
            <sz val="9"/>
            <color indexed="81"/>
            <rFont val="Tahoma"/>
            <family val="2"/>
          </rPr>
          <t>Agnetha Simm:</t>
        </r>
        <r>
          <rPr>
            <sz val="9"/>
            <color indexed="81"/>
            <rFont val="Tahoma"/>
            <family val="2"/>
          </rPr>
          <t xml:space="preserve">
Ersätter 6PE159</t>
        </r>
      </text>
    </comment>
    <comment ref="A684" authorId="0" shapeId="0">
      <text>
        <r>
          <rPr>
            <b/>
            <sz val="9"/>
            <color indexed="81"/>
            <rFont val="Tahoma"/>
            <family val="2"/>
          </rPr>
          <t>Agnetha Simm:</t>
        </r>
        <r>
          <rPr>
            <sz val="9"/>
            <color indexed="81"/>
            <rFont val="Tahoma"/>
            <family val="2"/>
          </rPr>
          <t xml:space="preserve">
Ers 6PE215</t>
        </r>
      </text>
    </comment>
    <comment ref="A685" authorId="0" shapeId="0">
      <text>
        <r>
          <rPr>
            <b/>
            <sz val="9"/>
            <color indexed="81"/>
            <rFont val="Tahoma"/>
            <family val="2"/>
          </rPr>
          <t>Agnetha Simm:</t>
        </r>
        <r>
          <rPr>
            <sz val="9"/>
            <color indexed="81"/>
            <rFont val="Tahoma"/>
            <family val="2"/>
          </rPr>
          <t xml:space="preserve">
Ers 6PE196</t>
        </r>
      </text>
    </comment>
    <comment ref="A686" authorId="0" shapeId="0">
      <text>
        <r>
          <rPr>
            <b/>
            <sz val="9"/>
            <color indexed="81"/>
            <rFont val="Tahoma"/>
            <family val="2"/>
          </rPr>
          <t>Agnetha Simm:</t>
        </r>
        <r>
          <rPr>
            <sz val="9"/>
            <color indexed="81"/>
            <rFont val="Tahoma"/>
            <family val="2"/>
          </rPr>
          <t xml:space="preserve">
Ers 6BI019</t>
        </r>
      </text>
    </comment>
    <comment ref="A687" authorId="0" shapeId="0">
      <text>
        <r>
          <rPr>
            <b/>
            <sz val="9"/>
            <color indexed="81"/>
            <rFont val="Tahoma"/>
            <family val="2"/>
          </rPr>
          <t>Agnetha Simm:</t>
        </r>
        <r>
          <rPr>
            <sz val="9"/>
            <color indexed="81"/>
            <rFont val="Tahoma"/>
            <family val="2"/>
          </rPr>
          <t xml:space="preserve">
Ers 6NK000</t>
        </r>
      </text>
    </comment>
    <comment ref="A689" authorId="0" shapeId="0">
      <text>
        <r>
          <rPr>
            <b/>
            <sz val="9"/>
            <color indexed="81"/>
            <rFont val="Tahoma"/>
            <family val="2"/>
          </rPr>
          <t>Agnetha Simm:</t>
        </r>
        <r>
          <rPr>
            <sz val="9"/>
            <color indexed="81"/>
            <rFont val="Tahoma"/>
            <family val="2"/>
          </rPr>
          <t xml:space="preserve">
Ers 6SH303</t>
        </r>
      </text>
    </comment>
    <comment ref="A690" authorId="0" shapeId="0">
      <text>
        <r>
          <rPr>
            <b/>
            <sz val="9"/>
            <color indexed="81"/>
            <rFont val="Tahoma"/>
            <family val="2"/>
          </rPr>
          <t>Agnetha Simm:</t>
        </r>
        <r>
          <rPr>
            <sz val="9"/>
            <color indexed="81"/>
            <rFont val="Tahoma"/>
            <family val="2"/>
          </rPr>
          <t xml:space="preserve">
Ers 2PE273</t>
        </r>
      </text>
    </comment>
    <comment ref="A691" authorId="0" shapeId="0">
      <text>
        <r>
          <rPr>
            <b/>
            <sz val="9"/>
            <color indexed="81"/>
            <rFont val="Tahoma"/>
            <family val="2"/>
          </rPr>
          <t>Agnetha Simm:</t>
        </r>
        <r>
          <rPr>
            <sz val="9"/>
            <color indexed="81"/>
            <rFont val="Tahoma"/>
            <family val="2"/>
          </rPr>
          <t xml:space="preserve">
Fd fiktiv 6FRIPED2</t>
        </r>
      </text>
    </comment>
    <comment ref="A692" authorId="0" shapeId="0">
      <text>
        <r>
          <rPr>
            <b/>
            <sz val="9"/>
            <color indexed="81"/>
            <rFont val="Tahoma"/>
            <family val="2"/>
          </rPr>
          <t>Agnetha Simm:</t>
        </r>
        <r>
          <rPr>
            <sz val="9"/>
            <color indexed="81"/>
            <rFont val="Tahoma"/>
            <family val="2"/>
          </rPr>
          <t xml:space="preserve">
Ers fd 6PE231</t>
        </r>
      </text>
    </comment>
    <comment ref="A693" authorId="0" shapeId="0">
      <text>
        <r>
          <rPr>
            <b/>
            <sz val="9"/>
            <color indexed="81"/>
            <rFont val="Tahoma"/>
            <family val="2"/>
          </rPr>
          <t>Agnetha Simm:</t>
        </r>
        <r>
          <rPr>
            <sz val="9"/>
            <color indexed="81"/>
            <rFont val="Tahoma"/>
            <family val="2"/>
          </rPr>
          <t xml:space="preserve">
Ers fd 6PE230</t>
        </r>
      </text>
    </comment>
    <comment ref="A694" authorId="0" shapeId="0">
      <text>
        <r>
          <rPr>
            <b/>
            <sz val="9"/>
            <color indexed="81"/>
            <rFont val="Tahoma"/>
            <family val="2"/>
          </rPr>
          <t>Agnetha Simm:</t>
        </r>
        <r>
          <rPr>
            <sz val="9"/>
            <color indexed="81"/>
            <rFont val="Tahoma"/>
            <family val="2"/>
          </rPr>
          <t xml:space="preserve">
Ers fiktiv 6SPxx2b</t>
        </r>
      </text>
    </comment>
    <comment ref="A695" authorId="0" shapeId="0">
      <text>
        <r>
          <rPr>
            <b/>
            <sz val="9"/>
            <color indexed="81"/>
            <rFont val="Tahoma"/>
            <family val="2"/>
          </rPr>
          <t>Agnetha Simm:</t>
        </r>
        <r>
          <rPr>
            <sz val="9"/>
            <color indexed="81"/>
            <rFont val="Tahoma"/>
            <family val="2"/>
          </rPr>
          <t xml:space="preserve">
Fd fiktiv 6FRITUV2</t>
        </r>
      </text>
    </comment>
    <comment ref="A698" authorId="0" shapeId="0">
      <text>
        <r>
          <rPr>
            <b/>
            <sz val="9"/>
            <color indexed="81"/>
            <rFont val="Tahoma"/>
            <family val="2"/>
          </rPr>
          <t>Agnetha Simm:</t>
        </r>
        <r>
          <rPr>
            <sz val="9"/>
            <color indexed="81"/>
            <rFont val="Tahoma"/>
            <family val="2"/>
          </rPr>
          <t xml:space="preserve">
Ers 6PE135</t>
        </r>
      </text>
    </comment>
    <comment ref="A699" authorId="0" shapeId="0">
      <text>
        <r>
          <rPr>
            <b/>
            <sz val="9"/>
            <color indexed="81"/>
            <rFont val="Tahoma"/>
            <family val="2"/>
          </rPr>
          <t>Agnetha Simm:</t>
        </r>
        <r>
          <rPr>
            <sz val="9"/>
            <color indexed="81"/>
            <rFont val="Tahoma"/>
            <family val="2"/>
          </rPr>
          <t xml:space="preserve">
Ers 6PE136</t>
        </r>
      </text>
    </comment>
    <comment ref="A700" authorId="0" shapeId="0">
      <text>
        <r>
          <rPr>
            <b/>
            <sz val="9"/>
            <color indexed="81"/>
            <rFont val="Tahoma"/>
            <family val="2"/>
          </rPr>
          <t>Agnetha Simm:</t>
        </r>
        <r>
          <rPr>
            <sz val="9"/>
            <color indexed="81"/>
            <rFont val="Tahoma"/>
            <family val="2"/>
          </rPr>
          <t xml:space="preserve">
Ersätter 6PE129</t>
        </r>
      </text>
    </comment>
    <comment ref="A701" authorId="0" shapeId="0">
      <text>
        <r>
          <rPr>
            <b/>
            <sz val="9"/>
            <color indexed="81"/>
            <rFont val="Tahoma"/>
            <family val="2"/>
          </rPr>
          <t>Agnetha Simm:</t>
        </r>
        <r>
          <rPr>
            <sz val="9"/>
            <color indexed="81"/>
            <rFont val="Tahoma"/>
            <family val="2"/>
          </rPr>
          <t xml:space="preserve">
Ers 6PE302</t>
        </r>
      </text>
    </comment>
    <comment ref="A703" authorId="0" shapeId="0">
      <text>
        <r>
          <rPr>
            <b/>
            <sz val="9"/>
            <color indexed="81"/>
            <rFont val="Tahoma"/>
            <family val="2"/>
          </rPr>
          <t>Agnetha Simm:</t>
        </r>
        <r>
          <rPr>
            <sz val="9"/>
            <color indexed="81"/>
            <rFont val="Tahoma"/>
            <family val="2"/>
          </rPr>
          <t xml:space="preserve">
Ers 6PE254</t>
        </r>
      </text>
    </comment>
    <comment ref="A704" authorId="0" shapeId="0">
      <text>
        <r>
          <rPr>
            <b/>
            <sz val="9"/>
            <color indexed="81"/>
            <rFont val="Tahoma"/>
            <family val="2"/>
          </rPr>
          <t>Agnetha Simm:</t>
        </r>
        <r>
          <rPr>
            <sz val="9"/>
            <color indexed="81"/>
            <rFont val="Tahoma"/>
            <family val="2"/>
          </rPr>
          <t xml:space="preserve">
Ers 6PE261</t>
        </r>
      </text>
    </comment>
    <comment ref="A705" authorId="0" shapeId="0">
      <text>
        <r>
          <rPr>
            <b/>
            <sz val="9"/>
            <color indexed="81"/>
            <rFont val="Tahoma"/>
            <family val="2"/>
          </rPr>
          <t>Agnetha Simm:</t>
        </r>
        <r>
          <rPr>
            <sz val="9"/>
            <color indexed="81"/>
            <rFont val="Tahoma"/>
            <family val="2"/>
          </rPr>
          <t xml:space="preserve">
Ers 6PE255</t>
        </r>
      </text>
    </comment>
    <comment ref="A706" authorId="0" shapeId="0">
      <text>
        <r>
          <rPr>
            <b/>
            <sz val="9"/>
            <color indexed="81"/>
            <rFont val="Tahoma"/>
            <family val="2"/>
          </rPr>
          <t>Agnetha Simm:</t>
        </r>
        <r>
          <rPr>
            <sz val="9"/>
            <color indexed="81"/>
            <rFont val="Tahoma"/>
            <family val="2"/>
          </rPr>
          <t xml:space="preserve">
Ers 6PE224 fr o m vt-21, ändring av kursansvar</t>
        </r>
      </text>
    </comment>
    <comment ref="A707" authorId="0" shapeId="0">
      <text>
        <r>
          <rPr>
            <b/>
            <sz val="9"/>
            <color indexed="81"/>
            <rFont val="Tahoma"/>
            <family val="2"/>
          </rPr>
          <t>Agnetha Simm:</t>
        </r>
        <r>
          <rPr>
            <sz val="9"/>
            <color indexed="81"/>
            <rFont val="Tahoma"/>
            <family val="2"/>
          </rPr>
          <t xml:space="preserve">
Ers fiktiv 6FRIPED2</t>
        </r>
      </text>
    </comment>
    <comment ref="A710" authorId="0" shapeId="0">
      <text>
        <r>
          <rPr>
            <b/>
            <sz val="9"/>
            <color indexed="81"/>
            <rFont val="Tahoma"/>
            <family val="2"/>
          </rPr>
          <t>Agnetha Simm:</t>
        </r>
        <r>
          <rPr>
            <sz val="9"/>
            <color indexed="81"/>
            <rFont val="Tahoma"/>
            <family val="2"/>
          </rPr>
          <t xml:space="preserve">
Ers 6PE251 fr ht-21</t>
        </r>
      </text>
    </comment>
    <comment ref="A711" authorId="0" shapeId="0">
      <text>
        <r>
          <rPr>
            <b/>
            <sz val="9"/>
            <color indexed="81"/>
            <rFont val="Tahoma"/>
            <family val="2"/>
          </rPr>
          <t>Agnetha Simm:</t>
        </r>
        <r>
          <rPr>
            <sz val="9"/>
            <color indexed="81"/>
            <rFont val="Tahoma"/>
            <family val="2"/>
          </rPr>
          <t xml:space="preserve">
Ers 6PE253 fr ht-21</t>
        </r>
      </text>
    </comment>
    <comment ref="A737" authorId="0" shapeId="0">
      <text>
        <r>
          <rPr>
            <b/>
            <sz val="9"/>
            <color indexed="81"/>
            <rFont val="Tahoma"/>
            <family val="2"/>
          </rPr>
          <t>Agnetha Simm:</t>
        </r>
        <r>
          <rPr>
            <sz val="9"/>
            <color indexed="81"/>
            <rFont val="Tahoma"/>
            <family val="2"/>
          </rPr>
          <t xml:space="preserve">
Ersätter 6RV001</t>
        </r>
      </text>
    </comment>
    <comment ref="A738" authorId="0" shapeId="0">
      <text>
        <r>
          <rPr>
            <b/>
            <sz val="9"/>
            <color indexed="81"/>
            <rFont val="Tahoma"/>
            <family val="2"/>
          </rPr>
          <t>Agnetha Simm:</t>
        </r>
        <r>
          <rPr>
            <sz val="9"/>
            <color indexed="81"/>
            <rFont val="Tahoma"/>
            <family val="2"/>
          </rPr>
          <t xml:space="preserve">
Ers 6RV000</t>
        </r>
      </text>
    </comment>
    <comment ref="A739" authorId="0" shapeId="0">
      <text>
        <r>
          <rPr>
            <b/>
            <sz val="9"/>
            <color indexed="81"/>
            <rFont val="Tahoma"/>
            <family val="2"/>
          </rPr>
          <t>Agnetha Simm:</t>
        </r>
        <r>
          <rPr>
            <sz val="9"/>
            <color indexed="81"/>
            <rFont val="Tahoma"/>
            <family val="2"/>
          </rPr>
          <t xml:space="preserve">
Ers 6RV002</t>
        </r>
      </text>
    </comment>
    <comment ref="A746" authorId="0" shapeId="0">
      <text>
        <r>
          <rPr>
            <b/>
            <sz val="9"/>
            <color indexed="81"/>
            <rFont val="Tahoma"/>
            <family val="2"/>
          </rPr>
          <t>Agnetha Simm:</t>
        </r>
        <r>
          <rPr>
            <sz val="9"/>
            <color indexed="81"/>
            <rFont val="Tahoma"/>
            <family val="2"/>
          </rPr>
          <t xml:space="preserve">
Ers fiktiv 6SAund</t>
        </r>
      </text>
    </comment>
    <comment ref="A748" authorId="0" shapeId="0">
      <text>
        <r>
          <rPr>
            <b/>
            <sz val="9"/>
            <color indexed="81"/>
            <rFont val="Tahoma"/>
            <family val="2"/>
          </rPr>
          <t>Agnetha Simm:</t>
        </r>
        <r>
          <rPr>
            <sz val="9"/>
            <color indexed="81"/>
            <rFont val="Tahoma"/>
            <family val="2"/>
          </rPr>
          <t xml:space="preserve">
Ers fiktiv 6FRISPRÅK2</t>
        </r>
      </text>
    </comment>
    <comment ref="A758" authorId="0" shapeId="0">
      <text>
        <r>
          <rPr>
            <b/>
            <sz val="9"/>
            <color indexed="81"/>
            <rFont val="Tahoma"/>
            <family val="2"/>
          </rPr>
          <t>Agnetha Simm:</t>
        </r>
        <r>
          <rPr>
            <sz val="9"/>
            <color indexed="81"/>
            <rFont val="Tahoma"/>
            <family val="2"/>
          </rPr>
          <t xml:space="preserve">
Ers 6LI004</t>
        </r>
      </text>
    </comment>
    <comment ref="A759" authorId="0" shapeId="0">
      <text>
        <r>
          <rPr>
            <b/>
            <sz val="9"/>
            <color indexed="81"/>
            <rFont val="Tahoma"/>
            <family val="2"/>
          </rPr>
          <t>Agnetha Simm:</t>
        </r>
        <r>
          <rPr>
            <sz val="9"/>
            <color indexed="81"/>
            <rFont val="Tahoma"/>
            <family val="2"/>
          </rPr>
          <t xml:space="preserve">
Ers fiktiv 6SPxx2a</t>
        </r>
      </text>
    </comment>
    <comment ref="A760" authorId="0" shapeId="0">
      <text>
        <r>
          <rPr>
            <b/>
            <sz val="9"/>
            <color indexed="81"/>
            <rFont val="Tahoma"/>
            <family val="2"/>
          </rPr>
          <t>Agnetha Simm:</t>
        </r>
        <r>
          <rPr>
            <sz val="9"/>
            <color indexed="81"/>
            <rFont val="Tahoma"/>
            <family val="2"/>
          </rPr>
          <t xml:space="preserve">
Ers fiktiv 6SPxx3</t>
        </r>
      </text>
    </comment>
    <comment ref="A762" authorId="0" shapeId="0">
      <text>
        <r>
          <rPr>
            <b/>
            <sz val="9"/>
            <color indexed="81"/>
            <rFont val="Tahoma"/>
            <family val="2"/>
          </rPr>
          <t>Agnetha Simm:</t>
        </r>
        <r>
          <rPr>
            <sz val="9"/>
            <color indexed="81"/>
            <rFont val="Tahoma"/>
            <family val="2"/>
          </rPr>
          <t xml:space="preserve">
Ers fiktiv 6FRISPRÅK8</t>
        </r>
      </text>
    </comment>
    <comment ref="A772" authorId="0" shapeId="0">
      <text>
        <r>
          <rPr>
            <b/>
            <sz val="9"/>
            <color indexed="81"/>
            <rFont val="Tahoma"/>
            <family val="2"/>
          </rPr>
          <t>Agnetha Simm:</t>
        </r>
        <r>
          <rPr>
            <sz val="9"/>
            <color indexed="81"/>
            <rFont val="Tahoma"/>
            <family val="2"/>
          </rPr>
          <t xml:space="preserve">
Se 6PE119</t>
        </r>
      </text>
    </comment>
    <comment ref="A785" authorId="0" shapeId="0">
      <text>
        <r>
          <rPr>
            <b/>
            <sz val="9"/>
            <color indexed="81"/>
            <rFont val="Tahoma"/>
            <family val="2"/>
          </rPr>
          <t>Agnetha Simm:</t>
        </r>
        <r>
          <rPr>
            <sz val="9"/>
            <color indexed="81"/>
            <rFont val="Tahoma"/>
            <family val="2"/>
          </rPr>
          <t xml:space="preserve">
Fd 6FRIEST6</t>
        </r>
      </text>
    </comment>
    <comment ref="A789" authorId="0" shapeId="0">
      <text>
        <r>
          <rPr>
            <b/>
            <sz val="9"/>
            <color indexed="81"/>
            <rFont val="Tahoma"/>
            <family val="2"/>
          </rPr>
          <t>Agnetha Simm:</t>
        </r>
        <r>
          <rPr>
            <sz val="9"/>
            <color indexed="81"/>
            <rFont val="Tahoma"/>
            <family val="2"/>
          </rPr>
          <t xml:space="preserve">
Fd fiktiv 6SLxx3</t>
        </r>
      </text>
    </comment>
    <comment ref="A790" authorId="0" shapeId="0">
      <text>
        <r>
          <rPr>
            <b/>
            <sz val="9"/>
            <color indexed="81"/>
            <rFont val="Tahoma"/>
            <family val="2"/>
          </rPr>
          <t>Agnetha Simm:</t>
        </r>
        <r>
          <rPr>
            <sz val="9"/>
            <color indexed="81"/>
            <rFont val="Tahoma"/>
            <family val="2"/>
          </rPr>
          <t xml:space="preserve">
fd fiktiv 6FRIEST1</t>
        </r>
      </text>
    </comment>
    <comment ref="A797" authorId="0" shapeId="0">
      <text>
        <r>
          <rPr>
            <b/>
            <sz val="9"/>
            <color indexed="81"/>
            <rFont val="Tahoma"/>
            <family val="2"/>
          </rPr>
          <t>Agnetha Simm:</t>
        </r>
        <r>
          <rPr>
            <sz val="9"/>
            <color indexed="81"/>
            <rFont val="Tahoma"/>
            <family val="2"/>
          </rPr>
          <t xml:space="preserve">
Fd 6FRISPRÅK8</t>
        </r>
      </text>
    </comment>
    <comment ref="A806" authorId="0" shapeId="0">
      <text>
        <r>
          <rPr>
            <b/>
            <sz val="9"/>
            <color indexed="81"/>
            <rFont val="Tahoma"/>
            <family val="2"/>
          </rPr>
          <t>Agnetha Simm:</t>
        </r>
        <r>
          <rPr>
            <sz val="9"/>
            <color indexed="81"/>
            <rFont val="Tahoma"/>
            <family val="2"/>
          </rPr>
          <t xml:space="preserve">
Ers 6SP038</t>
        </r>
      </text>
    </comment>
    <comment ref="A807" authorId="0" shapeId="0">
      <text>
        <r>
          <rPr>
            <b/>
            <sz val="9"/>
            <color indexed="81"/>
            <rFont val="Tahoma"/>
            <family val="2"/>
          </rPr>
          <t>Agnetha Simm:</t>
        </r>
        <r>
          <rPr>
            <sz val="9"/>
            <color indexed="81"/>
            <rFont val="Tahoma"/>
            <family val="2"/>
          </rPr>
          <t xml:space="preserve">
Ers 6SP039</t>
        </r>
      </text>
    </comment>
    <comment ref="A809" authorId="0" shapeId="0">
      <text>
        <r>
          <rPr>
            <b/>
            <sz val="9"/>
            <color indexed="81"/>
            <rFont val="Tahoma"/>
            <family val="2"/>
          </rPr>
          <t>Agnetha Simm:</t>
        </r>
        <r>
          <rPr>
            <sz val="9"/>
            <color indexed="81"/>
            <rFont val="Tahoma"/>
            <family val="2"/>
          </rPr>
          <t xml:space="preserve">
Fd fiktiv 6FRITUV1</t>
        </r>
      </text>
    </comment>
    <comment ref="A810" authorId="0" shapeId="0">
      <text>
        <r>
          <rPr>
            <b/>
            <sz val="9"/>
            <color indexed="81"/>
            <rFont val="Tahoma"/>
            <family val="2"/>
          </rPr>
          <t>Agnetha Simm:</t>
        </r>
        <r>
          <rPr>
            <sz val="9"/>
            <color indexed="81"/>
            <rFont val="Tahoma"/>
            <family val="2"/>
          </rPr>
          <t xml:space="preserve">
Ersätter 6SP024</t>
        </r>
      </text>
    </comment>
    <comment ref="A811" authorId="0" shapeId="0">
      <text>
        <r>
          <rPr>
            <b/>
            <sz val="9"/>
            <color indexed="81"/>
            <rFont val="Tahoma"/>
            <family val="2"/>
          </rPr>
          <t>Agnetha Simm:</t>
        </r>
        <r>
          <rPr>
            <sz val="9"/>
            <color indexed="81"/>
            <rFont val="Tahoma"/>
            <family val="2"/>
          </rPr>
          <t xml:space="preserve">
Ers fiktiv 6SPxx2c</t>
        </r>
      </text>
    </comment>
    <comment ref="A812" authorId="0" shapeId="0">
      <text>
        <r>
          <rPr>
            <b/>
            <sz val="9"/>
            <color indexed="81"/>
            <rFont val="Tahoma"/>
            <family val="2"/>
          </rPr>
          <t>Agnetha Simm:</t>
        </r>
        <r>
          <rPr>
            <sz val="9"/>
            <color indexed="81"/>
            <rFont val="Tahoma"/>
            <family val="2"/>
          </rPr>
          <t xml:space="preserve">
Ers fiktiv 6SPxx2</t>
        </r>
      </text>
    </comment>
    <comment ref="A813" authorId="0" shapeId="0">
      <text>
        <r>
          <rPr>
            <b/>
            <sz val="9"/>
            <color indexed="81"/>
            <rFont val="Tahoma"/>
            <family val="2"/>
          </rPr>
          <t>Agnetha Simm:</t>
        </r>
        <r>
          <rPr>
            <sz val="9"/>
            <color indexed="81"/>
            <rFont val="Tahoma"/>
            <family val="2"/>
          </rPr>
          <t xml:space="preserve">
Ersätter 6SP053</t>
        </r>
      </text>
    </comment>
    <comment ref="A814" authorId="0" shapeId="0">
      <text>
        <r>
          <rPr>
            <b/>
            <sz val="9"/>
            <color indexed="81"/>
            <rFont val="Tahoma"/>
            <family val="2"/>
          </rPr>
          <t>Agnetha Simm:</t>
        </r>
        <r>
          <rPr>
            <sz val="9"/>
            <color indexed="81"/>
            <rFont val="Tahoma"/>
            <family val="2"/>
          </rPr>
          <t xml:space="preserve">
Ers 6SP054</t>
        </r>
      </text>
    </comment>
    <comment ref="A815" authorId="0" shapeId="0">
      <text>
        <r>
          <rPr>
            <b/>
            <sz val="9"/>
            <color indexed="81"/>
            <rFont val="Tahoma"/>
            <family val="2"/>
          </rPr>
          <t>Agnetha Simm:</t>
        </r>
        <r>
          <rPr>
            <sz val="9"/>
            <color indexed="81"/>
            <rFont val="Tahoma"/>
            <family val="2"/>
          </rPr>
          <t xml:space="preserve">
Ers 6SP055</t>
        </r>
      </text>
    </comment>
    <comment ref="A816" authorId="0" shapeId="0">
      <text>
        <r>
          <rPr>
            <b/>
            <sz val="9"/>
            <color indexed="81"/>
            <rFont val="Tahoma"/>
            <family val="2"/>
          </rPr>
          <t>Agnetha Simm:</t>
        </r>
        <r>
          <rPr>
            <sz val="9"/>
            <color indexed="81"/>
            <rFont val="Tahoma"/>
            <family val="2"/>
          </rPr>
          <t xml:space="preserve">
Ers 6SP058</t>
        </r>
      </text>
    </comment>
    <comment ref="A849" authorId="0" shapeId="0">
      <text>
        <r>
          <rPr>
            <b/>
            <sz val="9"/>
            <color indexed="81"/>
            <rFont val="Tahoma"/>
            <family val="2"/>
          </rPr>
          <t>Agnetha Simm:</t>
        </r>
        <r>
          <rPr>
            <sz val="9"/>
            <color indexed="81"/>
            <rFont val="Tahoma"/>
            <family val="2"/>
          </rPr>
          <t xml:space="preserve">
Ers 6SVund</t>
        </r>
      </text>
    </comment>
    <comment ref="A850" authorId="0" shapeId="0">
      <text>
        <r>
          <rPr>
            <b/>
            <sz val="9"/>
            <color indexed="81"/>
            <rFont val="Tahoma"/>
            <family val="2"/>
          </rPr>
          <t>Agnetha Simm:</t>
        </r>
        <r>
          <rPr>
            <sz val="9"/>
            <color indexed="81"/>
            <rFont val="Tahoma"/>
            <family val="2"/>
          </rPr>
          <t xml:space="preserve">
Ersätter 6SV034</t>
        </r>
      </text>
    </comment>
    <comment ref="A865" authorId="0" shapeId="0">
      <text>
        <r>
          <rPr>
            <b/>
            <sz val="9"/>
            <color indexed="81"/>
            <rFont val="Tahoma"/>
            <family val="2"/>
          </rPr>
          <t>Agnetha Simm:</t>
        </r>
        <r>
          <rPr>
            <sz val="9"/>
            <color indexed="81"/>
            <rFont val="Tahoma"/>
            <family val="2"/>
          </rPr>
          <t xml:space="preserve">
Ersätter 6SV020</t>
        </r>
      </text>
    </comment>
    <comment ref="A866" authorId="0" shapeId="0">
      <text>
        <r>
          <rPr>
            <b/>
            <sz val="9"/>
            <color indexed="81"/>
            <rFont val="Tahoma"/>
            <family val="2"/>
          </rPr>
          <t>Agnetha Simm:</t>
        </r>
        <r>
          <rPr>
            <sz val="9"/>
            <color indexed="81"/>
            <rFont val="Tahoma"/>
            <family val="2"/>
          </rPr>
          <t xml:space="preserve">
Fd fiktiv 6FRISPRÅK4</t>
        </r>
      </text>
    </comment>
    <comment ref="A867" authorId="0" shapeId="0">
      <text>
        <r>
          <rPr>
            <b/>
            <sz val="9"/>
            <color indexed="81"/>
            <rFont val="Tahoma"/>
            <family val="2"/>
          </rPr>
          <t>Agnetha Simm:</t>
        </r>
        <r>
          <rPr>
            <sz val="9"/>
            <color indexed="81"/>
            <rFont val="Tahoma"/>
            <family val="2"/>
          </rPr>
          <t xml:space="preserve">
Ers 6SV027</t>
        </r>
      </text>
    </comment>
    <comment ref="A868" authorId="0" shapeId="0">
      <text>
        <r>
          <rPr>
            <b/>
            <sz val="9"/>
            <color indexed="81"/>
            <rFont val="Tahoma"/>
            <family val="2"/>
          </rPr>
          <t>Agnetha Simm:</t>
        </r>
        <r>
          <rPr>
            <sz val="9"/>
            <color indexed="81"/>
            <rFont val="Tahoma"/>
            <family val="2"/>
          </rPr>
          <t xml:space="preserve">
Ers 6SV028</t>
        </r>
      </text>
    </comment>
    <comment ref="A869" authorId="0" shapeId="0">
      <text>
        <r>
          <rPr>
            <b/>
            <sz val="9"/>
            <color indexed="81"/>
            <rFont val="Tahoma"/>
            <family val="2"/>
          </rPr>
          <t>Agnetha Simm:</t>
        </r>
        <r>
          <rPr>
            <sz val="9"/>
            <color indexed="81"/>
            <rFont val="Tahoma"/>
            <family val="2"/>
          </rPr>
          <t xml:space="preserve">
Ers fiktiv FRISPRÅK10</t>
        </r>
      </text>
    </comment>
    <comment ref="A909" authorId="0" shapeId="0">
      <text>
        <r>
          <rPr>
            <b/>
            <sz val="9"/>
            <color indexed="81"/>
            <rFont val="Tahoma"/>
            <family val="2"/>
          </rPr>
          <t>Agnetha Simm:</t>
        </r>
        <r>
          <rPr>
            <sz val="9"/>
            <color indexed="81"/>
            <rFont val="Tahoma"/>
            <family val="2"/>
          </rPr>
          <t xml:space="preserve">
Fd 6NYFRIST23</t>
        </r>
      </text>
    </comment>
    <comment ref="A911" authorId="0" shapeId="0">
      <text>
        <r>
          <rPr>
            <b/>
            <sz val="9"/>
            <color indexed="81"/>
            <rFont val="Tahoma"/>
            <family val="2"/>
          </rPr>
          <t>Agnetha Simm:</t>
        </r>
        <r>
          <rPr>
            <sz val="9"/>
            <color indexed="81"/>
            <rFont val="Tahoma"/>
            <family val="2"/>
          </rPr>
          <t xml:space="preserve">
Fd 6FRIEST5</t>
        </r>
      </text>
    </comment>
    <comment ref="A912" authorId="0" shapeId="0">
      <text>
        <r>
          <rPr>
            <b/>
            <sz val="9"/>
            <color indexed="81"/>
            <rFont val="Tahoma"/>
            <family val="2"/>
          </rPr>
          <t>Agnetha Simm:</t>
        </r>
        <r>
          <rPr>
            <sz val="9"/>
            <color indexed="81"/>
            <rFont val="Tahoma"/>
            <family val="2"/>
          </rPr>
          <t xml:space="preserve">
Fd fiktiv 6FRIEST3</t>
        </r>
      </text>
    </comment>
    <comment ref="A913" authorId="0" shapeId="0">
      <text>
        <r>
          <rPr>
            <b/>
            <sz val="9"/>
            <color indexed="81"/>
            <rFont val="Tahoma"/>
            <family val="2"/>
          </rPr>
          <t>Agnetha Simm:</t>
        </r>
        <r>
          <rPr>
            <sz val="9"/>
            <color indexed="81"/>
            <rFont val="Tahoma"/>
            <family val="2"/>
          </rPr>
          <t xml:space="preserve">
Fd fiktiv 6FRIEST9</t>
        </r>
      </text>
    </comment>
    <comment ref="A914" authorId="0" shapeId="0">
      <text>
        <r>
          <rPr>
            <b/>
            <sz val="9"/>
            <color indexed="81"/>
            <rFont val="Tahoma"/>
            <family val="2"/>
          </rPr>
          <t>Agnetha Simm:</t>
        </r>
        <r>
          <rPr>
            <sz val="9"/>
            <color indexed="81"/>
            <rFont val="Tahoma"/>
            <family val="2"/>
          </rPr>
          <t xml:space="preserve">
Fd 6FRIEST8</t>
        </r>
      </text>
    </comment>
    <comment ref="A916" authorId="0" shapeId="0">
      <text>
        <r>
          <rPr>
            <b/>
            <sz val="9"/>
            <color indexed="81"/>
            <rFont val="Tahoma"/>
            <family val="2"/>
          </rPr>
          <t>Agnetha Simm:</t>
        </r>
        <r>
          <rPr>
            <sz val="9"/>
            <color indexed="81"/>
            <rFont val="Tahoma"/>
            <family val="2"/>
          </rPr>
          <t xml:space="preserve">
Fd fiktiv 6TXxx3</t>
        </r>
      </text>
    </comment>
    <comment ref="A917" authorId="0" shapeId="0">
      <text>
        <r>
          <rPr>
            <b/>
            <sz val="9"/>
            <color indexed="81"/>
            <rFont val="Tahoma"/>
            <family val="2"/>
          </rPr>
          <t>Agnetha Simm:</t>
        </r>
        <r>
          <rPr>
            <sz val="9"/>
            <color indexed="81"/>
            <rFont val="Tahoma"/>
            <family val="2"/>
          </rPr>
          <t xml:space="preserve">
fd fiktiv 6FRIEST2</t>
        </r>
      </text>
    </comment>
    <comment ref="A918" authorId="0" shapeId="0">
      <text>
        <r>
          <rPr>
            <b/>
            <sz val="9"/>
            <color indexed="81"/>
            <rFont val="Tahoma"/>
            <family val="2"/>
          </rPr>
          <t>Agnetha Simm:</t>
        </r>
        <r>
          <rPr>
            <sz val="9"/>
            <color indexed="81"/>
            <rFont val="Tahoma"/>
            <family val="2"/>
          </rPr>
          <t xml:space="preserve">
Ers 6TX018</t>
        </r>
      </text>
    </comment>
    <comment ref="A927" authorId="0" shapeId="0">
      <text>
        <r>
          <rPr>
            <b/>
            <sz val="9"/>
            <color indexed="81"/>
            <rFont val="Tahoma"/>
            <family val="2"/>
          </rPr>
          <t>Agnetha Simm:</t>
        </r>
        <r>
          <rPr>
            <sz val="9"/>
            <color indexed="81"/>
            <rFont val="Tahoma"/>
            <family val="2"/>
          </rPr>
          <t xml:space="preserve">
Fd 6FRISPRÅK2</t>
        </r>
      </text>
    </comment>
    <comment ref="A928" authorId="0" shapeId="0">
      <text>
        <r>
          <rPr>
            <b/>
            <sz val="9"/>
            <color indexed="81"/>
            <rFont val="Tahoma"/>
            <family val="2"/>
          </rPr>
          <t>Agnetha Simm:</t>
        </r>
        <r>
          <rPr>
            <sz val="9"/>
            <color indexed="81"/>
            <rFont val="Tahoma"/>
            <family val="2"/>
          </rPr>
          <t xml:space="preserve">
Ers 6TYund</t>
        </r>
      </text>
    </comment>
    <comment ref="A929" authorId="0" shapeId="0">
      <text>
        <r>
          <rPr>
            <b/>
            <sz val="9"/>
            <color indexed="81"/>
            <rFont val="Tahoma"/>
            <family val="2"/>
          </rPr>
          <t>Agnetha Simm:</t>
        </r>
        <r>
          <rPr>
            <sz val="9"/>
            <color indexed="81"/>
            <rFont val="Tahoma"/>
            <family val="2"/>
          </rPr>
          <t xml:space="preserve">
Ers 6TY012</t>
        </r>
      </text>
    </comment>
  </commentList>
</comments>
</file>

<file path=xl/comments14.xml><?xml version="1.0" encoding="utf-8"?>
<comments xmlns="http://schemas.openxmlformats.org/spreadsheetml/2006/main">
  <authors>
    <author>Agnetha Simm</author>
  </authors>
  <commentList>
    <comment ref="A6" authorId="0" shapeId="0">
      <text>
        <r>
          <rPr>
            <b/>
            <sz val="9"/>
            <color indexed="81"/>
            <rFont val="Tahoma"/>
            <family val="2"/>
          </rPr>
          <t>Agnetha Simm:</t>
        </r>
        <r>
          <rPr>
            <sz val="9"/>
            <color indexed="81"/>
            <rFont val="Tahoma"/>
            <family val="2"/>
          </rPr>
          <t xml:space="preserve">
Ers 6ES094 fr ht-21</t>
        </r>
      </text>
    </comment>
    <comment ref="A7" authorId="0" shapeId="0">
      <text>
        <r>
          <rPr>
            <b/>
            <sz val="9"/>
            <color indexed="81"/>
            <rFont val="Tahoma"/>
            <family val="2"/>
          </rPr>
          <t>Agnetha Simm:</t>
        </r>
        <r>
          <rPr>
            <sz val="9"/>
            <color indexed="81"/>
            <rFont val="Tahoma"/>
            <family val="2"/>
          </rPr>
          <t xml:space="preserve">
Ers 6ES094 fr ht-21</t>
        </r>
      </text>
    </comment>
    <comment ref="A8" authorId="0" shapeId="0">
      <text>
        <r>
          <rPr>
            <b/>
            <sz val="9"/>
            <color indexed="81"/>
            <rFont val="Tahoma"/>
            <family val="2"/>
          </rPr>
          <t>Agnetha Simm:</t>
        </r>
        <r>
          <rPr>
            <sz val="9"/>
            <color indexed="81"/>
            <rFont val="Tahoma"/>
            <family val="2"/>
          </rPr>
          <t xml:space="preserve">
Ers 6ES072 fr ht-21</t>
        </r>
      </text>
    </comment>
    <comment ref="A9" authorId="0" shapeId="0">
      <text>
        <r>
          <rPr>
            <b/>
            <sz val="9"/>
            <color indexed="81"/>
            <rFont val="Tahoma"/>
            <family val="2"/>
          </rPr>
          <t>Agnetha Simm:</t>
        </r>
        <r>
          <rPr>
            <sz val="9"/>
            <color indexed="81"/>
            <rFont val="Tahoma"/>
            <family val="2"/>
          </rPr>
          <t xml:space="preserve">
Ers 6ES072 fr ht-21</t>
        </r>
      </text>
    </comment>
    <comment ref="A11" authorId="0" shapeId="0">
      <text>
        <r>
          <rPr>
            <b/>
            <sz val="9"/>
            <color indexed="81"/>
            <rFont val="Tahoma"/>
            <family val="2"/>
          </rPr>
          <t>Agnetha Simm:</t>
        </r>
        <r>
          <rPr>
            <sz val="9"/>
            <color indexed="81"/>
            <rFont val="Tahoma"/>
            <family val="2"/>
          </rPr>
          <t xml:space="preserve">
Ersätter 6ID301</t>
        </r>
      </text>
    </comment>
    <comment ref="A12" authorId="0" shapeId="0">
      <text>
        <r>
          <rPr>
            <b/>
            <sz val="9"/>
            <color indexed="81"/>
            <rFont val="Tahoma"/>
            <family val="2"/>
          </rPr>
          <t>Agnetha Simm:</t>
        </r>
        <r>
          <rPr>
            <sz val="9"/>
            <color indexed="81"/>
            <rFont val="Tahoma"/>
            <family val="2"/>
          </rPr>
          <t xml:space="preserve">
Ersätter 6ID301</t>
        </r>
      </text>
    </comment>
    <comment ref="A13" authorId="0" shapeId="0">
      <text>
        <r>
          <rPr>
            <b/>
            <sz val="9"/>
            <color indexed="81"/>
            <rFont val="Tahoma"/>
            <family val="2"/>
          </rPr>
          <t>Agnetha Simm:</t>
        </r>
        <r>
          <rPr>
            <sz val="9"/>
            <color indexed="81"/>
            <rFont val="Tahoma"/>
            <family val="2"/>
          </rPr>
          <t xml:space="preserve">
Ers 6ID303</t>
        </r>
      </text>
    </comment>
    <comment ref="A14" authorId="0" shapeId="0">
      <text>
        <r>
          <rPr>
            <b/>
            <sz val="9"/>
            <color indexed="81"/>
            <rFont val="Tahoma"/>
            <family val="2"/>
          </rPr>
          <t>Agnetha Simm:</t>
        </r>
        <r>
          <rPr>
            <sz val="9"/>
            <color indexed="81"/>
            <rFont val="Tahoma"/>
            <family val="2"/>
          </rPr>
          <t xml:space="preserve">
Ers 6ID314</t>
        </r>
      </text>
    </comment>
    <comment ref="A16" authorId="0" shapeId="0">
      <text>
        <r>
          <rPr>
            <b/>
            <sz val="9"/>
            <color indexed="81"/>
            <rFont val="Tahoma"/>
            <family val="2"/>
          </rPr>
          <t>Agnetha Simm:</t>
        </r>
        <r>
          <rPr>
            <sz val="9"/>
            <color indexed="81"/>
            <rFont val="Tahoma"/>
            <family val="2"/>
          </rPr>
          <t xml:space="preserve">
Ers fiktiv 6PKUny2</t>
        </r>
      </text>
    </comment>
    <comment ref="A17" authorId="0" shapeId="0">
      <text>
        <r>
          <rPr>
            <b/>
            <sz val="9"/>
            <color indexed="81"/>
            <rFont val="Tahoma"/>
            <family val="2"/>
          </rPr>
          <t>Agnetha Simm:</t>
        </r>
        <r>
          <rPr>
            <sz val="9"/>
            <color indexed="81"/>
            <rFont val="Tahoma"/>
            <family val="2"/>
          </rPr>
          <t xml:space="preserve">
Ers fiktiv 6KPUny1</t>
        </r>
      </text>
    </comment>
    <comment ref="A18" authorId="0" shapeId="0">
      <text>
        <r>
          <rPr>
            <b/>
            <sz val="9"/>
            <color indexed="81"/>
            <rFont val="Tahoma"/>
            <family val="2"/>
          </rPr>
          <t>Agnetha Simm:</t>
        </r>
        <r>
          <rPr>
            <sz val="9"/>
            <color indexed="81"/>
            <rFont val="Tahoma"/>
            <family val="2"/>
          </rPr>
          <t xml:space="preserve">
Ers fiktiv 6KPUny1</t>
        </r>
      </text>
    </comment>
    <comment ref="A19" authorId="0" shapeId="0">
      <text>
        <r>
          <rPr>
            <b/>
            <sz val="9"/>
            <color indexed="81"/>
            <rFont val="Tahoma"/>
            <family val="2"/>
          </rPr>
          <t>Agnetha Simm:</t>
        </r>
        <r>
          <rPr>
            <sz val="9"/>
            <color indexed="81"/>
            <rFont val="Tahoma"/>
            <family val="2"/>
          </rPr>
          <t xml:space="preserve">
Ers fiktiv 6KPUny1</t>
        </r>
      </text>
    </comment>
    <comment ref="A20" authorId="0" shapeId="0">
      <text>
        <r>
          <rPr>
            <b/>
            <sz val="9"/>
            <color indexed="81"/>
            <rFont val="Tahoma"/>
            <family val="2"/>
          </rPr>
          <t>Agnetha Simm:</t>
        </r>
        <r>
          <rPr>
            <sz val="9"/>
            <color indexed="81"/>
            <rFont val="Tahoma"/>
            <family val="2"/>
          </rPr>
          <t xml:space="preserve">
Ers fiktiv 6KPUUK3</t>
        </r>
      </text>
    </comment>
    <comment ref="A21" authorId="0" shapeId="0">
      <text>
        <r>
          <rPr>
            <b/>
            <sz val="9"/>
            <color indexed="81"/>
            <rFont val="Tahoma"/>
            <family val="2"/>
          </rPr>
          <t>Agnetha Simm:</t>
        </r>
        <r>
          <rPr>
            <sz val="9"/>
            <color indexed="81"/>
            <rFont val="Tahoma"/>
            <family val="2"/>
          </rPr>
          <t xml:space="preserve">
Ers fiktiv 6KPUUK3</t>
        </r>
      </text>
    </comment>
    <comment ref="A22" authorId="0" shapeId="0">
      <text>
        <r>
          <rPr>
            <b/>
            <sz val="9"/>
            <color indexed="81"/>
            <rFont val="Tahoma"/>
            <family val="2"/>
          </rPr>
          <t>Agnetha Simm:</t>
        </r>
        <r>
          <rPr>
            <sz val="9"/>
            <color indexed="81"/>
            <rFont val="Tahoma"/>
            <family val="2"/>
          </rPr>
          <t xml:space="preserve">
Ersätter 6LI005</t>
        </r>
      </text>
    </comment>
    <comment ref="A24" authorId="0" shapeId="0">
      <text>
        <r>
          <rPr>
            <b/>
            <sz val="9"/>
            <color indexed="81"/>
            <rFont val="Tahoma"/>
            <family val="2"/>
          </rPr>
          <t>Agnetha Simm:</t>
        </r>
        <r>
          <rPr>
            <sz val="9"/>
            <color indexed="81"/>
            <rFont val="Tahoma"/>
            <family val="2"/>
          </rPr>
          <t xml:space="preserve">
Ers 6LU003</t>
        </r>
      </text>
    </comment>
    <comment ref="A84" authorId="0" shapeId="0">
      <text>
        <r>
          <rPr>
            <b/>
            <sz val="9"/>
            <color indexed="81"/>
            <rFont val="Tahoma"/>
            <family val="2"/>
          </rPr>
          <t>Agnetha Simm:</t>
        </r>
        <r>
          <rPr>
            <sz val="9"/>
            <color indexed="81"/>
            <rFont val="Tahoma"/>
            <family val="2"/>
          </rPr>
          <t xml:space="preserve">
Ers 6PE189</t>
        </r>
      </text>
    </comment>
    <comment ref="A85" authorId="0" shapeId="0">
      <text>
        <r>
          <rPr>
            <b/>
            <sz val="9"/>
            <color indexed="81"/>
            <rFont val="Tahoma"/>
            <family val="2"/>
          </rPr>
          <t>Agnetha Simm:</t>
        </r>
        <r>
          <rPr>
            <sz val="9"/>
            <color indexed="81"/>
            <rFont val="Tahoma"/>
            <family val="2"/>
          </rPr>
          <t xml:space="preserve">
Ers 6PE189</t>
        </r>
      </text>
    </comment>
    <comment ref="A86" authorId="0" shapeId="0">
      <text>
        <r>
          <rPr>
            <b/>
            <sz val="9"/>
            <color indexed="81"/>
            <rFont val="Tahoma"/>
            <family val="2"/>
          </rPr>
          <t>Agnetha Simm:</t>
        </r>
        <r>
          <rPr>
            <sz val="9"/>
            <color indexed="81"/>
            <rFont val="Tahoma"/>
            <family val="2"/>
          </rPr>
          <t xml:space="preserve">
Ersätter 6PE158</t>
        </r>
      </text>
    </comment>
    <comment ref="A87" authorId="0" shapeId="0">
      <text>
        <r>
          <rPr>
            <b/>
            <sz val="9"/>
            <color indexed="81"/>
            <rFont val="Tahoma"/>
            <family val="2"/>
          </rPr>
          <t>Agnetha Simm:</t>
        </r>
        <r>
          <rPr>
            <sz val="9"/>
            <color indexed="81"/>
            <rFont val="Tahoma"/>
            <family val="2"/>
          </rPr>
          <t xml:space="preserve">
Ersätter 6PE159</t>
        </r>
      </text>
    </comment>
    <comment ref="A88" authorId="0" shapeId="0">
      <text>
        <r>
          <rPr>
            <b/>
            <sz val="9"/>
            <color indexed="81"/>
            <rFont val="Tahoma"/>
            <family val="2"/>
          </rPr>
          <t>Agnetha Simm:</t>
        </r>
        <r>
          <rPr>
            <sz val="9"/>
            <color indexed="81"/>
            <rFont val="Tahoma"/>
            <family val="2"/>
          </rPr>
          <t xml:space="preserve">
Ers 6PE196</t>
        </r>
      </text>
    </comment>
    <comment ref="A89" authorId="0" shapeId="0">
      <text>
        <r>
          <rPr>
            <b/>
            <sz val="9"/>
            <color indexed="81"/>
            <rFont val="Tahoma"/>
            <family val="2"/>
          </rPr>
          <t>Agnetha Simm:</t>
        </r>
        <r>
          <rPr>
            <sz val="9"/>
            <color indexed="81"/>
            <rFont val="Tahoma"/>
            <family val="2"/>
          </rPr>
          <t xml:space="preserve">
Ers 6PE196</t>
        </r>
      </text>
    </comment>
    <comment ref="A91" authorId="0" shapeId="0">
      <text>
        <r>
          <rPr>
            <b/>
            <sz val="9"/>
            <color indexed="81"/>
            <rFont val="Tahoma"/>
            <family val="2"/>
          </rPr>
          <t>Agnetha Simm:</t>
        </r>
        <r>
          <rPr>
            <sz val="9"/>
            <color indexed="81"/>
            <rFont val="Tahoma"/>
            <family val="2"/>
          </rPr>
          <t xml:space="preserve">
Ers 6PE135</t>
        </r>
      </text>
    </comment>
    <comment ref="A92" authorId="0" shapeId="0">
      <text>
        <r>
          <rPr>
            <b/>
            <sz val="9"/>
            <color indexed="81"/>
            <rFont val="Tahoma"/>
            <family val="2"/>
          </rPr>
          <t>Agnetha Simm:</t>
        </r>
        <r>
          <rPr>
            <sz val="9"/>
            <color indexed="81"/>
            <rFont val="Tahoma"/>
            <family val="2"/>
          </rPr>
          <t xml:space="preserve">
Ersätter 6PE129</t>
        </r>
      </text>
    </comment>
    <comment ref="A93" authorId="0" shapeId="0">
      <text>
        <r>
          <rPr>
            <b/>
            <sz val="9"/>
            <color indexed="81"/>
            <rFont val="Tahoma"/>
            <family val="2"/>
          </rPr>
          <t>Agnetha Simm:</t>
        </r>
        <r>
          <rPr>
            <sz val="9"/>
            <color indexed="81"/>
            <rFont val="Tahoma"/>
            <family val="2"/>
          </rPr>
          <t xml:space="preserve">
Ers 6PE209 fr o m ht-20</t>
        </r>
      </text>
    </comment>
    <comment ref="A94" authorId="0" shapeId="0">
      <text>
        <r>
          <rPr>
            <b/>
            <sz val="9"/>
            <color indexed="81"/>
            <rFont val="Tahoma"/>
            <family val="2"/>
          </rPr>
          <t>Agnetha Simm:</t>
        </r>
        <r>
          <rPr>
            <sz val="9"/>
            <color indexed="81"/>
            <rFont val="Tahoma"/>
            <family val="2"/>
          </rPr>
          <t xml:space="preserve">
Ers 6PE261</t>
        </r>
      </text>
    </comment>
    <comment ref="A95" authorId="0" shapeId="0">
      <text>
        <r>
          <rPr>
            <b/>
            <sz val="9"/>
            <color indexed="81"/>
            <rFont val="Tahoma"/>
            <family val="2"/>
          </rPr>
          <t>Agnetha Simm:</t>
        </r>
        <r>
          <rPr>
            <sz val="9"/>
            <color indexed="81"/>
            <rFont val="Tahoma"/>
            <family val="2"/>
          </rPr>
          <t xml:space="preserve">
Ers 6PE224 fr o m vt-21, ändring av kursansvar</t>
        </r>
      </text>
    </comment>
    <comment ref="A96" authorId="0" shapeId="0">
      <text>
        <r>
          <rPr>
            <b/>
            <sz val="9"/>
            <color indexed="81"/>
            <rFont val="Tahoma"/>
            <family val="2"/>
          </rPr>
          <t>Agnetha Simm:</t>
        </r>
        <r>
          <rPr>
            <sz val="9"/>
            <color indexed="81"/>
            <rFont val="Tahoma"/>
            <family val="2"/>
          </rPr>
          <t xml:space="preserve">
Ers 6PE302</t>
        </r>
      </text>
    </comment>
    <comment ref="A112" authorId="0" shapeId="0">
      <text>
        <r>
          <rPr>
            <b/>
            <sz val="9"/>
            <color indexed="81"/>
            <rFont val="Tahoma"/>
            <family val="2"/>
          </rPr>
          <t>Agnetha Simm:</t>
        </r>
        <r>
          <rPr>
            <sz val="9"/>
            <color indexed="81"/>
            <rFont val="Tahoma"/>
            <family val="2"/>
          </rPr>
          <t xml:space="preserve">
Ersätter 6SP053</t>
        </r>
      </text>
    </comment>
    <comment ref="A113" authorId="0" shapeId="0">
      <text>
        <r>
          <rPr>
            <b/>
            <sz val="9"/>
            <color indexed="81"/>
            <rFont val="Tahoma"/>
            <family val="2"/>
          </rPr>
          <t>Agnetha Simm:</t>
        </r>
        <r>
          <rPr>
            <sz val="9"/>
            <color indexed="81"/>
            <rFont val="Tahoma"/>
            <family val="2"/>
          </rPr>
          <t xml:space="preserve">
Ersätter 6SV020</t>
        </r>
      </text>
    </comment>
    <comment ref="A114" authorId="0" shapeId="0">
      <text>
        <r>
          <rPr>
            <b/>
            <sz val="9"/>
            <color indexed="81"/>
            <rFont val="Tahoma"/>
            <family val="2"/>
          </rPr>
          <t>Agnetha Simm:</t>
        </r>
        <r>
          <rPr>
            <sz val="9"/>
            <color indexed="81"/>
            <rFont val="Tahoma"/>
            <family val="2"/>
          </rPr>
          <t xml:space="preserve">
Ers 6SV027</t>
        </r>
      </text>
    </comment>
    <comment ref="A115" authorId="0" shapeId="0">
      <text>
        <r>
          <rPr>
            <b/>
            <sz val="9"/>
            <color indexed="81"/>
            <rFont val="Tahoma"/>
            <family val="2"/>
          </rPr>
          <t>Agnetha Simm:</t>
        </r>
        <r>
          <rPr>
            <sz val="9"/>
            <color indexed="81"/>
            <rFont val="Tahoma"/>
            <family val="2"/>
          </rPr>
          <t xml:space="preserve">
Ers 6SV028</t>
        </r>
      </text>
    </comment>
  </commentList>
</comments>
</file>

<file path=xl/comments2.xml><?xml version="1.0" encoding="utf-8"?>
<comments xmlns="http://schemas.openxmlformats.org/spreadsheetml/2006/main">
  <authors>
    <author>Ulla Sehlberg</author>
  </authors>
  <commentList>
    <comment ref="C6" authorId="0" shapeId="0">
      <text>
        <r>
          <rPr>
            <b/>
            <sz val="10"/>
            <color indexed="81"/>
            <rFont val="Tahoma"/>
            <family val="2"/>
          </rPr>
          <t>Välj från lista</t>
        </r>
      </text>
    </comment>
  </commentList>
</comments>
</file>

<file path=xl/comments3.xml><?xml version="1.0" encoding="utf-8"?>
<comments xmlns="http://schemas.openxmlformats.org/spreadsheetml/2006/main">
  <authors>
    <author>Agnetha Simm</author>
  </authors>
  <commentList>
    <comment ref="D7" authorId="0" shapeId="0">
      <text>
        <r>
          <rPr>
            <b/>
            <sz val="9"/>
            <color indexed="81"/>
            <rFont val="Tahoma"/>
            <family val="2"/>
          </rPr>
          <t>Agnetha Simm:</t>
        </r>
        <r>
          <rPr>
            <sz val="9"/>
            <color indexed="81"/>
            <rFont val="Tahoma"/>
            <family val="2"/>
          </rPr>
          <t xml:space="preserve">
OBS! Se justering musik/design</t>
        </r>
      </text>
    </comment>
    <comment ref="E7" authorId="0" shapeId="0">
      <text>
        <r>
          <rPr>
            <b/>
            <sz val="9"/>
            <color indexed="81"/>
            <rFont val="Tahoma"/>
            <family val="2"/>
          </rPr>
          <t>Agnetha Simm:</t>
        </r>
        <r>
          <rPr>
            <sz val="9"/>
            <color indexed="81"/>
            <rFont val="Tahoma"/>
            <family val="2"/>
          </rPr>
          <t xml:space="preserve">
OBS! Se justering musik/design</t>
        </r>
      </text>
    </comment>
  </commentList>
</comments>
</file>

<file path=xl/comments4.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5.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6.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7.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8.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9.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sharedStrings.xml><?xml version="1.0" encoding="utf-8"?>
<sst xmlns="http://schemas.openxmlformats.org/spreadsheetml/2006/main" count="14847" uniqueCount="2510">
  <si>
    <t>AUO (76-90) Examensarbete, 15 hp</t>
  </si>
  <si>
    <t>6SY021</t>
  </si>
  <si>
    <t>Kursansvar namn</t>
  </si>
  <si>
    <t>Total HST</t>
  </si>
  <si>
    <t>Data</t>
  </si>
  <si>
    <t>Total HPR</t>
  </si>
  <si>
    <t>Prislapp HST</t>
  </si>
  <si>
    <t>Prislapp HPR</t>
  </si>
  <si>
    <t>Avdrag</t>
  </si>
  <si>
    <t>Intäkter för medverkande institutioner (tkr)</t>
  </si>
  <si>
    <t>% org 1</t>
  </si>
  <si>
    <t xml:space="preserve">Estetiska ämnen               </t>
  </si>
  <si>
    <t xml:space="preserve">Gemensamt för universitetet   </t>
  </si>
  <si>
    <t xml:space="preserve">Gemensamma funktioner m m </t>
  </si>
  <si>
    <t>ÖS-medel</t>
  </si>
  <si>
    <t xml:space="preserve">Fondförvaltning               </t>
  </si>
  <si>
    <t xml:space="preserve">Internbank                    </t>
  </si>
  <si>
    <t>Ladokkonsortiet</t>
  </si>
  <si>
    <t>Regionala etikprövningsnämnden</t>
  </si>
  <si>
    <t xml:space="preserve">Universitetsledningen         </t>
  </si>
  <si>
    <t xml:space="preserve">Universitetsledningens kansli </t>
  </si>
  <si>
    <t xml:space="preserve">Universitetsbiblioteket       </t>
  </si>
  <si>
    <t xml:space="preserve">Umdac                         </t>
  </si>
  <si>
    <t xml:space="preserve">Umdac/RDS                     </t>
  </si>
  <si>
    <t xml:space="preserve">HPC2N                         </t>
  </si>
  <si>
    <t xml:space="preserve">Förvaltningen gemensamt       </t>
  </si>
  <si>
    <t xml:space="preserve">Ekonomiadministrativa enheten </t>
  </si>
  <si>
    <t xml:space="preserve">Informationsenheten                  </t>
  </si>
  <si>
    <t xml:space="preserve">Internrevision                </t>
  </si>
  <si>
    <t xml:space="preserve">IT-enheten                </t>
  </si>
  <si>
    <t>Ladok enheten</t>
  </si>
  <si>
    <t xml:space="preserve">Lokalförsörjningen            </t>
  </si>
  <si>
    <t xml:space="preserve">Lokalförsörjningsenheten/Tele </t>
  </si>
  <si>
    <t xml:space="preserve">Studentcentrum                </t>
  </si>
  <si>
    <t xml:space="preserve">Ledning, universitetsservice       </t>
  </si>
  <si>
    <t>Institution</t>
  </si>
  <si>
    <t>Totalt HUM</t>
  </si>
  <si>
    <t>Totalt SAM</t>
  </si>
  <si>
    <t>Totalt MED</t>
  </si>
  <si>
    <t>Totalt TEKN</t>
  </si>
  <si>
    <t xml:space="preserve">Friskvård                     </t>
  </si>
  <si>
    <t xml:space="preserve">Lokaluthyrning </t>
  </si>
  <si>
    <t xml:space="preserve">Husservice                    </t>
  </si>
  <si>
    <t xml:space="preserve">Kontorsbutiken                </t>
  </si>
  <si>
    <t xml:space="preserve">Kronlund                      </t>
  </si>
  <si>
    <t xml:space="preserve">Lokalvård                     </t>
  </si>
  <si>
    <t>Post och transportservice</t>
  </si>
  <si>
    <t>Print &amp; Media</t>
  </si>
  <si>
    <t xml:space="preserve">Skrivningsbevakningen         </t>
  </si>
  <si>
    <t xml:space="preserve">Unimeg                        </t>
  </si>
  <si>
    <t>Gemensamma avsättningar</t>
  </si>
  <si>
    <t>Forum för tvärvetenskap</t>
  </si>
  <si>
    <t xml:space="preserve">Miljöhögskolan                </t>
  </si>
  <si>
    <t xml:space="preserve">Centrum för miljövetenskaplig </t>
  </si>
  <si>
    <t>Centrum för molekylär patogene</t>
  </si>
  <si>
    <t xml:space="preserve">Biomedicinsk forskarskola     </t>
  </si>
  <si>
    <t xml:space="preserve">Centrala ombokningar          </t>
  </si>
  <si>
    <t xml:space="preserve">Centrala betalningar          </t>
  </si>
  <si>
    <t>Orgenhet nr</t>
  </si>
  <si>
    <t>Kurskod NyA</t>
  </si>
  <si>
    <t>Kursansvar</t>
  </si>
  <si>
    <t>HST</t>
  </si>
  <si>
    <t>HPR</t>
  </si>
  <si>
    <t>6ÖÄ003</t>
  </si>
  <si>
    <t>6ÖÄ005</t>
  </si>
  <si>
    <t>6ES016</t>
  </si>
  <si>
    <t>6EN005</t>
  </si>
  <si>
    <t>6ES002</t>
  </si>
  <si>
    <t>6SL001</t>
  </si>
  <si>
    <t>Kurspris HST</t>
  </si>
  <si>
    <t>Kurspris HPR</t>
  </si>
  <si>
    <t>Fakultet</t>
  </si>
  <si>
    <t>Hum</t>
  </si>
  <si>
    <t>Sam</t>
  </si>
  <si>
    <t>Med</t>
  </si>
  <si>
    <t>TekNat</t>
  </si>
  <si>
    <t>USE</t>
  </si>
  <si>
    <t>Total ersättning</t>
  </si>
  <si>
    <t>Fak medv</t>
  </si>
  <si>
    <t>Fak kursansvar</t>
  </si>
  <si>
    <t>6SL000</t>
  </si>
  <si>
    <t>6TX011</t>
  </si>
  <si>
    <t>6SL008</t>
  </si>
  <si>
    <t>6ES003</t>
  </si>
  <si>
    <t>LYLÄP</t>
  </si>
  <si>
    <t>LYSYV</t>
  </si>
  <si>
    <t>6TX003</t>
  </si>
  <si>
    <t>6TX000</t>
  </si>
  <si>
    <t>6FA001</t>
  </si>
  <si>
    <t>6EN006</t>
  </si>
  <si>
    <t>6MA000</t>
  </si>
  <si>
    <t>6PE045</t>
  </si>
  <si>
    <t>6HS000</t>
  </si>
  <si>
    <t>6LÄ020</t>
  </si>
  <si>
    <t>6LÄ022</t>
  </si>
  <si>
    <t>6HI001</t>
  </si>
  <si>
    <t>6RE002</t>
  </si>
  <si>
    <t>6SH002</t>
  </si>
  <si>
    <t>6SH001</t>
  </si>
  <si>
    <t>6HI002</t>
  </si>
  <si>
    <t>6SV004</t>
  </si>
  <si>
    <t>6ST000</t>
  </si>
  <si>
    <t>6ST001</t>
  </si>
  <si>
    <t>6NO010</t>
  </si>
  <si>
    <t>6KN001</t>
  </si>
  <si>
    <t>Prkod</t>
  </si>
  <si>
    <t>HtVt</t>
  </si>
  <si>
    <t>Ort</t>
  </si>
  <si>
    <t>Form</t>
  </si>
  <si>
    <t>Studie takt</t>
  </si>
  <si>
    <t>Benämn</t>
  </si>
  <si>
    <t>Poäng</t>
  </si>
  <si>
    <t>Ant</t>
  </si>
  <si>
    <t>HPR %</t>
  </si>
  <si>
    <t>LLÄRY</t>
  </si>
  <si>
    <t>LYSPL</t>
  </si>
  <si>
    <t>LYLÄR</t>
  </si>
  <si>
    <t>FRIST</t>
  </si>
  <si>
    <t>LSYOY distans</t>
  </si>
  <si>
    <t>LSYOY</t>
  </si>
  <si>
    <t>LYSPE</t>
  </si>
  <si>
    <t>6PE082</t>
  </si>
  <si>
    <t>LSPPY</t>
  </si>
  <si>
    <t>Kreativt skapande - från idé till produkt</t>
  </si>
  <si>
    <t>Fristående och övriga kurser</t>
  </si>
  <si>
    <t>Forskning och utvecklingsarbete</t>
  </si>
  <si>
    <t>TE</t>
  </si>
  <si>
    <t>6ST008</t>
  </si>
  <si>
    <t>6ST006</t>
  </si>
  <si>
    <t>6PE080</t>
  </si>
  <si>
    <t>DE</t>
  </si>
  <si>
    <t>HU</t>
  </si>
  <si>
    <t>ID</t>
  </si>
  <si>
    <t>LU</t>
  </si>
  <si>
    <t>MU</t>
  </si>
  <si>
    <t>NA</t>
  </si>
  <si>
    <t>SA</t>
  </si>
  <si>
    <t>ÖV</t>
  </si>
  <si>
    <t>6SH000</t>
  </si>
  <si>
    <t>6PE053</t>
  </si>
  <si>
    <t>6PE055</t>
  </si>
  <si>
    <t>6RE001</t>
  </si>
  <si>
    <t>6RE000</t>
  </si>
  <si>
    <t>6LÄ005</t>
  </si>
  <si>
    <t>6FA002</t>
  </si>
  <si>
    <t>Statistik för lärare</t>
  </si>
  <si>
    <t>6PE034</t>
  </si>
  <si>
    <t>6PE035</t>
  </si>
  <si>
    <t>6SY003</t>
  </si>
  <si>
    <t>Lokalintäkt</t>
  </si>
  <si>
    <t>6SY013</t>
  </si>
  <si>
    <t>6MU008</t>
  </si>
  <si>
    <t>6SL007</t>
  </si>
  <si>
    <t>Orgenh</t>
  </si>
  <si>
    <t>Totalt</t>
  </si>
  <si>
    <t>Namn</t>
  </si>
  <si>
    <t>År</t>
  </si>
  <si>
    <t>Enhet</t>
  </si>
  <si>
    <t>Benämning</t>
  </si>
  <si>
    <t>TOTALT</t>
  </si>
  <si>
    <t>Centrum för utvärderingsforskning</t>
  </si>
  <si>
    <t>Umeå centrum för idrottsvetenskap</t>
  </si>
  <si>
    <t>Centrum för befolkningsstudier</t>
  </si>
  <si>
    <t>Receptarieutbildning</t>
  </si>
  <si>
    <t>EMG</t>
  </si>
  <si>
    <t xml:space="preserve">Kemiska institutionen         </t>
  </si>
  <si>
    <t>Inst för MA och MA statistik</t>
  </si>
  <si>
    <t>Enheten för näringsliv o samhälle ENS</t>
  </si>
  <si>
    <t>Akademiker i företag</t>
  </si>
  <si>
    <t>Administration service</t>
  </si>
  <si>
    <t>Profil- &amp; Copyshop</t>
  </si>
  <si>
    <t>Upphandling</t>
  </si>
  <si>
    <t>Inst för ide- o samhällsstudier</t>
  </si>
  <si>
    <t>Inst för kultur- o medievetenskap</t>
  </si>
  <si>
    <t>Umeå centrum för genusstudier (UCGS)</t>
  </si>
  <si>
    <t xml:space="preserve">MIMS </t>
  </si>
  <si>
    <t>Inst för språkstudier</t>
  </si>
  <si>
    <t xml:space="preserve">Bildmuseet                    </t>
  </si>
  <si>
    <t>FDN</t>
  </si>
  <si>
    <t>GDL</t>
  </si>
  <si>
    <t>UTCF</t>
  </si>
  <si>
    <t>BIS</t>
  </si>
  <si>
    <t>Personal- och organisationsutv enheten</t>
  </si>
  <si>
    <t>Planeringsenheten</t>
  </si>
  <si>
    <t xml:space="preserve">Hum fak kansli                </t>
  </si>
  <si>
    <t xml:space="preserve">Hum fak gemensamt             </t>
  </si>
  <si>
    <t xml:space="preserve">Hum lab                       </t>
  </si>
  <si>
    <t xml:space="preserve">Centrum för samisk forskning  </t>
  </si>
  <si>
    <t xml:space="preserve">Konsthögskolan                </t>
  </si>
  <si>
    <t>Gemensamt för samhällsvetenskap</t>
  </si>
  <si>
    <t>Kansliet för samhällsvetenskap</t>
  </si>
  <si>
    <t xml:space="preserve">Enh för Polisutb. vid UmU     </t>
  </si>
  <si>
    <t xml:space="preserve">Pedagogik                     </t>
  </si>
  <si>
    <t>Inst för beteendevetenskapliga mätningar</t>
  </si>
  <si>
    <t xml:space="preserve">Inst för psykologi            </t>
  </si>
  <si>
    <t xml:space="preserve">Sociologi                     </t>
  </si>
  <si>
    <t xml:space="preserve">Nationalekonomi               </t>
  </si>
  <si>
    <t xml:space="preserve">Juridiska institutionen       </t>
  </si>
  <si>
    <t xml:space="preserve">Statsvetenskap                </t>
  </si>
  <si>
    <t xml:space="preserve">Ekonomisk historia            </t>
  </si>
  <si>
    <t xml:space="preserve">Statistik                     </t>
  </si>
  <si>
    <t xml:space="preserve">Socialt arbete                </t>
  </si>
  <si>
    <t xml:space="preserve">Centrum f handikappvetenskap  </t>
  </si>
  <si>
    <t>Transportforskningsenheten</t>
  </si>
  <si>
    <t xml:space="preserve">Informatik                    </t>
  </si>
  <si>
    <t xml:space="preserve">Kostvetenskap                 </t>
  </si>
  <si>
    <t xml:space="preserve">CERUM                         </t>
  </si>
  <si>
    <t xml:space="preserve">Enheten f restauranghögskolan </t>
  </si>
  <si>
    <t xml:space="preserve">Datorlab HASTA                </t>
  </si>
  <si>
    <t>BVH-labben</t>
  </si>
  <si>
    <t xml:space="preserve">DDB Umeå                          </t>
  </si>
  <si>
    <t xml:space="preserve">DDB Haparanda                     </t>
  </si>
  <si>
    <t xml:space="preserve">DDB Jörn                          </t>
  </si>
  <si>
    <t xml:space="preserve">DDB Karesuando                    </t>
  </si>
  <si>
    <t>ALC</t>
  </si>
  <si>
    <t>Medicinska fakulteten</t>
  </si>
  <si>
    <t xml:space="preserve">Kansliet för med fak          </t>
  </si>
  <si>
    <t xml:space="preserve">Vårdutbildningar              </t>
  </si>
  <si>
    <t>Grundutbildningsrådet</t>
  </si>
  <si>
    <t>Vetenskaplig baskurs</t>
  </si>
  <si>
    <t>UGL/Grupprocesser</t>
  </si>
  <si>
    <t xml:space="preserve">Klinisk vetenskap             </t>
  </si>
  <si>
    <t xml:space="preserve">Psykiatri                     </t>
  </si>
  <si>
    <t xml:space="preserve">Barn- och ungdomspsykiatri    </t>
  </si>
  <si>
    <t xml:space="preserve">Psykoterapi                   </t>
  </si>
  <si>
    <t xml:space="preserve">Obstetrik och gynekologi      </t>
  </si>
  <si>
    <t xml:space="preserve">Oftalmiatrik                  </t>
  </si>
  <si>
    <t xml:space="preserve">Öron- näs- och halssjukdomar  </t>
  </si>
  <si>
    <t xml:space="preserve">Logopedi                      </t>
  </si>
  <si>
    <t xml:space="preserve">Pediatrik                     </t>
  </si>
  <si>
    <t xml:space="preserve">Strålningsvetenskaper         </t>
  </si>
  <si>
    <t xml:space="preserve">Diagnostisk radiologi         </t>
  </si>
  <si>
    <t xml:space="preserve">Onkologi                      </t>
  </si>
  <si>
    <t xml:space="preserve">Radiofysik                    </t>
  </si>
  <si>
    <t>Radiobiologi</t>
  </si>
  <si>
    <t>Molekylärbiologi</t>
  </si>
  <si>
    <t xml:space="preserve">Kirurgisk o perioperativ vetenskap </t>
  </si>
  <si>
    <t xml:space="preserve">Kirurgi                       </t>
  </si>
  <si>
    <t xml:space="preserve">Anestesiologi o intensivvård  </t>
  </si>
  <si>
    <t xml:space="preserve">Klinisk fysiologi             </t>
  </si>
  <si>
    <t xml:space="preserve">Ortopedi                      </t>
  </si>
  <si>
    <t xml:space="preserve">Handkirurgi                   </t>
  </si>
  <si>
    <t xml:space="preserve">Idrottsmedicin                </t>
  </si>
  <si>
    <t xml:space="preserve">Urologi och andrologi         </t>
  </si>
  <si>
    <t xml:space="preserve">Samhällsmedicin och rehab     </t>
  </si>
  <si>
    <t xml:space="preserve">Rehabiliteringsmedicin        </t>
  </si>
  <si>
    <t xml:space="preserve">Arbetsterapi                  </t>
  </si>
  <si>
    <t xml:space="preserve">Sjukgymnastik                 </t>
  </si>
  <si>
    <t xml:space="preserve">Geriatrik                     </t>
  </si>
  <si>
    <t xml:space="preserve">Rättsmedicin                  </t>
  </si>
  <si>
    <t>Farmakologi/klin neurovet.skap</t>
  </si>
  <si>
    <t xml:space="preserve">Farmakologi                   </t>
  </si>
  <si>
    <t xml:space="preserve">Klinisk farmakologi           </t>
  </si>
  <si>
    <t>Klinisk neurovetenskap</t>
  </si>
  <si>
    <t xml:space="preserve">Inst f medicinsk biovetenskap </t>
  </si>
  <si>
    <t xml:space="preserve">Patologi                      </t>
  </si>
  <si>
    <t xml:space="preserve">Klinisk kemi                  </t>
  </si>
  <si>
    <t xml:space="preserve">Fysiologisk kemi              </t>
  </si>
  <si>
    <t xml:space="preserve">Medicinsk genetik             </t>
  </si>
  <si>
    <t xml:space="preserve">Klinisk mikrobiologi          </t>
  </si>
  <si>
    <t xml:space="preserve">Klinisk bakteriologi          </t>
  </si>
  <si>
    <t xml:space="preserve">Klinisk immunologi       </t>
  </si>
  <si>
    <t xml:space="preserve">Virologi                      </t>
  </si>
  <si>
    <t>Biomedicinsk laboratorievetenskap</t>
  </si>
  <si>
    <t xml:space="preserve">Infektionssjukdomar           </t>
  </si>
  <si>
    <t xml:space="preserve">Immunologi                    </t>
  </si>
  <si>
    <t xml:space="preserve">Omvårdnad                     </t>
  </si>
  <si>
    <t xml:space="preserve">Medicinsk kemi och biofysik   </t>
  </si>
  <si>
    <t>Interaktiv medicinsk biologi</t>
  </si>
  <si>
    <t xml:space="preserve">Anatomi                       </t>
  </si>
  <si>
    <t xml:space="preserve">Histologi med cellbiologi     </t>
  </si>
  <si>
    <t xml:space="preserve">Fysiologi                     </t>
  </si>
  <si>
    <t xml:space="preserve">Folkhälsa och klin medicin    </t>
  </si>
  <si>
    <t xml:space="preserve">Allmänmedicin                 </t>
  </si>
  <si>
    <t xml:space="preserve">Tillämpad medicin             </t>
  </si>
  <si>
    <t xml:space="preserve">Dermatologi och venereologi   </t>
  </si>
  <si>
    <t xml:space="preserve">Medicin                       </t>
  </si>
  <si>
    <t xml:space="preserve">Lungmedicin                   </t>
  </si>
  <si>
    <t xml:space="preserve">Reumatologi                   </t>
  </si>
  <si>
    <t xml:space="preserve">Miljömedicin                  </t>
  </si>
  <si>
    <t xml:space="preserve">Yrkesmedicin                  </t>
  </si>
  <si>
    <t>Folkhälsovetenskap</t>
  </si>
  <si>
    <t xml:space="preserve">Näringsforskning              </t>
  </si>
  <si>
    <t>Umeå centrum för molekylär med</t>
  </si>
  <si>
    <t xml:space="preserve">Odontologiska inst            </t>
  </si>
  <si>
    <t>Administration odontologi</t>
  </si>
  <si>
    <t xml:space="preserve">Cariologi                     </t>
  </si>
  <si>
    <t xml:space="preserve">Protetik                      </t>
  </si>
  <si>
    <t xml:space="preserve">Endodonti                     </t>
  </si>
  <si>
    <t xml:space="preserve">Oral mikrobiologi             </t>
  </si>
  <si>
    <t xml:space="preserve">Oral cellbiologi              </t>
  </si>
  <si>
    <t xml:space="preserve">Oral diagn radiologi          </t>
  </si>
  <si>
    <t xml:space="preserve">Odont materialvetenskap       </t>
  </si>
  <si>
    <t xml:space="preserve">Käkkirurgi                    </t>
  </si>
  <si>
    <t xml:space="preserve">Parodontologi                 </t>
  </si>
  <si>
    <t xml:space="preserve">Klinisk oral fysiologi        </t>
  </si>
  <si>
    <t xml:space="preserve">Pedodonti                     </t>
  </si>
  <si>
    <t xml:space="preserve">Ortodonti                     </t>
  </si>
  <si>
    <t xml:space="preserve">Tandhygienistutbildning       </t>
  </si>
  <si>
    <t>Tandteknikerprogrammet</t>
  </si>
  <si>
    <t xml:space="preserve">Gem Teknisk nat fakulteten    </t>
  </si>
  <si>
    <t xml:space="preserve">Plangrupp f tekn biologi      </t>
  </si>
  <si>
    <t xml:space="preserve">Interaktionsteknik och design </t>
  </si>
  <si>
    <t xml:space="preserve">Umeå Marina Forskningscentrum </t>
  </si>
  <si>
    <t xml:space="preserve">Växthuset                     </t>
  </si>
  <si>
    <t xml:space="preserve">Inst för Fysiologisk botanik  </t>
  </si>
  <si>
    <t>UPSC Umeå Plant Science Center</t>
  </si>
  <si>
    <t xml:space="preserve">Inst Designhögskolan          </t>
  </si>
  <si>
    <t xml:space="preserve">Inst för Fysik                </t>
  </si>
  <si>
    <t>Energiteknik</t>
  </si>
  <si>
    <t xml:space="preserve">Säkerhetshuset                </t>
  </si>
  <si>
    <t xml:space="preserve">Kemiförrådet                  </t>
  </si>
  <si>
    <t xml:space="preserve">VMC KBC                   </t>
  </si>
  <si>
    <t xml:space="preserve">Inst för datavetenskap        </t>
  </si>
  <si>
    <t xml:space="preserve">UCIT                          </t>
  </si>
  <si>
    <t xml:space="preserve">Lärarutbildningarna gem       </t>
  </si>
  <si>
    <t>Universitetspedagogiskt centrum</t>
  </si>
  <si>
    <t>Värdegrundcentrum VGC</t>
  </si>
  <si>
    <t>Inst f interakt medier o lärande</t>
  </si>
  <si>
    <t xml:space="preserve">SV/SO                         </t>
  </si>
  <si>
    <t>BUSV</t>
  </si>
  <si>
    <t>Månad</t>
  </si>
  <si>
    <t>VÅ</t>
  </si>
  <si>
    <t>Examensarbete för lärarexamen</t>
  </si>
  <si>
    <t>HST Medv</t>
  </si>
  <si>
    <t>HPR Medv</t>
  </si>
  <si>
    <t>Medv namn</t>
  </si>
  <si>
    <t>Ansv org</t>
  </si>
  <si>
    <t>Kreativt skapande - trä och metall</t>
  </si>
  <si>
    <t>6KN002</t>
  </si>
  <si>
    <t>Examensarbete, 30 hp</t>
  </si>
  <si>
    <t>LEXC</t>
  </si>
  <si>
    <t>6TX007</t>
  </si>
  <si>
    <t>6SL002</t>
  </si>
  <si>
    <t>6PE081</t>
  </si>
  <si>
    <t>6MU006</t>
  </si>
  <si>
    <t>6ES004</t>
  </si>
  <si>
    <t>Hyrespris</t>
  </si>
  <si>
    <t>6MA007</t>
  </si>
  <si>
    <t>6SP024</t>
  </si>
  <si>
    <t>6SY020</t>
  </si>
  <si>
    <t>6SY015</t>
  </si>
  <si>
    <t>XXX</t>
  </si>
  <si>
    <t>Takbelopp</t>
  </si>
  <si>
    <t>6MN011</t>
  </si>
  <si>
    <t>6MN013</t>
  </si>
  <si>
    <t>6MN014</t>
  </si>
  <si>
    <t>Musik III</t>
  </si>
  <si>
    <t>5FY020</t>
  </si>
  <si>
    <t>5FY084</t>
  </si>
  <si>
    <t>Termodynamik B</t>
  </si>
  <si>
    <t>Fasta tillståndets fysik C, 7,5 hp</t>
  </si>
  <si>
    <t>Bioorganisk kemi, 15 hp</t>
  </si>
  <si>
    <t>6ST007</t>
  </si>
  <si>
    <t>6SY014</t>
  </si>
  <si>
    <t>6MA006</t>
  </si>
  <si>
    <t>LGYLY</t>
  </si>
  <si>
    <t>LLÄPY</t>
  </si>
  <si>
    <t>LGRSY</t>
  </si>
  <si>
    <t>Examensarbete - Lärarprogrammet</t>
  </si>
  <si>
    <t>Vetenskaplig teori och metod</t>
  </si>
  <si>
    <t>Utbildning</t>
  </si>
  <si>
    <t>Specialpedagogprogram</t>
  </si>
  <si>
    <t>Studie- och yrkesvägledarprogram</t>
  </si>
  <si>
    <t>SGSOC</t>
  </si>
  <si>
    <t>TMASY</t>
  </si>
  <si>
    <t>TENEY</t>
  </si>
  <si>
    <t>6EN013</t>
  </si>
  <si>
    <t>6LV001</t>
  </si>
  <si>
    <t>6PE085</t>
  </si>
  <si>
    <t>6PE087</t>
  </si>
  <si>
    <t>6ÖÄ012</t>
  </si>
  <si>
    <t>6SP027</t>
  </si>
  <si>
    <t>Examensarbete Specialpedagogprogrammet</t>
  </si>
  <si>
    <t>(tom)</t>
  </si>
  <si>
    <t>Kursintäkt</t>
  </si>
  <si>
    <t>Kurs-ansvar</t>
  </si>
  <si>
    <t>6SY022</t>
  </si>
  <si>
    <t>6SY016</t>
  </si>
  <si>
    <t>Utbildningssystem i Sverige och andra länder</t>
  </si>
  <si>
    <t>Utbildningsomr</t>
  </si>
  <si>
    <t>Design</t>
  </si>
  <si>
    <t>Idrott</t>
  </si>
  <si>
    <t>Musik</t>
  </si>
  <si>
    <t>Natur</t>
  </si>
  <si>
    <t>Teknik</t>
  </si>
  <si>
    <t>Undervisning</t>
  </si>
  <si>
    <t>Övrigt</t>
  </si>
  <si>
    <t>Pris HST netto</t>
  </si>
  <si>
    <t>PrisHPR netto</t>
  </si>
  <si>
    <t>Lokalers</t>
  </si>
  <si>
    <t>6HI005</t>
  </si>
  <si>
    <t>6LÄ039</t>
  </si>
  <si>
    <t>6PE083</t>
  </si>
  <si>
    <t>6PSXY</t>
  </si>
  <si>
    <t>6PSXZ</t>
  </si>
  <si>
    <t>6SY018</t>
  </si>
  <si>
    <t>6ÖÄ011</t>
  </si>
  <si>
    <t>Studieveckor</t>
  </si>
  <si>
    <t>Org 1</t>
  </si>
  <si>
    <t>6ES026</t>
  </si>
  <si>
    <t>Psykologi II</t>
  </si>
  <si>
    <t>Psykologi III</t>
  </si>
  <si>
    <t>Värden</t>
  </si>
  <si>
    <t>Lokalintäkter</t>
  </si>
  <si>
    <t>Enheten för undervisning och lärande</t>
  </si>
  <si>
    <t>Kursansvarig</t>
  </si>
  <si>
    <t>Lokalin/hst</t>
  </si>
  <si>
    <t>Som medv</t>
  </si>
  <si>
    <t>Till medv</t>
  </si>
  <si>
    <t>HUM</t>
  </si>
  <si>
    <t>SAM</t>
  </si>
  <si>
    <t>TEKN</t>
  </si>
  <si>
    <t>MED</t>
  </si>
  <si>
    <t>6MU018</t>
  </si>
  <si>
    <t>Kursers</t>
  </si>
  <si>
    <t>Som kursansvarig</t>
  </si>
  <si>
    <t>Till medverkande (efter avdrag för kursansvar)</t>
  </si>
  <si>
    <t>Som medverkande (från kursansvarig efter avdrag för kursansvar)</t>
  </si>
  <si>
    <t>Summa av HPR Medv</t>
  </si>
  <si>
    <t>Vernr</t>
  </si>
  <si>
    <t>Verdatum</t>
  </si>
  <si>
    <t>Bokföringsorder</t>
  </si>
  <si>
    <t>Baskto</t>
  </si>
  <si>
    <t>Proj inst</t>
  </si>
  <si>
    <t>V-het</t>
  </si>
  <si>
    <t>Text</t>
  </si>
  <si>
    <t>Kurs- o lokalintäkt</t>
  </si>
  <si>
    <t>D/K</t>
  </si>
  <si>
    <t>LGYPY</t>
  </si>
  <si>
    <t>LTEXY</t>
  </si>
  <si>
    <t>Introduktion till diskret matematik</t>
  </si>
  <si>
    <t>6SY027</t>
  </si>
  <si>
    <t>Anm</t>
  </si>
  <si>
    <t>6NE001</t>
  </si>
  <si>
    <t>6RE006</t>
  </si>
  <si>
    <t>6PE025</t>
  </si>
  <si>
    <t>anmkod</t>
  </si>
  <si>
    <t>Inriktning</t>
  </si>
  <si>
    <t>Verksamhetsområde</t>
  </si>
  <si>
    <t>Hämtat ur</t>
  </si>
  <si>
    <t>TUV</t>
  </si>
  <si>
    <t>Utvärdering, ledarskap och förändringsarbete</t>
  </si>
  <si>
    <t>Vård</t>
  </si>
  <si>
    <t>Totala intäkter</t>
  </si>
  <si>
    <t xml:space="preserve"> HST</t>
  </si>
  <si>
    <t xml:space="preserve"> HPR</t>
  </si>
  <si>
    <t xml:space="preserve"> Lokalintäkt</t>
  </si>
  <si>
    <t xml:space="preserve"> Kursintäkt</t>
  </si>
  <si>
    <t xml:space="preserve"> HST medv</t>
  </si>
  <si>
    <t xml:space="preserve"> HPr medv</t>
  </si>
  <si>
    <t xml:space="preserve"> HPR medv</t>
  </si>
  <si>
    <t>Totala kursintäkter</t>
  </si>
  <si>
    <t>Totala lokalintäkter</t>
  </si>
  <si>
    <t>Lokalintäkter**</t>
  </si>
  <si>
    <t xml:space="preserve">Summa </t>
  </si>
  <si>
    <t>Totala intäkter till institutionen</t>
  </si>
  <si>
    <t>Kursavdrag</t>
  </si>
  <si>
    <t xml:space="preserve"> Kursintäkt efter avdrag</t>
  </si>
  <si>
    <t>Kursintäkt efter avdrag</t>
  </si>
  <si>
    <t>Examensarbete för lärarexamen (grund)</t>
  </si>
  <si>
    <t>NMD</t>
  </si>
  <si>
    <t>Inkopierat från flik "Totalt per inst"</t>
  </si>
  <si>
    <t>Sam fak</t>
  </si>
  <si>
    <t>Kursintäkter</t>
  </si>
  <si>
    <t>TEKNAT</t>
  </si>
  <si>
    <t>Justering musik/design</t>
  </si>
  <si>
    <t>lokalint</t>
  </si>
  <si>
    <t>kursint</t>
  </si>
  <si>
    <t>Attest</t>
  </si>
  <si>
    <t>6LU002</t>
  </si>
  <si>
    <t>6LU003</t>
  </si>
  <si>
    <t>6PE301</t>
  </si>
  <si>
    <t>Demokrati, individ och samhälle</t>
  </si>
  <si>
    <t>SAKNA</t>
  </si>
  <si>
    <t>6ES029</t>
  </si>
  <si>
    <t>Musik 1a</t>
  </si>
  <si>
    <t>6MU019</t>
  </si>
  <si>
    <t>6SL012</t>
  </si>
  <si>
    <t>6TX014</t>
  </si>
  <si>
    <t>6PE097</t>
  </si>
  <si>
    <t>LYAGR</t>
  </si>
  <si>
    <t>LYAGY</t>
  </si>
  <si>
    <t>LYFSK</t>
  </si>
  <si>
    <t>LYGFR</t>
  </si>
  <si>
    <t>LYGFT</t>
  </si>
  <si>
    <t>6EN019</t>
  </si>
  <si>
    <t>6EN020</t>
  </si>
  <si>
    <t>6EN022</t>
  </si>
  <si>
    <t>6EN024</t>
  </si>
  <si>
    <t>6EN026</t>
  </si>
  <si>
    <t>6EN027</t>
  </si>
  <si>
    <t>6ES032</t>
  </si>
  <si>
    <t>6ES033</t>
  </si>
  <si>
    <t>6ES050</t>
  </si>
  <si>
    <t>6HI013</t>
  </si>
  <si>
    <t>6ID302</t>
  </si>
  <si>
    <t>6KN008</t>
  </si>
  <si>
    <t>6MN019</t>
  </si>
  <si>
    <t>6MN020</t>
  </si>
  <si>
    <t>6PE059</t>
  </si>
  <si>
    <t>6PE098</t>
  </si>
  <si>
    <t>6PE100</t>
  </si>
  <si>
    <t>6PE109</t>
  </si>
  <si>
    <t>6PE110</t>
  </si>
  <si>
    <t>6PE111</t>
  </si>
  <si>
    <t>6PE112</t>
  </si>
  <si>
    <t>6PE113</t>
  </si>
  <si>
    <t>6PE114</t>
  </si>
  <si>
    <t>6RV000</t>
  </si>
  <si>
    <t>6RV001</t>
  </si>
  <si>
    <t>6SH009</t>
  </si>
  <si>
    <t>6SH010</t>
  </si>
  <si>
    <t>6SP041</t>
  </si>
  <si>
    <t>6ST010</t>
  </si>
  <si>
    <t>6SV020</t>
  </si>
  <si>
    <t>6SV021</t>
  </si>
  <si>
    <t>6SV022</t>
  </si>
  <si>
    <t>6SV024</t>
  </si>
  <si>
    <t>6SV025</t>
  </si>
  <si>
    <t>6SV027</t>
  </si>
  <si>
    <t>6TX017</t>
  </si>
  <si>
    <t>6EXA</t>
  </si>
  <si>
    <t>LYGRM</t>
  </si>
  <si>
    <t>6ES030</t>
  </si>
  <si>
    <t>6MU020</t>
  </si>
  <si>
    <t>6SL013</t>
  </si>
  <si>
    <t>6TX015</t>
  </si>
  <si>
    <t>6KN010</t>
  </si>
  <si>
    <t>LGRTY</t>
  </si>
  <si>
    <t>Lärarprogram NYA fr ht11</t>
  </si>
  <si>
    <t>SAMAM</t>
  </si>
  <si>
    <t>TYCID</t>
  </si>
  <si>
    <t>Slöjd, Textil 1b</t>
  </si>
  <si>
    <t>Bild 2a</t>
  </si>
  <si>
    <t>Bild 2b</t>
  </si>
  <si>
    <t>Bild 1</t>
  </si>
  <si>
    <t>Bild 1b</t>
  </si>
  <si>
    <t>Musik 1b</t>
  </si>
  <si>
    <t>Slöjd, Trä- och metall 1b</t>
  </si>
  <si>
    <t>Engelska för F-3, kurs 1</t>
  </si>
  <si>
    <t>Engelska för F-3, kurs 2</t>
  </si>
  <si>
    <t>Engelska för åk 4-6, kurs 1</t>
  </si>
  <si>
    <t>Engelska för åk 4-6, kurs 2</t>
  </si>
  <si>
    <t>Historia I</t>
  </si>
  <si>
    <t>Hem- och konsumentkunskap B</t>
  </si>
  <si>
    <t>Matematik för åk 4-6, kurs 2</t>
  </si>
  <si>
    <t>Matematik för åk 4-6, kurs 3</t>
  </si>
  <si>
    <t>Matematikdidaktik 2</t>
  </si>
  <si>
    <t>Matematik för åk 4-6, kurs 1</t>
  </si>
  <si>
    <t>Lärande, lek och utveckling i förskolan I</t>
  </si>
  <si>
    <t>Barnet och omvärlden</t>
  </si>
  <si>
    <t>Grupprocesser och samverkan ur ett fritidshemsperspektiv</t>
  </si>
  <si>
    <t>Barns behov av stöd och stimulans ur ett fritidshemsperspektiv</t>
  </si>
  <si>
    <t>Kunskap, undervisning och lärande i fritidshem II</t>
  </si>
  <si>
    <t>Samhällskunskap 1</t>
  </si>
  <si>
    <t>Samhällskunskap 2</t>
  </si>
  <si>
    <t>Svenska för F-3, kurs 1</t>
  </si>
  <si>
    <t>Svenska för F-3, kurs 2</t>
  </si>
  <si>
    <t>Svenska för åk 4-6, kurs 1</t>
  </si>
  <si>
    <t>Svenska för åk 4-6, kurs 2</t>
  </si>
  <si>
    <t>Inst kod</t>
  </si>
  <si>
    <t>Agnetha Simm, ekonomisamordnare</t>
  </si>
  <si>
    <t>6ES051</t>
  </si>
  <si>
    <t>6MU033</t>
  </si>
  <si>
    <t>6TX016</t>
  </si>
  <si>
    <t>6SL021</t>
  </si>
  <si>
    <t>6MA018</t>
  </si>
  <si>
    <t>6MA001</t>
  </si>
  <si>
    <t>6MA019</t>
  </si>
  <si>
    <t>6MA020</t>
  </si>
  <si>
    <t>Inst för Psykologi</t>
  </si>
  <si>
    <t>Ekonomisk historia</t>
  </si>
  <si>
    <t>6MN023</t>
  </si>
  <si>
    <t>6MN026</t>
  </si>
  <si>
    <t>6MN024</t>
  </si>
  <si>
    <t>6MN027</t>
  </si>
  <si>
    <t>6EN025</t>
  </si>
  <si>
    <t>6EN029</t>
  </si>
  <si>
    <t>6ES034</t>
  </si>
  <si>
    <t>6ES041</t>
  </si>
  <si>
    <t>6ID303</t>
  </si>
  <si>
    <t>6ID306</t>
  </si>
  <si>
    <t>6ID314</t>
  </si>
  <si>
    <t>6LU001</t>
  </si>
  <si>
    <t>6MA021</t>
  </si>
  <si>
    <t>6MA022</t>
  </si>
  <si>
    <t>6MA023</t>
  </si>
  <si>
    <t>6MN025</t>
  </si>
  <si>
    <t>6MN028</t>
  </si>
  <si>
    <t>6PE096</t>
  </si>
  <si>
    <t>6PE099</t>
  </si>
  <si>
    <t>6PE101</t>
  </si>
  <si>
    <t>6PE102</t>
  </si>
  <si>
    <t>6PE103</t>
  </si>
  <si>
    <t>6PE115</t>
  </si>
  <si>
    <t>6PE116</t>
  </si>
  <si>
    <t>6PE302</t>
  </si>
  <si>
    <t>6RV002</t>
  </si>
  <si>
    <t>6RV003</t>
  </si>
  <si>
    <t>6SH011</t>
  </si>
  <si>
    <t>6SV023</t>
  </si>
  <si>
    <t>6SV026</t>
  </si>
  <si>
    <t>6SV028</t>
  </si>
  <si>
    <t>6SY026</t>
  </si>
  <si>
    <t>Engelska för åk 4-6, kurs 3</t>
  </si>
  <si>
    <t>Bild 3</t>
  </si>
  <si>
    <t>6HI014</t>
  </si>
  <si>
    <t>Idrott och hälsa III</t>
  </si>
  <si>
    <t>Matematikdidaktik 3</t>
  </si>
  <si>
    <t>Matematik för åk 4-6, kurs 4</t>
  </si>
  <si>
    <t>Lärande, lek och utveckling i förskolan II</t>
  </si>
  <si>
    <t>Bedömning för lärande i fritidshem (UK II)</t>
  </si>
  <si>
    <t>Läraryrkets dimensioner i fritidshem I (VFU III)</t>
  </si>
  <si>
    <t>Differentialekvationer och flervariabelanalys</t>
  </si>
  <si>
    <t>Samhällskunskap 3</t>
  </si>
  <si>
    <t>Kunskap, undervisning och lärande II för åk 4-6</t>
  </si>
  <si>
    <t>Att undervisa i F-3</t>
  </si>
  <si>
    <t>Att undervisa i åk 4-6</t>
  </si>
  <si>
    <t>Svenska för F-3, kurs 3</t>
  </si>
  <si>
    <t>Svenska för åk 4-6, kurs 3</t>
  </si>
  <si>
    <t>Matematiska metoder</t>
  </si>
  <si>
    <t>Funktionslära och grundläggande analys</t>
  </si>
  <si>
    <t>LYYRK</t>
  </si>
  <si>
    <t>DIST</t>
  </si>
  <si>
    <t>LYKGR</t>
  </si>
  <si>
    <t>LYKGY</t>
  </si>
  <si>
    <t>Kompletterande pedagogisk utbildning - åk 7-9, 90 hp, fr ht12</t>
  </si>
  <si>
    <t>Kompletterande pedagogisk utbildning - gymnasieskolan, 90 hp, fr ht12</t>
  </si>
  <si>
    <t>6PE121</t>
  </si>
  <si>
    <t>6PE122</t>
  </si>
  <si>
    <t>Lärarhögskolan - Umeå universitet</t>
  </si>
  <si>
    <t>* U-gem och F-gem ingår ej utan fördelas direkt till respektive fakultet</t>
  </si>
  <si>
    <t>** För institutioner inom Samfak går lokalintäkterna till fakulteten</t>
  </si>
  <si>
    <t>6PE120</t>
  </si>
  <si>
    <t>Education: Teaching and Learning in an International Context</t>
  </si>
  <si>
    <t>6MA026</t>
  </si>
  <si>
    <t>6MS001</t>
  </si>
  <si>
    <t>6SD001</t>
  </si>
  <si>
    <t>6SD000</t>
  </si>
  <si>
    <t>6MA024</t>
  </si>
  <si>
    <t>6MA025</t>
  </si>
  <si>
    <t>6MA027</t>
  </si>
  <si>
    <t>6MU034</t>
  </si>
  <si>
    <t>6SL022</t>
  </si>
  <si>
    <t>6SL014</t>
  </si>
  <si>
    <t>6TX020</t>
  </si>
  <si>
    <t>6TX021</t>
  </si>
  <si>
    <t>6KN011</t>
  </si>
  <si>
    <t>6MN018</t>
  </si>
  <si>
    <t>6MN021</t>
  </si>
  <si>
    <t>6MN022</t>
  </si>
  <si>
    <t>6NO018</t>
  </si>
  <si>
    <t>6TE004</t>
  </si>
  <si>
    <t>6ES053</t>
  </si>
  <si>
    <t>6ES054</t>
  </si>
  <si>
    <t>Engelska för blivande senarelärare, Etapp 3</t>
  </si>
  <si>
    <t>Engelska för blivande gymnasielärare, Etapp 3</t>
  </si>
  <si>
    <t>Engelska I för ämneslärare med inriktning mot gymnasiet</t>
  </si>
  <si>
    <t>Engelska I för ämneslärare med inriktning mot åk 7-9</t>
  </si>
  <si>
    <t>Engelska II för ämneslärare med inriktning mot åk 7-9</t>
  </si>
  <si>
    <t>Engelska II för ämneslärare med inriktning mot gymnasiet</t>
  </si>
  <si>
    <t>Bild I</t>
  </si>
  <si>
    <t>Bild II</t>
  </si>
  <si>
    <t>Bild III</t>
  </si>
  <si>
    <t>Skapande bild, distans</t>
  </si>
  <si>
    <t>Bild 1a</t>
  </si>
  <si>
    <t>Skapande i förskolan</t>
  </si>
  <si>
    <t>Bild 2a, distans</t>
  </si>
  <si>
    <t>Franska C med didaktisk inriktning inom lärarprogrammet</t>
  </si>
  <si>
    <t>Historia 1-2 för lärare</t>
  </si>
  <si>
    <t>Historia 3 för lärare</t>
  </si>
  <si>
    <t>Historia II forts.</t>
  </si>
  <si>
    <t>Idrott och hälsa II för grundskolan</t>
  </si>
  <si>
    <t>Hem- och konsumentkunskap 2</t>
  </si>
  <si>
    <t>Hem- och konsumentkunskap 3</t>
  </si>
  <si>
    <t>Hem- och konsumentkunskap A</t>
  </si>
  <si>
    <t>Hem- och konsumentkunskap, distans A</t>
  </si>
  <si>
    <t>Hem- och konsumentkunskap B, distans</t>
  </si>
  <si>
    <t>Språk-, skriv- och läsutveckling för speciallärare</t>
  </si>
  <si>
    <t>Information och undervisning</t>
  </si>
  <si>
    <t>Svenska IV</t>
  </si>
  <si>
    <t>Förskolans och Förskoleklassens kultur och uppdrag</t>
  </si>
  <si>
    <t>Förskolans pedagogiska verksamhet</t>
  </si>
  <si>
    <t>Ledarskap i förskola, förskoleklass och fritidshem</t>
  </si>
  <si>
    <t>Examensarbete för lärarexamen (grundnivå)</t>
  </si>
  <si>
    <t>Matematikdidaktik 1</t>
  </si>
  <si>
    <t>Problemlösning i matematik</t>
  </si>
  <si>
    <t>Analys, fördjupning</t>
  </si>
  <si>
    <t>Geometri och matematikens historia</t>
  </si>
  <si>
    <t>Algebra</t>
  </si>
  <si>
    <t>Linjär algebra</t>
  </si>
  <si>
    <t>Matematikundervisning med fokus på elever i behov av särskilda utbildningsinsatser</t>
  </si>
  <si>
    <t>Kartläggning, diagnotisering och bedömning i matematik</t>
  </si>
  <si>
    <t>Åtgärder</t>
  </si>
  <si>
    <t>Matematik för lärande och undervisning för åk F-3 och 4-6, del 1</t>
  </si>
  <si>
    <t>Matematik för åk F-3, kurs 1</t>
  </si>
  <si>
    <t>Matematik för lärande och undervisning för åk f-3, del II</t>
  </si>
  <si>
    <t>Matematik för lärande och undervisning för åk 4-6, del II</t>
  </si>
  <si>
    <t>Matematik för åk F-3, kurs 2</t>
  </si>
  <si>
    <t>Matematik för åk F-3, kurs 3</t>
  </si>
  <si>
    <t>Musik &amp; skapande, kommunikation</t>
  </si>
  <si>
    <t>Musik 2a, distans</t>
  </si>
  <si>
    <t>Makroekonomi och arbetsmarknad A23</t>
  </si>
  <si>
    <t>Utomhuspedagogik - Sommar</t>
  </si>
  <si>
    <t>Utomhuspedagogik i förskola, fritidshem och grundskolans tidiga år, 7,5hp</t>
  </si>
  <si>
    <t>Ämnesdidaktik 1 - naturvetenskapliga ämnen och matematik</t>
  </si>
  <si>
    <t>Ämnesdidaktik 1 - samhällsvetenskapliga och humanistiska ämnen</t>
  </si>
  <si>
    <t>Ämnesdidaktik 2 - samhällsvetenskapliga och humanistiska ämnen</t>
  </si>
  <si>
    <t>Examensarbete Lärarprogrammet</t>
  </si>
  <si>
    <t>Examensarbete för Studie- och yrkesvägledarprogrammet</t>
  </si>
  <si>
    <t>Examensarbete för speciallärarexamen med inriktning svenska</t>
  </si>
  <si>
    <t>Lärares professionella och vetenskapliga förhållningssätt</t>
  </si>
  <si>
    <t>Lärares professionella och vetenskapliga förhållningssätt i skolpraktiken</t>
  </si>
  <si>
    <t>Professionella samtal och rådgivning i specialpedagogiska frågor</t>
  </si>
  <si>
    <t>Didaktisk analys (avancerad nivå)</t>
  </si>
  <si>
    <t>6PE086</t>
  </si>
  <si>
    <t>Att undervisa i förskolan (VFU II)</t>
  </si>
  <si>
    <t>Barns lärande och utveckling i ett fritidshemsperspektiv</t>
  </si>
  <si>
    <t>Demokrati, mänskliga rättigheter och gender: globala perspektiv i utbildning</t>
  </si>
  <si>
    <t>Undervisning och lärande inom det svenska skolsystemet</t>
  </si>
  <si>
    <t>Pedagogiskt ledarskap, sociala relationer och konflikthantering</t>
  </si>
  <si>
    <t>Religionsvetenskap med didaktisk inriktning: fortsättningskurs</t>
  </si>
  <si>
    <t>Religionsvetenskap med didaktisk inriktning: påbyggnadskurs</t>
  </si>
  <si>
    <t>Religionsvetenskap med didaktisk inriktning: grundkurs</t>
  </si>
  <si>
    <t>Religionsvetenskap I</t>
  </si>
  <si>
    <t>Religionsvetenskap II: fortsättningskurs</t>
  </si>
  <si>
    <t>Examensarbete för lärarexamen: Språkdidaktisk inriktning</t>
  </si>
  <si>
    <t>Samhällskunskap I</t>
  </si>
  <si>
    <t>Samhällskunskap II</t>
  </si>
  <si>
    <t>Samhällskunskap III</t>
  </si>
  <si>
    <t>Slöjd- trä och metall inriktning I</t>
  </si>
  <si>
    <t>Slöjd - trä och metall inriktning II</t>
  </si>
  <si>
    <t>Slöjd- trä och metall inriktning III</t>
  </si>
  <si>
    <t>Slöjd, Trä- och metall 1a</t>
  </si>
  <si>
    <t>Slöjd, Trä- och metall 2a, distans</t>
  </si>
  <si>
    <t>Politik och samhälle</t>
  </si>
  <si>
    <t>Utbildning och arbetsmarknad I</t>
  </si>
  <si>
    <t>Svenska V: Språk och litteratur i samhälle och värld</t>
  </si>
  <si>
    <t>Studie- och yrkesvägledningens grunder</t>
  </si>
  <si>
    <t>Vetenskapliga perspektiv på studie- och yrkesvägledning</t>
  </si>
  <si>
    <t>Arbetsliv och lärande</t>
  </si>
  <si>
    <t>Teorier, modeller och metoder för vägledning och dess praktik</t>
  </si>
  <si>
    <t>Studie- och yrkesvägledningens praktik</t>
  </si>
  <si>
    <t>Teorier om studie- och yrkesval samt karriärutveckling</t>
  </si>
  <si>
    <t>Vägledning och stödinsatser för elever i behov av särskilt stöd</t>
  </si>
  <si>
    <t>Studie- och yrkesvägledningens teori och metod</t>
  </si>
  <si>
    <t>Introduktion till studie- och yrkesvägledning</t>
  </si>
  <si>
    <t>Samhällsvetenskap</t>
  </si>
  <si>
    <t>Teknik för lärare F-6</t>
  </si>
  <si>
    <t>Vävdesign</t>
  </si>
  <si>
    <t>Textila uttryck II</t>
  </si>
  <si>
    <t>Slöjd - textil inriktning III</t>
  </si>
  <si>
    <t>Kläddesign</t>
  </si>
  <si>
    <t>Slöjd, Textil 1a</t>
  </si>
  <si>
    <t>Slöjd, textil 2a, distans</t>
  </si>
  <si>
    <t>Vävdesign, fördjupning</t>
  </si>
  <si>
    <t>Examensarbete</t>
  </si>
  <si>
    <t>Att undervisa</t>
  </si>
  <si>
    <t>Bild 2b, distans</t>
  </si>
  <si>
    <t>Musik 1</t>
  </si>
  <si>
    <t>Musik 2</t>
  </si>
  <si>
    <t>Musik 2b, distans</t>
  </si>
  <si>
    <t>Slöjd, Trä- och metall 2b, distans</t>
  </si>
  <si>
    <t>6MU021</t>
  </si>
  <si>
    <t>6SL015</t>
  </si>
  <si>
    <t>6BIxxx</t>
  </si>
  <si>
    <t>6LI005</t>
  </si>
  <si>
    <t>Totalsumma</t>
  </si>
  <si>
    <t>Hum Summa</t>
  </si>
  <si>
    <t>VFU</t>
  </si>
  <si>
    <t>6HI015</t>
  </si>
  <si>
    <t>6KG001</t>
  </si>
  <si>
    <t>Företagsekonomi</t>
  </si>
  <si>
    <t>Historia III forts.</t>
  </si>
  <si>
    <t>Geografi I</t>
  </si>
  <si>
    <t>2180 Summa</t>
  </si>
  <si>
    <t>DE HST</t>
  </si>
  <si>
    <t>DE HPR</t>
  </si>
  <si>
    <t>HU HPR</t>
  </si>
  <si>
    <t>HU HST</t>
  </si>
  <si>
    <t>ID HPR</t>
  </si>
  <si>
    <t>ID HST</t>
  </si>
  <si>
    <t>LU HPR</t>
  </si>
  <si>
    <t>LU HST</t>
  </si>
  <si>
    <t>MU HPR</t>
  </si>
  <si>
    <t>MU HST</t>
  </si>
  <si>
    <t>NA HST</t>
  </si>
  <si>
    <t>NA HPR</t>
  </si>
  <si>
    <t>SA HST</t>
  </si>
  <si>
    <t>SA HPR</t>
  </si>
  <si>
    <t>TE HST</t>
  </si>
  <si>
    <t>TE HPR</t>
  </si>
  <si>
    <t>VFU HST</t>
  </si>
  <si>
    <t>VFU HPR</t>
  </si>
  <si>
    <t>XXX HST</t>
  </si>
  <si>
    <t>ÖV HST</t>
  </si>
  <si>
    <t>ÖV HPR</t>
  </si>
  <si>
    <t>VÅ HST</t>
  </si>
  <si>
    <t>VÅ HPR</t>
  </si>
  <si>
    <t>max antal</t>
  </si>
  <si>
    <t>Justering</t>
  </si>
  <si>
    <t>Justering över max</t>
  </si>
  <si>
    <t>Summa</t>
  </si>
  <si>
    <t>Orgnr</t>
  </si>
  <si>
    <t>K</t>
  </si>
  <si>
    <t>D</t>
  </si>
  <si>
    <t>Justering musik/design (tkr)</t>
  </si>
  <si>
    <t>Estetiska</t>
  </si>
  <si>
    <t>Epidemiologi och global hälsa</t>
  </si>
  <si>
    <t>6PE130</t>
  </si>
  <si>
    <t>6PE131</t>
  </si>
  <si>
    <t>Bedömning för lärande för åk F-3 och 4-6</t>
  </si>
  <si>
    <t>Bedömning för lärande för ämneslärare för åk 7-9 och gymnasium</t>
  </si>
  <si>
    <t>6LÄ048</t>
  </si>
  <si>
    <t>6LÄ046</t>
  </si>
  <si>
    <t>Enl ök mellan inst</t>
  </si>
  <si>
    <t>6KN013</t>
  </si>
  <si>
    <t>Franska B med didaktisk inriktning inom lärarprogrammet</t>
  </si>
  <si>
    <t>6PE303</t>
  </si>
  <si>
    <t>6LÄ045</t>
  </si>
  <si>
    <t>6LÄ047</t>
  </si>
  <si>
    <t>6PE129</t>
  </si>
  <si>
    <t>6ES042</t>
  </si>
  <si>
    <t>6ES043</t>
  </si>
  <si>
    <t>6KN012</t>
  </si>
  <si>
    <t>Bild I för fritidshemmet</t>
  </si>
  <si>
    <t>Bild II för fritidshemmet</t>
  </si>
  <si>
    <t>Hem- och konsumentkunskap C</t>
  </si>
  <si>
    <t>6TX022</t>
  </si>
  <si>
    <t>Kläddesign II</t>
  </si>
  <si>
    <t>1620 Summa</t>
  </si>
  <si>
    <t>1630 Summa</t>
  </si>
  <si>
    <t>2193 Summa</t>
  </si>
  <si>
    <t>2340 Summa</t>
  </si>
  <si>
    <t>5740 Summa</t>
  </si>
  <si>
    <t>Summa av Totala intäkter</t>
  </si>
  <si>
    <t>LH</t>
  </si>
  <si>
    <t>Justering lokaler</t>
  </si>
  <si>
    <t>6ES044</t>
  </si>
  <si>
    <t>6ES045</t>
  </si>
  <si>
    <t>6FA000</t>
  </si>
  <si>
    <t>6FA005</t>
  </si>
  <si>
    <t>6FYXXX</t>
  </si>
  <si>
    <t>6HI009</t>
  </si>
  <si>
    <t>6ID311</t>
  </si>
  <si>
    <t>6ID313</t>
  </si>
  <si>
    <t>6KExxx</t>
  </si>
  <si>
    <t>6KN005</t>
  </si>
  <si>
    <t>6LU005</t>
  </si>
  <si>
    <t>6MU023</t>
  </si>
  <si>
    <t>6NO023</t>
  </si>
  <si>
    <t>6NO024</t>
  </si>
  <si>
    <t>6PE006</t>
  </si>
  <si>
    <t>6PE104</t>
  </si>
  <si>
    <t>6PE105</t>
  </si>
  <si>
    <t>6PE106</t>
  </si>
  <si>
    <t>6PE107</t>
  </si>
  <si>
    <t>6PE108</t>
  </si>
  <si>
    <t>6PE117</t>
  </si>
  <si>
    <t>6PE118</t>
  </si>
  <si>
    <t>6PES01</t>
  </si>
  <si>
    <t>6SA008</t>
  </si>
  <si>
    <t>6SA009</t>
  </si>
  <si>
    <t>6ST009</t>
  </si>
  <si>
    <t>6SV030</t>
  </si>
  <si>
    <t>6SV031</t>
  </si>
  <si>
    <t>6TX001</t>
  </si>
  <si>
    <t>6TY012</t>
  </si>
  <si>
    <t>6TY013</t>
  </si>
  <si>
    <t>Bild I för 4-6</t>
  </si>
  <si>
    <t>Lärande, lek och utveckling i förskolan III. Skapande och lek i förskolan I:II</t>
  </si>
  <si>
    <t>Profession och vetenskap i fritidshem (UK III)</t>
  </si>
  <si>
    <t>Svenska som andraspråk II för ämneslärare med inriktning mot gymnasiet</t>
  </si>
  <si>
    <t>Enl mejl från Jonas Nilsson (fr Conny S)</t>
  </si>
  <si>
    <t>Bild II för 4-6</t>
  </si>
  <si>
    <t>6SY032</t>
  </si>
  <si>
    <t>6SY028</t>
  </si>
  <si>
    <t>6SY031</t>
  </si>
  <si>
    <t>6SY029</t>
  </si>
  <si>
    <t>6SY030</t>
  </si>
  <si>
    <t>6NO031</t>
  </si>
  <si>
    <t>6NO033</t>
  </si>
  <si>
    <t>6MN029</t>
  </si>
  <si>
    <t>2IT030</t>
  </si>
  <si>
    <t>2IT017</t>
  </si>
  <si>
    <t>2IT018</t>
  </si>
  <si>
    <t>2IT019</t>
  </si>
  <si>
    <t>2IT020</t>
  </si>
  <si>
    <t>Utomhuspedagogik i förskola, fritidshem och grundskola II</t>
  </si>
  <si>
    <t>Matematik, påbyggnadskurs</t>
  </si>
  <si>
    <t>6ES055</t>
  </si>
  <si>
    <t>Magisterarbete för examen i pedagogiskt yrkesarbete på magisternivå</t>
  </si>
  <si>
    <t>2500 Summa</t>
  </si>
  <si>
    <t>Summa av Lokalintäkt</t>
  </si>
  <si>
    <t>6PE135</t>
  </si>
  <si>
    <t>6PE136</t>
  </si>
  <si>
    <t>Tips: Fliken "kurser alla" innehåller i princip all underliggande data (förutom fördelning mellan kursansvarig och medverkande). Här kan ni alltså filtrera på programkod, kurskod, kursansvarig inst mm, eller göra en egen pivot med denna flik som datakälla.</t>
  </si>
  <si>
    <t>Inst för Fysik</t>
  </si>
  <si>
    <t>Juridiska institutionen</t>
  </si>
  <si>
    <t>Grundlärarprogrammet - fritidshem</t>
  </si>
  <si>
    <t>Förskollärarprogrammet</t>
  </si>
  <si>
    <t>Grundlärarprogrammet - förskoleklass och åk 1-3</t>
  </si>
  <si>
    <t>Grundlärarprogrammet - grundskolans åk 4-6</t>
  </si>
  <si>
    <t>Ämneslärarprogrammet - åk 7-9</t>
  </si>
  <si>
    <t>Fr o m ht12</t>
  </si>
  <si>
    <t>Yrkeslärarprogrammet</t>
  </si>
  <si>
    <t>KPU - åk 7-9</t>
  </si>
  <si>
    <t>KPU - Gy</t>
  </si>
  <si>
    <t>Specialpedagogprogrammet</t>
  </si>
  <si>
    <t>Speciallärarprogrammet</t>
  </si>
  <si>
    <t>Lärarprogram långa - före ht11</t>
  </si>
  <si>
    <t>Lärarprogram kort - före ht11</t>
  </si>
  <si>
    <t>agnetha.simm@umu.se</t>
  </si>
  <si>
    <t>6MA029</t>
  </si>
  <si>
    <t>Beställda kurser KPU förhöjd studietakt (150%)</t>
  </si>
  <si>
    <t>Enl kkk 130918 p 5</t>
  </si>
  <si>
    <t>6SY033</t>
  </si>
  <si>
    <t>6SY034</t>
  </si>
  <si>
    <t>6SY035</t>
  </si>
  <si>
    <t>Överbryggande SYV</t>
  </si>
  <si>
    <t>6PE137</t>
  </si>
  <si>
    <t>6TE006</t>
  </si>
  <si>
    <t>6SV037</t>
  </si>
  <si>
    <t>6KG002</t>
  </si>
  <si>
    <t>fd fiktiv kurskod 6GEXX7 (klassificerad 50NA 50SA)</t>
  </si>
  <si>
    <t>5BI152</t>
  </si>
  <si>
    <t>5BI012</t>
  </si>
  <si>
    <t>5BI156</t>
  </si>
  <si>
    <t>5FY041</t>
  </si>
  <si>
    <t>5KE011</t>
  </si>
  <si>
    <t>5KE105</t>
  </si>
  <si>
    <t>Ekologi A</t>
  </si>
  <si>
    <t>Ekologi</t>
  </si>
  <si>
    <t>Genetik och evolution</t>
  </si>
  <si>
    <t>Artkunskap och ekologisk fältmetodik</t>
  </si>
  <si>
    <t>Klassisk mekanik A</t>
  </si>
  <si>
    <t>Kemins grunder med miljö- och samhällsperspektiv, 15 hp</t>
  </si>
  <si>
    <t>6KNxx1</t>
  </si>
  <si>
    <t>Enl kkk 131203</t>
  </si>
  <si>
    <t>6JU000</t>
  </si>
  <si>
    <t>Skoljurudik, 7,5 hp</t>
  </si>
  <si>
    <t>fd fiktiv kurskod 6NYFRIST6</t>
  </si>
  <si>
    <t>Enl ök mellan inst 131211</t>
  </si>
  <si>
    <t>fd fiktiv kurskod 6SP7XX</t>
  </si>
  <si>
    <t>fd fiktiv kurskod 6SP7YY</t>
  </si>
  <si>
    <t>6PE141</t>
  </si>
  <si>
    <t>6PE142</t>
  </si>
  <si>
    <t>6RV009</t>
  </si>
  <si>
    <t>fd fiktiv kurskod 6REXX1</t>
  </si>
  <si>
    <t>6MA030</t>
  </si>
  <si>
    <t>6PE134</t>
  </si>
  <si>
    <t>6PE139</t>
  </si>
  <si>
    <t>6PE140</t>
  </si>
  <si>
    <t>6PE145</t>
  </si>
  <si>
    <t>fd fiktiv kurskod 6VFUYRK</t>
  </si>
  <si>
    <t>6HI030</t>
  </si>
  <si>
    <t>Att undervisa i historia</t>
  </si>
  <si>
    <t>Bytt namn och kurskod från 6HI022</t>
  </si>
  <si>
    <t>6PE144</t>
  </si>
  <si>
    <t>6PE143</t>
  </si>
  <si>
    <t>6RV010</t>
  </si>
  <si>
    <t>6SY036</t>
  </si>
  <si>
    <t>Ersätter 6SY014?</t>
  </si>
  <si>
    <t>6LÄ050</t>
  </si>
  <si>
    <t>6LÄ051</t>
  </si>
  <si>
    <t>fd fiktiv 6SP8XX</t>
  </si>
  <si>
    <t>fd fiktiv 6SP8YY</t>
  </si>
  <si>
    <t>6PE150</t>
  </si>
  <si>
    <t>Fd 6KPUF2</t>
  </si>
  <si>
    <t>Fd 6KPUF6</t>
  </si>
  <si>
    <t>6PE151</t>
  </si>
  <si>
    <t>Fd 6LU0xx</t>
  </si>
  <si>
    <t>6PE147</t>
  </si>
  <si>
    <t>fd 6LU0xx</t>
  </si>
  <si>
    <t>Enl ny ök mellan inst</t>
  </si>
  <si>
    <t>6ID315</t>
  </si>
  <si>
    <t>6ID316</t>
  </si>
  <si>
    <t>Ers 6ID310 kommer att klassas till Idrott enl BW</t>
  </si>
  <si>
    <t>Ers 6ID312 kommer att klassas till Idrott enl BW</t>
  </si>
  <si>
    <t>Anm 1</t>
  </si>
  <si>
    <t>Anm 2</t>
  </si>
  <si>
    <t>6PE152</t>
  </si>
  <si>
    <t>6PE153</t>
  </si>
  <si>
    <t>6PE154</t>
  </si>
  <si>
    <t>6PE155</t>
  </si>
  <si>
    <t>Fd 6KPUF4</t>
  </si>
  <si>
    <t>Fd 6KPUF1</t>
  </si>
  <si>
    <t>Fd 6KPUF5</t>
  </si>
  <si>
    <t>Fd 6KPUF3</t>
  </si>
  <si>
    <t>500xxx</t>
  </si>
  <si>
    <t>50xxx</t>
  </si>
  <si>
    <t>50xxx5</t>
  </si>
  <si>
    <t>50xxxx</t>
  </si>
  <si>
    <t>5BI137</t>
  </si>
  <si>
    <t>5EL204</t>
  </si>
  <si>
    <t>5FY036</t>
  </si>
  <si>
    <t>5FY108</t>
  </si>
  <si>
    <t>5FY110</t>
  </si>
  <si>
    <t>5FY118</t>
  </si>
  <si>
    <t>5KE002</t>
  </si>
  <si>
    <t>5KE081</t>
  </si>
  <si>
    <t>60xxxx</t>
  </si>
  <si>
    <t>6BIxx1</t>
  </si>
  <si>
    <t>6EN030</t>
  </si>
  <si>
    <t>6ES037</t>
  </si>
  <si>
    <t>6ES038</t>
  </si>
  <si>
    <t>6ES048</t>
  </si>
  <si>
    <t>6ES049</t>
  </si>
  <si>
    <t>6FA006</t>
  </si>
  <si>
    <t>6FYYY7</t>
  </si>
  <si>
    <t>6HI022</t>
  </si>
  <si>
    <t>6HI9XX</t>
  </si>
  <si>
    <t>6ID307</t>
  </si>
  <si>
    <t>6ID308</t>
  </si>
  <si>
    <t>6ID309</t>
  </si>
  <si>
    <t>6KN9XX</t>
  </si>
  <si>
    <t>6PE026</t>
  </si>
  <si>
    <t>6PE029</t>
  </si>
  <si>
    <t>6PE058</t>
  </si>
  <si>
    <t>6PE148</t>
  </si>
  <si>
    <t>6PE149</t>
  </si>
  <si>
    <t>6RV006</t>
  </si>
  <si>
    <t>6SA010</t>
  </si>
  <si>
    <t>6SH013</t>
  </si>
  <si>
    <t>6SH014</t>
  </si>
  <si>
    <t>6SH7XX</t>
  </si>
  <si>
    <t>6SV032</t>
  </si>
  <si>
    <t>6TX012</t>
  </si>
  <si>
    <t>6TY014</t>
  </si>
  <si>
    <t>NV didaktik (dst)</t>
  </si>
  <si>
    <t>Fysiologi och cellbiologi</t>
  </si>
  <si>
    <t>Grundläggande mätteknik B</t>
  </si>
  <si>
    <t>El- och vågrörelselära</t>
  </si>
  <si>
    <t>Laborativ problemlösning i fysik</t>
  </si>
  <si>
    <t>Kvantfysik</t>
  </si>
  <si>
    <t>Akvatisk kemi</t>
  </si>
  <si>
    <t>Analytisk kemi</t>
  </si>
  <si>
    <t>Läraryrkets dimensioner (Estetiska ämnen)</t>
  </si>
  <si>
    <t>Bild fördjupning - Design textil II</t>
  </si>
  <si>
    <t>Franska III för ämneslärare med inriktning mot gymnasiet</t>
  </si>
  <si>
    <t>UK III - Profession och vetenskap, Idrott och hälsa</t>
  </si>
  <si>
    <t>VFU III - Läraryrkets dimensioner, Idrott och hälsa</t>
  </si>
  <si>
    <t>Läraryrkets dimensioner (Hem- och konsumentkunskap)</t>
  </si>
  <si>
    <t>Examensarbete (Matematik), 30 hp</t>
  </si>
  <si>
    <t>Ämnesdidaktik 2 - naturvetenskapliga ämnen och matematik</t>
  </si>
  <si>
    <t>Spanska III för ämneslärare med inriktning mot gymnasiet</t>
  </si>
  <si>
    <t>Svenska som andraspråk III för ämneslärare med inriktning mot gymnasiet</t>
  </si>
  <si>
    <t>Tyska III för ämneslärare med inriktning mot gymnasiet</t>
  </si>
  <si>
    <t>Enl kkk 140409</t>
  </si>
  <si>
    <t>Summa av HST</t>
  </si>
  <si>
    <t>6PE119</t>
  </si>
  <si>
    <t>6SV041</t>
  </si>
  <si>
    <t>5FY129</t>
  </si>
  <si>
    <t>5FY130</t>
  </si>
  <si>
    <t>6HI023</t>
  </si>
  <si>
    <t>6HI024</t>
  </si>
  <si>
    <t>6LI006</t>
  </si>
  <si>
    <t>6SV042</t>
  </si>
  <si>
    <t>Fd fiktiv kurskod 6SV7XX</t>
  </si>
  <si>
    <t>Fd fiktiv kurskod 6HI8XX</t>
  </si>
  <si>
    <t>Svenska som andraspråk III - för ämneslärare med inriktning mot gymnasieskolan</t>
  </si>
  <si>
    <t>Solceller, 7,5 hp</t>
  </si>
  <si>
    <t>Avancerade material, 7,5 hp</t>
  </si>
  <si>
    <t>Läraryrkets dimensioner (Samhällskunskap), 22,5 hp</t>
  </si>
  <si>
    <t>Sex och samlevnad, 7,5 hp</t>
  </si>
  <si>
    <t>6SV040</t>
  </si>
  <si>
    <t>1LV048</t>
  </si>
  <si>
    <t>6PE138</t>
  </si>
  <si>
    <t>6KN015</t>
  </si>
  <si>
    <t>6KN014</t>
  </si>
  <si>
    <t>Svenska som andraspråk II - för ämneslärare</t>
  </si>
  <si>
    <t>Utbildningsvetenskap i pedagogisk praktik</t>
  </si>
  <si>
    <t>Mat och hälsa för barn och ungdomar</t>
  </si>
  <si>
    <t>Hem- och konsumentkunskap B15, distans</t>
  </si>
  <si>
    <t>6MA031</t>
  </si>
  <si>
    <t xml:space="preserve">Utfördelat
t o m </t>
  </si>
  <si>
    <t>TFE</t>
  </si>
  <si>
    <t>Agnetha Simm, Lärarhögskolans kansli</t>
  </si>
  <si>
    <t>enl kkk 140221</t>
  </si>
  <si>
    <t>6PE169</t>
  </si>
  <si>
    <t>6PE171</t>
  </si>
  <si>
    <t>6PE172</t>
  </si>
  <si>
    <t>6PE170</t>
  </si>
  <si>
    <t>6PE175</t>
  </si>
  <si>
    <t>6LÄ052</t>
  </si>
  <si>
    <t>6PE146</t>
  </si>
  <si>
    <t>VFU-kurs</t>
  </si>
  <si>
    <t>Enl uppg fr AKL till Ladok 141014</t>
  </si>
  <si>
    <t>6MA032</t>
  </si>
  <si>
    <t>6MN032</t>
  </si>
  <si>
    <t>6MN033</t>
  </si>
  <si>
    <t>6MN035</t>
  </si>
  <si>
    <t>Biologididaktik för ämneslärare för åk 7-9</t>
  </si>
  <si>
    <t>Fysikdidaktik för ämneslärare för åk 7-9</t>
  </si>
  <si>
    <t>Kemididaktik för ämneslärare för åk 7-9</t>
  </si>
  <si>
    <t>6PE174</t>
  </si>
  <si>
    <t>6LV002</t>
  </si>
  <si>
    <t>6ID010</t>
  </si>
  <si>
    <t>6ID012</t>
  </si>
  <si>
    <t>Ny fr o m 2015, ers 6ID315</t>
  </si>
  <si>
    <t>Ny fr o m 2015, ers 6ID316</t>
  </si>
  <si>
    <t xml:space="preserve">TUV </t>
  </si>
  <si>
    <t>6PE182</t>
  </si>
  <si>
    <t>Bild med fördjupning. Slöjd - Design, textil I</t>
  </si>
  <si>
    <t>6SL030</t>
  </si>
  <si>
    <t>6TX023</t>
  </si>
  <si>
    <t>6MU044</t>
  </si>
  <si>
    <t>Ingår i utbildningsvet kärna</t>
  </si>
  <si>
    <t>LYAGR/LYAGY</t>
  </si>
  <si>
    <t>Kunskap, vetenskap och forskningsmetodik, 7,5 hp</t>
  </si>
  <si>
    <t>Etik, demokrati och det heterogena klassrummet, 7,5 hp</t>
  </si>
  <si>
    <t>Enl styrelse 141204</t>
  </si>
  <si>
    <t>5FY001</t>
  </si>
  <si>
    <t>5FY114</t>
  </si>
  <si>
    <t>5FY140</t>
  </si>
  <si>
    <t>5FY141</t>
  </si>
  <si>
    <t>Analytisk mekanik, 6 hp</t>
  </si>
  <si>
    <t>Virtuella världars fysik, 7,5 hp</t>
  </si>
  <si>
    <t>Kvantfysik, 6 hp</t>
  </si>
  <si>
    <t>Vågrörelselära, 6 hp</t>
  </si>
  <si>
    <t>Fd 3257</t>
  </si>
  <si>
    <t>6PE183</t>
  </si>
  <si>
    <t>6PE184</t>
  </si>
  <si>
    <t>6LU006</t>
  </si>
  <si>
    <t>Summa av Ant</t>
  </si>
  <si>
    <t>6LU007</t>
  </si>
  <si>
    <t>Enl ök mellan inst 150204</t>
  </si>
  <si>
    <t>Biologididaktik 1 för ämneslärare för gymnasium</t>
  </si>
  <si>
    <t>Biologididaktik 2 för ämneslärare för gymnasium</t>
  </si>
  <si>
    <t>Fysikdidaktik 1 för ämneslärare för gymnasium</t>
  </si>
  <si>
    <t>Fysikdidaktik 2 för ämneslärare för gymnasium</t>
  </si>
  <si>
    <t>Kemididaktik 1 för ämneslärare för gymnasium</t>
  </si>
  <si>
    <t>Kemididaktik 2 för ämneslärare för gymnasium</t>
  </si>
  <si>
    <t>Engelska III för ämneslärare med inriktning mot gymnasiet</t>
  </si>
  <si>
    <t>Läraryrkets dimensioner</t>
  </si>
  <si>
    <t>Examensarbete - estetiska ämnen</t>
  </si>
  <si>
    <t>Att undervisa - estetiska ämnen</t>
  </si>
  <si>
    <t>Ämnesdidaktik i estetiska ämnen med fördjupningar</t>
  </si>
  <si>
    <t>Franska A med didaktisk inriktning inom lärarprogrammet</t>
  </si>
  <si>
    <t>Franska II för ämneslärare</t>
  </si>
  <si>
    <t>Andraämne Historia fördjupning</t>
  </si>
  <si>
    <t>Examensarbete kurs I</t>
  </si>
  <si>
    <t>Idrott och hälsa I, för lägre åldrar</t>
  </si>
  <si>
    <t>Idrott och hälsa II, för lägre åldrar</t>
  </si>
  <si>
    <t>VFU II - Att undervisa, Idrott och hälsa</t>
  </si>
  <si>
    <t>Examensarbete Lärarprogrammet, Idrott och hälsa</t>
  </si>
  <si>
    <t>Lek, rörelseglädje och hälsa II</t>
  </si>
  <si>
    <t>Leda rörelse för lärande II</t>
  </si>
  <si>
    <t>Idrott och hälsa I, för F-3</t>
  </si>
  <si>
    <t>Idrott och hälsa II, för F-3</t>
  </si>
  <si>
    <t>Geografi II</t>
  </si>
  <si>
    <t>Att undervisa i Hem- och konsumentkunskap</t>
  </si>
  <si>
    <t>Specialpedagogik med fokus på svenska och matematik för F-3</t>
  </si>
  <si>
    <t>Samhällsorientering åk 4-6</t>
  </si>
  <si>
    <t>Ungdomsromanen i samtiden</t>
  </si>
  <si>
    <t>Kunskap undervisning och lärande II för F-3</t>
  </si>
  <si>
    <t>Examensarbete för grundlärarexamen med inriktning mot förskoleklass och grundskolans år 1-3</t>
  </si>
  <si>
    <t>Examensarbete för grundlärarexamen med inriktning mot grundskolans år 4-6</t>
  </si>
  <si>
    <t>Examensarbete i engelska eller svenska för ämneslärarexamen med inriktning mot åk 7-9</t>
  </si>
  <si>
    <t>Att undervisa i matematik</t>
  </si>
  <si>
    <t>Matematik för åk F-3, kurs 4</t>
  </si>
  <si>
    <t>Musik I</t>
  </si>
  <si>
    <t>Musik 3</t>
  </si>
  <si>
    <t>Musik 1 30 hp, fristående</t>
  </si>
  <si>
    <t>Naturorientering och teknik för lärande och undervisning för åk F-3 och 4-6</t>
  </si>
  <si>
    <t>Naturorientering och teknik för åk 4-6</t>
  </si>
  <si>
    <t>Naturorientering och teknik för lärande och undervisning för åk 4-6, del II</t>
  </si>
  <si>
    <t>Examensarbete Studie- och yrkesvägledarprogrammet</t>
  </si>
  <si>
    <t>Beteendevetenskapliga grunder</t>
  </si>
  <si>
    <t>Att vara lärare (VFU I)</t>
  </si>
  <si>
    <t>Examensarbete i Förskollärarprogrammet</t>
  </si>
  <si>
    <t>Att undervisa i fritidshem (VFU II)</t>
  </si>
  <si>
    <t>Läraryrkets dimensioner II i fritidshem (VFU III)</t>
  </si>
  <si>
    <t>Examensarbete grundlärare - fritidshem</t>
  </si>
  <si>
    <t>Vetenskapsteori och vetenskaplig metod</t>
  </si>
  <si>
    <t>Samhällsorientering, åk F-3</t>
  </si>
  <si>
    <t>Magisteruppsats i Pedagogisk yrkesverksamhet</t>
  </si>
  <si>
    <t>Läraryrkets dimensioner för åk 4-6 (VFU III)</t>
  </si>
  <si>
    <t>Läraryrkets dimensioner för F-3 (VFU III)</t>
  </si>
  <si>
    <t>Samhällsorientering, F-3</t>
  </si>
  <si>
    <t>Kunskap undervisning och lärande II</t>
  </si>
  <si>
    <t>Ämnesdidaktik i skolpraktiken, del 1</t>
  </si>
  <si>
    <t>Ämnesdidaktik i skolpraktiken, del 2</t>
  </si>
  <si>
    <t>Vetenskap och kunskap</t>
  </si>
  <si>
    <t>Bedömning</t>
  </si>
  <si>
    <t>Den professionella läraren I: Barns och ungas utveckling, specialpedagogik, sociala relationer och kommunikation</t>
  </si>
  <si>
    <t>Utbildningens villkor och samhälleliga funktion</t>
  </si>
  <si>
    <t>Den professionella läraren II: Uppdrag, ledarskap och undervisning</t>
  </si>
  <si>
    <t>Undervisning och lärande - läroplansteori och didaktik</t>
  </si>
  <si>
    <t>Examensarbete med ämnesdidaktisk inriktning</t>
  </si>
  <si>
    <t>Profession och vetenskap</t>
  </si>
  <si>
    <t>Profession och vetenskap för åk 4-6 (UK III)</t>
  </si>
  <si>
    <t>Verksamhetsförlagd utbildning (KPU)</t>
  </si>
  <si>
    <t>Verksamhetsförlagd utbildning</t>
  </si>
  <si>
    <t>Handledarutbildning för VFU-handledare, handledningssamtal</t>
  </si>
  <si>
    <t>Handledarutbildning för VFU-handledare, bedömning</t>
  </si>
  <si>
    <t>Skolutvärdering i granskningssamhället</t>
  </si>
  <si>
    <t>Förskollärare som profession</t>
  </si>
  <si>
    <t>Att vara förskollärare (VFU)</t>
  </si>
  <si>
    <t>Kunskap, undervisning och lärande II för 7-9 och gymnasiet</t>
  </si>
  <si>
    <t>Religionsvetenskap III: påbyggnadskurs</t>
  </si>
  <si>
    <t>Att undervisa.</t>
  </si>
  <si>
    <t>Läraryrkets dimensioner.</t>
  </si>
  <si>
    <t>Religionsvetenskap II för ämneslärare med inriktning mot åk 7-9</t>
  </si>
  <si>
    <t>Att undervisa i religion.</t>
  </si>
  <si>
    <t>Spanska I för ämneslärare</t>
  </si>
  <si>
    <t>Spanska II för ämneslärare</t>
  </si>
  <si>
    <t>Slöjd trä och metall 1 30 hp</t>
  </si>
  <si>
    <t>Slöjd trä och metall 2 30 hp</t>
  </si>
  <si>
    <t>Slöjd trä och metall 1 30 hp, fristående</t>
  </si>
  <si>
    <t>Specialpedagogiska kunskapsområden</t>
  </si>
  <si>
    <t>Svenska som andraspråk I för ämneslärare</t>
  </si>
  <si>
    <t>Svenska för tidigare år, kurs 2 (22,5 -30 hp)</t>
  </si>
  <si>
    <t>Karriärutveckling i socialt och kulturellt perspektiv</t>
  </si>
  <si>
    <t>Karriärvägledning och andra insatser för människor i behov av särskilt stöd</t>
  </si>
  <si>
    <t>Karriärteori och vägledning</t>
  </si>
  <si>
    <t>Gruppvägledning med inriktning mot karriärutveckling</t>
  </si>
  <si>
    <t>Kommunikation och undervisning</t>
  </si>
  <si>
    <t>Teorier, modeller och metoder för karriärvägledning</t>
  </si>
  <si>
    <t>Naturorientering och teknik för F-3</t>
  </si>
  <si>
    <t>Vävdesign - från idé till uttryck</t>
  </si>
  <si>
    <t>Kläddesign - från idé till uttryck</t>
  </si>
  <si>
    <t>Slöjd textil 1 30 hp</t>
  </si>
  <si>
    <t>Slöjd, textil 2b, distans</t>
  </si>
  <si>
    <t>Slöjd textil 1 30 hp, fristående</t>
  </si>
  <si>
    <t>Tyska I för ämneslärare</t>
  </si>
  <si>
    <t>Tyska II för ämneslärare</t>
  </si>
  <si>
    <t>Verksamhetsförlagd utbildning för yrkeslärare</t>
  </si>
  <si>
    <t>5FY139</t>
  </si>
  <si>
    <t>Elektromagnetism</t>
  </si>
  <si>
    <t>50xxx6</t>
  </si>
  <si>
    <t>6BIOxx</t>
  </si>
  <si>
    <t>6BIxx7</t>
  </si>
  <si>
    <t>6EN9XX</t>
  </si>
  <si>
    <t>6ES040</t>
  </si>
  <si>
    <t>6EX10</t>
  </si>
  <si>
    <t>6HI016</t>
  </si>
  <si>
    <t>6KExx2</t>
  </si>
  <si>
    <t>6PE156</t>
  </si>
  <si>
    <t>6RV007</t>
  </si>
  <si>
    <t>6RV008</t>
  </si>
  <si>
    <t>6SD002</t>
  </si>
  <si>
    <t>Biokemi 15 hp</t>
  </si>
  <si>
    <t>NV-didaktik distans 15 hp</t>
  </si>
  <si>
    <t>Profession och vetenskap (Engelska)</t>
  </si>
  <si>
    <t>Profession och vetenskap (Estetiska ämnen)</t>
  </si>
  <si>
    <t>Examensarbete för ämneslärare med inriktning mot gymnasiet (andra ämnet)</t>
  </si>
  <si>
    <t>Examensarbete (Religion åk 7-9)</t>
  </si>
  <si>
    <t>Examensarbete (Religion gy)</t>
  </si>
  <si>
    <t>Examensarbete i svenska för ämneslärarexamen</t>
  </si>
  <si>
    <t>6SP047</t>
  </si>
  <si>
    <t>6PE187</t>
  </si>
  <si>
    <t>6PE188</t>
  </si>
  <si>
    <t>6PE185</t>
  </si>
  <si>
    <t>6PE186</t>
  </si>
  <si>
    <t>Lärande och undervisning</t>
  </si>
  <si>
    <t>Ämneslärare som profession</t>
  </si>
  <si>
    <t>Att vara ämneslärare (VFU)</t>
  </si>
  <si>
    <t>Att vara grundlärare (VFU)</t>
  </si>
  <si>
    <t>Enl uppg fr AS till Ladok 150318</t>
  </si>
  <si>
    <t>Enl uppg fr AS till Ladok 150324</t>
  </si>
  <si>
    <t>6MA036</t>
  </si>
  <si>
    <t>Ingår i utbildningsvet kärna LYFSK</t>
  </si>
  <si>
    <t>VFU - LYFSK</t>
  </si>
  <si>
    <t>VFU - LYGFR/LYGFT/LYGRM</t>
  </si>
  <si>
    <t>Ingår i utbildningsvet kärna -LYGFR/LYGFT/LYGRM</t>
  </si>
  <si>
    <t>6SD003</t>
  </si>
  <si>
    <t>Examensarbete i språkdidaktik för ämneslärarexamen</t>
  </si>
  <si>
    <t>Enl ök mellan inst 150325</t>
  </si>
  <si>
    <t>5KE154</t>
  </si>
  <si>
    <t>Grundläggande biokemi</t>
  </si>
  <si>
    <t>6LÄ053</t>
  </si>
  <si>
    <t>6LÄ054</t>
  </si>
  <si>
    <t>Läraryrkets dimensioner - ingångsämne engelska</t>
  </si>
  <si>
    <t>Läraryrkets dimensioner - ingångsämne svenska</t>
  </si>
  <si>
    <t>Enl kkk 150415</t>
  </si>
  <si>
    <t>6MA034</t>
  </si>
  <si>
    <t>Läraryrkets dimensioner - ingångsämne matematik</t>
  </si>
  <si>
    <t>6KA000</t>
  </si>
  <si>
    <t>Det mångkulturella klassrummet</t>
  </si>
  <si>
    <t>6KA001</t>
  </si>
  <si>
    <t>Heteronormativitet i skolan</t>
  </si>
  <si>
    <t>6KN016</t>
  </si>
  <si>
    <t>6KO000</t>
  </si>
  <si>
    <t>6LV003</t>
  </si>
  <si>
    <t>6LV004</t>
  </si>
  <si>
    <t>Litteraturdidaktik och läsning</t>
  </si>
  <si>
    <t>6MU045</t>
  </si>
  <si>
    <t>Dans och rörelse I</t>
  </si>
  <si>
    <t>6MU047</t>
  </si>
  <si>
    <t>6PE160</t>
  </si>
  <si>
    <t>6PE161</t>
  </si>
  <si>
    <t>6PE162</t>
  </si>
  <si>
    <t>6PE163</t>
  </si>
  <si>
    <t>6PE164</t>
  </si>
  <si>
    <t>6PE165</t>
  </si>
  <si>
    <t>6PE166</t>
  </si>
  <si>
    <t>6PE167</t>
  </si>
  <si>
    <t>6PE168</t>
  </si>
  <si>
    <t>6PE190</t>
  </si>
  <si>
    <t>Intersektionell genuspedagogik</t>
  </si>
  <si>
    <t>6PE191</t>
  </si>
  <si>
    <t xml:space="preserve">Musik 3, fristående </t>
  </si>
  <si>
    <t xml:space="preserve">Bild 1, fristående </t>
  </si>
  <si>
    <t xml:space="preserve">Bild 2, fristående </t>
  </si>
  <si>
    <t>Didaktik för modersmålslärare</t>
  </si>
  <si>
    <t>Svenska som andraspråk A</t>
  </si>
  <si>
    <t>Svenska som andraspråk B</t>
  </si>
  <si>
    <t>Svenska som andraspråk C, diskriminerande strukturer, grammatik och fonetik</t>
  </si>
  <si>
    <t>Hem- och konsumentkunskap C - fördjupning</t>
  </si>
  <si>
    <t>Digitala och sociala medier</t>
  </si>
  <si>
    <t>Bilderboken och barnromanen</t>
  </si>
  <si>
    <t>Musik 2 30.0 hp, fristående</t>
  </si>
  <si>
    <t>Mobbning, kränkande behandling och diskriminering</t>
  </si>
  <si>
    <t>6SY037</t>
  </si>
  <si>
    <t>6MA033</t>
  </si>
  <si>
    <t>6MA035</t>
  </si>
  <si>
    <t>6MA038</t>
  </si>
  <si>
    <t>Matematik 1 för grundskolans årskurs 4-6</t>
  </si>
  <si>
    <t>Ersätter 6SY015 fr o m ht-15</t>
  </si>
  <si>
    <t>6MN039</t>
  </si>
  <si>
    <t>Matematik 1 för förskoleklass och grundskolans årskurs 1-3</t>
  </si>
  <si>
    <t>6ES065</t>
  </si>
  <si>
    <t>Bild med fördjupning. Slöjd - Design, textil III</t>
  </si>
  <si>
    <t>Enl kkk 151009</t>
  </si>
  <si>
    <t>6MU048</t>
  </si>
  <si>
    <t>6MU049</t>
  </si>
  <si>
    <t>Musik IV</t>
  </si>
  <si>
    <t>6KN021</t>
  </si>
  <si>
    <t>1640 Summa</t>
  </si>
  <si>
    <t>1650 Summa</t>
  </si>
  <si>
    <t>Ämneslärarprogrammet - Gy</t>
  </si>
  <si>
    <t>Varifrån uppgifterna (antal studenter - HST) har hämtats kan ni se i kolumnen "Hämtat ur"</t>
  </si>
  <si>
    <t>6PE192</t>
  </si>
  <si>
    <t>6PE194</t>
  </si>
  <si>
    <t>6PE193</t>
  </si>
  <si>
    <t>6PE195</t>
  </si>
  <si>
    <t>Utbildning: Undervisning och lärande i en internationell kontext</t>
  </si>
  <si>
    <t>Demokrati, mänskliga rättigheter och hållbar utveckling: globala perspektiv i utbildning</t>
  </si>
  <si>
    <t>Forskningsdesign och metod inom utbildningsvetenskap</t>
  </si>
  <si>
    <t>Enl uppg fr AS till Ladok 151104</t>
  </si>
  <si>
    <t>6ES066</t>
  </si>
  <si>
    <t>6ES067</t>
  </si>
  <si>
    <t>6ES068</t>
  </si>
  <si>
    <t>6SD004</t>
  </si>
  <si>
    <t>Ämnesdidaktik, Att utveckla lärande och undervisning i språkliga kontexter</t>
  </si>
  <si>
    <t>6SV044</t>
  </si>
  <si>
    <t>6SV046</t>
  </si>
  <si>
    <t>Svenska som andraspråk C, Språk- och maktstrukturer</t>
  </si>
  <si>
    <t>6SV047</t>
  </si>
  <si>
    <t>Svenska som andraspråk C, Examensarbete för kandidatexamen</t>
  </si>
  <si>
    <t>Orgenhet</t>
  </si>
  <si>
    <t>Ersätter 6PE188 fr o m ht-16</t>
  </si>
  <si>
    <t>LISTA</t>
  </si>
  <si>
    <t>Summa av HPR</t>
  </si>
  <si>
    <t>Nationalekonomi</t>
  </si>
  <si>
    <t>VAL-projektet</t>
  </si>
  <si>
    <t>1EN047</t>
  </si>
  <si>
    <t>Engelska C, Allmän inriktning, nätkurs</t>
  </si>
  <si>
    <t>1EN050</t>
  </si>
  <si>
    <t>Engelska A1, nätkurs</t>
  </si>
  <si>
    <t>1EN053</t>
  </si>
  <si>
    <t>Engelska B2, nätkurs</t>
  </si>
  <si>
    <t>1SP009</t>
  </si>
  <si>
    <t>Spanska C1</t>
  </si>
  <si>
    <t>1SV026</t>
  </si>
  <si>
    <t>6DI003</t>
  </si>
  <si>
    <t>6DI004</t>
  </si>
  <si>
    <t>6DI005</t>
  </si>
  <si>
    <t>6DI006</t>
  </si>
  <si>
    <t>Bedömning-avancerad nivå (VAL,ULV)</t>
  </si>
  <si>
    <t>Vetenskap och kunskap, avancerad nivå (VAL,ULV)</t>
  </si>
  <si>
    <t>Bedömning-grundnivå (VAL,ULV)</t>
  </si>
  <si>
    <t>Vetenskap och kunskap-grundnivå (VAL,ULV)</t>
  </si>
  <si>
    <t>6PE176</t>
  </si>
  <si>
    <t>6PE177</t>
  </si>
  <si>
    <t>6PE178</t>
  </si>
  <si>
    <t>6PE179</t>
  </si>
  <si>
    <t>6PE180</t>
  </si>
  <si>
    <t>Utbildningens villkor och samhälleliga funktion - grundnivå (VAL, ULV)</t>
  </si>
  <si>
    <t>Specialpedagogik, sociala relationer och kommunikation - grundnivå (VAL, ULV)</t>
  </si>
  <si>
    <t>Specialpedagogik, sociala relationer och kommunikation - avancerad nivå (VAL, ULV)</t>
  </si>
  <si>
    <t>Uppdrag, ledarskap och undervisning - grundnivå (VAL, ULV)</t>
  </si>
  <si>
    <t>Undervisning och lärande - läroplansteori och didaktik - grundnivå (VAL, ULV)</t>
  </si>
  <si>
    <t>6PE181</t>
  </si>
  <si>
    <t>Enl ök mellan inst 151217</t>
  </si>
  <si>
    <t>Barns lärande och omsorg</t>
  </si>
  <si>
    <t>Förskolans uppdrag och arbetssätt 1</t>
  </si>
  <si>
    <t>Matematik för förskolan</t>
  </si>
  <si>
    <t>Förskolans uppdrag och arbetssätt 2</t>
  </si>
  <si>
    <t>Samhällsorientering för förskolan</t>
  </si>
  <si>
    <t>Skapande och lek för förskolan 2</t>
  </si>
  <si>
    <t>Barnet, omvärlden och fritidshemmets uppdrag</t>
  </si>
  <si>
    <t>Grupprocesser och samverkan i fritidshem</t>
  </si>
  <si>
    <t>Att undervisa i fritidshem (VFU)</t>
  </si>
  <si>
    <t>Praktiskt estetiskt ämne - Bild 1</t>
  </si>
  <si>
    <t>Praktiskt estetiskt ämne - Idrott och hälsa 1</t>
  </si>
  <si>
    <t>Läraryrkets dimensioner för fritidshem 1 (VFU)</t>
  </si>
  <si>
    <t>Praktiskt estetiskt ämne - Bild 2</t>
  </si>
  <si>
    <t>Praktiskt estetiskt ämne - Idrott och hälsa 2</t>
  </si>
  <si>
    <t>Enl kkk 151202</t>
  </si>
  <si>
    <t>Matematik, naturvetenskap och utomhuspedagogik för fritidshem</t>
  </si>
  <si>
    <t>6PE201</t>
  </si>
  <si>
    <t>Läraryrkets dimensioner - ingångsämne idrott och hälsa</t>
  </si>
  <si>
    <t>Enl uppg fr AS till Ladok 160122</t>
  </si>
  <si>
    <t>Ersätter 6ID308 fr o m ht-16</t>
  </si>
  <si>
    <t>6PE202</t>
  </si>
  <si>
    <t>6PE203</t>
  </si>
  <si>
    <t>6PE204</t>
  </si>
  <si>
    <t>Examensarbete för speciallärarexamen med specialisering mot matematikutveckling</t>
  </si>
  <si>
    <t>Ersätter 6PE093 fr o m ht-16</t>
  </si>
  <si>
    <t>6RV012</t>
  </si>
  <si>
    <t>Läraryrkets dimensioner - ingångsämne religion</t>
  </si>
  <si>
    <t>Ersätter 6RV006 fr o m ht-16</t>
  </si>
  <si>
    <t>6KN022</t>
  </si>
  <si>
    <t>Examensarbete i kostvetenskap för ämneslärarexamen med inriktning hem- och konsumentkunskap</t>
  </si>
  <si>
    <t>Ers 6KN007 fr o m vt-16</t>
  </si>
  <si>
    <t>Examensarbete speciallärarprogrammet med specialisering mot utvecklingsstörning</t>
  </si>
  <si>
    <t>Matematik 2 för förskoleklass och grundskolans årskurs 1-3</t>
  </si>
  <si>
    <t>6MN040</t>
  </si>
  <si>
    <t>Matematik 3 för förskoleklass och grundskolans årskurs 1-3</t>
  </si>
  <si>
    <t>6MN041</t>
  </si>
  <si>
    <t>Matematik 4 för förskoleklass och grundskolans årskurs 1-3</t>
  </si>
  <si>
    <t>6MN042</t>
  </si>
  <si>
    <t>Matematik 2 för grundskolans årskurs 4-6</t>
  </si>
  <si>
    <t>6MN043</t>
  </si>
  <si>
    <t>Matematik 3 för grundskolans årskurs 4-6</t>
  </si>
  <si>
    <t>6MN044</t>
  </si>
  <si>
    <t>Matematik 4 för grundskolans årskurs 4-6</t>
  </si>
  <si>
    <t>6ES073</t>
  </si>
  <si>
    <t>6ES074</t>
  </si>
  <si>
    <t>6ES075</t>
  </si>
  <si>
    <t>Praktiskt estetiskt ämne - Slöjd trä och metall 1</t>
  </si>
  <si>
    <t>Praktiskt estetiskt ämne - Slöjd textil 1</t>
  </si>
  <si>
    <t>6ID016</t>
  </si>
  <si>
    <t>Enl ök mellan inst 150910</t>
  </si>
  <si>
    <t>6PE214</t>
  </si>
  <si>
    <t>Undervisning och lärande - läroplansteori och didaktik inklusive VFU (UK och VFU)</t>
  </si>
  <si>
    <t>6HI029</t>
  </si>
  <si>
    <t>Examensarbete för ämneslärarexamen - historia</t>
  </si>
  <si>
    <t>Examensarbete för speciallärarexamen med specialisering mot språk-, skriv- och läsutveckling</t>
  </si>
  <si>
    <t>6LI008</t>
  </si>
  <si>
    <t>Verksamhetsförlagd utbildning för yrkeslärare (VFU)</t>
  </si>
  <si>
    <t>6PE209</t>
  </si>
  <si>
    <t>6ID015</t>
  </si>
  <si>
    <t>6PE212</t>
  </si>
  <si>
    <t>6PE213</t>
  </si>
  <si>
    <t>6PE206</t>
  </si>
  <si>
    <t>6BI009</t>
  </si>
  <si>
    <t>Examensarbete för ämneslärarexamen - Biologi</t>
  </si>
  <si>
    <t>Examensarbete för ämneslärarexamen - Fysik</t>
  </si>
  <si>
    <t>6FY008</t>
  </si>
  <si>
    <t>Examensarbete för ämneslärarexamen - Kemi</t>
  </si>
  <si>
    <t>6KE004</t>
  </si>
  <si>
    <t>Kunskap, undervisning och lärande för förskolan (UK)</t>
  </si>
  <si>
    <t>Bedömning för lärande för förskolan 1 (UK)</t>
  </si>
  <si>
    <t>Bedömning för lärande för förskolan 2 (UK)</t>
  </si>
  <si>
    <t>Profession och vetenskap för förskolan (UK)</t>
  </si>
  <si>
    <t>6BI100</t>
  </si>
  <si>
    <t>6BI101</t>
  </si>
  <si>
    <t>6BI102</t>
  </si>
  <si>
    <t>6KE100</t>
  </si>
  <si>
    <t>6KE101</t>
  </si>
  <si>
    <t>6KE102</t>
  </si>
  <si>
    <t>6FY100</t>
  </si>
  <si>
    <t>6FY101</t>
  </si>
  <si>
    <t>6FY102</t>
  </si>
  <si>
    <t>1FR008</t>
  </si>
  <si>
    <t>1FR009</t>
  </si>
  <si>
    <t>1HI005</t>
  </si>
  <si>
    <t>1LV002</t>
  </si>
  <si>
    <t>1NS059</t>
  </si>
  <si>
    <t>1SP003</t>
  </si>
  <si>
    <t>1SP024</t>
  </si>
  <si>
    <t>2SV014</t>
  </si>
  <si>
    <t>5FY040</t>
  </si>
  <si>
    <t>6PE205</t>
  </si>
  <si>
    <t>6PE207</t>
  </si>
  <si>
    <t>Franska B med allmän inriktning</t>
  </si>
  <si>
    <t>Franska C med allmän inriktning</t>
  </si>
  <si>
    <t>Litteraturvetenskap B</t>
  </si>
  <si>
    <t>Textanalys</t>
  </si>
  <si>
    <t>Spanska A1</t>
  </si>
  <si>
    <t>Spanska A1:6, Litteratur och kultur</t>
  </si>
  <si>
    <t>Statsvetenskap B</t>
  </si>
  <si>
    <t>Läraryrkets dimensioner - ingångsämne Samhällskunskap</t>
  </si>
  <si>
    <t>Analog kretsteknik</t>
  </si>
  <si>
    <t>Enl kkk 160113</t>
  </si>
  <si>
    <t>6PE215</t>
  </si>
  <si>
    <t>6HI031</t>
  </si>
  <si>
    <t>Fördela resurser hit enl uppg från Sam fak</t>
  </si>
  <si>
    <t>fr o m ht-16</t>
  </si>
  <si>
    <t>5MA164</t>
  </si>
  <si>
    <t>5MS042</t>
  </si>
  <si>
    <t>6SM000</t>
  </si>
  <si>
    <t>6SM001</t>
  </si>
  <si>
    <t>6xxx17</t>
  </si>
  <si>
    <t>6xxx11</t>
  </si>
  <si>
    <t>Samiska I för ämneslärare med inriktning mot nordsamiska</t>
  </si>
  <si>
    <t>REGU</t>
  </si>
  <si>
    <t>DIOB</t>
  </si>
  <si>
    <t>6PE216</t>
  </si>
  <si>
    <t>6PE198</t>
  </si>
  <si>
    <t>6PE199</t>
  </si>
  <si>
    <t>6PE200</t>
  </si>
  <si>
    <t>Flervariabelanalys</t>
  </si>
  <si>
    <t>Statistik för teknologer</t>
  </si>
  <si>
    <t>Läraryrketes dimensioner</t>
  </si>
  <si>
    <t>Samiska II för ämneslärare med inriktning mot nordsamiska</t>
  </si>
  <si>
    <t>6xxx13</t>
  </si>
  <si>
    <t>6xxx14</t>
  </si>
  <si>
    <t>6xxx15</t>
  </si>
  <si>
    <t>6xxx16</t>
  </si>
  <si>
    <t>6xxx21</t>
  </si>
  <si>
    <t>Verksamhets förlagd utbildning (VFU)</t>
  </si>
  <si>
    <t>Examensarbete med ämnesdidaktisk inriktning (UK)</t>
  </si>
  <si>
    <t>Bedömning (UK)</t>
  </si>
  <si>
    <t>Matematikutveckling och lärande i ett specialpedagogiskt perspektiv</t>
  </si>
  <si>
    <t>Identifiering och kartläggning av undervisning och lärande med fokus på elever i behov av särskilda utbildningsinsatser</t>
  </si>
  <si>
    <t>Stöd och stimulans i arbetet med elever i behov av särskilda utbildningsinsatser</t>
  </si>
  <si>
    <t>6ID013</t>
  </si>
  <si>
    <t>Examensarbete i Idrott och hälsa för ämneslärarexamen</t>
  </si>
  <si>
    <t>6PE222</t>
  </si>
  <si>
    <t>Specialpedagogik för grundskolan (UK)</t>
  </si>
  <si>
    <t>Enl ök mellan inst 160419 (inkom 160902)</t>
  </si>
  <si>
    <t>5BI194</t>
  </si>
  <si>
    <t>5BI202</t>
  </si>
  <si>
    <t>6RV011</t>
  </si>
  <si>
    <t>6LÄ055</t>
  </si>
  <si>
    <t>6MN045</t>
  </si>
  <si>
    <t>6PE221</t>
  </si>
  <si>
    <t>6ES072</t>
  </si>
  <si>
    <t>6PE237</t>
  </si>
  <si>
    <t>6PE220</t>
  </si>
  <si>
    <t>6NO039</t>
  </si>
  <si>
    <t>6PE228</t>
  </si>
  <si>
    <t>6NO036</t>
  </si>
  <si>
    <t>6NO040</t>
  </si>
  <si>
    <t>6PE229</t>
  </si>
  <si>
    <t>6PE224</t>
  </si>
  <si>
    <t>6PE225</t>
  </si>
  <si>
    <t>6PE236</t>
  </si>
  <si>
    <t>6MA039</t>
  </si>
  <si>
    <t>5BI193</t>
  </si>
  <si>
    <t>5BI184</t>
  </si>
  <si>
    <t>5MA121</t>
  </si>
  <si>
    <t>5FY083</t>
  </si>
  <si>
    <t>5FYyyy</t>
  </si>
  <si>
    <t>6MU051</t>
  </si>
  <si>
    <t>6ID017</t>
  </si>
  <si>
    <t>6MU052</t>
  </si>
  <si>
    <t>6PE235</t>
  </si>
  <si>
    <t>6PE234</t>
  </si>
  <si>
    <t>Kull</t>
  </si>
  <si>
    <t>Artkunskap och systematik</t>
  </si>
  <si>
    <t>Musik fördjupning 2</t>
  </si>
  <si>
    <t>Examensarbete för ämneslärarexamen - religion</t>
  </si>
  <si>
    <t>Språk, kommunikation och språkutveckling i förskolans verksamhet</t>
  </si>
  <si>
    <t>Naturens mångfald</t>
  </si>
  <si>
    <t>Inventeringsmetodik och systematik</t>
  </si>
  <si>
    <t>5FY154</t>
  </si>
  <si>
    <t>Fördjupning i termodynamik</t>
  </si>
  <si>
    <t>Astronomi och meteorologi</t>
  </si>
  <si>
    <t>Differentialekvationer för teknologer</t>
  </si>
  <si>
    <t>Skapande lek i förskolan 1</t>
  </si>
  <si>
    <t>Idrott och hälsa 1</t>
  </si>
  <si>
    <t>Musik fördjupning 3</t>
  </si>
  <si>
    <t>Musik fördjupning 1</t>
  </si>
  <si>
    <t>Naturorientering och teknik för förskoleklass och grundskolans årskurs 1-3</t>
  </si>
  <si>
    <t>Naturorientering och teknik för förskoleklass och grundskolans årskurs 4-6</t>
  </si>
  <si>
    <t>Specialpedagogik för förskolan (UK)</t>
  </si>
  <si>
    <t>Utbildningsvetenskap, undervisning och lärande för förskolan (UK)</t>
  </si>
  <si>
    <t>Utbildningsvetenskap, undervisning och lärande för grundskolan - fritidshem (UK)</t>
  </si>
  <si>
    <t>Utbildningsvetenskap, undervisning och lärande för grundskolan (UK)</t>
  </si>
  <si>
    <t>Bedömning för och av lärande i grundskolan (UK)</t>
  </si>
  <si>
    <t>Bedömning för lärande i förskolan (UK)</t>
  </si>
  <si>
    <t>6SY038</t>
  </si>
  <si>
    <t>6PE218</t>
  </si>
  <si>
    <t>Utbildningens villkor och samhälleliga funktion (UK)</t>
  </si>
  <si>
    <t>Enl ök 160425</t>
  </si>
  <si>
    <t>6PE219</t>
  </si>
  <si>
    <t>Den professionella läraren 1: Barns utveckling, specialpedagogik, sociala relationer och kommunikation (UK)</t>
  </si>
  <si>
    <t>6PE227</t>
  </si>
  <si>
    <t>Den professionella läraren 2: Uppdrag, ledarskap och undervisning (UK)</t>
  </si>
  <si>
    <t>Prognos avhopp %</t>
  </si>
  <si>
    <t>Utgångs-värde 1:a kurs</t>
  </si>
  <si>
    <t>LYKFO</t>
  </si>
  <si>
    <t>6ES076</t>
  </si>
  <si>
    <t>6SL038</t>
  </si>
  <si>
    <t>6ES070</t>
  </si>
  <si>
    <t>6ES071</t>
  </si>
  <si>
    <t>6SL036</t>
  </si>
  <si>
    <t>6SL037</t>
  </si>
  <si>
    <t>Skapandets intryck - utveckla och tala om hantverkets tysta kunskap</t>
  </si>
  <si>
    <t>Bild fördjupning 2 fristående</t>
  </si>
  <si>
    <t>Musik för barn i för- och grundskolan</t>
  </si>
  <si>
    <t>Slöjd 1, textil</t>
  </si>
  <si>
    <t>Slöjd 1, trä- och metall</t>
  </si>
  <si>
    <t>Att undervisa om islam i skolan</t>
  </si>
  <si>
    <t>Etik i världsreligioner</t>
  </si>
  <si>
    <t>Reformationen 500 år och dess konsekvenser för Europas religiösa och politiska utveckling.</t>
  </si>
  <si>
    <t>Yoga från öst till väst</t>
  </si>
  <si>
    <t>Perspektiv på islam: Globalisering, migration och islamism</t>
  </si>
  <si>
    <t>KPU - Förhöjd studietakt - utbildningsbidrag</t>
  </si>
  <si>
    <t>6MN049</t>
  </si>
  <si>
    <t>6NO035</t>
  </si>
  <si>
    <t>6MN047</t>
  </si>
  <si>
    <t>6MN048</t>
  </si>
  <si>
    <t>Formativ bedömning och motivation</t>
  </si>
  <si>
    <t>6PE223</t>
  </si>
  <si>
    <t>6SV048</t>
  </si>
  <si>
    <t>6SV050</t>
  </si>
  <si>
    <t>6SD006</t>
  </si>
  <si>
    <t>Ditt barns språk 2. Språkutveckling mellan 2 och 4 år</t>
  </si>
  <si>
    <t>Tyska C, Deutsch lernen und lehren III</t>
  </si>
  <si>
    <t>"Fatta Sapmi" (prel. namn)</t>
  </si>
  <si>
    <t>Barns och ungas identitetsskapande på nätet</t>
  </si>
  <si>
    <t>Mobbning och kränkande handlingar i teori och praktik</t>
  </si>
  <si>
    <t>Design av digital didaktik</t>
  </si>
  <si>
    <t>Matematikundervisning med IT</t>
  </si>
  <si>
    <t>Normkritisk genuspedagogik</t>
  </si>
  <si>
    <t>Trygga lärmiljöer, identitet och intersektionalitet</t>
  </si>
  <si>
    <t>Forskning och utvecklingsarbete i skolan 1</t>
  </si>
  <si>
    <t>6ES078</t>
  </si>
  <si>
    <t>Forskning och utvecklingsarbete 2</t>
  </si>
  <si>
    <t>Form, färg, estetik och uttryck - Utveckla ditt formspråk i trä</t>
  </si>
  <si>
    <t>Slöjd trä och metall 2, fristående</t>
  </si>
  <si>
    <t>Matematik 1 för lärande och undervisning för förskoleklass och grundskolans årskurs 1-6</t>
  </si>
  <si>
    <t>Matematik 2 för lärande och undervisning för förskoleklass och grundskolans årskurs 1-3</t>
  </si>
  <si>
    <t>Matematik 2 för lärande och undervisning för grundskolans årskurs 4-6</t>
  </si>
  <si>
    <t>Specialpedagogik - åk 7-9 och gymnasieskolan (UK)</t>
  </si>
  <si>
    <t>Svenska som andraspråk A, Det mångkulturella klassrummet och svenskans fonologi</t>
  </si>
  <si>
    <t>Svenska som andraspråk B, Flerspråkiga inlärares litteracitet</t>
  </si>
  <si>
    <t>6LÄ058</t>
  </si>
  <si>
    <t>Kommunikation och språkutveckling för fritidshem</t>
  </si>
  <si>
    <t>6RV013</t>
  </si>
  <si>
    <t>6RV014</t>
  </si>
  <si>
    <t>6RV015</t>
  </si>
  <si>
    <t>6RV016</t>
  </si>
  <si>
    <t>6RV017</t>
  </si>
  <si>
    <t>Från kursansvarig inst till medverkande inst</t>
  </si>
  <si>
    <t>6PE226</t>
  </si>
  <si>
    <t>Utbildningsvetenskap, undervisning och lärande - Ämneslärarprogrammet (UK)</t>
  </si>
  <si>
    <t>Enl styrelse 160225 p.11B</t>
  </si>
  <si>
    <t>Totalt prislappar</t>
  </si>
  <si>
    <t>3306 Summa</t>
  </si>
  <si>
    <t>Med Summa</t>
  </si>
  <si>
    <t>2200 Summa</t>
  </si>
  <si>
    <t>2220 Summa</t>
  </si>
  <si>
    <t>2271 Summa</t>
  </si>
  <si>
    <t>2272 Summa</t>
  </si>
  <si>
    <t>2300 Summa</t>
  </si>
  <si>
    <t>2360 Summa</t>
  </si>
  <si>
    <t>Sam Summa</t>
  </si>
  <si>
    <t>5100 Summa</t>
  </si>
  <si>
    <t>5730 Summa</t>
  </si>
  <si>
    <t>TekNat Summa</t>
  </si>
  <si>
    <t>6PE238</t>
  </si>
  <si>
    <t>Bedömning för och av lärande för åk 7-9 och gymnasium (UK)</t>
  </si>
  <si>
    <t>Utomhuspedagogik i förskola, fritidshem och grundskola</t>
  </si>
  <si>
    <t>6TY020</t>
  </si>
  <si>
    <t>6PE239</t>
  </si>
  <si>
    <t>6LI009</t>
  </si>
  <si>
    <t>6PE241</t>
  </si>
  <si>
    <t>6PE242</t>
  </si>
  <si>
    <t>6IT047</t>
  </si>
  <si>
    <t>6IT023</t>
  </si>
  <si>
    <t>6PE243</t>
  </si>
  <si>
    <t>Enl ök mellan inst 161011</t>
  </si>
  <si>
    <t>Besked om ny benämn 161121</t>
  </si>
  <si>
    <t>Undervisning för elever i språk-, läs- och skrivsvårigheter</t>
  </si>
  <si>
    <t>6LI012</t>
  </si>
  <si>
    <t>Enl ök mellan inst 161129</t>
  </si>
  <si>
    <t>Enl kkk 161206</t>
  </si>
  <si>
    <t>6ES077</t>
  </si>
  <si>
    <t>Enl ök 161121</t>
  </si>
  <si>
    <t>6PE253</t>
  </si>
  <si>
    <t>Läraryrkets dimensioner för förskolan 1 (VFU)</t>
  </si>
  <si>
    <t>6PE254</t>
  </si>
  <si>
    <t>Läraryrkets dimensioner för förskolan 2 (VFU)</t>
  </si>
  <si>
    <t>6ES080</t>
  </si>
  <si>
    <t>6PE249</t>
  </si>
  <si>
    <t>Läraryrkets dimensioner för fritidshem 2 (VFU)</t>
  </si>
  <si>
    <t>6PE250</t>
  </si>
  <si>
    <t>Elever i behov av extra anpassningar och särskilt stöd ur ett fritidshemsperspektiv</t>
  </si>
  <si>
    <t>6PE252</t>
  </si>
  <si>
    <t>Vetenskap och kunskap (UK)</t>
  </si>
  <si>
    <t>6ES079</t>
  </si>
  <si>
    <t>Undervisning och lärande 1</t>
  </si>
  <si>
    <t>6MU053</t>
  </si>
  <si>
    <t>6PE240</t>
  </si>
  <si>
    <t>6PE244</t>
  </si>
  <si>
    <t>6TX028</t>
  </si>
  <si>
    <t>6TX027</t>
  </si>
  <si>
    <t>Anna Nordström, controller</t>
  </si>
  <si>
    <t>5FY153</t>
  </si>
  <si>
    <t>6FY009</t>
  </si>
  <si>
    <t>6EN035</t>
  </si>
  <si>
    <t>6EN036</t>
  </si>
  <si>
    <t>6SA011</t>
  </si>
  <si>
    <t>6SA012</t>
  </si>
  <si>
    <t>6PE258</t>
  </si>
  <si>
    <t>6PE257</t>
  </si>
  <si>
    <t>6ES081</t>
  </si>
  <si>
    <t>6PE251</t>
  </si>
  <si>
    <t>Engelska 3 för ämneslärare med inriktning mot gymnasiet</t>
  </si>
  <si>
    <t>Engelska 2 för ämneslärare med inriktning mot gymnasiet</t>
  </si>
  <si>
    <t>Spanska för ämneslärare, kurs III</t>
  </si>
  <si>
    <t>Spanska för ämneslärare, kurs II</t>
  </si>
  <si>
    <t>Läraryrkets dimensioner för grundskolans årskurs 4-6 (VFU)</t>
  </si>
  <si>
    <t>Läraryrkets dimensioner för förskoleklass och grundskolans årskurs 1-3 (VFU)</t>
  </si>
  <si>
    <t>Praktiskt estetiskt ämne - Slöjd trä- och metall 2</t>
  </si>
  <si>
    <t>Läraryrkets dimensioner i förskolan II (VFU)</t>
  </si>
  <si>
    <t>Att undervisa i förskolan (VFU)</t>
  </si>
  <si>
    <t>6PE256</t>
  </si>
  <si>
    <t>Kunskap, undervisning och lärande 2</t>
  </si>
  <si>
    <t>Läraryrkets dimensioner i förskolan I (VFU)</t>
  </si>
  <si>
    <t>Matematiska metoder i fysik</t>
  </si>
  <si>
    <t>Väv- och kläddesign: Estetiska skapandeprocesser</t>
  </si>
  <si>
    <t>6TX026</t>
  </si>
  <si>
    <t>6SL035</t>
  </si>
  <si>
    <t>6TX029</t>
  </si>
  <si>
    <t>Klassades till ID 3k-möte 160531</t>
  </si>
  <si>
    <t>Omklassades fr ID till ÖV vid 3k-möte 161206</t>
  </si>
  <si>
    <t>6SM007</t>
  </si>
  <si>
    <t>Enl reglbrev</t>
  </si>
  <si>
    <t>6SM004</t>
  </si>
  <si>
    <t>6SM005</t>
  </si>
  <si>
    <t>6SM006</t>
  </si>
  <si>
    <t>Samiska 1 för ämneslärare med inriktning mot sydsamiska</t>
  </si>
  <si>
    <t>Samiska 2 för ämneslärare med inriktning mot sydsamiska</t>
  </si>
  <si>
    <t>Samiska 3 för ämneslärare med inriktning mot sydsamiska</t>
  </si>
  <si>
    <t>6PE259</t>
  </si>
  <si>
    <t>Läraryrkets dimensioner för fritidshem 3 (VFU)</t>
  </si>
  <si>
    <t>6PE255</t>
  </si>
  <si>
    <t>Examensarbete för förskollärarexamen</t>
  </si>
  <si>
    <t>6FRI2</t>
  </si>
  <si>
    <t>Valbar kurs: Bild/Idrott och hälsa 2</t>
  </si>
  <si>
    <t>Slöjd - trä och metall 3</t>
  </si>
  <si>
    <t>Slöjd - textil 3</t>
  </si>
  <si>
    <t>5FY091</t>
  </si>
  <si>
    <t>5FY127</t>
  </si>
  <si>
    <t>5KE020</t>
  </si>
  <si>
    <t>6EX30</t>
  </si>
  <si>
    <t>6GEgy1</t>
  </si>
  <si>
    <t>6NK101</t>
  </si>
  <si>
    <t>6NK102</t>
  </si>
  <si>
    <t>6RV018</t>
  </si>
  <si>
    <t>Vågfysik och optik B</t>
  </si>
  <si>
    <t>Elektromagnetismens grunder</t>
  </si>
  <si>
    <t>Att undervisa i biologi (VFU)</t>
  </si>
  <si>
    <t>Examensarbete - Ämne 1/Ämne 2</t>
  </si>
  <si>
    <t>Att undervisa i naturkunskap (VFU)</t>
  </si>
  <si>
    <t>Naturkunskapsdidaktik 1 för ämneslärare för gymnasiet</t>
  </si>
  <si>
    <t>Naturkunskapsdidaktik 2 för ämneslärare för gymnasiet</t>
  </si>
  <si>
    <t>Läraryrkets dimensioner- ingångsämne religion (VFU)</t>
  </si>
  <si>
    <t>Introduktion till geografi</t>
  </si>
  <si>
    <t>Processer i naturen</t>
  </si>
  <si>
    <t>Befolkningsgeografi</t>
  </si>
  <si>
    <t>Kartor och GIS</t>
  </si>
  <si>
    <t>Klimatförändringar</t>
  </si>
  <si>
    <t>Geografididaktik 1</t>
  </si>
  <si>
    <t>6ES082</t>
  </si>
  <si>
    <t>6ID018</t>
  </si>
  <si>
    <t>6SD005</t>
  </si>
  <si>
    <t>6SV043</t>
  </si>
  <si>
    <t>6SV049</t>
  </si>
  <si>
    <t>6SV051</t>
  </si>
  <si>
    <t>6NO042</t>
  </si>
  <si>
    <t>6NO041</t>
  </si>
  <si>
    <t>6LI010</t>
  </si>
  <si>
    <t>6LI011</t>
  </si>
  <si>
    <t>Bild 1, distans</t>
  </si>
  <si>
    <t>Idrott och hälsa 3</t>
  </si>
  <si>
    <t>Examensarbete med språkdidaktisk inriktning för lärarexamen</t>
  </si>
  <si>
    <t>Svenska som andraspråk II för ämneslärare med inriktning mot årskurs 7-9</t>
  </si>
  <si>
    <t>Svenska som andraspråk A, Att lära på ett andraspråk och svenskans grammatik</t>
  </si>
  <si>
    <t>Svenska som andraspråk B, Flerspråkighet och fördjupning</t>
  </si>
  <si>
    <t>Fördelning mellan kursansvarig och ev medverkande institutioner ska meddelas Lärarhögskolans kansli (Agnetha Simm) genom en skriftlig överenskommelse (underskriven av berörda prefekter), detta gäller både nya kurser och kurser där en förändring av nu gällande fördelning ska ske.</t>
  </si>
  <si>
    <t>Enl ök mellan inst fr o m vt-17 (inkom 170817)</t>
  </si>
  <si>
    <t>Slöjd, trä- och metall 3, fristående</t>
  </si>
  <si>
    <t>Slöjd, textil 3, fristående</t>
  </si>
  <si>
    <t>Bild 3, fristående</t>
  </si>
  <si>
    <t>Bild fördjupning 1 fristående</t>
  </si>
  <si>
    <t>Utomhuspedagogik, naturvetenskap och matematik i förskola, fritidshem och grundskola</t>
  </si>
  <si>
    <t>6FRISPRÅK1</t>
  </si>
  <si>
    <t>Idrott, fostran och socialisation</t>
  </si>
  <si>
    <t>Matematik, naturvetenskap och utomhuspedagogik - Sommar</t>
  </si>
  <si>
    <t>Forskning och utvecklingsarbete i skolan 2</t>
  </si>
  <si>
    <t>Undervisning och lärande 2</t>
  </si>
  <si>
    <t>Ditt barns språk I - Språkutvecklingen mellan 0 och 2 år</t>
  </si>
  <si>
    <t>Människans språk: Lingvistik för lärare</t>
  </si>
  <si>
    <t>5KE034</t>
  </si>
  <si>
    <t>5KE038</t>
  </si>
  <si>
    <t>5KE165</t>
  </si>
  <si>
    <t>6ES083</t>
  </si>
  <si>
    <t>6FY010</t>
  </si>
  <si>
    <t>6FY011</t>
  </si>
  <si>
    <t>6GV001</t>
  </si>
  <si>
    <t>6KG004</t>
  </si>
  <si>
    <t>6KG005</t>
  </si>
  <si>
    <t>6MA040</t>
  </si>
  <si>
    <t>6MA041</t>
  </si>
  <si>
    <t>6MA042</t>
  </si>
  <si>
    <t>6NO043</t>
  </si>
  <si>
    <t>6PE260</t>
  </si>
  <si>
    <t>6PE261</t>
  </si>
  <si>
    <t>6PE262</t>
  </si>
  <si>
    <t>6SL043</t>
  </si>
  <si>
    <t>6TX031</t>
  </si>
  <si>
    <t>Biofysikalisk kemi: Spektroskopi</t>
  </si>
  <si>
    <t>Biofysikalisk kemi: Termodynamik</t>
  </si>
  <si>
    <t>Kemins grunder</t>
  </si>
  <si>
    <t>Bild fördjupning 2</t>
  </si>
  <si>
    <t>Bild fördjupning 1</t>
  </si>
  <si>
    <t>Kärnfysik</t>
  </si>
  <si>
    <t>Envariabelanalys 1</t>
  </si>
  <si>
    <t>Naturvetenskap och teknik i förskolan</t>
  </si>
  <si>
    <t>Profession och vetenskap för fritidshem (UK)</t>
  </si>
  <si>
    <t>6SL044</t>
  </si>
  <si>
    <t>6TX032</t>
  </si>
  <si>
    <t>6ES085</t>
  </si>
  <si>
    <t>6ES086</t>
  </si>
  <si>
    <t>6ES084</t>
  </si>
  <si>
    <t>Enl uppg från Pedagogik 171012</t>
  </si>
  <si>
    <t>Klassad till SAM i Ladok</t>
  </si>
  <si>
    <t>6PE265</t>
  </si>
  <si>
    <t>6PE266</t>
  </si>
  <si>
    <t>6PE264</t>
  </si>
  <si>
    <t>Grundlärare som profession (UK)</t>
  </si>
  <si>
    <t>6PE268</t>
  </si>
  <si>
    <t>Att undervisa i engelska (VFU)</t>
  </si>
  <si>
    <t>Att undervisa i Spanska (VFU)</t>
  </si>
  <si>
    <t>Att undervisa i svenska (VFU)</t>
  </si>
  <si>
    <t>Att undervisa i svenska som andraspråk (VFU)</t>
  </si>
  <si>
    <t>Att undervisa i tyska (VFU)</t>
  </si>
  <si>
    <t>6EN038</t>
  </si>
  <si>
    <t>6SA013</t>
  </si>
  <si>
    <t>6SV058</t>
  </si>
  <si>
    <t>6SV057</t>
  </si>
  <si>
    <t>6TY021</t>
  </si>
  <si>
    <t>6FA007</t>
  </si>
  <si>
    <t>Att undervisa i franska (VFU)</t>
  </si>
  <si>
    <t>Enl RBM-beslut 171211</t>
  </si>
  <si>
    <t>Utbildningspolicy och pedagogisk praktik ur internationella perspektiv</t>
  </si>
  <si>
    <t>Utbildningspolicy i nationell och internationell kontext</t>
  </si>
  <si>
    <t>6PE263</t>
  </si>
  <si>
    <t>Enl RBM-beslut 171211 p87</t>
  </si>
  <si>
    <t>Undervisning och lärande - läroplansteori och didaktik - avancerad nivå (VAL, ULV)</t>
  </si>
  <si>
    <t>6MA048</t>
  </si>
  <si>
    <t>6PE267</t>
  </si>
  <si>
    <t>Ämnesdidaktik (UK)</t>
  </si>
  <si>
    <t>Matematikens historia</t>
  </si>
  <si>
    <t>Kommer troligen att klassas till natur?</t>
  </si>
  <si>
    <t>6EN039</t>
  </si>
  <si>
    <t>6EN040</t>
  </si>
  <si>
    <t>6MU054</t>
  </si>
  <si>
    <t>Jazzimprovisation i ensemble för lärare</t>
  </si>
  <si>
    <t>Ni är alltid välkomna att höra av er om ni önskar en genomgång av detta resurstilldelningsverktyg (RTV), här på kansliet eller hos er på institutionen!</t>
  </si>
  <si>
    <t>se mail fr Mikael L, Ladok 170508</t>
  </si>
  <si>
    <t>6PE208</t>
  </si>
  <si>
    <t>Enl ök mellan inst 180305 (mejl) ers 6PE145)</t>
  </si>
  <si>
    <t>Enl ök mellan inst 180313</t>
  </si>
  <si>
    <t>6SP050</t>
  </si>
  <si>
    <t>Introduktion till det specialpedagogiska fältet</t>
  </si>
  <si>
    <t>6SP052</t>
  </si>
  <si>
    <t>6SP051</t>
  </si>
  <si>
    <t>Neuropsykiatriska svårigheter i olika lärmiljöer</t>
  </si>
  <si>
    <t>Speciallärarens och specialpedagogens yrkesfunktion</t>
  </si>
  <si>
    <t>Enl styrelse 180215 p16C</t>
  </si>
  <si>
    <t>Kurs i examensarbete - Matematikutveckling</t>
  </si>
  <si>
    <t>6MN050</t>
  </si>
  <si>
    <t>Matematikdidaktik 1 för grundskolans åk 7-9 och gymnasiet</t>
  </si>
  <si>
    <t>6BI023</t>
  </si>
  <si>
    <t>6KG006</t>
  </si>
  <si>
    <t>6GV000</t>
  </si>
  <si>
    <t>6GV002</t>
  </si>
  <si>
    <t>6KG007</t>
  </si>
  <si>
    <t>6HI033</t>
  </si>
  <si>
    <t>6MS002</t>
  </si>
  <si>
    <t>6MN051</t>
  </si>
  <si>
    <t>6MA046</t>
  </si>
  <si>
    <t>6BI022</t>
  </si>
  <si>
    <t>6RV020</t>
  </si>
  <si>
    <t>Artkunskap och systematik för biologilärare</t>
  </si>
  <si>
    <t>Historia 2</t>
  </si>
  <si>
    <t>Enl beslutsmöte 180326</t>
  </si>
  <si>
    <t>Envariabelanalys 2</t>
  </si>
  <si>
    <t>Naturens mångfald för naturkunskapslärare</t>
  </si>
  <si>
    <t>Religionsvetenskap 2</t>
  </si>
  <si>
    <t>6LI013</t>
  </si>
  <si>
    <t>5KE177</t>
  </si>
  <si>
    <t>6A2T7</t>
  </si>
  <si>
    <t>6BI020</t>
  </si>
  <si>
    <t>6GExx9</t>
  </si>
  <si>
    <t>6HI032</t>
  </si>
  <si>
    <t>6KExx1</t>
  </si>
  <si>
    <t>6MA043</t>
  </si>
  <si>
    <t>6MA044</t>
  </si>
  <si>
    <t>6MA045</t>
  </si>
  <si>
    <t>6MA049</t>
  </si>
  <si>
    <t>6MN036</t>
  </si>
  <si>
    <t>6PE271</t>
  </si>
  <si>
    <t>6PE272</t>
  </si>
  <si>
    <t>6RV019</t>
  </si>
  <si>
    <t>Avancerad miljökemi</t>
  </si>
  <si>
    <t>Läraryrkets dimensioner - ingångsämne biologi (VFU)</t>
  </si>
  <si>
    <t>Att undervisa i historia (VFU)</t>
  </si>
  <si>
    <t>Diskret matematik</t>
  </si>
  <si>
    <t>Problemlösning och matematiska resonemang</t>
  </si>
  <si>
    <t>Att undervisa i matematik (VFU)</t>
  </si>
  <si>
    <t>Examensarbete för ämneslärarexamen - Matematik</t>
  </si>
  <si>
    <t>Att undervisa i Idrott och hälsa (VFU)</t>
  </si>
  <si>
    <t>Att undervisa i Samhällskunskap (VFU)</t>
  </si>
  <si>
    <t>Att undervisa i religionskunskap (VFU)</t>
  </si>
  <si>
    <t>Ekonomisk och soial geografi</t>
  </si>
  <si>
    <t>Vetenskapliga metoder i geografi</t>
  </si>
  <si>
    <t>Geografididaktik 2</t>
  </si>
  <si>
    <t>Bild fördjupning 3</t>
  </si>
  <si>
    <t>Att undervisa i geografi (VFU)</t>
  </si>
  <si>
    <t>Kemi I för ämneslärare med inriktning mot gymnasiet - för val av 2a ämne</t>
  </si>
  <si>
    <t>Kommer trol att klassas till NA</t>
  </si>
  <si>
    <t>Kemi II för ämneslärare med inriktning mot gymnasiet - för val av 2a ämne</t>
  </si>
  <si>
    <t>6EN041</t>
  </si>
  <si>
    <t>6EN042</t>
  </si>
  <si>
    <t>6EN043</t>
  </si>
  <si>
    <t>2IP027</t>
  </si>
  <si>
    <t>6DV000</t>
  </si>
  <si>
    <t>6MA047</t>
  </si>
  <si>
    <t>6MA050</t>
  </si>
  <si>
    <t>6MS003</t>
  </si>
  <si>
    <t>6SV060</t>
  </si>
  <si>
    <t>6SV063</t>
  </si>
  <si>
    <t>6SV066</t>
  </si>
  <si>
    <t>6SV067</t>
  </si>
  <si>
    <t>6SV068</t>
  </si>
  <si>
    <t>6SV069</t>
  </si>
  <si>
    <t>6SV070</t>
  </si>
  <si>
    <t>6ES089</t>
  </si>
  <si>
    <t>6ES087</t>
  </si>
  <si>
    <t>6SD007</t>
  </si>
  <si>
    <t>6SD008</t>
  </si>
  <si>
    <t>2ID004</t>
  </si>
  <si>
    <t>6SOMSpråk1</t>
  </si>
  <si>
    <t>6SOMKostv1</t>
  </si>
  <si>
    <t>6SOMSpråk2</t>
  </si>
  <si>
    <t>6SOMSpråk3</t>
  </si>
  <si>
    <t>Ämnesmetodik inom mat, måltider och hälsa</t>
  </si>
  <si>
    <t>NA + SA??</t>
  </si>
  <si>
    <t>Fjärrundervisning</t>
  </si>
  <si>
    <t>Svenska som andraspråk för grundlärare</t>
  </si>
  <si>
    <t>Tala och skriva engelska</t>
  </si>
  <si>
    <t>HU?</t>
  </si>
  <si>
    <t>Digital kompetens och lärande I</t>
  </si>
  <si>
    <t>Anpassad fysisk aktivitet med inriktning mot rörelsehinder</t>
  </si>
  <si>
    <t>Programmeringsteknik med C och Matlab</t>
  </si>
  <si>
    <t>Differentialekvationer</t>
  </si>
  <si>
    <t>Statistik för naturvetare</t>
  </si>
  <si>
    <t>Svenska som andraspråk C, Diskriminerande strukturer och skönlitteratur</t>
  </si>
  <si>
    <t>Svenska som andraspråk för ämneslärare, kurs 1</t>
  </si>
  <si>
    <t>Svenska som andraspråk för ämneslärare, kurs 2</t>
  </si>
  <si>
    <t>Svenska som andraspråk för ämneslärare, kurs 3</t>
  </si>
  <si>
    <t>Bild fördjupning 3, fristående</t>
  </si>
  <si>
    <t>Vetenskaplig teori och metod 2</t>
  </si>
  <si>
    <t>Vetenskaplig teori och metod 1</t>
  </si>
  <si>
    <t>Didaktik för det flerspråkiga klassrummet</t>
  </si>
  <si>
    <t>Språkdidaktik: Aktuella frågor och metoder i språkdidaktisk forskning</t>
  </si>
  <si>
    <t>Neuropsykiatriska svårigheter - förhållningsätt, bemötande och strategier i pedagogisk verksamhet</t>
  </si>
  <si>
    <t>Skolans digitalisering</t>
  </si>
  <si>
    <t>Enl beslutsmöte 180625</t>
  </si>
  <si>
    <t>Enl beslutsmöte 180924</t>
  </si>
  <si>
    <t>5BI235</t>
  </si>
  <si>
    <t>5BI234</t>
  </si>
  <si>
    <t>6SP053</t>
  </si>
  <si>
    <t>6SP057</t>
  </si>
  <si>
    <t>6SD010</t>
  </si>
  <si>
    <t>6ES103</t>
  </si>
  <si>
    <t>Matematikdidaktik 2 för grundskolans åk 7-9 och gymnasiet</t>
  </si>
  <si>
    <t>6ES094</t>
  </si>
  <si>
    <t>6GV003</t>
  </si>
  <si>
    <t>6HI034</t>
  </si>
  <si>
    <t>6HI035</t>
  </si>
  <si>
    <t>6KG003</t>
  </si>
  <si>
    <t>6KG008</t>
  </si>
  <si>
    <t>6NK036</t>
  </si>
  <si>
    <t>6RV021</t>
  </si>
  <si>
    <t>6RV022</t>
  </si>
  <si>
    <t>6ES088</t>
  </si>
  <si>
    <t>6ES092</t>
  </si>
  <si>
    <t>6ES093</t>
  </si>
  <si>
    <t>6ES095</t>
  </si>
  <si>
    <t>6ES097</t>
  </si>
  <si>
    <t>6PE269</t>
  </si>
  <si>
    <t>Att undervisa i musik</t>
  </si>
  <si>
    <t>Att undervisa i slöjd - textil</t>
  </si>
  <si>
    <t>Historia 1</t>
  </si>
  <si>
    <t>Historia 3</t>
  </si>
  <si>
    <t>Examensarbete - Naturkunskap</t>
  </si>
  <si>
    <t>Religionsvetenskap 1</t>
  </si>
  <si>
    <t>Religionsvetenskap 3</t>
  </si>
  <si>
    <t>Vetenskaplig metodkurs Speciallärar- och specialpedagogprogrammen</t>
  </si>
  <si>
    <t>6SP060</t>
  </si>
  <si>
    <t>Eamensarbete specialpedagogprogrammet</t>
  </si>
  <si>
    <t>6SP059</t>
  </si>
  <si>
    <t>Undervisning och kvalitetsutveckling i förskola respektive fritidshem</t>
  </si>
  <si>
    <t>6KN023</t>
  </si>
  <si>
    <t>6PE279</t>
  </si>
  <si>
    <t>Språk och matematik i ett specialpedagogiskt perspektiv</t>
  </si>
  <si>
    <t>6PE277</t>
  </si>
  <si>
    <t>6PE280</t>
  </si>
  <si>
    <t>Matematik i specialpedagogiskt perspektiv</t>
  </si>
  <si>
    <t>6SD011</t>
  </si>
  <si>
    <t>6SD012</t>
  </si>
  <si>
    <t>Språk-, skriv- och läsutveckling i ett specialpedagogiskt perspektiv</t>
  </si>
  <si>
    <t>6ES100</t>
  </si>
  <si>
    <t>6RV023</t>
  </si>
  <si>
    <t>Religionsvetenskap 3, med kandidatuppsats</t>
  </si>
  <si>
    <t>Geografi</t>
  </si>
  <si>
    <t>Enl beslutsöte 190304</t>
  </si>
  <si>
    <t>6ES099</t>
  </si>
  <si>
    <t>Magisteruppsats i pedagogisk yrkesverksamhet</t>
  </si>
  <si>
    <t>6MU061</t>
  </si>
  <si>
    <t>6SP056</t>
  </si>
  <si>
    <t>6ES104</t>
  </si>
  <si>
    <t>6ES102</t>
  </si>
  <si>
    <t>6PE274</t>
  </si>
  <si>
    <t>6PE278</t>
  </si>
  <si>
    <t>6KG009</t>
  </si>
  <si>
    <t>6MU065</t>
  </si>
  <si>
    <t>6TX033</t>
  </si>
  <si>
    <t>Slöjd textil 2</t>
  </si>
  <si>
    <t>6PE273</t>
  </si>
  <si>
    <t>5FY205</t>
  </si>
  <si>
    <t>Modern fysik</t>
  </si>
  <si>
    <t>5KE180</t>
  </si>
  <si>
    <t>Organisk kemi</t>
  </si>
  <si>
    <t>5MA143</t>
  </si>
  <si>
    <t>6ES105</t>
  </si>
  <si>
    <t>6ES091</t>
  </si>
  <si>
    <t>6ES101</t>
  </si>
  <si>
    <t>6FA008</t>
  </si>
  <si>
    <t>Franska för ämneslärare, kurs 1</t>
  </si>
  <si>
    <t>6PE275</t>
  </si>
  <si>
    <t>Genuspedagogik i lärmiljöer</t>
  </si>
  <si>
    <t>6PE276</t>
  </si>
  <si>
    <t>Mobbning i lärmiljöer</t>
  </si>
  <si>
    <t>6PE245</t>
  </si>
  <si>
    <t>6PE246</t>
  </si>
  <si>
    <t>6TX025</t>
  </si>
  <si>
    <t>Textila uttryck</t>
  </si>
  <si>
    <t>6TX030</t>
  </si>
  <si>
    <t>Väv- och kläddesign fördjupning</t>
  </si>
  <si>
    <t>6SV072</t>
  </si>
  <si>
    <t>6SV073</t>
  </si>
  <si>
    <t>Att läsa och skriva i lärarutbildning och läraryrket - fokus grundlärare</t>
  </si>
  <si>
    <t>Att läsa och skriva i lärarutbildning och läraryrket - fokus ämneslärare</t>
  </si>
  <si>
    <t>Fd 3704</t>
  </si>
  <si>
    <t>3850 Summa</t>
  </si>
  <si>
    <t>5FY178</t>
  </si>
  <si>
    <t>5FY185</t>
  </si>
  <si>
    <t>5DV157</t>
  </si>
  <si>
    <t>5KE111</t>
  </si>
  <si>
    <t>6SA014</t>
  </si>
  <si>
    <t>6TY023</t>
  </si>
  <si>
    <t>Tyska för ämneslärare, kurs 2</t>
  </si>
  <si>
    <t>Spanska för ämneslärare, kurs 2</t>
  </si>
  <si>
    <t>Biologisk kemi</t>
  </si>
  <si>
    <t>6A2T4</t>
  </si>
  <si>
    <t>6A2T5</t>
  </si>
  <si>
    <t>5FY155</t>
  </si>
  <si>
    <t>6EN045</t>
  </si>
  <si>
    <t>6ES096</t>
  </si>
  <si>
    <t>6FA009</t>
  </si>
  <si>
    <t>6FA004</t>
  </si>
  <si>
    <t>6TY022</t>
  </si>
  <si>
    <t>Engelska 1 för ämneslärare</t>
  </si>
  <si>
    <t>Att undervisa i bild</t>
  </si>
  <si>
    <t>Franska för ämneslärare, kurs 2</t>
  </si>
  <si>
    <t>Läraryrkets dimensioner - ingångsämne svenska som andraspråk (VFU)</t>
  </si>
  <si>
    <t>Läraryrkets dimensioner - ingångsämne tyska (VFU)</t>
  </si>
  <si>
    <t>Franska I för ämneslärare</t>
  </si>
  <si>
    <t>Tyska för ämneslärare, kurs 1</t>
  </si>
  <si>
    <t>Ämne 2 termin 4 åk 7-9</t>
  </si>
  <si>
    <t>Ämne 2 termin 5 åk 7-9</t>
  </si>
  <si>
    <t>6ES031</t>
  </si>
  <si>
    <t>6MU022</t>
  </si>
  <si>
    <t>6EXxxx</t>
  </si>
  <si>
    <t>Examensarbete med ämnesdidaktisk inriktning, 30 hp (avancerad nivå)</t>
  </si>
  <si>
    <t>6ES090</t>
  </si>
  <si>
    <t>6ES107</t>
  </si>
  <si>
    <t>6MU058</t>
  </si>
  <si>
    <t>6MU059</t>
  </si>
  <si>
    <t>6MU060</t>
  </si>
  <si>
    <t>6TX035</t>
  </si>
  <si>
    <t>6MU064</t>
  </si>
  <si>
    <t>6ID019</t>
  </si>
  <si>
    <t>6KN025</t>
  </si>
  <si>
    <t>6KN026</t>
  </si>
  <si>
    <t>6FA010</t>
  </si>
  <si>
    <t>6SV061</t>
  </si>
  <si>
    <t>6SV062</t>
  </si>
  <si>
    <t>6SV064</t>
  </si>
  <si>
    <t>6SV065</t>
  </si>
  <si>
    <t>6ES020</t>
  </si>
  <si>
    <t>6PE233</t>
  </si>
  <si>
    <t>6PE232</t>
  </si>
  <si>
    <t>6PE230</t>
  </si>
  <si>
    <t>Musik 1, distans</t>
  </si>
  <si>
    <t>Musik 2, distans</t>
  </si>
  <si>
    <t>Musik 3, distans</t>
  </si>
  <si>
    <t>Slöjd, textil 2, fristående</t>
  </si>
  <si>
    <t>Musik 2, fristående</t>
  </si>
  <si>
    <t>Franska för ämneslärare, kurs 3</t>
  </si>
  <si>
    <t xml:space="preserve">Svenska som andraspråk A, Det mångkulturella klassrummet och svenskans fonologi </t>
  </si>
  <si>
    <t xml:space="preserve">Svenska som andraspråk B, Flerspråkiga inlärares litteracitet </t>
  </si>
  <si>
    <t>Ämnesdidaktik i estetiska ämnen</t>
  </si>
  <si>
    <t>6SV074</t>
  </si>
  <si>
    <t>6EN044</t>
  </si>
  <si>
    <t>Flerspråkighet i förskoleklassen och grundskolans tidiga år</t>
  </si>
  <si>
    <t>Kommunikativ kompetens i engelska för grundlärare</t>
  </si>
  <si>
    <t>Mobbning i lärandemiljöer</t>
  </si>
  <si>
    <t>6FRISPRÅK6</t>
  </si>
  <si>
    <t>6FRISPRÅK7</t>
  </si>
  <si>
    <t xml:space="preserve">Ämnesdidaktik, Att analysera och utveckla lärande och undervisning i språkliga kontexter </t>
  </si>
  <si>
    <t>5FY211</t>
  </si>
  <si>
    <t>Speciell relativitetsteori</t>
  </si>
  <si>
    <t>Läraryrkets dimensioner - ingångsämne spanska</t>
  </si>
  <si>
    <t>6FRIKOSTV1</t>
  </si>
  <si>
    <t>Hem- och konsumentkunskap 1, 15 hp ( nivå 1-15 hp)</t>
  </si>
  <si>
    <t>Enl uppg från A-K LP 191015</t>
  </si>
  <si>
    <t>6SV075</t>
  </si>
  <si>
    <t>Svenska för ämneslärare, kurs 1</t>
  </si>
  <si>
    <t>Kurser inom VAL-projektet utfördelas i separat RTV. Kurser inom detta projekt ligger alla under programkoden LYLÄP. Observera att för dessa kurser måste ni (studieadmin) skapa Ej sökbara kurstillfällen och märka dessa med finansieringsform VAL, detta är viktigt för att ni ska få intäkter även för dessa studenter! Vid eventuella frågor kring VAL-RTV kontakta Eva Alenius, Lärarhögskolans kansli.</t>
  </si>
  <si>
    <t>6LÄ063</t>
  </si>
  <si>
    <t>Enl uppg i Ladok</t>
  </si>
  <si>
    <t>6PE287</t>
  </si>
  <si>
    <t>6PE288</t>
  </si>
  <si>
    <t>6PE289</t>
  </si>
  <si>
    <t>6IT048</t>
  </si>
  <si>
    <t>6SV077</t>
  </si>
  <si>
    <t>Ett flerspråkighetsperspektiv på läs- och skrivinlärning i förskoleklass och grundskolans tidiga år</t>
  </si>
  <si>
    <t>Språkutveckling, litteracitet och barnlitteratur i förskolan och förskoleklassen</t>
  </si>
  <si>
    <t>6BI025</t>
  </si>
  <si>
    <t>6BI024</t>
  </si>
  <si>
    <t>Inst för kost- och måltidsvetenskap</t>
  </si>
  <si>
    <t>2650 Summa</t>
  </si>
  <si>
    <t>Kost- och måltidsvetenskap</t>
  </si>
  <si>
    <t>Fd 2750</t>
  </si>
  <si>
    <t>6KP000</t>
  </si>
  <si>
    <t>6KP001</t>
  </si>
  <si>
    <t>6NO047</t>
  </si>
  <si>
    <t>Naturorienterande ämnen och teknik för lärare åk 4-6</t>
  </si>
  <si>
    <t>Blir trol klassad till NA</t>
  </si>
  <si>
    <t>KPU - åk 7-9 och Gy</t>
  </si>
  <si>
    <t>LYKPU</t>
  </si>
  <si>
    <t>Kompletterande pedagogisk utbildning för åk 7-9 och gymnasiet, 90 hp fr o m ht-20</t>
  </si>
  <si>
    <t>Forskningsmetod och profession (UVK)</t>
  </si>
  <si>
    <t>5FY149</t>
  </si>
  <si>
    <t>5FY210</t>
  </si>
  <si>
    <t>6KN028</t>
  </si>
  <si>
    <t>6KN029</t>
  </si>
  <si>
    <t>6SD013</t>
  </si>
  <si>
    <t>6SL048</t>
  </si>
  <si>
    <t>6TX036</t>
  </si>
  <si>
    <t>Strömningslära</t>
  </si>
  <si>
    <t>Introduktion till fasta tillståndets fysik</t>
  </si>
  <si>
    <t>Hälsokommunikation och sociologiska perspektiv inom hem- och konsumentkunskap</t>
  </si>
  <si>
    <t>Vetenskaplig metod med inriktning hem- och konsumentkunskap</t>
  </si>
  <si>
    <t>Uppsats med inriktning hem- och konsumentkunskap</t>
  </si>
  <si>
    <t>Slöjd 1, Trä- och metall inriktning</t>
  </si>
  <si>
    <t>Slöjd 1, Textil inriktning</t>
  </si>
  <si>
    <t>6PE248</t>
  </si>
  <si>
    <t>6PE283</t>
  </si>
  <si>
    <t>6PE285</t>
  </si>
  <si>
    <t>6SV078</t>
  </si>
  <si>
    <t>Examensarbete med ämnesdidaktisk inriktning (VAL, ULV)</t>
  </si>
  <si>
    <t>Tveksamt att ge den inom ord progr</t>
  </si>
  <si>
    <t>Kunskap, undervisning och lärande 2 (UVK)</t>
  </si>
  <si>
    <t>Svenska för ämneslärare, kurs 2</t>
  </si>
  <si>
    <t>6LU008</t>
  </si>
  <si>
    <t>Värdegrund, etik och mångfald (UVK)</t>
  </si>
  <si>
    <t>Ers 6LU002 fr o m ht-20, ny ök inkom 200630</t>
  </si>
  <si>
    <r>
      <t xml:space="preserve">JANUARI - FEBRUARI </t>
    </r>
    <r>
      <rPr>
        <b/>
        <sz val="18"/>
        <rFont val="Times New Roman"/>
        <family val="1"/>
      </rPr>
      <t>2021</t>
    </r>
  </si>
  <si>
    <t>Att utfördela Jan+Febr -21</t>
  </si>
  <si>
    <t>MARS 2021</t>
  </si>
  <si>
    <t>Kursintäkter
totalt 2021 (uppdat xx -21)</t>
  </si>
  <si>
    <t>Lokalintäkt
totalt 2021 (uppdat xx -21)</t>
  </si>
  <si>
    <t>Att utfördela Mars -21</t>
  </si>
  <si>
    <t>JUNI 2021</t>
  </si>
  <si>
    <t>Kursintäkter
totalt 2021 (uppdat juni -21)</t>
  </si>
  <si>
    <t>Lokalintäkt
totalt 2021 (uppdat juni -21)</t>
  </si>
  <si>
    <t>Utfördelat
t o m maj -21</t>
  </si>
  <si>
    <t>Kursintäkter
Utfördelat t o m maj -21</t>
  </si>
  <si>
    <t>Lokalintäkter
Utfördelat t o m maj -21</t>
  </si>
  <si>
    <t>Tot utfördelat t o m maj -21</t>
  </si>
  <si>
    <t>Att utfördela Juni --21</t>
  </si>
  <si>
    <t>6PE290</t>
  </si>
  <si>
    <t>6A2T6</t>
  </si>
  <si>
    <t>6LÄ059</t>
  </si>
  <si>
    <t>6LÄ061</t>
  </si>
  <si>
    <t>6LÄ062</t>
  </si>
  <si>
    <t>6SV079</t>
  </si>
  <si>
    <t>H21</t>
  </si>
  <si>
    <t>Svenska för ämneslärare, kurs 3</t>
  </si>
  <si>
    <t>Enl ök mellan inst 200810, geller fr o m 2021</t>
  </si>
  <si>
    <t>6NE002</t>
  </si>
  <si>
    <t>Introduktion till samhällsekonomi</t>
  </si>
  <si>
    <t>Läser 5 av 10 hp denna termin</t>
  </si>
  <si>
    <t>6PE284</t>
  </si>
  <si>
    <t>6LU009</t>
  </si>
  <si>
    <t>Pedagogiskt ledarskap, sociala relationer och specialpedagogik (UVK)</t>
  </si>
  <si>
    <t>Kunskap, undervisning och lärande 1 (UVK)</t>
  </si>
  <si>
    <t>Undervisning och lärande (UVK)</t>
  </si>
  <si>
    <t>Skolans uppdrag (UVK)</t>
  </si>
  <si>
    <t>Verksamhetsförlagd utbildning 1 (VFU)</t>
  </si>
  <si>
    <t>Bedömning för och av lärande (UVK)</t>
  </si>
  <si>
    <t>6KPUEX</t>
  </si>
  <si>
    <t>Verksamhetsförlagd utbildning 2 (VFU)</t>
  </si>
  <si>
    <t>Examensarbete m ämnesdid inr (UVK)</t>
  </si>
  <si>
    <t>SV+MA+UTGG</t>
  </si>
  <si>
    <t>Enl ök från inst 200818</t>
  </si>
  <si>
    <t>Prognostal</t>
  </si>
  <si>
    <t>Ämne 2 termin 6 gymnasieskolan</t>
  </si>
  <si>
    <t>Ämne 2 termin 7 gymnasieskolan</t>
  </si>
  <si>
    <t>H18</t>
  </si>
  <si>
    <t>H17</t>
  </si>
  <si>
    <t>H16</t>
  </si>
  <si>
    <t>6EN046</t>
  </si>
  <si>
    <t>6ES106</t>
  </si>
  <si>
    <t>6SH016</t>
  </si>
  <si>
    <t>ENGS</t>
  </si>
  <si>
    <t>IDRH</t>
  </si>
  <si>
    <t>MATT</t>
  </si>
  <si>
    <t>BIOL</t>
  </si>
  <si>
    <t>NATU</t>
  </si>
  <si>
    <t>MUSI</t>
  </si>
  <si>
    <t>BILÄ</t>
  </si>
  <si>
    <t>GEOG</t>
  </si>
  <si>
    <t>RELK</t>
  </si>
  <si>
    <t>SVAA</t>
  </si>
  <si>
    <t>HIST</t>
  </si>
  <si>
    <t>SAMK</t>
  </si>
  <si>
    <t>SPAN</t>
  </si>
  <si>
    <t>TXBI</t>
  </si>
  <si>
    <t>TXAL</t>
  </si>
  <si>
    <t>TYSK</t>
  </si>
  <si>
    <t>FRAN</t>
  </si>
  <si>
    <t>SVAN</t>
  </si>
  <si>
    <t>IDMA</t>
  </si>
  <si>
    <t>TMAL</t>
  </si>
  <si>
    <t>GRHF</t>
  </si>
  <si>
    <t>GYHF</t>
  </si>
  <si>
    <t>6KP002</t>
  </si>
  <si>
    <t>6KP003</t>
  </si>
  <si>
    <t>6KPUV2</t>
  </si>
  <si>
    <t>6SP061</t>
  </si>
  <si>
    <t>6SP062</t>
  </si>
  <si>
    <t>6SP063</t>
  </si>
  <si>
    <t>MAGG</t>
  </si>
  <si>
    <t>UTGG</t>
  </si>
  <si>
    <t>SVGG</t>
  </si>
  <si>
    <t>Engelska för ämneslärare, kurs 3</t>
  </si>
  <si>
    <t>Grafisk design &amp; Media A för lärare</t>
  </si>
  <si>
    <t>Profession och vetenskap för ämneslärare</t>
  </si>
  <si>
    <t>Kunskap och kommunikation - att utveckla läromiljöer för elever med intellektuell funktionsnedsättning</t>
  </si>
  <si>
    <t>Att utveckla lärande i skola och vardag för elever med intellektuell funktionsnedsättning</t>
  </si>
  <si>
    <t>Äskat/Beslutat 200611 p.39</t>
  </si>
  <si>
    <t>6ES052</t>
  </si>
  <si>
    <t>6ES069</t>
  </si>
  <si>
    <t>6TX037</t>
  </si>
  <si>
    <t>6TX038</t>
  </si>
  <si>
    <t>6TX039</t>
  </si>
  <si>
    <t>ht</t>
  </si>
  <si>
    <t>vt</t>
  </si>
  <si>
    <t>Distans</t>
  </si>
  <si>
    <t>Campus</t>
  </si>
  <si>
    <t>6FRIEST1</t>
  </si>
  <si>
    <t>6FRIEST2</t>
  </si>
  <si>
    <t>Grafisk design &amp; media för lärare B*</t>
  </si>
  <si>
    <t>Virk- och stickdesign</t>
  </si>
  <si>
    <t>6KN024</t>
  </si>
  <si>
    <t>Mat och måltider för barn och ungdomar</t>
  </si>
  <si>
    <t>6MA051</t>
  </si>
  <si>
    <t>6NO044</t>
  </si>
  <si>
    <t>6NO045</t>
  </si>
  <si>
    <t>Utomhuspedagogik och naturvetenskap - Sommar</t>
  </si>
  <si>
    <t>Utomhuspedagogik, hållbar utveckling och naturvetenskap i förskola, fritidshem och grundskola</t>
  </si>
  <si>
    <t>Elitidrott och tränarskap i ett samhällsperspektiv</t>
  </si>
  <si>
    <t>Specialpedagogik för yrkeslärare</t>
  </si>
  <si>
    <t>6LÄ064</t>
  </si>
  <si>
    <t>6LÄ065</t>
  </si>
  <si>
    <t>6FRISPRÅK9</t>
  </si>
  <si>
    <t>Franska C med didaktisk inriktning</t>
  </si>
  <si>
    <t>Svenska som andraspråk A, Det mångkulturella klassrummet</t>
  </si>
  <si>
    <t>Svenska som andraspråk B, delkurs 1</t>
  </si>
  <si>
    <t>6TY024</t>
  </si>
  <si>
    <t>Tyska C, Språkdidaktik i teori och praktik</t>
  </si>
  <si>
    <t>Barns språkutveckling</t>
  </si>
  <si>
    <t>Läs- och skrivinlärning</t>
  </si>
  <si>
    <t>6ST032</t>
  </si>
  <si>
    <t>6ST033</t>
  </si>
  <si>
    <t>6ST034</t>
  </si>
  <si>
    <t xml:space="preserve">Ledarskap och organisation med inriktning mot utbildningsledarskap: Teori och analys </t>
  </si>
  <si>
    <t>Ledarskap och organisation med inriktning mot utbildningsledarskap: Forsknings- och utredningsmetodik</t>
  </si>
  <si>
    <t>Ledarskap och organisation med inriktning mot utbildningsledarskap: Magisteruppsats (15 hp)</t>
  </si>
  <si>
    <t>Läser 7,5 av 15hp denna termin</t>
  </si>
  <si>
    <t>Beställd av LH</t>
  </si>
  <si>
    <t>Läser 15 av 30 hp denna termin</t>
  </si>
  <si>
    <t>Läser 22,5 av 30 hp denna termin</t>
  </si>
  <si>
    <t>Läser 4 av 10 hp denna termin</t>
  </si>
  <si>
    <t>Läser 7,5 av 30 hp denna termin</t>
  </si>
  <si>
    <t>vt Summa</t>
  </si>
  <si>
    <t>ht Summa</t>
  </si>
  <si>
    <t>2020 års prislappar</t>
  </si>
  <si>
    <t>6FRISPRÅK11</t>
  </si>
  <si>
    <t>6FRISPRÅK12</t>
  </si>
  <si>
    <t>Kommunikativ språkundervisning (platshållarnamn)</t>
  </si>
  <si>
    <t>Grammatik i det fria (platshållarnamn)</t>
  </si>
  <si>
    <t>sommar</t>
  </si>
  <si>
    <t>sommar Summa</t>
  </si>
  <si>
    <t>(tom) Summa</t>
  </si>
  <si>
    <t>Observera att kursordningen har förändrats för ämneslärare gy (LYAGY) kull H16 som ht -20 skulle ha läst 22,5 hp vfu och påbörjat 7,5 av 30 hp inom sitt examensarbete. Men p g a Coronapandemin har vfu:n flyttats till vt -21 och studenterna läste i stället hela sitt examensarbete på 30 hp under ht -20.</t>
  </si>
  <si>
    <r>
      <rPr>
        <b/>
        <sz val="14"/>
        <rFont val="Times New Roman"/>
        <family val="1"/>
      </rPr>
      <t>Prislappar</t>
    </r>
    <r>
      <rPr>
        <sz val="14"/>
        <rFont val="Times New Roman"/>
        <family val="1"/>
      </rPr>
      <t>:</t>
    </r>
    <r>
      <rPr>
        <i/>
        <sz val="14"/>
        <rFont val="Times New Roman"/>
        <family val="1"/>
      </rPr>
      <t xml:space="preserve"> </t>
    </r>
    <r>
      <rPr>
        <sz val="14"/>
        <rFont val="Times New Roman"/>
        <family val="1"/>
      </rPr>
      <t>Nya prislappar för 2021 tillämpas här. Mer information om detta kan läsa i budgetdokumentet alternativt att ni hör av er till lärarhögskolans kansli, Anna Nordström (anna.nordstrom@umu.se)</t>
    </r>
  </si>
  <si>
    <t xml:space="preserve">Vi har ett relativt stort antal studenter (LYAGY) som ännu ej valt om de ska göra sitt examensarbete i sitt första eller andra ämne, i väntan på det så är dessa studenter placerade under LH (orgenhet 6000). Här får ni alltså utifrån egen uppskattning lägga till de antal studenter ni bedömmer bör hamna på er institution. </t>
  </si>
  <si>
    <t>6ID021</t>
  </si>
  <si>
    <t>Idrott och hälsa 2</t>
  </si>
  <si>
    <t>6PE281</t>
  </si>
  <si>
    <t>Ämnesdidaktik för yrkeslärare (UVK)</t>
  </si>
  <si>
    <t>6MA053</t>
  </si>
  <si>
    <t>LYAGS</t>
  </si>
  <si>
    <t>Nytt ämneslärarprogram fr o m ht -21</t>
  </si>
  <si>
    <t>ARBE</t>
  </si>
  <si>
    <t>enl uppg fr A-K LP</t>
  </si>
  <si>
    <t>Reviderat</t>
  </si>
  <si>
    <t>Umeå</t>
  </si>
  <si>
    <t>Örnsköldsvik</t>
  </si>
  <si>
    <t>1HI008</t>
  </si>
  <si>
    <t>5KE187</t>
  </si>
  <si>
    <t>5KE195</t>
  </si>
  <si>
    <t>5KE196</t>
  </si>
  <si>
    <t>6KG010</t>
  </si>
  <si>
    <t>Enl SP 210218</t>
  </si>
  <si>
    <t>6SY042</t>
  </si>
  <si>
    <t>6SY043</t>
  </si>
  <si>
    <t>6PE282</t>
  </si>
  <si>
    <t>H201-20:V211-20</t>
  </si>
  <si>
    <t>ALLM</t>
  </si>
  <si>
    <t>Profession och vetenskap för förskoleklass och grundskolans årskurs 1-3 (UK)</t>
  </si>
  <si>
    <t>Historia C</t>
  </si>
  <si>
    <t>Grundläggande miljökemi</t>
  </si>
  <si>
    <t>Molekylär spektroskopi och diffraktion</t>
  </si>
  <si>
    <t>Kemisk och molekylär termodynamik</t>
  </si>
  <si>
    <t>Geografi - landskap och hållbar utveckling</t>
  </si>
  <si>
    <t>Beteendevetenskapliga grunder för karriärvägledning</t>
  </si>
  <si>
    <t>Utbildningssystem</t>
  </si>
  <si>
    <t>Profession och vetenskap för yrkeslärare (UVK)</t>
  </si>
  <si>
    <t>6SA015</t>
  </si>
  <si>
    <t>6LÄ066</t>
  </si>
  <si>
    <t>6LÄ067</t>
  </si>
  <si>
    <t>6SD016</t>
  </si>
  <si>
    <t>6SV083</t>
  </si>
  <si>
    <t>Spanska C, Språkdidaktik i teori och praktik</t>
  </si>
  <si>
    <t>Läs- och skrivutveckling med berättande i fokus. För lärare i F-3 och 4-6</t>
  </si>
  <si>
    <t>Läs- och skrivutveckling med sakprosa och grammatik i fokus. För lärare i F-3 och 4-6</t>
  </si>
  <si>
    <t>Språk, skrivande och demokrati</t>
  </si>
  <si>
    <t>Ett flerspråkighetsperspektiv på berättande i F-3 och 4-6</t>
  </si>
  <si>
    <t>XXX HPR</t>
  </si>
  <si>
    <t>6PE293</t>
  </si>
  <si>
    <t xml:space="preserve">Ett fåtal kurser har, i väntan på beredning och beslut, en preliminär klassificering till utbildningsområde som kan komma att ändras. Vilka dessa är kan ni se under fliken "kurspris". </t>
  </si>
  <si>
    <t>Kursintäkter
totalt 2021 (uppdat febr -21)</t>
  </si>
  <si>
    <t>Lokalintäkt
totalt 2021 (uppdat febr -21)</t>
  </si>
  <si>
    <t>6ES119</t>
  </si>
  <si>
    <t>6ES118</t>
  </si>
  <si>
    <t>Skapande lek i  förskolan 2</t>
  </si>
  <si>
    <t>6PE304</t>
  </si>
  <si>
    <t>6PE338</t>
  </si>
  <si>
    <t>Revid</t>
  </si>
  <si>
    <t>Enl Ladok 210610</t>
  </si>
  <si>
    <t>1FR001</t>
  </si>
  <si>
    <t>1FR002</t>
  </si>
  <si>
    <t>2NE086</t>
  </si>
  <si>
    <t>5MA160</t>
  </si>
  <si>
    <t>6ES112</t>
  </si>
  <si>
    <t>6KN033</t>
  </si>
  <si>
    <t>ES097</t>
  </si>
  <si>
    <t>MU051</t>
  </si>
  <si>
    <t>A6451</t>
  </si>
  <si>
    <t>F6458</t>
  </si>
  <si>
    <t>A6453</t>
  </si>
  <si>
    <t>F6450</t>
  </si>
  <si>
    <t>0074I</t>
  </si>
  <si>
    <t>0079I</t>
  </si>
  <si>
    <t>ÖÄ003</t>
  </si>
  <si>
    <t>Ospecificerad ort</t>
  </si>
  <si>
    <t>Ortsoberoende</t>
  </si>
  <si>
    <t>UVV3</t>
  </si>
  <si>
    <t>SVEN</t>
  </si>
  <si>
    <t>TIDA</t>
  </si>
  <si>
    <t>Normal</t>
  </si>
  <si>
    <t>Läser 6 av 10 hp denna termin</t>
  </si>
  <si>
    <t>Läser 7,5 av 15 denna termin</t>
  </si>
  <si>
    <t>Enl Fokus-Ladok 210601</t>
  </si>
  <si>
    <t>Franska, Kvalifikationskurs</t>
  </si>
  <si>
    <t>Franska, Påfartskurs</t>
  </si>
  <si>
    <t>6LÄ068</t>
  </si>
  <si>
    <t>Pedagogisk yrkesverksamhet: Examensarbete för magisterexamen</t>
  </si>
  <si>
    <t>MAJ 2021</t>
  </si>
  <si>
    <t>Att utfördela Maj -21</t>
  </si>
  <si>
    <t>Per månad</t>
  </si>
  <si>
    <t>Att utfördela fr o m Juni -21</t>
  </si>
  <si>
    <t>Kursintäkter
totalt 2021 fr jan</t>
  </si>
  <si>
    <t>Lokalintäkt
totalt 2021 fr jan</t>
  </si>
  <si>
    <t>Examensarbete med ämnesdidaktisk inriktning för ämneslärarexamen (UVK) - grundnivå</t>
  </si>
  <si>
    <t>6KP004</t>
  </si>
  <si>
    <t>6KP005</t>
  </si>
  <si>
    <t>Examensarbete med ämnesdidaktisk inriktning för ämneslärarexamen (UVK) - avancerad nivå</t>
  </si>
  <si>
    <t>6KP006</t>
  </si>
  <si>
    <t>Examensarbete med ämnesdidaktisk inriktning för ämneslärarexamen - grundnivå (UVK)</t>
  </si>
  <si>
    <t>6KP009</t>
  </si>
  <si>
    <t>6KP010</t>
  </si>
  <si>
    <t>6KP011</t>
  </si>
  <si>
    <t>6KP012</t>
  </si>
  <si>
    <t>6KP014</t>
  </si>
  <si>
    <t>6KP015</t>
  </si>
  <si>
    <t>6KP016</t>
  </si>
  <si>
    <t>Verksamhetsförlagd utbildning 2 inom KPU - avancerad nivå (VFU)</t>
  </si>
  <si>
    <t>Examensarbete med ämnesdidaktisk inriktning för ämneslärarexamen - avancerad nivå (UVK)</t>
  </si>
  <si>
    <t>Verksamhetsförlagd utbildning 2 inom KPU - grundnivå (VFU)</t>
  </si>
  <si>
    <t>H15</t>
  </si>
  <si>
    <t>V18</t>
  </si>
  <si>
    <t>V19</t>
  </si>
  <si>
    <t>H20</t>
  </si>
  <si>
    <t>V21</t>
  </si>
  <si>
    <t>H19</t>
  </si>
  <si>
    <t>V16</t>
  </si>
  <si>
    <t>V20</t>
  </si>
  <si>
    <t>H2111-20</t>
  </si>
  <si>
    <t>H2116-20</t>
  </si>
  <si>
    <t>H2111-15</t>
  </si>
  <si>
    <t>H211-10</t>
  </si>
  <si>
    <t>H216-10</t>
  </si>
  <si>
    <t>H2111-13</t>
  </si>
  <si>
    <t>H218-12</t>
  </si>
  <si>
    <t>H2113-16</t>
  </si>
  <si>
    <t>H2117-20:V221-3</t>
  </si>
  <si>
    <t>V2117-20:H211-3</t>
  </si>
  <si>
    <t>H211-7</t>
  </si>
  <si>
    <t>H211-5</t>
  </si>
  <si>
    <t>H2114-20</t>
  </si>
  <si>
    <t>H214-10</t>
  </si>
  <si>
    <t>6FRI1</t>
  </si>
  <si>
    <t>H2111-12</t>
  </si>
  <si>
    <t>H215-10</t>
  </si>
  <si>
    <t>H2116-20:V221-15</t>
  </si>
  <si>
    <t>H2113-15</t>
  </si>
  <si>
    <t>H211-15</t>
  </si>
  <si>
    <t>H211-4</t>
  </si>
  <si>
    <t>H211-20</t>
  </si>
  <si>
    <t>ALG1</t>
  </si>
  <si>
    <t>H219-20</t>
  </si>
  <si>
    <t>H211-20:V221-20</t>
  </si>
  <si>
    <t>6SP064</t>
  </si>
  <si>
    <t>H216-15</t>
  </si>
  <si>
    <t>6ES110</t>
  </si>
  <si>
    <t>6ES115</t>
  </si>
  <si>
    <t>6ES116</t>
  </si>
  <si>
    <t>6ES117</t>
  </si>
  <si>
    <t>6NK001</t>
  </si>
  <si>
    <t>H14</t>
  </si>
  <si>
    <t>V2116-20:H211-15</t>
  </si>
  <si>
    <t>H215</t>
  </si>
  <si>
    <t>H2117-20</t>
  </si>
  <si>
    <t>H216-12</t>
  </si>
  <si>
    <t>Läraryrkets dimensioner - ingångsämne naturkunskap (VFU)</t>
  </si>
  <si>
    <t>6PE270</t>
  </si>
  <si>
    <t>Läraryrkets dimensioner - bild</t>
  </si>
  <si>
    <t>Grafisk design &amp; Media B för lärare</t>
  </si>
  <si>
    <t>Läraryrkets dimensioner - Musik</t>
  </si>
  <si>
    <t>Läraryrkets dimensioner - ingångsämne slöjd för lärare i åk 7-9</t>
  </si>
  <si>
    <t>Valbar kurs: Bild/Idrott och hälsa 1</t>
  </si>
  <si>
    <t>6ID022</t>
  </si>
  <si>
    <t>RTV 2021 - Preliminär uppdaterad juni -21</t>
  </si>
  <si>
    <r>
      <rPr>
        <b/>
        <sz val="14"/>
        <rFont val="Times New Roman"/>
        <family val="1"/>
      </rPr>
      <t>HST - ht -21</t>
    </r>
    <r>
      <rPr>
        <sz val="14"/>
        <rFont val="Times New Roman"/>
        <family val="1"/>
      </rPr>
      <t>: Baseras på uppgifterna ur studieplansverktyget SP (fd Valwebben) för antagna vt -21 och tidigare, uppgifter om planeringstal/prognostal (förväntat antal antagna fr o m ht -21) samt beslut om fristående kurser (äskade samt beställda). Observera att ni bör ta hänsyn till hur relevanta siffrorna är när det gäller de kurser som er institution äskat att ge som fristående, en annan osäkerhet är eventuella avhopp under 2021 som kan ske av studenter som antagits före 2021. Generellt kan sägas att siffrorna ligger något högt i denna preliminära RTV jämfört med vad som troligen kommer att visa sig vid slutavräkningen.</t>
    </r>
  </si>
  <si>
    <r>
      <rPr>
        <b/>
        <sz val="14"/>
        <rFont val="Times New Roman"/>
        <family val="1"/>
      </rPr>
      <t>HST - vt -21</t>
    </r>
    <r>
      <rPr>
        <sz val="14"/>
        <rFont val="Times New Roman"/>
        <family val="1"/>
      </rPr>
      <t>: Uppgift om faktisk hst har hämtats ur Fokus-Ladok. När det gäller sommarkurser så är det uppgift om äskade som ligger inne här.</t>
    </r>
  </si>
  <si>
    <r>
      <rPr>
        <b/>
        <sz val="14"/>
        <rFont val="Times New Roman"/>
        <family val="1"/>
      </rPr>
      <t>HPR</t>
    </r>
    <r>
      <rPr>
        <sz val="14"/>
        <rFont val="Times New Roman"/>
        <family val="1"/>
      </rPr>
      <t>: En genomströmning på 85 % för programkurser och 80 % för fristående kurser har tillämpats både för vt och ht.</t>
    </r>
  </si>
  <si>
    <t>Läsa och skriva i alla ämnen. För lärare i åk 4-6</t>
  </si>
  <si>
    <t>Kursintäkter
totalt 2021 fr juni</t>
  </si>
  <si>
    <t>Lokalintäkt
totalt 2021 fr juni</t>
  </si>
  <si>
    <t>Kursintäkter
Utfördelat t o m aug -21</t>
  </si>
  <si>
    <t>Lokalintäkter
Utfördelat t o m aug -21</t>
  </si>
  <si>
    <t>Tot utfördelat t o m aug -21</t>
  </si>
  <si>
    <t>SEPTEMBER 2021</t>
  </si>
  <si>
    <t>Utfördelat
t o m aug -21</t>
  </si>
  <si>
    <t>Att utfördela fr o m Sept -21</t>
  </si>
  <si>
    <r>
      <t>Resurser till Grundutbildning - preliminär</t>
    </r>
    <r>
      <rPr>
        <b/>
        <sz val="10"/>
        <rFont val="Times New Roman"/>
        <family val="1"/>
      </rPr>
      <t xml:space="preserve"> (uppdaterad sept -21)</t>
    </r>
  </si>
  <si>
    <t>Utfördelat t o m aug -21</t>
  </si>
  <si>
    <t>Utfördelas per månad fr o m september 2021</t>
  </si>
  <si>
    <t>Reg enl Ladok 210907</t>
  </si>
  <si>
    <t>Reg i Ladok 210907</t>
  </si>
  <si>
    <t>Kursintäkter
totalt 2021 (uppdat sept -21)</t>
  </si>
  <si>
    <t>Lokalintäkt
totalt 2021 (uppdat sept -21)</t>
  </si>
  <si>
    <t>SP 210920</t>
  </si>
  <si>
    <t>SP210920</t>
  </si>
  <si>
    <t>SP 210923</t>
  </si>
  <si>
    <t>SP210923</t>
  </si>
  <si>
    <t>SP 210924</t>
  </si>
  <si>
    <t>MASH</t>
  </si>
  <si>
    <t>SP 210928</t>
  </si>
  <si>
    <r>
      <rPr>
        <b/>
        <sz val="14"/>
        <rFont val="Times New Roman"/>
        <family val="1"/>
      </rPr>
      <t>Nytt</t>
    </r>
    <r>
      <rPr>
        <sz val="14"/>
        <rFont val="Times New Roman"/>
        <family val="1"/>
      </rPr>
      <t xml:space="preserve">: Fr o m ht -21 startar en ny inriktning inom Grundlärarprogrammet åk 4-6 (LYGRM), inriktningen har inriktningskod ARBE (Arbetsintegrerad lärarutbildning) och går på 75 % studietakt. 
Ämneslärarprogrammet - Gymnasieskolan får ny programkod för antagna fr o m ht -21 = </t>
    </r>
    <r>
      <rPr>
        <b/>
        <sz val="14"/>
        <rFont val="Times New Roman"/>
        <family val="1"/>
      </rPr>
      <t>LYAGS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</si>
</sst>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kr&quot;_-;\-* #,##0.00\ &quot;kr&quot;_-;_-* &quot;-&quot;??\ &quot;kr&quot;_-;_-@_-"/>
    <numFmt numFmtId="164" formatCode="_-* #,##0.00\ _k_r_-;\-* #,##0.00\ _k_r_-;_-* &quot;-&quot;??\ _k_r_-;_-@_-"/>
    <numFmt numFmtId="165" formatCode="#,##0.0"/>
    <numFmt numFmtId="166" formatCode="0.0"/>
    <numFmt numFmtId="167" formatCode="0.000"/>
    <numFmt numFmtId="168" formatCode="#,##0_ ;[Red]\-#,##0\ "/>
    <numFmt numFmtId="169" formatCode="#,##0&quot; tkr&quot;"/>
    <numFmt numFmtId="170" formatCode="#,##0&quot; tkr&quot;;[Red]\-#,##0&quot; tkr&quot;"/>
    <numFmt numFmtId="171" formatCode="#,##0,&quot; tkr&quot;;[Red]\-#,##0,&quot; tkr&quot;"/>
    <numFmt numFmtId="172" formatCode="#,##0.0_ ;[Red]\-#,##0.0\ "/>
    <numFmt numFmtId="173" formatCode="0.0%"/>
    <numFmt numFmtId="174" formatCode="#,##0.000"/>
  </numFmts>
  <fonts count="73"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b/>
      <sz val="11"/>
      <name val="Times New Roman"/>
      <family val="1"/>
    </font>
    <font>
      <b/>
      <sz val="16"/>
      <name val="Times New Roman"/>
      <family val="1"/>
    </font>
    <font>
      <sz val="12"/>
      <name val="Times New Roman"/>
      <family val="1"/>
    </font>
    <font>
      <b/>
      <sz val="12"/>
      <name val="Times New Roman"/>
      <family val="1"/>
    </font>
    <font>
      <sz val="11"/>
      <name val="Times New Roman"/>
      <family val="1"/>
    </font>
    <font>
      <i/>
      <sz val="11"/>
      <name val="Times New Roman"/>
      <family val="1"/>
    </font>
    <font>
      <sz val="8"/>
      <name val="Times New Roman"/>
      <family val="1"/>
    </font>
    <font>
      <b/>
      <sz val="10"/>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63"/>
      <name val="Calibri"/>
      <family val="2"/>
    </font>
    <font>
      <sz val="11"/>
      <color indexed="10"/>
      <name val="Calibri"/>
      <family val="2"/>
    </font>
    <font>
      <b/>
      <sz val="8"/>
      <name val="Arial"/>
      <family val="2"/>
    </font>
    <font>
      <sz val="12"/>
      <name val="Arial"/>
      <family val="2"/>
    </font>
    <font>
      <b/>
      <sz val="12"/>
      <name val="Arial"/>
      <family val="2"/>
    </font>
    <font>
      <b/>
      <sz val="14"/>
      <name val="Times New Roman"/>
      <family val="1"/>
    </font>
    <font>
      <b/>
      <sz val="10"/>
      <color indexed="81"/>
      <name val="Tahoma"/>
      <family val="2"/>
    </font>
    <font>
      <sz val="8"/>
      <name val="Times New Roman"/>
      <family val="1"/>
    </font>
    <font>
      <sz val="8"/>
      <name val="Times New Roman"/>
      <family val="1"/>
    </font>
    <font>
      <b/>
      <sz val="11"/>
      <color theme="1"/>
      <name val="Calibri"/>
      <family val="2"/>
      <scheme val="minor"/>
    </font>
    <font>
      <b/>
      <sz val="12"/>
      <color rgb="FF0070C0"/>
      <name val="Times New Roman"/>
      <family val="1"/>
    </font>
    <font>
      <sz val="10"/>
      <name val="Garamond"/>
      <family val="1"/>
    </font>
    <font>
      <sz val="11"/>
      <color theme="1"/>
      <name val="Times New Roman"/>
      <family val="1"/>
    </font>
    <font>
      <b/>
      <sz val="11"/>
      <color theme="0"/>
      <name val="Times New Roman"/>
      <family val="1"/>
    </font>
    <font>
      <i/>
      <sz val="11"/>
      <color theme="1"/>
      <name val="Garamond"/>
      <family val="1"/>
    </font>
    <font>
      <b/>
      <i/>
      <sz val="11"/>
      <color theme="1"/>
      <name val="Calibri"/>
      <family val="2"/>
      <scheme val="minor"/>
    </font>
    <font>
      <b/>
      <sz val="11"/>
      <color theme="0"/>
      <name val="Garamond"/>
      <family val="1"/>
    </font>
    <font>
      <b/>
      <sz val="12"/>
      <color theme="0"/>
      <name val="Calibri"/>
      <family val="2"/>
    </font>
    <font>
      <b/>
      <sz val="12"/>
      <color theme="1"/>
      <name val="Calibri"/>
      <family val="2"/>
      <scheme val="minor"/>
    </font>
    <font>
      <u/>
      <sz val="11"/>
      <color theme="10"/>
      <name val="Times New Roman"/>
      <family val="1"/>
    </font>
    <font>
      <sz val="11"/>
      <name val="Wingdings"/>
      <charset val="2"/>
    </font>
    <font>
      <sz val="9"/>
      <color indexed="81"/>
      <name val="Tahoma"/>
      <family val="2"/>
    </font>
    <font>
      <b/>
      <sz val="9"/>
      <color indexed="81"/>
      <name val="Tahoma"/>
      <family val="2"/>
    </font>
    <font>
      <b/>
      <i/>
      <sz val="11"/>
      <name val="Times New Roman"/>
      <family val="1"/>
    </font>
    <font>
      <sz val="11"/>
      <color rgb="FFFF0000"/>
      <name val="Times New Roman"/>
      <family val="1"/>
    </font>
    <font>
      <sz val="14"/>
      <name val="Times New Roman"/>
      <family val="1"/>
    </font>
    <font>
      <u/>
      <sz val="11"/>
      <color theme="11"/>
      <name val="Times New Roman"/>
      <family val="1"/>
    </font>
    <font>
      <sz val="12"/>
      <color rgb="FF000000"/>
      <name val="Calibri"/>
      <family val="2"/>
    </font>
    <font>
      <sz val="11"/>
      <color theme="1"/>
      <name val="Times New Roman"/>
      <family val="1"/>
    </font>
    <font>
      <sz val="11"/>
      <name val="Times New Roman"/>
      <family val="1"/>
    </font>
    <font>
      <sz val="12"/>
      <color rgb="FFFF0000"/>
      <name val="Times New Roman"/>
      <family val="1"/>
    </font>
    <font>
      <i/>
      <sz val="12"/>
      <name val="Times New Roman"/>
      <family val="1"/>
    </font>
    <font>
      <sz val="11"/>
      <name val="Times New Roman"/>
      <family val="1"/>
    </font>
    <font>
      <b/>
      <sz val="10"/>
      <name val="Times New Roman"/>
      <family val="1"/>
    </font>
    <font>
      <sz val="11"/>
      <name val="Calibri"/>
      <family val="2"/>
      <scheme val="minor"/>
    </font>
    <font>
      <i/>
      <sz val="12"/>
      <color rgb="FF000000"/>
      <name val="Calibri"/>
      <family val="2"/>
    </font>
    <font>
      <i/>
      <sz val="14"/>
      <name val="Times New Roman"/>
      <family val="1"/>
    </font>
    <font>
      <b/>
      <sz val="18"/>
      <name val="Times New Roman"/>
      <family val="1"/>
    </font>
    <font>
      <b/>
      <sz val="11"/>
      <name val="Times New Roman"/>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42"/>
        <bgColor indexed="64"/>
      </patternFill>
    </fill>
    <fill>
      <patternFill patternType="solid">
        <fgColor rgb="FFFFD653"/>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rgb="FF99FFCC"/>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CC"/>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122">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right/>
      <top/>
      <bottom style="thin">
        <color indexed="8"/>
      </bottom>
      <diagonal/>
    </border>
    <border>
      <left style="thick">
        <color theme="5" tint="-0.499984740745262"/>
      </left>
      <right style="thin">
        <color auto="1"/>
      </right>
      <top/>
      <bottom style="thick">
        <color theme="5" tint="-0.499984740745262"/>
      </bottom>
      <diagonal/>
    </border>
    <border>
      <left style="thin">
        <color auto="1"/>
      </left>
      <right style="thin">
        <color auto="1"/>
      </right>
      <top/>
      <bottom style="thick">
        <color theme="5" tint="-0.499984740745262"/>
      </bottom>
      <diagonal/>
    </border>
    <border>
      <left style="thick">
        <color theme="5" tint="-0.499984740745262"/>
      </left>
      <right style="thin">
        <color auto="1"/>
      </right>
      <top style="thick">
        <color theme="5" tint="-0.499984740745262"/>
      </top>
      <bottom style="thin">
        <color auto="1"/>
      </bottom>
      <diagonal/>
    </border>
    <border>
      <left style="medium">
        <color auto="1"/>
      </left>
      <right style="thin">
        <color auto="1"/>
      </right>
      <top style="thick">
        <color theme="5" tint="-0.499984740745262"/>
      </top>
      <bottom style="thin">
        <color auto="1"/>
      </bottom>
      <diagonal/>
    </border>
    <border>
      <left style="medium">
        <color auto="1"/>
      </left>
      <right style="thick">
        <color theme="5" tint="-0.499984740745262"/>
      </right>
      <top style="thick">
        <color theme="5" tint="-0.499984740745262"/>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thick">
        <color theme="5" tint="-0.499984740745262"/>
      </top>
      <bottom style="thin">
        <color auto="1"/>
      </bottom>
      <diagonal/>
    </border>
    <border>
      <left/>
      <right style="thin">
        <color auto="1"/>
      </right>
      <top style="thick">
        <color theme="5" tint="-0.499984740745262"/>
      </top>
      <bottom style="thin">
        <color auto="1"/>
      </bottom>
      <diagonal/>
    </border>
    <border>
      <left/>
      <right style="thin">
        <color auto="1"/>
      </right>
      <top/>
      <bottom style="thick">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top/>
      <bottom/>
      <diagonal/>
    </border>
    <border>
      <left style="thick">
        <color auto="1"/>
      </left>
      <right style="thick">
        <color auto="1"/>
      </right>
      <top style="thick">
        <color auto="1"/>
      </top>
      <bottom style="thick">
        <color auto="1"/>
      </bottom>
      <diagonal/>
    </border>
    <border>
      <left style="thin">
        <color auto="1"/>
      </left>
      <right/>
      <top/>
      <bottom/>
      <diagonal/>
    </border>
    <border>
      <left/>
      <right/>
      <top style="thin">
        <color indexed="64"/>
      </top>
      <bottom/>
      <diagonal/>
    </border>
    <border>
      <left/>
      <right style="thin">
        <color indexed="64"/>
      </right>
      <top style="thin">
        <color indexed="64"/>
      </top>
      <bottom/>
      <diagonal/>
    </border>
    <border>
      <left style="medium">
        <color auto="1"/>
      </left>
      <right/>
      <top style="thin">
        <color indexed="64"/>
      </top>
      <bottom/>
      <diagonal/>
    </border>
    <border>
      <left/>
      <right style="thin">
        <color auto="1"/>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theme="5" tint="-0.499984740745262"/>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theme="5" tint="-0.499984740745262"/>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ck">
        <color theme="5" tint="-0.499984740745262"/>
      </right>
      <top style="thin">
        <color auto="1"/>
      </top>
      <bottom style="thin">
        <color auto="1"/>
      </bottom>
      <diagonal/>
    </border>
    <border>
      <left style="thin">
        <color auto="1"/>
      </left>
      <right style="thin">
        <color auto="1"/>
      </right>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90">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19" fillId="16" borderId="1" applyNumberFormat="0" applyFont="0" applyAlignment="0" applyProtection="0"/>
    <xf numFmtId="0" fontId="21" fillId="17" borderId="2" applyNumberFormat="0" applyAlignment="0" applyProtection="0"/>
    <xf numFmtId="0" fontId="22" fillId="4" borderId="0" applyNumberFormat="0" applyBorder="0" applyAlignment="0" applyProtection="0"/>
    <xf numFmtId="0" fontId="23" fillId="3"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1" borderId="0" applyNumberFormat="0" applyBorder="0" applyAlignment="0" applyProtection="0"/>
    <xf numFmtId="0" fontId="24" fillId="0" borderId="0" applyNumberFormat="0" applyFill="0" applyBorder="0" applyAlignment="0" applyProtection="0"/>
    <xf numFmtId="0" fontId="25" fillId="7" borderId="2" applyNumberFormat="0" applyAlignment="0" applyProtection="0"/>
    <xf numFmtId="0" fontId="26" fillId="22" borderId="3" applyNumberFormat="0" applyAlignment="0" applyProtection="0"/>
    <xf numFmtId="0" fontId="27" fillId="0" borderId="4" applyNumberFormat="0" applyFill="0" applyAlignment="0" applyProtection="0"/>
    <xf numFmtId="0" fontId="28" fillId="23" borderId="0" applyNumberFormat="0" applyBorder="0" applyAlignment="0" applyProtection="0"/>
    <xf numFmtId="0" fontId="16" fillId="0" borderId="0"/>
    <xf numFmtId="0" fontId="16" fillId="0" borderId="0"/>
    <xf numFmtId="0" fontId="16" fillId="0" borderId="0"/>
    <xf numFmtId="0" fontId="16" fillId="0" borderId="0"/>
    <xf numFmtId="9" fontId="7" fillId="0" borderId="0" applyFont="0" applyFill="0" applyBorder="0" applyAlignment="0" applyProtection="0"/>
    <xf numFmtId="9" fontId="16" fillId="0" borderId="0" applyFont="0" applyFill="0" applyBorder="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33" fillId="0" borderId="8" applyNumberFormat="0" applyFill="0" applyAlignment="0" applyProtection="0"/>
    <xf numFmtId="0" fontId="34" fillId="17" borderId="9" applyNumberFormat="0" applyAlignment="0" applyProtection="0"/>
    <xf numFmtId="0" fontId="35" fillId="0" borderId="0" applyNumberFormat="0" applyFill="0" applyBorder="0" applyAlignment="0" applyProtection="0"/>
    <xf numFmtId="0" fontId="53" fillId="0" borderId="0" applyNumberFormat="0" applyFill="0" applyBorder="0" applyAlignment="0" applyProtection="0">
      <alignment vertical="top"/>
      <protection locked="0"/>
    </xf>
    <xf numFmtId="0" fontId="6"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4" fontId="63" fillId="0" borderId="0" applyFont="0" applyFill="0" applyBorder="0" applyAlignment="0" applyProtection="0"/>
    <xf numFmtId="0" fontId="5" fillId="0" borderId="0"/>
    <xf numFmtId="44" fontId="66" fillId="0" borderId="0" applyFont="0" applyFill="0" applyBorder="0" applyAlignment="0" applyProtection="0"/>
    <xf numFmtId="0" fontId="4" fillId="0" borderId="0"/>
    <xf numFmtId="0" fontId="2" fillId="0" borderId="0"/>
  </cellStyleXfs>
  <cellXfs count="593">
    <xf numFmtId="0" fontId="0" fillId="0" borderId="0" xfId="0"/>
    <xf numFmtId="0" fontId="8" fillId="0" borderId="0" xfId="0" applyFont="1"/>
    <xf numFmtId="0" fontId="9" fillId="0" borderId="0" xfId="0" applyFont="1" applyProtection="1"/>
    <xf numFmtId="0" fontId="10" fillId="0" borderId="0" xfId="0" applyFont="1" applyProtection="1"/>
    <xf numFmtId="0" fontId="11" fillId="0" borderId="10" xfId="0" applyFont="1" applyBorder="1" applyAlignment="1" applyProtection="1"/>
    <xf numFmtId="0" fontId="11" fillId="0" borderId="0" xfId="0" applyFont="1" applyProtection="1"/>
    <xf numFmtId="0" fontId="12" fillId="0" borderId="0" xfId="0" applyFont="1" applyProtection="1"/>
    <xf numFmtId="0" fontId="10" fillId="0" borderId="0" xfId="0" applyFont="1" applyFill="1" applyProtection="1"/>
    <xf numFmtId="0" fontId="12" fillId="0" borderId="0" xfId="0" applyFont="1" applyFill="1" applyProtection="1"/>
    <xf numFmtId="0" fontId="0" fillId="0" borderId="0" xfId="0" applyFill="1" applyBorder="1" applyProtection="1"/>
    <xf numFmtId="0" fontId="11" fillId="0" borderId="0" xfId="0" applyFont="1" applyFill="1" applyProtection="1"/>
    <xf numFmtId="0" fontId="18" fillId="0" borderId="0" xfId="0" applyFont="1" applyBorder="1"/>
    <xf numFmtId="0" fontId="18" fillId="0" borderId="0" xfId="0" applyFont="1" applyFill="1" applyBorder="1"/>
    <xf numFmtId="0" fontId="15" fillId="0" borderId="0" xfId="0" applyFont="1" applyBorder="1"/>
    <xf numFmtId="0" fontId="0" fillId="0" borderId="0" xfId="0" applyBorder="1" applyAlignment="1">
      <alignment horizontal="left"/>
    </xf>
    <xf numFmtId="3" fontId="0" fillId="0" borderId="0" xfId="0" applyNumberFormat="1"/>
    <xf numFmtId="0" fontId="8" fillId="0" borderId="10" xfId="0" applyFont="1" applyFill="1" applyBorder="1" applyProtection="1"/>
    <xf numFmtId="0" fontId="8" fillId="0" borderId="0" xfId="0" applyFont="1" applyFill="1" applyProtection="1"/>
    <xf numFmtId="0" fontId="0" fillId="0" borderId="0" xfId="0" applyBorder="1"/>
    <xf numFmtId="9" fontId="0" fillId="0" borderId="0" xfId="0" applyNumberFormat="1"/>
    <xf numFmtId="0" fontId="11" fillId="0" borderId="11" xfId="0" applyFont="1" applyBorder="1" applyAlignment="1" applyProtection="1"/>
    <xf numFmtId="0" fontId="13" fillId="0" borderId="0" xfId="0" applyFont="1" applyFill="1" applyProtection="1"/>
    <xf numFmtId="0" fontId="0" fillId="0" borderId="0" xfId="0" applyFill="1" applyProtection="1"/>
    <xf numFmtId="0" fontId="39" fillId="0" borderId="14" xfId="0" applyFont="1" applyFill="1" applyBorder="1" applyAlignment="1" applyProtection="1">
      <alignment horizontal="center"/>
    </xf>
    <xf numFmtId="0" fontId="12" fillId="0" borderId="0" xfId="0" applyFont="1" applyBorder="1" applyProtection="1"/>
    <xf numFmtId="0" fontId="7" fillId="0" borderId="0" xfId="0" applyFont="1"/>
    <xf numFmtId="168" fontId="0" fillId="0" borderId="0" xfId="0" applyNumberFormat="1"/>
    <xf numFmtId="0" fontId="8" fillId="0" borderId="0" xfId="0" applyFont="1" applyBorder="1"/>
    <xf numFmtId="0" fontId="7" fillId="0" borderId="0" xfId="0" applyFont="1" applyAlignment="1">
      <alignment wrapText="1"/>
    </xf>
    <xf numFmtId="0" fontId="0" fillId="0" borderId="0" xfId="0" applyAlignment="1">
      <alignment wrapText="1"/>
    </xf>
    <xf numFmtId="170" fontId="37" fillId="0" borderId="0" xfId="36" applyNumberFormat="1" applyFont="1" applyFill="1" applyBorder="1" applyProtection="1"/>
    <xf numFmtId="0" fontId="0" fillId="0" borderId="0" xfId="0" applyFill="1"/>
    <xf numFmtId="0" fontId="8" fillId="0" borderId="0" xfId="0" applyFont="1" applyFill="1"/>
    <xf numFmtId="171" fontId="0" fillId="0" borderId="0" xfId="0" applyNumberFormat="1"/>
    <xf numFmtId="171" fontId="8" fillId="0" borderId="15" xfId="0" applyNumberFormat="1" applyFont="1" applyBorder="1"/>
    <xf numFmtId="0" fontId="43" fillId="0" borderId="0" xfId="0" applyFont="1" applyFill="1"/>
    <xf numFmtId="0" fontId="0" fillId="0" borderId="0" xfId="0" applyNumberFormat="1"/>
    <xf numFmtId="0" fontId="6" fillId="0" borderId="0" xfId="0" applyFont="1"/>
    <xf numFmtId="9" fontId="0" fillId="0" borderId="0" xfId="0" applyNumberFormat="1" applyFill="1"/>
    <xf numFmtId="0" fontId="0" fillId="0" borderId="0" xfId="0" applyNumberFormat="1" applyFill="1"/>
    <xf numFmtId="3" fontId="0" fillId="0" borderId="0" xfId="0" applyNumberFormat="1" applyFill="1"/>
    <xf numFmtId="0" fontId="16" fillId="0" borderId="0" xfId="0" applyFont="1" applyFill="1" applyBorder="1"/>
    <xf numFmtId="2" fontId="17" fillId="0" borderId="0" xfId="0" applyNumberFormat="1" applyFont="1" applyFill="1" applyAlignment="1">
      <alignment horizontal="right"/>
    </xf>
    <xf numFmtId="2" fontId="0" fillId="0" borderId="0" xfId="0" applyNumberFormat="1" applyFill="1" applyAlignment="1">
      <alignment horizontal="right"/>
    </xf>
    <xf numFmtId="0" fontId="6" fillId="0" borderId="0" xfId="0" applyFont="1" applyProtection="1"/>
    <xf numFmtId="3" fontId="45" fillId="0" borderId="0" xfId="0" applyNumberFormat="1" applyFont="1" applyBorder="1" applyAlignment="1">
      <alignment wrapText="1"/>
    </xf>
    <xf numFmtId="3" fontId="45" fillId="0" borderId="0" xfId="0" applyNumberFormat="1" applyFont="1" applyBorder="1"/>
    <xf numFmtId="3" fontId="0" fillId="0" borderId="0" xfId="0" applyNumberFormat="1" applyBorder="1"/>
    <xf numFmtId="9" fontId="0" fillId="0" borderId="0" xfId="38" applyFont="1" applyBorder="1"/>
    <xf numFmtId="0" fontId="16" fillId="0" borderId="0" xfId="37" applyFont="1" applyFill="1" applyBorder="1"/>
    <xf numFmtId="10" fontId="0" fillId="0" borderId="0" xfId="0" applyNumberFormat="1"/>
    <xf numFmtId="0" fontId="47" fillId="26" borderId="24" xfId="0" applyFont="1" applyFill="1" applyBorder="1"/>
    <xf numFmtId="3" fontId="51" fillId="26" borderId="25" xfId="0" applyNumberFormat="1" applyFont="1" applyFill="1" applyBorder="1" applyAlignment="1">
      <alignment wrapText="1"/>
    </xf>
    <xf numFmtId="3" fontId="50" fillId="26" borderId="26" xfId="0" applyNumberFormat="1" applyFont="1" applyFill="1" applyBorder="1" applyAlignment="1">
      <alignment wrapText="1"/>
    </xf>
    <xf numFmtId="3" fontId="50" fillId="26" borderId="27" xfId="0" applyNumberFormat="1" applyFont="1" applyFill="1" applyBorder="1"/>
    <xf numFmtId="3" fontId="50" fillId="26" borderId="27" xfId="0" applyNumberFormat="1" applyFont="1" applyFill="1" applyBorder="1" applyAlignment="1">
      <alignment wrapText="1"/>
    </xf>
    <xf numFmtId="3" fontId="50" fillId="26" borderId="28" xfId="0" applyNumberFormat="1" applyFont="1" applyFill="1" applyBorder="1"/>
    <xf numFmtId="0" fontId="6" fillId="0" borderId="0" xfId="0" applyFont="1" applyFill="1"/>
    <xf numFmtId="0" fontId="16" fillId="0" borderId="0" xfId="0" applyFont="1" applyBorder="1"/>
    <xf numFmtId="0" fontId="0" fillId="0" borderId="10" xfId="0" applyFill="1" applyBorder="1" applyProtection="1"/>
    <xf numFmtId="0" fontId="0" fillId="0" borderId="0" xfId="0" applyFont="1" applyFill="1"/>
    <xf numFmtId="0" fontId="0" fillId="0" borderId="0" xfId="0" pivotButton="1"/>
    <xf numFmtId="0" fontId="6" fillId="0" borderId="0" xfId="0" applyFont="1" applyBorder="1"/>
    <xf numFmtId="3" fontId="6" fillId="0" borderId="0" xfId="0" applyNumberFormat="1" applyFont="1" applyBorder="1"/>
    <xf numFmtId="3" fontId="6" fillId="0" borderId="0" xfId="0" applyNumberFormat="1" applyFont="1" applyFill="1" applyBorder="1"/>
    <xf numFmtId="0" fontId="6" fillId="0" borderId="21" xfId="0" applyFont="1" applyBorder="1"/>
    <xf numFmtId="0" fontId="8" fillId="0" borderId="0" xfId="0" applyFont="1" applyAlignment="1">
      <alignment wrapText="1"/>
    </xf>
    <xf numFmtId="0" fontId="0" fillId="0" borderId="32" xfId="0" applyBorder="1"/>
    <xf numFmtId="171" fontId="0" fillId="0" borderId="0" xfId="0" applyNumberFormat="1" applyBorder="1"/>
    <xf numFmtId="0" fontId="8" fillId="0" borderId="33" xfId="0" applyFont="1" applyBorder="1" applyAlignment="1">
      <alignment wrapText="1"/>
    </xf>
    <xf numFmtId="0" fontId="8" fillId="0" borderId="34" xfId="0" applyFont="1" applyBorder="1"/>
    <xf numFmtId="0" fontId="8" fillId="0" borderId="30" xfId="0" applyFont="1" applyBorder="1"/>
    <xf numFmtId="0" fontId="0" fillId="0" borderId="29" xfId="0" applyBorder="1"/>
    <xf numFmtId="0" fontId="0" fillId="0" borderId="30" xfId="0" applyBorder="1"/>
    <xf numFmtId="0" fontId="39" fillId="0" borderId="16" xfId="0" applyFont="1" applyBorder="1"/>
    <xf numFmtId="0" fontId="39" fillId="0" borderId="33" xfId="0" applyFont="1" applyBorder="1"/>
    <xf numFmtId="0" fontId="0" fillId="0" borderId="33" xfId="0" applyBorder="1"/>
    <xf numFmtId="0" fontId="0" fillId="0" borderId="34" xfId="0" applyBorder="1"/>
    <xf numFmtId="0" fontId="6" fillId="0" borderId="29" xfId="0" applyFont="1" applyBorder="1"/>
    <xf numFmtId="0" fontId="0" fillId="0" borderId="0" xfId="0" applyBorder="1" applyAlignment="1">
      <alignment horizontal="left" indent="1"/>
    </xf>
    <xf numFmtId="0" fontId="0" fillId="0" borderId="31" xfId="0" applyBorder="1"/>
    <xf numFmtId="0" fontId="10" fillId="0" borderId="38" xfId="0" applyFont="1" applyBorder="1" applyProtection="1"/>
    <xf numFmtId="0" fontId="39" fillId="0" borderId="38" xfId="0" applyFont="1" applyBorder="1" applyProtection="1"/>
    <xf numFmtId="0" fontId="12" fillId="0" borderId="13" xfId="0" applyFont="1" applyBorder="1" applyProtection="1"/>
    <xf numFmtId="0" fontId="6" fillId="0" borderId="12" xfId="0" applyFont="1" applyBorder="1" applyProtection="1"/>
    <xf numFmtId="169" fontId="37" fillId="0" borderId="35" xfId="36" applyNumberFormat="1" applyFont="1" applyFill="1" applyBorder="1" applyProtection="1"/>
    <xf numFmtId="0" fontId="8" fillId="0" borderId="17" xfId="0" applyFont="1" applyBorder="1" applyProtection="1"/>
    <xf numFmtId="0" fontId="6" fillId="0" borderId="20" xfId="0" applyFont="1" applyBorder="1" applyAlignment="1" applyProtection="1">
      <alignment horizontal="left" vertical="center" wrapText="1"/>
    </xf>
    <xf numFmtId="0" fontId="6" fillId="0" borderId="22" xfId="0" applyFont="1" applyBorder="1" applyAlignment="1" applyProtection="1">
      <alignment horizontal="left" vertical="center" wrapText="1"/>
    </xf>
    <xf numFmtId="171" fontId="8" fillId="0" borderId="17" xfId="0" applyNumberFormat="1" applyFont="1" applyBorder="1"/>
    <xf numFmtId="3" fontId="0" fillId="0" borderId="31" xfId="0" applyNumberFormat="1" applyBorder="1"/>
    <xf numFmtId="0" fontId="6" fillId="0" borderId="0" xfId="0" applyFont="1" applyBorder="1" applyProtection="1"/>
    <xf numFmtId="49" fontId="36" fillId="0" borderId="0" xfId="34" applyNumberFormat="1" applyFont="1" applyFill="1" applyAlignment="1">
      <alignment horizontal="left" vertical="center" wrapText="1"/>
    </xf>
    <xf numFmtId="49" fontId="36" fillId="0" borderId="0" xfId="34" applyNumberFormat="1" applyFont="1" applyFill="1" applyAlignment="1">
      <alignment vertical="center" wrapText="1"/>
    </xf>
    <xf numFmtId="0" fontId="36" fillId="0" borderId="0" xfId="34" applyFont="1" applyFill="1" applyAlignment="1">
      <alignment vertical="center" wrapText="1"/>
    </xf>
    <xf numFmtId="0" fontId="54" fillId="0" borderId="0" xfId="0" applyFont="1" applyFill="1" applyProtection="1"/>
    <xf numFmtId="0" fontId="0" fillId="0" borderId="35" xfId="0" applyBorder="1"/>
    <xf numFmtId="0" fontId="0" fillId="0" borderId="40" xfId="0" applyBorder="1"/>
    <xf numFmtId="3" fontId="37" fillId="0" borderId="0" xfId="36" applyNumberFormat="1" applyFont="1" applyFill="1" applyBorder="1" applyProtection="1"/>
    <xf numFmtId="3" fontId="50" fillId="26" borderId="44" xfId="0" applyNumberFormat="1" applyFont="1" applyFill="1" applyBorder="1"/>
    <xf numFmtId="3" fontId="50" fillId="26" borderId="45" xfId="0" applyNumberFormat="1" applyFont="1" applyFill="1" applyBorder="1" applyAlignment="1">
      <alignment wrapText="1"/>
    </xf>
    <xf numFmtId="0" fontId="47" fillId="26" borderId="46" xfId="0" applyFont="1" applyFill="1" applyBorder="1"/>
    <xf numFmtId="0" fontId="0" fillId="0" borderId="0" xfId="0" applyFill="1" applyAlignment="1">
      <alignment wrapText="1"/>
    </xf>
    <xf numFmtId="0" fontId="6" fillId="0" borderId="47" xfId="0" applyFont="1" applyBorder="1"/>
    <xf numFmtId="0" fontId="0" fillId="0" borderId="48" xfId="0" applyBorder="1"/>
    <xf numFmtId="171" fontId="0" fillId="0" borderId="36" xfId="0" applyNumberFormat="1" applyBorder="1"/>
    <xf numFmtId="171" fontId="0" fillId="0" borderId="31" xfId="0" applyNumberFormat="1" applyBorder="1"/>
    <xf numFmtId="171" fontId="0" fillId="0" borderId="37" xfId="0" applyNumberFormat="1" applyBorder="1"/>
    <xf numFmtId="171" fontId="0" fillId="0" borderId="51" xfId="0" applyNumberFormat="1" applyBorder="1"/>
    <xf numFmtId="171" fontId="0" fillId="0" borderId="33" xfId="0" applyNumberFormat="1" applyBorder="1"/>
    <xf numFmtId="171" fontId="0" fillId="0" borderId="52" xfId="0" applyNumberFormat="1" applyBorder="1"/>
    <xf numFmtId="3" fontId="0" fillId="0" borderId="33" xfId="0" applyNumberFormat="1" applyBorder="1"/>
    <xf numFmtId="3" fontId="0" fillId="0" borderId="48" xfId="0" applyNumberFormat="1" applyBorder="1"/>
    <xf numFmtId="3" fontId="0" fillId="0" borderId="49" xfId="0" applyNumberFormat="1" applyBorder="1"/>
    <xf numFmtId="3" fontId="8" fillId="0" borderId="0" xfId="0" applyNumberFormat="1" applyFont="1" applyBorder="1"/>
    <xf numFmtId="3" fontId="0" fillId="0" borderId="37" xfId="0" applyNumberFormat="1" applyBorder="1"/>
    <xf numFmtId="0" fontId="8" fillId="0" borderId="0" xfId="0" applyFont="1" applyBorder="1" applyAlignment="1">
      <alignment wrapText="1"/>
    </xf>
    <xf numFmtId="168" fontId="0" fillId="0" borderId="33" xfId="0" applyNumberFormat="1" applyBorder="1"/>
    <xf numFmtId="168" fontId="0" fillId="0" borderId="0" xfId="0" applyNumberFormat="1" applyBorder="1"/>
    <xf numFmtId="168" fontId="8" fillId="0" borderId="0" xfId="0" applyNumberFormat="1" applyFont="1" applyBorder="1"/>
    <xf numFmtId="0" fontId="8" fillId="0" borderId="16" xfId="0" applyFont="1" applyBorder="1"/>
    <xf numFmtId="0" fontId="8" fillId="0" borderId="33" xfId="0" applyFont="1" applyBorder="1"/>
    <xf numFmtId="0" fontId="8" fillId="0" borderId="51" xfId="0" applyFont="1" applyBorder="1"/>
    <xf numFmtId="3" fontId="8" fillId="0" borderId="33" xfId="0" applyNumberFormat="1" applyFont="1" applyBorder="1"/>
    <xf numFmtId="3" fontId="8" fillId="0" borderId="52" xfId="0" applyNumberFormat="1" applyFont="1" applyBorder="1"/>
    <xf numFmtId="168" fontId="8" fillId="0" borderId="33" xfId="0" applyNumberFormat="1" applyFont="1" applyBorder="1"/>
    <xf numFmtId="3" fontId="0" fillId="0" borderId="30" xfId="0" applyNumberFormat="1" applyBorder="1"/>
    <xf numFmtId="168" fontId="0" fillId="0" borderId="31" xfId="0" applyNumberFormat="1" applyBorder="1"/>
    <xf numFmtId="171" fontId="0" fillId="0" borderId="40" xfId="0" applyNumberFormat="1" applyBorder="1"/>
    <xf numFmtId="171" fontId="8" fillId="0" borderId="41" xfId="0" applyNumberFormat="1" applyFont="1" applyBorder="1"/>
    <xf numFmtId="171" fontId="8" fillId="0" borderId="50" xfId="0" applyNumberFormat="1" applyFont="1" applyBorder="1"/>
    <xf numFmtId="168" fontId="8" fillId="0" borderId="50" xfId="0" applyNumberFormat="1" applyFont="1" applyBorder="1"/>
    <xf numFmtId="3" fontId="8" fillId="0" borderId="50" xfId="0" applyNumberFormat="1" applyFont="1" applyBorder="1"/>
    <xf numFmtId="0" fontId="8" fillId="0" borderId="17" xfId="0" applyFont="1" applyBorder="1"/>
    <xf numFmtId="171" fontId="8" fillId="0" borderId="53" xfId="0" applyNumberFormat="1" applyFont="1" applyBorder="1"/>
    <xf numFmtId="3" fontId="8" fillId="0" borderId="53" xfId="0" applyNumberFormat="1" applyFont="1" applyBorder="1"/>
    <xf numFmtId="0" fontId="6" fillId="0" borderId="43" xfId="0" applyFont="1" applyBorder="1"/>
    <xf numFmtId="0" fontId="0" fillId="0" borderId="42" xfId="0" applyBorder="1"/>
    <xf numFmtId="168" fontId="0" fillId="0" borderId="42" xfId="0" applyNumberFormat="1" applyBorder="1"/>
    <xf numFmtId="168" fontId="0" fillId="0" borderId="54" xfId="0" applyNumberFormat="1" applyBorder="1"/>
    <xf numFmtId="3" fontId="8" fillId="0" borderId="55" xfId="0" applyNumberFormat="1" applyFont="1" applyBorder="1"/>
    <xf numFmtId="171" fontId="8" fillId="0" borderId="18" xfId="0" applyNumberFormat="1" applyFont="1" applyBorder="1"/>
    <xf numFmtId="3" fontId="8" fillId="0" borderId="18" xfId="0" applyNumberFormat="1" applyFont="1" applyBorder="1"/>
    <xf numFmtId="3" fontId="8" fillId="0" borderId="56" xfId="0" applyNumberFormat="1" applyFont="1" applyBorder="1"/>
    <xf numFmtId="171" fontId="0" fillId="0" borderId="34" xfId="0" applyNumberFormat="1" applyBorder="1"/>
    <xf numFmtId="0" fontId="0" fillId="0" borderId="36" xfId="0" applyBorder="1"/>
    <xf numFmtId="0" fontId="0" fillId="0" borderId="37" xfId="0" applyBorder="1"/>
    <xf numFmtId="168" fontId="8" fillId="0" borderId="34" xfId="0" applyNumberFormat="1" applyFont="1" applyBorder="1"/>
    <xf numFmtId="168" fontId="0" fillId="0" borderId="30" xfId="0" applyNumberFormat="1" applyBorder="1"/>
    <xf numFmtId="168" fontId="0" fillId="0" borderId="40" xfId="0" applyNumberFormat="1" applyBorder="1"/>
    <xf numFmtId="168" fontId="8" fillId="0" borderId="30" xfId="0" applyNumberFormat="1" applyFont="1" applyBorder="1"/>
    <xf numFmtId="0" fontId="11" fillId="0" borderId="17" xfId="0" applyFont="1" applyBorder="1"/>
    <xf numFmtId="0" fontId="11" fillId="0" borderId="20" xfId="0" applyFont="1" applyBorder="1"/>
    <xf numFmtId="171" fontId="12" fillId="0" borderId="0" xfId="0" applyNumberFormat="1" applyFont="1" applyProtection="1"/>
    <xf numFmtId="171" fontId="37" fillId="0" borderId="39" xfId="36" applyNumberFormat="1" applyFont="1" applyFill="1" applyBorder="1" applyProtection="1"/>
    <xf numFmtId="171" fontId="38" fillId="24" borderId="15" xfId="36" applyNumberFormat="1" applyFont="1" applyFill="1" applyBorder="1" applyProtection="1"/>
    <xf numFmtId="0" fontId="0" fillId="0" borderId="0" xfId="0" pivotButton="1" applyAlignment="1">
      <alignment wrapText="1"/>
    </xf>
    <xf numFmtId="0" fontId="0" fillId="0" borderId="0" xfId="0" applyFill="1" applyBorder="1"/>
    <xf numFmtId="168" fontId="0" fillId="0" borderId="0" xfId="0" applyNumberFormat="1" applyFill="1" applyBorder="1"/>
    <xf numFmtId="49" fontId="36" fillId="0" borderId="0" xfId="34" applyNumberFormat="1" applyFont="1" applyFill="1" applyAlignment="1" applyProtection="1">
      <alignment vertical="center" wrapText="1"/>
      <protection locked="0"/>
    </xf>
    <xf numFmtId="165" fontId="36" fillId="0" borderId="0" xfId="34" applyNumberFormat="1" applyFont="1" applyFill="1" applyAlignment="1" applyProtection="1">
      <alignment horizontal="right" vertical="center" wrapText="1"/>
      <protection locked="0"/>
    </xf>
    <xf numFmtId="49" fontId="36" fillId="0" borderId="0" xfId="34" applyNumberFormat="1" applyFont="1" applyFill="1" applyAlignment="1" applyProtection="1">
      <alignment horizontal="left" vertical="center" wrapText="1"/>
      <protection locked="0"/>
    </xf>
    <xf numFmtId="0" fontId="36" fillId="0" borderId="0" xfId="34" applyFont="1" applyFill="1" applyBorder="1" applyAlignment="1" applyProtection="1">
      <alignment vertical="center" wrapText="1"/>
      <protection locked="0"/>
    </xf>
    <xf numFmtId="3" fontId="36" fillId="0" borderId="0" xfId="34" applyNumberFormat="1" applyFont="1" applyFill="1" applyBorder="1" applyAlignment="1" applyProtection="1">
      <alignment horizontal="right" vertical="center" wrapText="1"/>
      <protection locked="0"/>
    </xf>
    <xf numFmtId="0" fontId="36" fillId="0" borderId="0" xfId="34" applyNumberFormat="1" applyFont="1" applyFill="1" applyAlignment="1" applyProtection="1">
      <alignment horizontal="left" vertical="center" wrapText="1"/>
      <protection locked="0"/>
    </xf>
    <xf numFmtId="166" fontId="36" fillId="0" borderId="0" xfId="34" applyNumberFormat="1" applyFont="1" applyFill="1" applyAlignment="1" applyProtection="1">
      <alignment horizontal="left" vertical="center" wrapText="1"/>
      <protection locked="0"/>
    </xf>
    <xf numFmtId="2" fontId="36" fillId="0" borderId="0" xfId="34" applyNumberFormat="1" applyFont="1" applyFill="1" applyAlignment="1" applyProtection="1">
      <alignment horizontal="right" vertical="center" wrapText="1"/>
      <protection locked="0"/>
    </xf>
    <xf numFmtId="0" fontId="36" fillId="0" borderId="0" xfId="34" applyFont="1" applyFill="1" applyAlignment="1" applyProtection="1">
      <alignment vertical="center" wrapText="1"/>
      <protection locked="0"/>
    </xf>
    <xf numFmtId="3" fontId="36" fillId="0" borderId="0" xfId="34" applyNumberFormat="1" applyFont="1" applyFill="1" applyAlignment="1" applyProtection="1">
      <alignment vertical="center" wrapText="1"/>
      <protection locked="0"/>
    </xf>
    <xf numFmtId="0" fontId="8" fillId="0" borderId="0" xfId="0" applyFont="1" applyFill="1" applyAlignment="1" applyProtection="1">
      <alignment vertical="center" wrapText="1"/>
      <protection locked="0"/>
    </xf>
    <xf numFmtId="0" fontId="43" fillId="0" borderId="0" xfId="0" applyFont="1" applyFill="1" applyAlignment="1" applyProtection="1">
      <alignment vertical="center" wrapText="1"/>
      <protection locked="0"/>
    </xf>
    <xf numFmtId="0" fontId="44" fillId="0" borderId="39" xfId="0" applyFont="1" applyFill="1" applyBorder="1" applyAlignment="1" applyProtection="1">
      <alignment horizontal="center"/>
    </xf>
    <xf numFmtId="0" fontId="44" fillId="25" borderId="58" xfId="0" applyFont="1" applyFill="1" applyBorder="1" applyAlignment="1" applyProtection="1">
      <alignment horizontal="center"/>
      <protection locked="0"/>
    </xf>
    <xf numFmtId="0" fontId="0" fillId="31" borderId="0" xfId="0" applyFill="1"/>
    <xf numFmtId="171" fontId="0" fillId="32" borderId="0" xfId="0" applyNumberFormat="1" applyFill="1"/>
    <xf numFmtId="0" fontId="11" fillId="0" borderId="35" xfId="0" applyFont="1" applyBorder="1" applyProtection="1"/>
    <xf numFmtId="0" fontId="6" fillId="0" borderId="0" xfId="0" applyFont="1" applyFill="1" applyBorder="1"/>
    <xf numFmtId="0" fontId="8" fillId="0" borderId="62" xfId="0" applyFont="1" applyBorder="1"/>
    <xf numFmtId="0" fontId="8" fillId="0" borderId="60" xfId="0" applyFont="1" applyBorder="1"/>
    <xf numFmtId="0" fontId="8" fillId="0" borderId="61" xfId="0" applyFont="1" applyBorder="1"/>
    <xf numFmtId="171" fontId="0" fillId="0" borderId="0" xfId="0" applyNumberFormat="1" applyFill="1" applyBorder="1"/>
    <xf numFmtId="168" fontId="6" fillId="0" borderId="0" xfId="0" applyNumberFormat="1" applyFont="1" applyFill="1" applyBorder="1"/>
    <xf numFmtId="171" fontId="0" fillId="0" borderId="59" xfId="0" applyNumberFormat="1" applyBorder="1"/>
    <xf numFmtId="3" fontId="0" fillId="0" borderId="63" xfId="0" applyNumberFormat="1" applyBorder="1"/>
    <xf numFmtId="0" fontId="8" fillId="0" borderId="59" xfId="0" applyFont="1" applyBorder="1"/>
    <xf numFmtId="3" fontId="8" fillId="0" borderId="63" xfId="0" applyNumberFormat="1" applyFont="1" applyBorder="1"/>
    <xf numFmtId="0" fontId="62" fillId="0" borderId="0" xfId="0" applyFont="1" applyBorder="1"/>
    <xf numFmtId="0" fontId="0" fillId="0" borderId="59" xfId="0" applyBorder="1"/>
    <xf numFmtId="0" fontId="0" fillId="29" borderId="0" xfId="0" applyFill="1"/>
    <xf numFmtId="164" fontId="0" fillId="0" borderId="0" xfId="85" applyFont="1" applyFill="1"/>
    <xf numFmtId="0" fontId="8" fillId="0" borderId="0" xfId="0" applyFont="1" applyFill="1" applyBorder="1"/>
    <xf numFmtId="164" fontId="0" fillId="0" borderId="0" xfId="85" applyFont="1" applyFill="1" applyBorder="1"/>
    <xf numFmtId="166" fontId="0" fillId="0" borderId="0" xfId="0" applyNumberFormat="1"/>
    <xf numFmtId="0" fontId="16" fillId="0" borderId="0" xfId="36" applyBorder="1"/>
    <xf numFmtId="0" fontId="59" fillId="0" borderId="38" xfId="0" applyFont="1" applyBorder="1" applyProtection="1"/>
    <xf numFmtId="0" fontId="59" fillId="0" borderId="57" xfId="0" applyFont="1" applyBorder="1" applyProtection="1"/>
    <xf numFmtId="2" fontId="0" fillId="0" borderId="0" xfId="0" applyNumberFormat="1" applyFill="1"/>
    <xf numFmtId="3" fontId="45" fillId="0" borderId="0" xfId="0" applyNumberFormat="1" applyFont="1" applyFill="1" applyBorder="1" applyAlignment="1">
      <alignment wrapText="1"/>
    </xf>
    <xf numFmtId="3" fontId="45" fillId="0" borderId="0" xfId="0" applyNumberFormat="1" applyFont="1" applyFill="1" applyBorder="1"/>
    <xf numFmtId="0" fontId="8" fillId="0" borderId="65" xfId="0" applyFont="1" applyFill="1" applyBorder="1" applyProtection="1"/>
    <xf numFmtId="173" fontId="0" fillId="0" borderId="0" xfId="0" applyNumberFormat="1"/>
    <xf numFmtId="0" fontId="0" fillId="30" borderId="0" xfId="0" applyFill="1"/>
    <xf numFmtId="166" fontId="0" fillId="30" borderId="0" xfId="0" applyNumberFormat="1" applyFill="1"/>
    <xf numFmtId="0" fontId="43" fillId="30" borderId="0" xfId="0" applyFont="1" applyFill="1"/>
    <xf numFmtId="0" fontId="6" fillId="30" borderId="0" xfId="0" applyFont="1" applyFill="1"/>
    <xf numFmtId="9" fontId="0" fillId="30" borderId="0" xfId="0" applyNumberFormat="1" applyFill="1"/>
    <xf numFmtId="0" fontId="0" fillId="30" borderId="0" xfId="0" applyNumberFormat="1" applyFill="1"/>
    <xf numFmtId="2" fontId="0" fillId="30" borderId="0" xfId="0" applyNumberFormat="1" applyFill="1"/>
    <xf numFmtId="2" fontId="17" fillId="30" borderId="0" xfId="0" applyNumberFormat="1" applyFont="1" applyFill="1" applyAlignment="1">
      <alignment horizontal="right"/>
    </xf>
    <xf numFmtId="3" fontId="0" fillId="30" borderId="0" xfId="0" applyNumberFormat="1" applyFill="1"/>
    <xf numFmtId="4" fontId="0" fillId="30" borderId="0" xfId="0" applyNumberFormat="1" applyFill="1"/>
    <xf numFmtId="0" fontId="47" fillId="26" borderId="67" xfId="0" applyFont="1" applyFill="1" applyBorder="1"/>
    <xf numFmtId="0" fontId="47" fillId="26" borderId="68" xfId="0" applyFont="1" applyFill="1" applyBorder="1"/>
    <xf numFmtId="0" fontId="43" fillId="26" borderId="67" xfId="0" applyFont="1" applyFill="1" applyBorder="1"/>
    <xf numFmtId="0" fontId="43" fillId="26" borderId="68" xfId="0" applyFont="1" applyFill="1" applyBorder="1"/>
    <xf numFmtId="3" fontId="52" fillId="28" borderId="65" xfId="0" applyNumberFormat="1" applyFont="1" applyFill="1" applyBorder="1"/>
    <xf numFmtId="3" fontId="52" fillId="28" borderId="69" xfId="0" applyNumberFormat="1" applyFont="1" applyFill="1" applyBorder="1"/>
    <xf numFmtId="0" fontId="49" fillId="26" borderId="67" xfId="0" applyFont="1" applyFill="1" applyBorder="1"/>
    <xf numFmtId="0" fontId="49" fillId="26" borderId="68" xfId="0" applyFont="1" applyFill="1" applyBorder="1"/>
    <xf numFmtId="167" fontId="0" fillId="0" borderId="0" xfId="0" applyNumberFormat="1" applyFill="1"/>
    <xf numFmtId="4" fontId="0" fillId="0" borderId="0" xfId="0" applyNumberFormat="1" applyFill="1"/>
    <xf numFmtId="0" fontId="0" fillId="0" borderId="0" xfId="0" applyFill="1" applyAlignment="1">
      <alignment horizontal="left"/>
    </xf>
    <xf numFmtId="0" fontId="6" fillId="0" borderId="0" xfId="0" applyFont="1" applyFill="1" applyAlignment="1">
      <alignment horizontal="left"/>
    </xf>
    <xf numFmtId="0" fontId="18" fillId="29" borderId="0" xfId="0" applyFont="1" applyFill="1" applyBorder="1"/>
    <xf numFmtId="3" fontId="0" fillId="0" borderId="0" xfId="0" applyNumberFormat="1" applyFill="1" applyBorder="1"/>
    <xf numFmtId="0" fontId="53" fillId="0" borderId="0" xfId="48" applyAlignment="1" applyProtection="1">
      <alignment vertical="center"/>
    </xf>
    <xf numFmtId="0" fontId="43" fillId="0" borderId="0" xfId="0" applyFont="1" applyFill="1" applyBorder="1"/>
    <xf numFmtId="168" fontId="38" fillId="24" borderId="19" xfId="36" applyNumberFormat="1" applyFont="1" applyFill="1" applyBorder="1" applyProtection="1"/>
    <xf numFmtId="168" fontId="38" fillId="0" borderId="19" xfId="36" applyNumberFormat="1" applyFont="1" applyFill="1" applyBorder="1" applyProtection="1"/>
    <xf numFmtId="165" fontId="6" fillId="0" borderId="0" xfId="0" applyNumberFormat="1" applyFont="1" applyProtection="1"/>
    <xf numFmtId="171" fontId="6" fillId="0" borderId="0" xfId="0" applyNumberFormat="1" applyFont="1" applyProtection="1"/>
    <xf numFmtId="168" fontId="15" fillId="24" borderId="15" xfId="36" applyNumberFormat="1" applyFont="1" applyFill="1" applyBorder="1" applyProtection="1"/>
    <xf numFmtId="0" fontId="53" fillId="0" borderId="0" xfId="48" applyAlignment="1" applyProtection="1"/>
    <xf numFmtId="0" fontId="8" fillId="0" borderId="70" xfId="0" applyFont="1" applyBorder="1"/>
    <xf numFmtId="49" fontId="6" fillId="0" borderId="70" xfId="0" applyNumberFormat="1" applyFont="1" applyBorder="1"/>
    <xf numFmtId="0" fontId="6" fillId="0" borderId="70" xfId="36" applyFont="1" applyFill="1" applyBorder="1"/>
    <xf numFmtId="49" fontId="46" fillId="0" borderId="70" xfId="0" applyNumberFormat="1" applyFont="1" applyBorder="1"/>
    <xf numFmtId="49" fontId="6" fillId="0" borderId="70" xfId="36" applyNumberFormat="1" applyFont="1" applyBorder="1"/>
    <xf numFmtId="0" fontId="6" fillId="0" borderId="70" xfId="36" applyFont="1" applyBorder="1"/>
    <xf numFmtId="49" fontId="6" fillId="0" borderId="70" xfId="36" applyNumberFormat="1" applyFont="1" applyFill="1" applyBorder="1"/>
    <xf numFmtId="0" fontId="6" fillId="0" borderId="0" xfId="36" applyFont="1" applyBorder="1"/>
    <xf numFmtId="0" fontId="0" fillId="0" borderId="72" xfId="0" applyFill="1" applyBorder="1" applyProtection="1"/>
    <xf numFmtId="2" fontId="0" fillId="0" borderId="0" xfId="0" applyNumberFormat="1"/>
    <xf numFmtId="0" fontId="0" fillId="0" borderId="72" xfId="0" applyFont="1" applyBorder="1"/>
    <xf numFmtId="0" fontId="0" fillId="34" borderId="0" xfId="0" applyFill="1"/>
    <xf numFmtId="0" fontId="61" fillId="0" borderId="72" xfId="0" applyFont="1" applyFill="1" applyBorder="1"/>
    <xf numFmtId="0" fontId="61" fillId="0" borderId="72" xfId="0" applyFont="1" applyBorder="1"/>
    <xf numFmtId="0" fontId="0" fillId="0" borderId="72" xfId="0" applyFill="1" applyBorder="1"/>
    <xf numFmtId="0" fontId="0" fillId="0" borderId="74" xfId="0" applyBorder="1"/>
    <xf numFmtId="0" fontId="0" fillId="0" borderId="75" xfId="0" applyBorder="1"/>
    <xf numFmtId="0" fontId="0" fillId="0" borderId="71" xfId="0" applyBorder="1"/>
    <xf numFmtId="0" fontId="0" fillId="0" borderId="64" xfId="0" applyBorder="1"/>
    <xf numFmtId="171" fontId="0" fillId="0" borderId="73" xfId="87" applyNumberFormat="1" applyFont="1" applyBorder="1" applyAlignment="1">
      <alignment horizontal="left" indent="1"/>
    </xf>
    <xf numFmtId="171" fontId="0" fillId="0" borderId="71" xfId="0" applyNumberFormat="1" applyBorder="1" applyAlignment="1">
      <alignment horizontal="left" indent="1"/>
    </xf>
    <xf numFmtId="171" fontId="0" fillId="0" borderId="64" xfId="0" applyNumberFormat="1" applyBorder="1"/>
    <xf numFmtId="0" fontId="0" fillId="0" borderId="76" xfId="0" applyBorder="1" applyAlignment="1">
      <alignment horizontal="left" indent="1"/>
    </xf>
    <xf numFmtId="0" fontId="0" fillId="0" borderId="72" xfId="0" applyFill="1" applyBorder="1" applyAlignment="1">
      <alignment horizontal="left"/>
    </xf>
    <xf numFmtId="0" fontId="43" fillId="0" borderId="72" xfId="0" applyFont="1" applyFill="1" applyBorder="1"/>
    <xf numFmtId="168" fontId="6" fillId="34" borderId="77" xfId="0" applyNumberFormat="1" applyFont="1" applyFill="1" applyBorder="1"/>
    <xf numFmtId="168" fontId="6" fillId="34" borderId="78" xfId="0" applyNumberFormat="1" applyFont="1" applyFill="1" applyBorder="1"/>
    <xf numFmtId="0" fontId="0" fillId="0" borderId="0" xfId="0" applyAlignment="1">
      <alignment wrapText="1"/>
    </xf>
    <xf numFmtId="0" fontId="0" fillId="0" borderId="72" xfId="0" applyBorder="1"/>
    <xf numFmtId="10" fontId="0" fillId="0" borderId="0" xfId="0" applyNumberFormat="1" applyFill="1"/>
    <xf numFmtId="10" fontId="0" fillId="0" borderId="0" xfId="38" applyNumberFormat="1" applyFont="1" applyFill="1"/>
    <xf numFmtId="0" fontId="6" fillId="0" borderId="72" xfId="0" applyFont="1" applyFill="1" applyBorder="1" applyProtection="1"/>
    <xf numFmtId="0" fontId="6" fillId="0" borderId="72" xfId="0" applyFont="1" applyFill="1" applyBorder="1" applyAlignment="1">
      <alignment horizontal="left"/>
    </xf>
    <xf numFmtId="49" fontId="6" fillId="0" borderId="72" xfId="36" applyNumberFormat="1" applyFont="1" applyFill="1" applyBorder="1"/>
    <xf numFmtId="0" fontId="6" fillId="0" borderId="72" xfId="36" applyFont="1" applyBorder="1"/>
    <xf numFmtId="165" fontId="0" fillId="0" borderId="0" xfId="0" applyNumberFormat="1"/>
    <xf numFmtId="171" fontId="0" fillId="0" borderId="71" xfId="0" applyNumberFormat="1" applyBorder="1"/>
    <xf numFmtId="171" fontId="8" fillId="0" borderId="64" xfId="0" applyNumberFormat="1" applyFont="1" applyBorder="1"/>
    <xf numFmtId="171" fontId="8" fillId="0" borderId="37" xfId="0" applyNumberFormat="1" applyFont="1" applyBorder="1"/>
    <xf numFmtId="168" fontId="8" fillId="0" borderId="82" xfId="0" applyNumberFormat="1" applyFont="1" applyBorder="1"/>
    <xf numFmtId="171" fontId="8" fillId="0" borderId="20" xfId="0" applyNumberFormat="1" applyFont="1" applyBorder="1"/>
    <xf numFmtId="0" fontId="68" fillId="0" borderId="0" xfId="0" applyFont="1" applyFill="1" applyBorder="1" applyAlignment="1">
      <alignment wrapText="1"/>
    </xf>
    <xf numFmtId="171" fontId="11" fillId="0" borderId="41" xfId="0" applyNumberFormat="1" applyFont="1" applyBorder="1"/>
    <xf numFmtId="171" fontId="11" fillId="0" borderId="50" xfId="0" applyNumberFormat="1" applyFont="1" applyBorder="1"/>
    <xf numFmtId="168" fontId="11" fillId="0" borderId="50" xfId="0" applyNumberFormat="1" applyFont="1" applyBorder="1"/>
    <xf numFmtId="168" fontId="11" fillId="0" borderId="82" xfId="0" applyNumberFormat="1" applyFont="1" applyBorder="1"/>
    <xf numFmtId="0" fontId="6" fillId="34" borderId="0" xfId="0" applyFont="1" applyFill="1"/>
    <xf numFmtId="2" fontId="6" fillId="0" borderId="0" xfId="0" applyNumberFormat="1" applyFont="1" applyFill="1" applyAlignment="1">
      <alignment horizontal="right"/>
    </xf>
    <xf numFmtId="0" fontId="0" fillId="32" borderId="0" xfId="0" applyFill="1" applyAlignment="1">
      <alignment wrapText="1"/>
    </xf>
    <xf numFmtId="166" fontId="36" fillId="0" borderId="0" xfId="34" applyNumberFormat="1" applyFont="1" applyFill="1" applyAlignment="1" applyProtection="1">
      <alignment horizontal="center" vertical="center" wrapText="1"/>
      <protection locked="0"/>
    </xf>
    <xf numFmtId="0" fontId="0" fillId="34" borderId="0" xfId="0" applyFill="1" applyBorder="1"/>
    <xf numFmtId="0" fontId="0" fillId="0" borderId="0" xfId="0" applyFont="1" applyFill="1" applyAlignment="1">
      <alignment horizontal="left"/>
    </xf>
    <xf numFmtId="171" fontId="8" fillId="0" borderId="0" xfId="0" applyNumberFormat="1" applyFont="1" applyFill="1" applyBorder="1" applyAlignment="1">
      <alignment horizontal="center" wrapText="1"/>
    </xf>
    <xf numFmtId="3" fontId="46" fillId="27" borderId="72" xfId="0" applyNumberFormat="1" applyFont="1" applyFill="1" applyBorder="1"/>
    <xf numFmtId="3" fontId="46" fillId="27" borderId="79" xfId="0" applyNumberFormat="1" applyFont="1" applyFill="1" applyBorder="1"/>
    <xf numFmtId="3" fontId="46" fillId="27" borderId="83" xfId="0" applyNumberFormat="1" applyFont="1" applyFill="1" applyBorder="1"/>
    <xf numFmtId="3" fontId="48" fillId="0" borderId="72" xfId="0" applyNumberFormat="1" applyFont="1" applyFill="1" applyBorder="1" applyAlignment="1">
      <alignment wrapText="1"/>
    </xf>
    <xf numFmtId="3" fontId="48" fillId="0" borderId="79" xfId="0" applyNumberFormat="1" applyFont="1" applyFill="1" applyBorder="1" applyAlignment="1">
      <alignment wrapText="1"/>
    </xf>
    <xf numFmtId="3" fontId="48" fillId="0" borderId="83" xfId="0" applyNumberFormat="1" applyFont="1" applyFill="1" applyBorder="1" applyAlignment="1">
      <alignment wrapText="1"/>
    </xf>
    <xf numFmtId="0" fontId="0" fillId="0" borderId="84" xfId="0" applyFill="1" applyBorder="1" applyProtection="1"/>
    <xf numFmtId="0" fontId="0" fillId="0" borderId="72" xfId="0" applyFont="1" applyFill="1" applyBorder="1" applyProtection="1"/>
    <xf numFmtId="0" fontId="61" fillId="0" borderId="72" xfId="0" applyFont="1" applyFill="1" applyBorder="1" applyProtection="1"/>
    <xf numFmtId="0" fontId="6" fillId="0" borderId="72" xfId="0" applyFont="1" applyFill="1" applyBorder="1"/>
    <xf numFmtId="0" fontId="43" fillId="0" borderId="72" xfId="0" applyFont="1" applyFill="1" applyBorder="1" applyProtection="1"/>
    <xf numFmtId="0" fontId="43" fillId="31" borderId="72" xfId="0" applyFont="1" applyFill="1" applyBorder="1"/>
    <xf numFmtId="0" fontId="0" fillId="0" borderId="72" xfId="0" applyFont="1" applyFill="1" applyBorder="1"/>
    <xf numFmtId="0" fontId="3" fillId="0" borderId="72" xfId="0" applyFont="1" applyFill="1" applyBorder="1"/>
    <xf numFmtId="0" fontId="6" fillId="0" borderId="72" xfId="0" applyFont="1" applyFill="1" applyBorder="1" applyAlignment="1" applyProtection="1">
      <alignment horizontal="left"/>
    </xf>
    <xf numFmtId="0" fontId="43" fillId="33" borderId="72" xfId="0" applyFont="1" applyFill="1" applyBorder="1"/>
    <xf numFmtId="0" fontId="6" fillId="35" borderId="72" xfId="0" applyFont="1" applyFill="1" applyBorder="1"/>
    <xf numFmtId="0" fontId="12" fillId="0" borderId="66" xfId="0" applyFont="1" applyBorder="1" applyProtection="1"/>
    <xf numFmtId="168" fontId="10" fillId="0" borderId="64" xfId="0" applyNumberFormat="1" applyFont="1" applyBorder="1" applyProtection="1"/>
    <xf numFmtId="168" fontId="10" fillId="0" borderId="66" xfId="0" applyNumberFormat="1" applyFont="1" applyBorder="1" applyProtection="1"/>
    <xf numFmtId="168" fontId="12" fillId="0" borderId="64" xfId="0" applyNumberFormat="1" applyFont="1" applyBorder="1" applyProtection="1"/>
    <xf numFmtId="168" fontId="12" fillId="0" borderId="66" xfId="0" applyNumberFormat="1" applyFont="1" applyBorder="1" applyProtection="1"/>
    <xf numFmtId="165" fontId="12" fillId="0" borderId="64" xfId="0" applyNumberFormat="1" applyFont="1" applyBorder="1" applyProtection="1"/>
    <xf numFmtId="165" fontId="12" fillId="0" borderId="66" xfId="0" applyNumberFormat="1" applyFont="1" applyBorder="1" applyProtection="1"/>
    <xf numFmtId="0" fontId="12" fillId="0" borderId="84" xfId="0" applyFont="1" applyBorder="1" applyProtection="1"/>
    <xf numFmtId="0" fontId="6" fillId="25" borderId="72" xfId="0" applyFont="1" applyFill="1" applyBorder="1" applyAlignment="1" applyProtection="1">
      <alignment horizontal="right"/>
    </xf>
    <xf numFmtId="0" fontId="6" fillId="0" borderId="0" xfId="0" applyFont="1" applyBorder="1" applyAlignment="1" applyProtection="1">
      <alignment horizontal="left" vertical="center" wrapText="1"/>
    </xf>
    <xf numFmtId="171" fontId="37" fillId="0" borderId="29" xfId="36" applyNumberFormat="1" applyFont="1" applyFill="1" applyBorder="1" applyProtection="1"/>
    <xf numFmtId="0" fontId="11" fillId="0" borderId="81" xfId="0" applyFont="1" applyBorder="1" applyAlignment="1" applyProtection="1"/>
    <xf numFmtId="0" fontId="11" fillId="0" borderId="23" xfId="0" applyFont="1" applyBorder="1" applyAlignment="1"/>
    <xf numFmtId="174" fontId="0" fillId="0" borderId="0" xfId="0" applyNumberFormat="1"/>
    <xf numFmtId="0" fontId="6" fillId="0" borderId="0" xfId="49"/>
    <xf numFmtId="0" fontId="6" fillId="0" borderId="0" xfId="49" applyAlignment="1">
      <alignment wrapText="1"/>
    </xf>
    <xf numFmtId="0" fontId="6" fillId="0" borderId="0" xfId="49" applyBorder="1"/>
    <xf numFmtId="0" fontId="6" fillId="0" borderId="0" xfId="49" applyFill="1"/>
    <xf numFmtId="0" fontId="6" fillId="0" borderId="0" xfId="49" applyFill="1" applyBorder="1"/>
    <xf numFmtId="0" fontId="69" fillId="0" borderId="72" xfId="0" applyFont="1" applyFill="1" applyBorder="1"/>
    <xf numFmtId="0" fontId="13" fillId="0" borderId="0" xfId="0" applyFont="1" applyFill="1" applyAlignment="1">
      <alignment horizontal="left"/>
    </xf>
    <xf numFmtId="1" fontId="0" fillId="0" borderId="0" xfId="0" applyNumberFormat="1" applyFill="1"/>
    <xf numFmtId="166" fontId="0" fillId="0" borderId="0" xfId="0" applyNumberFormat="1" applyFill="1"/>
    <xf numFmtId="49" fontId="8" fillId="0" borderId="0" xfId="34" applyNumberFormat="1" applyFont="1" applyFill="1" applyAlignment="1">
      <alignment vertical="center" wrapText="1"/>
    </xf>
    <xf numFmtId="0" fontId="6" fillId="30" borderId="0" xfId="0" applyFont="1" applyFill="1" applyBorder="1"/>
    <xf numFmtId="0" fontId="0" fillId="0" borderId="85" xfId="0" applyBorder="1"/>
    <xf numFmtId="0" fontId="0" fillId="0" borderId="85" xfId="0" pivotButton="1" applyBorder="1"/>
    <xf numFmtId="0" fontId="0" fillId="0" borderId="86" xfId="0" applyBorder="1"/>
    <xf numFmtId="0" fontId="0" fillId="0" borderId="87" xfId="0" applyBorder="1"/>
    <xf numFmtId="0" fontId="0" fillId="0" borderId="88" xfId="0" applyBorder="1"/>
    <xf numFmtId="0" fontId="0" fillId="0" borderId="89" xfId="0" applyBorder="1"/>
    <xf numFmtId="2" fontId="0" fillId="0" borderId="85" xfId="0" applyNumberFormat="1" applyBorder="1"/>
    <xf numFmtId="2" fontId="0" fillId="0" borderId="88" xfId="0" applyNumberFormat="1" applyBorder="1"/>
    <xf numFmtId="3" fontId="0" fillId="0" borderId="89" xfId="0" applyNumberFormat="1" applyBorder="1"/>
    <xf numFmtId="0" fontId="0" fillId="0" borderId="90" xfId="0" applyBorder="1"/>
    <xf numFmtId="2" fontId="0" fillId="0" borderId="90" xfId="0" applyNumberFormat="1" applyBorder="1"/>
    <xf numFmtId="3" fontId="0" fillId="0" borderId="91" xfId="0" applyNumberFormat="1" applyBorder="1"/>
    <xf numFmtId="0" fontId="0" fillId="0" borderId="92" xfId="0" applyBorder="1"/>
    <xf numFmtId="2" fontId="0" fillId="0" borderId="92" xfId="0" applyNumberFormat="1" applyBorder="1"/>
    <xf numFmtId="2" fontId="0" fillId="0" borderId="93" xfId="0" applyNumberFormat="1" applyBorder="1"/>
    <xf numFmtId="3" fontId="0" fillId="0" borderId="94" xfId="0" applyNumberFormat="1" applyBorder="1"/>
    <xf numFmtId="171" fontId="0" fillId="0" borderId="85" xfId="0" applyNumberFormat="1" applyBorder="1"/>
    <xf numFmtId="171" fontId="0" fillId="0" borderId="88" xfId="0" applyNumberFormat="1" applyBorder="1"/>
    <xf numFmtId="3" fontId="0" fillId="0" borderId="88" xfId="0" applyNumberFormat="1" applyBorder="1"/>
    <xf numFmtId="171" fontId="0" fillId="0" borderId="90" xfId="0" applyNumberFormat="1" applyBorder="1"/>
    <xf numFmtId="171" fontId="0" fillId="0" borderId="92" xfId="0" applyNumberFormat="1" applyBorder="1"/>
    <xf numFmtId="171" fontId="0" fillId="0" borderId="93" xfId="0" applyNumberFormat="1" applyBorder="1"/>
    <xf numFmtId="3" fontId="0" fillId="0" borderId="93" xfId="0" applyNumberFormat="1" applyBorder="1"/>
    <xf numFmtId="0" fontId="6" fillId="0" borderId="95" xfId="0" applyFont="1" applyFill="1" applyBorder="1" applyProtection="1"/>
    <xf numFmtId="0" fontId="0" fillId="0" borderId="95" xfId="0" applyFill="1" applyBorder="1" applyProtection="1"/>
    <xf numFmtId="0" fontId="61" fillId="0" borderId="95" xfId="0" applyFont="1" applyFill="1" applyBorder="1"/>
    <xf numFmtId="0" fontId="0" fillId="0" borderId="95" xfId="0" applyFont="1" applyBorder="1"/>
    <xf numFmtId="0" fontId="0" fillId="0" borderId="95" xfId="0" applyFill="1" applyBorder="1"/>
    <xf numFmtId="0" fontId="61" fillId="0" borderId="95" xfId="0" applyFont="1" applyFill="1" applyBorder="1" applyProtection="1"/>
    <xf numFmtId="0" fontId="61" fillId="0" borderId="64" xfId="0" applyFont="1" applyFill="1" applyBorder="1"/>
    <xf numFmtId="0" fontId="6" fillId="0" borderId="0" xfId="0" applyFont="1" applyFill="1" applyBorder="1" applyAlignment="1">
      <alignment horizontal="left"/>
    </xf>
    <xf numFmtId="3" fontId="0" fillId="34" borderId="0" xfId="0" applyNumberFormat="1" applyFill="1"/>
    <xf numFmtId="0" fontId="0" fillId="0" borderId="96" xfId="0" applyFill="1" applyBorder="1"/>
    <xf numFmtId="0" fontId="0" fillId="0" borderId="96" xfId="0" applyFill="1" applyBorder="1" applyProtection="1"/>
    <xf numFmtId="0" fontId="6" fillId="34" borderId="0" xfId="0" applyFont="1" applyFill="1" applyBorder="1"/>
    <xf numFmtId="0" fontId="61" fillId="0" borderId="96" xfId="0" applyFont="1" applyFill="1" applyBorder="1"/>
    <xf numFmtId="0" fontId="0" fillId="0" borderId="96" xfId="0" applyFont="1" applyBorder="1"/>
    <xf numFmtId="0" fontId="0" fillId="0" borderId="96" xfId="0" applyFont="1" applyFill="1" applyBorder="1" applyProtection="1"/>
    <xf numFmtId="0" fontId="0" fillId="0" borderId="96" xfId="0" applyFill="1" applyBorder="1" applyAlignment="1">
      <alignment horizontal="left"/>
    </xf>
    <xf numFmtId="0" fontId="6" fillId="0" borderId="96" xfId="0" applyFont="1" applyFill="1" applyBorder="1" applyProtection="1"/>
    <xf numFmtId="0" fontId="6" fillId="0" borderId="96" xfId="0" applyFont="1" applyFill="1" applyBorder="1"/>
    <xf numFmtId="0" fontId="61" fillId="0" borderId="0" xfId="0" applyFont="1" applyFill="1" applyBorder="1" applyProtection="1"/>
    <xf numFmtId="0" fontId="13" fillId="34" borderId="0" xfId="0" applyFont="1" applyFill="1"/>
    <xf numFmtId="0" fontId="61" fillId="0" borderId="97" xfId="0" applyFont="1" applyBorder="1"/>
    <xf numFmtId="0" fontId="0" fillId="0" borderId="97" xfId="0" applyFont="1" applyBorder="1"/>
    <xf numFmtId="0" fontId="0" fillId="0" borderId="97" xfId="0" applyFill="1" applyBorder="1" applyProtection="1"/>
    <xf numFmtId="0" fontId="6" fillId="0" borderId="97" xfId="0" applyFont="1" applyFill="1" applyBorder="1" applyProtection="1"/>
    <xf numFmtId="0" fontId="13" fillId="0" borderId="0" xfId="0" applyFont="1" applyFill="1"/>
    <xf numFmtId="0" fontId="61" fillId="0" borderId="97" xfId="0" applyFont="1" applyFill="1" applyBorder="1"/>
    <xf numFmtId="0" fontId="6" fillId="0" borderId="97" xfId="0" applyFont="1" applyFill="1" applyBorder="1" applyAlignment="1">
      <alignment horizontal="left"/>
    </xf>
    <xf numFmtId="0" fontId="0" fillId="0" borderId="97" xfId="0" applyFont="1" applyFill="1" applyBorder="1"/>
    <xf numFmtId="0" fontId="0" fillId="0" borderId="97" xfId="0" applyFill="1" applyBorder="1"/>
    <xf numFmtId="0" fontId="6" fillId="0" borderId="97" xfId="0" applyFont="1" applyFill="1" applyBorder="1"/>
    <xf numFmtId="0" fontId="61" fillId="0" borderId="97" xfId="0" applyFont="1" applyFill="1" applyBorder="1" applyProtection="1"/>
    <xf numFmtId="0" fontId="6" fillId="0" borderId="0" xfId="0" applyFont="1" applyFill="1" applyAlignment="1">
      <alignment wrapText="1"/>
    </xf>
    <xf numFmtId="171" fontId="0" fillId="0" borderId="71" xfId="0" applyNumberFormat="1" applyFill="1" applyBorder="1"/>
    <xf numFmtId="3" fontId="0" fillId="0" borderId="30" xfId="0" applyNumberFormat="1" applyFill="1" applyBorder="1"/>
    <xf numFmtId="0" fontId="61" fillId="0" borderId="98" xfId="0" applyFont="1" applyFill="1" applyBorder="1"/>
    <xf numFmtId="0" fontId="0" fillId="0" borderId="98" xfId="0" applyFont="1" applyBorder="1"/>
    <xf numFmtId="0" fontId="6" fillId="0" borderId="98" xfId="0" applyFont="1" applyFill="1" applyBorder="1"/>
    <xf numFmtId="0" fontId="0" fillId="0" borderId="98" xfId="0" applyFill="1" applyBorder="1" applyProtection="1"/>
    <xf numFmtId="0" fontId="0" fillId="0" borderId="98" xfId="0" applyFill="1" applyBorder="1"/>
    <xf numFmtId="0" fontId="0" fillId="0" borderId="0" xfId="0" applyAlignment="1">
      <alignment wrapText="1"/>
    </xf>
    <xf numFmtId="171" fontId="0" fillId="0" borderId="0" xfId="0" applyNumberFormat="1" applyFill="1"/>
    <xf numFmtId="0" fontId="61" fillId="0" borderId="0" xfId="0" applyFont="1" applyFill="1" applyBorder="1"/>
    <xf numFmtId="0" fontId="6" fillId="0" borderId="0" xfId="0" applyFont="1" applyFill="1" applyBorder="1" applyProtection="1"/>
    <xf numFmtId="0" fontId="0" fillId="0" borderId="0" xfId="0" applyFont="1" applyFill="1" applyBorder="1" applyProtection="1"/>
    <xf numFmtId="0" fontId="6" fillId="0" borderId="98" xfId="0" applyFont="1" applyFill="1" applyBorder="1" applyProtection="1"/>
    <xf numFmtId="0" fontId="1" fillId="0" borderId="98" xfId="0" applyFont="1" applyFill="1" applyBorder="1"/>
    <xf numFmtId="0" fontId="0" fillId="0" borderId="0" xfId="0" applyFont="1" applyFill="1" applyBorder="1"/>
    <xf numFmtId="0" fontId="0" fillId="0" borderId="0" xfId="0" applyAlignment="1">
      <alignment wrapText="1"/>
    </xf>
    <xf numFmtId="0" fontId="6" fillId="0" borderId="0" xfId="0" applyFont="1" applyAlignment="1">
      <alignment wrapText="1"/>
    </xf>
    <xf numFmtId="168" fontId="13" fillId="0" borderId="0" xfId="0" applyNumberFormat="1" applyFont="1"/>
    <xf numFmtId="3" fontId="13" fillId="0" borderId="0" xfId="0" applyNumberFormat="1" applyFont="1"/>
    <xf numFmtId="0" fontId="13" fillId="0" borderId="0" xfId="0" applyFont="1"/>
    <xf numFmtId="168" fontId="0" fillId="29" borderId="0" xfId="0" applyNumberFormat="1" applyFill="1"/>
    <xf numFmtId="168" fontId="37" fillId="0" borderId="19" xfId="36" applyNumberFormat="1" applyFont="1" applyFill="1" applyBorder="1" applyProtection="1"/>
    <xf numFmtId="0" fontId="10" fillId="0" borderId="35" xfId="0" applyFont="1" applyBorder="1" applyProtection="1"/>
    <xf numFmtId="49" fontId="6" fillId="0" borderId="99" xfId="36" applyNumberFormat="1" applyFont="1" applyFill="1" applyBorder="1"/>
    <xf numFmtId="0" fontId="6" fillId="0" borderId="99" xfId="36" applyFont="1" applyBorder="1"/>
    <xf numFmtId="0" fontId="6" fillId="0" borderId="99" xfId="0" applyFont="1" applyFill="1" applyBorder="1" applyProtection="1"/>
    <xf numFmtId="0" fontId="0" fillId="0" borderId="99" xfId="0" applyFill="1" applyBorder="1" applyProtection="1"/>
    <xf numFmtId="0" fontId="61" fillId="0" borderId="99" xfId="0" applyFont="1" applyBorder="1"/>
    <xf numFmtId="0" fontId="0" fillId="0" borderId="99" xfId="0" applyFont="1" applyBorder="1"/>
    <xf numFmtId="0" fontId="6" fillId="0" borderId="99" xfId="0" applyFont="1" applyFill="1" applyBorder="1"/>
    <xf numFmtId="0" fontId="61" fillId="0" borderId="99" xfId="0" applyFont="1" applyFill="1" applyBorder="1"/>
    <xf numFmtId="0" fontId="0" fillId="0" borderId="99" xfId="0" applyFont="1" applyFill="1" applyBorder="1"/>
    <xf numFmtId="0" fontId="61" fillId="0" borderId="99" xfId="0" applyFont="1" applyFill="1" applyBorder="1" applyProtection="1"/>
    <xf numFmtId="0" fontId="0" fillId="0" borderId="101" xfId="0" applyBorder="1"/>
    <xf numFmtId="0" fontId="6" fillId="0" borderId="66" xfId="0" applyFont="1" applyFill="1" applyBorder="1"/>
    <xf numFmtId="0" fontId="43" fillId="0" borderId="64" xfId="0" applyFont="1" applyFill="1" applyBorder="1"/>
    <xf numFmtId="0" fontId="6" fillId="0" borderId="0" xfId="0" applyFont="1" applyFill="1" applyBorder="1" applyAlignment="1" applyProtection="1">
      <alignment horizontal="left"/>
    </xf>
    <xf numFmtId="0" fontId="6" fillId="0" borderId="99" xfId="0" applyFont="1" applyFill="1" applyBorder="1" applyAlignment="1">
      <alignment horizontal="left"/>
    </xf>
    <xf numFmtId="0" fontId="6" fillId="0" borderId="0" xfId="0" applyFont="1" applyFill="1" applyAlignment="1"/>
    <xf numFmtId="0" fontId="43" fillId="0" borderId="99" xfId="0" applyFont="1" applyFill="1" applyBorder="1"/>
    <xf numFmtId="0" fontId="0" fillId="0" borderId="99" xfId="0" applyFill="1" applyBorder="1"/>
    <xf numFmtId="3" fontId="0" fillId="0" borderId="101" xfId="0" applyNumberFormat="1" applyBorder="1"/>
    <xf numFmtId="0" fontId="6" fillId="0" borderId="0" xfId="49" applyFont="1"/>
    <xf numFmtId="0" fontId="6" fillId="0" borderId="107" xfId="49" applyBorder="1"/>
    <xf numFmtId="0" fontId="6" fillId="0" borderId="108" xfId="49" applyBorder="1"/>
    <xf numFmtId="49" fontId="39" fillId="29" borderId="0" xfId="49" applyNumberFormat="1" applyFont="1" applyFill="1"/>
    <xf numFmtId="0" fontId="6" fillId="29" borderId="0" xfId="49" applyFill="1"/>
    <xf numFmtId="0" fontId="8" fillId="0" borderId="0" xfId="49" applyFont="1" applyBorder="1"/>
    <xf numFmtId="0" fontId="8" fillId="0" borderId="0" xfId="49" applyFont="1" applyAlignment="1">
      <alignment vertical="center" wrapText="1"/>
    </xf>
    <xf numFmtId="0" fontId="57" fillId="0" borderId="0" xfId="49" applyFont="1"/>
    <xf numFmtId="0" fontId="57" fillId="36" borderId="0" xfId="49" applyFont="1" applyFill="1" applyAlignment="1">
      <alignment wrapText="1"/>
    </xf>
    <xf numFmtId="0" fontId="57" fillId="0" borderId="0" xfId="49" applyFont="1" applyBorder="1"/>
    <xf numFmtId="0" fontId="57" fillId="0" borderId="0" xfId="49" applyFont="1" applyBorder="1" applyAlignment="1">
      <alignment wrapText="1"/>
    </xf>
    <xf numFmtId="0" fontId="6" fillId="0" borderId="0" xfId="49" applyFont="1" applyBorder="1"/>
    <xf numFmtId="3" fontId="6" fillId="0" borderId="0" xfId="49" applyNumberFormat="1" applyBorder="1"/>
    <xf numFmtId="0" fontId="10" fillId="0" borderId="0" xfId="49" applyFont="1" applyBorder="1"/>
    <xf numFmtId="0" fontId="10" fillId="0" borderId="0" xfId="49" applyFont="1" applyBorder="1" applyAlignment="1">
      <alignment horizontal="left" indent="1"/>
    </xf>
    <xf numFmtId="168" fontId="10" fillId="0" borderId="0" xfId="49" applyNumberFormat="1" applyFont="1"/>
    <xf numFmtId="0" fontId="10" fillId="0" borderId="0" xfId="49" applyFont="1"/>
    <xf numFmtId="168" fontId="6" fillId="0" borderId="0" xfId="49" applyNumberFormat="1"/>
    <xf numFmtId="0" fontId="6" fillId="0" borderId="0" xfId="49" applyBorder="1" applyAlignment="1">
      <alignment horizontal="left" indent="1"/>
    </xf>
    <xf numFmtId="168" fontId="6" fillId="0" borderId="0" xfId="49" applyNumberFormat="1" applyBorder="1"/>
    <xf numFmtId="3" fontId="6" fillId="0" borderId="0" xfId="49" applyNumberFormat="1"/>
    <xf numFmtId="0" fontId="10" fillId="0" borderId="0" xfId="49" applyFont="1" applyFill="1"/>
    <xf numFmtId="0" fontId="6" fillId="31" borderId="0" xfId="49" applyFill="1" applyBorder="1"/>
    <xf numFmtId="0" fontId="6" fillId="31" borderId="0" xfId="49" applyFill="1" applyBorder="1" applyAlignment="1">
      <alignment horizontal="left" indent="1"/>
    </xf>
    <xf numFmtId="3" fontId="6" fillId="31" borderId="0" xfId="49" applyNumberFormat="1" applyFill="1"/>
    <xf numFmtId="0" fontId="10" fillId="0" borderId="0" xfId="49" applyFont="1" applyFill="1" applyBorder="1" applyAlignment="1">
      <alignment horizontal="left" indent="1"/>
    </xf>
    <xf numFmtId="168" fontId="6" fillId="32" borderId="0" xfId="49" applyNumberFormat="1" applyFill="1"/>
    <xf numFmtId="168" fontId="6" fillId="0" borderId="0" xfId="49" applyNumberFormat="1" applyFill="1"/>
    <xf numFmtId="168" fontId="10" fillId="0" borderId="0" xfId="49" applyNumberFormat="1" applyFont="1" applyFill="1"/>
    <xf numFmtId="0" fontId="10" fillId="0" borderId="101" xfId="49" applyFont="1" applyBorder="1"/>
    <xf numFmtId="168" fontId="6" fillId="0" borderId="101" xfId="49" applyNumberFormat="1" applyBorder="1"/>
    <xf numFmtId="168" fontId="64" fillId="0" borderId="101" xfId="49" applyNumberFormat="1" applyFont="1" applyBorder="1"/>
    <xf numFmtId="168" fontId="65" fillId="0" borderId="0" xfId="49" applyNumberFormat="1" applyFont="1"/>
    <xf numFmtId="168" fontId="13" fillId="0" borderId="0" xfId="49" applyNumberFormat="1" applyFont="1" applyBorder="1"/>
    <xf numFmtId="0" fontId="65" fillId="0" borderId="0" xfId="49" applyFont="1"/>
    <xf numFmtId="0" fontId="46" fillId="0" borderId="0" xfId="49" applyFont="1" applyBorder="1"/>
    <xf numFmtId="168" fontId="65" fillId="0" borderId="0" xfId="49" applyNumberFormat="1" applyFont="1" applyFill="1"/>
    <xf numFmtId="168" fontId="6" fillId="0" borderId="0" xfId="49" applyNumberFormat="1" applyFill="1" applyBorder="1"/>
    <xf numFmtId="168" fontId="11" fillId="0" borderId="0" xfId="49" applyNumberFormat="1" applyFont="1" applyBorder="1"/>
    <xf numFmtId="0" fontId="10" fillId="0" borderId="0" xfId="49" applyFont="1" applyFill="1" applyBorder="1"/>
    <xf numFmtId="0" fontId="10" fillId="0" borderId="101" xfId="49" applyFont="1" applyFill="1" applyBorder="1" applyAlignment="1">
      <alignment horizontal="left" indent="1"/>
    </xf>
    <xf numFmtId="168" fontId="11" fillId="0" borderId="101" xfId="49" applyNumberFormat="1" applyFont="1" applyBorder="1"/>
    <xf numFmtId="168" fontId="10" fillId="0" borderId="101" xfId="49" applyNumberFormat="1" applyFont="1" applyBorder="1"/>
    <xf numFmtId="168" fontId="10" fillId="0" borderId="0" xfId="49" applyNumberFormat="1" applyFont="1" applyBorder="1"/>
    <xf numFmtId="0" fontId="10" fillId="0" borderId="101" xfId="49" applyFont="1" applyBorder="1" applyAlignment="1">
      <alignment horizontal="left" indent="1"/>
    </xf>
    <xf numFmtId="0" fontId="10" fillId="0" borderId="101" xfId="49" applyFont="1" applyFill="1" applyBorder="1"/>
    <xf numFmtId="168" fontId="10" fillId="0" borderId="0" xfId="49" applyNumberFormat="1" applyFont="1" applyFill="1" applyBorder="1"/>
    <xf numFmtId="168" fontId="58" fillId="0" borderId="0" xfId="49" applyNumberFormat="1" applyFont="1" applyBorder="1"/>
    <xf numFmtId="0" fontId="6" fillId="0" borderId="101" xfId="49" applyBorder="1"/>
    <xf numFmtId="0" fontId="6" fillId="0" borderId="104" xfId="49" applyBorder="1"/>
    <xf numFmtId="0" fontId="6" fillId="0" borderId="105" xfId="49" applyBorder="1"/>
    <xf numFmtId="0" fontId="6" fillId="0" borderId="106" xfId="49" applyBorder="1"/>
    <xf numFmtId="0" fontId="6" fillId="0" borderId="100" xfId="49" applyBorder="1"/>
    <xf numFmtId="0" fontId="6" fillId="0" borderId="102" xfId="49" applyBorder="1"/>
    <xf numFmtId="0" fontId="6" fillId="0" borderId="107" xfId="49" applyFont="1" applyBorder="1"/>
    <xf numFmtId="0" fontId="6" fillId="0" borderId="109" xfId="49" applyBorder="1"/>
    <xf numFmtId="0" fontId="6" fillId="0" borderId="104" xfId="49" applyFont="1" applyBorder="1"/>
    <xf numFmtId="0" fontId="39" fillId="0" borderId="0" xfId="49" applyFont="1" applyAlignment="1">
      <alignment vertical="center"/>
    </xf>
    <xf numFmtId="0" fontId="39" fillId="0" borderId="0" xfId="49" applyFont="1"/>
    <xf numFmtId="0" fontId="59" fillId="0" borderId="0" xfId="49" applyFont="1" applyAlignment="1">
      <alignment vertical="center" wrapText="1"/>
    </xf>
    <xf numFmtId="0" fontId="59" fillId="34" borderId="0" xfId="49" applyFont="1" applyFill="1" applyAlignment="1">
      <alignment vertical="center" wrapText="1"/>
    </xf>
    <xf numFmtId="0" fontId="6" fillId="0" borderId="0" xfId="49" applyFont="1" applyAlignment="1">
      <alignment vertical="center"/>
    </xf>
    <xf numFmtId="0" fontId="6" fillId="0" borderId="0" xfId="49" applyAlignment="1">
      <alignment vertical="center"/>
    </xf>
    <xf numFmtId="0" fontId="0" fillId="0" borderId="0" xfId="0" applyAlignment="1">
      <alignment wrapText="1"/>
    </xf>
    <xf numFmtId="2" fontId="6" fillId="0" borderId="0" xfId="0" applyNumberFormat="1" applyFont="1" applyFill="1"/>
    <xf numFmtId="0" fontId="0" fillId="0" borderId="103" xfId="0" applyFont="1" applyBorder="1"/>
    <xf numFmtId="0" fontId="6" fillId="0" borderId="111" xfId="0" applyFont="1" applyFill="1" applyBorder="1" applyProtection="1"/>
    <xf numFmtId="0" fontId="0" fillId="0" borderId="111" xfId="0" applyFill="1" applyBorder="1" applyProtection="1"/>
    <xf numFmtId="0" fontId="0" fillId="0" borderId="111" xfId="0" applyFont="1" applyFill="1" applyBorder="1" applyProtection="1"/>
    <xf numFmtId="0" fontId="46" fillId="34" borderId="0" xfId="49" applyFont="1" applyFill="1" applyBorder="1"/>
    <xf numFmtId="0" fontId="10" fillId="34" borderId="0" xfId="49" applyFont="1" applyFill="1"/>
    <xf numFmtId="0" fontId="6" fillId="0" borderId="112" xfId="49" applyBorder="1"/>
    <xf numFmtId="0" fontId="6" fillId="0" borderId="110" xfId="49" applyBorder="1"/>
    <xf numFmtId="0" fontId="6" fillId="0" borderId="113" xfId="49" applyBorder="1"/>
    <xf numFmtId="0" fontId="6" fillId="0" borderId="112" xfId="49" applyFont="1" applyBorder="1"/>
    <xf numFmtId="0" fontId="0" fillId="0" borderId="0" xfId="0" applyFill="1" applyBorder="1" applyAlignment="1">
      <alignment horizontal="left"/>
    </xf>
    <xf numFmtId="0" fontId="6" fillId="0" borderId="72" xfId="0" applyFont="1" applyBorder="1"/>
    <xf numFmtId="0" fontId="6" fillId="0" borderId="111" xfId="0" applyFont="1" applyFill="1" applyBorder="1" applyAlignment="1">
      <alignment horizontal="left"/>
    </xf>
    <xf numFmtId="0" fontId="6" fillId="0" borderId="111" xfId="0" applyFont="1" applyFill="1" applyBorder="1"/>
    <xf numFmtId="0" fontId="59" fillId="0" borderId="0" xfId="0" applyFont="1" applyAlignment="1">
      <alignment vertical="center" wrapText="1"/>
    </xf>
    <xf numFmtId="0" fontId="0" fillId="0" borderId="66" xfId="0" applyFont="1" applyFill="1" applyBorder="1"/>
    <xf numFmtId="3" fontId="6" fillId="0" borderId="0" xfId="49" applyNumberFormat="1" applyFill="1"/>
    <xf numFmtId="0" fontId="8" fillId="0" borderId="0" xfId="49" applyFont="1" applyFill="1" applyAlignment="1">
      <alignment vertical="center" wrapText="1"/>
    </xf>
    <xf numFmtId="0" fontId="59" fillId="37" borderId="0" xfId="0" applyFont="1" applyFill="1" applyAlignment="1">
      <alignment vertical="center" wrapText="1"/>
    </xf>
    <xf numFmtId="0" fontId="0" fillId="0" borderId="111" xfId="0" applyFont="1" applyBorder="1"/>
    <xf numFmtId="0" fontId="0" fillId="0" borderId="111" xfId="0" applyFill="1" applyBorder="1"/>
    <xf numFmtId="166" fontId="0" fillId="34" borderId="0" xfId="0" applyNumberFormat="1" applyFill="1"/>
    <xf numFmtId="0" fontId="6" fillId="0" borderId="111" xfId="0" applyFont="1" applyBorder="1"/>
    <xf numFmtId="0" fontId="0" fillId="0" borderId="0" xfId="0" applyFont="1" applyFill="1" applyBorder="1" applyAlignment="1">
      <alignment horizontal="left"/>
    </xf>
    <xf numFmtId="0" fontId="61" fillId="0" borderId="111" xfId="0" applyFont="1" applyBorder="1"/>
    <xf numFmtId="0" fontId="61" fillId="0" borderId="111" xfId="0" applyFont="1" applyFill="1" applyBorder="1"/>
    <xf numFmtId="0" fontId="0" fillId="35" borderId="0" xfId="0" applyFill="1"/>
    <xf numFmtId="0" fontId="6" fillId="0" borderId="115" xfId="49" applyBorder="1"/>
    <xf numFmtId="9" fontId="0" fillId="34" borderId="0" xfId="0" applyNumberFormat="1" applyFill="1"/>
    <xf numFmtId="49" fontId="6" fillId="34" borderId="114" xfId="36" applyNumberFormat="1" applyFont="1" applyFill="1" applyBorder="1"/>
    <xf numFmtId="0" fontId="6" fillId="34" borderId="70" xfId="36" applyFont="1" applyFill="1" applyBorder="1"/>
    <xf numFmtId="0" fontId="6" fillId="34" borderId="0" xfId="36" applyFont="1" applyFill="1" applyBorder="1"/>
    <xf numFmtId="0" fontId="0" fillId="0" borderId="114" xfId="0" applyFill="1" applyBorder="1" applyProtection="1"/>
    <xf numFmtId="0" fontId="6" fillId="0" borderId="114" xfId="0" applyFont="1" applyFill="1" applyBorder="1" applyProtection="1"/>
    <xf numFmtId="0" fontId="61" fillId="0" borderId="114" xfId="0" applyFont="1" applyFill="1" applyBorder="1"/>
    <xf numFmtId="0" fontId="0" fillId="0" borderId="114" xfId="0" applyFont="1" applyBorder="1"/>
    <xf numFmtId="0" fontId="61" fillId="0" borderId="103" xfId="0" applyFont="1" applyFill="1" applyBorder="1"/>
    <xf numFmtId="0" fontId="0" fillId="0" borderId="103" xfId="0" applyFont="1" applyFill="1" applyBorder="1"/>
    <xf numFmtId="0" fontId="6" fillId="0" borderId="114" xfId="0" applyFont="1" applyFill="1" applyBorder="1"/>
    <xf numFmtId="0" fontId="6" fillId="36" borderId="0" xfId="0" applyFont="1" applyFill="1"/>
    <xf numFmtId="0" fontId="6" fillId="31" borderId="0" xfId="0" applyFont="1" applyFill="1" applyBorder="1"/>
    <xf numFmtId="0" fontId="0" fillId="31" borderId="0" xfId="0" applyFont="1" applyFill="1"/>
    <xf numFmtId="9" fontId="0" fillId="31" borderId="0" xfId="0" applyNumberFormat="1" applyFill="1"/>
    <xf numFmtId="166" fontId="0" fillId="31" borderId="0" xfId="0" applyNumberFormat="1" applyFill="1"/>
    <xf numFmtId="0" fontId="0" fillId="31" borderId="0" xfId="0" applyFill="1" applyBorder="1"/>
    <xf numFmtId="0" fontId="43" fillId="31" borderId="0" xfId="0" applyFont="1" applyFill="1"/>
    <xf numFmtId="0" fontId="6" fillId="31" borderId="0" xfId="0" applyFont="1" applyFill="1"/>
    <xf numFmtId="0" fontId="43" fillId="34" borderId="0" xfId="0" applyFont="1" applyFill="1"/>
    <xf numFmtId="0" fontId="0" fillId="34" borderId="0" xfId="0" applyFont="1" applyFill="1"/>
    <xf numFmtId="167" fontId="0" fillId="36" borderId="0" xfId="0" applyNumberFormat="1" applyFill="1"/>
    <xf numFmtId="0" fontId="0" fillId="34" borderId="0" xfId="0" applyFont="1" applyFill="1" applyBorder="1"/>
    <xf numFmtId="49" fontId="71" fillId="29" borderId="0" xfId="49" applyNumberFormat="1" applyFont="1" applyFill="1"/>
    <xf numFmtId="0" fontId="6" fillId="0" borderId="116" xfId="49" applyBorder="1"/>
    <xf numFmtId="0" fontId="6" fillId="0" borderId="117" xfId="49" applyBorder="1"/>
    <xf numFmtId="0" fontId="6" fillId="0" borderId="118" xfId="49" applyBorder="1"/>
    <xf numFmtId="0" fontId="6" fillId="0" borderId="116" xfId="49" applyFont="1" applyBorder="1"/>
    <xf numFmtId="168" fontId="6" fillId="0" borderId="0" xfId="0" applyNumberFormat="1" applyFont="1"/>
    <xf numFmtId="3" fontId="58" fillId="0" borderId="0" xfId="49" applyNumberFormat="1" applyFont="1" applyBorder="1"/>
    <xf numFmtId="3" fontId="6" fillId="0" borderId="0" xfId="0" applyNumberFormat="1" applyFont="1"/>
    <xf numFmtId="3" fontId="6" fillId="0" borderId="0" xfId="49" applyNumberFormat="1" applyFill="1" applyBorder="1" applyAlignment="1">
      <alignment horizontal="left" indent="1"/>
    </xf>
    <xf numFmtId="3" fontId="6" fillId="0" borderId="0" xfId="49" applyNumberFormat="1" applyFill="1" applyBorder="1"/>
    <xf numFmtId="168" fontId="13" fillId="0" borderId="0" xfId="49" applyNumberFormat="1" applyFont="1" applyFill="1" applyBorder="1"/>
    <xf numFmtId="168" fontId="0" fillId="0" borderId="0" xfId="0" applyNumberFormat="1" applyFill="1"/>
    <xf numFmtId="0" fontId="0" fillId="0" borderId="111" xfId="0" applyFont="1" applyFill="1" applyBorder="1"/>
    <xf numFmtId="0" fontId="0" fillId="0" borderId="114" xfId="0" applyFill="1" applyBorder="1"/>
    <xf numFmtId="0" fontId="0" fillId="0" borderId="0" xfId="0" pivotButton="1" applyFont="1" applyBorder="1"/>
    <xf numFmtId="0" fontId="0" fillId="0" borderId="0" xfId="0" applyFont="1" applyBorder="1"/>
    <xf numFmtId="0" fontId="0" fillId="0" borderId="71" xfId="0" applyFont="1" applyBorder="1"/>
    <xf numFmtId="171" fontId="0" fillId="0" borderId="0" xfId="0" applyNumberFormat="1" applyFont="1" applyBorder="1"/>
    <xf numFmtId="172" fontId="0" fillId="0" borderId="0" xfId="0" applyNumberFormat="1" applyFont="1" applyBorder="1"/>
    <xf numFmtId="172" fontId="0" fillId="0" borderId="64" xfId="0" applyNumberFormat="1" applyFont="1" applyBorder="1"/>
    <xf numFmtId="0" fontId="0" fillId="0" borderId="100" xfId="0" applyFont="1" applyBorder="1"/>
    <xf numFmtId="0" fontId="0" fillId="0" borderId="101" xfId="0" applyFont="1" applyBorder="1"/>
    <xf numFmtId="171" fontId="0" fillId="0" borderId="101" xfId="0" applyNumberFormat="1" applyFont="1" applyBorder="1"/>
    <xf numFmtId="172" fontId="0" fillId="0" borderId="101" xfId="0" applyNumberFormat="1" applyFont="1" applyBorder="1"/>
    <xf numFmtId="172" fontId="0" fillId="0" borderId="102" xfId="0" applyNumberFormat="1" applyFont="1" applyBorder="1"/>
    <xf numFmtId="0" fontId="0" fillId="0" borderId="0" xfId="0" pivotButton="1" applyFont="1" applyBorder="1" applyAlignment="1">
      <alignment wrapText="1"/>
    </xf>
    <xf numFmtId="0" fontId="0" fillId="0" borderId="71" xfId="0" pivotButton="1" applyFont="1" applyBorder="1" applyAlignment="1">
      <alignment wrapText="1"/>
    </xf>
    <xf numFmtId="0" fontId="0" fillId="0" borderId="0" xfId="0" applyFont="1" applyBorder="1" applyAlignment="1">
      <alignment wrapText="1"/>
    </xf>
    <xf numFmtId="0" fontId="0" fillId="0" borderId="64" xfId="0" applyFont="1" applyBorder="1" applyAlignment="1">
      <alignment wrapText="1"/>
    </xf>
    <xf numFmtId="3" fontId="0" fillId="38" borderId="0" xfId="0" applyNumberFormat="1" applyFill="1"/>
    <xf numFmtId="168" fontId="0" fillId="38" borderId="0" xfId="0" applyNumberFormat="1" applyFill="1"/>
    <xf numFmtId="0" fontId="58" fillId="0" borderId="0" xfId="49" applyFont="1"/>
    <xf numFmtId="0" fontId="0" fillId="36" borderId="0" xfId="0" applyFill="1"/>
    <xf numFmtId="0" fontId="0" fillId="39" borderId="0" xfId="0" applyFill="1"/>
    <xf numFmtId="1" fontId="0" fillId="39" borderId="0" xfId="0" applyNumberFormat="1" applyFill="1"/>
    <xf numFmtId="0" fontId="0" fillId="39" borderId="0" xfId="0" applyFont="1" applyFill="1"/>
    <xf numFmtId="0" fontId="6" fillId="39" borderId="0" xfId="0" applyFont="1" applyFill="1"/>
    <xf numFmtId="0" fontId="72" fillId="0" borderId="0" xfId="0" applyFont="1"/>
    <xf numFmtId="0" fontId="72" fillId="0" borderId="0" xfId="0" pivotButton="1" applyFont="1" applyAlignment="1">
      <alignment wrapText="1"/>
    </xf>
    <xf numFmtId="2" fontId="72" fillId="0" borderId="0" xfId="0" applyNumberFormat="1" applyFont="1" applyAlignment="1">
      <alignment wrapText="1"/>
    </xf>
    <xf numFmtId="0" fontId="0" fillId="0" borderId="119" xfId="0" applyFont="1" applyBorder="1"/>
    <xf numFmtId="0" fontId="0" fillId="0" borderId="120" xfId="0" applyFont="1" applyBorder="1"/>
    <xf numFmtId="0" fontId="0" fillId="0" borderId="120" xfId="0" pivotButton="1" applyFont="1" applyBorder="1"/>
    <xf numFmtId="0" fontId="0" fillId="0" borderId="121" xfId="0" applyFont="1" applyBorder="1"/>
    <xf numFmtId="168" fontId="58" fillId="0" borderId="0" xfId="49" applyNumberFormat="1" applyFont="1" applyFill="1"/>
    <xf numFmtId="0" fontId="11" fillId="25" borderId="79" xfId="0" applyFont="1" applyFill="1" applyBorder="1" applyAlignment="1" applyProtection="1">
      <alignment horizontal="center" vertical="center"/>
    </xf>
    <xf numFmtId="0" fontId="11" fillId="25" borderId="8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31" borderId="0" xfId="0" applyFont="1" applyFill="1" applyBorder="1" applyAlignment="1">
      <alignment horizontal="center" wrapText="1"/>
    </xf>
    <xf numFmtId="0" fontId="6" fillId="0" borderId="0" xfId="49" applyFont="1" applyFill="1" applyAlignment="1">
      <alignment horizontal="center"/>
    </xf>
    <xf numFmtId="0" fontId="6" fillId="0" borderId="0" xfId="49" applyFill="1" applyAlignment="1">
      <alignment horizontal="center"/>
    </xf>
    <xf numFmtId="0" fontId="8" fillId="0" borderId="13" xfId="0" applyFont="1" applyBorder="1" applyAlignment="1">
      <alignment horizontal="left"/>
    </xf>
  </cellXfs>
  <cellStyles count="90">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ljd hyperlänk" xfId="50" builtinId="9" hidden="1"/>
    <cellStyle name="Följd hyperlänk" xfId="51" builtinId="9" hidden="1"/>
    <cellStyle name="Följd hyperlänk" xfId="52" builtinId="9" hidden="1"/>
    <cellStyle name="Följd hyperlänk" xfId="53" builtinId="9" hidden="1"/>
    <cellStyle name="Följd hyperlänk" xfId="54" builtinId="9" hidden="1"/>
    <cellStyle name="Följd hyperlänk" xfId="55" builtinId="9" hidden="1"/>
    <cellStyle name="Följd hyperlänk" xfId="56" builtinId="9" hidden="1"/>
    <cellStyle name="Följd hyperlänk" xfId="57" builtinId="9" hidden="1"/>
    <cellStyle name="Följd hyperlänk" xfId="58" builtinId="9" hidden="1"/>
    <cellStyle name="Följd hyperlänk" xfId="59" builtinId="9" hidden="1"/>
    <cellStyle name="Följd hyperlänk" xfId="60" builtinId="9" hidden="1"/>
    <cellStyle name="Följd hyperlänk" xfId="61" builtinId="9" hidden="1"/>
    <cellStyle name="Följd hyperlänk" xfId="62" builtinId="9" hidden="1"/>
    <cellStyle name="Följd hyperlänk" xfId="63" builtinId="9" hidden="1"/>
    <cellStyle name="Följd hyperlänk" xfId="64" builtinId="9" hidden="1"/>
    <cellStyle name="Följd hyperlänk" xfId="65" builtinId="9" hidden="1"/>
    <cellStyle name="Följd hyperlänk" xfId="66" builtinId="9" hidden="1"/>
    <cellStyle name="Följd hyperlänk" xfId="67" builtinId="9" hidden="1"/>
    <cellStyle name="Följd hyperlänk" xfId="68" builtinId="9" hidden="1"/>
    <cellStyle name="Följd hyperlänk" xfId="69" builtinId="9" hidden="1"/>
    <cellStyle name="Följd hyperlänk" xfId="70" builtinId="9" hidden="1"/>
    <cellStyle name="Följd hyperlänk" xfId="71" builtinId="9" hidden="1"/>
    <cellStyle name="Följd hyperlänk" xfId="72" builtinId="9" hidden="1"/>
    <cellStyle name="Följd hyperlänk" xfId="73" builtinId="9" hidden="1"/>
    <cellStyle name="Följd hyperlänk" xfId="74" builtinId="9" hidden="1"/>
    <cellStyle name="Följd hyperlänk" xfId="75" builtinId="9" hidden="1"/>
    <cellStyle name="Följd hyperlänk" xfId="76" builtinId="9" hidden="1"/>
    <cellStyle name="Följd hyperlänk" xfId="77" builtinId="9" hidden="1"/>
    <cellStyle name="Följd hyperlänk" xfId="78" builtinId="9" hidden="1"/>
    <cellStyle name="Följd hyperlänk" xfId="79" builtinId="9" hidden="1"/>
    <cellStyle name="Följd hyperlänk" xfId="80" builtinId="9" hidden="1"/>
    <cellStyle name="Följd hyperlänk" xfId="81" builtinId="9" hidden="1"/>
    <cellStyle name="Följd hyperlänk" xfId="82" builtinId="9" hidden="1"/>
    <cellStyle name="Följd hyperlänk" xfId="83" builtinId="9" hidden="1"/>
    <cellStyle name="Följd hyperlänk" xfId="84" builtinId="9" hidden="1"/>
    <cellStyle name="Förklarande text" xfId="29" builtinId="53" customBuiltin="1"/>
    <cellStyle name="Hyperlänk" xfId="48" builtinId="8"/>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34"/>
    <cellStyle name="Normal 3" xfId="49"/>
    <cellStyle name="Normal 4" xfId="35"/>
    <cellStyle name="Normal 5" xfId="86"/>
    <cellStyle name="Normal 6" xfId="88"/>
    <cellStyle name="Normal 7" xfId="89"/>
    <cellStyle name="Normal_Material" xfId="36"/>
    <cellStyle name="Normal_Test på estetiska" xfId="37"/>
    <cellStyle name="Procent" xfId="38" builtinId="5"/>
    <cellStyle name="Procent 2" xfId="39"/>
    <cellStyle name="Rubrik" xfId="40" builtinId="15" customBuiltin="1"/>
    <cellStyle name="Rubrik 1" xfId="41" builtinId="16" customBuiltin="1"/>
    <cellStyle name="Rubrik 2" xfId="42" builtinId="17" customBuiltin="1"/>
    <cellStyle name="Rubrik 3" xfId="43" builtinId="18" customBuiltin="1"/>
    <cellStyle name="Rubrik 4" xfId="44" builtinId="19" customBuiltin="1"/>
    <cellStyle name="Summa" xfId="45" builtinId="25" customBuiltin="1"/>
    <cellStyle name="Tusental" xfId="85" builtinId="3"/>
    <cellStyle name="Utdata" xfId="46" builtinId="21" customBuiltin="1"/>
    <cellStyle name="Valuta" xfId="87" builtinId="4"/>
    <cellStyle name="Varningstext" xfId="47" builtinId="11" customBuiltin="1"/>
  </cellStyles>
  <dxfs count="75">
    <dxf>
      <alignment wrapText="1"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171" formatCode="#,##0,&quot; tkr&quot;;[Red]\-#,##0,&quot; tkr&quot;"/>
    </dxf>
    <dxf>
      <numFmt numFmtId="172" formatCode="#,##0.0_ ;[Red]\-#,##0.0\ "/>
    </dxf>
    <dxf>
      <numFmt numFmtId="172" formatCode="#,##0.0_ ;[Red]\-#,##0.0\ "/>
    </dxf>
    <dxf>
      <numFmt numFmtId="171" formatCode="#,##0,&quot; tkr&quot;;[Red]\-#,##0,&quot; tkr&quot;"/>
    </dxf>
    <dxf>
      <alignment wrapText="1" readingOrder="0"/>
    </dxf>
    <dxf>
      <alignment wrapText="1" readingOrder="0"/>
    </dxf>
    <dxf>
      <alignment wrapText="1" readingOrder="0"/>
    </dxf>
    <dxf>
      <alignment wrapText="1" readingOrder="0"/>
    </dxf>
    <dxf>
      <alignment wrapText="1" readingOrder="0"/>
    </dxf>
    <dxf>
      <font>
        <b val="0"/>
      </font>
    </dxf>
    <dxf>
      <border>
        <left style="thin">
          <color indexed="64"/>
        </left>
        <right style="thin">
          <color indexed="64"/>
        </right>
        <top style="thin">
          <color indexed="64"/>
        </top>
        <bottom style="thin">
          <color indexed="64"/>
        </bottom>
      </border>
    </dxf>
    <dxf>
      <numFmt numFmtId="165" formatCode="#,##0.0"/>
    </dxf>
    <dxf>
      <numFmt numFmtId="165" formatCode="#,##0.0"/>
    </dxf>
    <dxf>
      <alignment wrapText="1" readingOrder="0"/>
    </dxf>
    <dxf>
      <numFmt numFmtId="171" formatCode="#,##0,&quot; tkr&quot;;[Red]\-#,##0,&quot; tkr&quo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3" formatCode="#,##0"/>
    </dxf>
    <dxf>
      <numFmt numFmtId="171" formatCode="#,##0,&quot; tkr&quot;;[Red]\-#,##0,&quot; tkr&quot;"/>
    </dxf>
  </dxfs>
  <tableStyles count="0" defaultTableStyle="TableStyleMedium9" defaultPivotStyle="PivotStyleLight16"/>
  <colors>
    <mruColors>
      <color rgb="FFCCFFCC"/>
      <color rgb="FFFFFFCC"/>
      <color rgb="FFFFD653"/>
      <color rgb="FF99FFCC"/>
      <color rgb="FFCCFFFF"/>
      <color rgb="FFFC8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s>
</file>

<file path=xl/drawings/drawing1.xml><?xml version="1.0" encoding="utf-8"?>
<xdr:wsDr xmlns:xdr="http://schemas.openxmlformats.org/drawingml/2006/spreadsheetDrawing" xmlns:a="http://schemas.openxmlformats.org/drawingml/2006/main">
  <xdr:twoCellAnchor>
    <xdr:from>
      <xdr:col>2</xdr:col>
      <xdr:colOff>19050</xdr:colOff>
      <xdr:row>15</xdr:row>
      <xdr:rowOff>133349</xdr:rowOff>
    </xdr:from>
    <xdr:to>
      <xdr:col>13</xdr:col>
      <xdr:colOff>838200</xdr:colOff>
      <xdr:row>20</xdr:row>
      <xdr:rowOff>209549</xdr:rowOff>
    </xdr:to>
    <xdr:sp macro="" textlink="">
      <xdr:nvSpPr>
        <xdr:cNvPr id="2" name="textruta 1"/>
        <xdr:cNvSpPr txBox="1"/>
      </xdr:nvSpPr>
      <xdr:spPr>
        <a:xfrm rot="20477444">
          <a:off x="1562100" y="5000624"/>
          <a:ext cx="10182225" cy="1504950"/>
        </a:xfrm>
        <a:prstGeom prst="rect">
          <a:avLst/>
        </a:prstGeom>
        <a:gradFill>
          <a:gsLst>
            <a:gs pos="0">
              <a:schemeClr val="accent3">
                <a:lumMod val="40000"/>
                <a:lumOff val="6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2400"/>
            <a:t>UPPDATERAS!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447675</xdr:colOff>
      <xdr:row>15</xdr:row>
      <xdr:rowOff>66675</xdr:rowOff>
    </xdr:from>
    <xdr:to>
      <xdr:col>13</xdr:col>
      <xdr:colOff>495300</xdr:colOff>
      <xdr:row>20</xdr:row>
      <xdr:rowOff>142875</xdr:rowOff>
    </xdr:to>
    <xdr:sp macro="" textlink="">
      <xdr:nvSpPr>
        <xdr:cNvPr id="2" name="textruta 1"/>
        <xdr:cNvSpPr txBox="1"/>
      </xdr:nvSpPr>
      <xdr:spPr>
        <a:xfrm rot="20477444">
          <a:off x="1219200" y="4933950"/>
          <a:ext cx="10182225" cy="1504950"/>
        </a:xfrm>
        <a:prstGeom prst="rect">
          <a:avLst/>
        </a:prstGeom>
        <a:gradFill>
          <a:gsLst>
            <a:gs pos="0">
              <a:schemeClr val="accent3">
                <a:lumMod val="40000"/>
                <a:lumOff val="6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2400"/>
            <a:t>UPPDATERAS!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7</xdr:col>
      <xdr:colOff>447675</xdr:colOff>
      <xdr:row>1</xdr:row>
      <xdr:rowOff>76200</xdr:rowOff>
    </xdr:to>
    <xdr:sp macro="" textlink="">
      <xdr:nvSpPr>
        <xdr:cNvPr id="2" name="textruta 1"/>
        <xdr:cNvSpPr txBox="1"/>
      </xdr:nvSpPr>
      <xdr:spPr>
        <a:xfrm>
          <a:off x="4867275" y="0"/>
          <a:ext cx="6038850" cy="2667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200"/>
            <a:t>Observera att här visas endast de kurser som vald institution</a:t>
          </a:r>
          <a:r>
            <a:rPr lang="sv-SE" sz="1200" baseline="0"/>
            <a:t> är kursansvarig för</a:t>
          </a:r>
          <a:endParaRPr lang="sv-SE" sz="12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gsi0001\Documents\Budget%202020\RTV%202020%20Prelimin&#228;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RTV 2020"/>
      <sheetName val="Start"/>
      <sheetName val="Totalt per inst"/>
      <sheetName val="Bokforder Januari --"/>
      <sheetName val="Medv"/>
      <sheetName val="Kursansv till medv"/>
      <sheetName val="Inst per termin"/>
      <sheetName val="kurser alla"/>
      <sheetName val="Prislapp"/>
      <sheetName val="kurspris"/>
      <sheetName val="Orgenheter"/>
      <sheetName val="Program"/>
      <sheetName val="Ansvar kurs"/>
      <sheetName val="Totalt pivot"/>
      <sheetName val="Pivot Kursmedv % (2)"/>
      <sheetName val="Pivot Kursmedv %"/>
      <sheetName val="underlag medverkande 2"/>
    </sheetNames>
    <sheetDataSet>
      <sheetData sheetId="0"/>
      <sheetData sheetId="1"/>
      <sheetData sheetId="2"/>
      <sheetData sheetId="3"/>
      <sheetData sheetId="4"/>
      <sheetData sheetId="5"/>
      <sheetData sheetId="6"/>
      <sheetData sheetId="7"/>
      <sheetData sheetId="8"/>
      <sheetData sheetId="9"/>
      <sheetData sheetId="10">
        <row r="3">
          <cell r="A3">
            <v>1001</v>
          </cell>
          <cell r="B3" t="str">
            <v xml:space="preserve">Hum fak kansli                </v>
          </cell>
          <cell r="C3" t="str">
            <v>Hum</v>
          </cell>
        </row>
        <row r="4">
          <cell r="A4">
            <v>1010</v>
          </cell>
          <cell r="B4" t="str">
            <v xml:space="preserve">Hum fak gemensamt             </v>
          </cell>
          <cell r="C4" t="str">
            <v>Hum</v>
          </cell>
        </row>
        <row r="5">
          <cell r="A5">
            <v>1020</v>
          </cell>
          <cell r="B5" t="str">
            <v xml:space="preserve">Hum lab                       </v>
          </cell>
          <cell r="C5" t="str">
            <v>Hum</v>
          </cell>
        </row>
        <row r="6">
          <cell r="A6">
            <v>1030</v>
          </cell>
          <cell r="B6" t="str">
            <v xml:space="preserve">Centrum för samisk forskning  </v>
          </cell>
          <cell r="C6" t="str">
            <v>Hum</v>
          </cell>
        </row>
        <row r="7">
          <cell r="A7">
            <v>1040</v>
          </cell>
          <cell r="B7" t="str">
            <v xml:space="preserve">Bildmuseet                    </v>
          </cell>
          <cell r="C7" t="str">
            <v>Hum</v>
          </cell>
        </row>
        <row r="8">
          <cell r="A8">
            <v>1400</v>
          </cell>
          <cell r="B8" t="str">
            <v xml:space="preserve">Konsthögskolan                </v>
          </cell>
          <cell r="C8" t="str">
            <v>Hum</v>
          </cell>
        </row>
        <row r="9">
          <cell r="A9">
            <v>1620</v>
          </cell>
          <cell r="B9" t="str">
            <v>Inst för språkstudier</v>
          </cell>
          <cell r="C9" t="str">
            <v>Hum</v>
          </cell>
        </row>
        <row r="10">
          <cell r="A10">
            <v>1630</v>
          </cell>
          <cell r="B10" t="str">
            <v>Inst för ide- o samhällsstudier</v>
          </cell>
          <cell r="C10" t="str">
            <v>Hum</v>
          </cell>
        </row>
        <row r="11">
          <cell r="A11">
            <v>1640</v>
          </cell>
          <cell r="B11" t="str">
            <v>Inst för kultur- o medievetenskap</v>
          </cell>
          <cell r="C11" t="str">
            <v>Hum</v>
          </cell>
        </row>
        <row r="12">
          <cell r="A12">
            <v>1650</v>
          </cell>
          <cell r="B12" t="str">
            <v xml:space="preserve">Estetiska ämnen               </v>
          </cell>
          <cell r="C12" t="str">
            <v>Hum</v>
          </cell>
        </row>
        <row r="13">
          <cell r="A13">
            <v>1660</v>
          </cell>
          <cell r="B13" t="str">
            <v xml:space="preserve">SV/SO                         </v>
          </cell>
          <cell r="C13" t="str">
            <v>Hum</v>
          </cell>
        </row>
        <row r="14">
          <cell r="A14">
            <v>2000</v>
          </cell>
          <cell r="B14" t="str">
            <v>Gemensamt för samhällsvetenskap</v>
          </cell>
          <cell r="C14" t="str">
            <v>Sam</v>
          </cell>
        </row>
        <row r="15">
          <cell r="A15">
            <v>2001</v>
          </cell>
          <cell r="B15" t="str">
            <v>Kansliet för samhällsvetenskap</v>
          </cell>
          <cell r="C15" t="str">
            <v>Sam</v>
          </cell>
        </row>
        <row r="16">
          <cell r="A16">
            <v>2011</v>
          </cell>
          <cell r="B16" t="str">
            <v>Centrum för utvärderingsforskning</v>
          </cell>
          <cell r="C16" t="str">
            <v>Sam</v>
          </cell>
        </row>
        <row r="17">
          <cell r="A17">
            <v>2050</v>
          </cell>
          <cell r="B17" t="str">
            <v xml:space="preserve">Enh för Polisutb. vid UmU     </v>
          </cell>
          <cell r="C17" t="str">
            <v>Sam</v>
          </cell>
        </row>
        <row r="18">
          <cell r="A18">
            <v>2160</v>
          </cell>
          <cell r="B18" t="str">
            <v>Umeå centrum för idrottsvetenskap</v>
          </cell>
          <cell r="C18" t="str">
            <v>Sam</v>
          </cell>
        </row>
        <row r="19">
          <cell r="A19">
            <v>2170</v>
          </cell>
          <cell r="B19" t="str">
            <v>Enheten för undervisning och lärande</v>
          </cell>
          <cell r="C19" t="str">
            <v>Sam</v>
          </cell>
        </row>
        <row r="20">
          <cell r="A20">
            <v>2180</v>
          </cell>
          <cell r="B20" t="str">
            <v xml:space="preserve">Pedagogik                     </v>
          </cell>
          <cell r="C20" t="str">
            <v>Sam</v>
          </cell>
        </row>
        <row r="21">
          <cell r="A21">
            <v>2190</v>
          </cell>
          <cell r="B21" t="str">
            <v>Inst för beteendevetenskapliga mätningar</v>
          </cell>
          <cell r="C21" t="str">
            <v>Sam</v>
          </cell>
        </row>
        <row r="22">
          <cell r="A22">
            <v>2191</v>
          </cell>
          <cell r="B22" t="str">
            <v>BUSV</v>
          </cell>
          <cell r="C22" t="str">
            <v>Sam</v>
          </cell>
        </row>
        <row r="23">
          <cell r="A23">
            <v>2192</v>
          </cell>
          <cell r="B23" t="str">
            <v>Inst f interakt medier o lärande</v>
          </cell>
          <cell r="C23" t="str">
            <v>Sam</v>
          </cell>
        </row>
        <row r="24">
          <cell r="A24">
            <v>2193</v>
          </cell>
          <cell r="B24" t="str">
            <v xml:space="preserve">TUV </v>
          </cell>
          <cell r="C24" t="str">
            <v>Sam</v>
          </cell>
        </row>
        <row r="25">
          <cell r="A25">
            <v>2200</v>
          </cell>
          <cell r="B25" t="str">
            <v xml:space="preserve">Inst för psykologi            </v>
          </cell>
          <cell r="C25" t="str">
            <v>Sam</v>
          </cell>
        </row>
        <row r="26">
          <cell r="A26">
            <v>2220</v>
          </cell>
          <cell r="B26" t="str">
            <v xml:space="preserve">Sociologi                     </v>
          </cell>
          <cell r="C26" t="str">
            <v>Sam</v>
          </cell>
        </row>
        <row r="27">
          <cell r="A27">
            <v>2270</v>
          </cell>
          <cell r="B27" t="str">
            <v>Företagsekonomi</v>
          </cell>
          <cell r="C27" t="str">
            <v>Sam</v>
          </cell>
        </row>
        <row r="28">
          <cell r="A28">
            <v>2271</v>
          </cell>
          <cell r="B28" t="str">
            <v xml:space="preserve">Nationalekonomi               </v>
          </cell>
          <cell r="C28" t="str">
            <v>Sam</v>
          </cell>
        </row>
        <row r="29">
          <cell r="A29">
            <v>2272</v>
          </cell>
          <cell r="B29" t="str">
            <v xml:space="preserve">Statistik                     </v>
          </cell>
          <cell r="C29" t="str">
            <v>Sam</v>
          </cell>
        </row>
        <row r="30">
          <cell r="A30">
            <v>2300</v>
          </cell>
          <cell r="B30" t="str">
            <v xml:space="preserve">Juridiska institutionen       </v>
          </cell>
          <cell r="C30" t="str">
            <v>Sam</v>
          </cell>
        </row>
        <row r="31">
          <cell r="A31">
            <v>2340</v>
          </cell>
          <cell r="B31" t="str">
            <v xml:space="preserve">Statsvetenskap                </v>
          </cell>
          <cell r="C31" t="str">
            <v>Sam</v>
          </cell>
        </row>
        <row r="32">
          <cell r="A32">
            <v>2360</v>
          </cell>
          <cell r="B32" t="str">
            <v xml:space="preserve">Ekonomisk historia            </v>
          </cell>
          <cell r="C32" t="str">
            <v>Sam</v>
          </cell>
        </row>
        <row r="33">
          <cell r="A33">
            <v>2400</v>
          </cell>
          <cell r="B33" t="str">
            <v xml:space="preserve">Socialt arbete                </v>
          </cell>
          <cell r="C33" t="str">
            <v>Sam</v>
          </cell>
        </row>
        <row r="34">
          <cell r="A34">
            <v>2401</v>
          </cell>
          <cell r="B34" t="str">
            <v xml:space="preserve">Centrum f handikappvetenskap  </v>
          </cell>
          <cell r="C34" t="str">
            <v>Sam</v>
          </cell>
        </row>
        <row r="35">
          <cell r="A35">
            <v>2500</v>
          </cell>
          <cell r="B35" t="str">
            <v>Geografi</v>
          </cell>
          <cell r="C35" t="str">
            <v>Sam</v>
          </cell>
        </row>
        <row r="36">
          <cell r="A36">
            <v>2600</v>
          </cell>
          <cell r="B36" t="str">
            <v>Transportforskningsenheten</v>
          </cell>
          <cell r="C36" t="str">
            <v>Sam</v>
          </cell>
        </row>
        <row r="37">
          <cell r="A37">
            <v>2700</v>
          </cell>
          <cell r="B37" t="str">
            <v xml:space="preserve">Informatik                    </v>
          </cell>
          <cell r="C37" t="str">
            <v>Sam</v>
          </cell>
        </row>
        <row r="38">
          <cell r="A38">
            <v>2750</v>
          </cell>
          <cell r="B38" t="str">
            <v xml:space="preserve">Kostvetenskap                 </v>
          </cell>
          <cell r="C38" t="str">
            <v>Sam</v>
          </cell>
        </row>
        <row r="39">
          <cell r="A39">
            <v>2800</v>
          </cell>
          <cell r="B39" t="str">
            <v xml:space="preserve">CERUM                         </v>
          </cell>
          <cell r="C39" t="str">
            <v>Sam</v>
          </cell>
        </row>
        <row r="40">
          <cell r="A40">
            <v>2850</v>
          </cell>
          <cell r="B40" t="str">
            <v>Umeå centrum för genusstudier (UCGS)</v>
          </cell>
          <cell r="C40" t="str">
            <v>Sam</v>
          </cell>
        </row>
        <row r="41">
          <cell r="A41">
            <v>2880</v>
          </cell>
          <cell r="B41" t="str">
            <v xml:space="preserve">Enheten f restauranghögskolan </v>
          </cell>
          <cell r="C41" t="str">
            <v>Sam</v>
          </cell>
        </row>
        <row r="42">
          <cell r="A42">
            <v>2900</v>
          </cell>
          <cell r="B42" t="str">
            <v xml:space="preserve">Datorlab HASTA                </v>
          </cell>
          <cell r="C42" t="str">
            <v>Sam</v>
          </cell>
        </row>
        <row r="43">
          <cell r="A43">
            <v>2905</v>
          </cell>
          <cell r="B43" t="str">
            <v>BVH-labben</v>
          </cell>
          <cell r="C43" t="str">
            <v>Sam</v>
          </cell>
        </row>
        <row r="44">
          <cell r="A44">
            <v>2910</v>
          </cell>
          <cell r="B44" t="str">
            <v xml:space="preserve">DDB Umeå                          </v>
          </cell>
          <cell r="C44" t="str">
            <v>Sam</v>
          </cell>
        </row>
        <row r="45">
          <cell r="A45">
            <v>2911</v>
          </cell>
          <cell r="B45" t="str">
            <v xml:space="preserve">DDB Haparanda                     </v>
          </cell>
          <cell r="C45" t="str">
            <v>Sam</v>
          </cell>
        </row>
        <row r="46">
          <cell r="A46">
            <v>2912</v>
          </cell>
          <cell r="B46" t="str">
            <v xml:space="preserve">DDB Jörn                          </v>
          </cell>
          <cell r="C46" t="str">
            <v>Sam</v>
          </cell>
        </row>
        <row r="47">
          <cell r="A47">
            <v>2913</v>
          </cell>
          <cell r="B47" t="str">
            <v xml:space="preserve">DDB Karesuando                    </v>
          </cell>
          <cell r="C47" t="str">
            <v>Sam</v>
          </cell>
        </row>
        <row r="48">
          <cell r="A48">
            <v>2914</v>
          </cell>
          <cell r="B48" t="str">
            <v>Centrum för befolkningsstudier</v>
          </cell>
          <cell r="C48" t="str">
            <v>Sam</v>
          </cell>
        </row>
        <row r="49">
          <cell r="A49">
            <v>2915</v>
          </cell>
          <cell r="B49" t="str">
            <v>ALC</v>
          </cell>
          <cell r="C49" t="str">
            <v>Sam</v>
          </cell>
        </row>
        <row r="50">
          <cell r="A50">
            <v>3000</v>
          </cell>
          <cell r="B50" t="str">
            <v>Medicinska fakulteten</v>
          </cell>
          <cell r="C50" t="str">
            <v>Med</v>
          </cell>
        </row>
        <row r="51">
          <cell r="A51">
            <v>3001</v>
          </cell>
          <cell r="B51" t="str">
            <v xml:space="preserve">Kansliet för med fak          </v>
          </cell>
          <cell r="C51" t="str">
            <v>Med</v>
          </cell>
        </row>
        <row r="52">
          <cell r="A52">
            <v>3003</v>
          </cell>
          <cell r="B52" t="str">
            <v xml:space="preserve">Vårdutbildningar              </v>
          </cell>
          <cell r="C52" t="str">
            <v>Med</v>
          </cell>
        </row>
        <row r="53">
          <cell r="A53">
            <v>3005</v>
          </cell>
          <cell r="B53" t="str">
            <v>Grundutbildningsrådet</v>
          </cell>
          <cell r="C53" t="str">
            <v>Med</v>
          </cell>
        </row>
        <row r="54">
          <cell r="A54">
            <v>3010</v>
          </cell>
          <cell r="B54" t="str">
            <v>Vetenskaplig baskurs</v>
          </cell>
          <cell r="C54" t="str">
            <v>Med</v>
          </cell>
        </row>
        <row r="55">
          <cell r="A55">
            <v>3030</v>
          </cell>
          <cell r="B55" t="str">
            <v>UGL/Grupprocesser</v>
          </cell>
          <cell r="C55" t="str">
            <v>Med</v>
          </cell>
        </row>
        <row r="56">
          <cell r="A56">
            <v>3100</v>
          </cell>
          <cell r="B56" t="str">
            <v xml:space="preserve">Klinisk vetenskap             </v>
          </cell>
          <cell r="C56" t="str">
            <v>Med</v>
          </cell>
        </row>
        <row r="57">
          <cell r="A57">
            <v>3101</v>
          </cell>
          <cell r="B57" t="str">
            <v xml:space="preserve">Psykiatri                     </v>
          </cell>
          <cell r="C57" t="str">
            <v>Med</v>
          </cell>
        </row>
        <row r="58">
          <cell r="A58">
            <v>3102</v>
          </cell>
          <cell r="B58" t="str">
            <v xml:space="preserve">Barn- och ungdomspsykiatri    </v>
          </cell>
          <cell r="C58" t="str">
            <v>Med</v>
          </cell>
        </row>
        <row r="59">
          <cell r="A59">
            <v>3103</v>
          </cell>
          <cell r="B59" t="str">
            <v xml:space="preserve">Psykoterapi                   </v>
          </cell>
          <cell r="C59" t="str">
            <v>Med</v>
          </cell>
        </row>
        <row r="60">
          <cell r="A60">
            <v>3104</v>
          </cell>
          <cell r="B60" t="str">
            <v xml:space="preserve">Obstetrik och gynekologi      </v>
          </cell>
          <cell r="C60" t="str">
            <v>Med</v>
          </cell>
        </row>
        <row r="61">
          <cell r="A61">
            <v>3105</v>
          </cell>
          <cell r="B61" t="str">
            <v xml:space="preserve">Oftalmiatrik                  </v>
          </cell>
          <cell r="C61" t="str">
            <v>Med</v>
          </cell>
        </row>
        <row r="62">
          <cell r="A62">
            <v>3106</v>
          </cell>
          <cell r="B62" t="str">
            <v xml:space="preserve">Öron- näs- och halssjukdomar  </v>
          </cell>
          <cell r="C62" t="str">
            <v>Med</v>
          </cell>
        </row>
        <row r="63">
          <cell r="A63">
            <v>3107</v>
          </cell>
          <cell r="B63" t="str">
            <v xml:space="preserve">Logopedi                      </v>
          </cell>
          <cell r="C63" t="str">
            <v>Med</v>
          </cell>
        </row>
        <row r="64">
          <cell r="A64">
            <v>3108</v>
          </cell>
          <cell r="B64" t="str">
            <v xml:space="preserve">Pediatrik                     </v>
          </cell>
          <cell r="C64" t="str">
            <v>Med</v>
          </cell>
        </row>
        <row r="65">
          <cell r="A65">
            <v>3150</v>
          </cell>
          <cell r="B65" t="str">
            <v xml:space="preserve">Strålningsvetenskaper         </v>
          </cell>
          <cell r="C65" t="str">
            <v>Med</v>
          </cell>
        </row>
        <row r="66">
          <cell r="A66">
            <v>3151</v>
          </cell>
          <cell r="B66" t="str">
            <v xml:space="preserve">Diagnostisk radiologi         </v>
          </cell>
          <cell r="C66" t="str">
            <v>Med</v>
          </cell>
        </row>
        <row r="67">
          <cell r="A67">
            <v>3152</v>
          </cell>
          <cell r="B67" t="str">
            <v xml:space="preserve">Onkologi                      </v>
          </cell>
          <cell r="C67" t="str">
            <v>Med</v>
          </cell>
        </row>
        <row r="68">
          <cell r="A68">
            <v>3153</v>
          </cell>
          <cell r="B68" t="str">
            <v xml:space="preserve">Radiofysik                    </v>
          </cell>
          <cell r="C68" t="str">
            <v>Med</v>
          </cell>
        </row>
        <row r="69">
          <cell r="A69">
            <v>3154</v>
          </cell>
          <cell r="B69" t="str">
            <v>Radiobiologi</v>
          </cell>
          <cell r="C69" t="str">
            <v>Med</v>
          </cell>
        </row>
        <row r="70">
          <cell r="A70">
            <v>3220</v>
          </cell>
          <cell r="B70" t="str">
            <v>Molekylärbiologi</v>
          </cell>
          <cell r="C70" t="str">
            <v>Med</v>
          </cell>
        </row>
        <row r="71">
          <cell r="A71">
            <v>3221</v>
          </cell>
          <cell r="B71" t="str">
            <v xml:space="preserve">MIMS </v>
          </cell>
          <cell r="C71" t="str">
            <v>Med</v>
          </cell>
        </row>
        <row r="72">
          <cell r="A72">
            <v>3250</v>
          </cell>
          <cell r="B72" t="str">
            <v xml:space="preserve">Kirurgisk o perioperativ vetenskap </v>
          </cell>
          <cell r="C72" t="str">
            <v>Med</v>
          </cell>
        </row>
        <row r="73">
          <cell r="A73">
            <v>3251</v>
          </cell>
          <cell r="B73" t="str">
            <v xml:space="preserve">Kirurgi                       </v>
          </cell>
          <cell r="C73" t="str">
            <v>Med</v>
          </cell>
        </row>
        <row r="74">
          <cell r="A74">
            <v>3252</v>
          </cell>
          <cell r="B74" t="str">
            <v xml:space="preserve">Anestesiologi o intensivvård  </v>
          </cell>
          <cell r="C74" t="str">
            <v>Med</v>
          </cell>
        </row>
        <row r="75">
          <cell r="A75">
            <v>3254</v>
          </cell>
          <cell r="B75" t="str">
            <v xml:space="preserve">Klinisk fysiologi             </v>
          </cell>
          <cell r="C75" t="str">
            <v>Med</v>
          </cell>
        </row>
        <row r="76">
          <cell r="A76">
            <v>3255</v>
          </cell>
          <cell r="B76" t="str">
            <v xml:space="preserve">Ortopedi                      </v>
          </cell>
          <cell r="C76" t="str">
            <v>Med</v>
          </cell>
        </row>
        <row r="77">
          <cell r="A77">
            <v>3256</v>
          </cell>
          <cell r="B77" t="str">
            <v xml:space="preserve">Handkirurgi                   </v>
          </cell>
          <cell r="C77" t="str">
            <v>Med</v>
          </cell>
        </row>
        <row r="78">
          <cell r="A78">
            <v>3258</v>
          </cell>
          <cell r="B78" t="str">
            <v xml:space="preserve">Urologi och andrologi         </v>
          </cell>
          <cell r="C78" t="str">
            <v>Med</v>
          </cell>
        </row>
        <row r="79">
          <cell r="A79">
            <v>3300</v>
          </cell>
          <cell r="B79" t="str">
            <v xml:space="preserve">Samhällsmedicin och rehab     </v>
          </cell>
          <cell r="C79" t="str">
            <v>Med</v>
          </cell>
        </row>
        <row r="80">
          <cell r="A80">
            <v>3301</v>
          </cell>
          <cell r="B80" t="str">
            <v xml:space="preserve">Rehabiliteringsmedicin        </v>
          </cell>
          <cell r="C80" t="str">
            <v>Med</v>
          </cell>
        </row>
        <row r="81">
          <cell r="A81">
            <v>3302</v>
          </cell>
          <cell r="B81" t="str">
            <v xml:space="preserve">Arbetsterapi                  </v>
          </cell>
          <cell r="C81" t="str">
            <v>Med</v>
          </cell>
        </row>
        <row r="82">
          <cell r="A82">
            <v>3303</v>
          </cell>
          <cell r="B82" t="str">
            <v xml:space="preserve">Sjukgymnastik                 </v>
          </cell>
          <cell r="C82" t="str">
            <v>Med</v>
          </cell>
        </row>
        <row r="83">
          <cell r="A83">
            <v>3304</v>
          </cell>
          <cell r="B83" t="str">
            <v xml:space="preserve">Geriatrik                     </v>
          </cell>
          <cell r="C83" t="str">
            <v>Med</v>
          </cell>
        </row>
        <row r="84">
          <cell r="A84">
            <v>3305</v>
          </cell>
          <cell r="B84" t="str">
            <v xml:space="preserve">Rättsmedicin                  </v>
          </cell>
          <cell r="C84" t="str">
            <v>Med</v>
          </cell>
        </row>
        <row r="85">
          <cell r="A85">
            <v>3306</v>
          </cell>
          <cell r="B85" t="str">
            <v xml:space="preserve">Idrottsmedicin                </v>
          </cell>
          <cell r="C85" t="str">
            <v>Med</v>
          </cell>
        </row>
        <row r="86">
          <cell r="A86">
            <v>3350</v>
          </cell>
          <cell r="B86" t="str">
            <v>Farmakologi/klin neurovet.skap</v>
          </cell>
          <cell r="C86" t="str">
            <v>Med</v>
          </cell>
        </row>
        <row r="87">
          <cell r="A87">
            <v>3351</v>
          </cell>
          <cell r="B87" t="str">
            <v xml:space="preserve">Farmakologi                   </v>
          </cell>
          <cell r="C87" t="str">
            <v>Med</v>
          </cell>
        </row>
        <row r="88">
          <cell r="A88">
            <v>3352</v>
          </cell>
          <cell r="B88" t="str">
            <v xml:space="preserve">Klinisk farmakologi           </v>
          </cell>
          <cell r="C88" t="str">
            <v>Med</v>
          </cell>
        </row>
        <row r="89">
          <cell r="A89">
            <v>3353</v>
          </cell>
          <cell r="B89" t="str">
            <v>Klinisk neurovetenskap</v>
          </cell>
          <cell r="C89" t="str">
            <v>Med</v>
          </cell>
        </row>
        <row r="90">
          <cell r="A90">
            <v>3400</v>
          </cell>
          <cell r="B90" t="str">
            <v xml:space="preserve">Inst f medicinsk biovetenskap </v>
          </cell>
          <cell r="C90" t="str">
            <v>Med</v>
          </cell>
        </row>
        <row r="91">
          <cell r="A91">
            <v>3401</v>
          </cell>
          <cell r="B91" t="str">
            <v xml:space="preserve">Patologi                      </v>
          </cell>
          <cell r="C91" t="str">
            <v>Med</v>
          </cell>
        </row>
        <row r="92">
          <cell r="A92">
            <v>3402</v>
          </cell>
          <cell r="B92" t="str">
            <v xml:space="preserve">Klinisk kemi                  </v>
          </cell>
          <cell r="C92" t="str">
            <v>Med</v>
          </cell>
        </row>
        <row r="93">
          <cell r="A93">
            <v>3403</v>
          </cell>
          <cell r="B93" t="str">
            <v xml:space="preserve">Fysiologisk kemi              </v>
          </cell>
          <cell r="C93" t="str">
            <v>Med</v>
          </cell>
        </row>
        <row r="94">
          <cell r="A94">
            <v>3405</v>
          </cell>
          <cell r="B94" t="str">
            <v xml:space="preserve">Medicinsk genetik             </v>
          </cell>
          <cell r="C94" t="str">
            <v>Med</v>
          </cell>
        </row>
        <row r="95">
          <cell r="A95">
            <v>3450</v>
          </cell>
          <cell r="B95" t="str">
            <v xml:space="preserve">Klinisk mikrobiologi          </v>
          </cell>
          <cell r="C95" t="str">
            <v>Med</v>
          </cell>
        </row>
        <row r="96">
          <cell r="A96">
            <v>3451</v>
          </cell>
          <cell r="B96" t="str">
            <v xml:space="preserve">Klinisk bakteriologi          </v>
          </cell>
          <cell r="C96" t="str">
            <v>Med</v>
          </cell>
        </row>
        <row r="97">
          <cell r="A97">
            <v>3452</v>
          </cell>
          <cell r="B97" t="str">
            <v xml:space="preserve">Klinisk immunologi       </v>
          </cell>
          <cell r="C97" t="str">
            <v>Med</v>
          </cell>
        </row>
        <row r="98">
          <cell r="A98">
            <v>3453</v>
          </cell>
          <cell r="B98" t="str">
            <v xml:space="preserve">Virologi                      </v>
          </cell>
          <cell r="C98" t="str">
            <v>Med</v>
          </cell>
        </row>
        <row r="99">
          <cell r="A99">
            <v>3454</v>
          </cell>
          <cell r="B99" t="str">
            <v>Biomedicinsk laboratorievetenskap</v>
          </cell>
          <cell r="C99" t="str">
            <v>Med</v>
          </cell>
        </row>
        <row r="100">
          <cell r="A100">
            <v>3455</v>
          </cell>
          <cell r="B100" t="str">
            <v xml:space="preserve">Infektionssjukdomar           </v>
          </cell>
          <cell r="C100" t="str">
            <v>Med</v>
          </cell>
        </row>
        <row r="101">
          <cell r="A101">
            <v>3456</v>
          </cell>
          <cell r="B101" t="str">
            <v xml:space="preserve">Immunologi                    </v>
          </cell>
          <cell r="C101" t="str">
            <v>Med</v>
          </cell>
        </row>
        <row r="102">
          <cell r="A102">
            <v>3500</v>
          </cell>
          <cell r="B102" t="str">
            <v xml:space="preserve">Omvårdnad                     </v>
          </cell>
          <cell r="C102" t="str">
            <v>Med</v>
          </cell>
        </row>
        <row r="103">
          <cell r="A103">
            <v>3550</v>
          </cell>
          <cell r="B103" t="str">
            <v xml:space="preserve">Medicinsk kemi och biofysik   </v>
          </cell>
          <cell r="C103" t="str">
            <v>Med</v>
          </cell>
        </row>
        <row r="104">
          <cell r="A104">
            <v>3600</v>
          </cell>
          <cell r="B104" t="str">
            <v>Interaktiv medicinsk biologi</v>
          </cell>
          <cell r="C104" t="str">
            <v>Med</v>
          </cell>
        </row>
        <row r="105">
          <cell r="A105">
            <v>3601</v>
          </cell>
          <cell r="B105" t="str">
            <v xml:space="preserve">Anatomi                       </v>
          </cell>
          <cell r="C105" t="str">
            <v>Med</v>
          </cell>
        </row>
        <row r="106">
          <cell r="A106">
            <v>3602</v>
          </cell>
          <cell r="B106" t="str">
            <v xml:space="preserve">Histologi med cellbiologi     </v>
          </cell>
          <cell r="C106" t="str">
            <v>Med</v>
          </cell>
        </row>
        <row r="107">
          <cell r="A107">
            <v>3603</v>
          </cell>
          <cell r="B107" t="str">
            <v xml:space="preserve">Fysiologi                     </v>
          </cell>
          <cell r="C107" t="str">
            <v>Med</v>
          </cell>
        </row>
        <row r="108">
          <cell r="A108">
            <v>3700</v>
          </cell>
          <cell r="B108" t="str">
            <v xml:space="preserve">Folkhälsa och klin medicin    </v>
          </cell>
          <cell r="C108" t="str">
            <v>Med</v>
          </cell>
        </row>
        <row r="109">
          <cell r="A109">
            <v>3701</v>
          </cell>
          <cell r="B109" t="str">
            <v xml:space="preserve">Allmänmedicin                 </v>
          </cell>
          <cell r="C109" t="str">
            <v>Med</v>
          </cell>
        </row>
        <row r="110">
          <cell r="A110">
            <v>3702</v>
          </cell>
          <cell r="B110" t="str">
            <v xml:space="preserve">Tillämpad medicin             </v>
          </cell>
          <cell r="C110" t="str">
            <v>Med</v>
          </cell>
        </row>
        <row r="111">
          <cell r="A111">
            <v>3703</v>
          </cell>
          <cell r="B111" t="str">
            <v xml:space="preserve">Dermatologi och venereologi   </v>
          </cell>
          <cell r="C111" t="str">
            <v>Med</v>
          </cell>
        </row>
        <row r="112">
          <cell r="A112">
            <v>3705</v>
          </cell>
          <cell r="B112" t="str">
            <v xml:space="preserve">Medicin                       </v>
          </cell>
          <cell r="C112" t="str">
            <v>Med</v>
          </cell>
        </row>
        <row r="113">
          <cell r="A113">
            <v>3706</v>
          </cell>
          <cell r="B113" t="str">
            <v xml:space="preserve">Lungmedicin                   </v>
          </cell>
          <cell r="C113" t="str">
            <v>Med</v>
          </cell>
        </row>
        <row r="114">
          <cell r="A114">
            <v>3707</v>
          </cell>
          <cell r="B114" t="str">
            <v xml:space="preserve">Reumatologi                   </v>
          </cell>
          <cell r="C114" t="str">
            <v>Med</v>
          </cell>
        </row>
        <row r="115">
          <cell r="A115">
            <v>3708</v>
          </cell>
          <cell r="B115" t="str">
            <v xml:space="preserve">Miljömedicin                  </v>
          </cell>
          <cell r="C115" t="str">
            <v>Med</v>
          </cell>
        </row>
        <row r="116">
          <cell r="A116">
            <v>3709</v>
          </cell>
          <cell r="B116" t="str">
            <v xml:space="preserve">Yrkesmedicin                  </v>
          </cell>
          <cell r="C116" t="str">
            <v>Med</v>
          </cell>
        </row>
        <row r="117">
          <cell r="A117">
            <v>3710</v>
          </cell>
          <cell r="B117" t="str">
            <v>Folkhälsovetenskap</v>
          </cell>
          <cell r="C117" t="str">
            <v>Med</v>
          </cell>
        </row>
        <row r="118">
          <cell r="A118">
            <v>3850</v>
          </cell>
          <cell r="B118" t="str">
            <v>Epidemiologi och global hälsa</v>
          </cell>
          <cell r="C118" t="str">
            <v>Med</v>
          </cell>
        </row>
        <row r="119">
          <cell r="A119">
            <v>3900</v>
          </cell>
          <cell r="B119" t="str">
            <v xml:space="preserve">Näringsforskning              </v>
          </cell>
          <cell r="C119" t="str">
            <v>Med</v>
          </cell>
        </row>
        <row r="120">
          <cell r="A120">
            <v>3910</v>
          </cell>
          <cell r="B120" t="str">
            <v>Umeå centrum för molekylär med</v>
          </cell>
          <cell r="C120" t="str">
            <v>Med</v>
          </cell>
        </row>
        <row r="121">
          <cell r="A121">
            <v>3920</v>
          </cell>
          <cell r="B121" t="str">
            <v>FDN</v>
          </cell>
          <cell r="C121" t="str">
            <v>Med</v>
          </cell>
        </row>
        <row r="122">
          <cell r="A122">
            <v>3921</v>
          </cell>
          <cell r="B122" t="str">
            <v>GDL</v>
          </cell>
          <cell r="C122" t="str">
            <v>Med</v>
          </cell>
        </row>
        <row r="123">
          <cell r="A123">
            <v>3922</v>
          </cell>
          <cell r="B123" t="str">
            <v>UTCF</v>
          </cell>
          <cell r="C123" t="str">
            <v>Med</v>
          </cell>
        </row>
        <row r="124">
          <cell r="A124">
            <v>3923</v>
          </cell>
          <cell r="B124" t="str">
            <v>BIS</v>
          </cell>
          <cell r="C124" t="str">
            <v>Med</v>
          </cell>
        </row>
        <row r="125">
          <cell r="A125">
            <v>3960</v>
          </cell>
          <cell r="B125" t="str">
            <v xml:space="preserve">Odontologiska inst            </v>
          </cell>
          <cell r="C125" t="str">
            <v>Med</v>
          </cell>
        </row>
        <row r="126">
          <cell r="A126">
            <v>3962</v>
          </cell>
          <cell r="B126" t="str">
            <v>Administration odontologi</v>
          </cell>
          <cell r="C126" t="str">
            <v>Med</v>
          </cell>
        </row>
        <row r="127">
          <cell r="A127">
            <v>3964</v>
          </cell>
          <cell r="B127" t="str">
            <v xml:space="preserve">Cariologi                     </v>
          </cell>
          <cell r="C127" t="str">
            <v>Med</v>
          </cell>
        </row>
        <row r="128">
          <cell r="A128">
            <v>3966</v>
          </cell>
          <cell r="B128" t="str">
            <v xml:space="preserve">Protetik                      </v>
          </cell>
          <cell r="C128" t="str">
            <v>Med</v>
          </cell>
        </row>
        <row r="129">
          <cell r="A129">
            <v>3968</v>
          </cell>
          <cell r="B129" t="str">
            <v xml:space="preserve">Endodonti                     </v>
          </cell>
          <cell r="C129" t="str">
            <v>Med</v>
          </cell>
        </row>
        <row r="130">
          <cell r="A130">
            <v>3970</v>
          </cell>
          <cell r="B130" t="str">
            <v xml:space="preserve">Oral mikrobiologi             </v>
          </cell>
          <cell r="C130" t="str">
            <v>Med</v>
          </cell>
        </row>
        <row r="131">
          <cell r="A131">
            <v>3972</v>
          </cell>
          <cell r="B131" t="str">
            <v xml:space="preserve">Oral cellbiologi              </v>
          </cell>
          <cell r="C131" t="str">
            <v>Med</v>
          </cell>
        </row>
        <row r="132">
          <cell r="A132">
            <v>3974</v>
          </cell>
          <cell r="B132" t="str">
            <v xml:space="preserve">Oral diagn radiologi          </v>
          </cell>
          <cell r="C132" t="str">
            <v>Med</v>
          </cell>
        </row>
        <row r="133">
          <cell r="A133">
            <v>3976</v>
          </cell>
          <cell r="B133" t="str">
            <v xml:space="preserve">Odont materialvetenskap       </v>
          </cell>
          <cell r="C133" t="str">
            <v>Med</v>
          </cell>
        </row>
        <row r="134">
          <cell r="A134">
            <v>3978</v>
          </cell>
          <cell r="B134" t="str">
            <v xml:space="preserve">Käkkirurgi                    </v>
          </cell>
          <cell r="C134" t="str">
            <v>Med</v>
          </cell>
        </row>
        <row r="135">
          <cell r="A135">
            <v>3980</v>
          </cell>
          <cell r="B135" t="str">
            <v xml:space="preserve">Parodontologi                 </v>
          </cell>
          <cell r="C135" t="str">
            <v>Med</v>
          </cell>
        </row>
        <row r="136">
          <cell r="A136">
            <v>3982</v>
          </cell>
          <cell r="B136" t="str">
            <v xml:space="preserve">Klinisk oral fysiologi        </v>
          </cell>
          <cell r="C136" t="str">
            <v>Med</v>
          </cell>
        </row>
        <row r="137">
          <cell r="A137">
            <v>3984</v>
          </cell>
          <cell r="B137" t="str">
            <v xml:space="preserve">Pedodonti                     </v>
          </cell>
          <cell r="C137" t="str">
            <v>Med</v>
          </cell>
        </row>
        <row r="138">
          <cell r="A138">
            <v>3986</v>
          </cell>
          <cell r="B138" t="str">
            <v xml:space="preserve">Ortodonti                     </v>
          </cell>
          <cell r="C138" t="str">
            <v>Med</v>
          </cell>
        </row>
        <row r="139">
          <cell r="A139">
            <v>3988</v>
          </cell>
          <cell r="B139" t="str">
            <v xml:space="preserve">Tandhygienistutbildning       </v>
          </cell>
          <cell r="C139" t="str">
            <v>Med</v>
          </cell>
        </row>
        <row r="140">
          <cell r="A140">
            <v>3990</v>
          </cell>
          <cell r="B140" t="str">
            <v>Tandteknikerprogrammet</v>
          </cell>
          <cell r="C140" t="str">
            <v>Med</v>
          </cell>
        </row>
        <row r="141">
          <cell r="A141">
            <v>5000</v>
          </cell>
          <cell r="B141" t="str">
            <v xml:space="preserve">Gem Teknisk nat fakulteten    </v>
          </cell>
          <cell r="C141" t="str">
            <v>TekNat</v>
          </cell>
        </row>
        <row r="142">
          <cell r="A142">
            <v>5005</v>
          </cell>
          <cell r="B142" t="str">
            <v xml:space="preserve">Plangrupp f tekn biologi      </v>
          </cell>
          <cell r="C142" t="str">
            <v>TekNat</v>
          </cell>
        </row>
        <row r="143">
          <cell r="A143">
            <v>5008</v>
          </cell>
          <cell r="B143" t="str">
            <v xml:space="preserve">Interaktionsteknik och design </v>
          </cell>
          <cell r="C143" t="str">
            <v>TekNat</v>
          </cell>
        </row>
        <row r="144">
          <cell r="A144">
            <v>5009</v>
          </cell>
          <cell r="B144" t="str">
            <v>Receptarieutbildning</v>
          </cell>
          <cell r="C144" t="str">
            <v>TekNat</v>
          </cell>
        </row>
        <row r="145">
          <cell r="A145">
            <v>5016</v>
          </cell>
          <cell r="B145" t="str">
            <v xml:space="preserve">Umeå Marina Forskningscentrum </v>
          </cell>
          <cell r="C145" t="str">
            <v>TekNat</v>
          </cell>
        </row>
        <row r="146">
          <cell r="A146">
            <v>5100</v>
          </cell>
          <cell r="B146" t="str">
            <v>EMG</v>
          </cell>
          <cell r="C146" t="str">
            <v>TekNat</v>
          </cell>
        </row>
        <row r="147">
          <cell r="A147">
            <v>5121</v>
          </cell>
          <cell r="B147" t="str">
            <v xml:space="preserve">Växthuset                     </v>
          </cell>
          <cell r="C147" t="str">
            <v>TekNat</v>
          </cell>
        </row>
        <row r="148">
          <cell r="A148">
            <v>5160</v>
          </cell>
          <cell r="B148" t="str">
            <v xml:space="preserve">Inst för Fysiologisk botanik  </v>
          </cell>
          <cell r="C148" t="str">
            <v>TekNat</v>
          </cell>
        </row>
        <row r="149">
          <cell r="A149">
            <v>5161</v>
          </cell>
          <cell r="B149" t="str">
            <v>UPSC Umeå Plant Science Center</v>
          </cell>
          <cell r="C149" t="str">
            <v>TekNat</v>
          </cell>
        </row>
        <row r="150">
          <cell r="A150">
            <v>5220</v>
          </cell>
          <cell r="B150" t="str">
            <v>Molekylärbiologi</v>
          </cell>
          <cell r="C150" t="str">
            <v>TekNat</v>
          </cell>
        </row>
        <row r="151">
          <cell r="A151">
            <v>5310</v>
          </cell>
          <cell r="B151" t="str">
            <v xml:space="preserve">Inst Designhögskolan          </v>
          </cell>
          <cell r="C151" t="str">
            <v>TekNat</v>
          </cell>
        </row>
        <row r="152">
          <cell r="A152">
            <v>5400</v>
          </cell>
          <cell r="B152" t="str">
            <v xml:space="preserve">Inst för Fysik                </v>
          </cell>
          <cell r="C152" t="str">
            <v>TekNat</v>
          </cell>
        </row>
        <row r="153">
          <cell r="A153">
            <v>5410</v>
          </cell>
          <cell r="B153" t="str">
            <v>TFE</v>
          </cell>
          <cell r="C153" t="str">
            <v>TekNat</v>
          </cell>
        </row>
        <row r="154">
          <cell r="A154">
            <v>5412</v>
          </cell>
          <cell r="B154" t="str">
            <v>Energiteknik</v>
          </cell>
          <cell r="C154" t="str">
            <v>TekNat</v>
          </cell>
        </row>
        <row r="155">
          <cell r="A155">
            <v>5500</v>
          </cell>
          <cell r="B155" t="str">
            <v xml:space="preserve">Kemiska institutionen         </v>
          </cell>
          <cell r="C155" t="str">
            <v>TekNat</v>
          </cell>
        </row>
        <row r="156">
          <cell r="A156">
            <v>5607</v>
          </cell>
          <cell r="B156" t="str">
            <v xml:space="preserve">Säkerhetshuset                </v>
          </cell>
          <cell r="C156" t="str">
            <v>TekNat</v>
          </cell>
        </row>
        <row r="157">
          <cell r="A157">
            <v>5608</v>
          </cell>
          <cell r="B157" t="str">
            <v xml:space="preserve">Kemiförrådet                  </v>
          </cell>
          <cell r="C157" t="str">
            <v>TekNat</v>
          </cell>
        </row>
        <row r="158">
          <cell r="A158">
            <v>5609</v>
          </cell>
          <cell r="B158" t="str">
            <v xml:space="preserve">VMC KBC                   </v>
          </cell>
          <cell r="C158" t="str">
            <v>TekNat</v>
          </cell>
        </row>
        <row r="159">
          <cell r="A159">
            <v>5700</v>
          </cell>
          <cell r="B159" t="str">
            <v xml:space="preserve">Inst för datavetenskap        </v>
          </cell>
          <cell r="C159" t="str">
            <v>TekNat</v>
          </cell>
        </row>
        <row r="160">
          <cell r="A160">
            <v>5701</v>
          </cell>
          <cell r="B160" t="str">
            <v xml:space="preserve">UCIT                          </v>
          </cell>
          <cell r="C160" t="str">
            <v>TekNat</v>
          </cell>
        </row>
        <row r="161">
          <cell r="A161">
            <v>5730</v>
          </cell>
          <cell r="B161" t="str">
            <v>Inst för MA och MA statistik</v>
          </cell>
          <cell r="C161" t="str">
            <v>TekNat</v>
          </cell>
        </row>
        <row r="162">
          <cell r="A162">
            <v>5740</v>
          </cell>
          <cell r="B162" t="str">
            <v>NMD</v>
          </cell>
          <cell r="C162" t="str">
            <v>TekNat</v>
          </cell>
        </row>
        <row r="163">
          <cell r="A163">
            <v>6000</v>
          </cell>
          <cell r="B163" t="str">
            <v xml:space="preserve">Lärarutbildningarna gem       </v>
          </cell>
          <cell r="C163" t="str">
            <v>LH</v>
          </cell>
        </row>
        <row r="164">
          <cell r="A164">
            <v>6100</v>
          </cell>
          <cell r="B164" t="str">
            <v>Universitetspedagogiskt centrum</v>
          </cell>
          <cell r="C164" t="str">
            <v>Hum</v>
          </cell>
        </row>
        <row r="165">
          <cell r="A165">
            <v>6150</v>
          </cell>
          <cell r="B165" t="str">
            <v>Värdegrundcentrum VGC</v>
          </cell>
          <cell r="C165" t="str">
            <v>Hum</v>
          </cell>
        </row>
      </sheetData>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Eva Alenius" refreshedDate="44467.600556712961" createdVersion="5" refreshedVersion="6" minRefreshableVersion="3" recordCount="120">
  <cacheSource type="worksheet">
    <worksheetSource ref="A1:T131" sheet="underlag medverkande 2"/>
  </cacheSource>
  <cacheFields count="20">
    <cacheField name="Kurskod NyA" numFmtId="0">
      <sharedItems containsBlank="1" count="146">
        <s v="6ES072"/>
        <s v="6ES094"/>
        <s v="6ES118"/>
        <s v="6ES119"/>
        <s v="6HI035"/>
        <s v="6ID017"/>
        <s v="6ID018"/>
        <s v="6ID021"/>
        <s v="6KG004"/>
        <s v="6KP000"/>
        <s v="6KP001"/>
        <s v="6KP002"/>
        <s v="6LI013"/>
        <s v="6LU002"/>
        <s v="6LU009"/>
        <s v="6LU005"/>
        <s v="6LU006"/>
        <s v="6LU007"/>
        <s v="6LU008"/>
        <s v="6LÄ046"/>
        <s v="6LÄ048"/>
        <s v="6LÄ058"/>
        <s v="6LÄ063"/>
        <s v="6MN041"/>
        <s v="6MN043"/>
        <s v="6MN044"/>
        <s v="6MN045"/>
        <s v="6NO043"/>
        <s v="6PE111"/>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1"/>
        <s v="6PE283"/>
        <s v="6PE285"/>
        <s v="6PE288"/>
        <s v="6PE290"/>
        <s v="6PE284"/>
        <s v="6SD002"/>
        <s v="6SH009"/>
        <s v="6SH010"/>
        <s v="6SH011"/>
        <s v="6SH014"/>
        <s v="6SP050"/>
        <s v="6SP051"/>
        <s v="6SP052"/>
        <s v="6SP061"/>
        <s v="6SV075"/>
        <s v="6SV078"/>
        <s v="6SV079"/>
        <s v="6SY035"/>
        <s v="6SY038"/>
        <s v="6SY042"/>
        <m/>
        <s v="6PE148" u="1"/>
        <s v="6PE303c" u="1"/>
        <s v="6PE135" u="1"/>
        <s v="6PE303d" u="1"/>
        <s v="6PE136" u="1"/>
        <s v="6KG006" u="1"/>
        <s v="6MN028" u="1"/>
        <s v="6SV020" u="1"/>
        <s v="6PE303e" u="1"/>
        <s v="6PE110" u="1"/>
        <s v="6PE196" u="1"/>
        <s v="6PE302" u="1"/>
        <s v="6PE303f" u="1"/>
        <s v="6PE170" u="1"/>
        <s v="6PE303" u="1"/>
        <s v="6PE096" u="1"/>
        <s v="6PE215" u="1"/>
        <s v="6PE114" u="1"/>
        <s v="6KPUny1" u="1"/>
        <s v="6LÄ055" u="1"/>
        <s v="6PE098" u="1"/>
        <s v="6PE115" u="1"/>
        <s v="6PE129" u="1"/>
        <s v="6KPUny2" u="1"/>
        <s v="6PE099" u="1"/>
        <s v="6HI015" u="1"/>
        <s v="6PE103" u="1"/>
        <s v="6SV027" u="1"/>
        <s v="6SYxx1" u="1"/>
        <s v="6ID314" u="1"/>
        <s v="6PE189" u="1"/>
        <s v="6PE104" u="1"/>
        <s v="6SV028" u="1"/>
        <s v="6LÄ045" u="1"/>
        <s v="6SY027" u="1"/>
        <s v="6ID303" u="1"/>
        <s v="6MN042" u="1"/>
        <s v="6LÄ047" u="1"/>
        <s v="6PE151" u="1"/>
        <s v="6PE107" u="1"/>
        <s v="6GExx1" u="1"/>
        <s v="6PE152" u="1"/>
        <s v="6SP053" u="1"/>
        <s v="6LI005" u="1"/>
        <s v="6PE108" u="1"/>
        <s v="6PE153" u="1"/>
        <s v="6SP040" u="1"/>
        <s v="6PE109" u="1"/>
        <s v="6PE154" u="1"/>
        <s v="6GExx4" u="1"/>
        <s v="6PE169" u="1"/>
        <s v="6PE143" u="1"/>
        <s v="6PE130" u="1"/>
        <s v="6PE144" u="1"/>
        <s v="6PE158" u="1"/>
        <s v="6PE131" u="1"/>
        <s v="6LU003" u="1"/>
        <s v="6PE145" u="1"/>
        <s v="6PE159" u="1"/>
        <s v="6KG002" u="1"/>
        <s v="6GExx9" u="1"/>
        <s v="6PE303b" u="1"/>
        <s v="6PE147" u="1"/>
        <s v="6MN025" u="1"/>
      </sharedItems>
    </cacheField>
    <cacheField name="Benämning" numFmtId="0">
      <sharedItems containsBlank="1" count="139">
        <s v="Skapande lek i förskolan 1"/>
        <s v="Skapande och lek för förskolan 2"/>
        <s v="Skapande lek i  förskolan 2"/>
        <s v="Historia 3"/>
        <s v="Idrott och hälsa 1"/>
        <s v="Idrott och hälsa 3"/>
        <s v="Idrott och hälsa 2"/>
        <s v="Introduktion till geografi"/>
        <s v="Undervisning och lärande (UVK)"/>
        <s v="Skolans uppdrag (UVK)"/>
        <s v="Bedömning för och av lärande (UVK)"/>
        <s v="Specialpedagogik med fokus på svenska och matematik för F-3"/>
        <s v="Demokrati, individ och samhälle"/>
        <s v="Kunskap, undervisning och lärande 1 (UVK)"/>
        <s v="Samhällsorientering åk 4-6"/>
        <s v="Kunskap, vetenskap och forskningsmetodik, 7,5 hp"/>
        <s v="Etik, demokrati och det heterogena klassrummet, 7,5 hp"/>
        <s v="Värdegrund, etik och mångfald (UVK)"/>
        <s v="Att undervisa i åk 4-6"/>
        <s v="Att undervisa i F-3"/>
        <s v="Kommunikation och språkutveckling för fritidshem"/>
        <s v="Språkutveckling, litteracitet och barnlitteratur i förskolan och förskoleklassen"/>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örskoleklass och grundskolans årskurs 1-3 (UK)"/>
        <s v="Att vara grundlärare (VFU)"/>
        <s v="Språk och matematik i ett specialpedagogiskt perspektiv"/>
        <s v="Ämnesdidaktik för yrkeslärare (UVK)"/>
        <s v="Kunskap, undervisning och lärande 2 (UVK)"/>
        <s v="Forskningsmetod och profession (UVK)"/>
        <s v="Pedagogiskt ledarskap, sociala relationer och specialpedagogik (UVK)"/>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för ämneslärare, kurs 1"/>
        <s v="Svenska för ämneslärare, kurs 2"/>
        <s v="Svenska för ämneslärare, kurs 3"/>
        <s v="Samhällsvetenskap"/>
        <s v="Beteendevetenskapliga grunder"/>
        <s v="Beteendevetenskapliga grunder för karriärvägledning"/>
        <m/>
        <s v="Kunskap, undervisning och lärande II (7-9)(Gy), Mom 2 (Ma), 3 hp" u="1"/>
        <s v="Utbildningens villkor och samhälleliga funktion" u="1"/>
        <s v="Skolans uppdrag (UK)" u="1"/>
        <s v="Lärande och undervisning (prel benämning)" u="1"/>
        <s v="Vetenskapliga metoder i geografi" u="1"/>
        <s v="Ämnesdidaktik i skolpraktiken, del 1" u="1"/>
        <s v="Kunskap, undervisning och lärande II (7-9)(Gy), Mom 2 (Bild+Mu+Slöjd), 3 hp" u="1"/>
        <s v="Svenska II för ämneslärare" u="1"/>
        <s v="Bedömning för lärande för förskolan 1 (UK)" u="1"/>
        <s v="Kunskap, undervisning och lärande II (7-9)(Gy), Mom 2 (Hi+Re), 3 hp" u="1"/>
        <s v="Historia III forts." u="1"/>
        <s v="Språk, kommunikation och språkutveckling i förskolans verksamhet" u="1"/>
        <s v="Matematik för åk 4-6, kurs 4" u="1"/>
        <s v="Lärande, lek och utveckling i förskolan II" u="1"/>
        <s v="Vetenskap och kunskap" u="1"/>
        <s v="Profession och vetenskap för F-3 (UK III)" u="1"/>
        <s v="Lärande, lek och utveckling i förskolan I" u="1"/>
        <s v="Ämnesdidaktik för yrkeslärare" u="1"/>
        <s v="Kunskap, undervisning och lärande II för åk 4-6" u="1"/>
        <s v="Forskningsmetod och profession (UK)" u="1"/>
        <s v="Bedömning för lärande i fritidshem (UK II)" u="1"/>
        <s v="Verksamhetsförlagd utbildning för yrkeslärare" u="1"/>
        <s v="Geografi II" u="1"/>
        <s v="Lärarens uppdrag (prel benämning)" u="1"/>
        <s v="Kunskap, undervisning och lärande i fritidshem II" u="1"/>
        <s v="Kunskap undervisning och lärande II" u="1"/>
        <s v="Kunskap, undervisning och lärande I" u="1"/>
        <s v="Matematik 2 för grundskolans årskurs 4-6" u="1"/>
        <s v="Kunskap, undervisning och lärande II (7-9)(Gy), Mom 2 (Hk), 3 hp" u="1"/>
        <s v="Pedagogiskt ledarskap, sociala relationer och konflikthantering" u="1"/>
        <s v="Profession och vetenskap för yrkeslärare" u="1"/>
        <s v="Kunskap, undervisning och lärande för förskolan (UK)" u="1"/>
        <s v="Svenska I för ämneslärare"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Idrott och hälsa II för gymnasieskolan" u="1"/>
        <s v="Lärande och undervisning (UK)"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Undervisning och lärande (UK)" u="1"/>
        <s v="Verksamhetsförlagd utbildning (KPU)" u="1"/>
        <s v="Läraryrkets dimensioner för åk 4-6 (VFU III)" u="1"/>
        <s v="Kunskap, undervisning och lärande för yrkeslärare 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Kartor och GIS" u="1"/>
        <s v="Svenska III för ämneslärare" u="1"/>
        <s v="Barns lärande och utveckling i ett fritidshemsperspektiv" u="1"/>
      </sharedItems>
    </cacheField>
    <cacheField name="Org 1" numFmtId="0">
      <sharedItems containsString="0" containsBlank="1" containsNumber="1" containsInteger="1" minValue="1620" maxValue="5740"/>
    </cacheField>
    <cacheField name="Medv namn" numFmtId="0">
      <sharedItems containsBlank="1" count="23">
        <s v="Pedagogik                     "/>
        <s v="TUV "/>
        <s v="Ekonomisk historia            "/>
        <s v="Idrottsmedicin                "/>
        <s v="Inst för kost- och måltidsvetenskap"/>
        <s v="Epidemiologi och global hälsa"/>
        <s v="EMG"/>
        <s v="Inst för språkstudier"/>
        <s v="Inst för kultur- o medievetenskap"/>
        <s v="Juridiska institutionen       "/>
        <s v="NMD"/>
        <s v="Inst för psykologi            "/>
        <s v="Geografi"/>
        <s v="Statistik                     "/>
        <s v="Inst för MA och MA statistik"/>
        <s v="Estetiska ämnen               "/>
        <s v="Statsvetenskap                "/>
        <s v="Nationalekonomi               "/>
        <s v="Sociologi                     "/>
        <m/>
        <s v="Kostvetenskap                 " u="1"/>
        <s v="Geografi och ekonomisk historia" u="1"/>
        <s v="Inst för ide- o samhällsstudier" u="1"/>
      </sharedItems>
    </cacheField>
    <cacheField name="Fak medv" numFmtId="0">
      <sharedItems containsBlank="1"/>
    </cacheField>
    <cacheField name="% org 1" numFmtId="0">
      <sharedItems containsString="0" containsBlank="1" containsNumber="1" minValue="0.05" maxValue="1" count="37">
        <n v="0.2"/>
        <n v="0.1"/>
        <n v="0.25"/>
        <n v="0.15"/>
        <n v="0.16666666666666666"/>
        <n v="0.5"/>
        <n v="0.13333333333333333"/>
        <n v="6.6666666666666666E-2"/>
        <n v="0.46666666666666667"/>
        <n v="0.35"/>
        <n v="0.33333333333333331"/>
        <n v="0.26666666666666666"/>
        <n v="0.4"/>
        <n v="0.125"/>
        <n v="0.41666666666666669"/>
        <n v="8.3333333333333329E-2"/>
        <n v="0.375"/>
        <n v="0.22727272727272727"/>
        <n v="9.0909090909090912E-2"/>
        <n v="0.3"/>
        <n v="0.35555555555555557"/>
        <n v="0.16"/>
        <n v="0.24000000000000002"/>
        <n v="0.18000000000000002"/>
        <n v="0.26999999999999996"/>
        <n v="0.05"/>
        <n v="0.7"/>
        <n v="0.6"/>
        <m/>
        <n v="7.4999999999999997E-2" u="1"/>
        <n v="0.2857142857142857" u="1"/>
        <n v="0.8" u="1"/>
        <n v="0.17857142857142858" u="1"/>
        <n v="0.48888888888888887" u="1"/>
        <n v="0.14285714285714285" u="1"/>
        <n v="1" u="1"/>
        <n v="9.166666666666666E-2" u="1"/>
      </sharedItems>
    </cacheField>
    <cacheField name="Ansv org" numFmtId="0">
      <sharedItems containsString="0" containsBlank="1" containsNumber="1" containsInteger="1" minValue="1620" maxValue="5740"/>
    </cacheField>
    <cacheField name="Kursansvar namn" numFmtId="0">
      <sharedItems containsBlank="1" count="12">
        <s v="Estetiska ämnen               "/>
        <s v="Inst för ide- o samhällsstudier"/>
        <s v="Pedagogik                     "/>
        <s v="Geografi"/>
        <s v="NMD"/>
        <s v="Inst för språkstudier"/>
        <s v="TUV "/>
        <s v="Statsvetenskap                "/>
        <m/>
        <s v="EMG" u="1"/>
        <s v="Geografi och ekonomisk historia" u="1"/>
        <e v="#N/A" u="1"/>
      </sharedItems>
    </cacheField>
    <cacheField name="Fak kursansvar" numFmtId="0">
      <sharedItems containsBlank="1"/>
    </cacheField>
    <cacheField name="Total HST" numFmtId="0">
      <sharedItems containsString="0" containsBlank="1" containsNumber="1" minValue="0" maxValue="53.818750000000001"/>
    </cacheField>
    <cacheField name="HST Medv" numFmtId="0">
      <sharedItems containsString="0" containsBlank="1" containsNumber="1" minValue="0" maxValue="22.872500000000002"/>
    </cacheField>
    <cacheField name="Total HPR" numFmtId="0">
      <sharedItems containsString="0" containsBlank="1" containsNumber="1" minValue="0" maxValue="45.745937499999997"/>
    </cacheField>
    <cacheField name="HPR Medv" numFmtId="0">
      <sharedItems containsString="0" containsBlank="1" containsNumber="1" minValue="0" maxValue="19.441624999999998"/>
    </cacheField>
    <cacheField name="Prislapp HST" numFmtId="0">
      <sharedItems containsString="0" containsBlank="1" containsNumber="1" minValue="16920" maxValue="47928"/>
    </cacheField>
    <cacheField name="Prislapp HPR" numFmtId="0">
      <sharedItems containsString="0" containsBlank="1" containsNumber="1" minValue="17442" maxValue="36082"/>
    </cacheField>
    <cacheField name="Lokalin/hst" numFmtId="0">
      <sharedItems containsString="0" containsBlank="1" containsNumber="1" containsInteger="1" minValue="3600" maxValue="35700"/>
    </cacheField>
    <cacheField name="Kursintäkt" numFmtId="0">
      <sharedItems containsString="0" containsBlank="1" containsNumber="1" minValue="0" maxValue="1257970.3456250001"/>
    </cacheField>
    <cacheField name="Avdrag" numFmtId="0">
      <sharedItems containsString="0" containsBlank="1" containsNumber="1" minValue="-88057.924193750019" maxValue="0"/>
    </cacheField>
    <cacheField name="Kursintäkt efter avdrag" numFmtId="0">
      <sharedItems containsString="0" containsBlank="1" containsNumber="1" minValue="0" maxValue="1169912.4214312499"/>
    </cacheField>
    <cacheField name="Lokalintäkt" numFmtId="0">
      <sharedItems containsString="0" containsBlank="1" containsNumber="1" minValue="0" maxValue="22758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va Alenius" refreshedDate="44467.604564814814" createdVersion="6" refreshedVersion="6" minRefreshableVersion="3" recordCount="1041">
  <cacheSource type="worksheet">
    <worksheetSource ref="A1:BO1042" sheet="kurser alla"/>
  </cacheSource>
  <cacheFields count="67">
    <cacheField name="Kurskod NyA" numFmtId="0">
      <sharedItems count="410">
        <s v="1FR001"/>
        <s v="1FR002"/>
        <s v="2NE086"/>
        <s v="5BI137"/>
        <s v="5BI234"/>
        <s v="5BI235"/>
        <s v="5FY040"/>
        <s v="5FY185"/>
        <s v="5FY210"/>
        <s v="5KE020"/>
        <s v="5KE081"/>
        <s v="5KE165"/>
        <s v="5KE180"/>
        <s v="5KE195"/>
        <s v="5KE196"/>
        <s v="5MA160"/>
        <s v="6BI020"/>
        <s v="6BI022"/>
        <s v="6BI024"/>
        <s v="6BI025"/>
        <s v="6BI101"/>
        <s v="6BI102"/>
        <s v="6DV000"/>
        <s v="6EN036"/>
        <s v="6EN038"/>
        <s v="6EN039"/>
        <s v="6EN040"/>
        <s v="6EN041"/>
        <s v="6EN042"/>
        <s v="6EN043"/>
        <s v="6EN044"/>
        <s v="6EN045"/>
        <s v="6EN046"/>
        <s v="6ES037"/>
        <s v="6ES038"/>
        <s v="6ES051"/>
        <s v="6ES066"/>
        <s v="6ES067"/>
        <s v="6ES068"/>
        <s v="6ES070"/>
        <s v="6ES071"/>
        <s v="6ES072"/>
        <s v="6ES075"/>
        <s v="6ES077"/>
        <s v="6ES080"/>
        <s v="6ES082"/>
        <s v="6ES091"/>
        <s v="6ES092"/>
        <s v="6ES093"/>
        <s v="6ES094"/>
        <s v="6ES096"/>
        <s v="6ES097"/>
        <s v="6ES100"/>
        <s v="6ES105"/>
        <s v="6ES106"/>
        <s v="6ES107"/>
        <s v="6ES112"/>
        <s v="6ES115"/>
        <s v="6ES116"/>
        <s v="6ES117"/>
        <s v="6ES118"/>
        <s v="6ES119"/>
        <s v="6EX30"/>
        <s v="6FA008"/>
        <s v="6FA009"/>
        <s v="6FRIEST2"/>
        <s v="6FRISPRÅK11"/>
        <s v="6FRISPRÅK12"/>
        <s v="6FRISPRÅK6"/>
        <s v="6FRISPRÅK7"/>
        <s v="6FRISPRÅK9"/>
        <s v="6FY009"/>
        <s v="6FY100"/>
        <s v="6FY101"/>
        <s v="6FY102"/>
        <s v="6GV000"/>
        <s v="6GV001"/>
        <s v="6GV002"/>
        <s v="6GV003"/>
        <s v="6HI029"/>
        <s v="6HI031"/>
        <s v="6HI032"/>
        <s v="6HI033"/>
        <s v="6HI034"/>
        <s v="6HI035"/>
        <s v="6ID013"/>
        <s v="6ID015"/>
        <s v="6ID016"/>
        <s v="6ID017"/>
        <s v="6ID018"/>
        <s v="6ID021"/>
        <s v="6ID022"/>
        <s v="6IT023"/>
        <s v="6IT047"/>
        <s v="6IT048"/>
        <s v="6KG003"/>
        <s v="6KG005"/>
        <s v="6KG006"/>
        <s v="6KG007"/>
        <s v="6KG008"/>
        <s v="6KG009"/>
        <s v="6KG010"/>
        <s v="6KN023"/>
        <s v="6KN024"/>
        <s v="6KN025"/>
        <s v="6KN026"/>
        <s v="6KN028"/>
        <s v="6KN029"/>
        <s v="6KN033"/>
        <s v="6KP000"/>
        <s v="6KP001"/>
        <s v="6KP002"/>
        <s v="6KP003"/>
        <s v="6KP004"/>
        <s v="6KP005"/>
        <s v="6KP006"/>
        <s v="6KP009"/>
        <s v="6KP010"/>
        <s v="6KP011"/>
        <s v="6KP012"/>
        <s v="6KP014"/>
        <s v="6KP015"/>
        <s v="6KP016"/>
        <s v="6LI011"/>
        <s v="6LI013"/>
        <s v="6LU005"/>
        <s v="6LU006"/>
        <s v="6LU007"/>
        <s v="6LU008"/>
        <s v="6LU009"/>
        <s v="6LÄ046"/>
        <s v="6LÄ048"/>
        <s v="6LÄ053"/>
        <s v="6LÄ054"/>
        <s v="6LÄ058"/>
        <s v="6LÄ059"/>
        <s v="6LÄ061"/>
        <s v="6LÄ062"/>
        <s v="6LÄ063"/>
        <s v="6LÄ064"/>
        <s v="6LÄ065"/>
        <s v="6LÄ068"/>
        <s v="6MA034"/>
        <s v="6MA036"/>
        <s v="6MA038"/>
        <s v="6MA040"/>
        <s v="6MA041"/>
        <s v="6MA042"/>
        <s v="6MA043"/>
        <s v="6MA044"/>
        <s v="6MA045"/>
        <s v="6MA046"/>
        <s v="6MA047"/>
        <s v="6MA048"/>
        <s v="6MA049"/>
        <s v="6MA050"/>
        <s v="6MA051"/>
        <s v="6MA053"/>
        <s v="6MN036"/>
        <s v="6MN039"/>
        <s v="6MN040"/>
        <s v="6MN041"/>
        <s v="6MN042"/>
        <s v="6MN043"/>
        <s v="6MN044"/>
        <s v="6MN045"/>
        <s v="6MN047"/>
        <s v="6MN048"/>
        <s v="6MN049"/>
        <s v="6MN050"/>
        <s v="6MN051"/>
        <s v="6MS002"/>
        <s v="6MS003"/>
        <s v="6MU021"/>
        <s v="6MU044"/>
        <s v="6MU051"/>
        <s v="6MU058"/>
        <s v="6MU059"/>
        <s v="6MU060"/>
        <s v="6MU061"/>
        <s v="6NE001"/>
        <s v="6NE002"/>
        <s v="6NK001"/>
        <s v="6NK036"/>
        <s v="6NK101"/>
        <s v="6NK102"/>
        <s v="6NO036"/>
        <s v="6NO039"/>
        <s v="6NO040"/>
        <s v="6NO043"/>
        <s v="6NO044"/>
        <s v="6NO045"/>
        <s v="6NO047"/>
        <s v="6PE055"/>
        <s v="6PE111"/>
        <s v="6PE118"/>
        <s v="6PE134"/>
        <s v="6PE138"/>
        <s v="6PE146"/>
        <s v="6PE182"/>
        <s v="6PE183"/>
        <s v="6PE184"/>
        <s v="6PE185"/>
        <s v="6PE186"/>
        <s v="6PE187"/>
        <s v="6PE192"/>
        <s v="6PE193"/>
        <s v="6PE194"/>
        <s v="6PE195"/>
        <s v="6PE198"/>
        <s v="6PE199"/>
        <s v="6PE200"/>
        <s v="6PE201"/>
        <s v="6PE202"/>
        <s v="6PE203"/>
        <s v="6PE205"/>
        <s v="6PE206"/>
        <s v="6PE207"/>
        <s v="6PE208"/>
        <s v="6PE212"/>
        <s v="6PE213"/>
        <s v="6PE220"/>
        <s v="6PE221"/>
        <s v="6PE222"/>
        <s v="6PE223"/>
        <s v="6PE225"/>
        <s v="6PE226"/>
        <s v="6PE228"/>
        <s v="6PE229"/>
        <s v="6PE236"/>
        <s v="6PE237"/>
        <s v="6PE238"/>
        <s v="6PE241"/>
        <s v="6PE242"/>
        <s v="6PE243"/>
        <s v="6PE244"/>
        <s v="6PE245"/>
        <s v="6PE246"/>
        <s v="6PE249"/>
        <s v="6PE250"/>
        <s v="6PE251"/>
        <s v="6PE252"/>
        <s v="6PE253"/>
        <s v="6PE256"/>
        <s v="6PE257"/>
        <s v="6PE258"/>
        <s v="6PE259"/>
        <s v="6PE260"/>
        <s v="6PE262"/>
        <s v="6PE264"/>
        <s v="6PE265"/>
        <s v="6PE266"/>
        <s v="6PE268"/>
        <s v="6PE269"/>
        <s v="6PE271"/>
        <s v="6PE272"/>
        <s v="6PE273"/>
        <s v="6PE275"/>
        <s v="6PE276"/>
        <s v="6PE277"/>
        <s v="6PE278"/>
        <s v="6PE279"/>
        <s v="6PE280"/>
        <s v="6PE281"/>
        <s v="6PE282"/>
        <s v="6PE283"/>
        <s v="6PE284"/>
        <s v="6PE285"/>
        <s v="6PE287"/>
        <s v="6PE288"/>
        <s v="6PE289"/>
        <s v="6PE290"/>
        <s v="6PE293"/>
        <s v="6PE304"/>
        <s v="6PE338"/>
        <s v="6RV011"/>
        <s v="6RV018"/>
        <s v="6RV019"/>
        <s v="6RV020"/>
        <s v="6RV021"/>
        <s v="6RV023"/>
        <s v="6SA008"/>
        <s v="6SA011"/>
        <s v="6SA014"/>
        <s v="6SD002"/>
        <s v="6SD003"/>
        <s v="6SD007"/>
        <s v="6SD010"/>
        <s v="6SD011"/>
        <s v="6SD012"/>
        <s v="6SD016"/>
        <s v="6SH009"/>
        <s v="6SH010"/>
        <s v="6SH011"/>
        <s v="6SH013"/>
        <s v="6SH016"/>
        <s v="6SL021"/>
        <s v="6SL022"/>
        <s v="6SL035"/>
        <s v="6SL036"/>
        <s v="6SL038"/>
        <s v="6SP050"/>
        <s v="6SP051"/>
        <s v="6SP052"/>
        <s v="6SP056"/>
        <s v="6SP057"/>
        <s v="6SP059"/>
        <s v="6SP060"/>
        <s v="6SP061"/>
        <s v="6SP062"/>
        <s v="6SP063"/>
        <s v="6SP064"/>
        <s v="6ST000"/>
        <s v="6ST001"/>
        <s v="6ST032"/>
        <s v="6ST033"/>
        <s v="6ST034"/>
        <s v="6SV021"/>
        <s v="6SV022"/>
        <s v="6SV023"/>
        <s v="6SV024"/>
        <s v="6SV025"/>
        <s v="6SV026"/>
        <s v="6SV057"/>
        <s v="6SV058"/>
        <s v="6SV060"/>
        <s v="6SV061"/>
        <s v="6SV062"/>
        <s v="6SV063"/>
        <s v="6SV064"/>
        <s v="6SV066"/>
        <s v="6SV067"/>
        <s v="6SV068"/>
        <s v="6SV069"/>
        <s v="6SV070"/>
        <s v="6SV072"/>
        <s v="6SV073"/>
        <s v="6SV074"/>
        <s v="6SV075"/>
        <s v="6SV078"/>
        <s v="6SV079"/>
        <s v="6SV083"/>
        <s v="6SY003"/>
        <s v="6SY013"/>
        <s v="6SY018"/>
        <s v="6SY028"/>
        <s v="6SY029"/>
        <s v="6SY030"/>
        <s v="6SY031"/>
        <s v="6SY032"/>
        <s v="6SY033"/>
        <s v="6SY034"/>
        <s v="6SY035"/>
        <s v="6SY036"/>
        <s v="6SY037"/>
        <s v="6SY042"/>
        <s v="6SY043"/>
        <s v="6TX016"/>
        <s v="6TX020"/>
        <s v="6TX025"/>
        <s v="6TX026"/>
        <s v="6TX030"/>
        <s v="6TX037"/>
        <s v="6TX038"/>
        <s v="6TX039"/>
        <s v="6TY014"/>
        <s v="6TY021"/>
        <s v="6TY022"/>
        <s v="6TY023"/>
        <s v="6ÖÄ003"/>
        <s v="6MU048" u="1"/>
        <s v="6FRIPED2" u="1"/>
        <s v="6ES085" u="1"/>
        <s v="6KN027" u="1"/>
        <s v="6PE239" u="1"/>
        <s v="6PE270" u="1"/>
        <s v="6ES088" u="1"/>
        <s v="5FY083" u="1"/>
        <s v="6LÄ066" u="1"/>
        <s v="6FRIPED1" u="1"/>
        <s v="6LÄ067" u="1"/>
        <s v="6SD008" u="1"/>
        <s v="6PE274" u="1"/>
        <s v="5KE187" u="1"/>
        <s v="6ES052" u="1"/>
        <s v="6PE263" u="1"/>
        <s v="5KE002" u="1"/>
        <s v="6ES055" u="1"/>
        <s v="6ES069" u="1"/>
        <s v="6NK000" u="1"/>
        <s v="1HI008" u="1"/>
        <s v="6BI009" u="1"/>
        <s v="6KPUV2" u="1"/>
        <s v="5FY155" u="1"/>
        <s v="6EN035" u="1"/>
        <s v="6KE101" u="1"/>
        <s v="6TX021" u="1"/>
        <s v="6FRISPRÅK1" u="1"/>
        <s v="6KE102" u="1"/>
        <s v="6ES110" u="1"/>
        <s v="6SA013" u="1"/>
        <s v="6SP058" u="1"/>
        <s v="6FRI1" u="1"/>
        <s v="6KPUEX" u="1"/>
        <s v="6SA015" u="1"/>
        <s v="6TY024" u="1"/>
        <s v="6FA010" u="1"/>
        <s v="6FRISPRÅK3" u="1"/>
        <s v="6ES083" u="1"/>
        <s v="6NAlyd" u="1"/>
      </sharedItems>
    </cacheField>
    <cacheField name="Benämn" numFmtId="0">
      <sharedItems count="393">
        <s v="Franska, Kvalifikationskurs"/>
        <s v="Franska, Påfartskurs"/>
        <s v="Introduktion till samhällsekonomi"/>
        <s v="Fysiologi och cellbiologi"/>
        <s v="Ekologi"/>
        <s v="Ekologi A"/>
        <s v="Klassisk mekanik A"/>
        <s v="Solceller, 7,5 hp"/>
        <s v="Introduktion till fasta tillståndets fysik"/>
        <s v="Biokemi 15 hp"/>
        <s v="Analytisk kemi"/>
        <s v="Kemins grunder"/>
        <s v="Organisk kemi"/>
        <s v="Molekylär spektroskopi och diffraktion"/>
        <s v="Kemisk och molekylär termodynamik"/>
        <s v="Linjär algebra"/>
        <s v="Läraryrkets dimensioner - ingångsämne biologi (VFU)"/>
        <s v="Naturens mångfald för naturkunskapslärare"/>
        <s v="Artkunskap och systematik för biologilärare"/>
        <s v="Genetik och evolution"/>
        <s v="Biologididaktik 1 för ämneslärare för gymnasium"/>
        <s v="Biologididaktik 2 för ämneslärare för gymnasium"/>
        <s v="Programmeringsteknik med C och Matlab"/>
        <s v="Engelska 2 för ämneslärare med inriktning mot gymnasiet"/>
        <s v="Att undervisa i engelska (VFU)"/>
        <s v="Engelska för F-3, kurs 1"/>
        <s v="Engelska för åk 4-6, kurs 1"/>
        <s v="Engelska för F-3, kurs 2"/>
        <s v="Engelska för åk 4-6, kurs 2"/>
        <s v="Engelska för åk 4-6, kurs 3"/>
        <s v="Kommunikativ kompetens i engelska för grundlärare"/>
        <s v="Engelska 1 för ämneslärare"/>
        <s v="Engelska för ämneslärare, kurs 3"/>
        <s v="Läraryrkets dimensioner (Estetiska ämnen)"/>
        <s v="Examensarbete - estetiska ämnen"/>
        <s v="Bild 2a, distans"/>
        <s v="Ämnesdidaktik i skolpraktiken, del 1"/>
        <s v="Ämnesdidaktik i skolpraktiken, del 2"/>
        <s v="Examensarbete med ämnesdidaktisk inriktning"/>
        <s v="Bild 2, fristående "/>
        <s v="Forskning och utvecklingsarbete i skolan 1"/>
        <s v="Skapande lek i förskolan 1"/>
        <s v="Praktiskt estetiskt ämne - Bild 1"/>
        <s v="Praktiskt estetiskt ämne - Bild 2"/>
        <s v="Läraryrkets dimensioner för fritidshem 2 (VFU)"/>
        <s v="Bild 1, distans"/>
        <s v="Bild 2b, distans"/>
        <s v="Bild 2a"/>
        <s v="Bild 2b"/>
        <s v="Skapande och lek för förskolan 2"/>
        <s v="Att undervisa i bild"/>
        <s v="Att undervisa i slöjd - textil"/>
        <s v="Bild 1"/>
        <s v="Bild 3"/>
        <s v="Grafisk design &amp; Media A för lärare"/>
        <s v="Skapande bild, distans"/>
        <s v="Pedagogisk yrkesverksamhet: Examensarbete för magisterexamen"/>
        <s v="Grafisk design &amp; Media B för lärare"/>
        <s v="Läraryrkets dimensioner - Musik"/>
        <s v="Läraryrkets dimensioner - ingångsämne slöjd för lärare i åk 7-9"/>
        <s v="Skapande lek i  förskolan 2"/>
        <s v="Examensarbete - Ämne 1/Ämne 2"/>
        <s v="Franska för ämneslärare, kurs 1"/>
        <s v="Franska för ämneslärare, kurs 2"/>
        <s v="Grafisk design &amp; media för lärare B*"/>
        <s v="Kommunikativ språkundervisning (platshållarnamn)"/>
        <s v="Grammatik i det fria (platshållarnamn)"/>
        <s v="Svenska som andraspråk A, Det mångkulturella klassrummet"/>
        <s v="Svenska som andraspråk B, delkurs 1"/>
        <s v="Ämnesdidaktik, Att analysera och utveckla lärande och undervisning i språkliga kontexter "/>
        <s v="Astronomi och meteorologi"/>
        <s v="Fysikdidaktik för ämneslärare för åk 7-9"/>
        <s v="Fysikdidaktik 1 för ämneslärare för gymnasium"/>
        <s v="Fysikdidaktik 2 för ämneslärare för gymnasium"/>
        <s v="Naturens mångfald"/>
        <s v="Processer i naturen"/>
        <s v="Klimatförändringar"/>
        <s v="Vetenskapliga metoder i geografi"/>
        <s v="Examensarbete för ämneslärarexamen - historia"/>
        <s v="Läraryrkets dimensioner"/>
        <s v="Att undervisa i historia (VFU)"/>
        <s v="Historia 2"/>
        <s v="Historia 1"/>
        <s v="Historia 3"/>
        <s v="Examensarbete i Idrott och hälsa för ämneslärarexamen"/>
        <s v="Praktiskt estetiskt ämne - Idrott och hälsa 2"/>
        <s v="Praktiskt estetiskt ämne - Idrott och hälsa 1"/>
        <s v="Idrott och hälsa 1"/>
        <s v="Idrott och hälsa 3"/>
        <s v="Idrott och hälsa 2"/>
        <s v="Elitidrott och tränarskap i ett samhällsperspektiv"/>
        <s v="Matematikundervisning med IT"/>
        <s v="Design av digital didaktik"/>
        <s v="Digital kompetens och lärande I"/>
        <s v="Ekonomisk och soial geografi"/>
        <s v="Befolkningsgeografi"/>
        <s v="Kartor och GIS"/>
        <s v="Geografididaktik 1"/>
        <s v="Geografididaktik 2"/>
        <s v="Att undervisa i geografi (VFU)"/>
        <s v="Geografi - landskap och hållbar utveckling"/>
        <s v="Hem- och konsumentkunskap, distans A"/>
        <s v="Mat och måltider för barn och ungdomar"/>
        <s v="Hem- och konsumentkunskap B, distans"/>
        <s v="Hem- och konsumentkunskap B15, distans"/>
        <s v="Vetenskaplig metod med inriktning hem- och konsumentkunskap"/>
        <s v="Uppsats med inriktning hem- och konsumentkunskap"/>
        <s v="Hälsokommunikation och sociologiska perspektiv inom hem- och konsumentkunskap"/>
        <s v="Undervisning och lärande (UVK)"/>
        <s v="Skolans uppdrag (UVK)"/>
        <s v="Bedömning för och av lärande (UVK)"/>
        <s v="Verksamhetsförlagd utbildning 1 (VFU)"/>
        <s v="Examensarbete med ämnesdidaktisk inriktning för ämneslärarexamen (UVK) - grundnivå"/>
        <s v="Examensarbete med ämnesdidaktisk inriktning för ämneslärarexamen (UVK) - avancerad nivå"/>
        <s v="Examensarbete med ämnesdidaktisk inriktning för ämneslärarexamen - grundnivå (UVK)"/>
        <s v="Verksamhetsförlagd utbildning 2 inom KPU - avancerad nivå (VFU)"/>
        <s v="Examensarbete med ämnesdidaktisk inriktning för ämneslärarexamen - avancerad nivå (UVK)"/>
        <s v="Verksamhetsförlagd utbildning 2 inom KPU - grundnivå (VFU)"/>
        <s v="Människans språk: Lingvistik för lärare"/>
        <s v="Specialpedagogik med fokus på svenska och matematik för F-3"/>
        <s v="Samhällsorientering åk 4-6"/>
        <s v="Kunskap, vetenskap och forskningsmetodik, 7,5 hp"/>
        <s v="Etik, demokrati och det heterogena klassrummet, 7,5 hp"/>
        <s v="Värdegrund, etik och mångfald (UVK)"/>
        <s v="Kunskap, undervisning och lärande 1 (UVK)"/>
        <s v="Att undervisa i åk 4-6"/>
        <s v="Att undervisa i F-3"/>
        <s v="Läraryrkets dimensioner - ingångsämne engelska"/>
        <s v="Läraryrkets dimensioner - ingångsämne svenska"/>
        <s v="Kommunikation och språkutveckling för fritidshem"/>
        <s v="Läraryrkets dimensioner - ingångsämne spanska"/>
        <s v="Läraryrkets dimensioner - ingångsämne tyska (VFU)"/>
        <s v="Läraryrkets dimensioner - ingångsämne svenska som andraspråk (VFU)"/>
        <s v="Språkutveckling, litteracitet och barnlitteratur i förskolan och förskoleklassen"/>
        <s v="Barns språkutveckling"/>
        <s v="Läs- och skrivinlärning"/>
        <s v="Läsa och skriva i alla ämnen. För lärare i åk 4-6"/>
        <s v="Läraryrkets dimensioner - ingångsämne matematik"/>
        <s v="Matematik 1 för grundskolans årskurs 4-6"/>
        <s v="Algebra"/>
        <s v="Envariabelanalys 1"/>
        <s v="Matematiska metoder"/>
        <s v="Diskret matematik"/>
        <s v="Problemlösning och matematiska resonemang"/>
        <s v="Differentialekvationer och flervariabelanalys"/>
        <s v="Envariabelanalys 2"/>
        <s v="Flervariabelanalys"/>
        <s v="Matematikens historia"/>
        <s v="Att undervisa i matematik (VFU)"/>
        <s v="Differentialekvationer"/>
        <s v="Matematik 2 för förskoleklass och grundskolans årskurs 1-3"/>
        <s v="Examensarbete för ämneslärarexamen - Matematik"/>
        <s v="Matematik 1 för förskoleklass och grundskolans årskurs 1-3"/>
        <s v="Matematik 3 för förskoleklass och grundskolans årskurs 1-3"/>
        <s v="Matematik 4 för förskoleklass och grundskolans årskurs 1-3"/>
        <s v="Matematik 2 för grundskolans årskurs 4-6"/>
        <s v="Matematik 3 för grundskolans årskurs 4-6"/>
        <s v="Matematik 4 för grundskolans årskurs 4-6"/>
        <s v="Matematik för förskolan"/>
        <s v="Matematik 2 för lärande och undervisning för förskoleklass och grundskolans årskurs 1-3"/>
        <s v="Matematik 2 för lärande och undervisning för grundskolans årskurs 4-6"/>
        <s v="Matematik 1 för lärande och undervisning för förskoleklass och grundskolans årskurs 1-6"/>
        <s v="Matematikdidaktik 1 för grundskolans åk 7-9 och gymnasiet"/>
        <s v="Matematikdidaktik 2 för grundskolans åk 7-9 och gymnasiet"/>
        <s v="Statistik för lärare"/>
        <s v="Statistik för naturvetare"/>
        <s v="Musik 1"/>
        <s v="Musik 1 30 hp, fristående"/>
        <s v="Musik fördjupning 3"/>
        <s v="Musik 1, distans"/>
        <s v="Musik 2, distans"/>
        <s v="Musik 3, distans"/>
        <s v="Musik 2"/>
        <s v="Makroekonomi och arbetsmarknad A23"/>
        <s v="Läraryrkets dimensioner - ingångsämne naturkunskap (VFU)"/>
        <s v="Examensarbete - Naturkunskap"/>
        <s v="Naturkunskapsdidaktik 1 för ämneslärare för gymnasiet"/>
        <s v="Naturkunskapsdidaktik 2 för ämneslärare för gymnasiet"/>
        <s v="Matematik, naturvetenskap och utomhuspedagogik för fritidshem"/>
        <s v="Naturorientering och teknik för förskoleklass och grundskolans årskurs 1-3"/>
        <s v="Naturorientering och teknik för förskoleklass och grundskolans årskurs 4-6"/>
        <s v="Naturvetenskap och teknik i förskolan"/>
        <s v="Utomhuspedagogik och naturvetenskap - Sommar"/>
        <s v="Utomhuspedagogik, hållbar utveckling och naturvetenskap i förskola, fritidshem och grundskola"/>
        <s v="Naturorienterande ämnen och teknik för lärare åk 4-6"/>
        <s v="Examensarbete för Studie- och yrkesvägledarprogrammet"/>
        <s v="Grupprocesser och samverkan ur ett fritidshemsperspektiv"/>
        <s v="Examensarbete grundlärare - fritidshem"/>
        <s v="Vetenskapsteori och vetenskaplig metod"/>
        <s v="Utbildningsvetenskap i pedagogisk praktik"/>
        <s v="Samhällsorientering, F-3"/>
        <s v="Sex och samlevnad, 7,5 hp"/>
        <s v="Förskollärare som profession"/>
        <s v="Att vara förskollärare (VFU)"/>
        <s v="Ämneslärare som profession"/>
        <s v="Att vara ämneslärare (VFU)"/>
        <s v="Lärande och undervisning"/>
        <s v="Undervisning och lärande inom det svenska skolsystemet"/>
        <s v="Utbildning: Undervisning och lärande i en internationell kontext"/>
        <s v="Demokrati, mänskliga rättigheter och hållbar utveckling: globala perspektiv i utbildning"/>
        <s v="Forskningsdesign och metod inom utbildningsvetenskap"/>
        <s v="Matematikutveckling och lärande i ett specialpedagogiskt perspektiv"/>
        <s v="Identifiering och kartläggning av undervisning och lärande med fokus på elever i behov av särskilda utbildningsinsatser"/>
        <s v="Stöd och stimulans i arbetet med elever i behov av särskilda utbildningsinsatser"/>
        <s v="Läraryrkets dimensioner - ingångsämne idrott och hälsa"/>
        <s v="Barns lärande och omsorg"/>
        <s v="Förskolans uppdrag och arbetssätt 1"/>
        <s v="Läraryrkets dimensioner - ingångsämne Samhällskunskap"/>
        <s v="Handledarutbildning för VFU-handledare, bedömning"/>
        <s v="Att undervisa i fritidshem (VFU)"/>
        <s v="Handledarutbildning för VFU-handledare, handledningssamtal"/>
        <s v="Examensarbete för grundlärarexamen med inriktning mot förskoleklass och grundskolans år 1-3"/>
        <s v="Examensarbete för grundlärarexamen med inriktning mot grundskolans år 4-6"/>
        <s v="Utbildningsvetenskap, undervisning och lärande för förskolan (UK)"/>
        <s v="Specialpedagogik för förskolan (UK)"/>
        <s v="Specialpedagogik för grundskolan (UK)"/>
        <s v="Specialpedagogik - åk 7-9 och gymnasieskolan (UK)"/>
        <s v="Utbildningsvetenskap, undervisning och lärande för grundskolan (UK)"/>
        <s v="Utbildningsvetenskap, undervisning och lärande - Ämneslärarprogrammet (UK)"/>
        <s v="Barnet, omvärlden och fritidshemmets uppdrag"/>
        <s v="Läraryrkets dimensioner för fritidshem 1 (VFU)"/>
        <s v="Bedömning för och av lärande i grundskolan (UK)"/>
        <s v="Bedömning för lärande i förskolan (UK)"/>
        <s v="Bedömning för och av lärande för åk 7-9 och gymnasium (UK)"/>
        <s v="Magisteruppsats i Pedagogisk yrkesverksamhet"/>
        <s v="Trygga lärmiljöer, identitet och intersektionalitet"/>
        <s v="Normkritisk genuspedagogik"/>
        <s v="Barns och ungas identitetsskapande på nätet"/>
        <s v="Mobbning och kränkande handlingar i teori och praktik"/>
        <s v="Elever i behov av extra anpassningar och särskilt stöd ur ett fritidshemsperspektiv"/>
        <s v="Att undervisa i förskolan (VFU)"/>
        <s v="Förskolans uppdrag och arbetssätt 2"/>
        <s v="Läraryrkets dimensioner för förskolan 1 (VFU)"/>
        <s v="Kunskap, undervisning och lärande 2"/>
        <s v="Läraryrkets dimensioner för förskoleklass och grundskolans årskurs 1-3 (VFU)"/>
        <s v="Läraryrkets dimensioner för grundskolans årskurs 4-6 (VFU)"/>
        <s v="Läraryrkets dimensioner för fritidshem 3 (VFU)"/>
        <s v="Samhällsorientering för förskolan"/>
        <s v="Profession och vetenskap för fritidshem (UK)"/>
        <s v="Grundlärare som profession (UK)"/>
        <s v="Profession och vetenskap för åk 4-6 (UK III)"/>
        <s v="Profession och vetenskap för förskoleklass och grundskolans årskurs 1-3 (UK)"/>
        <s v="Att vara grundlärare (VFU)"/>
        <s v="Att undervisa i biologi (VFU)"/>
        <s v="Att undervisa i Idrott och hälsa (VFU)"/>
        <s v="Att undervisa i Samhällskunskap (VFU)"/>
        <s v="Fjärrundervisning"/>
        <s v="Genuspedagogik i lärmiljöer"/>
        <s v="Mobbning i lärmiljöer"/>
        <s v="Kurs i examensarbete - Matematikutveckling"/>
        <s v="Undervisning och kvalitetsutveckling i förskola respektive fritidshem"/>
        <s v="Språk och matematik i ett specialpedagogiskt perspektiv"/>
        <s v="Matematik i specialpedagogiskt perspektiv"/>
        <s v="Ämnesdidaktik för yrkeslärare (UVK)"/>
        <s v="Profession och vetenskap för yrkeslärare (UVK)"/>
        <s v="Kunskap, undervisning och lärande 2 (UVK)"/>
        <s v="Pedagogiskt ledarskap, sociala relationer och specialpedagogik (UVK)"/>
        <s v="Verksamhetsförlagd utbildning för yrkeslärare (VFU)"/>
        <s v="Läraryrkets dimensioner för förskolan 2 (VFU)"/>
        <s v="Forskningsmetod och profession (UVK)"/>
        <s v="Examensarbete för förskollärarexamen"/>
        <s v="Utbildningsvetenskap, undervisning och lärande för grundskolan - fritidshem (UK)"/>
        <s v="Specialpedagogik för yrkeslärare"/>
        <s v="Examensarbete för ämneslärarexamen - religion"/>
        <s v="Läraryrkets dimensioner- ingångsämne religion (VFU)"/>
        <s v="Att undervisa i religionskunskap (VFU)"/>
        <s v="Religionsvetenskap 2"/>
        <s v="Religionsvetenskap 1"/>
        <s v="Religionsvetenskap 3, med kandidatuppsats"/>
        <s v="Spanska I för ämneslärare"/>
        <s v="Spanska för ämneslärare, kurs III"/>
        <s v="Spanska för ämneslärare, kurs 2"/>
        <s v="Examensarbete i svenska för ämneslärarexamen"/>
        <s v="Examensarbete i språkdidaktik för ämneslärarexamen"/>
        <s v="Didaktik för det flerspråkiga klassrummet"/>
        <s v="Språk-, skriv- och läsutveckling för speciallärare"/>
        <s v="Examensarbete för speciallärarexamen med specialisering mot språk-, skriv- och läsutveckling"/>
        <s v="Språk-, skriv- och läsutveckling i ett specialpedagogiskt perspektiv"/>
        <s v="Språk, skrivande och demokrati"/>
        <s v="Samhällskunskap 1"/>
        <s v="Samhällskunskap 2"/>
        <s v="Samhällskunskap 3"/>
        <s v="Examensarbete"/>
        <s v="Profession och vetenskap för ämneslärare"/>
        <s v="Slöjd, Trä- och metall 2a, distans"/>
        <s v="Slöjd, Trä- och metall 2b, distans"/>
        <s v="Slöjd 1, trä- och metall"/>
        <s v="Form, färg, estetik och uttryck - Utveckla ditt formspråk i trä"/>
        <s v="Skapandets intryck - utveckla och tala om hantverkets tysta kunskap"/>
        <s v="Introduktion till det specialpedagogiska fältet"/>
        <s v="Neuropsykiatriska svårigheter i olika lärmiljöer"/>
        <s v="Speciallärarens och specialpedagogens yrkesfunktion"/>
        <s v="Neuropsykiatriska svårigheter - förhållningsätt, bemötande och strategier i pedagogisk verksamhet"/>
        <s v="Specialpedagogiska kunskapsområden"/>
        <s v="Examensarbete speciallärarprogrammet med specialisering mot utvecklingsstörning"/>
        <s v="Eamensarbete specialpedagogprogrammet"/>
        <s v="Utvärdering, ledarskap och förändringsarbete"/>
        <s v="Att utveckla lärande i skola och vardag för elever med intellektuell funktionsnedsättning"/>
        <s v="Kunskap och kommunikation - att utveckla läromiljöer för elever med intellektuell funktionsnedsättning"/>
        <s v="Vetenskaplig metodkurs Speciallärar- och specialpedagogprogrammen"/>
        <s v="Politik och samhälle"/>
        <s v="Utbildning och arbetsmarknad I"/>
        <s v="Ledarskap och organisation med inriktning mot utbildningsledarskap: Teori och analys "/>
        <s v="Ledarskap och organisation med inriktning mot utbildningsledarskap: Forsknings- och utredningsmetodik"/>
        <s v="Ledarskap och organisation med inriktning mot utbildningsledarskap: Magisteruppsats (15 hp)"/>
        <s v="Svenska för F-3, kurs 1"/>
        <s v="Svenska för F-3, kurs 2"/>
        <s v="Svenska för F-3, kurs 3"/>
        <s v="Svenska för åk 4-6, kurs 1"/>
        <s v="Svenska för åk 4-6, kurs 2"/>
        <s v="Svenska för åk 4-6, kurs 3"/>
        <s v="Att undervisa i svenska som andraspråk (VFU)"/>
        <s v="Att undervisa i svenska (VFU)"/>
        <s v="Svenska som andraspråk A"/>
        <s v="Svenska som andraspråk A, Det mångkulturella klassrummet och svenskans fonologi "/>
        <s v="Svenska som andraspråk A, Att lära på ett andraspråk och svenskans grammatik"/>
        <s v="Svenska som andraspråk B"/>
        <s v="Svenska som andraspråk B, Flerspråkiga inlärares litteracitet "/>
        <s v="Svenska som andraspråk C, Diskriminerande strukturer och skönlitteratur"/>
        <s v="Svenska som andraspråk C, Examensarbete för kandidatexamen"/>
        <s v="Svenska som andraspråk för ämneslärare, kurs 1"/>
        <s v="Svenska som andraspråk för ämneslärare, kurs 2"/>
        <s v="Svenska som andraspråk för ämneslärare, kurs 3"/>
        <s v="Att läsa och skriva i lärarutbildning och läraryrket - fokus grundlärare"/>
        <s v="Att läsa och skriva i lärarutbildning och läraryrket - fokus ämneslärare"/>
        <s v="Flerspråkighet i förskoleklassen och grundskolans tidiga år"/>
        <s v="Svenska för ämneslärare, kurs 1"/>
        <s v="Svenska för ämneslärare, kurs 2"/>
        <s v="Svenska för ämneslärare, kurs 3"/>
        <s v="Ett flerspråkighetsperspektiv på berättande i F-3 och 4-6"/>
        <s v="Studie- och yrkesvägledningens grunder"/>
        <s v="Vetenskapliga perspektiv på studie- och yrkesvägledning"/>
        <s v="Studie- och yrkesvägledningens praktik"/>
        <s v="Karriärutveckling i socialt och kulturellt perspektiv"/>
        <s v="Karriärvägledning och andra insatser för människor i behov av särskilt stöd"/>
        <s v="Karriärteori och vägledning"/>
        <s v="Gruppvägledning med inriktning mot karriärutveckling"/>
        <s v="Kommunikation och undervisning"/>
        <s v="Introduktion till studie- och yrkesvägledning"/>
        <s v="Teorier, modeller och metoder för karriärvägledning"/>
        <s v="Samhällsvetenskap"/>
        <s v="Arbetsliv och lärande"/>
        <s v="Teorier, modeller och metoder för vägledning och dess praktik"/>
        <s v="Beteendevetenskapliga grunder för karriärvägledning"/>
        <s v="Utbildningssystem"/>
        <s v="Slöjd, textil 2a, distans"/>
        <s v="Slöjd, textil 2b, distans"/>
        <s v="Textila uttryck"/>
        <s v="Slöjd 1, textil"/>
        <s v="Väv- och kläddesign fördjupning"/>
        <s v="Kläddesign"/>
        <s v="Vävdesign"/>
        <s v="Virk- och stickdesign"/>
        <s v="Tyska III för ämneslärare med inriktning mot gymnasiet"/>
        <s v="Att undervisa i tyska (VFU)"/>
        <s v="Tyska för ämneslärare, kurs 1"/>
        <s v="Tyska för ämneslärare, kurs 2"/>
        <s v="Bild 3, fristående" u="1"/>
        <s v="Spanska C, Språkdidaktik i teori och praktik" u="1"/>
        <s v="Läsa och skriva i alla ämnen (åk 4-6)" u="1"/>
        <s v="Magisterarbete för examen i pedagogiskt yrkesarbete på magisternivå" u="1"/>
        <s v="Att undervisa i naturkunskap (VFU)" u="1"/>
        <s v="Musik 3, fristående " u="1"/>
        <s v="Valbar kurs: Bild/Idrott och hälsa 1" u="1"/>
        <s v="Franska för ämneslärare, kurs 3" u="1"/>
        <s v="Kemididaktik 1 för ämneslärare för gymnasium" u="1"/>
        <s v="Kemididaktik 2 för ämneslärare för gymnasium" u="1"/>
        <s v="Skolans digitalisering" u="1"/>
        <s v="Akvatisk kemi" u="1"/>
        <s v="Utbildningspolicy och pedagogisk praktik ur internationella perspektiv" u="1"/>
        <s v="Examensarbete m ämnesdid inr (UVK)" u="1"/>
        <s v="prel. läs och skriv i alla ämnen (4–6)" u="1"/>
        <s v="Utbildningspolicy i nationell och internationell kontext" u="1"/>
        <s v="Grundläggande miljökemi" u="1"/>
        <s v="Bild fördjupning 1" u="1"/>
        <s v="Bild 1, fristående " u="1"/>
        <s v="Bild fördjupning 2" u="1"/>
        <s v="Franska C med didaktisk inriktning" u="1"/>
        <s v="Läs- och skrivutveckling med berättande i fokus. För lärare i F-3 och 4-6" u="1"/>
        <e v="#N/A" u="1"/>
        <s v="Språkdidaktik: Aktuella frågor och metoder i språkdidaktisk forskning" u="1"/>
        <s v="Läraryrkets dimensioner - bild" u="1"/>
        <s v="Att undervisa i Spanska (VFU)" u="1"/>
        <s v="Läs- och skrivutveckling med sakprosa och grammatik i fokus. För lärare i F-3 och 4-6" u="1"/>
        <s v="Vävdesign, fördjupning" u="1"/>
        <s v="Examensarbete för ämneslärarexamen - Biologi" u="1"/>
        <s v="Läraryrkets dimensioner - ingångsämne naturkunskap" u="1"/>
        <s v="Tyska C, Språkdidaktik i teori och praktik" u="1"/>
        <s v="Engelska 3 för ämneslärare med inriktning mot gymnasiet" u="1"/>
        <s v="Historia C" u="1"/>
        <s v="Verksamhetsförlagd utbildning 2 (VFU)" u="1"/>
        <s v="Avancerade material, 7,5 hp" u="1"/>
        <s v="Termodynamik B" u="1"/>
      </sharedItems>
    </cacheField>
    <cacheField name="anmkod" numFmtId="0">
      <sharedItems containsBlank="1" containsMixedTypes="1" containsNumber="1" containsInteger="1" minValue="14200" maxValue="75816"/>
    </cacheField>
    <cacheField name="Prkod" numFmtId="0">
      <sharedItems count="19">
        <s v="LYAGY"/>
        <s v="LYSYV"/>
        <s v="LYKPU"/>
        <s v="FRIST"/>
        <s v="LYGFT"/>
        <s v="LYGRM"/>
        <s v="LYAGR"/>
        <s v="LYKGR"/>
        <s v="LYKGY"/>
        <s v="LYLÄP"/>
        <s v="LYKFO"/>
        <s v="LYFSK"/>
        <s v="LYGFR"/>
        <s v="LYAGS"/>
        <s v="LYYRK"/>
        <s v="LYSPL"/>
        <s v="LYSPE"/>
        <s v="LGRSY"/>
        <s v="LYLÄR"/>
      </sharedItems>
    </cacheField>
    <cacheField name="Kull" numFmtId="0">
      <sharedItems containsBlank="1"/>
    </cacheField>
    <cacheField name="HtVt" numFmtId="0">
      <sharedItems count="3">
        <s v="vt"/>
        <s v="ht"/>
        <s v="sommar"/>
      </sharedItems>
    </cacheField>
    <cacheField name="Studieveckor" numFmtId="0">
      <sharedItems containsBlank="1"/>
    </cacheField>
    <cacheField name="Ort" numFmtId="0">
      <sharedItems containsBlank="1" containsMixedTypes="1" containsNumber="1" containsInteger="1" minValue="2480" maxValue="2480"/>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9">
      <sharedItems containsString="0" containsBlank="1" containsNumber="1" minValue="0.25" maxValue="1"/>
    </cacheField>
    <cacheField name="Poäng" numFmtId="0">
      <sharedItems containsSemiMixedTypes="0" containsString="0" containsNumber="1" minValue="1.5" maxValue="30" count="16">
        <n v="7.5"/>
        <n v="15"/>
        <n v="22.5"/>
        <n v="30"/>
        <n v="6"/>
        <n v="2.5"/>
        <n v="5"/>
        <n v="10"/>
        <n v="1.5"/>
        <n v="8"/>
        <n v="12"/>
        <n v="3.5"/>
        <n v="4"/>
        <n v="11"/>
        <n v="12.5"/>
        <n v="20"/>
      </sharedItems>
    </cacheField>
    <cacheField name="Prognos avhopp %" numFmtId="0">
      <sharedItems containsString="0" containsBlank="1" containsNumber="1" minValue="-0.12" maxValue="-0.05"/>
    </cacheField>
    <cacheField name="Utgångs-värde 1:a kurs" numFmtId="0">
      <sharedItems containsString="0" containsBlank="1" containsNumber="1" containsInteger="1" minValue="23" maxValue="53"/>
    </cacheField>
    <cacheField name="Ant" numFmtId="0">
      <sharedItems containsSemiMixedTypes="0" containsString="0" containsNumber="1" minValue="0" maxValue="149"/>
    </cacheField>
    <cacheField name="HST" numFmtId="0">
      <sharedItems containsSemiMixedTypes="0" containsString="0" containsNumber="1" minValue="0" maxValue="19"/>
    </cacheField>
    <cacheField name="HPR %" numFmtId="9">
      <sharedItems containsSemiMixedTypes="0" containsString="0" containsNumber="1" minValue="0.8" maxValue="0.85"/>
    </cacheField>
    <cacheField name="HPR" numFmtId="2">
      <sharedItems containsSemiMixedTypes="0" containsString="0" containsNumber="1" minValue="0" maxValue="15.40625"/>
    </cacheField>
    <cacheField name="Kursansvar" numFmtId="0">
      <sharedItems containsSemiMixedTypes="0" containsString="0" containsNumber="1" containsInteger="1" minValue="1620" maxValue="6000"/>
    </cacheField>
    <cacheField name="Kursansvar namn" numFmtId="0">
      <sharedItems count="18">
        <s v="Inst för språkstudier"/>
        <s v="Nationalekonomi               "/>
        <s v="Inst för Fysiologisk botanik  "/>
        <s v="EMG"/>
        <s v="Inst för Fysik                "/>
        <s v="Kemiska institutionen         "/>
        <s v="Inst för MA och MA statistik"/>
        <s v="NMD"/>
        <s v="Inst för datavetenskap        "/>
        <s v="Estetiska ämnen               "/>
        <s v="Lärarutbildningarna gem       "/>
        <s v="Inst för ide- o samhällsstudier"/>
        <s v="Pedagogik                     "/>
        <s v="TUV "/>
        <s v="Geografi"/>
        <s v="Inst för kost- och måltidsvetenskap"/>
        <s v="Statsvetenskap                "/>
        <e v="#N/A" u="1"/>
      </sharedItems>
    </cacheField>
    <cacheField name="Fakultet" numFmtId="0">
      <sharedItems/>
    </cacheField>
    <cacheField name="Utbildning" numFmtId="0">
      <sharedItems count="17">
        <s v="Ämneslärarprogrammet - Gy"/>
        <s v="Studie- och yrkesvägledarprogram"/>
        <s v="KPU - åk 7-9 och Gy"/>
        <s v="Fristående och övriga kurser"/>
        <s v="Grundlärarprogrammet - förskoleklass och åk 1-3"/>
        <s v="Grundlärarprogrammet - grundskolans åk 4-6"/>
        <s v="Ämneslärarprogrammet - åk 7-9"/>
        <s v="KPU - åk 7-9"/>
        <s v="KPU - Gy"/>
        <s v="VAL-projektet"/>
        <s v="KPU - Förhöjd studietakt - utbildningsbidrag"/>
        <s v="Förskollärarprogrammet"/>
        <s v="Grundlärarprogrammet - fritidshem"/>
        <s v="Yrkeslärarprogrammet"/>
        <s v="Speciallärarprogrammet"/>
        <s v="Specialpedagogprogrammet"/>
        <s v="Lärarprogram långa - före ht11"/>
      </sharedItems>
    </cacheField>
    <cacheField name="Kurspris HST" numFmtId="3">
      <sharedItems containsSemiMixedTypes="0" containsString="0" containsNumber="1" minValue="16920" maxValue="51362"/>
    </cacheField>
    <cacheField name="Kurspris HPR" numFmtId="3">
      <sharedItems containsSemiMixedTypes="0" containsString="0" containsNumber="1" minValue="17442" maxValue="66137"/>
    </cacheField>
    <cacheField name="Total ersättning" numFmtId="3">
      <sharedItems containsSemiMixedTypes="0" containsString="0" containsNumber="1" minValue="0" maxValue="1170652.5"/>
    </cacheField>
    <cacheField name="Hyrespris" numFmtId="3">
      <sharedItems containsSemiMixedTypes="0" containsString="0" containsNumber="1" containsInteger="1" minValue="3600" maxValue="72600"/>
    </cacheField>
    <cacheField name="Lokalintäkt" numFmtId="3">
      <sharedItems containsSemiMixedTypes="0" containsString="0" containsNumber="1" minValue="0" maxValue="535500"/>
    </cacheField>
    <cacheField name="Totala intäkter" numFmtId="3">
      <sharedItems containsSemiMixedTypes="0" containsString="0" containsNumber="1" minValue="0" maxValue="1706152.5"/>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containsInteg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1"/>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 name="Hämtat ur" numFmtId="0">
      <sharedItems/>
    </cacheField>
    <cacheField name="Anm" numFmtId="0">
      <sharedItems containsBlank="1"/>
    </cacheField>
    <cacheField name="DE HST" numFmtId="0">
      <sharedItems containsSemiMixedTypes="0" containsString="0" containsNumber="1" minValue="0" maxValue="5"/>
    </cacheField>
    <cacheField name="DE HPR" numFmtId="167">
      <sharedItems containsSemiMixedTypes="0" containsString="0" containsNumber="1" minValue="0" maxValue="4"/>
    </cacheField>
    <cacheField name="HU HST" numFmtId="0">
      <sharedItems containsSemiMixedTypes="0" containsString="0" containsNumber="1" minValue="0" maxValue="14"/>
    </cacheField>
    <cacheField name="HU HPR" numFmtId="167">
      <sharedItems containsSemiMixedTypes="0" containsString="0" containsNumber="1" minValue="0" maxValue="11.9"/>
    </cacheField>
    <cacheField name="ID HST" numFmtId="0">
      <sharedItems containsSemiMixedTypes="0" containsString="0" containsNumber="1" minValue="0" maxValue="15"/>
    </cacheField>
    <cacheField name="ID HPR" numFmtId="0">
      <sharedItems containsSemiMixedTypes="0" containsString="0" containsNumber="1" minValue="0" maxValue="12.75"/>
    </cacheField>
    <cacheField name="LU HST" numFmtId="0">
      <sharedItems containsSemiMixedTypes="0" containsString="0" containsNumber="1" minValue="0" maxValue="18.125"/>
    </cacheField>
    <cacheField name="LU HPR" numFmtId="167">
      <sharedItems containsSemiMixedTypes="0" containsString="0" containsNumber="1" minValue="0" maxValue="15.40625"/>
    </cacheField>
    <cacheField name="MU HST" numFmtId="2">
      <sharedItems containsSemiMixedTypes="0" containsString="0" containsNumber="1" minValue="0" maxValue="3.75"/>
    </cacheField>
    <cacheField name="MU HPR" numFmtId="167">
      <sharedItems containsSemiMixedTypes="0" containsString="0" containsNumber="1" minValue="0" maxValue="3"/>
    </cacheField>
    <cacheField name="NA HST" numFmtId="0">
      <sharedItems containsSemiMixedTypes="0" containsString="0" containsNumber="1" minValue="0" maxValue="19"/>
    </cacheField>
    <cacheField name="NA HPR" numFmtId="167">
      <sharedItems containsSemiMixedTypes="0" containsString="0" containsNumber="1" minValue="0" maxValue="15.200000000000001"/>
    </cacheField>
    <cacheField name="SA HST" numFmtId="0">
      <sharedItems containsSemiMixedTypes="0" containsString="0" containsNumber="1" minValue="0" maxValue="15"/>
    </cacheField>
    <cacheField name="SA HPR" numFmtId="167">
      <sharedItems containsSemiMixedTypes="0" containsString="0" containsNumber="1" minValue="0" maxValue="12"/>
    </cacheField>
    <cacheField name="TE HST" numFmtId="0">
      <sharedItems containsSemiMixedTypes="0" containsString="0" containsNumber="1" minValue="0" maxValue="8.5"/>
    </cacheField>
    <cacheField name="TE HPR" numFmtId="167">
      <sharedItems containsSemiMixedTypes="0" containsString="0" containsNumber="1" minValue="0" maxValue="6.8000000000000007"/>
    </cacheField>
    <cacheField name="VFU HST" numFmtId="0">
      <sharedItems containsSemiMixedTypes="0" containsString="0" containsNumber="1" minValue="0" maxValue="16.5"/>
    </cacheField>
    <cacheField name="VFU HPR" numFmtId="167">
      <sharedItems containsSemiMixedTypes="0" containsString="0" containsNumber="1" minValue="0" maxValue="14.025"/>
    </cacheField>
    <cacheField name="XXX HST" numFmtId="0">
      <sharedItems containsSemiMixedTypes="0" containsString="0" containsNumber="1" minValue="0" maxValue="0.125"/>
    </cacheField>
    <cacheField name="XXX HPR" numFmtId="167">
      <sharedItems containsSemiMixedTypes="0" containsString="0" containsNumber="1" minValue="0" maxValue="0.10625"/>
    </cacheField>
    <cacheField name="ÖV HST" numFmtId="0">
      <sharedItems containsSemiMixedTypes="0" containsString="0" containsNumber="1" minValue="0" maxValue="9.5"/>
    </cacheField>
    <cacheField name="ÖV HPR" numFmtId="167">
      <sharedItems containsSemiMixedTypes="0" containsString="0" containsNumber="1" minValue="0" maxValue="8.0749999999999993"/>
    </cacheField>
    <cacheField name="VÅ HST" numFmtId="0">
      <sharedItems containsSemiMixedTypes="0" containsString="0" containsNumber="1" minValue="0" maxValue="9.120000000000001"/>
    </cacheField>
    <cacheField name="VÅ HPR" numFmtId="167">
      <sharedItems containsSemiMixedTypes="0" containsString="0" containsNumber="1" minValue="0" maxValue="7.751999999999999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va Alenius" refreshedDate="44467.609233101852" createdVersion="5" refreshedVersion="6" minRefreshableVersion="3" recordCount="119">
  <cacheSource type="worksheet">
    <worksheetSource ref="A1:T120" sheet="underlag medverkande 2"/>
  </cacheSource>
  <cacheFields count="20">
    <cacheField name="Kurskod NyA" numFmtId="0">
      <sharedItems containsBlank="1" count="146">
        <s v="6ES072"/>
        <s v="6ES094"/>
        <s v="6ES118"/>
        <s v="6ES119"/>
        <s v="6HI035"/>
        <s v="6ID017"/>
        <s v="6ID018"/>
        <s v="6ID021"/>
        <s v="6KG004"/>
        <s v="6KP000"/>
        <s v="6KP001"/>
        <s v="6KP002"/>
        <s v="6LI013"/>
        <s v="6LU002"/>
        <s v="6LU009"/>
        <s v="6LU005"/>
        <s v="6LU006"/>
        <s v="6LU007"/>
        <s v="6LU008"/>
        <s v="6LÄ046"/>
        <s v="6LÄ048"/>
        <s v="6LÄ058"/>
        <s v="6LÄ063"/>
        <s v="6MN041"/>
        <s v="6MN043"/>
        <s v="6MN044"/>
        <s v="6MN045"/>
        <s v="6NO043"/>
        <s v="6PE111"/>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1"/>
        <s v="6PE283"/>
        <s v="6PE285"/>
        <s v="6PE288"/>
        <s v="6PE290"/>
        <s v="6PE284"/>
        <s v="6SD002"/>
        <s v="6SH009"/>
        <s v="6SH010"/>
        <s v="6SH011"/>
        <s v="6SH014"/>
        <s v="6SP050"/>
        <s v="6SP051"/>
        <s v="6SP052"/>
        <s v="6SP061"/>
        <s v="6SV075"/>
        <s v="6SV078"/>
        <s v="6SV079"/>
        <s v="6SY035"/>
        <s v="6SY038"/>
        <s v="6SY042"/>
        <m/>
        <s v="6PE148" u="1"/>
        <s v="6PE303c" u="1"/>
        <s v="6PE135" u="1"/>
        <s v="6PE303d" u="1"/>
        <s v="6PE136" u="1"/>
        <s v="6KG006" u="1"/>
        <s v="6MN028" u="1"/>
        <s v="6SV020" u="1"/>
        <s v="6PE303e" u="1"/>
        <s v="6PE110" u="1"/>
        <s v="6PE196" u="1"/>
        <s v="6PE302" u="1"/>
        <s v="6PE303f" u="1"/>
        <s v="6PE170" u="1"/>
        <s v="6PE303" u="1"/>
        <s v="6PE096" u="1"/>
        <s v="6PE215" u="1"/>
        <s v="6PE114" u="1"/>
        <s v="6KPUny1" u="1"/>
        <s v="6LÄ055" u="1"/>
        <s v="6PE098" u="1"/>
        <s v="6PE115" u="1"/>
        <s v="6PE129" u="1"/>
        <s v="6KPUny2" u="1"/>
        <s v="6PE099" u="1"/>
        <s v="6HI015" u="1"/>
        <s v="6PE103" u="1"/>
        <s v="6SV027" u="1"/>
        <s v="6SYxx1" u="1"/>
        <s v="6ID314" u="1"/>
        <s v="6PE189" u="1"/>
        <s v="6PE104" u="1"/>
        <s v="6SV028" u="1"/>
        <s v="6LÄ045" u="1"/>
        <s v="6SY027" u="1"/>
        <s v="6ID303" u="1"/>
        <s v="6MN042" u="1"/>
        <s v="6LÄ047" u="1"/>
        <s v="6PE151" u="1"/>
        <s v="6PE107" u="1"/>
        <s v="6GExx1" u="1"/>
        <s v="6PE152" u="1"/>
        <s v="6SP053" u="1"/>
        <s v="6LI005" u="1"/>
        <s v="6PE108" u="1"/>
        <s v="6PE153" u="1"/>
        <s v="6SP040" u="1"/>
        <s v="6PE109" u="1"/>
        <s v="6PE154" u="1"/>
        <s v="6GExx4" u="1"/>
        <s v="6PE169" u="1"/>
        <s v="6PE143" u="1"/>
        <s v="6PE130" u="1"/>
        <s v="6PE144" u="1"/>
        <s v="6PE158" u="1"/>
        <s v="6PE131" u="1"/>
        <s v="6LU003" u="1"/>
        <s v="6PE145" u="1"/>
        <s v="6PE159" u="1"/>
        <s v="6KG002" u="1"/>
        <s v="6GExx9" u="1"/>
        <s v="6PE303b" u="1"/>
        <s v="6PE147" u="1"/>
        <s v="6MN025" u="1"/>
      </sharedItems>
    </cacheField>
    <cacheField name="Benämning" numFmtId="0">
      <sharedItems containsBlank="1" count="139">
        <s v="Skapande lek i förskolan 1"/>
        <s v="Skapande och lek för förskolan 2"/>
        <s v="Skapande lek i  förskolan 2"/>
        <s v="Historia 3"/>
        <s v="Idrott och hälsa 1"/>
        <s v="Idrott och hälsa 3"/>
        <s v="Idrott och hälsa 2"/>
        <s v="Introduktion till geografi"/>
        <s v="Undervisning och lärande (UVK)"/>
        <s v="Skolans uppdrag (UVK)"/>
        <s v="Bedömning för och av lärande (UVK)"/>
        <s v="Specialpedagogik med fokus på svenska och matematik för F-3"/>
        <s v="Demokrati, individ och samhälle"/>
        <s v="Kunskap, undervisning och lärande 1 (UVK)"/>
        <s v="Samhällsorientering åk 4-6"/>
        <s v="Kunskap, vetenskap och forskningsmetodik, 7,5 hp"/>
        <s v="Etik, demokrati och det heterogena klassrummet, 7,5 hp"/>
        <s v="Värdegrund, etik och mångfald (UVK)"/>
        <s v="Att undervisa i åk 4-6"/>
        <s v="Att undervisa i F-3"/>
        <s v="Kommunikation och språkutveckling för fritidshem"/>
        <s v="Språkutveckling, litteracitet och barnlitteratur i förskolan och förskoleklassen"/>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örskoleklass och grundskolans årskurs 1-3 (UK)"/>
        <s v="Att vara grundlärare (VFU)"/>
        <s v="Språk och matematik i ett specialpedagogiskt perspektiv"/>
        <s v="Ämnesdidaktik för yrkeslärare (UVK)"/>
        <s v="Kunskap, undervisning och lärande 2 (UVK)"/>
        <s v="Forskningsmetod och profession (UVK)"/>
        <s v="Pedagogiskt ledarskap, sociala relationer och specialpedagogik (UVK)"/>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för ämneslärare, kurs 1"/>
        <s v="Svenska för ämneslärare, kurs 2"/>
        <s v="Svenska för ämneslärare, kurs 3"/>
        <s v="Samhällsvetenskap"/>
        <s v="Beteendevetenskapliga grunder"/>
        <s v="Beteendevetenskapliga grunder för karriärvägledning"/>
        <m/>
        <s v="Kunskap, undervisning och lärande II (7-9)(Gy), Mom 2 (Ma), 3 hp" u="1"/>
        <s v="Utbildningens villkor och samhälleliga funktion" u="1"/>
        <s v="Skolans uppdrag (UK)" u="1"/>
        <s v="Lärande och undervisning (prel benämning)" u="1"/>
        <s v="Vetenskapliga metoder i geografi" u="1"/>
        <s v="Ämnesdidaktik i skolpraktiken, del 1" u="1"/>
        <s v="Kunskap, undervisning och lärande II (7-9)(Gy), Mom 2 (Bild+Mu+Slöjd), 3 hp" u="1"/>
        <s v="Svenska II för ämneslärare" u="1"/>
        <s v="Bedömning för lärande för förskolan 1 (UK)" u="1"/>
        <s v="Kunskap, undervisning och lärande II (7-9)(Gy), Mom 2 (Hi+Re), 3 hp" u="1"/>
        <s v="Historia III forts." u="1"/>
        <s v="Språk, kommunikation och språkutveckling i förskolans verksamhet" u="1"/>
        <s v="Matematik för åk 4-6, kurs 4" u="1"/>
        <s v="Lärande, lek och utveckling i förskolan II" u="1"/>
        <s v="Vetenskap och kunskap" u="1"/>
        <s v="Profession och vetenskap för F-3 (UK III)" u="1"/>
        <s v="Lärande, lek och utveckling i förskolan I" u="1"/>
        <s v="Ämnesdidaktik för yrkeslärare" u="1"/>
        <s v="Kunskap, undervisning och lärande II för åk 4-6" u="1"/>
        <s v="Forskningsmetod och profession (UK)" u="1"/>
        <s v="Bedömning för lärande i fritidshem (UK II)" u="1"/>
        <s v="Verksamhetsförlagd utbildning för yrkeslärare" u="1"/>
        <s v="Geografi II" u="1"/>
        <s v="Lärarens uppdrag (prel benämning)" u="1"/>
        <s v="Kunskap, undervisning och lärande i fritidshem II" u="1"/>
        <s v="Kunskap undervisning och lärande II" u="1"/>
        <s v="Kunskap, undervisning och lärande I" u="1"/>
        <s v="Matematik 2 för grundskolans årskurs 4-6" u="1"/>
        <s v="Kunskap, undervisning och lärande II (7-9)(Gy), Mom 2 (Hk), 3 hp" u="1"/>
        <s v="Pedagogiskt ledarskap, sociala relationer och konflikthantering" u="1"/>
        <s v="Profession och vetenskap för yrkeslärare" u="1"/>
        <s v="Kunskap, undervisning och lärande för förskolan (UK)" u="1"/>
        <s v="Svenska I för ämneslärare"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Idrott och hälsa II för gymnasieskolan" u="1"/>
        <s v="Lärande och undervisning (UK)"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Undervisning och lärande (UK)" u="1"/>
        <s v="Verksamhetsförlagd utbildning (KPU)" u="1"/>
        <s v="Läraryrkets dimensioner för åk 4-6 (VFU III)" u="1"/>
        <s v="Kunskap, undervisning och lärande för yrkeslärare 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Kartor och GIS" u="1"/>
        <s v="Svenska III för ämneslärare" u="1"/>
        <s v="Barns lärande och utveckling i ett fritidshemsperspektiv" u="1"/>
      </sharedItems>
    </cacheField>
    <cacheField name="Org 1" numFmtId="0">
      <sharedItems containsString="0" containsBlank="1" containsNumber="1" containsInteger="1" minValue="1620" maxValue="5740" count="23">
        <n v="2180"/>
        <n v="2193"/>
        <n v="2360"/>
        <n v="3306"/>
        <n v="2650"/>
        <n v="3850"/>
        <n v="5100"/>
        <n v="1620"/>
        <n v="1640"/>
        <n v="2300"/>
        <n v="5740"/>
        <n v="2200"/>
        <n v="2500"/>
        <n v="2272"/>
        <n v="5730"/>
        <n v="1650"/>
        <n v="2340"/>
        <n v="2271"/>
        <n v="2220"/>
        <m/>
        <n v="2750" u="1"/>
        <n v="1630" u="1"/>
        <n v="3704" u="1"/>
      </sharedItems>
    </cacheField>
    <cacheField name="Medv namn" numFmtId="0">
      <sharedItems containsBlank="1" count="23">
        <s v="Pedagogik                     "/>
        <s v="TUV "/>
        <s v="Ekonomisk historia            "/>
        <s v="Idrottsmedicin                "/>
        <s v="Inst för kost- och måltidsvetenskap"/>
        <s v="Epidemiologi och global hälsa"/>
        <s v="EMG"/>
        <s v="Inst för språkstudier"/>
        <s v="Inst för kultur- o medievetenskap"/>
        <s v="Juridiska institutionen       "/>
        <s v="NMD"/>
        <s v="Inst för psykologi            "/>
        <s v="Geografi"/>
        <s v="Statistik                     "/>
        <s v="Inst för MA och MA statistik"/>
        <s v="Estetiska ämnen               "/>
        <s v="Statsvetenskap                "/>
        <s v="Nationalekonomi               "/>
        <s v="Sociologi                     "/>
        <m/>
        <s v="Kostvetenskap                 " u="1"/>
        <s v="Geografi och ekonomisk historia" u="1"/>
        <s v="Inst för ide- o samhällsstudier" u="1"/>
      </sharedItems>
    </cacheField>
    <cacheField name="Fak medv" numFmtId="0">
      <sharedItems containsBlank="1" count="5">
        <s v="Sam"/>
        <s v="Med"/>
        <s v="TekNat"/>
        <s v="Hum"/>
        <m/>
      </sharedItems>
    </cacheField>
    <cacheField name="% org 1" numFmtId="10">
      <sharedItems containsString="0" containsBlank="1" containsNumber="1" minValue="0.05" maxValue="1" count="37">
        <n v="0.2"/>
        <n v="0.1"/>
        <n v="0.25"/>
        <n v="0.15"/>
        <n v="0.16666666666666666"/>
        <n v="0.5"/>
        <n v="0.13333333333333333"/>
        <n v="6.6666666666666666E-2"/>
        <n v="0.46666666666666667"/>
        <n v="0.35"/>
        <n v="0.33333333333333331"/>
        <n v="0.26666666666666666"/>
        <n v="0.4"/>
        <n v="0.125"/>
        <n v="0.41666666666666669"/>
        <n v="8.3333333333333329E-2"/>
        <n v="0.375"/>
        <n v="0.22727272727272727"/>
        <n v="9.0909090909090912E-2"/>
        <n v="0.3"/>
        <n v="0.35555555555555557"/>
        <n v="0.16"/>
        <n v="0.24000000000000002"/>
        <n v="0.18000000000000002"/>
        <n v="0.26999999999999996"/>
        <n v="0.05"/>
        <n v="0.7"/>
        <n v="0.6"/>
        <m/>
        <n v="7.4999999999999997E-2" u="1"/>
        <n v="0.2857142857142857" u="1"/>
        <n v="0.8" u="1"/>
        <n v="0.17857142857142858" u="1"/>
        <n v="0.48888888888888887" u="1"/>
        <n v="0.14285714285714285" u="1"/>
        <n v="1" u="1"/>
        <n v="9.166666666666666E-2" u="1"/>
      </sharedItems>
    </cacheField>
    <cacheField name="Ansv org" numFmtId="0">
      <sharedItems containsString="0" containsBlank="1" containsNumber="1" containsInteger="1" minValue="1620" maxValue="5740" count="10">
        <n v="1650"/>
        <n v="1630"/>
        <n v="2180"/>
        <n v="2500"/>
        <n v="5740"/>
        <n v="1620"/>
        <n v="2193"/>
        <n v="2340"/>
        <m/>
        <n v="5100" u="1"/>
      </sharedItems>
    </cacheField>
    <cacheField name="Kursansvar namn" numFmtId="0">
      <sharedItems containsBlank="1" count="12">
        <s v="Estetiska ämnen               "/>
        <s v="Inst för ide- o samhällsstudier"/>
        <s v="Pedagogik                     "/>
        <s v="Geografi"/>
        <s v="NMD"/>
        <s v="Inst för språkstudier"/>
        <s v="TUV "/>
        <s v="Statsvetenskap                "/>
        <m/>
        <s v="EMG" u="1"/>
        <s v="Geografi och ekonomisk historia" u="1"/>
        <e v="#N/A" u="1"/>
      </sharedItems>
    </cacheField>
    <cacheField name="Fak kursansvar" numFmtId="0">
      <sharedItems containsBlank="1"/>
    </cacheField>
    <cacheField name="Total HST" numFmtId="166">
      <sharedItems containsString="0" containsBlank="1" containsNumber="1" minValue="0" maxValue="43.524999999999999"/>
    </cacheField>
    <cacheField name="HST Medv" numFmtId="166">
      <sharedItems containsString="0" containsBlank="1" containsNumber="1" minValue="0" maxValue="18.775166666666667"/>
    </cacheField>
    <cacheField name="Total HPR" numFmtId="166">
      <sharedItems containsString="0" containsBlank="1" containsNumber="1" minValue="0" maxValue="36.996249999999996"/>
    </cacheField>
    <cacheField name="HPR Medv" numFmtId="166">
      <sharedItems containsString="0" containsBlank="1" containsNumber="1" minValue="0" maxValue="15.958891666666668"/>
    </cacheField>
    <cacheField name="Prislapp HST" numFmtId="168">
      <sharedItems containsString="0" containsBlank="1" containsNumber="1" minValue="16920" maxValue="47928"/>
    </cacheField>
    <cacheField name="Prislapp HPR" numFmtId="168">
      <sharedItems containsString="0" containsBlank="1" containsNumber="1" minValue="17442" maxValue="36082"/>
    </cacheField>
    <cacheField name="Lokalin/hst" numFmtId="168">
      <sharedItems containsString="0" containsBlank="1" containsNumber="1" containsInteger="1" minValue="3600" maxValue="35700"/>
    </cacheField>
    <cacheField name="Kursintäkt" numFmtId="168">
      <sharedItems containsString="0" containsBlank="1" containsNumber="1" minValue="0" maxValue="1032620.0852916667"/>
    </cacheField>
    <cacheField name="Avdrag" numFmtId="168">
      <sharedItems containsString="0" containsBlank="1" containsNumber="1" minValue="-72283.405970416672" maxValue="0"/>
    </cacheField>
    <cacheField name="Kursintäkt efter avdrag" numFmtId="168">
      <sharedItems containsString="0" containsBlank="1" containsNumber="1" minValue="0" maxValue="960336.67932124995"/>
    </cacheField>
    <cacheField name="Lokalintäkt" numFmtId="168">
      <sharedItems containsString="0" containsBlank="1" containsNumber="1" minValue="0" maxValue="227587.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Eva Alenius" refreshedDate="44467.609355902779" createdVersion="6" refreshedVersion="6" minRefreshableVersion="3" recordCount="1041">
  <cacheSource type="worksheet">
    <worksheetSource ref="A1:AO1042" sheet="kurser alla"/>
  </cacheSource>
  <cacheFields count="41">
    <cacheField name="Kurskod NyA" numFmtId="0">
      <sharedItems/>
    </cacheField>
    <cacheField name="Benämn" numFmtId="0">
      <sharedItems/>
    </cacheField>
    <cacheField name="anmkod" numFmtId="0">
      <sharedItems containsBlank="1" containsMixedTypes="1" containsNumber="1" containsInteger="1" minValue="14200" maxValue="75816"/>
    </cacheField>
    <cacheField name="Prkod" numFmtId="0">
      <sharedItems/>
    </cacheField>
    <cacheField name="Kull" numFmtId="0">
      <sharedItems containsBlank="1"/>
    </cacheField>
    <cacheField name="HtVt" numFmtId="0">
      <sharedItems/>
    </cacheField>
    <cacheField name="Studieveckor" numFmtId="0">
      <sharedItems containsBlank="1"/>
    </cacheField>
    <cacheField name="Ort" numFmtId="0">
      <sharedItems containsBlank="1" containsMixedTypes="1" containsNumber="1" containsInteger="1" minValue="2480" maxValue="2480"/>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9">
      <sharedItems containsString="0" containsBlank="1" containsNumber="1" minValue="0.25" maxValue="1"/>
    </cacheField>
    <cacheField name="Poäng" numFmtId="0">
      <sharedItems containsSemiMixedTypes="0" containsString="0" containsNumber="1" minValue="1.5" maxValue="30"/>
    </cacheField>
    <cacheField name="Prognos avhopp %" numFmtId="0">
      <sharedItems containsString="0" containsBlank="1" containsNumber="1" minValue="-0.12" maxValue="-0.05"/>
    </cacheField>
    <cacheField name="Utgångs-värde 1:a kurs" numFmtId="0">
      <sharedItems containsString="0" containsBlank="1" containsNumber="1" containsInteger="1" minValue="23" maxValue="53"/>
    </cacheField>
    <cacheField name="Ant" numFmtId="0">
      <sharedItems containsSemiMixedTypes="0" containsString="0" containsNumber="1" minValue="0" maxValue="149"/>
    </cacheField>
    <cacheField name="HST" numFmtId="0">
      <sharedItems containsSemiMixedTypes="0" containsString="0" containsNumber="1" minValue="0" maxValue="19"/>
    </cacheField>
    <cacheField name="HPR %" numFmtId="9">
      <sharedItems containsSemiMixedTypes="0" containsString="0" containsNumber="1" minValue="0.8" maxValue="0.85"/>
    </cacheField>
    <cacheField name="HPR" numFmtId="2">
      <sharedItems containsSemiMixedTypes="0" containsString="0" containsNumber="1" minValue="0" maxValue="15.40625"/>
    </cacheField>
    <cacheField name="Kursansvar" numFmtId="0">
      <sharedItems containsSemiMixedTypes="0" containsString="0" containsNumber="1" containsInteger="1" minValue="1620" maxValue="6000" count="17">
        <n v="1620"/>
        <n v="2271"/>
        <n v="5160"/>
        <n v="5100"/>
        <n v="5400"/>
        <n v="5500"/>
        <n v="5730"/>
        <n v="5740"/>
        <n v="5700"/>
        <n v="1650"/>
        <n v="6000"/>
        <n v="1630"/>
        <n v="2180"/>
        <n v="2193"/>
        <n v="2500"/>
        <n v="2650"/>
        <n v="2340"/>
      </sharedItems>
    </cacheField>
    <cacheField name="Kursansvar namn" numFmtId="0">
      <sharedItems/>
    </cacheField>
    <cacheField name="Fakultet" numFmtId="0">
      <sharedItems/>
    </cacheField>
    <cacheField name="Utbildning" numFmtId="0">
      <sharedItems/>
    </cacheField>
    <cacheField name="Kurspris HST" numFmtId="3">
      <sharedItems containsSemiMixedTypes="0" containsString="0" containsNumber="1" minValue="16920" maxValue="51362"/>
    </cacheField>
    <cacheField name="Kurspris HPR" numFmtId="3">
      <sharedItems containsSemiMixedTypes="0" containsString="0" containsNumber="1" minValue="17442" maxValue="66137"/>
    </cacheField>
    <cacheField name="Total ersättning" numFmtId="3">
      <sharedItems containsSemiMixedTypes="0" containsString="0" containsNumber="1" minValue="0" maxValue="1170652.5"/>
    </cacheField>
    <cacheField name="Hyrespris" numFmtId="3">
      <sharedItems containsSemiMixedTypes="0" containsString="0" containsNumber="1" containsInteger="1" minValue="3600" maxValue="72600"/>
    </cacheField>
    <cacheField name="Lokalintäkt" numFmtId="3">
      <sharedItems containsSemiMixedTypes="0" containsString="0" containsNumber="1" minValue="0" maxValue="535500"/>
    </cacheField>
    <cacheField name="Totala intäkter" numFmtId="3">
      <sharedItems containsSemiMixedTypes="0" containsString="0" containsNumber="1" minValue="0" maxValue="1706152.5"/>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containsInteg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1"/>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0">
  <r>
    <x v="0"/>
    <x v="0"/>
    <n v="2180"/>
    <x v="0"/>
    <s v="Sam"/>
    <x v="0"/>
    <n v="1650"/>
    <x v="0"/>
    <s v="Hum"/>
    <n v="2.75"/>
    <n v="0.55000000000000004"/>
    <n v="2.3374999999999999"/>
    <n v="0.46750000000000003"/>
    <n v="16920"/>
    <n v="27913"/>
    <n v="17900"/>
    <n v="22355.327499999999"/>
    <n v="-1564.8729250000001"/>
    <n v="20790.454575"/>
    <n v="9845"/>
  </r>
  <r>
    <x v="0"/>
    <x v="0"/>
    <n v="2193"/>
    <x v="1"/>
    <s v="Sam"/>
    <x v="0"/>
    <n v="1650"/>
    <x v="0"/>
    <s v="Hum"/>
    <n v="2.75"/>
    <n v="0.55000000000000004"/>
    <n v="2.3374999999999999"/>
    <n v="0.46750000000000003"/>
    <n v="16920"/>
    <n v="27913"/>
    <n v="17900"/>
    <n v="22355.327499999999"/>
    <n v="-1564.8729250000001"/>
    <n v="20790.454575"/>
    <n v="9845"/>
  </r>
  <r>
    <x v="1"/>
    <x v="1"/>
    <n v="2180"/>
    <x v="0"/>
    <s v="Sam"/>
    <x v="1"/>
    <n v="1650"/>
    <x v="0"/>
    <s v="Hum"/>
    <n v="9.75"/>
    <n v="0.97500000000000009"/>
    <n v="8.2874999999999996"/>
    <n v="0.82874999999999999"/>
    <n v="16920"/>
    <n v="27913"/>
    <n v="17900"/>
    <n v="39629.89875"/>
    <n v="-2774.0929125000002"/>
    <n v="36855.805837499996"/>
    <n v="17452.5"/>
  </r>
  <r>
    <x v="1"/>
    <x v="1"/>
    <n v="2193"/>
    <x v="1"/>
    <s v="Sam"/>
    <x v="1"/>
    <n v="1650"/>
    <x v="0"/>
    <s v="Hum"/>
    <n v="9.75"/>
    <n v="0.97500000000000009"/>
    <n v="8.2874999999999996"/>
    <n v="0.82874999999999999"/>
    <n v="16920"/>
    <n v="27913"/>
    <n v="17900"/>
    <n v="39629.89875"/>
    <n v="-2774.0929125000002"/>
    <n v="36855.805837499996"/>
    <n v="17452.5"/>
  </r>
  <r>
    <x v="2"/>
    <x v="2"/>
    <n v="2180"/>
    <x v="0"/>
    <s v="Sam"/>
    <x v="0"/>
    <n v="1650"/>
    <x v="0"/>
    <s v="Hum"/>
    <n v="3.5"/>
    <n v="0.70000000000000007"/>
    <n v="2.9749999999999996"/>
    <n v="0.59499999999999997"/>
    <n v="16920"/>
    <n v="27913"/>
    <n v="17900"/>
    <n v="28452.235000000001"/>
    <n v="-1991.6564500000002"/>
    <n v="26460.578550000002"/>
    <n v="12530.000000000002"/>
  </r>
  <r>
    <x v="2"/>
    <x v="2"/>
    <n v="2193"/>
    <x v="1"/>
    <s v="Sam"/>
    <x v="0"/>
    <n v="1650"/>
    <x v="0"/>
    <s v="Hum"/>
    <n v="3.5"/>
    <n v="0.70000000000000007"/>
    <n v="2.9749999999999996"/>
    <n v="0.59499999999999997"/>
    <n v="16920"/>
    <n v="27913"/>
    <n v="17900"/>
    <n v="28452.235000000001"/>
    <n v="-1991.6564500000002"/>
    <n v="26460.578550000002"/>
    <n v="12530.000000000002"/>
  </r>
  <r>
    <x v="3"/>
    <x v="0"/>
    <n v="2180"/>
    <x v="0"/>
    <s v="Sam"/>
    <x v="1"/>
    <n v="1650"/>
    <x v="0"/>
    <s v="Hum"/>
    <n v="5.125"/>
    <n v="0.51250000000000007"/>
    <n v="4.3562500000000002"/>
    <n v="0.43562500000000004"/>
    <n v="16920"/>
    <n v="27913"/>
    <n v="17900"/>
    <n v="20831.100625000003"/>
    <n v="-1458.1770437500004"/>
    <n v="19372.923581250001"/>
    <n v="9173.7500000000018"/>
  </r>
  <r>
    <x v="3"/>
    <x v="0"/>
    <n v="2193"/>
    <x v="1"/>
    <s v="Sam"/>
    <x v="1"/>
    <n v="1650"/>
    <x v="0"/>
    <s v="Hum"/>
    <n v="5.125"/>
    <n v="0.51250000000000007"/>
    <n v="4.3562500000000002"/>
    <n v="0.43562500000000004"/>
    <n v="16920"/>
    <n v="27913"/>
    <n v="17900"/>
    <n v="20831.100625000003"/>
    <n v="-1458.1770437500004"/>
    <n v="19372.923581250001"/>
    <n v="9173.7500000000018"/>
  </r>
  <r>
    <x v="4"/>
    <x v="3"/>
    <n v="2360"/>
    <x v="2"/>
    <s v="Sam"/>
    <x v="2"/>
    <n v="1630"/>
    <x v="1"/>
    <s v="Hum"/>
    <n v="17.5"/>
    <n v="4.375"/>
    <n v="14.875"/>
    <n v="3.71875"/>
    <n v="20766"/>
    <n v="17442"/>
    <n v="6000"/>
    <n v="155713.6875"/>
    <n v="-10899.958125000001"/>
    <n v="144813.729375"/>
    <n v="26250"/>
  </r>
  <r>
    <x v="5"/>
    <x v="4"/>
    <n v="3306"/>
    <x v="3"/>
    <s v="Med"/>
    <x v="2"/>
    <n v="2180"/>
    <x v="2"/>
    <s v="Sam"/>
    <n v="25.5"/>
    <n v="6.375"/>
    <n v="21.425000000000001"/>
    <n v="5.3562500000000002"/>
    <n v="47928"/>
    <n v="35430"/>
    <n v="35700"/>
    <n v="495312.9375"/>
    <n v="-34671.905625000007"/>
    <n v="460641.03187499999"/>
    <n v="227587.5"/>
  </r>
  <r>
    <x v="5"/>
    <x v="4"/>
    <n v="2650"/>
    <x v="4"/>
    <s v="Sam"/>
    <x v="3"/>
    <n v="2180"/>
    <x v="2"/>
    <s v="Sam"/>
    <n v="25.5"/>
    <n v="3.8249999999999997"/>
    <n v="21.425000000000001"/>
    <n v="3.2137500000000001"/>
    <n v="47928"/>
    <n v="35430"/>
    <n v="35700"/>
    <n v="297187.76249999995"/>
    <n v="-20803.143375"/>
    <n v="276384.61912499997"/>
    <n v="136552.5"/>
  </r>
  <r>
    <x v="6"/>
    <x v="5"/>
    <n v="3850"/>
    <x v="5"/>
    <s v="Med"/>
    <x v="4"/>
    <n v="2180"/>
    <x v="2"/>
    <s v="Sam"/>
    <n v="13.5"/>
    <n v="2.25"/>
    <n v="11.425000000000001"/>
    <n v="1.9041666666666668"/>
    <n v="47928"/>
    <n v="35430"/>
    <n v="35700"/>
    <n v="175302.625"/>
    <n v="-12271.183750000002"/>
    <n v="163031.44125"/>
    <n v="80325"/>
  </r>
  <r>
    <x v="7"/>
    <x v="6"/>
    <n v="3306"/>
    <x v="3"/>
    <s v="Med"/>
    <x v="2"/>
    <n v="2180"/>
    <x v="2"/>
    <s v="Sam"/>
    <n v="23.5"/>
    <n v="5.875"/>
    <n v="19.849999999999998"/>
    <n v="4.9624999999999995"/>
    <n v="47928"/>
    <n v="35430"/>
    <n v="35700"/>
    <n v="457398.375"/>
    <n v="-32017.886250000003"/>
    <n v="425380.48875000002"/>
    <n v="209737.5"/>
  </r>
  <r>
    <x v="8"/>
    <x v="7"/>
    <n v="5100"/>
    <x v="6"/>
    <s v="TekNat"/>
    <x v="5"/>
    <n v="2500"/>
    <x v="3"/>
    <s v="Sam"/>
    <n v="0"/>
    <n v="0"/>
    <n v="0"/>
    <n v="0"/>
    <n v="20766"/>
    <n v="17442"/>
    <n v="6000"/>
    <n v="0"/>
    <n v="0"/>
    <n v="0"/>
    <n v="0"/>
  </r>
  <r>
    <x v="9"/>
    <x v="8"/>
    <n v="2193"/>
    <x v="1"/>
    <s v="Sam"/>
    <x v="0"/>
    <n v="2180"/>
    <x v="2"/>
    <s v="Sam"/>
    <n v="21.25"/>
    <n v="4.25"/>
    <n v="18.0625"/>
    <n v="3.6125000000000003"/>
    <n v="26554"/>
    <n v="33465"/>
    <n v="6000"/>
    <n v="233746.8125"/>
    <n v="-16362.276875000001"/>
    <n v="217384.53562499999"/>
    <n v="25500"/>
  </r>
  <r>
    <x v="10"/>
    <x v="9"/>
    <n v="1620"/>
    <x v="7"/>
    <s v="Hum"/>
    <x v="0"/>
    <n v="1630"/>
    <x v="1"/>
    <s v="Hum"/>
    <n v="27.75"/>
    <n v="5.5500000000000007"/>
    <n v="23.587499999999999"/>
    <n v="4.7175000000000002"/>
    <n v="26554"/>
    <n v="33465"/>
    <n v="6000"/>
    <n v="305245.83750000002"/>
    <n v="-21367.208625000003"/>
    <n v="283878.62887499999"/>
    <n v="33300.000000000007"/>
  </r>
  <r>
    <x v="10"/>
    <x v="9"/>
    <n v="1640"/>
    <x v="8"/>
    <s v="Hum"/>
    <x v="6"/>
    <n v="1630"/>
    <x v="1"/>
    <s v="Hum"/>
    <n v="27.75"/>
    <n v="3.6999999999999997"/>
    <n v="23.587499999999999"/>
    <n v="3.1449999999999996"/>
    <n v="26554"/>
    <n v="33465"/>
    <n v="6000"/>
    <n v="203497.22499999998"/>
    <n v="-14244.80575"/>
    <n v="189252.41924999998"/>
    <n v="22200"/>
  </r>
  <r>
    <x v="10"/>
    <x v="9"/>
    <n v="2300"/>
    <x v="9"/>
    <s v="Sam"/>
    <x v="7"/>
    <n v="1630"/>
    <x v="1"/>
    <s v="Hum"/>
    <n v="27.75"/>
    <n v="1.8499999999999999"/>
    <n v="23.587499999999999"/>
    <n v="1.5724999999999998"/>
    <n v="26554"/>
    <n v="33465"/>
    <n v="6000"/>
    <n v="101748.61249999999"/>
    <n v="-7122.4028749999998"/>
    <n v="94626.209624999989"/>
    <n v="11100"/>
  </r>
  <r>
    <x v="11"/>
    <x v="10"/>
    <n v="2193"/>
    <x v="1"/>
    <s v="Sam"/>
    <x v="0"/>
    <n v="5740"/>
    <x v="4"/>
    <s v="TekNat"/>
    <n v="11.5"/>
    <n v="2.3000000000000003"/>
    <n v="9.7750000000000004"/>
    <n v="1.9550000000000001"/>
    <n v="26554"/>
    <n v="33465"/>
    <n v="6000"/>
    <n v="126498.27500000001"/>
    <n v="-8854.8792500000018"/>
    <n v="117643.39575000001"/>
    <n v="13800.000000000002"/>
  </r>
  <r>
    <x v="11"/>
    <x v="10"/>
    <n v="2180"/>
    <x v="0"/>
    <s v="Sam"/>
    <x v="0"/>
    <n v="5740"/>
    <x v="4"/>
    <s v="TekNat"/>
    <n v="11.5"/>
    <n v="2.3000000000000003"/>
    <n v="9.7750000000000004"/>
    <n v="1.9550000000000001"/>
    <n v="26554"/>
    <n v="33465"/>
    <n v="6000"/>
    <n v="126498.27500000001"/>
    <n v="-8854.8792500000018"/>
    <n v="117643.39575000001"/>
    <n v="13800.000000000002"/>
  </r>
  <r>
    <x v="12"/>
    <x v="11"/>
    <n v="5740"/>
    <x v="10"/>
    <s v="TekNat"/>
    <x v="5"/>
    <n v="1620"/>
    <x v="5"/>
    <s v="Hum"/>
    <n v="12.25"/>
    <n v="6.125"/>
    <n v="10.4125"/>
    <n v="5.2062499999999998"/>
    <n v="20766"/>
    <n v="17442"/>
    <n v="6000"/>
    <n v="217999.16249999998"/>
    <n v="-15259.941375"/>
    <n v="202739.22112499998"/>
    <n v="36750"/>
  </r>
  <r>
    <x v="13"/>
    <x v="12"/>
    <n v="1640"/>
    <x v="8"/>
    <s v="Hum"/>
    <x v="5"/>
    <n v="1630"/>
    <x v="1"/>
    <s v="Hum"/>
    <n v="0"/>
    <n v="0"/>
    <n v="0"/>
    <n v="0"/>
    <n v="26554"/>
    <n v="33465"/>
    <n v="6000"/>
    <n v="0"/>
    <n v="0"/>
    <n v="0"/>
    <n v="0"/>
  </r>
  <r>
    <x v="14"/>
    <x v="13"/>
    <n v="2200"/>
    <x v="11"/>
    <s v="Sam"/>
    <x v="0"/>
    <n v="1630"/>
    <x v="1"/>
    <s v="Hum"/>
    <n v="10"/>
    <n v="2"/>
    <n v="8.5"/>
    <n v="1.7000000000000002"/>
    <n v="26554"/>
    <n v="33465"/>
    <n v="6000"/>
    <n v="109998.5"/>
    <n v="-7699.8950000000004"/>
    <n v="102298.605"/>
    <n v="12000"/>
  </r>
  <r>
    <x v="15"/>
    <x v="14"/>
    <n v="2500"/>
    <x v="12"/>
    <s v="Sam"/>
    <x v="4"/>
    <n v="1630"/>
    <x v="1"/>
    <s v="Hum"/>
    <n v="6.5"/>
    <n v="1.0833333333333333"/>
    <n v="5.4749999999999996"/>
    <n v="0.91249999999999987"/>
    <n v="20766"/>
    <n v="17442"/>
    <n v="6000"/>
    <n v="38412.324999999997"/>
    <n v="-2688.8627500000002"/>
    <n v="35723.462249999997"/>
    <n v="6500"/>
  </r>
  <r>
    <x v="15"/>
    <x v="14"/>
    <n v="2180"/>
    <x v="0"/>
    <s v="Sam"/>
    <x v="5"/>
    <n v="1630"/>
    <x v="1"/>
    <s v="Hum"/>
    <n v="6.5"/>
    <n v="3.25"/>
    <n v="5.4749999999999996"/>
    <n v="2.7374999999999998"/>
    <n v="20766"/>
    <n v="17442"/>
    <n v="6000"/>
    <n v="115236.97500000001"/>
    <n v="-8066.5882500000016"/>
    <n v="107170.38675000001"/>
    <n v="19500"/>
  </r>
  <r>
    <x v="16"/>
    <x v="15"/>
    <n v="2272"/>
    <x v="13"/>
    <s v="Sam"/>
    <x v="0"/>
    <n v="1630"/>
    <x v="1"/>
    <s v="Hum"/>
    <n v="52.962499999999999"/>
    <n v="10.592500000000001"/>
    <n v="45.018124999999998"/>
    <n v="9.0036249999999995"/>
    <n v="26554"/>
    <n v="33465"/>
    <n v="6000"/>
    <n v="582579.55562500004"/>
    <n v="-40780.568893750009"/>
    <n v="541798.98673125007"/>
    <n v="63555.000000000007"/>
  </r>
  <r>
    <x v="16"/>
    <x v="15"/>
    <n v="2180"/>
    <x v="0"/>
    <s v="Sam"/>
    <x v="6"/>
    <n v="1630"/>
    <x v="1"/>
    <s v="Hum"/>
    <n v="52.962499999999999"/>
    <n v="7.0616666666666665"/>
    <n v="45.018124999999998"/>
    <n v="6.0024166666666661"/>
    <n v="26554"/>
    <n v="33465"/>
    <n v="6000"/>
    <n v="388386.37041666661"/>
    <n v="-27187.045929166667"/>
    <n v="361199.32448749995"/>
    <n v="42370"/>
  </r>
  <r>
    <x v="17"/>
    <x v="16"/>
    <n v="1640"/>
    <x v="8"/>
    <s v="Hum"/>
    <x v="8"/>
    <n v="1630"/>
    <x v="1"/>
    <s v="Hum"/>
    <n v="49.012500000000003"/>
    <n v="22.872500000000002"/>
    <n v="41.660624999999996"/>
    <n v="19.441624999999998"/>
    <n v="26554"/>
    <n v="33465"/>
    <n v="6000"/>
    <n v="1257970.3456250001"/>
    <n v="-88057.924193750019"/>
    <n v="1169912.4214312499"/>
    <n v="137235"/>
  </r>
  <r>
    <x v="18"/>
    <x v="17"/>
    <n v="1640"/>
    <x v="8"/>
    <s v="Hum"/>
    <x v="9"/>
    <n v="1630"/>
    <x v="1"/>
    <s v="Hum"/>
    <n v="8.1669999999999998"/>
    <n v="2.8584499999999999"/>
    <n v="6.9419499999999994"/>
    <n v="2.4296824999999997"/>
    <n v="26554"/>
    <n v="33465"/>
    <n v="6000"/>
    <n v="157212.60616249999"/>
    <n v="-11004.882431374999"/>
    <n v="146207.72373112498"/>
    <n v="17150.7"/>
  </r>
  <r>
    <x v="19"/>
    <x v="18"/>
    <n v="5740"/>
    <x v="10"/>
    <s v="TekNat"/>
    <x v="10"/>
    <n v="1620"/>
    <x v="5"/>
    <s v="Hum"/>
    <n v="1.9"/>
    <n v="0.6333333333333333"/>
    <n v="1.615"/>
    <n v="0.53833333333333333"/>
    <n v="25235"/>
    <n v="27976"/>
    <n v="3600"/>
    <n v="31042.58"/>
    <n v="-2172.9806000000003"/>
    <n v="28869.599400000003"/>
    <n v="2280"/>
  </r>
  <r>
    <x v="20"/>
    <x v="19"/>
    <n v="5740"/>
    <x v="10"/>
    <s v="TekNat"/>
    <x v="10"/>
    <n v="1620"/>
    <x v="5"/>
    <s v="Hum"/>
    <n v="3.8"/>
    <n v="1.2666666666666666"/>
    <n v="3.23"/>
    <n v="1.0766666666666667"/>
    <n v="25235"/>
    <n v="27976"/>
    <n v="3600"/>
    <n v="62085.16"/>
    <n v="-4345.9612000000006"/>
    <n v="57739.198800000006"/>
    <n v="4560"/>
  </r>
  <r>
    <x v="21"/>
    <x v="20"/>
    <n v="2193"/>
    <x v="1"/>
    <s v="Sam"/>
    <x v="10"/>
    <n v="1620"/>
    <x v="5"/>
    <s v="Hum"/>
    <n v="2.625"/>
    <n v="0.875"/>
    <n v="2.2312499999999997"/>
    <n v="0.74374999999999991"/>
    <n v="20766"/>
    <n v="17442"/>
    <n v="6000"/>
    <n v="31142.737499999999"/>
    <n v="-2179.9916250000001"/>
    <n v="28962.745875000001"/>
    <n v="5250"/>
  </r>
  <r>
    <x v="22"/>
    <x v="21"/>
    <n v="1640"/>
    <x v="8"/>
    <s v="Hum"/>
    <x v="4"/>
    <n v="1620"/>
    <x v="5"/>
    <s v="Hum"/>
    <n v="16.25"/>
    <n v="2.708333333333333"/>
    <n v="13.8125"/>
    <n v="2.302083333333333"/>
    <n v="20766"/>
    <n v="17442"/>
    <n v="6000"/>
    <n v="96394.187499999985"/>
    <n v="-6747.5931249999994"/>
    <n v="89646.594374999986"/>
    <n v="16249.999999999998"/>
  </r>
  <r>
    <x v="23"/>
    <x v="22"/>
    <n v="5730"/>
    <x v="14"/>
    <s v="TekNat"/>
    <x v="10"/>
    <n v="5740"/>
    <x v="4"/>
    <s v="TekNat"/>
    <n v="5.875"/>
    <n v="1.9583333333333333"/>
    <n v="4.9937500000000004"/>
    <n v="1.6645833333333333"/>
    <n v="20757"/>
    <n v="36082"/>
    <n v="22600"/>
    <n v="100710.62083333333"/>
    <n v="-7049.7434583333343"/>
    <n v="93660.877374999996"/>
    <n v="44258.333333333328"/>
  </r>
  <r>
    <x v="24"/>
    <x v="23"/>
    <n v="5730"/>
    <x v="14"/>
    <s v="TekNat"/>
    <x v="10"/>
    <n v="5740"/>
    <x v="4"/>
    <s v="TekNat"/>
    <n v="5.75"/>
    <n v="1.9166666666666665"/>
    <n v="4.8875000000000002"/>
    <n v="1.6291666666666667"/>
    <n v="20757"/>
    <n v="36082"/>
    <n v="22600"/>
    <n v="98567.841666666674"/>
    <n v="-6899.7489166666683"/>
    <n v="91668.092750000011"/>
    <n v="43316.666666666664"/>
  </r>
  <r>
    <x v="25"/>
    <x v="24"/>
    <n v="5730"/>
    <x v="14"/>
    <s v="TekNat"/>
    <x v="10"/>
    <n v="5740"/>
    <x v="4"/>
    <s v="TekNat"/>
    <n v="2.875"/>
    <n v="0.95833333333333326"/>
    <n v="2.4437500000000001"/>
    <n v="0.81458333333333333"/>
    <n v="20757"/>
    <n v="36082"/>
    <n v="22600"/>
    <n v="49283.920833333337"/>
    <n v="-3449.8744583333341"/>
    <n v="45834.046375000005"/>
    <n v="21658.333333333332"/>
  </r>
  <r>
    <x v="26"/>
    <x v="25"/>
    <n v="2193"/>
    <x v="1"/>
    <s v="Sam"/>
    <x v="11"/>
    <n v="5740"/>
    <x v="4"/>
    <s v="TekNat"/>
    <n v="7.75"/>
    <n v="2.0666666666666664"/>
    <n v="6.5875000000000004"/>
    <n v="1.7566666666666668"/>
    <n v="20757"/>
    <n v="36082"/>
    <n v="22600"/>
    <n v="106281.84666666666"/>
    <n v="-7439.7292666666672"/>
    <n v="98842.117400000003"/>
    <n v="46706.666666666664"/>
  </r>
  <r>
    <x v="27"/>
    <x v="26"/>
    <n v="2193"/>
    <x v="1"/>
    <s v="Sam"/>
    <x v="0"/>
    <n v="5740"/>
    <x v="4"/>
    <s v="TekNat"/>
    <n v="13.5"/>
    <n v="2.7"/>
    <n v="11.475"/>
    <n v="2.2949999999999999"/>
    <n v="20757"/>
    <n v="36082"/>
    <n v="22600"/>
    <n v="138852.09"/>
    <n v="-9719.6463000000003"/>
    <n v="129132.4437"/>
    <n v="61020.000000000007"/>
  </r>
  <r>
    <x v="28"/>
    <x v="27"/>
    <n v="1650"/>
    <x v="15"/>
    <s v="Hum"/>
    <x v="12"/>
    <n v="2193"/>
    <x v="6"/>
    <s v="Sam"/>
    <n v="2.75"/>
    <n v="1.1000000000000001"/>
    <n v="2.3374999999999999"/>
    <n v="0.93500000000000005"/>
    <n v="20766"/>
    <n v="17442"/>
    <n v="6000"/>
    <n v="39150.870000000003"/>
    <n v="-2740.5609000000004"/>
    <n v="36410.309099999999"/>
    <n v="6600.0000000000009"/>
  </r>
  <r>
    <x v="29"/>
    <x v="28"/>
    <n v="2300"/>
    <x v="9"/>
    <s v="Sam"/>
    <x v="2"/>
    <n v="2193"/>
    <x v="6"/>
    <s v="Sam"/>
    <n v="9.4"/>
    <n v="2.35"/>
    <n v="7.9899999999999993"/>
    <n v="1.9974999999999998"/>
    <n v="26554"/>
    <n v="33465"/>
    <n v="6000"/>
    <n v="129248.23749999999"/>
    <n v="-9047.3766250000008"/>
    <n v="120200.86087499998"/>
    <n v="14100"/>
  </r>
  <r>
    <x v="30"/>
    <x v="29"/>
    <n v="2300"/>
    <x v="9"/>
    <s v="Sam"/>
    <x v="2"/>
    <n v="2180"/>
    <x v="2"/>
    <s v="Sam"/>
    <n v="20.3"/>
    <n v="5.0750000000000002"/>
    <n v="17.254999999999999"/>
    <n v="4.3137499999999998"/>
    <n v="26554"/>
    <n v="33465"/>
    <n v="6000"/>
    <n v="279121.19374999998"/>
    <n v="-19538.483562500001"/>
    <n v="259582.71018749996"/>
    <n v="30450"/>
  </r>
  <r>
    <x v="31"/>
    <x v="30"/>
    <n v="2200"/>
    <x v="11"/>
    <s v="Sam"/>
    <x v="12"/>
    <n v="2180"/>
    <x v="2"/>
    <s v="Sam"/>
    <n v="53.818750000000001"/>
    <n v="21.527500000000003"/>
    <n v="45.745937499999997"/>
    <n v="18.298375"/>
    <n v="26554"/>
    <n v="33465"/>
    <n v="6000"/>
    <n v="1183996.3543750001"/>
    <n v="-82879.744806250019"/>
    <n v="1101116.60956875"/>
    <n v="129165.00000000001"/>
  </r>
  <r>
    <x v="32"/>
    <x v="31"/>
    <n v="2180"/>
    <x v="0"/>
    <s v="Sam"/>
    <x v="0"/>
    <n v="2193"/>
    <x v="6"/>
    <s v="Sam"/>
    <n v="18.75"/>
    <n v="3.75"/>
    <n v="15.9375"/>
    <n v="3.1875"/>
    <n v="20766"/>
    <n v="17442"/>
    <n v="6000"/>
    <n v="133468.875"/>
    <n v="-9342.8212500000009"/>
    <n v="124126.05374999999"/>
    <n v="22500"/>
  </r>
  <r>
    <x v="33"/>
    <x v="32"/>
    <n v="2193"/>
    <x v="1"/>
    <s v="Sam"/>
    <x v="5"/>
    <n v="2180"/>
    <x v="2"/>
    <s v="Sam"/>
    <n v="0"/>
    <n v="0"/>
    <n v="0"/>
    <n v="0"/>
    <n v="25235"/>
    <n v="27976"/>
    <n v="3600"/>
    <n v="0"/>
    <n v="0"/>
    <n v="0"/>
    <n v="0"/>
  </r>
  <r>
    <x v="34"/>
    <x v="33"/>
    <n v="2193"/>
    <x v="1"/>
    <s v="Sam"/>
    <x v="11"/>
    <n v="5740"/>
    <x v="4"/>
    <s v="TekNat"/>
    <n v="0"/>
    <n v="0"/>
    <n v="0"/>
    <n v="0"/>
    <n v="26554"/>
    <n v="33465"/>
    <n v="6000"/>
    <n v="0"/>
    <n v="0"/>
    <n v="0"/>
    <n v="0"/>
  </r>
  <r>
    <x v="34"/>
    <x v="33"/>
    <n v="2180"/>
    <x v="0"/>
    <s v="Sam"/>
    <x v="11"/>
    <n v="5740"/>
    <x v="4"/>
    <s v="TekNat"/>
    <n v="0"/>
    <n v="0"/>
    <n v="0"/>
    <n v="0"/>
    <n v="26554"/>
    <n v="33465"/>
    <n v="6000"/>
    <n v="0"/>
    <n v="0"/>
    <n v="0"/>
    <n v="0"/>
  </r>
  <r>
    <x v="35"/>
    <x v="34"/>
    <n v="2340"/>
    <x v="16"/>
    <s v="Sam"/>
    <x v="0"/>
    <n v="2193"/>
    <x v="6"/>
    <s v="Sam"/>
    <n v="0"/>
    <n v="0"/>
    <n v="0"/>
    <n v="0"/>
    <n v="26554"/>
    <n v="33465"/>
    <n v="6000"/>
    <n v="0"/>
    <n v="0"/>
    <n v="0"/>
    <n v="0"/>
  </r>
  <r>
    <x v="36"/>
    <x v="35"/>
    <n v="2180"/>
    <x v="0"/>
    <s v="Sam"/>
    <x v="11"/>
    <n v="2193"/>
    <x v="6"/>
    <s v="Sam"/>
    <n v="0"/>
    <n v="0"/>
    <n v="0"/>
    <n v="0"/>
    <n v="26554"/>
    <n v="33465"/>
    <n v="6000"/>
    <n v="0"/>
    <n v="0"/>
    <n v="0"/>
    <n v="0"/>
  </r>
  <r>
    <x v="37"/>
    <x v="36"/>
    <n v="2180"/>
    <x v="0"/>
    <s v="Sam"/>
    <x v="13"/>
    <n v="2193"/>
    <x v="6"/>
    <s v="Sam"/>
    <n v="7.8663333333333334"/>
    <n v="0.98329166666666667"/>
    <n v="6.6863833333333327"/>
    <n v="0.83579791666666658"/>
    <n v="26554"/>
    <n v="33465"/>
    <n v="6000"/>
    <n v="54080.304197916666"/>
    <n v="-3785.6212938541671"/>
    <n v="50294.682904062502"/>
    <n v="5899.75"/>
  </r>
  <r>
    <x v="37"/>
    <x v="36"/>
    <n v="2200"/>
    <x v="11"/>
    <s v="Sam"/>
    <x v="2"/>
    <n v="2193"/>
    <x v="6"/>
    <s v="Sam"/>
    <n v="7.8663333333333334"/>
    <n v="1.9665833333333333"/>
    <n v="6.6863833333333327"/>
    <n v="1.6715958333333332"/>
    <n v="26554"/>
    <n v="33465"/>
    <n v="6000"/>
    <n v="108160.60839583333"/>
    <n v="-7571.2425877083342"/>
    <n v="100589.365808125"/>
    <n v="11799.5"/>
  </r>
  <r>
    <x v="38"/>
    <x v="37"/>
    <n v="2180"/>
    <x v="0"/>
    <s v="Sam"/>
    <x v="14"/>
    <n v="2193"/>
    <x v="6"/>
    <s v="Sam"/>
    <n v="6.1"/>
    <n v="2.5416666666666665"/>
    <n v="5.1849999999999996"/>
    <n v="2.1604166666666664"/>
    <n v="26554"/>
    <n v="33465"/>
    <n v="6000"/>
    <n v="139789.76041666663"/>
    <n v="-9785.2832291666655"/>
    <n v="130004.47718749996"/>
    <n v="15250"/>
  </r>
  <r>
    <x v="38"/>
    <x v="37"/>
    <n v="2200"/>
    <x v="11"/>
    <s v="Sam"/>
    <x v="15"/>
    <n v="2193"/>
    <x v="6"/>
    <s v="Sam"/>
    <n v="6.1"/>
    <n v="0.5083333333333333"/>
    <n v="5.1849999999999996"/>
    <n v="0.43208333333333326"/>
    <n v="26554"/>
    <n v="33465"/>
    <n v="6000"/>
    <n v="27957.95208333333"/>
    <n v="-1957.0566458333333"/>
    <n v="26000.895437499996"/>
    <n v="3050"/>
  </r>
  <r>
    <x v="39"/>
    <x v="38"/>
    <n v="2193"/>
    <x v="1"/>
    <s v="Sam"/>
    <x v="12"/>
    <n v="2180"/>
    <x v="2"/>
    <s v="Sam"/>
    <n v="6.8326666666666664"/>
    <n v="2.7330666666666668"/>
    <n v="5.8077666666666667"/>
    <n v="2.3231066666666669"/>
    <n v="26554"/>
    <n v="33465"/>
    <n v="6000"/>
    <n v="150316.61686666668"/>
    <n v="-10522.163180666668"/>
    <n v="139794.45368600002"/>
    <n v="16398.400000000001"/>
  </r>
  <r>
    <x v="39"/>
    <x v="38"/>
    <n v="2200"/>
    <x v="11"/>
    <s v="Sam"/>
    <x v="1"/>
    <n v="2180"/>
    <x v="2"/>
    <s v="Sam"/>
    <n v="6.8326666666666664"/>
    <n v="0.68326666666666669"/>
    <n v="5.8077666666666667"/>
    <n v="0.58077666666666672"/>
    <n v="26554"/>
    <n v="33465"/>
    <n v="6000"/>
    <n v="37579.15421666667"/>
    <n v="-2630.5407951666671"/>
    <n v="34948.613421500006"/>
    <n v="4099.6000000000004"/>
  </r>
  <r>
    <x v="40"/>
    <x v="39"/>
    <n v="2193"/>
    <x v="1"/>
    <s v="Sam"/>
    <x v="12"/>
    <n v="2180"/>
    <x v="2"/>
    <s v="Sam"/>
    <n v="9.1666666666666661"/>
    <n v="3.6666666666666665"/>
    <n v="7.791666666666667"/>
    <n v="3.1166666666666671"/>
    <n v="26554"/>
    <n v="33465"/>
    <n v="6000"/>
    <n v="201663.91666666669"/>
    <n v="-14116.474166666669"/>
    <n v="187547.4425"/>
    <n v="22000"/>
  </r>
  <r>
    <x v="40"/>
    <x v="39"/>
    <n v="2200"/>
    <x v="11"/>
    <s v="Sam"/>
    <x v="1"/>
    <n v="2180"/>
    <x v="2"/>
    <s v="Sam"/>
    <n v="9.1666666666666661"/>
    <n v="0.91666666666666663"/>
    <n v="7.791666666666667"/>
    <n v="0.77916666666666679"/>
    <n v="26554"/>
    <n v="33465"/>
    <n v="6000"/>
    <n v="50415.979166666672"/>
    <n v="-3529.1185416666672"/>
    <n v="46886.860625000001"/>
    <n v="5500"/>
  </r>
  <r>
    <x v="41"/>
    <x v="40"/>
    <n v="2193"/>
    <x v="1"/>
    <s v="Sam"/>
    <x v="16"/>
    <n v="2180"/>
    <x v="2"/>
    <s v="Sam"/>
    <n v="0"/>
    <n v="0"/>
    <n v="0"/>
    <n v="0"/>
    <n v="26554"/>
    <n v="33465"/>
    <n v="6000"/>
    <n v="0"/>
    <n v="0"/>
    <n v="0"/>
    <n v="0"/>
  </r>
  <r>
    <x v="41"/>
    <x v="40"/>
    <n v="2200"/>
    <x v="11"/>
    <s v="Sam"/>
    <x v="2"/>
    <n v="2180"/>
    <x v="2"/>
    <s v="Sam"/>
    <n v="0"/>
    <n v="0"/>
    <n v="0"/>
    <n v="0"/>
    <n v="26554"/>
    <n v="33465"/>
    <n v="6000"/>
    <n v="0"/>
    <n v="0"/>
    <n v="0"/>
    <n v="0"/>
  </r>
  <r>
    <x v="42"/>
    <x v="41"/>
    <n v="5740"/>
    <x v="10"/>
    <s v="TekNat"/>
    <x v="16"/>
    <n v="2180"/>
    <x v="2"/>
    <s v="Sam"/>
    <n v="8.8000000000000007"/>
    <n v="3.3000000000000003"/>
    <n v="7.48"/>
    <n v="2.8050000000000002"/>
    <n v="26554"/>
    <n v="33465"/>
    <n v="6000"/>
    <n v="181497.52500000002"/>
    <n v="-12704.826750000002"/>
    <n v="168792.69825000002"/>
    <n v="19800"/>
  </r>
  <r>
    <x v="42"/>
    <x v="41"/>
    <n v="2200"/>
    <x v="11"/>
    <s v="Sam"/>
    <x v="2"/>
    <n v="2180"/>
    <x v="2"/>
    <s v="Sam"/>
    <n v="8.8000000000000007"/>
    <n v="2.2000000000000002"/>
    <n v="7.48"/>
    <n v="1.87"/>
    <n v="26554"/>
    <n v="33465"/>
    <n v="6000"/>
    <n v="120998.35"/>
    <n v="-8469.8845000000019"/>
    <n v="112528.46550000001"/>
    <n v="13200.000000000002"/>
  </r>
  <r>
    <x v="43"/>
    <x v="42"/>
    <n v="2200"/>
    <x v="11"/>
    <s v="Sam"/>
    <x v="2"/>
    <n v="2180"/>
    <x v="2"/>
    <s v="Sam"/>
    <n v="14.666666666666664"/>
    <n v="3.6666666666666661"/>
    <n v="12.466666666666665"/>
    <n v="3.1166666666666663"/>
    <n v="26554"/>
    <n v="33465"/>
    <n v="6000"/>
    <n v="201663.91666666663"/>
    <n v="-14116.474166666665"/>
    <n v="187547.44249999998"/>
    <n v="21999.999999999996"/>
  </r>
  <r>
    <x v="43"/>
    <x v="42"/>
    <n v="5740"/>
    <x v="10"/>
    <s v="TekNat"/>
    <x v="13"/>
    <n v="2180"/>
    <x v="2"/>
    <s v="Sam"/>
    <n v="14.666666666666664"/>
    <n v="1.833333333333333"/>
    <n v="12.466666666666665"/>
    <n v="1.5583333333333331"/>
    <n v="26554"/>
    <n v="33465"/>
    <n v="6000"/>
    <n v="100831.95833333331"/>
    <n v="-7058.2370833333325"/>
    <n v="93773.721249999988"/>
    <n v="10999.999999999998"/>
  </r>
  <r>
    <x v="44"/>
    <x v="43"/>
    <n v="2193"/>
    <x v="1"/>
    <s v="Sam"/>
    <x v="11"/>
    <n v="2180"/>
    <x v="2"/>
    <s v="Sam"/>
    <n v="0"/>
    <n v="0"/>
    <n v="0"/>
    <n v="0"/>
    <n v="26554"/>
    <n v="33465"/>
    <n v="6000"/>
    <n v="0"/>
    <n v="0"/>
    <n v="0"/>
    <n v="0"/>
  </r>
  <r>
    <x v="45"/>
    <x v="44"/>
    <n v="2180"/>
    <x v="0"/>
    <s v="Sam"/>
    <x v="0"/>
    <n v="2193"/>
    <x v="6"/>
    <s v="Sam"/>
    <n v="6"/>
    <n v="1.2000000000000002"/>
    <n v="5.0999999999999996"/>
    <n v="1.02"/>
    <n v="20766"/>
    <n v="17442"/>
    <n v="6000"/>
    <n v="42710.040000000008"/>
    <n v="-2989.7028000000009"/>
    <n v="39720.337200000009"/>
    <n v="7200.0000000000009"/>
  </r>
  <r>
    <x v="46"/>
    <x v="45"/>
    <n v="2180"/>
    <x v="0"/>
    <s v="Sam"/>
    <x v="17"/>
    <n v="5740"/>
    <x v="4"/>
    <s v="TekNat"/>
    <n v="15.032999999999999"/>
    <n v="3.416590909090909"/>
    <n v="12.77805"/>
    <n v="2.9041022727272727"/>
    <n v="26554"/>
    <n v="33465"/>
    <n v="6000"/>
    <n v="187909.93755681819"/>
    <n v="-13153.695628977273"/>
    <n v="174756.24192784092"/>
    <n v="20499.545454545456"/>
  </r>
  <r>
    <x v="46"/>
    <x v="45"/>
    <n v="2193"/>
    <x v="1"/>
    <s v="Sam"/>
    <x v="17"/>
    <n v="5740"/>
    <x v="4"/>
    <s v="TekNat"/>
    <n v="15.032999999999999"/>
    <n v="3.416590909090909"/>
    <n v="12.77805"/>
    <n v="2.9041022727272727"/>
    <n v="26554"/>
    <n v="33465"/>
    <n v="6000"/>
    <n v="187909.93755681819"/>
    <n v="-13153.695628977273"/>
    <n v="174756.24192784092"/>
    <n v="20499.545454545456"/>
  </r>
  <r>
    <x v="46"/>
    <x v="45"/>
    <n v="2300"/>
    <x v="9"/>
    <s v="Sam"/>
    <x v="18"/>
    <n v="5740"/>
    <x v="4"/>
    <s v="TekNat"/>
    <n v="15.032999999999999"/>
    <n v="1.3666363636363636"/>
    <n v="12.77805"/>
    <n v="1.1616409090909092"/>
    <n v="26554"/>
    <n v="33465"/>
    <n v="6000"/>
    <n v="75163.975022727274"/>
    <n v="-5261.4782515909101"/>
    <n v="69902.496771136357"/>
    <n v="8199.818181818182"/>
  </r>
  <r>
    <x v="47"/>
    <x v="46"/>
    <n v="2193"/>
    <x v="1"/>
    <s v="Sam"/>
    <x v="19"/>
    <n v="5740"/>
    <x v="4"/>
    <s v="TekNat"/>
    <n v="9.8003333333333327"/>
    <n v="2.9400999999999997"/>
    <n v="8.3302833333333339"/>
    <n v="2.499085"/>
    <n v="26554"/>
    <n v="33465"/>
    <n v="6000"/>
    <n v="161703.29492499999"/>
    <n v="-11319.230644750001"/>
    <n v="150384.06428024999"/>
    <n v="17640.599999999999"/>
  </r>
  <r>
    <x v="47"/>
    <x v="46"/>
    <n v="2300"/>
    <x v="9"/>
    <s v="Sam"/>
    <x v="1"/>
    <n v="5740"/>
    <x v="4"/>
    <s v="TekNat"/>
    <n v="9.8003333333333327"/>
    <n v="0.98003333333333331"/>
    <n v="8.3302833333333339"/>
    <n v="0.83302833333333348"/>
    <n v="26554"/>
    <n v="33465"/>
    <n v="6000"/>
    <n v="53901.098308333341"/>
    <n v="-3773.0768815833344"/>
    <n v="50128.021426750005"/>
    <n v="5880.2"/>
  </r>
  <r>
    <x v="48"/>
    <x v="47"/>
    <n v="2180"/>
    <x v="0"/>
    <s v="Sam"/>
    <x v="17"/>
    <n v="5740"/>
    <x v="4"/>
    <s v="TekNat"/>
    <n v="20.350000000000001"/>
    <n v="4.625"/>
    <n v="17.297499999999999"/>
    <n v="3.9312499999999999"/>
    <n v="26554"/>
    <n v="33465"/>
    <n v="6000"/>
    <n v="254371.53125"/>
    <n v="-17806.007187500003"/>
    <n v="236565.52406249999"/>
    <n v="27750"/>
  </r>
  <r>
    <x v="48"/>
    <x v="47"/>
    <n v="2193"/>
    <x v="1"/>
    <s v="Sam"/>
    <x v="17"/>
    <n v="5740"/>
    <x v="4"/>
    <s v="TekNat"/>
    <n v="20.350000000000001"/>
    <n v="4.625"/>
    <n v="17.297499999999999"/>
    <n v="3.9312499999999999"/>
    <n v="26554"/>
    <n v="33465"/>
    <n v="6000"/>
    <n v="254371.53125"/>
    <n v="-17806.007187500003"/>
    <n v="236565.52406249999"/>
    <n v="27750"/>
  </r>
  <r>
    <x v="48"/>
    <x v="47"/>
    <n v="2300"/>
    <x v="9"/>
    <s v="Sam"/>
    <x v="18"/>
    <n v="5740"/>
    <x v="4"/>
    <s v="TekNat"/>
    <n v="20.350000000000001"/>
    <n v="1.85"/>
    <n v="17.297499999999999"/>
    <n v="1.5725"/>
    <n v="26554"/>
    <n v="33465"/>
    <n v="6000"/>
    <n v="101748.6125"/>
    <n v="-7122.4028750000007"/>
    <n v="94626.209625000003"/>
    <n v="11100"/>
  </r>
  <r>
    <x v="49"/>
    <x v="48"/>
    <n v="1650"/>
    <x v="15"/>
    <s v="Hum"/>
    <x v="11"/>
    <n v="5740"/>
    <x v="4"/>
    <s v="TekNat"/>
    <n v="0"/>
    <n v="0"/>
    <n v="0"/>
    <n v="0"/>
    <n v="26554"/>
    <n v="33465"/>
    <n v="6000"/>
    <n v="0"/>
    <n v="0"/>
    <n v="0"/>
    <n v="0"/>
  </r>
  <r>
    <x v="49"/>
    <x v="48"/>
    <n v="2193"/>
    <x v="1"/>
    <s v="Sam"/>
    <x v="0"/>
    <n v="5740"/>
    <x v="4"/>
    <s v="TekNat"/>
    <n v="0"/>
    <n v="0"/>
    <n v="0"/>
    <n v="0"/>
    <n v="26554"/>
    <n v="33465"/>
    <n v="6000"/>
    <n v="0"/>
    <n v="0"/>
    <n v="0"/>
    <n v="0"/>
  </r>
  <r>
    <x v="49"/>
    <x v="48"/>
    <n v="2180"/>
    <x v="0"/>
    <s v="Sam"/>
    <x v="0"/>
    <n v="5740"/>
    <x v="4"/>
    <s v="TekNat"/>
    <n v="0"/>
    <n v="0"/>
    <n v="0"/>
    <n v="0"/>
    <n v="26554"/>
    <n v="33465"/>
    <n v="6000"/>
    <n v="0"/>
    <n v="0"/>
    <n v="0"/>
    <n v="0"/>
  </r>
  <r>
    <x v="50"/>
    <x v="49"/>
    <n v="1620"/>
    <x v="7"/>
    <s v="Hum"/>
    <x v="20"/>
    <n v="5740"/>
    <x v="4"/>
    <s v="TekNat"/>
    <n v="16.125"/>
    <n v="5.7333333333333334"/>
    <n v="13.706250000000001"/>
    <n v="4.873333333333334"/>
    <n v="25235"/>
    <n v="27976"/>
    <n v="3600"/>
    <n v="281017.04000000004"/>
    <n v="-19671.192800000004"/>
    <n v="261345.84720000002"/>
    <n v="20640"/>
  </r>
  <r>
    <x v="50"/>
    <x v="49"/>
    <n v="2180"/>
    <x v="0"/>
    <s v="Sam"/>
    <x v="6"/>
    <n v="5740"/>
    <x v="4"/>
    <s v="TekNat"/>
    <n v="16.125"/>
    <n v="2.15"/>
    <n v="13.706250000000001"/>
    <n v="1.8275000000000001"/>
    <n v="25235"/>
    <n v="27976"/>
    <n v="3600"/>
    <n v="105381.39000000001"/>
    <n v="-7376.6973000000016"/>
    <n v="98004.692700000014"/>
    <n v="7740"/>
  </r>
  <r>
    <x v="51"/>
    <x v="50"/>
    <n v="1620"/>
    <x v="7"/>
    <s v="Hum"/>
    <x v="12"/>
    <n v="5740"/>
    <x v="4"/>
    <s v="TekNat"/>
    <n v="7.5"/>
    <n v="3"/>
    <n v="6.3749999999999991"/>
    <n v="2.5499999999999998"/>
    <n v="25235"/>
    <n v="27976"/>
    <n v="3600"/>
    <n v="147043.79999999999"/>
    <n v="-10293.066000000001"/>
    <n v="136750.734"/>
    <n v="10800"/>
  </r>
  <r>
    <x v="52"/>
    <x v="51"/>
    <n v="2180"/>
    <x v="0"/>
    <s v="Sam"/>
    <x v="19"/>
    <n v="2193"/>
    <x v="6"/>
    <s v="Sam"/>
    <n v="13.75"/>
    <n v="4.125"/>
    <n v="11.6875"/>
    <n v="3.5062500000000001"/>
    <n v="20766"/>
    <n v="17442"/>
    <n v="6000"/>
    <n v="146815.76250000001"/>
    <n v="-10277.103375000002"/>
    <n v="136538.65912500001"/>
    <n v="24750"/>
  </r>
  <r>
    <x v="52"/>
    <x v="51"/>
    <n v="5740"/>
    <x v="10"/>
    <s v="TekNat"/>
    <x v="6"/>
    <n v="2193"/>
    <x v="6"/>
    <s v="Sam"/>
    <n v="13.75"/>
    <n v="1.8333333333333333"/>
    <n v="11.6875"/>
    <n v="1.5583333333333333"/>
    <n v="20766"/>
    <n v="17442"/>
    <n v="6000"/>
    <n v="65251.45"/>
    <n v="-4567.6015000000007"/>
    <n v="60683.848499999993"/>
    <n v="11000"/>
  </r>
  <r>
    <x v="53"/>
    <x v="52"/>
    <n v="2180"/>
    <x v="0"/>
    <s v="Sam"/>
    <x v="8"/>
    <n v="2193"/>
    <x v="6"/>
    <s v="Sam"/>
    <n v="0"/>
    <n v="0"/>
    <n v="0"/>
    <n v="0"/>
    <n v="26554"/>
    <n v="33465"/>
    <n v="6000"/>
    <n v="0"/>
    <n v="0"/>
    <n v="0"/>
    <n v="0"/>
  </r>
  <r>
    <x v="54"/>
    <x v="53"/>
    <n v="2180"/>
    <x v="0"/>
    <s v="Sam"/>
    <x v="8"/>
    <n v="2193"/>
    <x v="6"/>
    <s v="Sam"/>
    <n v="2.625"/>
    <n v="1.2250000000000001"/>
    <n v="2.2312499999999997"/>
    <n v="1.0412499999999998"/>
    <n v="26554"/>
    <n v="33465"/>
    <n v="6000"/>
    <n v="67374.081249999988"/>
    <n v="-4716.1856874999994"/>
    <n v="62657.895562499987"/>
    <n v="7350.0000000000009"/>
  </r>
  <r>
    <x v="55"/>
    <x v="54"/>
    <n v="1620"/>
    <x v="7"/>
    <s v="Hum"/>
    <x v="14"/>
    <n v="5740"/>
    <x v="4"/>
    <s v="TekNat"/>
    <n v="16.100000000000001"/>
    <n v="6.7083333333333339"/>
    <n v="13.685"/>
    <n v="5.7020833333333334"/>
    <n v="26554"/>
    <n v="33465"/>
    <n v="6000"/>
    <n v="368953.30208333337"/>
    <n v="-25826.731145833339"/>
    <n v="343126.57093750004"/>
    <n v="40250"/>
  </r>
  <r>
    <x v="55"/>
    <x v="54"/>
    <n v="1650"/>
    <x v="15"/>
    <s v="Hum"/>
    <x v="4"/>
    <n v="5740"/>
    <x v="4"/>
    <s v="TekNat"/>
    <n v="16.100000000000001"/>
    <n v="2.6833333333333336"/>
    <n v="13.685"/>
    <n v="2.2808333333333333"/>
    <n v="26554"/>
    <n v="33465"/>
    <n v="6000"/>
    <n v="147581.32083333333"/>
    <n v="-10330.692458333335"/>
    <n v="137250.628375"/>
    <n v="16100.000000000002"/>
  </r>
  <r>
    <x v="56"/>
    <x v="55"/>
    <n v="1620"/>
    <x v="7"/>
    <s v="Hum"/>
    <x v="12"/>
    <n v="5740"/>
    <x v="4"/>
    <s v="TekNat"/>
    <n v="3.25"/>
    <n v="1.3"/>
    <n v="2.7624999999999997"/>
    <n v="1.105"/>
    <n v="26554"/>
    <n v="33465"/>
    <n v="6000"/>
    <n v="71499.024999999994"/>
    <n v="-5004.9317499999997"/>
    <n v="66494.093249999991"/>
    <n v="7800"/>
  </r>
  <r>
    <x v="57"/>
    <x v="56"/>
    <n v="1620"/>
    <x v="7"/>
    <s v="Hum"/>
    <x v="12"/>
    <n v="5740"/>
    <x v="4"/>
    <s v="TekNat"/>
    <n v="3.375"/>
    <n v="1.35"/>
    <n v="2.8687499999999999"/>
    <n v="1.1475"/>
    <n v="26554"/>
    <n v="33465"/>
    <n v="6000"/>
    <n v="74248.987500000003"/>
    <n v="-5197.4291250000006"/>
    <n v="69051.558375000008"/>
    <n v="8100.0000000000009"/>
  </r>
  <r>
    <x v="58"/>
    <x v="57"/>
    <n v="1620"/>
    <x v="7"/>
    <s v="Hum"/>
    <x v="10"/>
    <n v="5740"/>
    <x v="4"/>
    <s v="TekNat"/>
    <n v="3.7774999999999999"/>
    <n v="1.2591666666666665"/>
    <n v="3.2108750000000001"/>
    <n v="1.0702916666666666"/>
    <n v="25235"/>
    <n v="27976"/>
    <n v="3600"/>
    <n v="61717.550499999998"/>
    <n v="-4320.2285350000002"/>
    <n v="57397.321964999996"/>
    <n v="4533"/>
  </r>
  <r>
    <x v="58"/>
    <x v="57"/>
    <n v="1650"/>
    <x v="15"/>
    <s v="Hum"/>
    <x v="10"/>
    <n v="5740"/>
    <x v="4"/>
    <s v="TekNat"/>
    <n v="3.7774999999999999"/>
    <n v="1.2591666666666665"/>
    <n v="3.2108750000000001"/>
    <n v="1.0702916666666666"/>
    <n v="25235"/>
    <n v="27976"/>
    <n v="3600"/>
    <n v="61717.550499999998"/>
    <n v="-4320.2285350000002"/>
    <n v="57397.321964999996"/>
    <n v="4533"/>
  </r>
  <r>
    <x v="59"/>
    <x v="58"/>
    <n v="1620"/>
    <x v="7"/>
    <s v="Hum"/>
    <x v="8"/>
    <n v="5740"/>
    <x v="4"/>
    <s v="TekNat"/>
    <n v="6.625"/>
    <n v="3.0916666666666668"/>
    <n v="5.6312499999999996"/>
    <n v="2.6279166666666667"/>
    <n v="20757"/>
    <n v="36082"/>
    <n v="22600"/>
    <n v="158994.21416666667"/>
    <n v="-11129.594991666669"/>
    <n v="147864.619175"/>
    <n v="69871.666666666672"/>
  </r>
  <r>
    <x v="60"/>
    <x v="59"/>
    <n v="2180"/>
    <x v="0"/>
    <s v="Sam"/>
    <x v="12"/>
    <n v="2193"/>
    <x v="6"/>
    <s v="Sam"/>
    <n v="11.833"/>
    <n v="4.7332000000000001"/>
    <n v="10.05805"/>
    <n v="4.0232200000000002"/>
    <n v="26554"/>
    <n v="33465"/>
    <n v="6000"/>
    <n v="260322.45010000002"/>
    <n v="-18222.571507000004"/>
    <n v="242099.878593"/>
    <n v="28399.200000000001"/>
  </r>
  <r>
    <x v="61"/>
    <x v="60"/>
    <n v="2193"/>
    <x v="1"/>
    <s v="Sam"/>
    <x v="12"/>
    <n v="2180"/>
    <x v="2"/>
    <s v="Sam"/>
    <n v="11.5"/>
    <n v="4.6000000000000005"/>
    <n v="9.7750000000000004"/>
    <n v="3.91"/>
    <n v="26554"/>
    <n v="33465"/>
    <n v="6000"/>
    <n v="252996.55000000002"/>
    <n v="-17709.758500000004"/>
    <n v="235286.79150000002"/>
    <n v="27600.000000000004"/>
  </r>
  <r>
    <x v="62"/>
    <x v="32"/>
    <n v="2193"/>
    <x v="1"/>
    <s v="Sam"/>
    <x v="5"/>
    <n v="2180"/>
    <x v="2"/>
    <s v="Sam"/>
    <n v="27.5"/>
    <n v="13.75"/>
    <n v="23.375"/>
    <n v="11.6875"/>
    <n v="25235"/>
    <n v="27976"/>
    <n v="3600"/>
    <n v="673950.75"/>
    <n v="-47176.552500000005"/>
    <n v="626774.19750000001"/>
    <n v="49500"/>
  </r>
  <r>
    <x v="63"/>
    <x v="61"/>
    <n v="2180"/>
    <x v="0"/>
    <s v="Sam"/>
    <x v="8"/>
    <n v="2193"/>
    <x v="6"/>
    <s v="Sam"/>
    <n v="9.25"/>
    <n v="4.3166666666666664"/>
    <n v="7.8624999999999998"/>
    <n v="3.6691666666666665"/>
    <n v="26554"/>
    <n v="33465"/>
    <n v="6000"/>
    <n v="237413.42916666664"/>
    <n v="-16618.940041666665"/>
    <n v="220794.48912499996"/>
    <n v="25900"/>
  </r>
  <r>
    <x v="64"/>
    <x v="40"/>
    <n v="2180"/>
    <x v="0"/>
    <s v="Sam"/>
    <x v="16"/>
    <n v="2193"/>
    <x v="6"/>
    <s v="Sam"/>
    <n v="2"/>
    <n v="0.75"/>
    <n v="1.7"/>
    <n v="0.63749999999999996"/>
    <n v="26554"/>
    <n v="33465"/>
    <n v="6000"/>
    <n v="41249.4375"/>
    <n v="-2887.4606250000002"/>
    <n v="38361.976875"/>
    <n v="4500"/>
  </r>
  <r>
    <x v="65"/>
    <x v="62"/>
    <n v="2193"/>
    <x v="1"/>
    <s v="Sam"/>
    <x v="12"/>
    <n v="2180"/>
    <x v="2"/>
    <s v="Sam"/>
    <n v="7.6669999999999998"/>
    <n v="3.0668000000000002"/>
    <n v="6.5169499999999996"/>
    <n v="2.6067800000000001"/>
    <n v="26554"/>
    <n v="33465"/>
    <n v="6000"/>
    <n v="168671.69990000001"/>
    <n v="-11807.018993000002"/>
    <n v="156864.680907"/>
    <n v="18400.800000000003"/>
  </r>
  <r>
    <x v="66"/>
    <x v="63"/>
    <n v="1640"/>
    <x v="8"/>
    <s v="Hum"/>
    <x v="5"/>
    <n v="1620"/>
    <x v="5"/>
    <s v="Hum"/>
    <n v="2"/>
    <n v="1"/>
    <n v="1.6999999999999997"/>
    <n v="0.84999999999999987"/>
    <n v="20766"/>
    <n v="17442"/>
    <n v="6000"/>
    <n v="35591.699999999997"/>
    <n v="-2491.4189999999999"/>
    <n v="33100.280999999995"/>
    <n v="6000"/>
  </r>
  <r>
    <x v="67"/>
    <x v="64"/>
    <n v="2360"/>
    <x v="2"/>
    <s v="Sam"/>
    <x v="21"/>
    <n v="2340"/>
    <x v="7"/>
    <s v="Sam"/>
    <n v="12"/>
    <n v="1.92"/>
    <n v="10.199999999999999"/>
    <n v="1.6319999999999999"/>
    <n v="20766"/>
    <n v="17442"/>
    <n v="6000"/>
    <n v="68336.063999999998"/>
    <n v="-4783.52448"/>
    <n v="63552.539519999998"/>
    <n v="11520"/>
  </r>
  <r>
    <x v="67"/>
    <x v="64"/>
    <n v="2271"/>
    <x v="17"/>
    <s v="Sam"/>
    <x v="22"/>
    <n v="2340"/>
    <x v="7"/>
    <s v="Sam"/>
    <n v="12"/>
    <n v="2.8800000000000003"/>
    <n v="10.199999999999999"/>
    <n v="2.448"/>
    <n v="20766"/>
    <n v="17442"/>
    <n v="6000"/>
    <n v="102504.09600000001"/>
    <n v="-7175.286720000001"/>
    <n v="95328.809280000001"/>
    <n v="17280.000000000004"/>
  </r>
  <r>
    <x v="67"/>
    <x v="64"/>
    <n v="2180"/>
    <x v="0"/>
    <s v="Sam"/>
    <x v="0"/>
    <n v="2340"/>
    <x v="7"/>
    <s v="Sam"/>
    <n v="12"/>
    <n v="2.4000000000000004"/>
    <n v="10.199999999999999"/>
    <n v="2.04"/>
    <n v="20766"/>
    <n v="17442"/>
    <n v="6000"/>
    <n v="85420.080000000016"/>
    <n v="-5979.4056000000019"/>
    <n v="79440.674400000018"/>
    <n v="14400.000000000002"/>
  </r>
  <r>
    <x v="68"/>
    <x v="65"/>
    <n v="2220"/>
    <x v="18"/>
    <s v="Sam"/>
    <x v="12"/>
    <n v="2340"/>
    <x v="7"/>
    <s v="Sam"/>
    <n v="11.5"/>
    <n v="4.6000000000000005"/>
    <n v="9.7749999999999986"/>
    <n v="3.9099999999999997"/>
    <n v="20766"/>
    <n v="17442"/>
    <n v="6000"/>
    <n v="163721.82"/>
    <n v="-11460.527400000001"/>
    <n v="152261.29260000002"/>
    <n v="27600.000000000004"/>
  </r>
  <r>
    <x v="68"/>
    <x v="65"/>
    <n v="2180"/>
    <x v="0"/>
    <s v="Sam"/>
    <x v="0"/>
    <n v="2340"/>
    <x v="7"/>
    <s v="Sam"/>
    <n v="11.5"/>
    <n v="2.3000000000000003"/>
    <n v="9.7749999999999986"/>
    <n v="1.9549999999999998"/>
    <n v="20766"/>
    <n v="17442"/>
    <n v="6000"/>
    <n v="81860.91"/>
    <n v="-5730.2637000000004"/>
    <n v="76130.646300000008"/>
    <n v="13800.000000000002"/>
  </r>
  <r>
    <x v="69"/>
    <x v="66"/>
    <n v="2360"/>
    <x v="2"/>
    <s v="Sam"/>
    <x v="23"/>
    <n v="2340"/>
    <x v="7"/>
    <s v="Sam"/>
    <n v="9.5"/>
    <n v="1.7100000000000002"/>
    <n v="8.0749999999999993"/>
    <n v="1.4535"/>
    <n v="20766"/>
    <n v="17442"/>
    <n v="6000"/>
    <n v="60861.807000000001"/>
    <n v="-4260.3264900000004"/>
    <n v="56601.480510000001"/>
    <n v="10260.000000000002"/>
  </r>
  <r>
    <x v="69"/>
    <x v="66"/>
    <n v="2271"/>
    <x v="17"/>
    <s v="Sam"/>
    <x v="24"/>
    <n v="2340"/>
    <x v="7"/>
    <s v="Sam"/>
    <n v="9.5"/>
    <n v="2.5649999999999995"/>
    <n v="8.0749999999999993"/>
    <n v="2.1802499999999996"/>
    <n v="20766"/>
    <n v="17442"/>
    <n v="6000"/>
    <n v="91292.710499999986"/>
    <n v="-6390.4897350000001"/>
    <n v="84902.220764999991"/>
    <n v="15389.999999999996"/>
  </r>
  <r>
    <x v="69"/>
    <x v="66"/>
    <n v="2180"/>
    <x v="0"/>
    <s v="Sam"/>
    <x v="25"/>
    <n v="2340"/>
    <x v="7"/>
    <s v="Sam"/>
    <n v="9.5"/>
    <n v="0.47500000000000003"/>
    <n v="8.0749999999999993"/>
    <n v="0.40375"/>
    <n v="20766"/>
    <n v="17442"/>
    <n v="6000"/>
    <n v="16906.057499999999"/>
    <n v="-1183.424025"/>
    <n v="15722.633474999999"/>
    <n v="2850"/>
  </r>
  <r>
    <x v="70"/>
    <x v="67"/>
    <n v="2300"/>
    <x v="9"/>
    <s v="Sam"/>
    <x v="5"/>
    <n v="2340"/>
    <x v="7"/>
    <s v="Sam"/>
    <n v="0"/>
    <n v="0"/>
    <n v="0"/>
    <n v="0"/>
    <n v="26554"/>
    <n v="33465"/>
    <n v="6000"/>
    <n v="0"/>
    <n v="0"/>
    <n v="0"/>
    <n v="0"/>
  </r>
  <r>
    <x v="71"/>
    <x v="68"/>
    <n v="1620"/>
    <x v="7"/>
    <s v="Hum"/>
    <x v="0"/>
    <n v="2180"/>
    <x v="2"/>
    <s v="Sam"/>
    <n v="13.125"/>
    <n v="2.625"/>
    <n v="11.15625"/>
    <n v="2.2312500000000002"/>
    <n v="20766"/>
    <n v="17442"/>
    <n v="6000"/>
    <n v="93428.212499999994"/>
    <n v="-6539.9748749999999"/>
    <n v="86888.237624999994"/>
    <n v="15750"/>
  </r>
  <r>
    <x v="71"/>
    <x v="68"/>
    <n v="2200"/>
    <x v="11"/>
    <s v="Sam"/>
    <x v="0"/>
    <n v="2180"/>
    <x v="2"/>
    <s v="Sam"/>
    <n v="13.125"/>
    <n v="2.625"/>
    <n v="11.15625"/>
    <n v="2.2312500000000002"/>
    <n v="20766"/>
    <n v="17442"/>
    <n v="6000"/>
    <n v="93428.212499999994"/>
    <n v="-6539.9748749999999"/>
    <n v="86888.237624999994"/>
    <n v="15750"/>
  </r>
  <r>
    <x v="72"/>
    <x v="69"/>
    <n v="2193"/>
    <x v="1"/>
    <s v="Sam"/>
    <x v="11"/>
    <n v="2180"/>
    <x v="2"/>
    <s v="Sam"/>
    <n v="11.8125"/>
    <n v="3.15"/>
    <n v="10.040624999999999"/>
    <n v="2.6774999999999998"/>
    <n v="20766"/>
    <n v="17442"/>
    <n v="6000"/>
    <n v="112113.855"/>
    <n v="-7847.9698500000004"/>
    <n v="104265.88515"/>
    <n v="18900"/>
  </r>
  <r>
    <x v="72"/>
    <x v="69"/>
    <n v="2200"/>
    <x v="11"/>
    <s v="Sam"/>
    <x v="11"/>
    <n v="2180"/>
    <x v="2"/>
    <s v="Sam"/>
    <n v="11.8125"/>
    <n v="3.15"/>
    <n v="10.040624999999999"/>
    <n v="2.6774999999999998"/>
    <n v="20766"/>
    <n v="17442"/>
    <n v="6000"/>
    <n v="112113.855"/>
    <n v="-7847.9698500000004"/>
    <n v="104265.88515"/>
    <n v="18900"/>
  </r>
  <r>
    <x v="73"/>
    <x v="70"/>
    <n v="2180"/>
    <x v="0"/>
    <s v="Sam"/>
    <x v="10"/>
    <n v="2193"/>
    <x v="6"/>
    <s v="Sam"/>
    <n v="24.9375"/>
    <n v="8.3125"/>
    <n v="21.196874999999999"/>
    <n v="7.0656249999999989"/>
    <n v="36229.199999999997"/>
    <n v="35006.800000000003"/>
    <n v="6000"/>
    <n v="548500.14624999999"/>
    <n v="-38395.010237500006"/>
    <n v="510105.13601249998"/>
    <n v="49875"/>
  </r>
  <r>
    <x v="74"/>
    <x v="71"/>
    <n v="2200"/>
    <x v="11"/>
    <s v="Sam"/>
    <x v="5"/>
    <n v="2180"/>
    <x v="2"/>
    <s v="Sam"/>
    <n v="13.875"/>
    <n v="6.9375"/>
    <n v="11.793749999999999"/>
    <n v="5.8968749999999996"/>
    <n v="20766"/>
    <n v="17442"/>
    <n v="6000"/>
    <n v="246917.41875000001"/>
    <n v="-17284.219312500001"/>
    <n v="229633.19943750001"/>
    <n v="41625"/>
  </r>
  <r>
    <x v="75"/>
    <x v="72"/>
    <n v="1640"/>
    <x v="8"/>
    <s v="Hum"/>
    <x v="5"/>
    <n v="1620"/>
    <x v="5"/>
    <s v="Hum"/>
    <n v="20"/>
    <n v="10"/>
    <n v="17"/>
    <n v="8.5"/>
    <n v="20766"/>
    <n v="17442"/>
    <n v="6000"/>
    <n v="355917"/>
    <n v="-24914.190000000002"/>
    <n v="331002.81"/>
    <n v="60000"/>
  </r>
  <r>
    <x v="76"/>
    <x v="73"/>
    <n v="1640"/>
    <x v="8"/>
    <s v="Hum"/>
    <x v="5"/>
    <n v="1620"/>
    <x v="5"/>
    <s v="Hum"/>
    <n v="20.5"/>
    <n v="10.25"/>
    <n v="17.424999999999997"/>
    <n v="8.7124999999999986"/>
    <n v="20766"/>
    <n v="17442"/>
    <n v="6000"/>
    <n v="364814.92499999999"/>
    <n v="-25537.044750000001"/>
    <n v="339277.88024999999"/>
    <n v="61500"/>
  </r>
  <r>
    <x v="77"/>
    <x v="74"/>
    <n v="1640"/>
    <x v="8"/>
    <s v="Hum"/>
    <x v="5"/>
    <n v="1620"/>
    <x v="5"/>
    <s v="Hum"/>
    <n v="7"/>
    <n v="3.5"/>
    <n v="5.95"/>
    <n v="2.9750000000000001"/>
    <n v="20766"/>
    <n v="17442"/>
    <n v="6000"/>
    <n v="124570.95000000001"/>
    <n v="-8719.9665000000023"/>
    <n v="115850.9835"/>
    <n v="21000"/>
  </r>
  <r>
    <x v="78"/>
    <x v="75"/>
    <n v="2340"/>
    <x v="16"/>
    <s v="Sam"/>
    <x v="26"/>
    <n v="2193"/>
    <x v="6"/>
    <s v="Sam"/>
    <n v="5.1669999999999998"/>
    <n v="3.6168999999999998"/>
    <n v="4.3919499999999996"/>
    <n v="3.0743649999999993"/>
    <n v="20766"/>
    <n v="17442"/>
    <n v="6000"/>
    <n v="128731.61972999999"/>
    <n v="-9011.2133811000003"/>
    <n v="119720.4063489"/>
    <n v="21701.399999999998"/>
  </r>
  <r>
    <x v="78"/>
    <x v="75"/>
    <n v="2180"/>
    <x v="0"/>
    <s v="Sam"/>
    <x v="19"/>
    <n v="2193"/>
    <x v="6"/>
    <s v="Sam"/>
    <n v="5.1669999999999998"/>
    <n v="1.5500999999999998"/>
    <n v="4.3919499999999996"/>
    <n v="1.3175849999999998"/>
    <n v="20766"/>
    <n v="17442"/>
    <n v="6000"/>
    <n v="55170.694169999988"/>
    <n v="-3861.9485918999994"/>
    <n v="51308.745578099988"/>
    <n v="9300.5999999999985"/>
  </r>
  <r>
    <x v="79"/>
    <x v="76"/>
    <n v="2180"/>
    <x v="0"/>
    <s v="Sam"/>
    <x v="27"/>
    <n v="2193"/>
    <x v="6"/>
    <s v="Sam"/>
    <n v="0"/>
    <n v="0"/>
    <n v="0"/>
    <n v="0"/>
    <n v="20766"/>
    <n v="17442"/>
    <n v="6000"/>
    <n v="0"/>
    <n v="0"/>
    <n v="0"/>
    <n v="0"/>
  </r>
  <r>
    <x v="80"/>
    <x v="77"/>
    <n v="2180"/>
    <x v="0"/>
    <s v="Sam"/>
    <x v="12"/>
    <n v="2193"/>
    <x v="6"/>
    <s v="Sam"/>
    <n v="4.1666666666666661"/>
    <n v="1.6666666666666665"/>
    <n v="3.5416666666666665"/>
    <n v="1.4166666666666667"/>
    <n v="20766"/>
    <n v="17442"/>
    <n v="6000"/>
    <n v="59319.5"/>
    <n v="-4152.3650000000007"/>
    <n v="55167.135000000002"/>
    <n v="10000"/>
  </r>
  <r>
    <x v="81"/>
    <x v="78"/>
    <m/>
    <x v="19"/>
    <m/>
    <x v="28"/>
    <m/>
    <x v="8"/>
    <m/>
    <m/>
    <m/>
    <m/>
    <m/>
    <m/>
    <m/>
    <m/>
    <m/>
    <m/>
    <m/>
    <m/>
  </r>
  <r>
    <x v="81"/>
    <x v="78"/>
    <m/>
    <x v="19"/>
    <m/>
    <x v="28"/>
    <m/>
    <x v="8"/>
    <m/>
    <m/>
    <m/>
    <m/>
    <m/>
    <m/>
    <m/>
    <m/>
    <m/>
    <m/>
    <m/>
    <m/>
  </r>
</pivotCacheRecords>
</file>

<file path=xl/pivotCache/pivotCacheRecords2.xml><?xml version="1.0" encoding="utf-8"?>
<pivotCacheRecords xmlns="http://schemas.openxmlformats.org/spreadsheetml/2006/main" xmlns:r="http://schemas.openxmlformats.org/officeDocument/2006/relationships" count="1041">
  <r>
    <x v="0"/>
    <x v="0"/>
    <n v="14200"/>
    <x v="0"/>
    <m/>
    <x v="0"/>
    <m/>
    <s v="Umeå"/>
    <s v="Normal"/>
    <s v="MATT"/>
    <m/>
    <m/>
    <x v="0"/>
    <m/>
    <m/>
    <n v="1"/>
    <n v="0.125"/>
    <n v="0.85"/>
    <n v="0.10625"/>
    <n v="1620"/>
    <x v="0"/>
    <s v="Hum"/>
    <x v="0"/>
    <n v="20766"/>
    <n v="17442"/>
    <n v="4448.9624999999996"/>
    <n v="6000"/>
    <n v="750"/>
    <n v="5198.9624999999996"/>
    <n v="0"/>
    <n v="1"/>
    <n v="0"/>
    <n v="0"/>
    <n v="0"/>
    <n v="0"/>
    <n v="0"/>
    <n v="0"/>
    <n v="0"/>
    <n v="0"/>
    <n v="0"/>
    <n v="0"/>
    <s v="Enl Fokus-Ladok 210601"/>
    <m/>
    <n v="0"/>
    <n v="0"/>
    <n v="0.125"/>
    <n v="0.10625"/>
    <n v="0"/>
    <n v="0"/>
    <n v="0"/>
    <n v="0"/>
    <n v="0"/>
    <n v="0"/>
    <n v="0"/>
    <n v="0"/>
    <n v="0"/>
    <n v="0"/>
    <n v="0"/>
    <n v="0"/>
    <n v="0"/>
    <n v="0"/>
    <n v="0"/>
    <n v="0"/>
    <n v="0"/>
    <n v="0"/>
    <n v="0"/>
    <n v="0"/>
  </r>
  <r>
    <x v="1"/>
    <x v="1"/>
    <n v="14209"/>
    <x v="0"/>
    <m/>
    <x v="0"/>
    <m/>
    <s v="Umeå"/>
    <s v="Normal"/>
    <s v="MATT"/>
    <m/>
    <m/>
    <x v="0"/>
    <m/>
    <m/>
    <n v="1"/>
    <n v="0.125"/>
    <n v="0.85"/>
    <n v="0.10625"/>
    <n v="1620"/>
    <x v="0"/>
    <s v="Hum"/>
    <x v="0"/>
    <n v="20766"/>
    <n v="17442"/>
    <n v="4448.9624999999996"/>
    <n v="6000"/>
    <n v="750"/>
    <n v="5198.9624999999996"/>
    <n v="0"/>
    <n v="1"/>
    <n v="0"/>
    <n v="0"/>
    <n v="0"/>
    <n v="0"/>
    <n v="0"/>
    <n v="0"/>
    <n v="0"/>
    <n v="0"/>
    <n v="0"/>
    <n v="0"/>
    <s v="Enl Fokus-Ladok 210601"/>
    <m/>
    <n v="0"/>
    <n v="0"/>
    <n v="0.125"/>
    <n v="0.10625"/>
    <n v="0"/>
    <n v="0"/>
    <n v="0"/>
    <n v="0"/>
    <n v="0"/>
    <n v="0"/>
    <n v="0"/>
    <n v="0"/>
    <n v="0"/>
    <n v="0"/>
    <n v="0"/>
    <n v="0"/>
    <n v="0"/>
    <n v="0"/>
    <n v="0"/>
    <n v="0"/>
    <n v="0"/>
    <n v="0"/>
    <n v="0"/>
    <n v="0"/>
  </r>
  <r>
    <x v="2"/>
    <x v="2"/>
    <n v="23116"/>
    <x v="1"/>
    <m/>
    <x v="0"/>
    <m/>
    <s v="Umeå"/>
    <s v="Normal"/>
    <s v="REGU"/>
    <m/>
    <m/>
    <x v="0"/>
    <m/>
    <m/>
    <n v="1"/>
    <n v="0.125"/>
    <n v="0.85"/>
    <n v="0.10625"/>
    <n v="2271"/>
    <x v="1"/>
    <s v="Sam"/>
    <x v="1"/>
    <n v="20766"/>
    <n v="17442"/>
    <n v="4448.9624999999996"/>
    <n v="6000"/>
    <n v="750"/>
    <n v="5198.9624999999996"/>
    <n v="0"/>
    <n v="0"/>
    <n v="0"/>
    <n v="0"/>
    <n v="0"/>
    <n v="0"/>
    <n v="1"/>
    <n v="0"/>
    <n v="0"/>
    <n v="0"/>
    <n v="0"/>
    <n v="0"/>
    <s v="Enl Fokus-Ladok 210601"/>
    <m/>
    <n v="0"/>
    <n v="0"/>
    <n v="0"/>
    <n v="0"/>
    <n v="0"/>
    <n v="0"/>
    <n v="0"/>
    <n v="0"/>
    <n v="0"/>
    <n v="0"/>
    <n v="0"/>
    <n v="0"/>
    <n v="0.125"/>
    <n v="0.10625"/>
    <n v="0"/>
    <n v="0"/>
    <n v="0"/>
    <n v="0"/>
    <n v="0"/>
    <n v="0"/>
    <n v="0"/>
    <n v="0"/>
    <n v="0"/>
    <n v="0"/>
  </r>
  <r>
    <x v="3"/>
    <x v="3"/>
    <n v="50917"/>
    <x v="0"/>
    <m/>
    <x v="0"/>
    <m/>
    <s v="Umeå"/>
    <s v="Normal"/>
    <s v="BIOL"/>
    <m/>
    <m/>
    <x v="1"/>
    <m/>
    <m/>
    <n v="2"/>
    <n v="0.5"/>
    <n v="0.85"/>
    <n v="0.42499999999999999"/>
    <n v="5160"/>
    <x v="2"/>
    <s v="TekNat"/>
    <x v="0"/>
    <n v="20757"/>
    <n v="36082"/>
    <n v="25713.35"/>
    <n v="22600"/>
    <n v="11300"/>
    <n v="37013.35"/>
    <n v="0"/>
    <n v="0"/>
    <n v="0"/>
    <n v="0"/>
    <n v="0"/>
    <n v="1"/>
    <n v="0"/>
    <n v="0"/>
    <n v="0"/>
    <n v="0"/>
    <n v="0"/>
    <n v="0"/>
    <s v="Enl Fokus-Ladok 210601"/>
    <m/>
    <n v="0"/>
    <n v="0"/>
    <n v="0"/>
    <n v="0"/>
    <n v="0"/>
    <n v="0"/>
    <n v="0"/>
    <n v="0"/>
    <n v="0"/>
    <n v="0"/>
    <n v="0.5"/>
    <n v="0.42499999999999999"/>
    <n v="0"/>
    <n v="0"/>
    <n v="0"/>
    <n v="0"/>
    <n v="0"/>
    <n v="0"/>
    <n v="0"/>
    <n v="0"/>
    <n v="0"/>
    <n v="0"/>
    <n v="0"/>
    <n v="0"/>
  </r>
  <r>
    <x v="3"/>
    <x v="3"/>
    <n v="50917"/>
    <x v="0"/>
    <m/>
    <x v="0"/>
    <m/>
    <s v="Umeå"/>
    <s v="Normal"/>
    <s v="ENGS"/>
    <m/>
    <m/>
    <x v="1"/>
    <m/>
    <m/>
    <n v="1"/>
    <n v="0.25"/>
    <n v="0.85"/>
    <n v="0.21249999999999999"/>
    <n v="5160"/>
    <x v="2"/>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3"/>
    <x v="3"/>
    <n v="50917"/>
    <x v="0"/>
    <m/>
    <x v="0"/>
    <m/>
    <s v="Umeå"/>
    <s v="Normal"/>
    <s v="IDRH"/>
    <m/>
    <m/>
    <x v="1"/>
    <m/>
    <m/>
    <n v="2"/>
    <n v="0.5"/>
    <n v="0.85"/>
    <n v="0.42499999999999999"/>
    <n v="5160"/>
    <x v="2"/>
    <s v="TekNat"/>
    <x v="0"/>
    <n v="20757"/>
    <n v="36082"/>
    <n v="25713.35"/>
    <n v="22600"/>
    <n v="11300"/>
    <n v="37013.35"/>
    <n v="0"/>
    <n v="0"/>
    <n v="0"/>
    <n v="0"/>
    <n v="0"/>
    <n v="1"/>
    <n v="0"/>
    <n v="0"/>
    <n v="0"/>
    <n v="0"/>
    <n v="0"/>
    <n v="0"/>
    <s v="Enl Fokus-Ladok 210601"/>
    <m/>
    <n v="0"/>
    <n v="0"/>
    <n v="0"/>
    <n v="0"/>
    <n v="0"/>
    <n v="0"/>
    <n v="0"/>
    <n v="0"/>
    <n v="0"/>
    <n v="0"/>
    <n v="0.5"/>
    <n v="0.42499999999999999"/>
    <n v="0"/>
    <n v="0"/>
    <n v="0"/>
    <n v="0"/>
    <n v="0"/>
    <n v="0"/>
    <n v="0"/>
    <n v="0"/>
    <n v="0"/>
    <n v="0"/>
    <n v="0"/>
    <n v="0"/>
  </r>
  <r>
    <x v="3"/>
    <x v="3"/>
    <n v="50917"/>
    <x v="0"/>
    <m/>
    <x v="0"/>
    <m/>
    <s v="Umeå"/>
    <s v="Normal"/>
    <s v="MATT"/>
    <m/>
    <m/>
    <x v="1"/>
    <m/>
    <m/>
    <n v="2"/>
    <n v="0.5"/>
    <n v="0.85"/>
    <n v="0.42499999999999999"/>
    <n v="5160"/>
    <x v="2"/>
    <s v="TekNat"/>
    <x v="0"/>
    <n v="20757"/>
    <n v="36082"/>
    <n v="25713.35"/>
    <n v="22600"/>
    <n v="11300"/>
    <n v="37013.35"/>
    <n v="0"/>
    <n v="0"/>
    <n v="0"/>
    <n v="0"/>
    <n v="0"/>
    <n v="1"/>
    <n v="0"/>
    <n v="0"/>
    <n v="0"/>
    <n v="0"/>
    <n v="0"/>
    <n v="0"/>
    <s v="Enl Fokus-Ladok 210601"/>
    <m/>
    <n v="0"/>
    <n v="0"/>
    <n v="0"/>
    <n v="0"/>
    <n v="0"/>
    <n v="0"/>
    <n v="0"/>
    <n v="0"/>
    <n v="0"/>
    <n v="0"/>
    <n v="0.5"/>
    <n v="0.42499999999999999"/>
    <n v="0"/>
    <n v="0"/>
    <n v="0"/>
    <n v="0"/>
    <n v="0"/>
    <n v="0"/>
    <n v="0"/>
    <n v="0"/>
    <n v="0"/>
    <n v="0"/>
    <n v="0"/>
    <n v="0"/>
  </r>
  <r>
    <x v="3"/>
    <x v="3"/>
    <n v="50917"/>
    <x v="0"/>
    <m/>
    <x v="0"/>
    <m/>
    <s v="Umeå"/>
    <s v="Normal"/>
    <m/>
    <m/>
    <m/>
    <x v="1"/>
    <m/>
    <m/>
    <n v="1"/>
    <n v="0.25"/>
    <n v="0.85"/>
    <n v="0.21249999999999999"/>
    <n v="5160"/>
    <x v="2"/>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4"/>
    <x v="4"/>
    <n v="50205"/>
    <x v="0"/>
    <m/>
    <x v="0"/>
    <m/>
    <s v="Umeå"/>
    <s v="Normal"/>
    <s v="BIOL"/>
    <m/>
    <m/>
    <x v="1"/>
    <m/>
    <m/>
    <n v="4"/>
    <n v="1"/>
    <n v="0.85"/>
    <n v="0.85"/>
    <n v="5100"/>
    <x v="3"/>
    <s v="TekNat"/>
    <x v="0"/>
    <n v="20757"/>
    <n v="36082"/>
    <n v="51426.7"/>
    <n v="22600"/>
    <n v="22600"/>
    <n v="74026.7"/>
    <n v="0"/>
    <n v="0"/>
    <n v="0"/>
    <n v="0"/>
    <n v="0"/>
    <n v="1"/>
    <n v="0"/>
    <n v="0"/>
    <n v="0"/>
    <n v="0"/>
    <n v="0"/>
    <n v="0"/>
    <s v="Enl Fokus-Ladok 210601"/>
    <m/>
    <n v="0"/>
    <n v="0"/>
    <n v="0"/>
    <n v="0"/>
    <n v="0"/>
    <n v="0"/>
    <n v="0"/>
    <n v="0"/>
    <n v="0"/>
    <n v="0"/>
    <n v="1"/>
    <n v="0.85"/>
    <n v="0"/>
    <n v="0"/>
    <n v="0"/>
    <n v="0"/>
    <n v="0"/>
    <n v="0"/>
    <n v="0"/>
    <n v="0"/>
    <n v="0"/>
    <n v="0"/>
    <n v="0"/>
    <n v="0"/>
  </r>
  <r>
    <x v="4"/>
    <x v="4"/>
    <n v="50205"/>
    <x v="0"/>
    <m/>
    <x v="0"/>
    <m/>
    <s v="Umeå"/>
    <s v="Normal"/>
    <s v="ENGS"/>
    <m/>
    <m/>
    <x v="1"/>
    <m/>
    <m/>
    <n v="1"/>
    <n v="0.25"/>
    <n v="0.85"/>
    <n v="0.21249999999999999"/>
    <n v="5100"/>
    <x v="3"/>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4"/>
    <x v="4"/>
    <n v="50205"/>
    <x v="0"/>
    <m/>
    <x v="0"/>
    <m/>
    <s v="Umeå"/>
    <s v="Normal"/>
    <s v="IDRH"/>
    <m/>
    <m/>
    <x v="1"/>
    <m/>
    <m/>
    <n v="1"/>
    <n v="0.25"/>
    <n v="0.85"/>
    <n v="0.21249999999999999"/>
    <n v="5100"/>
    <x v="3"/>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5"/>
    <x v="5"/>
    <n v="50208"/>
    <x v="0"/>
    <m/>
    <x v="0"/>
    <m/>
    <s v="Umeå"/>
    <s v="Distans"/>
    <s v="BIOL"/>
    <m/>
    <m/>
    <x v="1"/>
    <m/>
    <m/>
    <n v="4"/>
    <n v="1"/>
    <n v="0.85"/>
    <n v="0.85"/>
    <n v="5100"/>
    <x v="3"/>
    <s v="TekNat"/>
    <x v="0"/>
    <n v="20757"/>
    <n v="36082"/>
    <n v="51426.7"/>
    <n v="22600"/>
    <n v="22600"/>
    <n v="74026.7"/>
    <n v="0"/>
    <n v="0"/>
    <n v="0"/>
    <n v="0"/>
    <n v="0"/>
    <n v="1"/>
    <n v="0"/>
    <n v="0"/>
    <n v="0"/>
    <n v="0"/>
    <n v="0"/>
    <n v="0"/>
    <s v="Enl Fokus-Ladok 210601"/>
    <m/>
    <n v="0"/>
    <n v="0"/>
    <n v="0"/>
    <n v="0"/>
    <n v="0"/>
    <n v="0"/>
    <n v="0"/>
    <n v="0"/>
    <n v="0"/>
    <n v="0"/>
    <n v="1"/>
    <n v="0.85"/>
    <n v="0"/>
    <n v="0"/>
    <n v="0"/>
    <n v="0"/>
    <n v="0"/>
    <n v="0"/>
    <n v="0"/>
    <n v="0"/>
    <n v="0"/>
    <n v="0"/>
    <n v="0"/>
    <n v="0"/>
  </r>
  <r>
    <x v="5"/>
    <x v="5"/>
    <n v="50208"/>
    <x v="0"/>
    <m/>
    <x v="0"/>
    <m/>
    <s v="Umeå"/>
    <s v="Distans"/>
    <s v="IDRH"/>
    <m/>
    <m/>
    <x v="1"/>
    <m/>
    <m/>
    <n v="2"/>
    <n v="0.5"/>
    <n v="0.85"/>
    <n v="0.42499999999999999"/>
    <n v="5100"/>
    <x v="3"/>
    <s v="TekNat"/>
    <x v="0"/>
    <n v="20757"/>
    <n v="36082"/>
    <n v="25713.35"/>
    <n v="22600"/>
    <n v="11300"/>
    <n v="37013.35"/>
    <n v="0"/>
    <n v="0"/>
    <n v="0"/>
    <n v="0"/>
    <n v="0"/>
    <n v="1"/>
    <n v="0"/>
    <n v="0"/>
    <n v="0"/>
    <n v="0"/>
    <n v="0"/>
    <n v="0"/>
    <s v="Enl Fokus-Ladok 210601"/>
    <m/>
    <n v="0"/>
    <n v="0"/>
    <n v="0"/>
    <n v="0"/>
    <n v="0"/>
    <n v="0"/>
    <n v="0"/>
    <n v="0"/>
    <n v="0"/>
    <n v="0"/>
    <n v="0.5"/>
    <n v="0.42499999999999999"/>
    <n v="0"/>
    <n v="0"/>
    <n v="0"/>
    <n v="0"/>
    <n v="0"/>
    <n v="0"/>
    <n v="0"/>
    <n v="0"/>
    <n v="0"/>
    <n v="0"/>
    <n v="0"/>
    <n v="0"/>
  </r>
  <r>
    <x v="5"/>
    <x v="5"/>
    <n v="50208"/>
    <x v="0"/>
    <m/>
    <x v="0"/>
    <m/>
    <s v="Umeå"/>
    <s v="Distans"/>
    <s v="MATT"/>
    <m/>
    <m/>
    <x v="1"/>
    <m/>
    <m/>
    <n v="1"/>
    <n v="0.25"/>
    <n v="0.85"/>
    <n v="0.21249999999999999"/>
    <n v="5100"/>
    <x v="3"/>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5"/>
    <x v="5"/>
    <n v="50208"/>
    <x v="0"/>
    <m/>
    <x v="0"/>
    <m/>
    <s v="Umeå"/>
    <s v="Distans"/>
    <m/>
    <m/>
    <m/>
    <x v="1"/>
    <m/>
    <m/>
    <n v="1"/>
    <n v="0.25"/>
    <n v="0.85"/>
    <n v="0.21249999999999999"/>
    <n v="5100"/>
    <x v="3"/>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6"/>
    <x v="6"/>
    <n v="53164"/>
    <x v="0"/>
    <m/>
    <x v="0"/>
    <m/>
    <s v="Umeå"/>
    <s v="Normal"/>
    <s v="MATT"/>
    <m/>
    <m/>
    <x v="0"/>
    <m/>
    <m/>
    <n v="1"/>
    <n v="0.125"/>
    <n v="0.85"/>
    <n v="0.10625"/>
    <n v="5400"/>
    <x v="4"/>
    <s v="TekNat"/>
    <x v="0"/>
    <n v="20757"/>
    <n v="36082"/>
    <n v="6428.3374999999996"/>
    <n v="22600"/>
    <n v="2825"/>
    <n v="9253.3374999999996"/>
    <n v="0"/>
    <n v="0"/>
    <n v="0"/>
    <n v="0"/>
    <n v="0"/>
    <n v="0"/>
    <n v="0"/>
    <n v="1"/>
    <n v="0"/>
    <n v="0"/>
    <n v="0"/>
    <n v="0"/>
    <s v="Enl Fokus-Ladok 210601"/>
    <m/>
    <n v="0"/>
    <n v="0"/>
    <n v="0"/>
    <n v="0"/>
    <n v="0"/>
    <n v="0"/>
    <n v="0"/>
    <n v="0"/>
    <n v="0"/>
    <n v="0"/>
    <n v="0"/>
    <n v="0"/>
    <n v="0"/>
    <n v="0"/>
    <n v="0.125"/>
    <n v="0.10625"/>
    <n v="0"/>
    <n v="0"/>
    <n v="0"/>
    <n v="0"/>
    <n v="0"/>
    <n v="0"/>
    <n v="0"/>
    <n v="0"/>
  </r>
  <r>
    <x v="7"/>
    <x v="7"/>
    <n v="53137"/>
    <x v="0"/>
    <m/>
    <x v="0"/>
    <m/>
    <s v="Umeå"/>
    <s v="Normal"/>
    <s v="MATT"/>
    <m/>
    <m/>
    <x v="0"/>
    <m/>
    <m/>
    <n v="1"/>
    <n v="0.125"/>
    <n v="0.85"/>
    <n v="0.10625"/>
    <n v="5400"/>
    <x v="4"/>
    <s v="TekNat"/>
    <x v="0"/>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8"/>
    <x v="8"/>
    <n v="53112"/>
    <x v="0"/>
    <m/>
    <x v="0"/>
    <m/>
    <s v="Umeå"/>
    <s v="Normal"/>
    <s v="MATT"/>
    <m/>
    <m/>
    <x v="0"/>
    <m/>
    <m/>
    <n v="1"/>
    <n v="0.125"/>
    <n v="0.85"/>
    <n v="0.10625"/>
    <n v="5400"/>
    <x v="4"/>
    <s v="TekNat"/>
    <x v="0"/>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9"/>
    <x v="9"/>
    <n v="56132"/>
    <x v="0"/>
    <m/>
    <x v="0"/>
    <m/>
    <s v="Umeå"/>
    <s v="Normal"/>
    <s v="MATT"/>
    <m/>
    <m/>
    <x v="1"/>
    <m/>
    <m/>
    <n v="1"/>
    <n v="0.25"/>
    <n v="0.85"/>
    <n v="0.21249999999999999"/>
    <n v="5500"/>
    <x v="5"/>
    <s v="TekNat"/>
    <x v="0"/>
    <n v="20757"/>
    <n v="36082"/>
    <n v="12856.674999999999"/>
    <n v="22600"/>
    <n v="5650"/>
    <n v="18506.674999999999"/>
    <n v="0"/>
    <n v="0"/>
    <n v="0"/>
    <n v="0"/>
    <n v="0"/>
    <n v="0"/>
    <n v="0"/>
    <n v="1"/>
    <n v="0"/>
    <n v="0"/>
    <n v="0"/>
    <n v="0"/>
    <s v="Enl Fokus-Ladok 210601"/>
    <m/>
    <n v="0"/>
    <n v="0"/>
    <n v="0"/>
    <n v="0"/>
    <n v="0"/>
    <n v="0"/>
    <n v="0"/>
    <n v="0"/>
    <n v="0"/>
    <n v="0"/>
    <n v="0"/>
    <n v="0"/>
    <n v="0"/>
    <n v="0"/>
    <n v="0.25"/>
    <n v="0.21249999999999999"/>
    <n v="0"/>
    <n v="0"/>
    <n v="0"/>
    <n v="0"/>
    <n v="0"/>
    <n v="0"/>
    <n v="0"/>
    <n v="0"/>
  </r>
  <r>
    <x v="10"/>
    <x v="10"/>
    <n v="56103"/>
    <x v="2"/>
    <m/>
    <x v="0"/>
    <m/>
    <s v="Umeå"/>
    <s v="Normal"/>
    <m/>
    <m/>
    <m/>
    <x v="1"/>
    <m/>
    <m/>
    <n v="1"/>
    <n v="0.25"/>
    <n v="0.85"/>
    <n v="0.21249999999999999"/>
    <n v="5500"/>
    <x v="5"/>
    <s v="TekNat"/>
    <x v="2"/>
    <n v="20757"/>
    <n v="36082"/>
    <n v="12856.674999999999"/>
    <n v="22600"/>
    <n v="5650"/>
    <n v="18506.674999999999"/>
    <n v="0"/>
    <n v="0"/>
    <n v="0"/>
    <n v="0"/>
    <n v="0"/>
    <n v="0"/>
    <n v="0"/>
    <n v="1"/>
    <n v="0"/>
    <n v="0"/>
    <n v="0"/>
    <n v="0"/>
    <s v="Enl Fokus-Ladok 210601"/>
    <m/>
    <n v="0"/>
    <n v="0"/>
    <n v="0"/>
    <n v="0"/>
    <n v="0"/>
    <n v="0"/>
    <n v="0"/>
    <n v="0"/>
    <n v="0"/>
    <n v="0"/>
    <n v="0"/>
    <n v="0"/>
    <n v="0"/>
    <n v="0"/>
    <n v="0.25"/>
    <n v="0.21249999999999999"/>
    <n v="0"/>
    <n v="0"/>
    <n v="0"/>
    <n v="0"/>
    <n v="0"/>
    <n v="0"/>
    <n v="0"/>
    <n v="0"/>
  </r>
  <r>
    <x v="11"/>
    <x v="11"/>
    <n v="56113"/>
    <x v="0"/>
    <m/>
    <x v="0"/>
    <m/>
    <s v="Umeå"/>
    <s v="Normal"/>
    <s v="BIOL"/>
    <m/>
    <m/>
    <x v="1"/>
    <m/>
    <m/>
    <n v="1"/>
    <n v="0.25"/>
    <n v="0.85"/>
    <n v="0.21249999999999999"/>
    <n v="5500"/>
    <x v="5"/>
    <s v="TekNat"/>
    <x v="0"/>
    <n v="20757"/>
    <n v="36082"/>
    <n v="12856.674999999999"/>
    <n v="22600"/>
    <n v="5650"/>
    <n v="18506.674999999999"/>
    <n v="0"/>
    <n v="0"/>
    <n v="0"/>
    <n v="0"/>
    <n v="0"/>
    <n v="0.5"/>
    <n v="0"/>
    <n v="0.5"/>
    <n v="0"/>
    <n v="0"/>
    <n v="0"/>
    <n v="0"/>
    <s v="Enl Fokus-Ladok 210601"/>
    <m/>
    <n v="0"/>
    <n v="0"/>
    <n v="0"/>
    <n v="0"/>
    <n v="0"/>
    <n v="0"/>
    <n v="0"/>
    <n v="0"/>
    <n v="0"/>
    <n v="0"/>
    <n v="0.125"/>
    <n v="0.10625"/>
    <n v="0"/>
    <n v="0"/>
    <n v="0.125"/>
    <n v="0.10625"/>
    <n v="0"/>
    <n v="0"/>
    <n v="0"/>
    <n v="0"/>
    <n v="0"/>
    <n v="0"/>
    <n v="0"/>
    <n v="0"/>
  </r>
  <r>
    <x v="11"/>
    <x v="11"/>
    <n v="56113"/>
    <x v="0"/>
    <m/>
    <x v="0"/>
    <m/>
    <s v="Umeå"/>
    <s v="Normal"/>
    <s v="MATT"/>
    <m/>
    <m/>
    <x v="1"/>
    <m/>
    <m/>
    <n v="5"/>
    <n v="1.25"/>
    <n v="0.85"/>
    <n v="1.0625"/>
    <n v="5500"/>
    <x v="5"/>
    <s v="TekNat"/>
    <x v="0"/>
    <n v="20757"/>
    <n v="36082"/>
    <n v="64283.375"/>
    <n v="22600"/>
    <n v="28250"/>
    <n v="92533.375"/>
    <n v="0"/>
    <n v="0"/>
    <n v="0"/>
    <n v="0"/>
    <n v="0"/>
    <n v="0.5"/>
    <n v="0"/>
    <n v="0.5"/>
    <n v="0"/>
    <n v="0"/>
    <n v="0"/>
    <n v="0"/>
    <s v="Enl Fokus-Ladok 210601"/>
    <m/>
    <n v="0"/>
    <n v="0"/>
    <n v="0"/>
    <n v="0"/>
    <n v="0"/>
    <n v="0"/>
    <n v="0"/>
    <n v="0"/>
    <n v="0"/>
    <n v="0"/>
    <n v="0.625"/>
    <n v="0.53125"/>
    <n v="0"/>
    <n v="0"/>
    <n v="0.625"/>
    <n v="0.53125"/>
    <n v="0"/>
    <n v="0"/>
    <n v="0"/>
    <n v="0"/>
    <n v="0"/>
    <n v="0"/>
    <n v="0"/>
    <n v="0"/>
  </r>
  <r>
    <x v="11"/>
    <x v="11"/>
    <n v="56113"/>
    <x v="0"/>
    <m/>
    <x v="0"/>
    <m/>
    <s v="Umeå"/>
    <s v="Normal"/>
    <s v="NATU"/>
    <m/>
    <m/>
    <x v="1"/>
    <m/>
    <m/>
    <n v="1"/>
    <n v="0.25"/>
    <n v="0.85"/>
    <n v="0.21249999999999999"/>
    <n v="5500"/>
    <x v="5"/>
    <s v="TekNat"/>
    <x v="0"/>
    <n v="20757"/>
    <n v="36082"/>
    <n v="12856.674999999999"/>
    <n v="22600"/>
    <n v="5650"/>
    <n v="18506.674999999999"/>
    <n v="0"/>
    <n v="0"/>
    <n v="0"/>
    <n v="0"/>
    <n v="0"/>
    <n v="0.5"/>
    <n v="0"/>
    <n v="0.5"/>
    <n v="0"/>
    <n v="0"/>
    <n v="0"/>
    <n v="0"/>
    <s v="Enl Fokus-Ladok 210601"/>
    <m/>
    <n v="0"/>
    <n v="0"/>
    <n v="0"/>
    <n v="0"/>
    <n v="0"/>
    <n v="0"/>
    <n v="0"/>
    <n v="0"/>
    <n v="0"/>
    <n v="0"/>
    <n v="0.125"/>
    <n v="0.10625"/>
    <n v="0"/>
    <n v="0"/>
    <n v="0.125"/>
    <n v="0.10625"/>
    <n v="0"/>
    <n v="0"/>
    <n v="0"/>
    <n v="0"/>
    <n v="0"/>
    <n v="0"/>
    <n v="0"/>
    <n v="0"/>
  </r>
  <r>
    <x v="12"/>
    <x v="12"/>
    <n v="56112"/>
    <x v="0"/>
    <m/>
    <x v="0"/>
    <m/>
    <s v="Umeå"/>
    <s v="Normal"/>
    <s v="BIOL"/>
    <m/>
    <m/>
    <x v="1"/>
    <m/>
    <m/>
    <n v="1"/>
    <n v="0.25"/>
    <n v="0.85"/>
    <n v="0.21249999999999999"/>
    <n v="5500"/>
    <x v="5"/>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13"/>
    <x v="13"/>
    <m/>
    <x v="0"/>
    <s v="H18"/>
    <x v="1"/>
    <s v="H211-5"/>
    <s v="Umeå"/>
    <m/>
    <s v="BIOL"/>
    <m/>
    <n v="1"/>
    <x v="0"/>
    <m/>
    <m/>
    <n v="1"/>
    <n v="0.125"/>
    <n v="0.85"/>
    <n v="0.10625"/>
    <n v="5500"/>
    <x v="5"/>
    <s v="TekNat"/>
    <x v="0"/>
    <n v="20757"/>
    <n v="36082"/>
    <n v="6428.3374999999996"/>
    <n v="22600"/>
    <n v="2825"/>
    <n v="9253.3374999999996"/>
    <n v="0"/>
    <n v="0"/>
    <n v="0"/>
    <n v="0"/>
    <n v="0"/>
    <n v="0.5"/>
    <n v="0"/>
    <n v="0.5"/>
    <n v="0"/>
    <n v="0"/>
    <n v="0"/>
    <n v="0"/>
    <s v="SP 210924"/>
    <m/>
    <n v="0"/>
    <n v="0"/>
    <n v="0"/>
    <n v="0"/>
    <n v="0"/>
    <n v="0"/>
    <n v="0"/>
    <n v="0"/>
    <n v="0"/>
    <n v="0"/>
    <n v="6.25E-2"/>
    <n v="5.3124999999999999E-2"/>
    <n v="0"/>
    <n v="0"/>
    <n v="6.25E-2"/>
    <n v="5.3124999999999999E-2"/>
    <n v="0"/>
    <n v="0"/>
    <n v="0"/>
    <n v="0"/>
    <n v="0"/>
    <n v="0"/>
    <n v="0"/>
    <n v="0"/>
  </r>
  <r>
    <x v="14"/>
    <x v="14"/>
    <m/>
    <x v="0"/>
    <s v="H18"/>
    <x v="1"/>
    <s v="H216-10"/>
    <s v="Umeå"/>
    <m/>
    <s v="BIOL"/>
    <m/>
    <n v="1"/>
    <x v="0"/>
    <m/>
    <m/>
    <n v="1"/>
    <n v="0.125"/>
    <n v="0.85"/>
    <n v="0.10625"/>
    <n v="5500"/>
    <x v="5"/>
    <s v="TekNat"/>
    <x v="0"/>
    <n v="20757"/>
    <n v="36082"/>
    <n v="6428.3374999999996"/>
    <n v="22600"/>
    <n v="2825"/>
    <n v="9253.3374999999996"/>
    <n v="0"/>
    <n v="0"/>
    <n v="0"/>
    <n v="0"/>
    <n v="0"/>
    <n v="0.5"/>
    <n v="0"/>
    <n v="0.5"/>
    <n v="0"/>
    <n v="0"/>
    <n v="0"/>
    <n v="0"/>
    <s v="SP 210924"/>
    <m/>
    <n v="0"/>
    <n v="0"/>
    <n v="0"/>
    <n v="0"/>
    <n v="0"/>
    <n v="0"/>
    <n v="0"/>
    <n v="0"/>
    <n v="0"/>
    <n v="0"/>
    <n v="6.25E-2"/>
    <n v="5.3124999999999999E-2"/>
    <n v="0"/>
    <n v="0"/>
    <n v="6.25E-2"/>
    <n v="5.3124999999999999E-2"/>
    <n v="0"/>
    <n v="0"/>
    <n v="0"/>
    <n v="0"/>
    <n v="0"/>
    <n v="0"/>
    <n v="0"/>
    <n v="0"/>
  </r>
  <r>
    <x v="15"/>
    <x v="15"/>
    <n v="58106"/>
    <x v="0"/>
    <m/>
    <x v="0"/>
    <m/>
    <s v="Umeå"/>
    <s v="Normal"/>
    <s v="MATT"/>
    <m/>
    <m/>
    <x v="0"/>
    <m/>
    <m/>
    <n v="1"/>
    <n v="0.125"/>
    <n v="0.85"/>
    <n v="0.10625"/>
    <n v="5730"/>
    <x v="6"/>
    <s v="TekNat"/>
    <x v="0"/>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16"/>
    <x v="16"/>
    <m/>
    <x v="0"/>
    <s v="H18"/>
    <x v="1"/>
    <s v="H211-15"/>
    <s v="Umeå"/>
    <m/>
    <s v="BIOL"/>
    <m/>
    <n v="1"/>
    <x v="2"/>
    <m/>
    <m/>
    <n v="1"/>
    <n v="0.375"/>
    <n v="0.85"/>
    <n v="0.31874999999999998"/>
    <n v="5740"/>
    <x v="7"/>
    <s v="TekNat"/>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16"/>
    <x v="16"/>
    <n v="62303"/>
    <x v="0"/>
    <m/>
    <x v="0"/>
    <m/>
    <s v="Umeå"/>
    <s v="Normal"/>
    <s v="BIOL"/>
    <m/>
    <m/>
    <x v="2"/>
    <m/>
    <m/>
    <n v="4"/>
    <n v="1.5"/>
    <n v="0.85"/>
    <n v="1.2749999999999999"/>
    <n v="5740"/>
    <x v="7"/>
    <s v="TekNat"/>
    <x v="0"/>
    <n v="25235"/>
    <n v="27976"/>
    <n v="73521.899999999994"/>
    <n v="3600"/>
    <n v="5400"/>
    <n v="78921.899999999994"/>
    <n v="0"/>
    <n v="0"/>
    <n v="0"/>
    <n v="0"/>
    <n v="0"/>
    <n v="0"/>
    <n v="0"/>
    <n v="0"/>
    <n v="1"/>
    <n v="0"/>
    <n v="0"/>
    <n v="0"/>
    <s v="Enl Fokus-Ladok 210601"/>
    <m/>
    <n v="0"/>
    <n v="0"/>
    <n v="0"/>
    <n v="0"/>
    <n v="0"/>
    <n v="0"/>
    <n v="0"/>
    <n v="0"/>
    <n v="0"/>
    <n v="0"/>
    <n v="0"/>
    <n v="0"/>
    <n v="0"/>
    <n v="0"/>
    <n v="0"/>
    <n v="0"/>
    <n v="1.5"/>
    <n v="1.2749999999999999"/>
    <n v="0"/>
    <n v="0"/>
    <n v="0"/>
    <n v="0"/>
    <n v="0"/>
    <n v="0"/>
  </r>
  <r>
    <x v="17"/>
    <x v="17"/>
    <m/>
    <x v="0"/>
    <s v="H20"/>
    <x v="1"/>
    <s v="H211-15"/>
    <s v="Umeå"/>
    <m/>
    <s v="NATU"/>
    <m/>
    <n v="1"/>
    <x v="1"/>
    <m/>
    <m/>
    <n v="1"/>
    <n v="0.25"/>
    <n v="0.85"/>
    <n v="0.21249999999999999"/>
    <n v="5100"/>
    <x v="3"/>
    <s v="TekNat"/>
    <x v="0"/>
    <n v="20757"/>
    <n v="36082"/>
    <n v="12856.674999999999"/>
    <n v="22600"/>
    <n v="5650"/>
    <n v="18506.674999999999"/>
    <n v="0"/>
    <n v="0"/>
    <n v="0"/>
    <n v="0"/>
    <n v="0"/>
    <n v="1"/>
    <n v="0"/>
    <n v="0"/>
    <n v="0"/>
    <n v="0"/>
    <n v="0"/>
    <n v="0"/>
    <s v="SP 210924"/>
    <m/>
    <n v="0"/>
    <n v="0"/>
    <n v="0"/>
    <n v="0"/>
    <n v="0"/>
    <n v="0"/>
    <n v="0"/>
    <n v="0"/>
    <n v="0"/>
    <n v="0"/>
    <n v="0.25"/>
    <n v="0.21249999999999999"/>
    <n v="0"/>
    <n v="0"/>
    <n v="0"/>
    <n v="0"/>
    <n v="0"/>
    <n v="0"/>
    <n v="0"/>
    <n v="0"/>
    <n v="0"/>
    <n v="0"/>
    <n v="0"/>
    <n v="0"/>
  </r>
  <r>
    <x v="18"/>
    <x v="18"/>
    <m/>
    <x v="0"/>
    <s v="H18"/>
    <x v="1"/>
    <s v="H211-10"/>
    <s v="Umeå"/>
    <m/>
    <s v="IDRH"/>
    <m/>
    <n v="1"/>
    <x v="1"/>
    <m/>
    <m/>
    <n v="1"/>
    <n v="0.25"/>
    <n v="0.85"/>
    <n v="0.21249999999999999"/>
    <n v="5100"/>
    <x v="3"/>
    <s v="TekNat"/>
    <x v="0"/>
    <n v="20757"/>
    <n v="36082"/>
    <n v="12856.674999999999"/>
    <n v="22600"/>
    <n v="5650"/>
    <n v="18506.674999999999"/>
    <n v="0"/>
    <n v="0"/>
    <n v="0"/>
    <n v="0"/>
    <n v="0"/>
    <n v="1"/>
    <n v="0"/>
    <n v="0"/>
    <n v="0"/>
    <n v="0"/>
    <n v="0"/>
    <n v="0"/>
    <s v="SP 210924"/>
    <m/>
    <n v="0"/>
    <n v="0"/>
    <n v="0"/>
    <n v="0"/>
    <n v="0"/>
    <n v="0"/>
    <n v="0"/>
    <n v="0"/>
    <n v="0"/>
    <n v="0"/>
    <n v="0.25"/>
    <n v="0.21249999999999999"/>
    <n v="0"/>
    <n v="0"/>
    <n v="0"/>
    <n v="0"/>
    <n v="0"/>
    <n v="0"/>
    <n v="0"/>
    <n v="0"/>
    <n v="0"/>
    <n v="0"/>
    <n v="0"/>
    <n v="0"/>
  </r>
  <r>
    <x v="18"/>
    <x v="18"/>
    <m/>
    <x v="0"/>
    <s v="H19"/>
    <x v="1"/>
    <s v="H211-10"/>
    <s v="Umeå"/>
    <m/>
    <s v="MATT"/>
    <m/>
    <n v="1"/>
    <x v="1"/>
    <m/>
    <m/>
    <n v="1"/>
    <n v="0.25"/>
    <n v="0.85"/>
    <n v="0.21249999999999999"/>
    <n v="5100"/>
    <x v="3"/>
    <s v="TekNat"/>
    <x v="0"/>
    <n v="20757"/>
    <n v="36082"/>
    <n v="12856.674999999999"/>
    <n v="22600"/>
    <n v="5650"/>
    <n v="18506.674999999999"/>
    <n v="0"/>
    <n v="0"/>
    <n v="0"/>
    <n v="0"/>
    <n v="0"/>
    <n v="1"/>
    <n v="0"/>
    <n v="0"/>
    <n v="0"/>
    <n v="0"/>
    <n v="0"/>
    <n v="0"/>
    <s v="SP 210924"/>
    <m/>
    <n v="0"/>
    <n v="0"/>
    <n v="0"/>
    <n v="0"/>
    <n v="0"/>
    <n v="0"/>
    <n v="0"/>
    <n v="0"/>
    <n v="0"/>
    <n v="0"/>
    <n v="0.25"/>
    <n v="0.21249999999999999"/>
    <n v="0"/>
    <n v="0"/>
    <n v="0"/>
    <n v="0"/>
    <n v="0"/>
    <n v="0"/>
    <n v="0"/>
    <n v="0"/>
    <n v="0"/>
    <n v="0"/>
    <n v="0"/>
    <n v="0"/>
  </r>
  <r>
    <x v="18"/>
    <x v="18"/>
    <m/>
    <x v="0"/>
    <s v="H20"/>
    <x v="1"/>
    <s v="H211-10"/>
    <s v="Umeå"/>
    <m/>
    <s v="BIOL"/>
    <m/>
    <n v="1"/>
    <x v="1"/>
    <m/>
    <m/>
    <n v="3"/>
    <n v="0.75"/>
    <n v="0.85"/>
    <n v="0.63749999999999996"/>
    <n v="5100"/>
    <x v="3"/>
    <s v="TekNat"/>
    <x v="0"/>
    <n v="20757"/>
    <n v="36082"/>
    <n v="38570.024999999994"/>
    <n v="22600"/>
    <n v="16950"/>
    <n v="55520.024999999994"/>
    <n v="0"/>
    <n v="0"/>
    <n v="0"/>
    <n v="0"/>
    <n v="0"/>
    <n v="1"/>
    <n v="0"/>
    <n v="0"/>
    <n v="0"/>
    <n v="0"/>
    <n v="0"/>
    <n v="0"/>
    <s v="SP 210924"/>
    <m/>
    <n v="0"/>
    <n v="0"/>
    <n v="0"/>
    <n v="0"/>
    <n v="0"/>
    <n v="0"/>
    <n v="0"/>
    <n v="0"/>
    <n v="0"/>
    <n v="0"/>
    <n v="0.75"/>
    <n v="0.63749999999999996"/>
    <n v="0"/>
    <n v="0"/>
    <n v="0"/>
    <n v="0"/>
    <n v="0"/>
    <n v="0"/>
    <n v="0"/>
    <n v="0"/>
    <n v="0"/>
    <n v="0"/>
    <n v="0"/>
    <n v="0"/>
  </r>
  <r>
    <x v="19"/>
    <x v="19"/>
    <m/>
    <x v="0"/>
    <s v="H18"/>
    <x v="1"/>
    <s v="H2111-20"/>
    <s v="Umeå"/>
    <m/>
    <s v="IDRH"/>
    <m/>
    <n v="1"/>
    <x v="1"/>
    <m/>
    <m/>
    <n v="1"/>
    <n v="0.25"/>
    <n v="0.85"/>
    <n v="0.21249999999999999"/>
    <n v="5100"/>
    <x v="3"/>
    <s v="TekNat"/>
    <x v="0"/>
    <n v="20757"/>
    <n v="36082"/>
    <n v="12856.674999999999"/>
    <n v="22600"/>
    <n v="5650"/>
    <n v="18506.674999999999"/>
    <n v="0"/>
    <n v="0"/>
    <n v="0"/>
    <n v="0"/>
    <n v="0"/>
    <n v="0.5"/>
    <n v="0"/>
    <n v="0.5"/>
    <n v="0"/>
    <n v="0"/>
    <n v="0"/>
    <n v="0"/>
    <s v="SP 210924"/>
    <m/>
    <n v="0"/>
    <n v="0"/>
    <n v="0"/>
    <n v="0"/>
    <n v="0"/>
    <n v="0"/>
    <n v="0"/>
    <n v="0"/>
    <n v="0"/>
    <n v="0"/>
    <n v="0.125"/>
    <n v="0.10625"/>
    <n v="0"/>
    <n v="0"/>
    <n v="0.125"/>
    <n v="0.10625"/>
    <n v="0"/>
    <n v="0"/>
    <n v="0"/>
    <n v="0"/>
    <n v="0"/>
    <n v="0"/>
    <n v="0"/>
    <n v="0"/>
  </r>
  <r>
    <x v="19"/>
    <x v="19"/>
    <m/>
    <x v="0"/>
    <s v="H19"/>
    <x v="1"/>
    <s v="H2111-20"/>
    <s v="Umeå"/>
    <m/>
    <s v="MATT"/>
    <m/>
    <n v="1"/>
    <x v="1"/>
    <m/>
    <m/>
    <n v="1"/>
    <n v="0.25"/>
    <n v="0.85"/>
    <n v="0.21249999999999999"/>
    <n v="5100"/>
    <x v="3"/>
    <s v="TekNat"/>
    <x v="0"/>
    <n v="20757"/>
    <n v="36082"/>
    <n v="12856.674999999999"/>
    <n v="22600"/>
    <n v="5650"/>
    <n v="18506.674999999999"/>
    <n v="0"/>
    <n v="0"/>
    <n v="0"/>
    <n v="0"/>
    <n v="0"/>
    <n v="0.5"/>
    <n v="0"/>
    <n v="0.5"/>
    <n v="0"/>
    <n v="0"/>
    <n v="0"/>
    <n v="0"/>
    <s v="SP 210924"/>
    <m/>
    <n v="0"/>
    <n v="0"/>
    <n v="0"/>
    <n v="0"/>
    <n v="0"/>
    <n v="0"/>
    <n v="0"/>
    <n v="0"/>
    <n v="0"/>
    <n v="0"/>
    <n v="0.125"/>
    <n v="0.10625"/>
    <n v="0"/>
    <n v="0"/>
    <n v="0.125"/>
    <n v="0.10625"/>
    <n v="0"/>
    <n v="0"/>
    <n v="0"/>
    <n v="0"/>
    <n v="0"/>
    <n v="0"/>
    <n v="0"/>
    <n v="0"/>
  </r>
  <r>
    <x v="19"/>
    <x v="19"/>
    <m/>
    <x v="0"/>
    <s v="H20"/>
    <x v="1"/>
    <s v="H2111-20"/>
    <s v="Umeå"/>
    <m/>
    <s v="BIOL"/>
    <m/>
    <n v="1"/>
    <x v="1"/>
    <m/>
    <m/>
    <n v="3"/>
    <n v="0.75"/>
    <n v="0.85"/>
    <n v="0.63749999999999996"/>
    <n v="5100"/>
    <x v="3"/>
    <s v="TekNat"/>
    <x v="0"/>
    <n v="20757"/>
    <n v="36082"/>
    <n v="38570.024999999994"/>
    <n v="22600"/>
    <n v="16950"/>
    <n v="55520.024999999994"/>
    <n v="0"/>
    <n v="0"/>
    <n v="0"/>
    <n v="0"/>
    <n v="0"/>
    <n v="0.5"/>
    <n v="0"/>
    <n v="0.5"/>
    <n v="0"/>
    <n v="0"/>
    <n v="0"/>
    <n v="0"/>
    <s v="SP 210924"/>
    <m/>
    <n v="0"/>
    <n v="0"/>
    <n v="0"/>
    <n v="0"/>
    <n v="0"/>
    <n v="0"/>
    <n v="0"/>
    <n v="0"/>
    <n v="0"/>
    <n v="0"/>
    <n v="0.375"/>
    <n v="0.31874999999999998"/>
    <n v="0"/>
    <n v="0"/>
    <n v="0.375"/>
    <n v="0.31874999999999998"/>
    <n v="0"/>
    <n v="0"/>
    <n v="0"/>
    <n v="0"/>
    <n v="0"/>
    <n v="0"/>
    <n v="0"/>
    <n v="0"/>
  </r>
  <r>
    <x v="20"/>
    <x v="20"/>
    <n v="62301"/>
    <x v="3"/>
    <m/>
    <x v="0"/>
    <m/>
    <s v="Umeå"/>
    <s v="Normal"/>
    <m/>
    <m/>
    <m/>
    <x v="0"/>
    <m/>
    <m/>
    <n v="1"/>
    <n v="0.125"/>
    <n v="0.8"/>
    <n v="0.1"/>
    <n v="5740"/>
    <x v="7"/>
    <s v="TekNat"/>
    <x v="3"/>
    <n v="20757"/>
    <n v="36082"/>
    <n v="6202.8250000000007"/>
    <n v="22600"/>
    <n v="2825"/>
    <n v="9027.8250000000007"/>
    <n v="0"/>
    <n v="0"/>
    <n v="0"/>
    <n v="0"/>
    <n v="0"/>
    <n v="1"/>
    <n v="0"/>
    <n v="0"/>
    <n v="0"/>
    <n v="0"/>
    <n v="0"/>
    <n v="0"/>
    <s v="Enl Fokus-Ladok 210601"/>
    <m/>
    <n v="0"/>
    <n v="0"/>
    <n v="0"/>
    <n v="0"/>
    <n v="0"/>
    <n v="0"/>
    <n v="0"/>
    <n v="0"/>
    <n v="0"/>
    <n v="0"/>
    <n v="0.125"/>
    <n v="0.1"/>
    <n v="0"/>
    <n v="0"/>
    <n v="0"/>
    <n v="0"/>
    <n v="0"/>
    <n v="0"/>
    <n v="0"/>
    <n v="0"/>
    <n v="0"/>
    <n v="0"/>
    <n v="0"/>
    <n v="0"/>
  </r>
  <r>
    <x v="20"/>
    <x v="20"/>
    <n v="62301"/>
    <x v="0"/>
    <m/>
    <x v="0"/>
    <m/>
    <s v="Umeå"/>
    <s v="Normal"/>
    <s v="BIOL"/>
    <m/>
    <m/>
    <x v="0"/>
    <m/>
    <m/>
    <n v="3"/>
    <n v="0.375"/>
    <n v="0.85"/>
    <n v="0.31874999999999998"/>
    <n v="5740"/>
    <x v="7"/>
    <s v="TekNat"/>
    <x v="0"/>
    <n v="20757"/>
    <n v="36082"/>
    <n v="19285.012499999997"/>
    <n v="22600"/>
    <n v="8475"/>
    <n v="27760.012499999997"/>
    <n v="0"/>
    <n v="0"/>
    <n v="0"/>
    <n v="0"/>
    <n v="0"/>
    <n v="1"/>
    <n v="0"/>
    <n v="0"/>
    <n v="0"/>
    <n v="0"/>
    <n v="0"/>
    <n v="0"/>
    <s v="Enl Fokus-Ladok 210601"/>
    <m/>
    <n v="0"/>
    <n v="0"/>
    <n v="0"/>
    <n v="0"/>
    <n v="0"/>
    <n v="0"/>
    <n v="0"/>
    <n v="0"/>
    <n v="0"/>
    <n v="0"/>
    <n v="0.375"/>
    <n v="0.31874999999999998"/>
    <n v="0"/>
    <n v="0"/>
    <n v="0"/>
    <n v="0"/>
    <n v="0"/>
    <n v="0"/>
    <n v="0"/>
    <n v="0"/>
    <n v="0"/>
    <n v="0"/>
    <n v="0"/>
    <n v="0"/>
  </r>
  <r>
    <x v="20"/>
    <x v="20"/>
    <n v="62301"/>
    <x v="0"/>
    <m/>
    <x v="0"/>
    <m/>
    <s v="Umeå"/>
    <s v="Normal"/>
    <s v="ENGS"/>
    <m/>
    <m/>
    <x v="0"/>
    <m/>
    <m/>
    <n v="1"/>
    <n v="0.125"/>
    <n v="0.85"/>
    <n v="0.10625"/>
    <n v="5740"/>
    <x v="7"/>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20"/>
    <x v="20"/>
    <n v="62301"/>
    <x v="0"/>
    <m/>
    <x v="0"/>
    <m/>
    <s v="Umeå"/>
    <s v="Normal"/>
    <s v="IDRH"/>
    <m/>
    <m/>
    <x v="0"/>
    <m/>
    <m/>
    <n v="2"/>
    <n v="0.25"/>
    <n v="0.85"/>
    <n v="0.21249999999999999"/>
    <n v="5740"/>
    <x v="7"/>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20"/>
    <x v="20"/>
    <n v="62301"/>
    <x v="0"/>
    <m/>
    <x v="0"/>
    <m/>
    <s v="Umeå"/>
    <s v="Normal"/>
    <s v="MATT"/>
    <m/>
    <m/>
    <x v="0"/>
    <m/>
    <m/>
    <n v="3"/>
    <n v="0.375"/>
    <n v="0.85"/>
    <n v="0.31874999999999998"/>
    <n v="5740"/>
    <x v="7"/>
    <s v="TekNat"/>
    <x v="0"/>
    <n v="20757"/>
    <n v="36082"/>
    <n v="19285.012499999997"/>
    <n v="22600"/>
    <n v="8475"/>
    <n v="27760.012499999997"/>
    <n v="0"/>
    <n v="0"/>
    <n v="0"/>
    <n v="0"/>
    <n v="0"/>
    <n v="1"/>
    <n v="0"/>
    <n v="0"/>
    <n v="0"/>
    <n v="0"/>
    <n v="0"/>
    <n v="0"/>
    <s v="Enl Fokus-Ladok 210601"/>
    <m/>
    <n v="0"/>
    <n v="0"/>
    <n v="0"/>
    <n v="0"/>
    <n v="0"/>
    <n v="0"/>
    <n v="0"/>
    <n v="0"/>
    <n v="0"/>
    <n v="0"/>
    <n v="0.375"/>
    <n v="0.31874999999999998"/>
    <n v="0"/>
    <n v="0"/>
    <n v="0"/>
    <n v="0"/>
    <n v="0"/>
    <n v="0"/>
    <n v="0"/>
    <n v="0"/>
    <n v="0"/>
    <n v="0"/>
    <n v="0"/>
    <n v="0"/>
  </r>
  <r>
    <x v="21"/>
    <x v="21"/>
    <n v="62302"/>
    <x v="3"/>
    <m/>
    <x v="0"/>
    <m/>
    <s v="Umeå"/>
    <s v="Normal"/>
    <m/>
    <m/>
    <m/>
    <x v="0"/>
    <m/>
    <m/>
    <n v="1"/>
    <n v="0.125"/>
    <n v="0.8"/>
    <n v="0.1"/>
    <n v="5740"/>
    <x v="7"/>
    <s v="TekNat"/>
    <x v="3"/>
    <n v="20757"/>
    <n v="36082"/>
    <n v="6202.8250000000007"/>
    <n v="22600"/>
    <n v="2825"/>
    <n v="9027.8250000000007"/>
    <n v="0"/>
    <n v="0"/>
    <n v="0"/>
    <n v="0"/>
    <n v="0"/>
    <n v="1"/>
    <n v="0"/>
    <n v="0"/>
    <n v="0"/>
    <n v="0"/>
    <n v="0"/>
    <n v="0"/>
    <s v="Enl Fokus-Ladok 210601"/>
    <m/>
    <n v="0"/>
    <n v="0"/>
    <n v="0"/>
    <n v="0"/>
    <n v="0"/>
    <n v="0"/>
    <n v="0"/>
    <n v="0"/>
    <n v="0"/>
    <n v="0"/>
    <n v="0.125"/>
    <n v="0.1"/>
    <n v="0"/>
    <n v="0"/>
    <n v="0"/>
    <n v="0"/>
    <n v="0"/>
    <n v="0"/>
    <n v="0"/>
    <n v="0"/>
    <n v="0"/>
    <n v="0"/>
    <n v="0"/>
    <n v="0"/>
  </r>
  <r>
    <x v="21"/>
    <x v="21"/>
    <n v="62302"/>
    <x v="0"/>
    <m/>
    <x v="0"/>
    <m/>
    <s v="Umeå"/>
    <s v="Normal"/>
    <s v="BIOL"/>
    <m/>
    <m/>
    <x v="0"/>
    <m/>
    <m/>
    <n v="2"/>
    <n v="0.25"/>
    <n v="0.85"/>
    <n v="0.21249999999999999"/>
    <n v="5740"/>
    <x v="7"/>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21"/>
    <x v="21"/>
    <n v="62302"/>
    <x v="0"/>
    <m/>
    <x v="0"/>
    <m/>
    <s v="Umeå"/>
    <s v="Normal"/>
    <s v="ENGS"/>
    <m/>
    <m/>
    <x v="0"/>
    <m/>
    <m/>
    <n v="1"/>
    <n v="0.125"/>
    <n v="0.85"/>
    <n v="0.10625"/>
    <n v="5740"/>
    <x v="7"/>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21"/>
    <x v="21"/>
    <n v="62302"/>
    <x v="0"/>
    <m/>
    <x v="0"/>
    <m/>
    <s v="Umeå"/>
    <s v="Normal"/>
    <s v="IDRH"/>
    <m/>
    <m/>
    <x v="0"/>
    <m/>
    <m/>
    <n v="2"/>
    <n v="0.25"/>
    <n v="0.85"/>
    <n v="0.21249999999999999"/>
    <n v="5740"/>
    <x v="7"/>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21"/>
    <x v="21"/>
    <n v="62302"/>
    <x v="0"/>
    <m/>
    <x v="0"/>
    <m/>
    <s v="Umeå"/>
    <s v="Normal"/>
    <s v="MATT"/>
    <m/>
    <m/>
    <x v="0"/>
    <m/>
    <m/>
    <n v="3"/>
    <n v="0.375"/>
    <n v="0.85"/>
    <n v="0.31874999999999998"/>
    <n v="5740"/>
    <x v="7"/>
    <s v="TekNat"/>
    <x v="0"/>
    <n v="20757"/>
    <n v="36082"/>
    <n v="19285.012499999997"/>
    <n v="22600"/>
    <n v="8475"/>
    <n v="27760.012499999997"/>
    <n v="0"/>
    <n v="0"/>
    <n v="0"/>
    <n v="0"/>
    <n v="0"/>
    <n v="1"/>
    <n v="0"/>
    <n v="0"/>
    <n v="0"/>
    <n v="0"/>
    <n v="0"/>
    <n v="0"/>
    <s v="Enl Fokus-Ladok 210601"/>
    <m/>
    <n v="0"/>
    <n v="0"/>
    <n v="0"/>
    <n v="0"/>
    <n v="0"/>
    <n v="0"/>
    <n v="0"/>
    <n v="0"/>
    <n v="0"/>
    <n v="0"/>
    <n v="0.375"/>
    <n v="0.31874999999999998"/>
    <n v="0"/>
    <n v="0"/>
    <n v="0"/>
    <n v="0"/>
    <n v="0"/>
    <n v="0"/>
    <n v="0"/>
    <n v="0"/>
    <n v="0"/>
    <n v="0"/>
    <n v="0"/>
    <n v="0"/>
  </r>
  <r>
    <x v="22"/>
    <x v="22"/>
    <m/>
    <x v="0"/>
    <s v="H19"/>
    <x v="1"/>
    <s v="H2111-15"/>
    <s v="Umeå"/>
    <m/>
    <s v="MATT"/>
    <m/>
    <n v="1"/>
    <x v="0"/>
    <m/>
    <m/>
    <n v="1"/>
    <n v="0.125"/>
    <n v="0.85"/>
    <n v="0.10625"/>
    <n v="5700"/>
    <x v="8"/>
    <s v="TekNat"/>
    <x v="0"/>
    <n v="20757"/>
    <n v="36082"/>
    <n v="6428.3374999999996"/>
    <n v="22600"/>
    <n v="2825"/>
    <n v="9253.3374999999996"/>
    <n v="0"/>
    <n v="0"/>
    <n v="0"/>
    <n v="0"/>
    <n v="0"/>
    <n v="0.5"/>
    <n v="0"/>
    <n v="0.5"/>
    <n v="0"/>
    <n v="0"/>
    <n v="0"/>
    <n v="0"/>
    <s v="SP 210924"/>
    <m/>
    <n v="0"/>
    <n v="0"/>
    <n v="0"/>
    <n v="0"/>
    <n v="0"/>
    <n v="0"/>
    <n v="0"/>
    <n v="0"/>
    <n v="0"/>
    <n v="0"/>
    <n v="6.25E-2"/>
    <n v="5.3124999999999999E-2"/>
    <n v="0"/>
    <n v="0"/>
    <n v="6.25E-2"/>
    <n v="5.3124999999999999E-2"/>
    <n v="0"/>
    <n v="0"/>
    <n v="0"/>
    <n v="0"/>
    <n v="0"/>
    <n v="0"/>
    <n v="0"/>
    <n v="0"/>
  </r>
  <r>
    <x v="22"/>
    <x v="22"/>
    <m/>
    <x v="0"/>
    <s v="V21"/>
    <x v="1"/>
    <s v="H2111-15"/>
    <s v="Umeå"/>
    <m/>
    <s v="MATT"/>
    <m/>
    <n v="1"/>
    <x v="0"/>
    <m/>
    <m/>
    <n v="1"/>
    <n v="0.125"/>
    <n v="0.85"/>
    <n v="0.10625"/>
    <n v="5700"/>
    <x v="8"/>
    <s v="TekNat"/>
    <x v="0"/>
    <n v="20757"/>
    <n v="36082"/>
    <n v="6428.3374999999996"/>
    <n v="22600"/>
    <n v="2825"/>
    <n v="9253.3374999999996"/>
    <n v="0"/>
    <n v="0"/>
    <n v="0"/>
    <n v="0"/>
    <n v="0"/>
    <n v="0.5"/>
    <n v="0"/>
    <n v="0.5"/>
    <n v="0"/>
    <n v="0"/>
    <n v="0"/>
    <n v="0"/>
    <s v="SP 210924"/>
    <m/>
    <n v="0"/>
    <n v="0"/>
    <n v="0"/>
    <n v="0"/>
    <n v="0"/>
    <n v="0"/>
    <n v="0"/>
    <n v="0"/>
    <n v="0"/>
    <n v="0"/>
    <n v="6.25E-2"/>
    <n v="5.3124999999999999E-2"/>
    <n v="0"/>
    <n v="0"/>
    <n v="6.25E-2"/>
    <n v="5.3124999999999999E-2"/>
    <n v="0"/>
    <n v="0"/>
    <n v="0"/>
    <n v="0"/>
    <n v="0"/>
    <n v="0"/>
    <n v="0"/>
    <n v="0"/>
  </r>
  <r>
    <x v="23"/>
    <x v="23"/>
    <m/>
    <x v="3"/>
    <m/>
    <x v="1"/>
    <m/>
    <m/>
    <s v="Campus"/>
    <m/>
    <m/>
    <n v="1"/>
    <x v="3"/>
    <m/>
    <m/>
    <n v="2"/>
    <n v="1"/>
    <n v="0.8"/>
    <n v="0.8"/>
    <n v="1620"/>
    <x v="0"/>
    <s v="Hum"/>
    <x v="3"/>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n v="0"/>
  </r>
  <r>
    <x v="23"/>
    <x v="23"/>
    <m/>
    <x v="0"/>
    <s v="H15"/>
    <x v="1"/>
    <s v="H211-20"/>
    <s v="Umeå"/>
    <m/>
    <s v="MUSI"/>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3"/>
    <x v="23"/>
    <m/>
    <x v="0"/>
    <s v="H18"/>
    <x v="1"/>
    <s v="H211-20"/>
    <s v="Umeå"/>
    <m/>
    <s v="BILÄ"/>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3"/>
    <x v="23"/>
    <m/>
    <x v="0"/>
    <s v="H18"/>
    <x v="1"/>
    <s v="H211-20"/>
    <s v="Umeå"/>
    <m/>
    <s v="ENGS"/>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3"/>
    <x v="23"/>
    <m/>
    <x v="0"/>
    <s v="H18"/>
    <x v="1"/>
    <s v="H211-20"/>
    <s v="Umeå"/>
    <m/>
    <s v="GEOG"/>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3"/>
    <x v="23"/>
    <m/>
    <x v="0"/>
    <s v="H18"/>
    <x v="1"/>
    <s v="H211-20"/>
    <s v="Umeå"/>
    <m/>
    <s v="IDRH"/>
    <m/>
    <n v="1"/>
    <x v="3"/>
    <m/>
    <m/>
    <n v="3"/>
    <n v="1.5"/>
    <n v="0.85"/>
    <n v="1.2749999999999999"/>
    <n v="1620"/>
    <x v="0"/>
    <s v="Hum"/>
    <x v="0"/>
    <n v="20766"/>
    <n v="17442"/>
    <n v="53387.55"/>
    <n v="6000"/>
    <n v="9000"/>
    <n v="62387.55"/>
    <n v="0"/>
    <n v="1"/>
    <n v="0"/>
    <n v="0"/>
    <n v="0"/>
    <n v="0"/>
    <n v="0"/>
    <n v="0"/>
    <n v="0"/>
    <n v="0"/>
    <n v="0"/>
    <n v="0"/>
    <s v="SP 210924"/>
    <m/>
    <n v="0"/>
    <n v="0"/>
    <n v="1.5"/>
    <n v="1.2749999999999999"/>
    <n v="0"/>
    <n v="0"/>
    <n v="0"/>
    <n v="0"/>
    <n v="0"/>
    <n v="0"/>
    <n v="0"/>
    <n v="0"/>
    <n v="0"/>
    <n v="0"/>
    <n v="0"/>
    <n v="0"/>
    <n v="0"/>
    <n v="0"/>
    <n v="0"/>
    <n v="0"/>
    <n v="0"/>
    <n v="0"/>
    <n v="0"/>
    <n v="0"/>
  </r>
  <r>
    <x v="23"/>
    <x v="23"/>
    <m/>
    <x v="0"/>
    <s v="H18"/>
    <x v="1"/>
    <s v="H211-20"/>
    <s v="Umeå"/>
    <m/>
    <s v="MATT"/>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3"/>
    <x v="23"/>
    <m/>
    <x v="0"/>
    <s v="H18"/>
    <x v="1"/>
    <s v="H211-20"/>
    <s v="Umeå"/>
    <m/>
    <s v="RELK"/>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3"/>
    <x v="23"/>
    <m/>
    <x v="0"/>
    <s v="H18"/>
    <x v="1"/>
    <s v="H211-20"/>
    <s v="Umeå"/>
    <m/>
    <s v="SVAA"/>
    <m/>
    <n v="1"/>
    <x v="3"/>
    <m/>
    <m/>
    <n v="7"/>
    <n v="3.5"/>
    <n v="0.85"/>
    <n v="2.9750000000000001"/>
    <n v="1620"/>
    <x v="0"/>
    <s v="Hum"/>
    <x v="0"/>
    <n v="20766"/>
    <n v="17442"/>
    <n v="124570.95000000001"/>
    <n v="6000"/>
    <n v="21000"/>
    <n v="145570.95000000001"/>
    <n v="0"/>
    <n v="1"/>
    <n v="0"/>
    <n v="0"/>
    <n v="0"/>
    <n v="0"/>
    <n v="0"/>
    <n v="0"/>
    <n v="0"/>
    <n v="0"/>
    <n v="0"/>
    <n v="0"/>
    <s v="SP 210924"/>
    <m/>
    <n v="0"/>
    <n v="0"/>
    <n v="3.5"/>
    <n v="2.9750000000000001"/>
    <n v="0"/>
    <n v="0"/>
    <n v="0"/>
    <n v="0"/>
    <n v="0"/>
    <n v="0"/>
    <n v="0"/>
    <n v="0"/>
    <n v="0"/>
    <n v="0"/>
    <n v="0"/>
    <n v="0"/>
    <n v="0"/>
    <n v="0"/>
    <n v="0"/>
    <n v="0"/>
    <n v="0"/>
    <n v="0"/>
    <n v="0"/>
    <n v="0"/>
  </r>
  <r>
    <x v="23"/>
    <x v="23"/>
    <m/>
    <x v="0"/>
    <s v="H19"/>
    <x v="1"/>
    <s v="H211-20"/>
    <s v="Umeå"/>
    <m/>
    <s v="ENGS"/>
    <m/>
    <n v="1"/>
    <x v="3"/>
    <m/>
    <m/>
    <n v="3"/>
    <n v="1.5"/>
    <n v="0.85"/>
    <n v="1.2749999999999999"/>
    <n v="1620"/>
    <x v="0"/>
    <s v="Hum"/>
    <x v="0"/>
    <n v="20766"/>
    <n v="17442"/>
    <n v="53387.55"/>
    <n v="6000"/>
    <n v="9000"/>
    <n v="62387.55"/>
    <n v="0"/>
    <n v="1"/>
    <n v="0"/>
    <n v="0"/>
    <n v="0"/>
    <n v="0"/>
    <n v="0"/>
    <n v="0"/>
    <n v="0"/>
    <n v="0"/>
    <n v="0"/>
    <n v="0"/>
    <s v="SP 210924"/>
    <m/>
    <n v="0"/>
    <n v="0"/>
    <n v="1.5"/>
    <n v="1.2749999999999999"/>
    <n v="0"/>
    <n v="0"/>
    <n v="0"/>
    <n v="0"/>
    <n v="0"/>
    <n v="0"/>
    <n v="0"/>
    <n v="0"/>
    <n v="0"/>
    <n v="0"/>
    <n v="0"/>
    <n v="0"/>
    <n v="0"/>
    <n v="0"/>
    <n v="0"/>
    <n v="0"/>
    <n v="0"/>
    <n v="0"/>
    <n v="0"/>
    <n v="0"/>
  </r>
  <r>
    <x v="23"/>
    <x v="23"/>
    <m/>
    <x v="0"/>
    <s v="H20"/>
    <x v="1"/>
    <s v="H211-20"/>
    <s v="Umeå"/>
    <m/>
    <s v="ENGS"/>
    <m/>
    <n v="1"/>
    <x v="3"/>
    <m/>
    <m/>
    <n v="18"/>
    <n v="9"/>
    <n v="0.85"/>
    <n v="7.6499999999999995"/>
    <n v="1620"/>
    <x v="0"/>
    <s v="Hum"/>
    <x v="0"/>
    <n v="20766"/>
    <n v="17442"/>
    <n v="320325.3"/>
    <n v="6000"/>
    <n v="54000"/>
    <n v="374325.3"/>
    <n v="0"/>
    <n v="1"/>
    <n v="0"/>
    <n v="0"/>
    <n v="0"/>
    <n v="0"/>
    <n v="0"/>
    <n v="0"/>
    <n v="0"/>
    <n v="0"/>
    <n v="0"/>
    <n v="0"/>
    <s v="SP 210924"/>
    <m/>
    <n v="0"/>
    <n v="0"/>
    <n v="9"/>
    <n v="7.6499999999999995"/>
    <n v="0"/>
    <n v="0"/>
    <n v="0"/>
    <n v="0"/>
    <n v="0"/>
    <n v="0"/>
    <n v="0"/>
    <n v="0"/>
    <n v="0"/>
    <n v="0"/>
    <n v="0"/>
    <n v="0"/>
    <n v="0"/>
    <n v="0"/>
    <n v="0"/>
    <n v="0"/>
    <n v="0"/>
    <n v="0"/>
    <n v="0"/>
    <n v="0"/>
  </r>
  <r>
    <x v="24"/>
    <x v="24"/>
    <m/>
    <x v="0"/>
    <s v="H18"/>
    <x v="1"/>
    <s v="H2113-16"/>
    <s v="Umeå"/>
    <m/>
    <s v="ENGS"/>
    <m/>
    <n v="1"/>
    <x v="4"/>
    <m/>
    <m/>
    <n v="1"/>
    <n v="0.1"/>
    <n v="0.85"/>
    <n v="8.5000000000000006E-2"/>
    <n v="1620"/>
    <x v="0"/>
    <s v="Hu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24"/>
    <x v="24"/>
    <m/>
    <x v="0"/>
    <s v="H19"/>
    <x v="1"/>
    <s v="H2113-16"/>
    <s v="Umeå"/>
    <m/>
    <s v="ENGS"/>
    <m/>
    <n v="1"/>
    <x v="4"/>
    <m/>
    <m/>
    <n v="10"/>
    <n v="1"/>
    <n v="0.85"/>
    <n v="0.85"/>
    <n v="1620"/>
    <x v="0"/>
    <s v="Hum"/>
    <x v="0"/>
    <n v="25235"/>
    <n v="27976"/>
    <n v="49014.6"/>
    <n v="3600"/>
    <n v="3600"/>
    <n v="52614.6"/>
    <n v="0"/>
    <n v="0"/>
    <n v="0"/>
    <n v="0"/>
    <n v="0"/>
    <n v="0"/>
    <n v="0"/>
    <n v="0"/>
    <n v="1"/>
    <n v="0"/>
    <n v="0"/>
    <n v="0"/>
    <s v="SP 210924"/>
    <m/>
    <n v="0"/>
    <n v="0"/>
    <n v="0"/>
    <n v="0"/>
    <n v="0"/>
    <n v="0"/>
    <n v="0"/>
    <n v="0"/>
    <n v="0"/>
    <n v="0"/>
    <n v="0"/>
    <n v="0"/>
    <n v="0"/>
    <n v="0"/>
    <n v="0"/>
    <n v="0"/>
    <n v="1"/>
    <n v="0.85"/>
    <n v="0"/>
    <n v="0"/>
    <n v="0"/>
    <n v="0"/>
    <n v="0"/>
    <n v="0"/>
  </r>
  <r>
    <x v="24"/>
    <x v="24"/>
    <m/>
    <x v="2"/>
    <s v="H19"/>
    <x v="1"/>
    <s v="H2113-16"/>
    <s v="Umeå"/>
    <s v="Campus"/>
    <m/>
    <m/>
    <n v="1"/>
    <x v="4"/>
    <m/>
    <m/>
    <n v="1"/>
    <n v="0.1"/>
    <n v="0.85"/>
    <n v="8.5000000000000006E-2"/>
    <n v="1620"/>
    <x v="0"/>
    <s v="Hum"/>
    <x v="2"/>
    <n v="25235"/>
    <n v="27976"/>
    <n v="4901.46"/>
    <n v="3600"/>
    <n v="360"/>
    <n v="5261.46"/>
    <n v="0"/>
    <n v="0"/>
    <n v="0"/>
    <n v="0"/>
    <n v="0"/>
    <n v="0"/>
    <n v="0"/>
    <n v="0"/>
    <n v="1"/>
    <n v="0"/>
    <n v="0"/>
    <n v="0"/>
    <s v="SP 210920"/>
    <m/>
    <n v="0"/>
    <n v="0"/>
    <n v="0"/>
    <n v="0"/>
    <n v="0"/>
    <n v="0"/>
    <n v="0"/>
    <n v="0"/>
    <n v="0"/>
    <n v="0"/>
    <n v="0"/>
    <n v="0"/>
    <n v="0"/>
    <n v="0"/>
    <n v="0"/>
    <n v="0"/>
    <n v="0.1"/>
    <n v="8.5000000000000006E-2"/>
    <n v="0"/>
    <n v="0"/>
    <n v="0"/>
    <n v="0"/>
    <n v="0"/>
    <n v="0"/>
  </r>
  <r>
    <x v="25"/>
    <x v="25"/>
    <n v="71403"/>
    <x v="4"/>
    <m/>
    <x v="0"/>
    <m/>
    <s v="Umeå"/>
    <s v="Normal"/>
    <m/>
    <m/>
    <m/>
    <x v="0"/>
    <m/>
    <m/>
    <n v="53"/>
    <n v="6.625"/>
    <n v="0.85"/>
    <n v="5.6312499999999996"/>
    <n v="1620"/>
    <x v="0"/>
    <s v="Hum"/>
    <x v="4"/>
    <n v="20766"/>
    <n v="17442"/>
    <n v="235795.01250000001"/>
    <n v="6000"/>
    <n v="39750"/>
    <n v="275545.01250000001"/>
    <n v="0"/>
    <n v="1"/>
    <n v="0"/>
    <n v="0"/>
    <n v="0"/>
    <n v="0"/>
    <n v="0"/>
    <n v="0"/>
    <n v="0"/>
    <n v="0"/>
    <n v="0"/>
    <n v="0"/>
    <s v="Enl Fokus-Ladok 210601"/>
    <m/>
    <n v="0"/>
    <n v="0"/>
    <n v="6.625"/>
    <n v="5.6312499999999996"/>
    <n v="0"/>
    <n v="0"/>
    <n v="0"/>
    <n v="0"/>
    <n v="0"/>
    <n v="0"/>
    <n v="0"/>
    <n v="0"/>
    <n v="0"/>
    <n v="0"/>
    <n v="0"/>
    <n v="0"/>
    <n v="0"/>
    <n v="0"/>
    <n v="0"/>
    <n v="0"/>
    <n v="0"/>
    <n v="0"/>
    <n v="0"/>
    <n v="0"/>
  </r>
  <r>
    <x v="26"/>
    <x v="26"/>
    <n v="71405"/>
    <x v="5"/>
    <m/>
    <x v="0"/>
    <m/>
    <s v="Umeå"/>
    <s v="Normal"/>
    <m/>
    <m/>
    <m/>
    <x v="0"/>
    <m/>
    <m/>
    <n v="48"/>
    <n v="6"/>
    <n v="0.85"/>
    <n v="5.0999999999999996"/>
    <n v="1620"/>
    <x v="0"/>
    <s v="Hum"/>
    <x v="5"/>
    <n v="20766"/>
    <n v="17442"/>
    <n v="213550.2"/>
    <n v="6000"/>
    <n v="36000"/>
    <n v="249550.2"/>
    <n v="0"/>
    <n v="1"/>
    <n v="0"/>
    <n v="0"/>
    <n v="0"/>
    <n v="0"/>
    <n v="0"/>
    <n v="0"/>
    <n v="0"/>
    <n v="0"/>
    <n v="0"/>
    <n v="0"/>
    <s v="Enl Fokus-Ladok 210601"/>
    <m/>
    <n v="0"/>
    <n v="0"/>
    <n v="6"/>
    <n v="5.0999999999999996"/>
    <n v="0"/>
    <n v="0"/>
    <n v="0"/>
    <n v="0"/>
    <n v="0"/>
    <n v="0"/>
    <n v="0"/>
    <n v="0"/>
    <n v="0"/>
    <n v="0"/>
    <n v="0"/>
    <n v="0"/>
    <n v="0"/>
    <n v="0"/>
    <n v="0"/>
    <n v="0"/>
    <n v="0"/>
    <n v="0"/>
    <n v="0"/>
    <n v="0"/>
  </r>
  <r>
    <x v="27"/>
    <x v="27"/>
    <m/>
    <x v="4"/>
    <s v="H20"/>
    <x v="1"/>
    <s v="H2111-15"/>
    <s v="Umeå"/>
    <s v="Campus"/>
    <m/>
    <m/>
    <n v="1"/>
    <x v="0"/>
    <m/>
    <m/>
    <n v="46"/>
    <n v="5.75"/>
    <n v="0.85"/>
    <n v="4.8875000000000002"/>
    <n v="1620"/>
    <x v="0"/>
    <s v="Hum"/>
    <x v="4"/>
    <n v="20766"/>
    <n v="17442"/>
    <n v="204652.27500000002"/>
    <n v="6000"/>
    <n v="34500"/>
    <n v="239152.27500000002"/>
    <n v="0"/>
    <n v="1"/>
    <n v="0"/>
    <n v="0"/>
    <n v="0"/>
    <n v="0"/>
    <n v="0"/>
    <n v="0"/>
    <n v="0"/>
    <n v="0"/>
    <n v="0"/>
    <n v="0"/>
    <s v="SP 210923"/>
    <m/>
    <n v="0"/>
    <n v="0"/>
    <n v="5.75"/>
    <n v="4.8875000000000002"/>
    <n v="0"/>
    <n v="0"/>
    <n v="0"/>
    <n v="0"/>
    <n v="0"/>
    <n v="0"/>
    <n v="0"/>
    <n v="0"/>
    <n v="0"/>
    <n v="0"/>
    <n v="0"/>
    <n v="0"/>
    <n v="0"/>
    <n v="0"/>
    <n v="0"/>
    <n v="0"/>
    <n v="0"/>
    <n v="0"/>
    <n v="0"/>
    <n v="0"/>
  </r>
  <r>
    <x v="28"/>
    <x v="28"/>
    <m/>
    <x v="5"/>
    <s v="H20"/>
    <x v="1"/>
    <s v="H2111-15"/>
    <s v="Umeå"/>
    <s v="Campus"/>
    <m/>
    <m/>
    <n v="1"/>
    <x v="0"/>
    <m/>
    <m/>
    <n v="42"/>
    <n v="5.25"/>
    <n v="0.85"/>
    <n v="4.4624999999999995"/>
    <n v="1620"/>
    <x v="0"/>
    <s v="Hum"/>
    <x v="5"/>
    <n v="20766"/>
    <n v="17442"/>
    <n v="186856.42499999999"/>
    <n v="6000"/>
    <n v="31500"/>
    <n v="218356.42499999999"/>
    <n v="0"/>
    <n v="1"/>
    <n v="0"/>
    <n v="0"/>
    <n v="0"/>
    <n v="0"/>
    <n v="0"/>
    <n v="0"/>
    <n v="0"/>
    <n v="0"/>
    <n v="0"/>
    <n v="0"/>
    <s v="SP 210923"/>
    <m/>
    <n v="0"/>
    <n v="0"/>
    <n v="5.25"/>
    <n v="4.4624999999999995"/>
    <n v="0"/>
    <n v="0"/>
    <n v="0"/>
    <n v="0"/>
    <n v="0"/>
    <n v="0"/>
    <n v="0"/>
    <n v="0"/>
    <n v="0"/>
    <n v="0"/>
    <n v="0"/>
    <n v="0"/>
    <n v="0"/>
    <n v="0"/>
    <n v="0"/>
    <n v="0"/>
    <n v="0"/>
    <n v="0"/>
    <n v="0"/>
    <n v="0"/>
  </r>
  <r>
    <x v="29"/>
    <x v="29"/>
    <m/>
    <x v="5"/>
    <s v="H17"/>
    <x v="1"/>
    <s v="H211-10"/>
    <s v="Umeå"/>
    <s v="Campus"/>
    <m/>
    <m/>
    <n v="1"/>
    <x v="1"/>
    <m/>
    <m/>
    <n v="1"/>
    <n v="0.25"/>
    <n v="0.85"/>
    <n v="0.21249999999999999"/>
    <n v="1620"/>
    <x v="0"/>
    <s v="Hum"/>
    <x v="5"/>
    <n v="20766"/>
    <n v="17442"/>
    <n v="8897.9249999999993"/>
    <n v="6000"/>
    <n v="1500"/>
    <n v="10397.924999999999"/>
    <n v="0"/>
    <n v="1"/>
    <n v="0"/>
    <n v="0"/>
    <n v="0"/>
    <n v="0"/>
    <n v="0"/>
    <n v="0"/>
    <n v="0"/>
    <n v="0"/>
    <n v="0"/>
    <n v="0"/>
    <s v="SP 210923"/>
    <m/>
    <n v="0"/>
    <n v="0"/>
    <n v="0.25"/>
    <n v="0.21249999999999999"/>
    <n v="0"/>
    <n v="0"/>
    <n v="0"/>
    <n v="0"/>
    <n v="0"/>
    <n v="0"/>
    <n v="0"/>
    <n v="0"/>
    <n v="0"/>
    <n v="0"/>
    <n v="0"/>
    <n v="0"/>
    <n v="0"/>
    <n v="0"/>
    <n v="0"/>
    <n v="0"/>
    <n v="0"/>
    <n v="0"/>
    <n v="0"/>
    <n v="0"/>
  </r>
  <r>
    <x v="29"/>
    <x v="29"/>
    <m/>
    <x v="5"/>
    <s v="H19"/>
    <x v="1"/>
    <s v="H211-10"/>
    <s v="Umeå"/>
    <s v="Campus"/>
    <m/>
    <m/>
    <n v="1"/>
    <x v="1"/>
    <m/>
    <m/>
    <n v="21"/>
    <n v="5.25"/>
    <n v="0.85"/>
    <n v="4.4624999999999995"/>
    <n v="1620"/>
    <x v="0"/>
    <s v="Hum"/>
    <x v="5"/>
    <n v="20766"/>
    <n v="17442"/>
    <n v="186856.42499999999"/>
    <n v="6000"/>
    <n v="31500"/>
    <n v="218356.42499999999"/>
    <n v="0"/>
    <n v="1"/>
    <n v="0"/>
    <n v="0"/>
    <n v="0"/>
    <n v="0"/>
    <n v="0"/>
    <n v="0"/>
    <n v="0"/>
    <n v="0"/>
    <n v="0"/>
    <n v="0"/>
    <s v="SP 210923"/>
    <m/>
    <n v="0"/>
    <n v="0"/>
    <n v="5.25"/>
    <n v="4.4624999999999995"/>
    <n v="0"/>
    <n v="0"/>
    <n v="0"/>
    <n v="0"/>
    <n v="0"/>
    <n v="0"/>
    <n v="0"/>
    <n v="0"/>
    <n v="0"/>
    <n v="0"/>
    <n v="0"/>
    <n v="0"/>
    <n v="0"/>
    <n v="0"/>
    <n v="0"/>
    <n v="0"/>
    <n v="0"/>
    <n v="0"/>
    <n v="0"/>
    <n v="0"/>
  </r>
  <r>
    <x v="30"/>
    <x v="30"/>
    <m/>
    <x v="3"/>
    <m/>
    <x v="2"/>
    <m/>
    <m/>
    <s v="Distans"/>
    <m/>
    <m/>
    <n v="0.5"/>
    <x v="0"/>
    <m/>
    <m/>
    <n v="41"/>
    <n v="5.125"/>
    <n v="0.8"/>
    <n v="4.1000000000000005"/>
    <n v="1620"/>
    <x v="0"/>
    <s v="Hum"/>
    <x v="3"/>
    <n v="20766"/>
    <n v="17442"/>
    <n v="177937.95"/>
    <n v="6000"/>
    <n v="30750"/>
    <n v="208687.95"/>
    <n v="0"/>
    <n v="1"/>
    <n v="0"/>
    <n v="0"/>
    <n v="0"/>
    <n v="0"/>
    <n v="0"/>
    <n v="0"/>
    <n v="0"/>
    <n v="0"/>
    <n v="0"/>
    <n v="0"/>
    <s v="Äskat/Beslutat 200611 p.39"/>
    <s v="Enl Ladok 210610"/>
    <n v="0"/>
    <n v="0"/>
    <n v="5.125"/>
    <n v="4.1000000000000005"/>
    <n v="0"/>
    <n v="0"/>
    <n v="0"/>
    <n v="0"/>
    <n v="0"/>
    <n v="0"/>
    <n v="0"/>
    <n v="0"/>
    <n v="0"/>
    <n v="0"/>
    <n v="0"/>
    <n v="0"/>
    <n v="0"/>
    <n v="0"/>
    <n v="0"/>
    <n v="0"/>
    <n v="0"/>
    <n v="0"/>
    <n v="0"/>
    <n v="0"/>
  </r>
  <r>
    <x v="31"/>
    <x v="31"/>
    <n v="71411"/>
    <x v="3"/>
    <m/>
    <x v="0"/>
    <m/>
    <s v="Umeå"/>
    <s v="Normal"/>
    <m/>
    <m/>
    <m/>
    <x v="3"/>
    <m/>
    <m/>
    <n v="7"/>
    <n v="3.5"/>
    <n v="0.8"/>
    <n v="2.8000000000000003"/>
    <n v="1620"/>
    <x v="0"/>
    <s v="Hum"/>
    <x v="3"/>
    <n v="20766"/>
    <n v="17442"/>
    <n v="121518.6"/>
    <n v="6000"/>
    <n v="21000"/>
    <n v="142518.6"/>
    <n v="0"/>
    <n v="1"/>
    <n v="0"/>
    <n v="0"/>
    <n v="0"/>
    <n v="0"/>
    <n v="0"/>
    <n v="0"/>
    <n v="0"/>
    <n v="0"/>
    <n v="0"/>
    <n v="0"/>
    <s v="Enl Fokus-Ladok 210601"/>
    <m/>
    <n v="0"/>
    <n v="0"/>
    <n v="3.5"/>
    <n v="2.8000000000000003"/>
    <n v="0"/>
    <n v="0"/>
    <n v="0"/>
    <n v="0"/>
    <n v="0"/>
    <n v="0"/>
    <n v="0"/>
    <n v="0"/>
    <n v="0"/>
    <n v="0"/>
    <n v="0"/>
    <n v="0"/>
    <n v="0"/>
    <n v="0"/>
    <n v="0"/>
    <n v="0"/>
    <n v="0"/>
    <n v="0"/>
    <n v="0"/>
    <n v="0"/>
  </r>
  <r>
    <x v="31"/>
    <x v="31"/>
    <n v="71411"/>
    <x v="0"/>
    <m/>
    <x v="0"/>
    <m/>
    <s v="Umeå"/>
    <s v="Normal"/>
    <s v="BILÄ"/>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1"/>
    <x v="31"/>
    <n v="71411"/>
    <x v="0"/>
    <m/>
    <x v="0"/>
    <m/>
    <s v="Umeå"/>
    <s v="Normal"/>
    <s v="ENGS"/>
    <m/>
    <m/>
    <x v="3"/>
    <m/>
    <m/>
    <n v="28"/>
    <n v="14"/>
    <n v="0.85"/>
    <n v="11.9"/>
    <n v="1620"/>
    <x v="0"/>
    <s v="Hum"/>
    <x v="0"/>
    <n v="20766"/>
    <n v="17442"/>
    <n v="498283.80000000005"/>
    <n v="6000"/>
    <n v="84000"/>
    <n v="582283.80000000005"/>
    <n v="0"/>
    <n v="1"/>
    <n v="0"/>
    <n v="0"/>
    <n v="0"/>
    <n v="0"/>
    <n v="0"/>
    <n v="0"/>
    <n v="0"/>
    <n v="0"/>
    <n v="0"/>
    <n v="0"/>
    <s v="Enl Fokus-Ladok 210601"/>
    <m/>
    <n v="0"/>
    <n v="0"/>
    <n v="14"/>
    <n v="11.9"/>
    <n v="0"/>
    <n v="0"/>
    <n v="0"/>
    <n v="0"/>
    <n v="0"/>
    <n v="0"/>
    <n v="0"/>
    <n v="0"/>
    <n v="0"/>
    <n v="0"/>
    <n v="0"/>
    <n v="0"/>
    <n v="0"/>
    <n v="0"/>
    <n v="0"/>
    <n v="0"/>
    <n v="0"/>
    <n v="0"/>
    <n v="0"/>
    <n v="0"/>
  </r>
  <r>
    <x v="31"/>
    <x v="31"/>
    <n v="71411"/>
    <x v="0"/>
    <m/>
    <x v="0"/>
    <m/>
    <s v="Umeå"/>
    <s v="Normal"/>
    <s v="GEOG"/>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1"/>
    <x v="31"/>
    <n v="71411"/>
    <x v="0"/>
    <m/>
    <x v="0"/>
    <m/>
    <s v="Umeå"/>
    <s v="Normal"/>
    <s v="HIST"/>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1"/>
    <x v="31"/>
    <n v="71411"/>
    <x v="0"/>
    <m/>
    <x v="0"/>
    <m/>
    <s v="Umeå"/>
    <s v="Normal"/>
    <s v="IDRH"/>
    <m/>
    <m/>
    <x v="3"/>
    <m/>
    <m/>
    <n v="5"/>
    <n v="2.5"/>
    <n v="0.85"/>
    <n v="2.125"/>
    <n v="1620"/>
    <x v="0"/>
    <s v="Hum"/>
    <x v="0"/>
    <n v="20766"/>
    <n v="17442"/>
    <n v="88979.25"/>
    <n v="6000"/>
    <n v="15000"/>
    <n v="103979.25"/>
    <n v="0"/>
    <n v="1"/>
    <n v="0"/>
    <n v="0"/>
    <n v="0"/>
    <n v="0"/>
    <n v="0"/>
    <n v="0"/>
    <n v="0"/>
    <n v="0"/>
    <n v="0"/>
    <n v="0"/>
    <s v="Enl Fokus-Ladok 210601"/>
    <m/>
    <n v="0"/>
    <n v="0"/>
    <n v="2.5"/>
    <n v="2.125"/>
    <n v="0"/>
    <n v="0"/>
    <n v="0"/>
    <n v="0"/>
    <n v="0"/>
    <n v="0"/>
    <n v="0"/>
    <n v="0"/>
    <n v="0"/>
    <n v="0"/>
    <n v="0"/>
    <n v="0"/>
    <n v="0"/>
    <n v="0"/>
    <n v="0"/>
    <n v="0"/>
    <n v="0"/>
    <n v="0"/>
    <n v="0"/>
    <n v="0"/>
  </r>
  <r>
    <x v="31"/>
    <x v="31"/>
    <n v="71411"/>
    <x v="0"/>
    <m/>
    <x v="0"/>
    <m/>
    <s v="Umeå"/>
    <s v="Normal"/>
    <s v="MATT"/>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1"/>
    <x v="31"/>
    <n v="71411"/>
    <x v="0"/>
    <m/>
    <x v="0"/>
    <m/>
    <s v="Umeå"/>
    <s v="Normal"/>
    <s v="MUSI"/>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1"/>
    <x v="31"/>
    <n v="71411"/>
    <x v="0"/>
    <m/>
    <x v="0"/>
    <m/>
    <s v="Umeå"/>
    <s v="Normal"/>
    <s v="RELK"/>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1"/>
    <x v="31"/>
    <n v="71411"/>
    <x v="0"/>
    <m/>
    <x v="0"/>
    <m/>
    <s v="Umeå"/>
    <s v="Normal"/>
    <s v="SVAA"/>
    <m/>
    <m/>
    <x v="3"/>
    <m/>
    <m/>
    <n v="6"/>
    <n v="3"/>
    <n v="0.85"/>
    <n v="2.5499999999999998"/>
    <n v="1620"/>
    <x v="0"/>
    <s v="Hum"/>
    <x v="0"/>
    <n v="20766"/>
    <n v="17442"/>
    <n v="106775.1"/>
    <n v="6000"/>
    <n v="18000"/>
    <n v="124775.1"/>
    <n v="0"/>
    <n v="1"/>
    <n v="0"/>
    <n v="0"/>
    <n v="0"/>
    <n v="0"/>
    <n v="0"/>
    <n v="0"/>
    <n v="0"/>
    <n v="0"/>
    <n v="0"/>
    <n v="0"/>
    <s v="Enl Fokus-Ladok 210601"/>
    <m/>
    <n v="0"/>
    <n v="0"/>
    <n v="3"/>
    <n v="2.5499999999999998"/>
    <n v="0"/>
    <n v="0"/>
    <n v="0"/>
    <n v="0"/>
    <n v="0"/>
    <n v="0"/>
    <n v="0"/>
    <n v="0"/>
    <n v="0"/>
    <n v="0"/>
    <n v="0"/>
    <n v="0"/>
    <n v="0"/>
    <n v="0"/>
    <n v="0"/>
    <n v="0"/>
    <n v="0"/>
    <n v="0"/>
    <n v="0"/>
    <n v="0"/>
  </r>
  <r>
    <x v="31"/>
    <x v="31"/>
    <n v="71411"/>
    <x v="0"/>
    <m/>
    <x v="0"/>
    <m/>
    <s v="Umeå"/>
    <s v="Normal"/>
    <m/>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2"/>
    <x v="32"/>
    <n v="71409"/>
    <x v="0"/>
    <m/>
    <x v="0"/>
    <m/>
    <s v="Umeå"/>
    <s v="Normal"/>
    <s v="ENGS"/>
    <m/>
    <m/>
    <x v="3"/>
    <m/>
    <m/>
    <n v="10"/>
    <n v="5"/>
    <n v="0.85"/>
    <n v="4.25"/>
    <n v="1620"/>
    <x v="0"/>
    <s v="Hum"/>
    <x v="0"/>
    <n v="20766"/>
    <n v="17442"/>
    <n v="177958.5"/>
    <n v="6000"/>
    <n v="30000"/>
    <n v="207958.5"/>
    <n v="0"/>
    <n v="1"/>
    <n v="0"/>
    <n v="0"/>
    <n v="0"/>
    <n v="0"/>
    <n v="0"/>
    <n v="0"/>
    <n v="0"/>
    <n v="0"/>
    <n v="0"/>
    <n v="0"/>
    <s v="Enl Fokus-Ladok 210601"/>
    <m/>
    <n v="0"/>
    <n v="0"/>
    <n v="5"/>
    <n v="4.25"/>
    <n v="0"/>
    <n v="0"/>
    <n v="0"/>
    <n v="0"/>
    <n v="0"/>
    <n v="0"/>
    <n v="0"/>
    <n v="0"/>
    <n v="0"/>
    <n v="0"/>
    <n v="0"/>
    <n v="0"/>
    <n v="0"/>
    <n v="0"/>
    <n v="0"/>
    <n v="0"/>
    <n v="0"/>
    <n v="0"/>
    <n v="0"/>
    <n v="0"/>
  </r>
  <r>
    <x v="32"/>
    <x v="32"/>
    <n v="71409"/>
    <x v="0"/>
    <m/>
    <x v="0"/>
    <m/>
    <s v="Umeå"/>
    <s v="Normal"/>
    <s v="HIST"/>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2"/>
    <x v="32"/>
    <n v="71409"/>
    <x v="0"/>
    <m/>
    <x v="0"/>
    <m/>
    <s v="Umeå"/>
    <s v="Normal"/>
    <s v="IDRH"/>
    <m/>
    <m/>
    <x v="3"/>
    <m/>
    <m/>
    <n v="6"/>
    <n v="3"/>
    <n v="0.85"/>
    <n v="2.5499999999999998"/>
    <n v="1620"/>
    <x v="0"/>
    <s v="Hum"/>
    <x v="0"/>
    <n v="20766"/>
    <n v="17442"/>
    <n v="106775.1"/>
    <n v="6000"/>
    <n v="18000"/>
    <n v="124775.1"/>
    <n v="0"/>
    <n v="1"/>
    <n v="0"/>
    <n v="0"/>
    <n v="0"/>
    <n v="0"/>
    <n v="0"/>
    <n v="0"/>
    <n v="0"/>
    <n v="0"/>
    <n v="0"/>
    <n v="0"/>
    <s v="Enl Fokus-Ladok 210601"/>
    <m/>
    <n v="0"/>
    <n v="0"/>
    <n v="3"/>
    <n v="2.5499999999999998"/>
    <n v="0"/>
    <n v="0"/>
    <n v="0"/>
    <n v="0"/>
    <n v="0"/>
    <n v="0"/>
    <n v="0"/>
    <n v="0"/>
    <n v="0"/>
    <n v="0"/>
    <n v="0"/>
    <n v="0"/>
    <n v="0"/>
    <n v="0"/>
    <n v="0"/>
    <n v="0"/>
    <n v="0"/>
    <n v="0"/>
    <n v="0"/>
    <n v="0"/>
  </r>
  <r>
    <x v="32"/>
    <x v="32"/>
    <n v="71409"/>
    <x v="0"/>
    <m/>
    <x v="0"/>
    <m/>
    <s v="Umeå"/>
    <s v="Normal"/>
    <s v="MATT"/>
    <m/>
    <m/>
    <x v="3"/>
    <m/>
    <m/>
    <n v="4"/>
    <n v="2"/>
    <n v="0.85"/>
    <n v="1.7"/>
    <n v="1620"/>
    <x v="0"/>
    <s v="Hum"/>
    <x v="0"/>
    <n v="20766"/>
    <n v="17442"/>
    <n v="71183.399999999994"/>
    <n v="6000"/>
    <n v="12000"/>
    <n v="83183.399999999994"/>
    <n v="0"/>
    <n v="1"/>
    <n v="0"/>
    <n v="0"/>
    <n v="0"/>
    <n v="0"/>
    <n v="0"/>
    <n v="0"/>
    <n v="0"/>
    <n v="0"/>
    <n v="0"/>
    <n v="0"/>
    <s v="Enl Fokus-Ladok 210601"/>
    <m/>
    <n v="0"/>
    <n v="0"/>
    <n v="2"/>
    <n v="1.7"/>
    <n v="0"/>
    <n v="0"/>
    <n v="0"/>
    <n v="0"/>
    <n v="0"/>
    <n v="0"/>
    <n v="0"/>
    <n v="0"/>
    <n v="0"/>
    <n v="0"/>
    <n v="0"/>
    <n v="0"/>
    <n v="0"/>
    <n v="0"/>
    <n v="0"/>
    <n v="0"/>
    <n v="0"/>
    <n v="0"/>
    <n v="0"/>
    <n v="0"/>
  </r>
  <r>
    <x v="32"/>
    <x v="32"/>
    <n v="71409"/>
    <x v="0"/>
    <m/>
    <x v="0"/>
    <m/>
    <s v="Umeå"/>
    <s v="Normal"/>
    <s v="SAMK"/>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3"/>
    <x v="33"/>
    <n v="66309"/>
    <x v="6"/>
    <m/>
    <x v="0"/>
    <m/>
    <s v="Umeå"/>
    <s v="Normal"/>
    <s v="TXBI"/>
    <m/>
    <m/>
    <x v="2"/>
    <m/>
    <m/>
    <n v="2"/>
    <n v="0.75"/>
    <n v="0.85"/>
    <n v="0.63749999999999996"/>
    <n v="1650"/>
    <x v="9"/>
    <s v="Hum"/>
    <x v="6"/>
    <n v="25235"/>
    <n v="27976"/>
    <n v="36760.949999999997"/>
    <n v="3600"/>
    <n v="2700"/>
    <n v="39460.949999999997"/>
    <n v="0"/>
    <n v="0"/>
    <n v="0"/>
    <n v="0"/>
    <n v="0"/>
    <n v="0"/>
    <n v="0"/>
    <n v="0"/>
    <n v="1"/>
    <n v="0"/>
    <n v="0"/>
    <n v="0"/>
    <s v="Enl Fokus-Ladok 210601"/>
    <m/>
    <n v="0"/>
    <n v="0"/>
    <n v="0"/>
    <n v="0"/>
    <n v="0"/>
    <n v="0"/>
    <n v="0"/>
    <n v="0"/>
    <n v="0"/>
    <n v="0"/>
    <n v="0"/>
    <n v="0"/>
    <n v="0"/>
    <n v="0"/>
    <n v="0"/>
    <n v="0"/>
    <n v="0.75"/>
    <n v="0.63749999999999996"/>
    <n v="0"/>
    <n v="0"/>
    <n v="0"/>
    <n v="0"/>
    <n v="0"/>
    <n v="0"/>
  </r>
  <r>
    <x v="33"/>
    <x v="33"/>
    <m/>
    <x v="0"/>
    <s v="H15"/>
    <x v="1"/>
    <s v="H211-15"/>
    <s v="Umeå"/>
    <m/>
    <s v="MUSI"/>
    <m/>
    <n v="1"/>
    <x v="2"/>
    <m/>
    <m/>
    <n v="1"/>
    <n v="0.375"/>
    <n v="0.85"/>
    <n v="0.31874999999999998"/>
    <n v="1650"/>
    <x v="9"/>
    <s v="Hu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33"/>
    <x v="33"/>
    <m/>
    <x v="0"/>
    <s v="H16"/>
    <x v="1"/>
    <s v="H211-15"/>
    <s v="Umeå"/>
    <m/>
    <s v="BILÄ"/>
    <m/>
    <n v="1"/>
    <x v="2"/>
    <m/>
    <m/>
    <n v="1"/>
    <n v="0.375"/>
    <n v="0.85"/>
    <n v="0.31874999999999998"/>
    <n v="1650"/>
    <x v="9"/>
    <s v="Hu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33"/>
    <x v="33"/>
    <n v="66309"/>
    <x v="0"/>
    <m/>
    <x v="0"/>
    <m/>
    <s v="Umeå"/>
    <s v="Normal"/>
    <s v="BILÄ"/>
    <m/>
    <m/>
    <x v="2"/>
    <m/>
    <m/>
    <n v="3"/>
    <n v="1.125"/>
    <n v="0.85"/>
    <n v="0.95624999999999993"/>
    <n v="1650"/>
    <x v="9"/>
    <s v="Hum"/>
    <x v="0"/>
    <n v="25235"/>
    <n v="27976"/>
    <n v="55141.425000000003"/>
    <n v="3600"/>
    <n v="4050"/>
    <n v="59191.425000000003"/>
    <n v="0"/>
    <n v="0"/>
    <n v="0"/>
    <n v="0"/>
    <n v="0"/>
    <n v="0"/>
    <n v="0"/>
    <n v="0"/>
    <n v="1"/>
    <n v="0"/>
    <n v="0"/>
    <n v="0"/>
    <s v="Enl Fokus-Ladok 210601"/>
    <m/>
    <n v="0"/>
    <n v="0"/>
    <n v="0"/>
    <n v="0"/>
    <n v="0"/>
    <n v="0"/>
    <n v="0"/>
    <n v="0"/>
    <n v="0"/>
    <n v="0"/>
    <n v="0"/>
    <n v="0"/>
    <n v="0"/>
    <n v="0"/>
    <n v="0"/>
    <n v="0"/>
    <n v="1.125"/>
    <n v="0.95624999999999993"/>
    <n v="0"/>
    <n v="0"/>
    <n v="0"/>
    <n v="0"/>
    <n v="0"/>
    <n v="0"/>
  </r>
  <r>
    <x v="33"/>
    <x v="33"/>
    <n v="66309"/>
    <x v="0"/>
    <m/>
    <x v="0"/>
    <m/>
    <s v="Umeå"/>
    <s v="Normal"/>
    <s v="MUSI"/>
    <m/>
    <m/>
    <x v="2"/>
    <m/>
    <m/>
    <n v="3"/>
    <n v="1.125"/>
    <n v="0.85"/>
    <n v="0.95624999999999993"/>
    <n v="1650"/>
    <x v="9"/>
    <s v="Hum"/>
    <x v="0"/>
    <n v="25235"/>
    <n v="27976"/>
    <n v="55141.425000000003"/>
    <n v="3600"/>
    <n v="4050"/>
    <n v="59191.425000000003"/>
    <n v="0"/>
    <n v="0"/>
    <n v="0"/>
    <n v="0"/>
    <n v="0"/>
    <n v="0"/>
    <n v="0"/>
    <n v="0"/>
    <n v="1"/>
    <n v="0"/>
    <n v="0"/>
    <n v="0"/>
    <s v="Enl Fokus-Ladok 210601"/>
    <m/>
    <n v="0"/>
    <n v="0"/>
    <n v="0"/>
    <n v="0"/>
    <n v="0"/>
    <n v="0"/>
    <n v="0"/>
    <n v="0"/>
    <n v="0"/>
    <n v="0"/>
    <n v="0"/>
    <n v="0"/>
    <n v="0"/>
    <n v="0"/>
    <n v="0"/>
    <n v="0"/>
    <n v="1.125"/>
    <n v="0.95624999999999993"/>
    <n v="0"/>
    <n v="0"/>
    <n v="0"/>
    <n v="0"/>
    <n v="0"/>
    <n v="0"/>
  </r>
  <r>
    <x v="34"/>
    <x v="34"/>
    <m/>
    <x v="6"/>
    <s v="H17"/>
    <x v="1"/>
    <s v="V2116-20:H211-15"/>
    <s v="Umeå"/>
    <m/>
    <s v="TXBI"/>
    <m/>
    <n v="1"/>
    <x v="2"/>
    <m/>
    <m/>
    <n v="2"/>
    <n v="0.75"/>
    <n v="0.85"/>
    <n v="0.63749999999999996"/>
    <n v="1650"/>
    <x v="9"/>
    <s v="Hum"/>
    <x v="6"/>
    <n v="20766"/>
    <n v="17442"/>
    <n v="26693.775000000001"/>
    <n v="6000"/>
    <n v="4500"/>
    <n v="31193.775000000001"/>
    <n v="0"/>
    <n v="1"/>
    <n v="0"/>
    <n v="0"/>
    <n v="0"/>
    <n v="0"/>
    <n v="0"/>
    <n v="0"/>
    <n v="0"/>
    <n v="0"/>
    <n v="0"/>
    <n v="0"/>
    <s v="SP 210924"/>
    <s v="Läser 22,5 av 30 hp denna termin"/>
    <n v="0"/>
    <n v="0"/>
    <n v="0.75"/>
    <n v="0.63749999999999996"/>
    <n v="0"/>
    <n v="0"/>
    <n v="0"/>
    <n v="0"/>
    <n v="0"/>
    <n v="0"/>
    <n v="0"/>
    <n v="0"/>
    <n v="0"/>
    <n v="0"/>
    <n v="0"/>
    <n v="0"/>
    <n v="0"/>
    <n v="0"/>
    <n v="0"/>
    <n v="0"/>
    <n v="0"/>
    <n v="0"/>
    <n v="0"/>
    <n v="0"/>
  </r>
  <r>
    <x v="34"/>
    <x v="34"/>
    <m/>
    <x v="6"/>
    <s v="H18"/>
    <x v="1"/>
    <s v="H2116-20:V221-15"/>
    <s v="Umeå"/>
    <m/>
    <s v="TXAL"/>
    <m/>
    <n v="1"/>
    <x v="0"/>
    <m/>
    <m/>
    <n v="1"/>
    <n v="0.125"/>
    <n v="0.85"/>
    <n v="0.10625"/>
    <n v="1650"/>
    <x v="9"/>
    <s v="Hum"/>
    <x v="6"/>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34"/>
    <x v="34"/>
    <n v="66308"/>
    <x v="6"/>
    <m/>
    <x v="0"/>
    <m/>
    <s v="Umeå"/>
    <s v="Normal"/>
    <s v="TXBI"/>
    <m/>
    <m/>
    <x v="0"/>
    <m/>
    <m/>
    <n v="2"/>
    <n v="0.25"/>
    <n v="0.85"/>
    <n v="0.21249999999999999"/>
    <n v="1650"/>
    <x v="9"/>
    <s v="Hum"/>
    <x v="6"/>
    <n v="20766"/>
    <n v="17442"/>
    <n v="8897.9249999999993"/>
    <n v="6000"/>
    <n v="1500"/>
    <n v="10397.924999999999"/>
    <n v="0"/>
    <n v="1"/>
    <n v="0"/>
    <n v="0"/>
    <n v="0"/>
    <n v="0"/>
    <n v="0"/>
    <n v="0"/>
    <n v="0"/>
    <n v="0"/>
    <n v="0"/>
    <n v="0"/>
    <s v="Enl Fokus-Ladok 210601"/>
    <s v="Läser 7,5 av 30 hp denna termin"/>
    <n v="0"/>
    <n v="0"/>
    <n v="0.25"/>
    <n v="0.21249999999999999"/>
    <n v="0"/>
    <n v="0"/>
    <n v="0"/>
    <n v="0"/>
    <n v="0"/>
    <n v="0"/>
    <n v="0"/>
    <n v="0"/>
    <n v="0"/>
    <n v="0"/>
    <n v="0"/>
    <n v="0"/>
    <n v="0"/>
    <n v="0"/>
    <n v="0"/>
    <n v="0"/>
    <n v="0"/>
    <n v="0"/>
    <n v="0"/>
    <n v="0"/>
  </r>
  <r>
    <x v="34"/>
    <x v="34"/>
    <m/>
    <x v="0"/>
    <s v="H15"/>
    <x v="1"/>
    <s v="H2116-20:V221-15"/>
    <s v="Umeå"/>
    <m/>
    <s v="MUSI"/>
    <m/>
    <n v="1"/>
    <x v="0"/>
    <m/>
    <m/>
    <n v="1"/>
    <n v="0.125"/>
    <n v="0.85"/>
    <n v="0.10625"/>
    <n v="1650"/>
    <x v="9"/>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34"/>
    <x v="34"/>
    <m/>
    <x v="0"/>
    <s v="H16"/>
    <x v="1"/>
    <s v="H2116-20:V221-15"/>
    <s v="Umeå"/>
    <m/>
    <s v="BILÄ"/>
    <m/>
    <n v="1"/>
    <x v="0"/>
    <m/>
    <m/>
    <n v="1"/>
    <n v="0.125"/>
    <n v="0.85"/>
    <n v="0.10625"/>
    <n v="1650"/>
    <x v="9"/>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34"/>
    <x v="34"/>
    <m/>
    <x v="0"/>
    <s v="H17"/>
    <x v="1"/>
    <s v="H2116-20:V221-15"/>
    <s v="Umeå"/>
    <m/>
    <s v="ENGS"/>
    <m/>
    <n v="1"/>
    <x v="0"/>
    <m/>
    <m/>
    <n v="2"/>
    <n v="0.25"/>
    <n v="0.85"/>
    <n v="0.21249999999999999"/>
    <n v="1650"/>
    <x v="9"/>
    <s v="Hum"/>
    <x v="0"/>
    <n v="20766"/>
    <n v="17442"/>
    <n v="8897.9249999999993"/>
    <n v="6000"/>
    <n v="1500"/>
    <n v="10397.924999999999"/>
    <n v="0"/>
    <n v="1"/>
    <n v="0"/>
    <n v="0"/>
    <n v="0"/>
    <n v="0"/>
    <n v="0"/>
    <n v="0"/>
    <n v="0"/>
    <n v="0"/>
    <n v="0"/>
    <n v="0"/>
    <s v="SP 210924"/>
    <s v="Läser 7,5 av 30 hp denna termin"/>
    <n v="0"/>
    <n v="0"/>
    <n v="0.25"/>
    <n v="0.21249999999999999"/>
    <n v="0"/>
    <n v="0"/>
    <n v="0"/>
    <n v="0"/>
    <n v="0"/>
    <n v="0"/>
    <n v="0"/>
    <n v="0"/>
    <n v="0"/>
    <n v="0"/>
    <n v="0"/>
    <n v="0"/>
    <n v="0"/>
    <n v="0"/>
    <n v="0"/>
    <n v="0"/>
    <n v="0"/>
    <n v="0"/>
    <n v="0"/>
    <n v="0"/>
  </r>
  <r>
    <x v="34"/>
    <x v="34"/>
    <m/>
    <x v="0"/>
    <s v="H17"/>
    <x v="1"/>
    <s v="H2116-20:V221-15"/>
    <s v="Umeå"/>
    <m/>
    <s v="MUSI"/>
    <m/>
    <n v="1"/>
    <x v="0"/>
    <m/>
    <m/>
    <n v="2"/>
    <n v="0.25"/>
    <n v="0.85"/>
    <n v="0.21249999999999999"/>
    <n v="1650"/>
    <x v="9"/>
    <s v="Hum"/>
    <x v="0"/>
    <n v="20766"/>
    <n v="17442"/>
    <n v="8897.9249999999993"/>
    <n v="6000"/>
    <n v="1500"/>
    <n v="10397.924999999999"/>
    <n v="0"/>
    <n v="1"/>
    <n v="0"/>
    <n v="0"/>
    <n v="0"/>
    <n v="0"/>
    <n v="0"/>
    <n v="0"/>
    <n v="0"/>
    <n v="0"/>
    <n v="0"/>
    <n v="0"/>
    <s v="SP 210924"/>
    <s v="Läser 7,5 av 30 hp denna termin"/>
    <n v="0"/>
    <n v="0"/>
    <n v="0.25"/>
    <n v="0.21249999999999999"/>
    <n v="0"/>
    <n v="0"/>
    <n v="0"/>
    <n v="0"/>
    <n v="0"/>
    <n v="0"/>
    <n v="0"/>
    <n v="0"/>
    <n v="0"/>
    <n v="0"/>
    <n v="0"/>
    <n v="0"/>
    <n v="0"/>
    <n v="0"/>
    <n v="0"/>
    <n v="0"/>
    <n v="0"/>
    <n v="0"/>
    <n v="0"/>
    <n v="0"/>
  </r>
  <r>
    <x v="35"/>
    <x v="35"/>
    <m/>
    <x v="3"/>
    <m/>
    <x v="1"/>
    <m/>
    <m/>
    <s v="Distans"/>
    <m/>
    <m/>
    <n v="0.5"/>
    <x v="1"/>
    <m/>
    <m/>
    <n v="12"/>
    <n v="3"/>
    <n v="0.8"/>
    <n v="2.4000000000000004"/>
    <n v="1650"/>
    <x v="9"/>
    <s v="Hum"/>
    <x v="3"/>
    <n v="51362"/>
    <n v="59096"/>
    <n v="295916.40000000002"/>
    <n v="71500"/>
    <n v="214500"/>
    <n v="510416.4"/>
    <n v="1"/>
    <n v="0"/>
    <n v="0"/>
    <n v="0"/>
    <n v="0"/>
    <n v="0"/>
    <n v="0"/>
    <n v="0"/>
    <n v="0"/>
    <n v="0"/>
    <n v="0"/>
    <n v="0"/>
    <s v="Äskat/Beslutat 200611 p.39"/>
    <m/>
    <n v="3"/>
    <n v="2.4000000000000004"/>
    <n v="0"/>
    <n v="0"/>
    <n v="0"/>
    <n v="0"/>
    <n v="0"/>
    <n v="0"/>
    <n v="0"/>
    <n v="0"/>
    <n v="0"/>
    <n v="0"/>
    <n v="0"/>
    <n v="0"/>
    <n v="0"/>
    <n v="0"/>
    <n v="0"/>
    <n v="0"/>
    <n v="0"/>
    <n v="0"/>
    <n v="0"/>
    <n v="0"/>
    <n v="0"/>
    <n v="0"/>
  </r>
  <r>
    <x v="36"/>
    <x v="36"/>
    <n v="66310"/>
    <x v="7"/>
    <m/>
    <x v="0"/>
    <m/>
    <s v="Umeå"/>
    <s v="Normal"/>
    <s v="GRHF"/>
    <m/>
    <m/>
    <x v="1"/>
    <m/>
    <m/>
    <n v="12"/>
    <n v="3"/>
    <n v="0.85"/>
    <n v="2.5499999999999998"/>
    <n v="1650"/>
    <x v="9"/>
    <s v="Hum"/>
    <x v="7"/>
    <n v="25235"/>
    <n v="27976"/>
    <n v="147043.79999999999"/>
    <n v="3600"/>
    <n v="10800"/>
    <n v="157843.79999999999"/>
    <n v="0"/>
    <n v="0"/>
    <n v="0"/>
    <n v="0"/>
    <n v="0"/>
    <n v="0"/>
    <n v="0"/>
    <n v="0"/>
    <n v="1"/>
    <n v="0"/>
    <n v="0"/>
    <n v="0"/>
    <s v="Enl Fokus-Ladok 210601"/>
    <m/>
    <n v="0"/>
    <n v="0"/>
    <n v="0"/>
    <n v="0"/>
    <n v="0"/>
    <n v="0"/>
    <n v="0"/>
    <n v="0"/>
    <n v="0"/>
    <n v="0"/>
    <n v="0"/>
    <n v="0"/>
    <n v="0"/>
    <n v="0"/>
    <n v="0"/>
    <n v="0"/>
    <n v="3"/>
    <n v="2.5499999999999998"/>
    <n v="0"/>
    <n v="0"/>
    <n v="0"/>
    <n v="0"/>
    <n v="0"/>
    <n v="0"/>
  </r>
  <r>
    <x v="36"/>
    <x v="36"/>
    <n v="66310"/>
    <x v="7"/>
    <m/>
    <x v="0"/>
    <m/>
    <s v="Umeå"/>
    <s v="Normal"/>
    <m/>
    <m/>
    <m/>
    <x v="1"/>
    <m/>
    <m/>
    <n v="1"/>
    <n v="0.25"/>
    <n v="0.85"/>
    <n v="0.21249999999999999"/>
    <n v="1650"/>
    <x v="9"/>
    <s v="Hum"/>
    <x v="7"/>
    <n v="25235"/>
    <n v="27976"/>
    <n v="12253.65"/>
    <n v="3600"/>
    <n v="900"/>
    <n v="13153.65"/>
    <n v="0"/>
    <n v="0"/>
    <n v="0"/>
    <n v="0"/>
    <n v="0"/>
    <n v="0"/>
    <n v="0"/>
    <n v="0"/>
    <n v="1"/>
    <n v="0"/>
    <n v="0"/>
    <n v="0"/>
    <s v="Enl Fokus-Ladok 210601"/>
    <m/>
    <n v="0"/>
    <n v="0"/>
    <n v="0"/>
    <n v="0"/>
    <n v="0"/>
    <n v="0"/>
    <n v="0"/>
    <n v="0"/>
    <n v="0"/>
    <n v="0"/>
    <n v="0"/>
    <n v="0"/>
    <n v="0"/>
    <n v="0"/>
    <n v="0"/>
    <n v="0"/>
    <n v="0.25"/>
    <n v="0.21249999999999999"/>
    <n v="0"/>
    <n v="0"/>
    <n v="0"/>
    <n v="0"/>
    <n v="0"/>
    <n v="0"/>
  </r>
  <r>
    <x v="36"/>
    <x v="36"/>
    <n v="66310"/>
    <x v="8"/>
    <m/>
    <x v="0"/>
    <m/>
    <s v="Umeå"/>
    <s v="Normal"/>
    <s v="GYHF"/>
    <m/>
    <m/>
    <x v="1"/>
    <m/>
    <m/>
    <n v="4"/>
    <n v="1"/>
    <n v="0.85"/>
    <n v="0.85"/>
    <n v="1650"/>
    <x v="9"/>
    <s v="Hum"/>
    <x v="8"/>
    <n v="25235"/>
    <n v="27976"/>
    <n v="49014.6"/>
    <n v="3600"/>
    <n v="3600"/>
    <n v="52614.6"/>
    <n v="0"/>
    <n v="0"/>
    <n v="0"/>
    <n v="0"/>
    <n v="0"/>
    <n v="0"/>
    <n v="0"/>
    <n v="0"/>
    <n v="1"/>
    <n v="0"/>
    <n v="0"/>
    <n v="0"/>
    <s v="Enl Fokus-Ladok 210601"/>
    <m/>
    <n v="0"/>
    <n v="0"/>
    <n v="0"/>
    <n v="0"/>
    <n v="0"/>
    <n v="0"/>
    <n v="0"/>
    <n v="0"/>
    <n v="0"/>
    <n v="0"/>
    <n v="0"/>
    <n v="0"/>
    <n v="0"/>
    <n v="0"/>
    <n v="0"/>
    <n v="0"/>
    <n v="1"/>
    <n v="0.85"/>
    <n v="0"/>
    <n v="0"/>
    <n v="0"/>
    <n v="0"/>
    <n v="0"/>
    <n v="0"/>
  </r>
  <r>
    <x v="36"/>
    <x v="36"/>
    <n v="66310"/>
    <x v="9"/>
    <m/>
    <x v="0"/>
    <m/>
    <s v="Umeå"/>
    <s v="Normal"/>
    <m/>
    <m/>
    <m/>
    <x v="1"/>
    <m/>
    <m/>
    <n v="1"/>
    <n v="0.25"/>
    <n v="0.85"/>
    <n v="0.21249999999999999"/>
    <n v="1650"/>
    <x v="9"/>
    <s v="Hum"/>
    <x v="9"/>
    <n v="25235"/>
    <n v="27976"/>
    <n v="12253.65"/>
    <n v="3600"/>
    <n v="900"/>
    <n v="13153.65"/>
    <n v="0"/>
    <n v="0"/>
    <n v="0"/>
    <n v="0"/>
    <n v="0"/>
    <n v="0"/>
    <n v="0"/>
    <n v="0"/>
    <n v="1"/>
    <n v="0"/>
    <n v="0"/>
    <n v="0"/>
    <s v="Enl Fokus-Ladok 210601"/>
    <m/>
    <n v="0"/>
    <n v="0"/>
    <n v="0"/>
    <n v="0"/>
    <n v="0"/>
    <n v="0"/>
    <n v="0"/>
    <n v="0"/>
    <n v="0"/>
    <n v="0"/>
    <n v="0"/>
    <n v="0"/>
    <n v="0"/>
    <n v="0"/>
    <n v="0"/>
    <n v="0"/>
    <n v="0.25"/>
    <n v="0.21249999999999999"/>
    <n v="0"/>
    <n v="0"/>
    <n v="0"/>
    <n v="0"/>
    <n v="0"/>
    <n v="0"/>
  </r>
  <r>
    <x v="37"/>
    <x v="37"/>
    <m/>
    <x v="0"/>
    <s v="H19"/>
    <x v="1"/>
    <s v="H211-20"/>
    <s v="Umeå"/>
    <m/>
    <s v="MASH"/>
    <m/>
    <n v="0.5"/>
    <x v="1"/>
    <m/>
    <m/>
    <n v="1"/>
    <n v="0.25"/>
    <n v="0.85"/>
    <n v="0.21249999999999999"/>
    <n v="1650"/>
    <x v="9"/>
    <s v="Hum"/>
    <x v="0"/>
    <n v="25235"/>
    <n v="27976"/>
    <n v="12253.65"/>
    <n v="3600"/>
    <n v="900"/>
    <n v="13153.65"/>
    <n v="0"/>
    <n v="0"/>
    <n v="0"/>
    <n v="0"/>
    <n v="0"/>
    <n v="0"/>
    <n v="0"/>
    <n v="0"/>
    <n v="1"/>
    <n v="0"/>
    <n v="0"/>
    <n v="0"/>
    <s v="SP 210924"/>
    <m/>
    <n v="0"/>
    <n v="0"/>
    <n v="0"/>
    <n v="0"/>
    <n v="0"/>
    <n v="0"/>
    <n v="0"/>
    <n v="0"/>
    <n v="0"/>
    <n v="0"/>
    <n v="0"/>
    <n v="0"/>
    <n v="0"/>
    <n v="0"/>
    <n v="0"/>
    <n v="0"/>
    <n v="0.25"/>
    <n v="0.21249999999999999"/>
    <n v="0"/>
    <n v="0"/>
    <n v="0"/>
    <n v="0"/>
    <n v="0"/>
    <n v="0"/>
  </r>
  <r>
    <x v="37"/>
    <x v="37"/>
    <m/>
    <x v="7"/>
    <s v="H18"/>
    <x v="1"/>
    <s v="H211-20"/>
    <s v="Umeå"/>
    <s v="Campus"/>
    <s v="GRHF"/>
    <m/>
    <n v="0.5"/>
    <x v="1"/>
    <m/>
    <m/>
    <n v="1"/>
    <n v="0.25"/>
    <n v="0.85"/>
    <n v="0.21249999999999999"/>
    <n v="1650"/>
    <x v="9"/>
    <s v="Hum"/>
    <x v="7"/>
    <n v="25235"/>
    <n v="27976"/>
    <n v="12253.65"/>
    <n v="3600"/>
    <n v="900"/>
    <n v="13153.65"/>
    <n v="0"/>
    <n v="0"/>
    <n v="0"/>
    <n v="0"/>
    <n v="0"/>
    <n v="0"/>
    <n v="0"/>
    <n v="0"/>
    <n v="1"/>
    <n v="0"/>
    <n v="0"/>
    <n v="0"/>
    <s v="SP 210920"/>
    <m/>
    <n v="0"/>
    <n v="0"/>
    <n v="0"/>
    <n v="0"/>
    <n v="0"/>
    <n v="0"/>
    <n v="0"/>
    <n v="0"/>
    <n v="0"/>
    <n v="0"/>
    <n v="0"/>
    <n v="0"/>
    <n v="0"/>
    <n v="0"/>
    <n v="0"/>
    <n v="0"/>
    <n v="0.25"/>
    <n v="0.21249999999999999"/>
    <n v="0"/>
    <n v="0"/>
    <n v="0"/>
    <n v="0"/>
    <n v="0"/>
    <n v="0"/>
  </r>
  <r>
    <x v="37"/>
    <x v="37"/>
    <m/>
    <x v="7"/>
    <s v="H19"/>
    <x v="1"/>
    <s v="H211-20"/>
    <s v="Umeå"/>
    <s v="Campus"/>
    <s v="GRHF"/>
    <m/>
    <n v="0.5"/>
    <x v="1"/>
    <m/>
    <m/>
    <n v="12"/>
    <n v="3"/>
    <n v="0.85"/>
    <n v="2.5499999999999998"/>
    <n v="1650"/>
    <x v="9"/>
    <s v="Hum"/>
    <x v="7"/>
    <n v="25235"/>
    <n v="27976"/>
    <n v="147043.79999999999"/>
    <n v="3600"/>
    <n v="10800"/>
    <n v="157843.79999999999"/>
    <n v="0"/>
    <n v="0"/>
    <n v="0"/>
    <n v="0"/>
    <n v="0"/>
    <n v="0"/>
    <n v="0"/>
    <n v="0"/>
    <n v="1"/>
    <n v="0"/>
    <n v="0"/>
    <n v="0"/>
    <s v="SP 210920"/>
    <m/>
    <n v="0"/>
    <n v="0"/>
    <n v="0"/>
    <n v="0"/>
    <n v="0"/>
    <n v="0"/>
    <n v="0"/>
    <n v="0"/>
    <n v="0"/>
    <n v="0"/>
    <n v="0"/>
    <n v="0"/>
    <n v="0"/>
    <n v="0"/>
    <n v="0"/>
    <n v="0"/>
    <n v="3"/>
    <n v="2.5499999999999998"/>
    <n v="0"/>
    <n v="0"/>
    <n v="0"/>
    <n v="0"/>
    <n v="0"/>
    <n v="0"/>
  </r>
  <r>
    <x v="37"/>
    <x v="37"/>
    <m/>
    <x v="8"/>
    <s v="H17"/>
    <x v="1"/>
    <s v="H211-20"/>
    <s v="Umeå"/>
    <s v="Campus"/>
    <s v="GYHF"/>
    <m/>
    <n v="0.5"/>
    <x v="1"/>
    <m/>
    <m/>
    <n v="1"/>
    <n v="0.25"/>
    <n v="0.85"/>
    <n v="0.21249999999999999"/>
    <n v="1650"/>
    <x v="9"/>
    <s v="Hum"/>
    <x v="8"/>
    <n v="25235"/>
    <n v="27976"/>
    <n v="12253.65"/>
    <n v="3600"/>
    <n v="900"/>
    <n v="13153.65"/>
    <n v="0"/>
    <n v="0"/>
    <n v="0"/>
    <n v="0"/>
    <n v="0"/>
    <n v="0"/>
    <n v="0"/>
    <n v="0"/>
    <n v="1"/>
    <n v="0"/>
    <n v="0"/>
    <n v="0"/>
    <s v="SP 210920"/>
    <m/>
    <n v="0"/>
    <n v="0"/>
    <n v="0"/>
    <n v="0"/>
    <n v="0"/>
    <n v="0"/>
    <n v="0"/>
    <n v="0"/>
    <n v="0"/>
    <n v="0"/>
    <n v="0"/>
    <n v="0"/>
    <n v="0"/>
    <n v="0"/>
    <n v="0"/>
    <n v="0"/>
    <n v="0.25"/>
    <n v="0.21249999999999999"/>
    <n v="0"/>
    <n v="0"/>
    <n v="0"/>
    <n v="0"/>
    <n v="0"/>
    <n v="0"/>
  </r>
  <r>
    <x v="37"/>
    <x v="37"/>
    <m/>
    <x v="8"/>
    <s v="H19"/>
    <x v="1"/>
    <s v="H211-20"/>
    <s v="Umeå"/>
    <s v="Campus"/>
    <s v="GYHF"/>
    <m/>
    <n v="0.5"/>
    <x v="1"/>
    <m/>
    <m/>
    <n v="3"/>
    <n v="0.75"/>
    <n v="0.85"/>
    <n v="0.63749999999999996"/>
    <n v="1650"/>
    <x v="9"/>
    <s v="Hum"/>
    <x v="8"/>
    <n v="25235"/>
    <n v="27976"/>
    <n v="36760.949999999997"/>
    <n v="3600"/>
    <n v="2700"/>
    <n v="39460.949999999997"/>
    <n v="0"/>
    <n v="0"/>
    <n v="0"/>
    <n v="0"/>
    <n v="0"/>
    <n v="0"/>
    <n v="0"/>
    <n v="0"/>
    <n v="1"/>
    <n v="0"/>
    <n v="0"/>
    <n v="0"/>
    <s v="SP 210920"/>
    <m/>
    <n v="0"/>
    <n v="0"/>
    <n v="0"/>
    <n v="0"/>
    <n v="0"/>
    <n v="0"/>
    <n v="0"/>
    <n v="0"/>
    <n v="0"/>
    <n v="0"/>
    <n v="0"/>
    <n v="0"/>
    <n v="0"/>
    <n v="0"/>
    <n v="0"/>
    <n v="0"/>
    <n v="0.75"/>
    <n v="0.63749999999999996"/>
    <n v="0"/>
    <n v="0"/>
    <n v="0"/>
    <n v="0"/>
    <n v="0"/>
    <n v="0"/>
  </r>
  <r>
    <x v="38"/>
    <x v="38"/>
    <n v="66312"/>
    <x v="10"/>
    <m/>
    <x v="0"/>
    <m/>
    <s v="Umeå"/>
    <s v="Normal"/>
    <m/>
    <m/>
    <m/>
    <x v="1"/>
    <m/>
    <m/>
    <n v="1"/>
    <n v="0.25"/>
    <n v="0.85"/>
    <n v="0.21249999999999999"/>
    <n v="1650"/>
    <x v="9"/>
    <s v="Hum"/>
    <x v="10"/>
    <n v="26554"/>
    <n v="33465"/>
    <n v="13749.8125"/>
    <n v="6000"/>
    <n v="1500"/>
    <n v="15249.8125"/>
    <n v="0"/>
    <n v="0"/>
    <n v="0"/>
    <n v="1"/>
    <n v="0"/>
    <n v="0"/>
    <n v="0"/>
    <n v="0"/>
    <n v="0"/>
    <n v="0"/>
    <n v="0"/>
    <n v="0"/>
    <s v="Enl Fokus-Ladok 210601"/>
    <m/>
    <n v="0"/>
    <n v="0"/>
    <n v="0"/>
    <n v="0"/>
    <n v="0"/>
    <n v="0"/>
    <n v="0.25"/>
    <n v="0.21249999999999999"/>
    <n v="0"/>
    <n v="0"/>
    <n v="0"/>
    <n v="0"/>
    <n v="0"/>
    <n v="0"/>
    <n v="0"/>
    <n v="0"/>
    <n v="0"/>
    <n v="0"/>
    <n v="0"/>
    <n v="0"/>
    <n v="0"/>
    <n v="0"/>
    <n v="0"/>
    <n v="0"/>
  </r>
  <r>
    <x v="38"/>
    <x v="38"/>
    <n v="66312"/>
    <x v="7"/>
    <m/>
    <x v="0"/>
    <m/>
    <s v="Umeå"/>
    <s v="Normal"/>
    <s v="GRHF"/>
    <m/>
    <m/>
    <x v="1"/>
    <m/>
    <m/>
    <n v="13"/>
    <n v="3.25"/>
    <n v="0.85"/>
    <n v="2.7624999999999997"/>
    <n v="1650"/>
    <x v="9"/>
    <s v="Hum"/>
    <x v="7"/>
    <n v="26554"/>
    <n v="33465"/>
    <n v="178747.5625"/>
    <n v="6000"/>
    <n v="19500"/>
    <n v="198247.5625"/>
    <n v="0"/>
    <n v="0"/>
    <n v="0"/>
    <n v="1"/>
    <n v="0"/>
    <n v="0"/>
    <n v="0"/>
    <n v="0"/>
    <n v="0"/>
    <n v="0"/>
    <n v="0"/>
    <n v="0"/>
    <s v="Enl Fokus-Ladok 210601"/>
    <m/>
    <n v="0"/>
    <n v="0"/>
    <n v="0"/>
    <n v="0"/>
    <n v="0"/>
    <n v="0"/>
    <n v="3.25"/>
    <n v="2.7624999999999997"/>
    <n v="0"/>
    <n v="0"/>
    <n v="0"/>
    <n v="0"/>
    <n v="0"/>
    <n v="0"/>
    <n v="0"/>
    <n v="0"/>
    <n v="0"/>
    <n v="0"/>
    <n v="0"/>
    <n v="0"/>
    <n v="0"/>
    <n v="0"/>
    <n v="0"/>
    <n v="0"/>
  </r>
  <r>
    <x v="38"/>
    <x v="38"/>
    <n v="66312"/>
    <x v="8"/>
    <m/>
    <x v="0"/>
    <m/>
    <s v="Umeå"/>
    <s v="Normal"/>
    <s v="GYHF"/>
    <m/>
    <m/>
    <x v="1"/>
    <m/>
    <m/>
    <n v="8"/>
    <n v="2"/>
    <n v="0.85"/>
    <n v="1.7"/>
    <n v="1650"/>
    <x v="9"/>
    <s v="Hum"/>
    <x v="8"/>
    <n v="26554"/>
    <n v="33465"/>
    <n v="109998.5"/>
    <n v="6000"/>
    <n v="12000"/>
    <n v="121998.5"/>
    <n v="0"/>
    <n v="0"/>
    <n v="0"/>
    <n v="1"/>
    <n v="0"/>
    <n v="0"/>
    <n v="0"/>
    <n v="0"/>
    <n v="0"/>
    <n v="0"/>
    <n v="0"/>
    <n v="0"/>
    <s v="Enl Fokus-Ladok 210601"/>
    <m/>
    <n v="0"/>
    <n v="0"/>
    <n v="0"/>
    <n v="0"/>
    <n v="0"/>
    <n v="0"/>
    <n v="2"/>
    <n v="1.7"/>
    <n v="0"/>
    <n v="0"/>
    <n v="0"/>
    <n v="0"/>
    <n v="0"/>
    <n v="0"/>
    <n v="0"/>
    <n v="0"/>
    <n v="0"/>
    <n v="0"/>
    <n v="0"/>
    <n v="0"/>
    <n v="0"/>
    <n v="0"/>
    <n v="0"/>
    <n v="0"/>
  </r>
  <r>
    <x v="38"/>
    <x v="38"/>
    <n v="66312"/>
    <x v="8"/>
    <m/>
    <x v="0"/>
    <m/>
    <s v="Umeå"/>
    <s v="Normal"/>
    <m/>
    <m/>
    <m/>
    <x v="1"/>
    <m/>
    <m/>
    <n v="1"/>
    <n v="0.25"/>
    <n v="0.85"/>
    <n v="0.21249999999999999"/>
    <n v="1650"/>
    <x v="9"/>
    <s v="Hum"/>
    <x v="8"/>
    <n v="26554"/>
    <n v="33465"/>
    <n v="13749.8125"/>
    <n v="6000"/>
    <n v="1500"/>
    <n v="15249.8125"/>
    <n v="0"/>
    <n v="0"/>
    <n v="0"/>
    <n v="1"/>
    <n v="0"/>
    <n v="0"/>
    <n v="0"/>
    <n v="0"/>
    <n v="0"/>
    <n v="0"/>
    <n v="0"/>
    <n v="0"/>
    <s v="Enl Fokus-Ladok 210601"/>
    <m/>
    <n v="0"/>
    <n v="0"/>
    <n v="0"/>
    <n v="0"/>
    <n v="0"/>
    <n v="0"/>
    <n v="0.25"/>
    <n v="0.21249999999999999"/>
    <n v="0"/>
    <n v="0"/>
    <n v="0"/>
    <n v="0"/>
    <n v="0"/>
    <n v="0"/>
    <n v="0"/>
    <n v="0"/>
    <n v="0"/>
    <n v="0"/>
    <n v="0"/>
    <n v="0"/>
    <n v="0"/>
    <n v="0"/>
    <n v="0"/>
    <n v="0"/>
  </r>
  <r>
    <x v="39"/>
    <x v="39"/>
    <m/>
    <x v="3"/>
    <m/>
    <x v="1"/>
    <m/>
    <m/>
    <s v="Campus"/>
    <m/>
    <m/>
    <n v="1"/>
    <x v="3"/>
    <m/>
    <m/>
    <n v="3"/>
    <n v="1.5"/>
    <n v="0.8"/>
    <n v="1.2000000000000002"/>
    <n v="1650"/>
    <x v="9"/>
    <s v="Hum"/>
    <x v="3"/>
    <n v="51362"/>
    <n v="59096"/>
    <n v="147958.20000000001"/>
    <n v="71500"/>
    <n v="107250"/>
    <n v="255208.2"/>
    <n v="1"/>
    <n v="0"/>
    <n v="0"/>
    <n v="0"/>
    <n v="0"/>
    <n v="0"/>
    <n v="0"/>
    <n v="0"/>
    <n v="0"/>
    <n v="0"/>
    <n v="0"/>
    <n v="0"/>
    <s v="Äskat/Beslutat 200611 p.39"/>
    <m/>
    <n v="1.5"/>
    <n v="1.2000000000000002"/>
    <n v="0"/>
    <n v="0"/>
    <n v="0"/>
    <n v="0"/>
    <n v="0"/>
    <n v="0"/>
    <n v="0"/>
    <n v="0"/>
    <n v="0"/>
    <n v="0"/>
    <n v="0"/>
    <n v="0"/>
    <n v="0"/>
    <n v="0"/>
    <n v="0"/>
    <n v="0"/>
    <n v="0"/>
    <n v="0"/>
    <n v="0"/>
    <n v="0"/>
    <n v="0"/>
    <n v="0"/>
  </r>
  <r>
    <x v="40"/>
    <x v="40"/>
    <m/>
    <x v="3"/>
    <m/>
    <x v="1"/>
    <m/>
    <m/>
    <s v="Distans"/>
    <m/>
    <m/>
    <n v="0.25"/>
    <x v="0"/>
    <m/>
    <m/>
    <n v="5"/>
    <n v="0.625"/>
    <n v="0.8"/>
    <n v="0.5"/>
    <n v="1650"/>
    <x v="9"/>
    <s v="Hum"/>
    <x v="3"/>
    <n v="20766"/>
    <n v="17442"/>
    <n v="21699.75"/>
    <n v="6000"/>
    <n v="3750"/>
    <n v="25449.75"/>
    <n v="0"/>
    <n v="1"/>
    <n v="0"/>
    <n v="0"/>
    <n v="0"/>
    <n v="0"/>
    <n v="0"/>
    <n v="0"/>
    <n v="0"/>
    <n v="0"/>
    <n v="0"/>
    <n v="0"/>
    <s v="Äskat/Beslutat 200611 p.39"/>
    <m/>
    <n v="0"/>
    <n v="0"/>
    <n v="0.625"/>
    <n v="0.5"/>
    <n v="0"/>
    <n v="0"/>
    <n v="0"/>
    <n v="0"/>
    <n v="0"/>
    <n v="0"/>
    <n v="0"/>
    <n v="0"/>
    <n v="0"/>
    <n v="0"/>
    <n v="0"/>
    <n v="0"/>
    <n v="0"/>
    <n v="0"/>
    <n v="0"/>
    <n v="0"/>
    <n v="0"/>
    <n v="0"/>
    <n v="0"/>
    <n v="0"/>
  </r>
  <r>
    <x v="41"/>
    <x v="41"/>
    <n v="66311"/>
    <x v="11"/>
    <m/>
    <x v="0"/>
    <m/>
    <s v="Umeå"/>
    <s v="Normal"/>
    <m/>
    <m/>
    <m/>
    <x v="0"/>
    <m/>
    <m/>
    <n v="22"/>
    <n v="2.75"/>
    <n v="0.85"/>
    <n v="2.3374999999999999"/>
    <n v="1650"/>
    <x v="9"/>
    <s v="Hum"/>
    <x v="11"/>
    <n v="16920"/>
    <n v="27913"/>
    <n v="111776.6375"/>
    <n v="17900"/>
    <n v="49225"/>
    <n v="161001.63750000001"/>
    <n v="0"/>
    <n v="0"/>
    <n v="0"/>
    <n v="0"/>
    <n v="0"/>
    <n v="0"/>
    <n v="0"/>
    <n v="0"/>
    <n v="0"/>
    <n v="0"/>
    <n v="1"/>
    <n v="0"/>
    <s v="Enl Fokus-Ladok 210601"/>
    <m/>
    <n v="0"/>
    <n v="0"/>
    <n v="0"/>
    <n v="0"/>
    <n v="0"/>
    <n v="0"/>
    <n v="0"/>
    <n v="0"/>
    <n v="0"/>
    <n v="0"/>
    <n v="0"/>
    <n v="0"/>
    <n v="0"/>
    <n v="0"/>
    <n v="0"/>
    <n v="0"/>
    <n v="0"/>
    <n v="0"/>
    <n v="0"/>
    <n v="0"/>
    <n v="2.75"/>
    <n v="2.3374999999999999"/>
    <n v="0"/>
    <n v="0"/>
  </r>
  <r>
    <x v="42"/>
    <x v="42"/>
    <m/>
    <x v="12"/>
    <s v="H20"/>
    <x v="1"/>
    <s v="H2111-20"/>
    <s v="Umeå"/>
    <s v="Campus"/>
    <m/>
    <m/>
    <n v="1"/>
    <x v="1"/>
    <m/>
    <m/>
    <n v="11"/>
    <n v="2.75"/>
    <n v="0.85"/>
    <n v="2.3374999999999999"/>
    <n v="1650"/>
    <x v="9"/>
    <s v="Hum"/>
    <x v="12"/>
    <n v="16920"/>
    <n v="27913"/>
    <n v="111776.6375"/>
    <n v="17900"/>
    <n v="49225"/>
    <n v="161001.63750000001"/>
    <n v="0"/>
    <n v="0"/>
    <n v="0"/>
    <n v="0"/>
    <n v="0"/>
    <n v="0"/>
    <n v="0"/>
    <n v="0"/>
    <n v="0"/>
    <n v="0"/>
    <n v="1"/>
    <n v="0"/>
    <s v="SP 210923"/>
    <m/>
    <n v="0"/>
    <n v="0"/>
    <n v="0"/>
    <n v="0"/>
    <n v="0"/>
    <n v="0"/>
    <n v="0"/>
    <n v="0"/>
    <n v="0"/>
    <n v="0"/>
    <n v="0"/>
    <n v="0"/>
    <n v="0"/>
    <n v="0"/>
    <n v="0"/>
    <n v="0"/>
    <n v="0"/>
    <n v="0"/>
    <n v="0"/>
    <n v="0"/>
    <n v="2.75"/>
    <n v="2.3374999999999999"/>
    <n v="0"/>
    <n v="0"/>
  </r>
  <r>
    <x v="43"/>
    <x v="43"/>
    <m/>
    <x v="12"/>
    <s v="H19"/>
    <x v="1"/>
    <s v="H211-10"/>
    <s v="Umeå"/>
    <s v="Campus"/>
    <m/>
    <m/>
    <n v="1"/>
    <x v="1"/>
    <m/>
    <m/>
    <n v="5"/>
    <n v="1.25"/>
    <n v="0.85"/>
    <n v="1.0625"/>
    <n v="1650"/>
    <x v="9"/>
    <s v="Hum"/>
    <x v="12"/>
    <n v="16920"/>
    <n v="27913"/>
    <n v="50807.5625"/>
    <n v="17900"/>
    <n v="22375"/>
    <n v="73182.5625"/>
    <n v="0"/>
    <n v="0"/>
    <n v="0"/>
    <n v="0"/>
    <n v="0"/>
    <n v="0"/>
    <n v="0"/>
    <n v="0"/>
    <n v="0"/>
    <n v="0"/>
    <n v="1"/>
    <n v="0"/>
    <s v="SP 210923"/>
    <m/>
    <n v="0"/>
    <n v="0"/>
    <n v="0"/>
    <n v="0"/>
    <n v="0"/>
    <n v="0"/>
    <n v="0"/>
    <n v="0"/>
    <n v="0"/>
    <n v="0"/>
    <n v="0"/>
    <n v="0"/>
    <n v="0"/>
    <n v="0"/>
    <n v="0"/>
    <n v="0"/>
    <n v="0"/>
    <n v="0"/>
    <n v="0"/>
    <n v="0"/>
    <n v="1.25"/>
    <n v="1.0625"/>
    <n v="0"/>
    <n v="0"/>
  </r>
  <r>
    <x v="44"/>
    <x v="44"/>
    <m/>
    <x v="12"/>
    <s v="H19"/>
    <x v="1"/>
    <s v="H2111-12"/>
    <s v="Umeå"/>
    <s v="Campus"/>
    <m/>
    <m/>
    <n v="1"/>
    <x v="5"/>
    <m/>
    <m/>
    <n v="5"/>
    <n v="0.20833333333333331"/>
    <n v="0.85"/>
    <n v="0.17708333333333331"/>
    <n v="1650"/>
    <x v="9"/>
    <s v="Hum"/>
    <x v="12"/>
    <n v="25235"/>
    <n v="27976"/>
    <n v="10211.375"/>
    <n v="3600"/>
    <n v="749.99999999999989"/>
    <n v="10961.375"/>
    <n v="0"/>
    <n v="0"/>
    <n v="0"/>
    <n v="0"/>
    <n v="0"/>
    <n v="0"/>
    <n v="0"/>
    <n v="0"/>
    <n v="1"/>
    <n v="0"/>
    <n v="0"/>
    <n v="0"/>
    <s v="SP 210923"/>
    <m/>
    <n v="0"/>
    <n v="0"/>
    <n v="0"/>
    <n v="0"/>
    <n v="0"/>
    <n v="0"/>
    <n v="0"/>
    <n v="0"/>
    <n v="0"/>
    <n v="0"/>
    <n v="0"/>
    <n v="0"/>
    <n v="0"/>
    <n v="0"/>
    <n v="0"/>
    <n v="0"/>
    <n v="0.20833333333333331"/>
    <n v="0.17708333333333331"/>
    <n v="0"/>
    <n v="0"/>
    <n v="0"/>
    <n v="0"/>
    <n v="0"/>
    <n v="0"/>
  </r>
  <r>
    <x v="45"/>
    <x v="45"/>
    <n v="66221"/>
    <x v="3"/>
    <m/>
    <x v="0"/>
    <m/>
    <s v="Umeå"/>
    <s v="Distans"/>
    <m/>
    <m/>
    <m/>
    <x v="1"/>
    <m/>
    <m/>
    <n v="19"/>
    <n v="4.75"/>
    <n v="0.8"/>
    <n v="3.8000000000000003"/>
    <n v="1650"/>
    <x v="9"/>
    <s v="Hum"/>
    <x v="3"/>
    <n v="51362"/>
    <n v="59096"/>
    <n v="468534.30000000005"/>
    <n v="71500"/>
    <n v="339625"/>
    <n v="808159.3"/>
    <n v="1"/>
    <n v="0"/>
    <n v="0"/>
    <n v="0"/>
    <n v="0"/>
    <n v="0"/>
    <n v="0"/>
    <n v="0"/>
    <n v="0"/>
    <n v="0"/>
    <n v="0"/>
    <n v="0"/>
    <s v="Enl Fokus-Ladok 210601"/>
    <s v="Läser 15 av 30 hp denna termin"/>
    <n v="4.75"/>
    <n v="3.8000000000000003"/>
    <n v="0"/>
    <n v="0"/>
    <n v="0"/>
    <n v="0"/>
    <n v="0"/>
    <n v="0"/>
    <n v="0"/>
    <n v="0"/>
    <n v="0"/>
    <n v="0"/>
    <n v="0"/>
    <n v="0"/>
    <n v="0"/>
    <n v="0"/>
    <n v="0"/>
    <n v="0"/>
    <n v="0"/>
    <n v="0"/>
    <n v="0"/>
    <n v="0"/>
    <n v="0"/>
    <n v="0"/>
  </r>
  <r>
    <x v="45"/>
    <x v="45"/>
    <m/>
    <x v="3"/>
    <m/>
    <x v="1"/>
    <m/>
    <m/>
    <s v="Distans"/>
    <m/>
    <m/>
    <n v="0.5"/>
    <x v="1"/>
    <m/>
    <m/>
    <n v="15"/>
    <n v="3.75"/>
    <n v="0.8"/>
    <n v="3"/>
    <n v="1650"/>
    <x v="9"/>
    <s v="Hum"/>
    <x v="3"/>
    <n v="51362"/>
    <n v="59096"/>
    <n v="369895.5"/>
    <n v="71500"/>
    <n v="268125"/>
    <n v="638020.5"/>
    <n v="1"/>
    <n v="0"/>
    <n v="0"/>
    <n v="0"/>
    <n v="0"/>
    <n v="0"/>
    <n v="0"/>
    <n v="0"/>
    <n v="0"/>
    <n v="0"/>
    <n v="0"/>
    <n v="0"/>
    <s v="Äskat/Beslutat 200611 p.39"/>
    <s v="Läser 15 av 30 hp denna termin"/>
    <n v="3.75"/>
    <n v="3"/>
    <n v="0"/>
    <n v="0"/>
    <n v="0"/>
    <n v="0"/>
    <n v="0"/>
    <n v="0"/>
    <n v="0"/>
    <n v="0"/>
    <n v="0"/>
    <n v="0"/>
    <n v="0"/>
    <n v="0"/>
    <n v="0"/>
    <n v="0"/>
    <n v="0"/>
    <n v="0"/>
    <n v="0"/>
    <n v="0"/>
    <n v="0"/>
    <n v="0"/>
    <n v="0"/>
    <n v="0"/>
  </r>
  <r>
    <x v="46"/>
    <x v="46"/>
    <n v="66319"/>
    <x v="3"/>
    <m/>
    <x v="0"/>
    <m/>
    <s v="Umeå"/>
    <s v="Distans"/>
    <m/>
    <m/>
    <m/>
    <x v="1"/>
    <m/>
    <m/>
    <n v="6"/>
    <n v="1.5"/>
    <n v="0.8"/>
    <n v="1.2000000000000002"/>
    <n v="1650"/>
    <x v="9"/>
    <s v="Hum"/>
    <x v="3"/>
    <n v="51362"/>
    <n v="59096"/>
    <n v="147958.20000000001"/>
    <n v="71500"/>
    <n v="107250"/>
    <n v="255208.2"/>
    <n v="1"/>
    <n v="0"/>
    <n v="0"/>
    <n v="0"/>
    <n v="0"/>
    <n v="0"/>
    <n v="0"/>
    <n v="0"/>
    <n v="0"/>
    <n v="0"/>
    <n v="0"/>
    <n v="0"/>
    <s v="Enl Fokus-Ladok 210601"/>
    <m/>
    <n v="1.5"/>
    <n v="1.2000000000000002"/>
    <n v="0"/>
    <n v="0"/>
    <n v="0"/>
    <n v="0"/>
    <n v="0"/>
    <n v="0"/>
    <n v="0"/>
    <n v="0"/>
    <n v="0"/>
    <n v="0"/>
    <n v="0"/>
    <n v="0"/>
    <n v="0"/>
    <n v="0"/>
    <n v="0"/>
    <n v="0"/>
    <n v="0"/>
    <n v="0"/>
    <n v="0"/>
    <n v="0"/>
    <n v="0"/>
    <n v="0"/>
  </r>
  <r>
    <x v="47"/>
    <x v="47"/>
    <m/>
    <x v="0"/>
    <s v="H17"/>
    <x v="1"/>
    <s v="H211-10"/>
    <s v="Umeå"/>
    <m/>
    <s v="ENGS"/>
    <m/>
    <n v="1"/>
    <x v="1"/>
    <m/>
    <m/>
    <n v="1"/>
    <n v="0.25"/>
    <n v="0.85"/>
    <n v="0.21249999999999999"/>
    <n v="1650"/>
    <x v="9"/>
    <s v="Hum"/>
    <x v="0"/>
    <n v="51362"/>
    <n v="59096"/>
    <n v="25398.400000000001"/>
    <n v="71500"/>
    <n v="17875"/>
    <n v="43273.4"/>
    <n v="1"/>
    <n v="0"/>
    <n v="0"/>
    <n v="0"/>
    <n v="0"/>
    <n v="0"/>
    <n v="0"/>
    <n v="0"/>
    <n v="0"/>
    <n v="0"/>
    <n v="0"/>
    <n v="0"/>
    <s v="SP 210924"/>
    <m/>
    <n v="0.25"/>
    <n v="0.21249999999999999"/>
    <n v="0"/>
    <n v="0"/>
    <n v="0"/>
    <n v="0"/>
    <n v="0"/>
    <n v="0"/>
    <n v="0"/>
    <n v="0"/>
    <n v="0"/>
    <n v="0"/>
    <n v="0"/>
    <n v="0"/>
    <n v="0"/>
    <n v="0"/>
    <n v="0"/>
    <n v="0"/>
    <n v="0"/>
    <n v="0"/>
    <n v="0"/>
    <n v="0"/>
    <n v="0"/>
    <n v="0"/>
  </r>
  <r>
    <x v="47"/>
    <x v="47"/>
    <m/>
    <x v="0"/>
    <s v="H18"/>
    <x v="1"/>
    <s v="H211-10"/>
    <s v="Umeå"/>
    <m/>
    <s v="ENGS"/>
    <m/>
    <n v="1"/>
    <x v="1"/>
    <m/>
    <m/>
    <n v="1"/>
    <n v="0.25"/>
    <n v="0.85"/>
    <n v="0.21249999999999999"/>
    <n v="1650"/>
    <x v="9"/>
    <s v="Hum"/>
    <x v="0"/>
    <n v="51362"/>
    <n v="59096"/>
    <n v="25398.400000000001"/>
    <n v="71500"/>
    <n v="17875"/>
    <n v="43273.4"/>
    <n v="1"/>
    <n v="0"/>
    <n v="0"/>
    <n v="0"/>
    <n v="0"/>
    <n v="0"/>
    <n v="0"/>
    <n v="0"/>
    <n v="0"/>
    <n v="0"/>
    <n v="0"/>
    <n v="0"/>
    <s v="SP 210924"/>
    <m/>
    <n v="0.25"/>
    <n v="0.21249999999999999"/>
    <n v="0"/>
    <n v="0"/>
    <n v="0"/>
    <n v="0"/>
    <n v="0"/>
    <n v="0"/>
    <n v="0"/>
    <n v="0"/>
    <n v="0"/>
    <n v="0"/>
    <n v="0"/>
    <n v="0"/>
    <n v="0"/>
    <n v="0"/>
    <n v="0"/>
    <n v="0"/>
    <n v="0"/>
    <n v="0"/>
    <n v="0"/>
    <n v="0"/>
    <n v="0"/>
    <n v="0"/>
  </r>
  <r>
    <x v="47"/>
    <x v="47"/>
    <m/>
    <x v="0"/>
    <s v="H18"/>
    <x v="1"/>
    <s v="H211-10"/>
    <s v="Umeå"/>
    <m/>
    <s v="HIST"/>
    <m/>
    <n v="1"/>
    <x v="1"/>
    <m/>
    <m/>
    <n v="1"/>
    <n v="0.25"/>
    <n v="0.85"/>
    <n v="0.21249999999999999"/>
    <n v="1650"/>
    <x v="9"/>
    <s v="Hum"/>
    <x v="0"/>
    <n v="51362"/>
    <n v="59096"/>
    <n v="25398.400000000001"/>
    <n v="71500"/>
    <n v="17875"/>
    <n v="43273.4"/>
    <n v="1"/>
    <n v="0"/>
    <n v="0"/>
    <n v="0"/>
    <n v="0"/>
    <n v="0"/>
    <n v="0"/>
    <n v="0"/>
    <n v="0"/>
    <n v="0"/>
    <n v="0"/>
    <n v="0"/>
    <s v="SP 210924"/>
    <m/>
    <n v="0.25"/>
    <n v="0.21249999999999999"/>
    <n v="0"/>
    <n v="0"/>
    <n v="0"/>
    <n v="0"/>
    <n v="0"/>
    <n v="0"/>
    <n v="0"/>
    <n v="0"/>
    <n v="0"/>
    <n v="0"/>
    <n v="0"/>
    <n v="0"/>
    <n v="0"/>
    <n v="0"/>
    <n v="0"/>
    <n v="0"/>
    <n v="0"/>
    <n v="0"/>
    <n v="0"/>
    <n v="0"/>
    <n v="0"/>
    <n v="0"/>
  </r>
  <r>
    <x v="47"/>
    <x v="47"/>
    <m/>
    <x v="0"/>
    <s v="H18"/>
    <x v="1"/>
    <s v="H211-10"/>
    <s v="Umeå"/>
    <m/>
    <s v="RELK"/>
    <m/>
    <n v="1"/>
    <x v="1"/>
    <m/>
    <m/>
    <n v="1"/>
    <n v="0.25"/>
    <n v="0.85"/>
    <n v="0.21249999999999999"/>
    <n v="1650"/>
    <x v="9"/>
    <s v="Hum"/>
    <x v="0"/>
    <n v="51362"/>
    <n v="59096"/>
    <n v="25398.400000000001"/>
    <n v="71500"/>
    <n v="17875"/>
    <n v="43273.4"/>
    <n v="1"/>
    <n v="0"/>
    <n v="0"/>
    <n v="0"/>
    <n v="0"/>
    <n v="0"/>
    <n v="0"/>
    <n v="0"/>
    <n v="0"/>
    <n v="0"/>
    <n v="0"/>
    <n v="0"/>
    <s v="SP 210924"/>
    <m/>
    <n v="0.25"/>
    <n v="0.21249999999999999"/>
    <n v="0"/>
    <n v="0"/>
    <n v="0"/>
    <n v="0"/>
    <n v="0"/>
    <n v="0"/>
    <n v="0"/>
    <n v="0"/>
    <n v="0"/>
    <n v="0"/>
    <n v="0"/>
    <n v="0"/>
    <n v="0"/>
    <n v="0"/>
    <n v="0"/>
    <n v="0"/>
    <n v="0"/>
    <n v="0"/>
    <n v="0"/>
    <n v="0"/>
    <n v="0"/>
    <n v="0"/>
  </r>
  <r>
    <x v="47"/>
    <x v="47"/>
    <m/>
    <x v="0"/>
    <s v="H20"/>
    <x v="1"/>
    <s v="H211-10"/>
    <s v="Umeå"/>
    <m/>
    <s v="BILÄ"/>
    <m/>
    <n v="1"/>
    <x v="1"/>
    <m/>
    <m/>
    <n v="6"/>
    <n v="1.5"/>
    <n v="0.85"/>
    <n v="1.2749999999999999"/>
    <n v="1650"/>
    <x v="9"/>
    <s v="Hum"/>
    <x v="0"/>
    <n v="51362"/>
    <n v="59096"/>
    <n v="152390.39999999999"/>
    <n v="71500"/>
    <n v="107250"/>
    <n v="259640.4"/>
    <n v="1"/>
    <n v="0"/>
    <n v="0"/>
    <n v="0"/>
    <n v="0"/>
    <n v="0"/>
    <n v="0"/>
    <n v="0"/>
    <n v="0"/>
    <n v="0"/>
    <n v="0"/>
    <n v="0"/>
    <s v="SP 210924"/>
    <m/>
    <n v="1.5"/>
    <n v="1.2749999999999999"/>
    <n v="0"/>
    <n v="0"/>
    <n v="0"/>
    <n v="0"/>
    <n v="0"/>
    <n v="0"/>
    <n v="0"/>
    <n v="0"/>
    <n v="0"/>
    <n v="0"/>
    <n v="0"/>
    <n v="0"/>
    <n v="0"/>
    <n v="0"/>
    <n v="0"/>
    <n v="0"/>
    <n v="0"/>
    <n v="0"/>
    <n v="0"/>
    <n v="0"/>
    <n v="0"/>
    <n v="0"/>
  </r>
  <r>
    <x v="48"/>
    <x v="48"/>
    <m/>
    <x v="0"/>
    <s v="H17"/>
    <x v="1"/>
    <s v="H2111-20"/>
    <s v="Umeå"/>
    <m/>
    <s v="ENGS"/>
    <m/>
    <n v="1"/>
    <x v="1"/>
    <m/>
    <m/>
    <n v="1"/>
    <n v="0.25"/>
    <n v="0.85"/>
    <n v="0.21249999999999999"/>
    <n v="1650"/>
    <x v="9"/>
    <s v="Hum"/>
    <x v="0"/>
    <n v="51362"/>
    <n v="59096"/>
    <n v="25398.400000000001"/>
    <n v="71500"/>
    <n v="17875"/>
    <n v="43273.4"/>
    <n v="1"/>
    <n v="0"/>
    <n v="0"/>
    <n v="0"/>
    <n v="0"/>
    <n v="0"/>
    <n v="0"/>
    <n v="0"/>
    <n v="0"/>
    <n v="0"/>
    <n v="0"/>
    <n v="0"/>
    <s v="SP 210924"/>
    <m/>
    <n v="0.25"/>
    <n v="0.21249999999999999"/>
    <n v="0"/>
    <n v="0"/>
    <n v="0"/>
    <n v="0"/>
    <n v="0"/>
    <n v="0"/>
    <n v="0"/>
    <n v="0"/>
    <n v="0"/>
    <n v="0"/>
    <n v="0"/>
    <n v="0"/>
    <n v="0"/>
    <n v="0"/>
    <n v="0"/>
    <n v="0"/>
    <n v="0"/>
    <n v="0"/>
    <n v="0"/>
    <n v="0"/>
    <n v="0"/>
    <n v="0"/>
  </r>
  <r>
    <x v="48"/>
    <x v="48"/>
    <m/>
    <x v="0"/>
    <s v="H18"/>
    <x v="1"/>
    <s v="H2111-20"/>
    <s v="Umeå"/>
    <m/>
    <s v="ENGS"/>
    <m/>
    <n v="1"/>
    <x v="1"/>
    <m/>
    <m/>
    <n v="1"/>
    <n v="0.25"/>
    <n v="0.85"/>
    <n v="0.21249999999999999"/>
    <n v="1650"/>
    <x v="9"/>
    <s v="Hum"/>
    <x v="0"/>
    <n v="51362"/>
    <n v="59096"/>
    <n v="25398.400000000001"/>
    <n v="71500"/>
    <n v="17875"/>
    <n v="43273.4"/>
    <n v="1"/>
    <n v="0"/>
    <n v="0"/>
    <n v="0"/>
    <n v="0"/>
    <n v="0"/>
    <n v="0"/>
    <n v="0"/>
    <n v="0"/>
    <n v="0"/>
    <n v="0"/>
    <n v="0"/>
    <s v="SP 210924"/>
    <m/>
    <n v="0.25"/>
    <n v="0.21249999999999999"/>
    <n v="0"/>
    <n v="0"/>
    <n v="0"/>
    <n v="0"/>
    <n v="0"/>
    <n v="0"/>
    <n v="0"/>
    <n v="0"/>
    <n v="0"/>
    <n v="0"/>
    <n v="0"/>
    <n v="0"/>
    <n v="0"/>
    <n v="0"/>
    <n v="0"/>
    <n v="0"/>
    <n v="0"/>
    <n v="0"/>
    <n v="0"/>
    <n v="0"/>
    <n v="0"/>
    <n v="0"/>
  </r>
  <r>
    <x v="48"/>
    <x v="48"/>
    <m/>
    <x v="0"/>
    <s v="H18"/>
    <x v="1"/>
    <s v="H2111-20"/>
    <s v="Umeå"/>
    <m/>
    <s v="HIST"/>
    <m/>
    <n v="1"/>
    <x v="1"/>
    <m/>
    <m/>
    <n v="1"/>
    <n v="0.25"/>
    <n v="0.85"/>
    <n v="0.21249999999999999"/>
    <n v="1650"/>
    <x v="9"/>
    <s v="Hum"/>
    <x v="0"/>
    <n v="51362"/>
    <n v="59096"/>
    <n v="25398.400000000001"/>
    <n v="71500"/>
    <n v="17875"/>
    <n v="43273.4"/>
    <n v="1"/>
    <n v="0"/>
    <n v="0"/>
    <n v="0"/>
    <n v="0"/>
    <n v="0"/>
    <n v="0"/>
    <n v="0"/>
    <n v="0"/>
    <n v="0"/>
    <n v="0"/>
    <n v="0"/>
    <s v="SP 210924"/>
    <m/>
    <n v="0.25"/>
    <n v="0.21249999999999999"/>
    <n v="0"/>
    <n v="0"/>
    <n v="0"/>
    <n v="0"/>
    <n v="0"/>
    <n v="0"/>
    <n v="0"/>
    <n v="0"/>
    <n v="0"/>
    <n v="0"/>
    <n v="0"/>
    <n v="0"/>
    <n v="0"/>
    <n v="0"/>
    <n v="0"/>
    <n v="0"/>
    <n v="0"/>
    <n v="0"/>
    <n v="0"/>
    <n v="0"/>
    <n v="0"/>
    <n v="0"/>
  </r>
  <r>
    <x v="48"/>
    <x v="48"/>
    <m/>
    <x v="0"/>
    <s v="H18"/>
    <x v="1"/>
    <s v="H2111-20"/>
    <s v="Umeå"/>
    <m/>
    <s v="RELK"/>
    <m/>
    <n v="1"/>
    <x v="1"/>
    <m/>
    <m/>
    <n v="1"/>
    <n v="0.25"/>
    <n v="0.85"/>
    <n v="0.21249999999999999"/>
    <n v="1650"/>
    <x v="9"/>
    <s v="Hum"/>
    <x v="0"/>
    <n v="51362"/>
    <n v="59096"/>
    <n v="25398.400000000001"/>
    <n v="71500"/>
    <n v="17875"/>
    <n v="43273.4"/>
    <n v="1"/>
    <n v="0"/>
    <n v="0"/>
    <n v="0"/>
    <n v="0"/>
    <n v="0"/>
    <n v="0"/>
    <n v="0"/>
    <n v="0"/>
    <n v="0"/>
    <n v="0"/>
    <n v="0"/>
    <s v="SP 210924"/>
    <m/>
    <n v="0.25"/>
    <n v="0.21249999999999999"/>
    <n v="0"/>
    <n v="0"/>
    <n v="0"/>
    <n v="0"/>
    <n v="0"/>
    <n v="0"/>
    <n v="0"/>
    <n v="0"/>
    <n v="0"/>
    <n v="0"/>
    <n v="0"/>
    <n v="0"/>
    <n v="0"/>
    <n v="0"/>
    <n v="0"/>
    <n v="0"/>
    <n v="0"/>
    <n v="0"/>
    <n v="0"/>
    <n v="0"/>
    <n v="0"/>
    <n v="0"/>
  </r>
  <r>
    <x v="48"/>
    <x v="48"/>
    <m/>
    <x v="0"/>
    <s v="H20"/>
    <x v="1"/>
    <s v="H2111-20"/>
    <s v="Umeå"/>
    <m/>
    <s v="BILÄ"/>
    <m/>
    <n v="1"/>
    <x v="1"/>
    <m/>
    <m/>
    <n v="6"/>
    <n v="1.5"/>
    <n v="0.85"/>
    <n v="1.2749999999999999"/>
    <n v="1650"/>
    <x v="9"/>
    <s v="Hum"/>
    <x v="0"/>
    <n v="51362"/>
    <n v="59096"/>
    <n v="152390.39999999999"/>
    <n v="71500"/>
    <n v="107250"/>
    <n v="259640.4"/>
    <n v="1"/>
    <n v="0"/>
    <n v="0"/>
    <n v="0"/>
    <n v="0"/>
    <n v="0"/>
    <n v="0"/>
    <n v="0"/>
    <n v="0"/>
    <n v="0"/>
    <n v="0"/>
    <n v="0"/>
    <s v="SP 210924"/>
    <m/>
    <n v="1.5"/>
    <n v="1.2749999999999999"/>
    <n v="0"/>
    <n v="0"/>
    <n v="0"/>
    <n v="0"/>
    <n v="0"/>
    <n v="0"/>
    <n v="0"/>
    <n v="0"/>
    <n v="0"/>
    <n v="0"/>
    <n v="0"/>
    <n v="0"/>
    <n v="0"/>
    <n v="0"/>
    <n v="0"/>
    <n v="0"/>
    <n v="0"/>
    <n v="0"/>
    <n v="0"/>
    <n v="0"/>
    <n v="0"/>
    <n v="0"/>
  </r>
  <r>
    <x v="49"/>
    <x v="49"/>
    <n v="66318"/>
    <x v="11"/>
    <m/>
    <x v="0"/>
    <m/>
    <s v="Umeå"/>
    <s v="Normal"/>
    <m/>
    <m/>
    <m/>
    <x v="1"/>
    <m/>
    <m/>
    <n v="38"/>
    <n v="9.5"/>
    <n v="0.85"/>
    <n v="8.0749999999999993"/>
    <n v="1650"/>
    <x v="9"/>
    <s v="Hum"/>
    <x v="11"/>
    <n v="16920"/>
    <n v="27913"/>
    <n v="386137.47499999998"/>
    <n v="17900"/>
    <n v="170050"/>
    <n v="556187.47499999998"/>
    <n v="0"/>
    <n v="0"/>
    <n v="0"/>
    <n v="0"/>
    <n v="0"/>
    <n v="0"/>
    <n v="0"/>
    <n v="0"/>
    <n v="0"/>
    <n v="0"/>
    <n v="1"/>
    <n v="0"/>
    <s v="Enl Fokus-Ladok 210601"/>
    <m/>
    <n v="0"/>
    <n v="0"/>
    <n v="0"/>
    <n v="0"/>
    <n v="0"/>
    <n v="0"/>
    <n v="0"/>
    <n v="0"/>
    <n v="0"/>
    <n v="0"/>
    <n v="0"/>
    <n v="0"/>
    <n v="0"/>
    <n v="0"/>
    <n v="0"/>
    <n v="0"/>
    <n v="0"/>
    <n v="0"/>
    <n v="0"/>
    <n v="0"/>
    <n v="9.5"/>
    <n v="8.0749999999999993"/>
    <n v="0"/>
    <n v="0"/>
  </r>
  <r>
    <x v="50"/>
    <x v="50"/>
    <m/>
    <x v="0"/>
    <s v="H18"/>
    <x v="1"/>
    <s v="H2113-16"/>
    <s v="Umeå"/>
    <m/>
    <s v="BILÄ"/>
    <m/>
    <n v="1"/>
    <x v="4"/>
    <m/>
    <m/>
    <n v="1"/>
    <n v="0.1"/>
    <n v="0.85"/>
    <n v="8.5000000000000006E-2"/>
    <n v="1650"/>
    <x v="9"/>
    <s v="Hu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50"/>
    <x v="50"/>
    <m/>
    <x v="0"/>
    <s v="H19"/>
    <x v="1"/>
    <s v="H2113-16"/>
    <s v="Umeå"/>
    <m/>
    <s v="BILÄ"/>
    <m/>
    <n v="1"/>
    <x v="4"/>
    <m/>
    <m/>
    <n v="2"/>
    <n v="0.2"/>
    <n v="0.85"/>
    <n v="0.17"/>
    <n v="1650"/>
    <x v="9"/>
    <s v="Hum"/>
    <x v="0"/>
    <n v="25235"/>
    <n v="27976"/>
    <n v="9802.92"/>
    <n v="3600"/>
    <n v="720"/>
    <n v="10522.92"/>
    <n v="0"/>
    <n v="0"/>
    <n v="0"/>
    <n v="0"/>
    <n v="0"/>
    <n v="0"/>
    <n v="0"/>
    <n v="0"/>
    <n v="1"/>
    <n v="0"/>
    <n v="0"/>
    <n v="0"/>
    <s v="SP 210924"/>
    <m/>
    <n v="0"/>
    <n v="0"/>
    <n v="0"/>
    <n v="0"/>
    <n v="0"/>
    <n v="0"/>
    <n v="0"/>
    <n v="0"/>
    <n v="0"/>
    <n v="0"/>
    <n v="0"/>
    <n v="0"/>
    <n v="0"/>
    <n v="0"/>
    <n v="0"/>
    <n v="0"/>
    <n v="0.2"/>
    <n v="0.17"/>
    <n v="0"/>
    <n v="0"/>
    <n v="0"/>
    <n v="0"/>
    <n v="0"/>
    <n v="0"/>
  </r>
  <r>
    <x v="50"/>
    <x v="50"/>
    <m/>
    <x v="0"/>
    <s v="H20"/>
    <x v="1"/>
    <s v="H2113-16"/>
    <s v="Umeå"/>
    <m/>
    <s v="BILÄ"/>
    <m/>
    <n v="1"/>
    <x v="4"/>
    <m/>
    <m/>
    <n v="1"/>
    <n v="0.1"/>
    <n v="0.85"/>
    <n v="8.5000000000000006E-2"/>
    <n v="1650"/>
    <x v="9"/>
    <s v="Hu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50"/>
    <x v="50"/>
    <m/>
    <x v="2"/>
    <s v="H18"/>
    <x v="1"/>
    <s v="H2113-16"/>
    <s v="Umeå"/>
    <s v="Campus"/>
    <m/>
    <m/>
    <n v="1"/>
    <x v="4"/>
    <m/>
    <m/>
    <n v="1"/>
    <n v="0.1"/>
    <n v="0.85"/>
    <n v="8.5000000000000006E-2"/>
    <n v="1650"/>
    <x v="9"/>
    <s v="Hum"/>
    <x v="2"/>
    <n v="25235"/>
    <n v="27976"/>
    <n v="4901.46"/>
    <n v="3600"/>
    <n v="360"/>
    <n v="5261.46"/>
    <n v="0"/>
    <n v="0"/>
    <n v="0"/>
    <n v="0"/>
    <n v="0"/>
    <n v="0"/>
    <n v="0"/>
    <n v="0"/>
    <n v="1"/>
    <n v="0"/>
    <n v="0"/>
    <n v="0"/>
    <s v="SP 210920"/>
    <m/>
    <n v="0"/>
    <n v="0"/>
    <n v="0"/>
    <n v="0"/>
    <n v="0"/>
    <n v="0"/>
    <n v="0"/>
    <n v="0"/>
    <n v="0"/>
    <n v="0"/>
    <n v="0"/>
    <n v="0"/>
    <n v="0"/>
    <n v="0"/>
    <n v="0"/>
    <n v="0"/>
    <n v="0.1"/>
    <n v="8.5000000000000006E-2"/>
    <n v="0"/>
    <n v="0"/>
    <n v="0"/>
    <n v="0"/>
    <n v="0"/>
    <n v="0"/>
  </r>
  <r>
    <x v="51"/>
    <x v="51"/>
    <m/>
    <x v="6"/>
    <s v="H16"/>
    <x v="1"/>
    <s v="H2113-16"/>
    <s v="Umeå"/>
    <m/>
    <s v="TXBI"/>
    <m/>
    <n v="1"/>
    <x v="4"/>
    <m/>
    <m/>
    <n v="1"/>
    <n v="0.1"/>
    <n v="0.85"/>
    <n v="8.5000000000000006E-2"/>
    <n v="1650"/>
    <x v="9"/>
    <s v="Hum"/>
    <x v="6"/>
    <n v="25235"/>
    <n v="27976"/>
    <n v="4901.46"/>
    <n v="3600"/>
    <n v="360"/>
    <n v="5261.46"/>
    <n v="0"/>
    <n v="0"/>
    <n v="0"/>
    <n v="0"/>
    <n v="0"/>
    <n v="0"/>
    <n v="0"/>
    <n v="0"/>
    <n v="1"/>
    <n v="0"/>
    <n v="0"/>
    <n v="0"/>
    <s v="SP 210924"/>
    <m/>
    <n v="0"/>
    <n v="0"/>
    <n v="0"/>
    <n v="0"/>
    <n v="0"/>
    <n v="0"/>
    <n v="0"/>
    <n v="0"/>
    <n v="0"/>
    <n v="0"/>
    <n v="0"/>
    <n v="0"/>
    <n v="0"/>
    <n v="0"/>
    <n v="0"/>
    <n v="0"/>
    <n v="0.1"/>
    <n v="8.5000000000000006E-2"/>
    <n v="0"/>
    <n v="0"/>
    <n v="0"/>
    <n v="0"/>
    <n v="0"/>
    <n v="0"/>
  </r>
  <r>
    <x v="51"/>
    <x v="51"/>
    <s v="ES097"/>
    <x v="6"/>
    <m/>
    <x v="0"/>
    <m/>
    <s v="Umeå"/>
    <s v="Normal"/>
    <s v="TXAL"/>
    <m/>
    <m/>
    <x v="4"/>
    <m/>
    <m/>
    <n v="1"/>
    <n v="0.1"/>
    <n v="0.85"/>
    <n v="8.5000000000000006E-2"/>
    <n v="1650"/>
    <x v="9"/>
    <s v="Hum"/>
    <x v="6"/>
    <n v="25235"/>
    <n v="27976"/>
    <n v="4901.46"/>
    <n v="3600"/>
    <n v="360"/>
    <n v="5261.46"/>
    <n v="0"/>
    <n v="0"/>
    <n v="0"/>
    <n v="0"/>
    <n v="0"/>
    <n v="0"/>
    <n v="0"/>
    <n v="0"/>
    <n v="1"/>
    <n v="0"/>
    <n v="0"/>
    <n v="0"/>
    <s v="Enl Fokus-Ladok 210601"/>
    <m/>
    <n v="0"/>
    <n v="0"/>
    <n v="0"/>
    <n v="0"/>
    <n v="0"/>
    <n v="0"/>
    <n v="0"/>
    <n v="0"/>
    <n v="0"/>
    <n v="0"/>
    <n v="0"/>
    <n v="0"/>
    <n v="0"/>
    <n v="0"/>
    <n v="0"/>
    <n v="0"/>
    <n v="0.1"/>
    <n v="8.5000000000000006E-2"/>
    <n v="0"/>
    <n v="0"/>
    <n v="0"/>
    <n v="0"/>
    <n v="0"/>
    <n v="0"/>
  </r>
  <r>
    <x v="52"/>
    <x v="52"/>
    <n v="66303"/>
    <x v="3"/>
    <m/>
    <x v="0"/>
    <m/>
    <s v="Umeå"/>
    <s v="Normal"/>
    <m/>
    <m/>
    <m/>
    <x v="3"/>
    <m/>
    <m/>
    <n v="3"/>
    <n v="1.5"/>
    <n v="0.8"/>
    <n v="1.2000000000000002"/>
    <n v="1650"/>
    <x v="9"/>
    <s v="Hum"/>
    <x v="3"/>
    <n v="51362"/>
    <n v="59096"/>
    <n v="147958.20000000001"/>
    <n v="71500"/>
    <n v="107250"/>
    <n v="255208.2"/>
    <n v="1"/>
    <n v="0"/>
    <n v="0"/>
    <n v="0"/>
    <n v="0"/>
    <n v="0"/>
    <n v="0"/>
    <n v="0"/>
    <n v="0"/>
    <n v="0"/>
    <n v="0"/>
    <n v="0"/>
    <s v="Enl Fokus-Ladok 210601"/>
    <m/>
    <n v="1.5"/>
    <n v="1.2000000000000002"/>
    <n v="0"/>
    <n v="0"/>
    <n v="0"/>
    <n v="0"/>
    <n v="0"/>
    <n v="0"/>
    <n v="0"/>
    <n v="0"/>
    <n v="0"/>
    <n v="0"/>
    <n v="0"/>
    <n v="0"/>
    <n v="0"/>
    <n v="0"/>
    <n v="0"/>
    <n v="0"/>
    <n v="0"/>
    <n v="0"/>
    <n v="0"/>
    <n v="0"/>
    <n v="0"/>
    <n v="0"/>
  </r>
  <r>
    <x v="52"/>
    <x v="52"/>
    <n v="66301"/>
    <x v="0"/>
    <m/>
    <x v="0"/>
    <m/>
    <s v="Umeå"/>
    <s v="Normal"/>
    <s v="BILÄ"/>
    <m/>
    <m/>
    <x v="3"/>
    <m/>
    <m/>
    <n v="9"/>
    <n v="4.5"/>
    <n v="0.85"/>
    <n v="3.8249999999999997"/>
    <n v="1650"/>
    <x v="9"/>
    <s v="Hum"/>
    <x v="0"/>
    <n v="51362"/>
    <n v="59096"/>
    <n v="457171.19999999995"/>
    <n v="71500"/>
    <n v="321750"/>
    <n v="778921.2"/>
    <n v="1"/>
    <n v="0"/>
    <n v="0"/>
    <n v="0"/>
    <n v="0"/>
    <n v="0"/>
    <n v="0"/>
    <n v="0"/>
    <n v="0"/>
    <n v="0"/>
    <n v="0"/>
    <n v="0"/>
    <s v="Enl Fokus-Ladok 210601"/>
    <m/>
    <n v="4.5"/>
    <n v="3.8249999999999997"/>
    <n v="0"/>
    <n v="0"/>
    <n v="0"/>
    <n v="0"/>
    <n v="0"/>
    <n v="0"/>
    <n v="0"/>
    <n v="0"/>
    <n v="0"/>
    <n v="0"/>
    <n v="0"/>
    <n v="0"/>
    <n v="0"/>
    <n v="0"/>
    <n v="0"/>
    <n v="0"/>
    <n v="0"/>
    <n v="0"/>
    <n v="0"/>
    <n v="0"/>
    <n v="0"/>
    <n v="0"/>
  </r>
  <r>
    <x v="52"/>
    <x v="52"/>
    <n v="66301"/>
    <x v="0"/>
    <m/>
    <x v="0"/>
    <m/>
    <s v="Umeå"/>
    <s v="Normal"/>
    <s v="ENGS"/>
    <m/>
    <m/>
    <x v="3"/>
    <m/>
    <m/>
    <n v="2"/>
    <n v="1"/>
    <n v="0.85"/>
    <n v="0.85"/>
    <n v="1650"/>
    <x v="9"/>
    <s v="Hum"/>
    <x v="0"/>
    <n v="51362"/>
    <n v="59096"/>
    <n v="101593.60000000001"/>
    <n v="71500"/>
    <n v="71500"/>
    <n v="173093.6"/>
    <n v="1"/>
    <n v="0"/>
    <n v="0"/>
    <n v="0"/>
    <n v="0"/>
    <n v="0"/>
    <n v="0"/>
    <n v="0"/>
    <n v="0"/>
    <n v="0"/>
    <n v="0"/>
    <n v="0"/>
    <s v="Enl Fokus-Ladok 210601"/>
    <m/>
    <n v="1"/>
    <n v="0.85"/>
    <n v="0"/>
    <n v="0"/>
    <n v="0"/>
    <n v="0"/>
    <n v="0"/>
    <n v="0"/>
    <n v="0"/>
    <n v="0"/>
    <n v="0"/>
    <n v="0"/>
    <n v="0"/>
    <n v="0"/>
    <n v="0"/>
    <n v="0"/>
    <n v="0"/>
    <n v="0"/>
    <n v="0"/>
    <n v="0"/>
    <n v="0"/>
    <n v="0"/>
    <n v="0"/>
    <n v="0"/>
  </r>
  <r>
    <x v="52"/>
    <x v="52"/>
    <n v="66301"/>
    <x v="0"/>
    <m/>
    <x v="0"/>
    <m/>
    <s v="Umeå"/>
    <s v="Normal"/>
    <s v="RELK"/>
    <m/>
    <m/>
    <x v="3"/>
    <m/>
    <m/>
    <n v="1"/>
    <n v="0.5"/>
    <n v="0.85"/>
    <n v="0.42499999999999999"/>
    <n v="1650"/>
    <x v="9"/>
    <s v="Hum"/>
    <x v="0"/>
    <n v="51362"/>
    <n v="59096"/>
    <n v="50796.800000000003"/>
    <n v="71500"/>
    <n v="35750"/>
    <n v="86546.8"/>
    <n v="1"/>
    <n v="0"/>
    <n v="0"/>
    <n v="0"/>
    <n v="0"/>
    <n v="0"/>
    <n v="0"/>
    <n v="0"/>
    <n v="0"/>
    <n v="0"/>
    <n v="0"/>
    <n v="0"/>
    <s v="Enl Fokus-Ladok 210601"/>
    <m/>
    <n v="0.5"/>
    <n v="0.42499999999999999"/>
    <n v="0"/>
    <n v="0"/>
    <n v="0"/>
    <n v="0"/>
    <n v="0"/>
    <n v="0"/>
    <n v="0"/>
    <n v="0"/>
    <n v="0"/>
    <n v="0"/>
    <n v="0"/>
    <n v="0"/>
    <n v="0"/>
    <n v="0"/>
    <n v="0"/>
    <n v="0"/>
    <n v="0"/>
    <n v="0"/>
    <n v="0"/>
    <n v="0"/>
    <n v="0"/>
    <n v="0"/>
  </r>
  <r>
    <x v="53"/>
    <x v="53"/>
    <n v="66304"/>
    <x v="3"/>
    <m/>
    <x v="0"/>
    <m/>
    <s v="Umeå"/>
    <s v="Normal"/>
    <m/>
    <m/>
    <m/>
    <x v="3"/>
    <m/>
    <m/>
    <n v="10"/>
    <n v="5"/>
    <n v="0.8"/>
    <n v="4"/>
    <n v="1650"/>
    <x v="9"/>
    <s v="Hum"/>
    <x v="3"/>
    <n v="51362"/>
    <n v="59096"/>
    <n v="493194"/>
    <n v="71500"/>
    <n v="357500"/>
    <n v="850694"/>
    <n v="1"/>
    <n v="0"/>
    <n v="0"/>
    <n v="0"/>
    <n v="0"/>
    <n v="0"/>
    <n v="0"/>
    <n v="0"/>
    <n v="0"/>
    <n v="0"/>
    <n v="0"/>
    <n v="0"/>
    <s v="Enl Fokus-Ladok 210601"/>
    <m/>
    <n v="5"/>
    <n v="4"/>
    <n v="0"/>
    <n v="0"/>
    <n v="0"/>
    <n v="0"/>
    <n v="0"/>
    <n v="0"/>
    <n v="0"/>
    <n v="0"/>
    <n v="0"/>
    <n v="0"/>
    <n v="0"/>
    <n v="0"/>
    <n v="0"/>
    <n v="0"/>
    <n v="0"/>
    <n v="0"/>
    <n v="0"/>
    <n v="0"/>
    <n v="0"/>
    <n v="0"/>
    <n v="0"/>
    <n v="0"/>
  </r>
  <r>
    <x v="53"/>
    <x v="53"/>
    <n v="66304"/>
    <x v="0"/>
    <m/>
    <x v="0"/>
    <m/>
    <s v="Umeå"/>
    <s v="Normal"/>
    <s v="BILÄ"/>
    <m/>
    <m/>
    <x v="3"/>
    <m/>
    <m/>
    <n v="1"/>
    <n v="0.5"/>
    <n v="0.85"/>
    <n v="0.42499999999999999"/>
    <n v="1650"/>
    <x v="9"/>
    <s v="Hum"/>
    <x v="0"/>
    <n v="51362"/>
    <n v="59096"/>
    <n v="50796.800000000003"/>
    <n v="71500"/>
    <n v="35750"/>
    <n v="86546.8"/>
    <n v="1"/>
    <n v="0"/>
    <n v="0"/>
    <n v="0"/>
    <n v="0"/>
    <n v="0"/>
    <n v="0"/>
    <n v="0"/>
    <n v="0"/>
    <n v="0"/>
    <n v="0"/>
    <n v="0"/>
    <s v="Enl Fokus-Ladok 210601"/>
    <m/>
    <n v="0.5"/>
    <n v="0.42499999999999999"/>
    <n v="0"/>
    <n v="0"/>
    <n v="0"/>
    <n v="0"/>
    <n v="0"/>
    <n v="0"/>
    <n v="0"/>
    <n v="0"/>
    <n v="0"/>
    <n v="0"/>
    <n v="0"/>
    <n v="0"/>
    <n v="0"/>
    <n v="0"/>
    <n v="0"/>
    <n v="0"/>
    <n v="0"/>
    <n v="0"/>
    <n v="0"/>
    <n v="0"/>
    <n v="0"/>
    <n v="0"/>
  </r>
  <r>
    <x v="54"/>
    <x v="54"/>
    <n v="66305"/>
    <x v="0"/>
    <m/>
    <x v="0"/>
    <m/>
    <s v="Umeå"/>
    <s v="Normal"/>
    <s v="BILÄ"/>
    <m/>
    <m/>
    <x v="3"/>
    <m/>
    <m/>
    <n v="3"/>
    <n v="1.5"/>
    <n v="0.85"/>
    <n v="1.2749999999999999"/>
    <n v="1650"/>
    <x v="9"/>
    <s v="Hum"/>
    <x v="0"/>
    <n v="20757"/>
    <n v="36082"/>
    <n v="77140.049999999988"/>
    <n v="22600"/>
    <n v="33900"/>
    <n v="111040.04999999999"/>
    <n v="0"/>
    <n v="0"/>
    <n v="0"/>
    <n v="0"/>
    <n v="0"/>
    <n v="0"/>
    <n v="0"/>
    <n v="1"/>
    <n v="0"/>
    <n v="0"/>
    <n v="0"/>
    <n v="0"/>
    <s v="Enl Fokus-Ladok 210601"/>
    <m/>
    <n v="0"/>
    <n v="0"/>
    <n v="0"/>
    <n v="0"/>
    <n v="0"/>
    <n v="0"/>
    <n v="0"/>
    <n v="0"/>
    <n v="0"/>
    <n v="0"/>
    <n v="0"/>
    <n v="0"/>
    <n v="0"/>
    <n v="0"/>
    <n v="1.5"/>
    <n v="1.2749999999999999"/>
    <n v="0"/>
    <n v="0"/>
    <n v="0"/>
    <n v="0"/>
    <n v="0"/>
    <n v="0"/>
    <n v="0"/>
    <n v="0"/>
  </r>
  <r>
    <x v="55"/>
    <x v="55"/>
    <n v="66210"/>
    <x v="3"/>
    <m/>
    <x v="0"/>
    <m/>
    <s v="Umeå"/>
    <s v="Distans"/>
    <m/>
    <m/>
    <m/>
    <x v="1"/>
    <m/>
    <m/>
    <n v="12"/>
    <n v="3"/>
    <n v="0.8"/>
    <n v="2.4000000000000004"/>
    <n v="1650"/>
    <x v="9"/>
    <s v="Hum"/>
    <x v="3"/>
    <n v="43713"/>
    <n v="48682.5"/>
    <n v="247977"/>
    <n v="55125"/>
    <n v="165375"/>
    <n v="413352"/>
    <n v="0.75"/>
    <n v="0.25"/>
    <n v="0"/>
    <n v="0"/>
    <n v="0"/>
    <n v="0"/>
    <n v="0"/>
    <n v="0"/>
    <n v="0"/>
    <n v="0"/>
    <n v="0"/>
    <n v="0"/>
    <s v="Enl Fokus-Ladok 210601"/>
    <s v="Läser 15 av 30 hp denna termin"/>
    <n v="2.25"/>
    <n v="1.8000000000000003"/>
    <n v="0.75"/>
    <n v="0.60000000000000009"/>
    <n v="0"/>
    <n v="0"/>
    <n v="0"/>
    <n v="0"/>
    <n v="0"/>
    <n v="0"/>
    <n v="0"/>
    <n v="0"/>
    <n v="0"/>
    <n v="0"/>
    <n v="0"/>
    <n v="0"/>
    <n v="0"/>
    <n v="0"/>
    <n v="0"/>
    <n v="0"/>
    <n v="0"/>
    <n v="0"/>
    <n v="0"/>
    <n v="0"/>
  </r>
  <r>
    <x v="55"/>
    <x v="55"/>
    <m/>
    <x v="3"/>
    <m/>
    <x v="1"/>
    <m/>
    <m/>
    <s v="Distans"/>
    <m/>
    <m/>
    <n v="0.5"/>
    <x v="1"/>
    <m/>
    <m/>
    <n v="18"/>
    <n v="4.5"/>
    <n v="0.8"/>
    <n v="3.6"/>
    <n v="1650"/>
    <x v="9"/>
    <s v="Hum"/>
    <x v="3"/>
    <n v="43713"/>
    <n v="48682.5"/>
    <n v="371965.5"/>
    <n v="55125"/>
    <n v="248062.5"/>
    <n v="620028"/>
    <n v="0.75"/>
    <n v="0.25"/>
    <n v="0"/>
    <n v="0"/>
    <n v="0"/>
    <n v="0"/>
    <n v="0"/>
    <n v="0"/>
    <n v="0"/>
    <n v="0"/>
    <n v="0"/>
    <n v="0"/>
    <s v="Äskat/Beslutat 200611 p.39"/>
    <s v="Läser 15 av 30 hp denna termin"/>
    <n v="3.375"/>
    <n v="2.7"/>
    <n v="1.125"/>
    <n v="0.9"/>
    <n v="0"/>
    <n v="0"/>
    <n v="0"/>
    <n v="0"/>
    <n v="0"/>
    <n v="0"/>
    <n v="0"/>
    <n v="0"/>
    <n v="0"/>
    <n v="0"/>
    <n v="0"/>
    <n v="0"/>
    <n v="0"/>
    <n v="0"/>
    <n v="0"/>
    <n v="0"/>
    <n v="0"/>
    <n v="0"/>
    <n v="0"/>
    <n v="0"/>
  </r>
  <r>
    <x v="56"/>
    <x v="56"/>
    <n v="66314"/>
    <x v="3"/>
    <m/>
    <x v="0"/>
    <m/>
    <s v="Umeå"/>
    <s v="Distans"/>
    <m/>
    <m/>
    <m/>
    <x v="1"/>
    <m/>
    <m/>
    <n v="9"/>
    <n v="2.25"/>
    <n v="0.8"/>
    <n v="1.8"/>
    <n v="1650"/>
    <x v="9"/>
    <s v="Hum"/>
    <x v="3"/>
    <n v="20766"/>
    <n v="17442"/>
    <n v="78119.100000000006"/>
    <n v="6000"/>
    <n v="13500"/>
    <n v="91619.1"/>
    <n v="0"/>
    <n v="1"/>
    <n v="0"/>
    <n v="0"/>
    <n v="0"/>
    <n v="0"/>
    <n v="0"/>
    <n v="0"/>
    <n v="0"/>
    <n v="0"/>
    <n v="0"/>
    <n v="0"/>
    <s v="Enl Fokus-Ladok 210601"/>
    <m/>
    <n v="0"/>
    <n v="0"/>
    <n v="2.25"/>
    <n v="1.8"/>
    <n v="0"/>
    <n v="0"/>
    <n v="0"/>
    <n v="0"/>
    <n v="0"/>
    <n v="0"/>
    <n v="0"/>
    <n v="0"/>
    <n v="0"/>
    <n v="0"/>
    <n v="0"/>
    <n v="0"/>
    <n v="0"/>
    <n v="0"/>
    <n v="0"/>
    <n v="0"/>
    <n v="0"/>
    <n v="0"/>
    <n v="0"/>
    <n v="0"/>
  </r>
  <r>
    <x v="57"/>
    <x v="57"/>
    <m/>
    <x v="0"/>
    <s v="H18"/>
    <x v="1"/>
    <s v="H211-20"/>
    <s v="Umeå"/>
    <m/>
    <s v="BILÄ"/>
    <m/>
    <n v="1"/>
    <x v="3"/>
    <m/>
    <m/>
    <n v="3"/>
    <n v="1.5"/>
    <n v="0.85"/>
    <n v="1.2749999999999999"/>
    <n v="1650"/>
    <x v="9"/>
    <s v="Hum"/>
    <x v="0"/>
    <n v="20757"/>
    <n v="36082"/>
    <n v="77140.049999999988"/>
    <n v="22600"/>
    <n v="33900"/>
    <n v="111040.04999999999"/>
    <n v="0"/>
    <n v="0"/>
    <n v="0"/>
    <n v="0"/>
    <n v="0"/>
    <n v="0"/>
    <n v="0"/>
    <n v="1"/>
    <n v="0"/>
    <n v="0"/>
    <n v="0"/>
    <n v="0"/>
    <s v="SP 210924"/>
    <m/>
    <n v="0"/>
    <n v="0"/>
    <n v="0"/>
    <n v="0"/>
    <n v="0"/>
    <n v="0"/>
    <n v="0"/>
    <n v="0"/>
    <n v="0"/>
    <n v="0"/>
    <n v="0"/>
    <n v="0"/>
    <n v="0"/>
    <n v="0"/>
    <n v="1.5"/>
    <n v="1.2749999999999999"/>
    <n v="0"/>
    <n v="0"/>
    <n v="0"/>
    <n v="0"/>
    <n v="0"/>
    <n v="0"/>
    <n v="0"/>
    <n v="0"/>
  </r>
  <r>
    <x v="58"/>
    <x v="58"/>
    <m/>
    <x v="0"/>
    <s v="H17"/>
    <x v="1"/>
    <s v="H211-15"/>
    <s v="Umeå"/>
    <m/>
    <s v="MUSI"/>
    <m/>
    <n v="1"/>
    <x v="2"/>
    <m/>
    <m/>
    <n v="2"/>
    <n v="0.75"/>
    <n v="0.85"/>
    <n v="0.63749999999999996"/>
    <n v="1650"/>
    <x v="9"/>
    <s v="Hum"/>
    <x v="0"/>
    <n v="25235"/>
    <n v="27976"/>
    <n v="36760.949999999997"/>
    <n v="3600"/>
    <n v="2700"/>
    <n v="39460.949999999997"/>
    <n v="0"/>
    <n v="0"/>
    <n v="0"/>
    <n v="0"/>
    <n v="0"/>
    <n v="0"/>
    <n v="0"/>
    <n v="0"/>
    <n v="1"/>
    <n v="0"/>
    <n v="0"/>
    <n v="0"/>
    <s v="SP 210924"/>
    <m/>
    <n v="0"/>
    <n v="0"/>
    <n v="0"/>
    <n v="0"/>
    <n v="0"/>
    <n v="0"/>
    <n v="0"/>
    <n v="0"/>
    <n v="0"/>
    <n v="0"/>
    <n v="0"/>
    <n v="0"/>
    <n v="0"/>
    <n v="0"/>
    <n v="0"/>
    <n v="0"/>
    <n v="0.75"/>
    <n v="0.63749999999999996"/>
    <n v="0"/>
    <n v="0"/>
    <n v="0"/>
    <n v="0"/>
    <n v="0"/>
    <n v="0"/>
  </r>
  <r>
    <x v="59"/>
    <x v="59"/>
    <m/>
    <x v="6"/>
    <s v="H18"/>
    <x v="1"/>
    <s v="H211-15"/>
    <s v="Umeå"/>
    <m/>
    <s v="TXAL"/>
    <m/>
    <n v="1"/>
    <x v="2"/>
    <m/>
    <m/>
    <n v="1"/>
    <n v="0.375"/>
    <n v="0.85"/>
    <n v="0.31874999999999998"/>
    <n v="1650"/>
    <x v="9"/>
    <s v="Hum"/>
    <x v="6"/>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60"/>
    <x v="60"/>
    <m/>
    <x v="11"/>
    <s v="H15"/>
    <x v="1"/>
    <s v="H2111-20"/>
    <s v="Umeå"/>
    <s v="Campus"/>
    <m/>
    <m/>
    <n v="1"/>
    <x v="1"/>
    <m/>
    <m/>
    <n v="1"/>
    <n v="0.25"/>
    <n v="0.85"/>
    <n v="0.21249999999999999"/>
    <n v="1650"/>
    <x v="9"/>
    <s v="Hum"/>
    <x v="11"/>
    <n v="16920"/>
    <n v="27913"/>
    <n v="10161.512500000001"/>
    <n v="17900"/>
    <n v="4475"/>
    <n v="14636.512500000001"/>
    <n v="0"/>
    <n v="0"/>
    <n v="0"/>
    <n v="0"/>
    <n v="0"/>
    <n v="0"/>
    <n v="0"/>
    <n v="0"/>
    <n v="0"/>
    <n v="0"/>
    <n v="1"/>
    <n v="0"/>
    <s v="SP 210924"/>
    <m/>
    <n v="0"/>
    <n v="0"/>
    <n v="0"/>
    <n v="0"/>
    <n v="0"/>
    <n v="0"/>
    <n v="0"/>
    <n v="0"/>
    <n v="0"/>
    <n v="0"/>
    <n v="0"/>
    <n v="0"/>
    <n v="0"/>
    <n v="0"/>
    <n v="0"/>
    <n v="0"/>
    <n v="0"/>
    <n v="0"/>
    <n v="0"/>
    <n v="0"/>
    <n v="0.25"/>
    <n v="0.21249999999999999"/>
    <n v="0"/>
    <n v="0"/>
  </r>
  <r>
    <x v="60"/>
    <x v="60"/>
    <m/>
    <x v="11"/>
    <s v="V18"/>
    <x v="1"/>
    <s v="H2111-20"/>
    <s v="Umeå"/>
    <s v="Campus"/>
    <m/>
    <m/>
    <n v="1"/>
    <x v="1"/>
    <m/>
    <m/>
    <n v="1"/>
    <n v="0.25"/>
    <n v="0.85"/>
    <n v="0.21249999999999999"/>
    <n v="1650"/>
    <x v="9"/>
    <s v="Hum"/>
    <x v="11"/>
    <n v="16920"/>
    <n v="27913"/>
    <n v="10161.512500000001"/>
    <n v="17900"/>
    <n v="4475"/>
    <n v="14636.512500000001"/>
    <n v="0"/>
    <n v="0"/>
    <n v="0"/>
    <n v="0"/>
    <n v="0"/>
    <n v="0"/>
    <n v="0"/>
    <n v="0"/>
    <n v="0"/>
    <n v="0"/>
    <n v="1"/>
    <n v="0"/>
    <s v="SP 210924"/>
    <m/>
    <n v="0"/>
    <n v="0"/>
    <n v="0"/>
    <n v="0"/>
    <n v="0"/>
    <n v="0"/>
    <n v="0"/>
    <n v="0"/>
    <n v="0"/>
    <n v="0"/>
    <n v="0"/>
    <n v="0"/>
    <n v="0"/>
    <n v="0"/>
    <n v="0"/>
    <n v="0"/>
    <n v="0"/>
    <n v="0"/>
    <n v="0"/>
    <n v="0"/>
    <n v="0.25"/>
    <n v="0.21249999999999999"/>
    <n v="0"/>
    <n v="0"/>
  </r>
  <r>
    <x v="60"/>
    <x v="60"/>
    <m/>
    <x v="11"/>
    <s v="V19"/>
    <x v="1"/>
    <s v="H2111-20"/>
    <s v="Umeå"/>
    <s v="Campus"/>
    <m/>
    <m/>
    <n v="1"/>
    <x v="1"/>
    <m/>
    <m/>
    <n v="12"/>
    <n v="3"/>
    <n v="0.85"/>
    <n v="2.5499999999999998"/>
    <n v="1650"/>
    <x v="9"/>
    <s v="Hum"/>
    <x v="11"/>
    <n v="16920"/>
    <n v="27913"/>
    <n v="121938.15"/>
    <n v="17900"/>
    <n v="53700"/>
    <n v="175638.15"/>
    <n v="0"/>
    <n v="0"/>
    <n v="0"/>
    <n v="0"/>
    <n v="0"/>
    <n v="0"/>
    <n v="0"/>
    <n v="0"/>
    <n v="0"/>
    <n v="0"/>
    <n v="1"/>
    <n v="0"/>
    <s v="SP 210924"/>
    <m/>
    <n v="0"/>
    <n v="0"/>
    <n v="0"/>
    <n v="0"/>
    <n v="0"/>
    <n v="0"/>
    <n v="0"/>
    <n v="0"/>
    <n v="0"/>
    <n v="0"/>
    <n v="0"/>
    <n v="0"/>
    <n v="0"/>
    <n v="0"/>
    <n v="0"/>
    <n v="0"/>
    <n v="0"/>
    <n v="0"/>
    <n v="0"/>
    <n v="0"/>
    <n v="3"/>
    <n v="2.5499999999999998"/>
    <n v="0"/>
    <n v="0"/>
  </r>
  <r>
    <x v="61"/>
    <x v="41"/>
    <m/>
    <x v="11"/>
    <s v="H19"/>
    <x v="1"/>
    <s v="H2116-20"/>
    <s v="Umeå"/>
    <s v="Campus"/>
    <m/>
    <m/>
    <n v="1"/>
    <x v="0"/>
    <m/>
    <m/>
    <n v="1"/>
    <n v="0.125"/>
    <n v="0.85"/>
    <n v="0.10625"/>
    <n v="1650"/>
    <x v="9"/>
    <s v="Hum"/>
    <x v="11"/>
    <n v="16920"/>
    <n v="27913"/>
    <n v="5080.7562500000004"/>
    <n v="17900"/>
    <n v="2237.5"/>
    <n v="7318.2562500000004"/>
    <n v="0"/>
    <n v="0"/>
    <n v="0"/>
    <n v="0"/>
    <n v="0"/>
    <n v="0"/>
    <n v="0"/>
    <n v="0"/>
    <n v="0"/>
    <n v="0"/>
    <n v="1"/>
    <n v="0"/>
    <s v="SP 210924"/>
    <m/>
    <n v="0"/>
    <n v="0"/>
    <n v="0"/>
    <n v="0"/>
    <n v="0"/>
    <n v="0"/>
    <n v="0"/>
    <n v="0"/>
    <n v="0"/>
    <n v="0"/>
    <n v="0"/>
    <n v="0"/>
    <n v="0"/>
    <n v="0"/>
    <n v="0"/>
    <n v="0"/>
    <n v="0"/>
    <n v="0"/>
    <n v="0"/>
    <n v="0"/>
    <n v="0.125"/>
    <n v="0.10625"/>
    <n v="0"/>
    <n v="0"/>
  </r>
  <r>
    <x v="61"/>
    <x v="41"/>
    <m/>
    <x v="11"/>
    <s v="H20"/>
    <x v="1"/>
    <s v="H2116-20"/>
    <s v="Umeå"/>
    <s v="Campus"/>
    <m/>
    <m/>
    <n v="1"/>
    <x v="0"/>
    <m/>
    <m/>
    <n v="36"/>
    <n v="4.5"/>
    <n v="0.85"/>
    <n v="3.8249999999999997"/>
    <n v="1650"/>
    <x v="9"/>
    <s v="Hum"/>
    <x v="11"/>
    <n v="16920"/>
    <n v="27913"/>
    <n v="182907.22499999998"/>
    <n v="17900"/>
    <n v="80550"/>
    <n v="263457.22499999998"/>
    <n v="0"/>
    <n v="0"/>
    <n v="0"/>
    <n v="0"/>
    <n v="0"/>
    <n v="0"/>
    <n v="0"/>
    <n v="0"/>
    <n v="0"/>
    <n v="0"/>
    <n v="1"/>
    <n v="0"/>
    <s v="SP 210924"/>
    <m/>
    <n v="0"/>
    <n v="0"/>
    <n v="0"/>
    <n v="0"/>
    <n v="0"/>
    <n v="0"/>
    <n v="0"/>
    <n v="0"/>
    <n v="0"/>
    <n v="0"/>
    <n v="0"/>
    <n v="0"/>
    <n v="0"/>
    <n v="0"/>
    <n v="0"/>
    <n v="0"/>
    <n v="0"/>
    <n v="0"/>
    <n v="0"/>
    <n v="0"/>
    <n v="4.5"/>
    <n v="3.8249999999999997"/>
    <n v="0"/>
    <n v="0"/>
  </r>
  <r>
    <x v="62"/>
    <x v="61"/>
    <m/>
    <x v="0"/>
    <s v="H17"/>
    <x v="1"/>
    <s v="H2116-20:V221-15"/>
    <s v="Umeå"/>
    <m/>
    <s v="ENGS"/>
    <m/>
    <n v="1"/>
    <x v="0"/>
    <m/>
    <m/>
    <n v="1"/>
    <n v="0.125"/>
    <n v="0.85"/>
    <n v="0.10625"/>
    <n v="6000"/>
    <x v="10"/>
    <s v="LH"/>
    <x v="0"/>
    <n v="20766"/>
    <n v="17442"/>
    <n v="4448.9624999999996"/>
    <n v="6000"/>
    <n v="750"/>
    <n v="5198.9624999999996"/>
    <n v="0"/>
    <n v="0"/>
    <n v="0"/>
    <n v="0"/>
    <n v="0"/>
    <n v="0"/>
    <n v="0"/>
    <n v="0"/>
    <n v="0"/>
    <n v="1"/>
    <n v="0"/>
    <n v="0"/>
    <s v="SP 210924"/>
    <s v="Läser 7,5 av 30 hp denna termin"/>
    <n v="0"/>
    <n v="0"/>
    <n v="0"/>
    <n v="0"/>
    <n v="0"/>
    <n v="0"/>
    <n v="0"/>
    <n v="0"/>
    <n v="0"/>
    <n v="0"/>
    <n v="0"/>
    <n v="0"/>
    <n v="0"/>
    <n v="0"/>
    <n v="0"/>
    <n v="0"/>
    <n v="0"/>
    <n v="0"/>
    <n v="0.125"/>
    <n v="0.10625"/>
    <n v="0"/>
    <n v="0"/>
    <n v="0"/>
    <n v="0"/>
  </r>
  <r>
    <x v="62"/>
    <x v="61"/>
    <m/>
    <x v="0"/>
    <s v="H18"/>
    <x v="1"/>
    <s v="H2116-20:V221-15"/>
    <s v="Umeå"/>
    <m/>
    <s v="HIST"/>
    <m/>
    <n v="1"/>
    <x v="0"/>
    <m/>
    <m/>
    <n v="1"/>
    <n v="0.125"/>
    <n v="0.85"/>
    <n v="0.10625"/>
    <n v="6000"/>
    <x v="10"/>
    <s v="LH"/>
    <x v="0"/>
    <n v="20766"/>
    <n v="17442"/>
    <n v="4448.9624999999996"/>
    <n v="6000"/>
    <n v="750"/>
    <n v="5198.9624999999996"/>
    <n v="0"/>
    <n v="0"/>
    <n v="0"/>
    <n v="0"/>
    <n v="0"/>
    <n v="0"/>
    <n v="0"/>
    <n v="0"/>
    <n v="0"/>
    <n v="1"/>
    <n v="0"/>
    <n v="0"/>
    <s v="SP 210924"/>
    <s v="Läser 7,5 av 30 hp denna termin"/>
    <n v="0"/>
    <n v="0"/>
    <n v="0"/>
    <n v="0"/>
    <n v="0"/>
    <n v="0"/>
    <n v="0"/>
    <n v="0"/>
    <n v="0"/>
    <n v="0"/>
    <n v="0"/>
    <n v="0"/>
    <n v="0"/>
    <n v="0"/>
    <n v="0"/>
    <n v="0"/>
    <n v="0"/>
    <n v="0"/>
    <n v="0.125"/>
    <n v="0.10625"/>
    <n v="0"/>
    <n v="0"/>
    <n v="0"/>
    <n v="0"/>
  </r>
  <r>
    <x v="63"/>
    <x v="62"/>
    <n v="71402"/>
    <x v="0"/>
    <m/>
    <x v="0"/>
    <m/>
    <s v="Umeå"/>
    <s v="Normal"/>
    <s v="FRAN"/>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63"/>
    <x v="62"/>
    <n v="71402"/>
    <x v="0"/>
    <m/>
    <x v="0"/>
    <m/>
    <s v="Umeå"/>
    <s v="Normal"/>
    <s v="SVAA"/>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64"/>
    <x v="63"/>
    <m/>
    <x v="3"/>
    <m/>
    <x v="1"/>
    <m/>
    <m/>
    <s v="Campus"/>
    <m/>
    <m/>
    <n v="1"/>
    <x v="3"/>
    <m/>
    <m/>
    <n v="1"/>
    <n v="0.5"/>
    <n v="0.8"/>
    <n v="0.4"/>
    <n v="1620"/>
    <x v="0"/>
    <s v="Hum"/>
    <x v="3"/>
    <n v="20766"/>
    <n v="17442"/>
    <n v="17359.8"/>
    <n v="6000"/>
    <n v="3000"/>
    <n v="20359.8"/>
    <n v="0"/>
    <n v="1"/>
    <n v="0"/>
    <n v="0"/>
    <n v="0"/>
    <n v="0"/>
    <n v="0"/>
    <n v="0"/>
    <n v="0"/>
    <n v="0"/>
    <n v="0"/>
    <n v="0"/>
    <s v="Äskat/Beslutat 200611 p.39"/>
    <m/>
    <n v="0"/>
    <n v="0"/>
    <n v="0.5"/>
    <n v="0.4"/>
    <n v="0"/>
    <n v="0"/>
    <n v="0"/>
    <n v="0"/>
    <n v="0"/>
    <n v="0"/>
    <n v="0"/>
    <n v="0"/>
    <n v="0"/>
    <n v="0"/>
    <n v="0"/>
    <n v="0"/>
    <n v="0"/>
    <n v="0"/>
    <n v="0"/>
    <n v="0"/>
    <n v="0"/>
    <n v="0"/>
    <n v="0"/>
    <n v="0"/>
  </r>
  <r>
    <x v="64"/>
    <x v="63"/>
    <m/>
    <x v="0"/>
    <s v="H18"/>
    <x v="1"/>
    <s v="H211-20"/>
    <s v="Umeå"/>
    <m/>
    <s v="SVAA"/>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64"/>
    <x v="63"/>
    <m/>
    <x v="0"/>
    <s v="H20"/>
    <x v="1"/>
    <s v="H211-20"/>
    <s v="Umeå"/>
    <m/>
    <s v="FRAN"/>
    <m/>
    <n v="1"/>
    <x v="3"/>
    <m/>
    <m/>
    <n v="2"/>
    <n v="1"/>
    <n v="0.85"/>
    <n v="0.85"/>
    <n v="1620"/>
    <x v="0"/>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65"/>
    <x v="64"/>
    <m/>
    <x v="3"/>
    <m/>
    <x v="1"/>
    <m/>
    <m/>
    <s v="Campus"/>
    <m/>
    <m/>
    <n v="1"/>
    <x v="3"/>
    <m/>
    <m/>
    <n v="10"/>
    <n v="5"/>
    <n v="0.8"/>
    <n v="4"/>
    <n v="1650"/>
    <x v="9"/>
    <s v="Hum"/>
    <x v="3"/>
    <n v="20759.25"/>
    <n v="31422"/>
    <n v="229484.25"/>
    <n v="18450"/>
    <n v="92250"/>
    <n v="321734.25"/>
    <n v="0"/>
    <n v="0.25"/>
    <n v="0"/>
    <n v="0"/>
    <n v="0"/>
    <n v="0"/>
    <n v="0"/>
    <n v="0.75"/>
    <n v="0"/>
    <n v="0"/>
    <n v="0"/>
    <n v="0"/>
    <s v="Äskat/Beslutat 200611 p.39"/>
    <m/>
    <n v="0"/>
    <n v="0"/>
    <n v="1.25"/>
    <n v="1"/>
    <n v="0"/>
    <n v="0"/>
    <n v="0"/>
    <n v="0"/>
    <n v="0"/>
    <n v="0"/>
    <n v="0"/>
    <n v="0"/>
    <n v="0"/>
    <n v="0"/>
    <n v="3.75"/>
    <n v="3"/>
    <n v="0"/>
    <n v="0"/>
    <n v="0"/>
    <n v="0"/>
    <n v="0"/>
    <n v="0"/>
    <n v="0"/>
    <n v="0"/>
  </r>
  <r>
    <x v="66"/>
    <x v="65"/>
    <m/>
    <x v="3"/>
    <m/>
    <x v="2"/>
    <m/>
    <m/>
    <m/>
    <m/>
    <m/>
    <m/>
    <x v="0"/>
    <m/>
    <m/>
    <n v="0"/>
    <n v="0"/>
    <n v="0.8"/>
    <n v="0"/>
    <n v="1620"/>
    <x v="0"/>
    <s v="Hum"/>
    <x v="3"/>
    <n v="20766"/>
    <n v="17442"/>
    <n v="0"/>
    <n v="6000"/>
    <n v="0"/>
    <n v="0"/>
    <n v="0"/>
    <n v="1"/>
    <n v="0"/>
    <n v="0"/>
    <n v="0"/>
    <n v="0"/>
    <n v="0"/>
    <n v="0"/>
    <n v="0"/>
    <n v="0"/>
    <n v="0"/>
    <n v="0"/>
    <s v="Äskat/Beslutat 200611 p.39"/>
    <m/>
    <n v="0"/>
    <n v="0"/>
    <n v="0"/>
    <n v="0"/>
    <n v="0"/>
    <n v="0"/>
    <n v="0"/>
    <n v="0"/>
    <n v="0"/>
    <n v="0"/>
    <n v="0"/>
    <n v="0"/>
    <n v="0"/>
    <n v="0"/>
    <n v="0"/>
    <n v="0"/>
    <n v="0"/>
    <n v="0"/>
    <n v="0"/>
    <n v="0"/>
    <n v="0"/>
    <n v="0"/>
    <n v="0"/>
    <n v="0"/>
  </r>
  <r>
    <x v="67"/>
    <x v="66"/>
    <m/>
    <x v="3"/>
    <m/>
    <x v="2"/>
    <m/>
    <m/>
    <m/>
    <m/>
    <m/>
    <m/>
    <x v="0"/>
    <m/>
    <m/>
    <n v="0"/>
    <n v="0"/>
    <n v="0.8"/>
    <n v="0"/>
    <n v="1620"/>
    <x v="0"/>
    <s v="Hum"/>
    <x v="3"/>
    <n v="20766"/>
    <n v="17442"/>
    <n v="0"/>
    <n v="6000"/>
    <n v="0"/>
    <n v="0"/>
    <n v="0"/>
    <n v="1"/>
    <n v="0"/>
    <n v="0"/>
    <n v="0"/>
    <n v="0"/>
    <n v="0"/>
    <n v="0"/>
    <n v="0"/>
    <n v="0"/>
    <n v="0"/>
    <n v="0"/>
    <s v="Äskat/Beslutat 200611 p.39"/>
    <m/>
    <n v="0"/>
    <n v="0"/>
    <n v="0"/>
    <n v="0"/>
    <n v="0"/>
    <n v="0"/>
    <n v="0"/>
    <n v="0"/>
    <n v="0"/>
    <n v="0"/>
    <n v="0"/>
    <n v="0"/>
    <n v="0"/>
    <n v="0"/>
    <n v="0"/>
    <n v="0"/>
    <n v="0"/>
    <n v="0"/>
    <n v="0"/>
    <n v="0"/>
    <n v="0"/>
    <n v="0"/>
    <n v="0"/>
    <n v="0"/>
  </r>
  <r>
    <x v="68"/>
    <x v="67"/>
    <m/>
    <x v="3"/>
    <m/>
    <x v="1"/>
    <m/>
    <m/>
    <m/>
    <m/>
    <m/>
    <n v="0.25"/>
    <x v="0"/>
    <m/>
    <m/>
    <n v="15"/>
    <n v="1.875"/>
    <n v="0.8"/>
    <n v="1.5"/>
    <n v="1620"/>
    <x v="0"/>
    <s v="Hum"/>
    <x v="3"/>
    <n v="20766"/>
    <n v="17442"/>
    <n v="65099.25"/>
    <n v="6000"/>
    <n v="11250"/>
    <n v="76349.25"/>
    <n v="0"/>
    <n v="1"/>
    <n v="0"/>
    <n v="0"/>
    <n v="0"/>
    <n v="0"/>
    <n v="0"/>
    <n v="0"/>
    <n v="0"/>
    <n v="0"/>
    <n v="0"/>
    <n v="0"/>
    <s v="Äskat/Beslutat 200611 p.39"/>
    <m/>
    <n v="0"/>
    <n v="0"/>
    <n v="1.875"/>
    <n v="1.5"/>
    <n v="0"/>
    <n v="0"/>
    <n v="0"/>
    <n v="0"/>
    <n v="0"/>
    <n v="0"/>
    <n v="0"/>
    <n v="0"/>
    <n v="0"/>
    <n v="0"/>
    <n v="0"/>
    <n v="0"/>
    <n v="0"/>
    <n v="0"/>
    <n v="0"/>
    <n v="0"/>
    <n v="0"/>
    <n v="0"/>
    <n v="0"/>
    <n v="0"/>
  </r>
  <r>
    <x v="69"/>
    <x v="68"/>
    <m/>
    <x v="3"/>
    <m/>
    <x v="1"/>
    <m/>
    <m/>
    <m/>
    <m/>
    <m/>
    <n v="0.25"/>
    <x v="0"/>
    <m/>
    <m/>
    <n v="15"/>
    <n v="1.875"/>
    <n v="0.8"/>
    <n v="1.5"/>
    <n v="1620"/>
    <x v="0"/>
    <s v="Hum"/>
    <x v="3"/>
    <n v="20766"/>
    <n v="17442"/>
    <n v="65099.25"/>
    <n v="6000"/>
    <n v="11250"/>
    <n v="76349.25"/>
    <n v="0"/>
    <n v="1"/>
    <n v="0"/>
    <n v="0"/>
    <n v="0"/>
    <n v="0"/>
    <n v="0"/>
    <n v="0"/>
    <n v="0"/>
    <n v="0"/>
    <n v="0"/>
    <n v="0"/>
    <s v="Äskat/Beslutat 200611 p.39"/>
    <m/>
    <n v="0"/>
    <n v="0"/>
    <n v="1.875"/>
    <n v="1.5"/>
    <n v="0"/>
    <n v="0"/>
    <n v="0"/>
    <n v="0"/>
    <n v="0"/>
    <n v="0"/>
    <n v="0"/>
    <n v="0"/>
    <n v="0"/>
    <n v="0"/>
    <n v="0"/>
    <n v="0"/>
    <n v="0"/>
    <n v="0"/>
    <n v="0"/>
    <n v="0"/>
    <n v="0"/>
    <n v="0"/>
    <n v="0"/>
    <n v="0"/>
  </r>
  <r>
    <x v="70"/>
    <x v="69"/>
    <m/>
    <x v="3"/>
    <m/>
    <x v="1"/>
    <m/>
    <m/>
    <s v="Distans"/>
    <m/>
    <m/>
    <n v="0.25"/>
    <x v="0"/>
    <m/>
    <m/>
    <n v="6"/>
    <n v="0.75"/>
    <n v="0.8"/>
    <n v="0.60000000000000009"/>
    <n v="1620"/>
    <x v="0"/>
    <s v="Hum"/>
    <x v="3"/>
    <n v="20766"/>
    <n v="17442"/>
    <n v="26039.7"/>
    <n v="6000"/>
    <n v="4500"/>
    <n v="30539.7"/>
    <n v="0"/>
    <n v="1"/>
    <n v="0"/>
    <n v="0"/>
    <n v="0"/>
    <n v="0"/>
    <n v="0"/>
    <n v="0"/>
    <n v="0"/>
    <n v="0"/>
    <n v="0"/>
    <n v="0"/>
    <s v="Äskat/Beslutat 200611 p.39"/>
    <m/>
    <n v="0"/>
    <n v="0"/>
    <n v="0.75"/>
    <n v="0.60000000000000009"/>
    <n v="0"/>
    <n v="0"/>
    <n v="0"/>
    <n v="0"/>
    <n v="0"/>
    <n v="0"/>
    <n v="0"/>
    <n v="0"/>
    <n v="0"/>
    <n v="0"/>
    <n v="0"/>
    <n v="0"/>
    <n v="0"/>
    <n v="0"/>
    <n v="0"/>
    <n v="0"/>
    <n v="0"/>
    <n v="0"/>
    <n v="0"/>
    <n v="0"/>
  </r>
  <r>
    <x v="71"/>
    <x v="70"/>
    <m/>
    <x v="3"/>
    <m/>
    <x v="1"/>
    <m/>
    <m/>
    <s v="Distans"/>
    <m/>
    <m/>
    <n v="0.25"/>
    <x v="0"/>
    <m/>
    <m/>
    <n v="24"/>
    <n v="3"/>
    <n v="0.8"/>
    <n v="2.4000000000000004"/>
    <n v="5400"/>
    <x v="4"/>
    <s v="TekNat"/>
    <x v="3"/>
    <n v="20757"/>
    <n v="36082"/>
    <n v="148867.80000000002"/>
    <n v="22600"/>
    <n v="67800"/>
    <n v="216667.80000000002"/>
    <n v="0"/>
    <n v="0"/>
    <n v="0"/>
    <n v="0"/>
    <n v="0"/>
    <n v="0.5"/>
    <n v="0"/>
    <n v="0.5"/>
    <n v="0"/>
    <n v="0"/>
    <n v="0"/>
    <n v="0"/>
    <s v="Äskat/Beslutat 200611 p.39"/>
    <m/>
    <n v="0"/>
    <n v="0"/>
    <n v="0"/>
    <n v="0"/>
    <n v="0"/>
    <n v="0"/>
    <n v="0"/>
    <n v="0"/>
    <n v="0"/>
    <n v="0"/>
    <n v="1.5"/>
    <n v="1.2000000000000002"/>
    <n v="0"/>
    <n v="0"/>
    <n v="1.5"/>
    <n v="1.2000000000000002"/>
    <n v="0"/>
    <n v="0"/>
    <n v="0"/>
    <n v="0"/>
    <n v="0"/>
    <n v="0"/>
    <n v="0"/>
    <n v="0"/>
  </r>
  <r>
    <x v="71"/>
    <x v="70"/>
    <m/>
    <x v="0"/>
    <s v="H20"/>
    <x v="1"/>
    <s v="H211-20"/>
    <s v="Umeå"/>
    <m/>
    <s v="NATU"/>
    <m/>
    <n v="0.25"/>
    <x v="0"/>
    <m/>
    <m/>
    <n v="1"/>
    <n v="0.125"/>
    <n v="0.85"/>
    <n v="0.10625"/>
    <n v="5400"/>
    <x v="4"/>
    <s v="TekNat"/>
    <x v="0"/>
    <n v="20757"/>
    <n v="36082"/>
    <n v="6428.3374999999996"/>
    <n v="22600"/>
    <n v="2825"/>
    <n v="9253.3374999999996"/>
    <n v="0"/>
    <n v="0"/>
    <n v="0"/>
    <n v="0"/>
    <n v="0"/>
    <n v="0.5"/>
    <n v="0"/>
    <n v="0.5"/>
    <n v="0"/>
    <n v="0"/>
    <n v="0"/>
    <n v="0"/>
    <s v="SP 210924"/>
    <m/>
    <n v="0"/>
    <n v="0"/>
    <n v="0"/>
    <n v="0"/>
    <n v="0"/>
    <n v="0"/>
    <n v="0"/>
    <n v="0"/>
    <n v="0"/>
    <n v="0"/>
    <n v="6.25E-2"/>
    <n v="5.3124999999999999E-2"/>
    <n v="0"/>
    <n v="0"/>
    <n v="6.25E-2"/>
    <n v="5.3124999999999999E-2"/>
    <n v="0"/>
    <n v="0"/>
    <n v="0"/>
    <n v="0"/>
    <n v="0"/>
    <n v="0"/>
    <n v="0"/>
    <n v="0"/>
  </r>
  <r>
    <x v="72"/>
    <x v="71"/>
    <n v="62500"/>
    <x v="3"/>
    <m/>
    <x v="0"/>
    <m/>
    <s v="Umeå"/>
    <s v="Normal"/>
    <m/>
    <m/>
    <m/>
    <x v="0"/>
    <m/>
    <m/>
    <n v="1"/>
    <n v="0.125"/>
    <n v="0.8"/>
    <n v="0.1"/>
    <n v="5740"/>
    <x v="7"/>
    <s v="TekNat"/>
    <x v="3"/>
    <n v="20757"/>
    <n v="36082"/>
    <n v="6202.8250000000007"/>
    <n v="22600"/>
    <n v="2825"/>
    <n v="9027.8250000000007"/>
    <n v="0"/>
    <n v="0"/>
    <n v="0"/>
    <n v="0"/>
    <n v="0"/>
    <n v="1"/>
    <n v="0"/>
    <n v="0"/>
    <n v="0"/>
    <n v="0"/>
    <n v="0"/>
    <n v="0"/>
    <s v="Enl Fokus-Ladok 210601"/>
    <m/>
    <n v="0"/>
    <n v="0"/>
    <n v="0"/>
    <n v="0"/>
    <n v="0"/>
    <n v="0"/>
    <n v="0"/>
    <n v="0"/>
    <n v="0"/>
    <n v="0"/>
    <n v="0.125"/>
    <n v="0.1"/>
    <n v="0"/>
    <n v="0"/>
    <n v="0"/>
    <n v="0"/>
    <n v="0"/>
    <n v="0"/>
    <n v="0"/>
    <n v="0"/>
    <n v="0"/>
    <n v="0"/>
    <n v="0"/>
    <n v="0"/>
  </r>
  <r>
    <x v="73"/>
    <x v="72"/>
    <n v="62501"/>
    <x v="3"/>
    <m/>
    <x v="0"/>
    <m/>
    <s v="Umeå"/>
    <s v="Normal"/>
    <m/>
    <m/>
    <m/>
    <x v="0"/>
    <m/>
    <m/>
    <n v="1"/>
    <n v="0.125"/>
    <n v="0.8"/>
    <n v="0.1"/>
    <n v="5740"/>
    <x v="7"/>
    <s v="TekNat"/>
    <x v="3"/>
    <n v="20757"/>
    <n v="36082"/>
    <n v="6202.8250000000007"/>
    <n v="22600"/>
    <n v="2825"/>
    <n v="9027.8250000000007"/>
    <n v="0"/>
    <n v="0"/>
    <n v="0"/>
    <n v="0"/>
    <n v="0"/>
    <n v="1"/>
    <n v="0"/>
    <n v="0"/>
    <n v="0"/>
    <n v="0"/>
    <n v="0"/>
    <n v="0"/>
    <s v="Enl Fokus-Ladok 210601"/>
    <m/>
    <n v="0"/>
    <n v="0"/>
    <n v="0"/>
    <n v="0"/>
    <n v="0"/>
    <n v="0"/>
    <n v="0"/>
    <n v="0"/>
    <n v="0"/>
    <n v="0"/>
    <n v="0.125"/>
    <n v="0.1"/>
    <n v="0"/>
    <n v="0"/>
    <n v="0"/>
    <n v="0"/>
    <n v="0"/>
    <n v="0"/>
    <n v="0"/>
    <n v="0"/>
    <n v="0"/>
    <n v="0"/>
    <n v="0"/>
    <n v="0"/>
  </r>
  <r>
    <x v="74"/>
    <x v="73"/>
    <n v="62502"/>
    <x v="3"/>
    <m/>
    <x v="0"/>
    <m/>
    <s v="Umeå"/>
    <s v="Normal"/>
    <m/>
    <m/>
    <m/>
    <x v="0"/>
    <m/>
    <m/>
    <n v="1"/>
    <n v="0.125"/>
    <n v="0.8"/>
    <n v="0.1"/>
    <n v="5740"/>
    <x v="7"/>
    <s v="TekNat"/>
    <x v="3"/>
    <n v="20757"/>
    <n v="36082"/>
    <n v="6202.8250000000007"/>
    <n v="22600"/>
    <n v="2825"/>
    <n v="9027.8250000000007"/>
    <n v="0"/>
    <n v="0"/>
    <n v="0"/>
    <n v="0"/>
    <n v="0"/>
    <n v="1"/>
    <n v="0"/>
    <n v="0"/>
    <n v="0"/>
    <n v="0"/>
    <n v="0"/>
    <n v="0"/>
    <s v="Enl Fokus-Ladok 210601"/>
    <m/>
    <n v="0"/>
    <n v="0"/>
    <n v="0"/>
    <n v="0"/>
    <n v="0"/>
    <n v="0"/>
    <n v="0"/>
    <n v="0"/>
    <n v="0"/>
    <n v="0"/>
    <n v="0.125"/>
    <n v="0.1"/>
    <n v="0"/>
    <n v="0"/>
    <n v="0"/>
    <n v="0"/>
    <n v="0"/>
    <n v="0"/>
    <n v="0"/>
    <n v="0"/>
    <n v="0"/>
    <n v="0"/>
    <n v="0"/>
    <n v="0"/>
  </r>
  <r>
    <x v="75"/>
    <x v="74"/>
    <m/>
    <x v="0"/>
    <s v="H18"/>
    <x v="1"/>
    <s v="H216-10"/>
    <s v="Umeå"/>
    <m/>
    <s v="IDRH"/>
    <m/>
    <n v="1"/>
    <x v="0"/>
    <m/>
    <m/>
    <n v="1"/>
    <n v="0.125"/>
    <n v="0.85"/>
    <n v="0.10625"/>
    <n v="5100"/>
    <x v="3"/>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75"/>
    <x v="74"/>
    <m/>
    <x v="0"/>
    <s v="H20"/>
    <x v="1"/>
    <s v="H216-10"/>
    <s v="Umeå"/>
    <m/>
    <s v="GEOG"/>
    <m/>
    <n v="1"/>
    <x v="0"/>
    <m/>
    <m/>
    <n v="3"/>
    <n v="0.375"/>
    <n v="0.85"/>
    <n v="0.31874999999999998"/>
    <n v="5100"/>
    <x v="3"/>
    <s v="TekNat"/>
    <x v="0"/>
    <n v="20757"/>
    <n v="36082"/>
    <n v="19285.012499999997"/>
    <n v="22600"/>
    <n v="8475"/>
    <n v="27760.012499999997"/>
    <n v="0"/>
    <n v="0"/>
    <n v="0"/>
    <n v="0"/>
    <n v="0"/>
    <n v="1"/>
    <n v="0"/>
    <n v="0"/>
    <n v="0"/>
    <n v="0"/>
    <n v="0"/>
    <n v="0"/>
    <s v="SP 210924"/>
    <m/>
    <n v="0"/>
    <n v="0"/>
    <n v="0"/>
    <n v="0"/>
    <n v="0"/>
    <n v="0"/>
    <n v="0"/>
    <n v="0"/>
    <n v="0"/>
    <n v="0"/>
    <n v="0.375"/>
    <n v="0.31874999999999998"/>
    <n v="0"/>
    <n v="0"/>
    <n v="0"/>
    <n v="0"/>
    <n v="0"/>
    <n v="0"/>
    <n v="0"/>
    <n v="0"/>
    <n v="0"/>
    <n v="0"/>
    <n v="0"/>
    <n v="0"/>
  </r>
  <r>
    <x v="76"/>
    <x v="75"/>
    <n v="75052"/>
    <x v="0"/>
    <m/>
    <x v="0"/>
    <m/>
    <s v="Umeå"/>
    <s v="Normal"/>
    <s v="ENGS"/>
    <m/>
    <m/>
    <x v="0"/>
    <m/>
    <m/>
    <n v="1"/>
    <n v="0.125"/>
    <n v="0.85"/>
    <n v="0.10625"/>
    <n v="5100"/>
    <x v="3"/>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76"/>
    <x v="75"/>
    <n v="75052"/>
    <x v="0"/>
    <m/>
    <x v="0"/>
    <m/>
    <s v="Umeå"/>
    <s v="Normal"/>
    <s v="GEOG"/>
    <m/>
    <m/>
    <x v="0"/>
    <m/>
    <m/>
    <n v="3"/>
    <n v="0.375"/>
    <n v="0.85"/>
    <n v="0.31874999999999998"/>
    <n v="5100"/>
    <x v="3"/>
    <s v="TekNat"/>
    <x v="0"/>
    <n v="20757"/>
    <n v="36082"/>
    <n v="19285.012499999997"/>
    <n v="22600"/>
    <n v="8475"/>
    <n v="27760.012499999997"/>
    <n v="0"/>
    <n v="0"/>
    <n v="0"/>
    <n v="0"/>
    <n v="0"/>
    <n v="1"/>
    <n v="0"/>
    <n v="0"/>
    <n v="0"/>
    <n v="0"/>
    <n v="0"/>
    <n v="0"/>
    <s v="Enl Fokus-Ladok 210601"/>
    <m/>
    <n v="0"/>
    <n v="0"/>
    <n v="0"/>
    <n v="0"/>
    <n v="0"/>
    <n v="0"/>
    <n v="0"/>
    <n v="0"/>
    <n v="0"/>
    <n v="0"/>
    <n v="0.375"/>
    <n v="0.31874999999999998"/>
    <n v="0"/>
    <n v="0"/>
    <n v="0"/>
    <n v="0"/>
    <n v="0"/>
    <n v="0"/>
    <n v="0"/>
    <n v="0"/>
    <n v="0"/>
    <n v="0"/>
    <n v="0"/>
    <n v="0"/>
  </r>
  <r>
    <x v="76"/>
    <x v="75"/>
    <n v="75052"/>
    <x v="0"/>
    <m/>
    <x v="0"/>
    <m/>
    <s v="Umeå"/>
    <s v="Normal"/>
    <s v="HIST"/>
    <m/>
    <m/>
    <x v="0"/>
    <m/>
    <m/>
    <n v="2"/>
    <n v="0.25"/>
    <n v="0.85"/>
    <n v="0.21249999999999999"/>
    <n v="5100"/>
    <x v="3"/>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77"/>
    <x v="76"/>
    <m/>
    <x v="0"/>
    <s v="H18"/>
    <x v="1"/>
    <s v="H2111-15"/>
    <s v="Umeå"/>
    <m/>
    <s v="IDRH"/>
    <m/>
    <n v="1"/>
    <x v="0"/>
    <m/>
    <m/>
    <n v="1"/>
    <n v="0.125"/>
    <n v="0.85"/>
    <n v="0.10625"/>
    <n v="5100"/>
    <x v="3"/>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77"/>
    <x v="76"/>
    <m/>
    <x v="0"/>
    <s v="H20"/>
    <x v="1"/>
    <s v="H2111-15"/>
    <s v="Umeå"/>
    <m/>
    <s v="GEOG"/>
    <m/>
    <n v="1"/>
    <x v="0"/>
    <m/>
    <m/>
    <n v="3"/>
    <n v="0.375"/>
    <n v="0.85"/>
    <n v="0.31874999999999998"/>
    <n v="5100"/>
    <x v="3"/>
    <s v="TekNat"/>
    <x v="0"/>
    <n v="20757"/>
    <n v="36082"/>
    <n v="19285.012499999997"/>
    <n v="22600"/>
    <n v="8475"/>
    <n v="27760.012499999997"/>
    <n v="0"/>
    <n v="0"/>
    <n v="0"/>
    <n v="0"/>
    <n v="0"/>
    <n v="1"/>
    <n v="0"/>
    <n v="0"/>
    <n v="0"/>
    <n v="0"/>
    <n v="0"/>
    <n v="0"/>
    <s v="SP 210924"/>
    <m/>
    <n v="0"/>
    <n v="0"/>
    <n v="0"/>
    <n v="0"/>
    <n v="0"/>
    <n v="0"/>
    <n v="0"/>
    <n v="0"/>
    <n v="0"/>
    <n v="0"/>
    <n v="0.375"/>
    <n v="0.31874999999999998"/>
    <n v="0"/>
    <n v="0"/>
    <n v="0"/>
    <n v="0"/>
    <n v="0"/>
    <n v="0"/>
    <n v="0"/>
    <n v="0"/>
    <n v="0"/>
    <n v="0"/>
    <n v="0"/>
    <n v="0"/>
  </r>
  <r>
    <x v="78"/>
    <x v="77"/>
    <n v="75051"/>
    <x v="0"/>
    <m/>
    <x v="0"/>
    <m/>
    <s v="Umeå"/>
    <s v="Normal"/>
    <s v="ENGS"/>
    <m/>
    <m/>
    <x v="0"/>
    <m/>
    <m/>
    <n v="1"/>
    <n v="0.125"/>
    <n v="0.85"/>
    <n v="0.10625"/>
    <n v="5100"/>
    <x v="3"/>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78"/>
    <x v="77"/>
    <n v="75051"/>
    <x v="0"/>
    <m/>
    <x v="0"/>
    <m/>
    <s v="Umeå"/>
    <s v="Normal"/>
    <s v="GEOG"/>
    <m/>
    <m/>
    <x v="0"/>
    <m/>
    <m/>
    <n v="3"/>
    <n v="0.375"/>
    <n v="0.85"/>
    <n v="0.31874999999999998"/>
    <n v="5100"/>
    <x v="3"/>
    <s v="TekNat"/>
    <x v="0"/>
    <n v="20757"/>
    <n v="36082"/>
    <n v="19285.012499999997"/>
    <n v="22600"/>
    <n v="8475"/>
    <n v="27760.012499999997"/>
    <n v="0"/>
    <n v="0"/>
    <n v="0"/>
    <n v="0"/>
    <n v="0"/>
    <n v="1"/>
    <n v="0"/>
    <n v="0"/>
    <n v="0"/>
    <n v="0"/>
    <n v="0"/>
    <n v="0"/>
    <s v="Enl Fokus-Ladok 210601"/>
    <m/>
    <n v="0"/>
    <n v="0"/>
    <n v="0"/>
    <n v="0"/>
    <n v="0"/>
    <n v="0"/>
    <n v="0"/>
    <n v="0"/>
    <n v="0"/>
    <n v="0"/>
    <n v="0.375"/>
    <n v="0.31874999999999998"/>
    <n v="0"/>
    <n v="0"/>
    <n v="0"/>
    <n v="0"/>
    <n v="0"/>
    <n v="0"/>
    <n v="0"/>
    <n v="0"/>
    <n v="0"/>
    <n v="0"/>
    <n v="0"/>
    <n v="0"/>
  </r>
  <r>
    <x v="78"/>
    <x v="77"/>
    <n v="75051"/>
    <x v="0"/>
    <m/>
    <x v="0"/>
    <m/>
    <s v="Umeå"/>
    <s v="Normal"/>
    <s v="HIST"/>
    <m/>
    <m/>
    <x v="0"/>
    <m/>
    <m/>
    <n v="2"/>
    <n v="0.25"/>
    <n v="0.85"/>
    <n v="0.21249999999999999"/>
    <n v="5100"/>
    <x v="3"/>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79"/>
    <x v="78"/>
    <m/>
    <x v="0"/>
    <s v="H16"/>
    <x v="1"/>
    <s v="H2116-20:V221-15"/>
    <s v="Umeå"/>
    <m/>
    <s v="IDRH"/>
    <m/>
    <n v="1"/>
    <x v="0"/>
    <m/>
    <m/>
    <n v="1"/>
    <n v="0.125"/>
    <n v="0.85"/>
    <n v="0.10625"/>
    <n v="1630"/>
    <x v="11"/>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79"/>
    <x v="78"/>
    <m/>
    <x v="0"/>
    <s v="H17"/>
    <x v="1"/>
    <s v="H2116-20:V221-15"/>
    <s v="Umeå"/>
    <m/>
    <s v="ENGS"/>
    <m/>
    <n v="1"/>
    <x v="0"/>
    <m/>
    <m/>
    <n v="1"/>
    <n v="0.125"/>
    <n v="0.85"/>
    <n v="0.10625"/>
    <n v="1630"/>
    <x v="11"/>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79"/>
    <x v="78"/>
    <m/>
    <x v="0"/>
    <s v="H17"/>
    <x v="1"/>
    <s v="H2116-20:V221-15"/>
    <s v="Umeå"/>
    <m/>
    <s v="HIST"/>
    <m/>
    <n v="1"/>
    <x v="0"/>
    <m/>
    <m/>
    <n v="6"/>
    <n v="0.75"/>
    <n v="0.85"/>
    <n v="0.63749999999999996"/>
    <n v="1630"/>
    <x v="11"/>
    <s v="Hum"/>
    <x v="0"/>
    <n v="20766"/>
    <n v="17442"/>
    <n v="26693.775000000001"/>
    <n v="6000"/>
    <n v="4500"/>
    <n v="31193.775000000001"/>
    <n v="0"/>
    <n v="1"/>
    <n v="0"/>
    <n v="0"/>
    <n v="0"/>
    <n v="0"/>
    <n v="0"/>
    <n v="0"/>
    <n v="0"/>
    <n v="0"/>
    <n v="0"/>
    <n v="0"/>
    <s v="SP 210924"/>
    <s v="Läser 7,5 av 30 hp denna termin"/>
    <n v="0"/>
    <n v="0"/>
    <n v="0.75"/>
    <n v="0.63749999999999996"/>
    <n v="0"/>
    <n v="0"/>
    <n v="0"/>
    <n v="0"/>
    <n v="0"/>
    <n v="0"/>
    <n v="0"/>
    <n v="0"/>
    <n v="0"/>
    <n v="0"/>
    <n v="0"/>
    <n v="0"/>
    <n v="0"/>
    <n v="0"/>
    <n v="0"/>
    <n v="0"/>
    <n v="0"/>
    <n v="0"/>
    <n v="0"/>
    <n v="0"/>
  </r>
  <r>
    <x v="79"/>
    <x v="78"/>
    <m/>
    <x v="0"/>
    <s v="H18"/>
    <x v="1"/>
    <s v="H2116-20:V221-15"/>
    <s v="Umeå"/>
    <m/>
    <s v="HIST"/>
    <m/>
    <n v="1"/>
    <x v="0"/>
    <m/>
    <m/>
    <n v="1"/>
    <n v="0.125"/>
    <n v="0.85"/>
    <n v="0.10625"/>
    <n v="1630"/>
    <x v="11"/>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79"/>
    <x v="78"/>
    <m/>
    <x v="0"/>
    <s v="H19"/>
    <x v="1"/>
    <s v="H2116-20:V221-15"/>
    <s v="Umeå"/>
    <m/>
    <s v="HIST"/>
    <m/>
    <n v="1"/>
    <x v="0"/>
    <m/>
    <m/>
    <n v="1"/>
    <n v="0.125"/>
    <n v="0.85"/>
    <n v="0.10625"/>
    <n v="1630"/>
    <x v="11"/>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80"/>
    <x v="79"/>
    <m/>
    <x v="0"/>
    <s v="H16"/>
    <x v="1"/>
    <s v="H211-15"/>
    <s v="Umeå"/>
    <m/>
    <s v="HIST"/>
    <m/>
    <n v="1"/>
    <x v="2"/>
    <m/>
    <m/>
    <n v="1"/>
    <n v="0.375"/>
    <n v="0.85"/>
    <n v="0.31874999999999998"/>
    <n v="1630"/>
    <x v="11"/>
    <s v="Hu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80"/>
    <x v="79"/>
    <m/>
    <x v="0"/>
    <s v="H17"/>
    <x v="1"/>
    <s v="H211-15"/>
    <s v="Umeå"/>
    <m/>
    <s v="HIST"/>
    <m/>
    <n v="1"/>
    <x v="2"/>
    <m/>
    <m/>
    <n v="8"/>
    <n v="3"/>
    <n v="0.85"/>
    <n v="2.5499999999999998"/>
    <n v="1630"/>
    <x v="11"/>
    <s v="Hum"/>
    <x v="0"/>
    <n v="25235"/>
    <n v="27976"/>
    <n v="147043.79999999999"/>
    <n v="3600"/>
    <n v="10800"/>
    <n v="157843.79999999999"/>
    <n v="0"/>
    <n v="0"/>
    <n v="0"/>
    <n v="0"/>
    <n v="0"/>
    <n v="0"/>
    <n v="0"/>
    <n v="0"/>
    <n v="1"/>
    <n v="0"/>
    <n v="0"/>
    <n v="0"/>
    <s v="SP 210924"/>
    <m/>
    <n v="0"/>
    <n v="0"/>
    <n v="0"/>
    <n v="0"/>
    <n v="0"/>
    <n v="0"/>
    <n v="0"/>
    <n v="0"/>
    <n v="0"/>
    <n v="0"/>
    <n v="0"/>
    <n v="0"/>
    <n v="0"/>
    <n v="0"/>
    <n v="0"/>
    <n v="0"/>
    <n v="3"/>
    <n v="2.5499999999999998"/>
    <n v="0"/>
    <n v="0"/>
    <n v="0"/>
    <n v="0"/>
    <n v="0"/>
    <n v="0"/>
  </r>
  <r>
    <x v="80"/>
    <x v="79"/>
    <m/>
    <x v="0"/>
    <s v="H18"/>
    <x v="1"/>
    <s v="H211-15"/>
    <s v="Umeå"/>
    <m/>
    <s v="HIST"/>
    <m/>
    <n v="1"/>
    <x v="2"/>
    <m/>
    <m/>
    <n v="2"/>
    <n v="0.75"/>
    <n v="0.85"/>
    <n v="0.63749999999999996"/>
    <n v="1630"/>
    <x v="11"/>
    <s v="Hum"/>
    <x v="0"/>
    <n v="25235"/>
    <n v="27976"/>
    <n v="36760.949999999997"/>
    <n v="3600"/>
    <n v="2700"/>
    <n v="39460.949999999997"/>
    <n v="0"/>
    <n v="0"/>
    <n v="0"/>
    <n v="0"/>
    <n v="0"/>
    <n v="0"/>
    <n v="0"/>
    <n v="0"/>
    <n v="1"/>
    <n v="0"/>
    <n v="0"/>
    <n v="0"/>
    <s v="SP 210924"/>
    <m/>
    <n v="0"/>
    <n v="0"/>
    <n v="0"/>
    <n v="0"/>
    <n v="0"/>
    <n v="0"/>
    <n v="0"/>
    <n v="0"/>
    <n v="0"/>
    <n v="0"/>
    <n v="0"/>
    <n v="0"/>
    <n v="0"/>
    <n v="0"/>
    <n v="0"/>
    <n v="0"/>
    <n v="0.75"/>
    <n v="0.63749999999999996"/>
    <n v="0"/>
    <n v="0"/>
    <n v="0"/>
    <n v="0"/>
    <n v="0"/>
    <n v="0"/>
  </r>
  <r>
    <x v="80"/>
    <x v="79"/>
    <m/>
    <x v="0"/>
    <s v="H19"/>
    <x v="1"/>
    <s v="H211-15"/>
    <s v="Umeå"/>
    <m/>
    <s v="HIST"/>
    <m/>
    <n v="1"/>
    <x v="2"/>
    <m/>
    <m/>
    <n v="1"/>
    <n v="0.375"/>
    <n v="0.85"/>
    <n v="0.31874999999999998"/>
    <n v="1630"/>
    <x v="11"/>
    <s v="Hu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80"/>
    <x v="79"/>
    <n v="71602"/>
    <x v="0"/>
    <m/>
    <x v="0"/>
    <m/>
    <s v="Umeå"/>
    <s v="Normal"/>
    <s v="HIST"/>
    <m/>
    <m/>
    <x v="2"/>
    <m/>
    <m/>
    <n v="4"/>
    <n v="1.5"/>
    <n v="0.85"/>
    <n v="1.2749999999999999"/>
    <n v="1630"/>
    <x v="11"/>
    <s v="Hum"/>
    <x v="0"/>
    <n v="25235"/>
    <n v="27976"/>
    <n v="73521.899999999994"/>
    <n v="3600"/>
    <n v="5400"/>
    <n v="78921.899999999994"/>
    <n v="0"/>
    <n v="0"/>
    <n v="0"/>
    <n v="0"/>
    <n v="0"/>
    <n v="0"/>
    <n v="0"/>
    <n v="0"/>
    <n v="1"/>
    <n v="0"/>
    <n v="0"/>
    <n v="0"/>
    <s v="Enl Fokus-Ladok 210601"/>
    <m/>
    <n v="0"/>
    <n v="0"/>
    <n v="0"/>
    <n v="0"/>
    <n v="0"/>
    <n v="0"/>
    <n v="0"/>
    <n v="0"/>
    <n v="0"/>
    <n v="0"/>
    <n v="0"/>
    <n v="0"/>
    <n v="0"/>
    <n v="0"/>
    <n v="0"/>
    <n v="0"/>
    <n v="1.5"/>
    <n v="1.2749999999999999"/>
    <n v="0"/>
    <n v="0"/>
    <n v="0"/>
    <n v="0"/>
    <n v="0"/>
    <n v="0"/>
  </r>
  <r>
    <x v="81"/>
    <x v="80"/>
    <m/>
    <x v="0"/>
    <s v="H18"/>
    <x v="1"/>
    <s v="H2113-16"/>
    <s v="Umeå"/>
    <m/>
    <s v="HIST"/>
    <m/>
    <n v="1"/>
    <x v="4"/>
    <m/>
    <m/>
    <n v="2"/>
    <n v="0.2"/>
    <n v="0.85"/>
    <n v="0.17"/>
    <n v="1630"/>
    <x v="11"/>
    <s v="Hum"/>
    <x v="0"/>
    <n v="25235"/>
    <n v="27976"/>
    <n v="9802.92"/>
    <n v="3600"/>
    <n v="720"/>
    <n v="10522.92"/>
    <n v="0"/>
    <n v="0"/>
    <n v="0"/>
    <n v="0"/>
    <n v="0"/>
    <n v="0"/>
    <n v="0"/>
    <n v="0"/>
    <n v="1"/>
    <n v="0"/>
    <n v="0"/>
    <n v="0"/>
    <s v="SP 210924"/>
    <m/>
    <n v="0"/>
    <n v="0"/>
    <n v="0"/>
    <n v="0"/>
    <n v="0"/>
    <n v="0"/>
    <n v="0"/>
    <n v="0"/>
    <n v="0"/>
    <n v="0"/>
    <n v="0"/>
    <n v="0"/>
    <n v="0"/>
    <n v="0"/>
    <n v="0"/>
    <n v="0"/>
    <n v="0.2"/>
    <n v="0.17"/>
    <n v="0"/>
    <n v="0"/>
    <n v="0"/>
    <n v="0"/>
    <n v="0"/>
    <n v="0"/>
  </r>
  <r>
    <x v="81"/>
    <x v="80"/>
    <m/>
    <x v="0"/>
    <s v="H19"/>
    <x v="1"/>
    <s v="H2113-16"/>
    <s v="Umeå"/>
    <m/>
    <s v="ENGS"/>
    <m/>
    <n v="1"/>
    <x v="4"/>
    <m/>
    <m/>
    <n v="1"/>
    <n v="0.1"/>
    <n v="0.85"/>
    <n v="8.5000000000000006E-2"/>
    <n v="1630"/>
    <x v="11"/>
    <s v="Hu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81"/>
    <x v="80"/>
    <m/>
    <x v="0"/>
    <s v="H19"/>
    <x v="1"/>
    <s v="H2113-16"/>
    <s v="Umeå"/>
    <m/>
    <s v="HIST"/>
    <m/>
    <n v="1"/>
    <x v="4"/>
    <m/>
    <m/>
    <n v="19"/>
    <n v="1.9000000000000001"/>
    <n v="0.85"/>
    <n v="1.615"/>
    <n v="1630"/>
    <x v="11"/>
    <s v="Hum"/>
    <x v="0"/>
    <n v="25235"/>
    <n v="27976"/>
    <n v="93127.739999999991"/>
    <n v="3600"/>
    <n v="6840.0000000000009"/>
    <n v="99967.739999999991"/>
    <n v="0"/>
    <n v="0"/>
    <n v="0"/>
    <n v="0"/>
    <n v="0"/>
    <n v="0"/>
    <n v="0"/>
    <n v="0"/>
    <n v="1"/>
    <n v="0"/>
    <n v="0"/>
    <n v="0"/>
    <s v="SP 210924"/>
    <m/>
    <n v="0"/>
    <n v="0"/>
    <n v="0"/>
    <n v="0"/>
    <n v="0"/>
    <n v="0"/>
    <n v="0"/>
    <n v="0"/>
    <n v="0"/>
    <n v="0"/>
    <n v="0"/>
    <n v="0"/>
    <n v="0"/>
    <n v="0"/>
    <n v="0"/>
    <n v="0"/>
    <n v="1.9000000000000001"/>
    <n v="1.615"/>
    <n v="0"/>
    <n v="0"/>
    <n v="0"/>
    <n v="0"/>
    <n v="0"/>
    <n v="0"/>
  </r>
  <r>
    <x v="81"/>
    <x v="80"/>
    <m/>
    <x v="0"/>
    <s v="V18"/>
    <x v="1"/>
    <s v="H2113-16"/>
    <s v="Umeå"/>
    <m/>
    <s v="HIST"/>
    <m/>
    <n v="1"/>
    <x v="4"/>
    <m/>
    <m/>
    <n v="1"/>
    <n v="0.1"/>
    <n v="0.85"/>
    <n v="8.5000000000000006E-2"/>
    <n v="1630"/>
    <x v="11"/>
    <s v="Hu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82"/>
    <x v="81"/>
    <m/>
    <x v="0"/>
    <s v="H15"/>
    <x v="1"/>
    <s v="H211-20"/>
    <s v="Umeå"/>
    <m/>
    <s v="ENGS"/>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82"/>
    <x v="81"/>
    <m/>
    <x v="0"/>
    <s v="H18"/>
    <x v="1"/>
    <s v="H211-20"/>
    <s v="Umeå"/>
    <m/>
    <s v="BILÄ"/>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82"/>
    <x v="81"/>
    <m/>
    <x v="0"/>
    <s v="H18"/>
    <x v="1"/>
    <s v="H211-20"/>
    <s v="Umeå"/>
    <m/>
    <s v="ENGS"/>
    <m/>
    <n v="1"/>
    <x v="3"/>
    <m/>
    <m/>
    <n v="5"/>
    <n v="2.5"/>
    <n v="0.85"/>
    <n v="2.125"/>
    <n v="1630"/>
    <x v="11"/>
    <s v="Hum"/>
    <x v="0"/>
    <n v="20766"/>
    <n v="17442"/>
    <n v="88979.25"/>
    <n v="6000"/>
    <n v="15000"/>
    <n v="103979.25"/>
    <n v="0"/>
    <n v="1"/>
    <n v="0"/>
    <n v="0"/>
    <n v="0"/>
    <n v="0"/>
    <n v="0"/>
    <n v="0"/>
    <n v="0"/>
    <n v="0"/>
    <n v="0"/>
    <n v="0"/>
    <s v="SP 210924"/>
    <m/>
    <n v="0"/>
    <n v="0"/>
    <n v="2.5"/>
    <n v="2.125"/>
    <n v="0"/>
    <n v="0"/>
    <n v="0"/>
    <n v="0"/>
    <n v="0"/>
    <n v="0"/>
    <n v="0"/>
    <n v="0"/>
    <n v="0"/>
    <n v="0"/>
    <n v="0"/>
    <n v="0"/>
    <n v="0"/>
    <n v="0"/>
    <n v="0"/>
    <n v="0"/>
    <n v="0"/>
    <n v="0"/>
    <n v="0"/>
    <n v="0"/>
  </r>
  <r>
    <x v="82"/>
    <x v="81"/>
    <m/>
    <x v="0"/>
    <s v="H18"/>
    <x v="1"/>
    <s v="H211-20"/>
    <s v="Umeå"/>
    <m/>
    <s v="RELK"/>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82"/>
    <x v="81"/>
    <m/>
    <x v="0"/>
    <s v="H18"/>
    <x v="1"/>
    <s v="H211-20"/>
    <s v="Umeå"/>
    <m/>
    <s v="SAMK"/>
    <m/>
    <n v="1"/>
    <x v="3"/>
    <m/>
    <m/>
    <n v="2"/>
    <n v="1"/>
    <n v="0.85"/>
    <n v="0.85"/>
    <n v="1630"/>
    <x v="11"/>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82"/>
    <x v="81"/>
    <m/>
    <x v="0"/>
    <s v="H19"/>
    <x v="1"/>
    <s v="H211-20"/>
    <s v="Umeå"/>
    <m/>
    <s v="ENGS"/>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82"/>
    <x v="81"/>
    <m/>
    <x v="0"/>
    <s v="H19"/>
    <x v="1"/>
    <s v="H211-20"/>
    <s v="Umeå"/>
    <m/>
    <s v="HIST"/>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82"/>
    <x v="81"/>
    <m/>
    <x v="0"/>
    <s v="H20"/>
    <x v="1"/>
    <s v="H211-20"/>
    <s v="Umeå"/>
    <m/>
    <s v="HIST"/>
    <m/>
    <n v="1"/>
    <x v="3"/>
    <m/>
    <m/>
    <n v="16"/>
    <n v="8"/>
    <n v="0.85"/>
    <n v="6.8"/>
    <n v="1630"/>
    <x v="11"/>
    <s v="Hum"/>
    <x v="0"/>
    <n v="20766"/>
    <n v="17442"/>
    <n v="284733.59999999998"/>
    <n v="6000"/>
    <n v="48000"/>
    <n v="332733.59999999998"/>
    <n v="0"/>
    <n v="1"/>
    <n v="0"/>
    <n v="0"/>
    <n v="0"/>
    <n v="0"/>
    <n v="0"/>
    <n v="0"/>
    <n v="0"/>
    <n v="0"/>
    <n v="0"/>
    <n v="0"/>
    <s v="SP 210924"/>
    <m/>
    <n v="0"/>
    <n v="0"/>
    <n v="8"/>
    <n v="6.8"/>
    <n v="0"/>
    <n v="0"/>
    <n v="0"/>
    <n v="0"/>
    <n v="0"/>
    <n v="0"/>
    <n v="0"/>
    <n v="0"/>
    <n v="0"/>
    <n v="0"/>
    <n v="0"/>
    <n v="0"/>
    <n v="0"/>
    <n v="0"/>
    <n v="0"/>
    <n v="0"/>
    <n v="0"/>
    <n v="0"/>
    <n v="0"/>
    <n v="0"/>
  </r>
  <r>
    <x v="82"/>
    <x v="81"/>
    <m/>
    <x v="0"/>
    <s v="H20"/>
    <x v="1"/>
    <s v="H211-20"/>
    <s v="Umeå"/>
    <m/>
    <s v="SAMK"/>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83"/>
    <x v="82"/>
    <n v="71603"/>
    <x v="0"/>
    <m/>
    <x v="0"/>
    <m/>
    <s v="Umeå"/>
    <s v="Normal"/>
    <s v="BILÄ"/>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83"/>
    <x v="82"/>
    <n v="71603"/>
    <x v="0"/>
    <m/>
    <x v="0"/>
    <m/>
    <s v="Umeå"/>
    <s v="Normal"/>
    <s v="ENGS"/>
    <m/>
    <m/>
    <x v="3"/>
    <m/>
    <m/>
    <n v="7"/>
    <n v="3.5"/>
    <n v="0.85"/>
    <n v="2.9750000000000001"/>
    <n v="1630"/>
    <x v="11"/>
    <s v="Hum"/>
    <x v="0"/>
    <n v="20766"/>
    <n v="17442"/>
    <n v="124570.95000000001"/>
    <n v="6000"/>
    <n v="21000"/>
    <n v="145570.95000000001"/>
    <n v="0"/>
    <n v="1"/>
    <n v="0"/>
    <n v="0"/>
    <n v="0"/>
    <n v="0"/>
    <n v="0"/>
    <n v="0"/>
    <n v="0"/>
    <n v="0"/>
    <n v="0"/>
    <n v="0"/>
    <s v="Enl Fokus-Ladok 210601"/>
    <m/>
    <n v="0"/>
    <n v="0"/>
    <n v="3.5"/>
    <n v="2.9750000000000001"/>
    <n v="0"/>
    <n v="0"/>
    <n v="0"/>
    <n v="0"/>
    <n v="0"/>
    <n v="0"/>
    <n v="0"/>
    <n v="0"/>
    <n v="0"/>
    <n v="0"/>
    <n v="0"/>
    <n v="0"/>
    <n v="0"/>
    <n v="0"/>
    <n v="0"/>
    <n v="0"/>
    <n v="0"/>
    <n v="0"/>
    <n v="0"/>
    <n v="0"/>
  </r>
  <r>
    <x v="83"/>
    <x v="82"/>
    <n v="71603"/>
    <x v="0"/>
    <m/>
    <x v="0"/>
    <m/>
    <s v="Umeå"/>
    <s v="Normal"/>
    <s v="HIST"/>
    <m/>
    <m/>
    <x v="3"/>
    <m/>
    <m/>
    <n v="27"/>
    <n v="13.5"/>
    <n v="0.85"/>
    <n v="11.475"/>
    <n v="1630"/>
    <x v="11"/>
    <s v="Hum"/>
    <x v="0"/>
    <n v="20766"/>
    <n v="17442"/>
    <n v="480487.94999999995"/>
    <n v="6000"/>
    <n v="81000"/>
    <n v="561487.94999999995"/>
    <n v="0"/>
    <n v="1"/>
    <n v="0"/>
    <n v="0"/>
    <n v="0"/>
    <n v="0"/>
    <n v="0"/>
    <n v="0"/>
    <n v="0"/>
    <n v="0"/>
    <n v="0"/>
    <n v="0"/>
    <s v="Enl Fokus-Ladok 210601"/>
    <m/>
    <n v="0"/>
    <n v="0"/>
    <n v="13.5"/>
    <n v="11.475"/>
    <n v="0"/>
    <n v="0"/>
    <n v="0"/>
    <n v="0"/>
    <n v="0"/>
    <n v="0"/>
    <n v="0"/>
    <n v="0"/>
    <n v="0"/>
    <n v="0"/>
    <n v="0"/>
    <n v="0"/>
    <n v="0"/>
    <n v="0"/>
    <n v="0"/>
    <n v="0"/>
    <n v="0"/>
    <n v="0"/>
    <n v="0"/>
    <n v="0"/>
  </r>
  <r>
    <x v="83"/>
    <x v="82"/>
    <n v="71603"/>
    <x v="0"/>
    <m/>
    <x v="0"/>
    <m/>
    <s v="Umeå"/>
    <s v="Normal"/>
    <s v="RELK"/>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83"/>
    <x v="82"/>
    <n v="71603"/>
    <x v="0"/>
    <m/>
    <x v="0"/>
    <m/>
    <s v="Umeå"/>
    <s v="Normal"/>
    <s v="SAMK"/>
    <m/>
    <m/>
    <x v="3"/>
    <m/>
    <m/>
    <n v="5"/>
    <n v="2.5"/>
    <n v="0.85"/>
    <n v="2.125"/>
    <n v="1630"/>
    <x v="11"/>
    <s v="Hum"/>
    <x v="0"/>
    <n v="20766"/>
    <n v="17442"/>
    <n v="88979.25"/>
    <n v="6000"/>
    <n v="15000"/>
    <n v="103979.25"/>
    <n v="0"/>
    <n v="1"/>
    <n v="0"/>
    <n v="0"/>
    <n v="0"/>
    <n v="0"/>
    <n v="0"/>
    <n v="0"/>
    <n v="0"/>
    <n v="0"/>
    <n v="0"/>
    <n v="0"/>
    <s v="Enl Fokus-Ladok 210601"/>
    <m/>
    <n v="0"/>
    <n v="0"/>
    <n v="2.5"/>
    <n v="2.125"/>
    <n v="0"/>
    <n v="0"/>
    <n v="0"/>
    <n v="0"/>
    <n v="0"/>
    <n v="0"/>
    <n v="0"/>
    <n v="0"/>
    <n v="0"/>
    <n v="0"/>
    <n v="0"/>
    <n v="0"/>
    <n v="0"/>
    <n v="0"/>
    <n v="0"/>
    <n v="0"/>
    <n v="0"/>
    <n v="0"/>
    <n v="0"/>
    <n v="0"/>
  </r>
  <r>
    <x v="83"/>
    <x v="82"/>
    <n v="71603"/>
    <x v="0"/>
    <m/>
    <x v="0"/>
    <m/>
    <s v="Umeå"/>
    <s v="Normal"/>
    <s v="SVAA"/>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83"/>
    <x v="82"/>
    <n v="71603"/>
    <x v="0"/>
    <m/>
    <x v="0"/>
    <m/>
    <s v="Umeå"/>
    <s v="Normal"/>
    <m/>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84"/>
    <x v="83"/>
    <n v="71601"/>
    <x v="0"/>
    <m/>
    <x v="0"/>
    <m/>
    <s v="Umeå"/>
    <s v="Normal"/>
    <s v="ENGS"/>
    <m/>
    <m/>
    <x v="3"/>
    <m/>
    <m/>
    <n v="4"/>
    <n v="2"/>
    <n v="0.85"/>
    <n v="1.7"/>
    <n v="1630"/>
    <x v="11"/>
    <s v="Hum"/>
    <x v="0"/>
    <n v="20766"/>
    <n v="17442"/>
    <n v="71183.399999999994"/>
    <n v="6000"/>
    <n v="12000"/>
    <n v="83183.399999999994"/>
    <n v="0"/>
    <n v="1"/>
    <n v="0"/>
    <n v="0"/>
    <n v="0"/>
    <n v="0"/>
    <n v="0"/>
    <n v="0"/>
    <n v="0"/>
    <n v="0"/>
    <n v="0"/>
    <n v="0"/>
    <s v="Enl Fokus-Ladok 210601"/>
    <m/>
    <n v="0"/>
    <n v="0"/>
    <n v="2"/>
    <n v="1.7"/>
    <n v="0"/>
    <n v="0"/>
    <n v="0"/>
    <n v="0"/>
    <n v="0"/>
    <n v="0"/>
    <n v="0"/>
    <n v="0"/>
    <n v="0"/>
    <n v="0"/>
    <n v="0"/>
    <n v="0"/>
    <n v="0"/>
    <n v="0"/>
    <n v="0"/>
    <n v="0"/>
    <n v="0"/>
    <n v="0"/>
    <n v="0"/>
    <n v="0"/>
  </r>
  <r>
    <x v="84"/>
    <x v="83"/>
    <n v="71601"/>
    <x v="0"/>
    <m/>
    <x v="0"/>
    <m/>
    <s v="Umeå"/>
    <s v="Normal"/>
    <s v="HIST"/>
    <m/>
    <m/>
    <x v="3"/>
    <m/>
    <m/>
    <n v="22"/>
    <n v="11"/>
    <n v="0.85"/>
    <n v="9.35"/>
    <n v="1630"/>
    <x v="11"/>
    <s v="Hum"/>
    <x v="0"/>
    <n v="20766"/>
    <n v="17442"/>
    <n v="391508.69999999995"/>
    <n v="6000"/>
    <n v="66000"/>
    <n v="457508.69999999995"/>
    <n v="0"/>
    <n v="1"/>
    <n v="0"/>
    <n v="0"/>
    <n v="0"/>
    <n v="0"/>
    <n v="0"/>
    <n v="0"/>
    <n v="0"/>
    <n v="0"/>
    <n v="0"/>
    <n v="0"/>
    <s v="Enl Fokus-Ladok 210601"/>
    <m/>
    <n v="0"/>
    <n v="0"/>
    <n v="11"/>
    <n v="9.35"/>
    <n v="0"/>
    <n v="0"/>
    <n v="0"/>
    <n v="0"/>
    <n v="0"/>
    <n v="0"/>
    <n v="0"/>
    <n v="0"/>
    <n v="0"/>
    <n v="0"/>
    <n v="0"/>
    <n v="0"/>
    <n v="0"/>
    <n v="0"/>
    <n v="0"/>
    <n v="0"/>
    <n v="0"/>
    <n v="0"/>
    <n v="0"/>
    <n v="0"/>
  </r>
  <r>
    <x v="84"/>
    <x v="83"/>
    <n v="71601"/>
    <x v="0"/>
    <m/>
    <x v="0"/>
    <m/>
    <s v="Umeå"/>
    <s v="Normal"/>
    <s v="IDRH"/>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84"/>
    <x v="83"/>
    <n v="71601"/>
    <x v="0"/>
    <m/>
    <x v="0"/>
    <m/>
    <s v="Umeå"/>
    <s v="Normal"/>
    <s v="RELK"/>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84"/>
    <x v="83"/>
    <n v="71601"/>
    <x v="0"/>
    <m/>
    <x v="0"/>
    <m/>
    <s v="Umeå"/>
    <s v="Normal"/>
    <s v="SAMK"/>
    <m/>
    <m/>
    <x v="3"/>
    <m/>
    <m/>
    <n v="2"/>
    <n v="1"/>
    <n v="0.85"/>
    <n v="0.85"/>
    <n v="1630"/>
    <x v="11"/>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84"/>
    <x v="83"/>
    <n v="71601"/>
    <x v="0"/>
    <m/>
    <x v="0"/>
    <m/>
    <s v="Umeå"/>
    <s v="Normal"/>
    <s v="SVAA"/>
    <m/>
    <m/>
    <x v="3"/>
    <m/>
    <m/>
    <n v="5"/>
    <n v="2.5"/>
    <n v="0.85"/>
    <n v="2.125"/>
    <n v="1630"/>
    <x v="11"/>
    <s v="Hum"/>
    <x v="0"/>
    <n v="20766"/>
    <n v="17442"/>
    <n v="88979.25"/>
    <n v="6000"/>
    <n v="15000"/>
    <n v="103979.25"/>
    <n v="0"/>
    <n v="1"/>
    <n v="0"/>
    <n v="0"/>
    <n v="0"/>
    <n v="0"/>
    <n v="0"/>
    <n v="0"/>
    <n v="0"/>
    <n v="0"/>
    <n v="0"/>
    <n v="0"/>
    <s v="Enl Fokus-Ladok 210601"/>
    <m/>
    <n v="0"/>
    <n v="0"/>
    <n v="2.5"/>
    <n v="2.125"/>
    <n v="0"/>
    <n v="0"/>
    <n v="0"/>
    <n v="0"/>
    <n v="0"/>
    <n v="0"/>
    <n v="0"/>
    <n v="0"/>
    <n v="0"/>
    <n v="0"/>
    <n v="0"/>
    <n v="0"/>
    <n v="0"/>
    <n v="0"/>
    <n v="0"/>
    <n v="0"/>
    <n v="0"/>
    <n v="0"/>
    <n v="0"/>
    <n v="0"/>
  </r>
  <r>
    <x v="85"/>
    <x v="84"/>
    <m/>
    <x v="0"/>
    <s v="H15"/>
    <x v="1"/>
    <s v="H2116-20:V221-15"/>
    <s v="Umeå"/>
    <m/>
    <s v="IDRH"/>
    <m/>
    <n v="1"/>
    <x v="0"/>
    <m/>
    <m/>
    <n v="3"/>
    <n v="0.375"/>
    <n v="0.85"/>
    <n v="0.31874999999999998"/>
    <n v="2180"/>
    <x v="12"/>
    <s v="Sam"/>
    <x v="0"/>
    <n v="20766"/>
    <n v="17442"/>
    <n v="13346.887500000001"/>
    <n v="6000"/>
    <n v="2250"/>
    <n v="15596.887500000001"/>
    <n v="0"/>
    <n v="0"/>
    <n v="0"/>
    <n v="0"/>
    <n v="0"/>
    <n v="0"/>
    <n v="1"/>
    <n v="0"/>
    <n v="0"/>
    <n v="0"/>
    <n v="0"/>
    <n v="0"/>
    <s v="SP 210924"/>
    <s v="Läser 7,5 av 30 hp denna termin"/>
    <n v="0"/>
    <n v="0"/>
    <n v="0"/>
    <n v="0"/>
    <n v="0"/>
    <n v="0"/>
    <n v="0"/>
    <n v="0"/>
    <n v="0"/>
    <n v="0"/>
    <n v="0"/>
    <n v="0"/>
    <n v="0.375"/>
    <n v="0.31874999999999998"/>
    <n v="0"/>
    <n v="0"/>
    <n v="0"/>
    <n v="0"/>
    <n v="0"/>
    <n v="0"/>
    <n v="0"/>
    <n v="0"/>
    <n v="0"/>
    <n v="0"/>
  </r>
  <r>
    <x v="85"/>
    <x v="84"/>
    <m/>
    <x v="0"/>
    <s v="H16"/>
    <x v="1"/>
    <s v="H2116-20:V221-15"/>
    <s v="Umeå"/>
    <m/>
    <s v="ENGS"/>
    <m/>
    <n v="1"/>
    <x v="0"/>
    <m/>
    <m/>
    <n v="1"/>
    <n v="0.125"/>
    <n v="0.85"/>
    <n v="0.10625"/>
    <n v="2180"/>
    <x v="12"/>
    <s v="Sam"/>
    <x v="0"/>
    <n v="20766"/>
    <n v="17442"/>
    <n v="4448.9624999999996"/>
    <n v="6000"/>
    <n v="750"/>
    <n v="5198.9624999999996"/>
    <n v="0"/>
    <n v="0"/>
    <n v="0"/>
    <n v="0"/>
    <n v="0"/>
    <n v="0"/>
    <n v="1"/>
    <n v="0"/>
    <n v="0"/>
    <n v="0"/>
    <n v="0"/>
    <n v="0"/>
    <s v="SP 210924"/>
    <s v="Läser 7,5 av 30 hp denna termin"/>
    <n v="0"/>
    <n v="0"/>
    <n v="0"/>
    <n v="0"/>
    <n v="0"/>
    <n v="0"/>
    <n v="0"/>
    <n v="0"/>
    <n v="0"/>
    <n v="0"/>
    <n v="0"/>
    <n v="0"/>
    <n v="0.125"/>
    <n v="0.10625"/>
    <n v="0"/>
    <n v="0"/>
    <n v="0"/>
    <n v="0"/>
    <n v="0"/>
    <n v="0"/>
    <n v="0"/>
    <n v="0"/>
    <n v="0"/>
    <n v="0"/>
  </r>
  <r>
    <x v="85"/>
    <x v="84"/>
    <m/>
    <x v="0"/>
    <s v="H16"/>
    <x v="1"/>
    <s v="H2116-20:V221-15"/>
    <s v="Umeå"/>
    <m/>
    <s v="IDRH"/>
    <m/>
    <n v="1"/>
    <x v="0"/>
    <m/>
    <m/>
    <n v="1"/>
    <n v="0.125"/>
    <n v="0.85"/>
    <n v="0.10625"/>
    <n v="2180"/>
    <x v="12"/>
    <s v="Sam"/>
    <x v="0"/>
    <n v="20766"/>
    <n v="17442"/>
    <n v="4448.9624999999996"/>
    <n v="6000"/>
    <n v="750"/>
    <n v="5198.9624999999996"/>
    <n v="0"/>
    <n v="0"/>
    <n v="0"/>
    <n v="0"/>
    <n v="0"/>
    <n v="0"/>
    <n v="1"/>
    <n v="0"/>
    <n v="0"/>
    <n v="0"/>
    <n v="0"/>
    <n v="0"/>
    <s v="SP 210924"/>
    <s v="Läser 7,5 av 30 hp denna termin"/>
    <n v="0"/>
    <n v="0"/>
    <n v="0"/>
    <n v="0"/>
    <n v="0"/>
    <n v="0"/>
    <n v="0"/>
    <n v="0"/>
    <n v="0"/>
    <n v="0"/>
    <n v="0"/>
    <n v="0"/>
    <n v="0.125"/>
    <n v="0.10625"/>
    <n v="0"/>
    <n v="0"/>
    <n v="0"/>
    <n v="0"/>
    <n v="0"/>
    <n v="0"/>
    <n v="0"/>
    <n v="0"/>
    <n v="0"/>
    <n v="0"/>
  </r>
  <r>
    <x v="85"/>
    <x v="84"/>
    <m/>
    <x v="0"/>
    <s v="H17"/>
    <x v="1"/>
    <s v="H2116-20:V221-15"/>
    <s v="Umeå"/>
    <m/>
    <s v="ENGS"/>
    <m/>
    <n v="1"/>
    <x v="0"/>
    <m/>
    <m/>
    <n v="1"/>
    <n v="0.125"/>
    <n v="0.85"/>
    <n v="0.10625"/>
    <n v="2180"/>
    <x v="12"/>
    <s v="Sam"/>
    <x v="0"/>
    <n v="20766"/>
    <n v="17442"/>
    <n v="4448.9624999999996"/>
    <n v="6000"/>
    <n v="750"/>
    <n v="5198.9624999999996"/>
    <n v="0"/>
    <n v="0"/>
    <n v="0"/>
    <n v="0"/>
    <n v="0"/>
    <n v="0"/>
    <n v="1"/>
    <n v="0"/>
    <n v="0"/>
    <n v="0"/>
    <n v="0"/>
    <n v="0"/>
    <s v="SP 210924"/>
    <s v="Läser 7,5 av 30 hp denna termin"/>
    <n v="0"/>
    <n v="0"/>
    <n v="0"/>
    <n v="0"/>
    <n v="0"/>
    <n v="0"/>
    <n v="0"/>
    <n v="0"/>
    <n v="0"/>
    <n v="0"/>
    <n v="0"/>
    <n v="0"/>
    <n v="0.125"/>
    <n v="0.10625"/>
    <n v="0"/>
    <n v="0"/>
    <n v="0"/>
    <n v="0"/>
    <n v="0"/>
    <n v="0"/>
    <n v="0"/>
    <n v="0"/>
    <n v="0"/>
    <n v="0"/>
  </r>
  <r>
    <x v="85"/>
    <x v="84"/>
    <m/>
    <x v="0"/>
    <s v="H17"/>
    <x v="1"/>
    <s v="H2116-20:V221-15"/>
    <s v="Umeå"/>
    <m/>
    <s v="IDRH"/>
    <m/>
    <n v="1"/>
    <x v="0"/>
    <m/>
    <m/>
    <n v="11"/>
    <n v="1.375"/>
    <n v="0.85"/>
    <n v="1.16875"/>
    <n v="2180"/>
    <x v="12"/>
    <s v="Sam"/>
    <x v="0"/>
    <n v="20766"/>
    <n v="17442"/>
    <n v="48938.587499999994"/>
    <n v="6000"/>
    <n v="8250"/>
    <n v="57188.587499999994"/>
    <n v="0"/>
    <n v="0"/>
    <n v="0"/>
    <n v="0"/>
    <n v="0"/>
    <n v="0"/>
    <n v="1"/>
    <n v="0"/>
    <n v="0"/>
    <n v="0"/>
    <n v="0"/>
    <n v="0"/>
    <s v="SP 210924"/>
    <s v="Läser 7,5 av 30 hp denna termin"/>
    <n v="0"/>
    <n v="0"/>
    <n v="0"/>
    <n v="0"/>
    <n v="0"/>
    <n v="0"/>
    <n v="0"/>
    <n v="0"/>
    <n v="0"/>
    <n v="0"/>
    <n v="0"/>
    <n v="0"/>
    <n v="1.375"/>
    <n v="1.16875"/>
    <n v="0"/>
    <n v="0"/>
    <n v="0"/>
    <n v="0"/>
    <n v="0"/>
    <n v="0"/>
    <n v="0"/>
    <n v="0"/>
    <n v="0"/>
    <n v="0"/>
  </r>
  <r>
    <x v="85"/>
    <x v="84"/>
    <m/>
    <x v="0"/>
    <s v="H17"/>
    <x v="1"/>
    <s v="H2116-20:V221-15"/>
    <s v="Umeå"/>
    <m/>
    <s v="MATT"/>
    <m/>
    <n v="1"/>
    <x v="0"/>
    <m/>
    <m/>
    <n v="1"/>
    <n v="0.125"/>
    <n v="0.85"/>
    <n v="0.10625"/>
    <n v="2180"/>
    <x v="12"/>
    <s v="Sam"/>
    <x v="0"/>
    <n v="20766"/>
    <n v="17442"/>
    <n v="4448.9624999999996"/>
    <n v="6000"/>
    <n v="750"/>
    <n v="5198.9624999999996"/>
    <n v="0"/>
    <n v="0"/>
    <n v="0"/>
    <n v="0"/>
    <n v="0"/>
    <n v="0"/>
    <n v="1"/>
    <n v="0"/>
    <n v="0"/>
    <n v="0"/>
    <n v="0"/>
    <n v="0"/>
    <s v="SP 210924"/>
    <s v="Läser 7,5 av 30 hp denna termin"/>
    <n v="0"/>
    <n v="0"/>
    <n v="0"/>
    <n v="0"/>
    <n v="0"/>
    <n v="0"/>
    <n v="0"/>
    <n v="0"/>
    <n v="0"/>
    <n v="0"/>
    <n v="0"/>
    <n v="0"/>
    <n v="0.125"/>
    <n v="0.10625"/>
    <n v="0"/>
    <n v="0"/>
    <n v="0"/>
    <n v="0"/>
    <n v="0"/>
    <n v="0"/>
    <n v="0"/>
    <n v="0"/>
    <n v="0"/>
    <n v="0"/>
  </r>
  <r>
    <x v="86"/>
    <x v="85"/>
    <m/>
    <x v="3"/>
    <m/>
    <x v="1"/>
    <m/>
    <m/>
    <s v="Campus"/>
    <m/>
    <m/>
    <n v="1"/>
    <x v="1"/>
    <m/>
    <m/>
    <n v="5"/>
    <n v="1.25"/>
    <n v="0.8"/>
    <n v="1"/>
    <n v="2180"/>
    <x v="12"/>
    <s v="Sam"/>
    <x v="3"/>
    <n v="16920"/>
    <n v="27913"/>
    <n v="49063"/>
    <n v="17900"/>
    <n v="22375"/>
    <n v="71438"/>
    <n v="0"/>
    <n v="0"/>
    <n v="0"/>
    <n v="0"/>
    <n v="0"/>
    <n v="0"/>
    <n v="0"/>
    <n v="0"/>
    <n v="0"/>
    <n v="0"/>
    <n v="1"/>
    <n v="0"/>
    <s v="Äskat/Beslutat 200611 p.39"/>
    <m/>
    <n v="0"/>
    <n v="0"/>
    <n v="0"/>
    <n v="0"/>
    <n v="0"/>
    <n v="0"/>
    <n v="0"/>
    <n v="0"/>
    <n v="0"/>
    <n v="0"/>
    <n v="0"/>
    <n v="0"/>
    <n v="0"/>
    <n v="0"/>
    <n v="0"/>
    <n v="0"/>
    <n v="0"/>
    <n v="0"/>
    <n v="0"/>
    <n v="0"/>
    <n v="1.25"/>
    <n v="1"/>
    <n v="0"/>
    <n v="0"/>
  </r>
  <r>
    <x v="86"/>
    <x v="85"/>
    <m/>
    <x v="12"/>
    <s v="H19"/>
    <x v="1"/>
    <s v="H211-10"/>
    <s v="Umeå"/>
    <s v="Campus"/>
    <m/>
    <m/>
    <n v="1"/>
    <x v="1"/>
    <m/>
    <m/>
    <n v="11"/>
    <n v="2.75"/>
    <n v="0.85"/>
    <n v="2.3374999999999999"/>
    <n v="2180"/>
    <x v="12"/>
    <s v="Sam"/>
    <x v="12"/>
    <n v="16920"/>
    <n v="27913"/>
    <n v="111776.6375"/>
    <n v="17900"/>
    <n v="49225"/>
    <n v="161001.63750000001"/>
    <n v="0"/>
    <n v="0"/>
    <n v="0"/>
    <n v="0"/>
    <n v="0"/>
    <n v="0"/>
    <n v="0"/>
    <n v="0"/>
    <n v="0"/>
    <n v="0"/>
    <n v="1"/>
    <n v="0"/>
    <s v="SP 210923"/>
    <m/>
    <n v="0"/>
    <n v="0"/>
    <n v="0"/>
    <n v="0"/>
    <n v="0"/>
    <n v="0"/>
    <n v="0"/>
    <n v="0"/>
    <n v="0"/>
    <n v="0"/>
    <n v="0"/>
    <n v="0"/>
    <n v="0"/>
    <n v="0"/>
    <n v="0"/>
    <n v="0"/>
    <n v="0"/>
    <n v="0"/>
    <n v="0"/>
    <n v="0"/>
    <n v="2.75"/>
    <n v="2.3374999999999999"/>
    <n v="0"/>
    <n v="0"/>
  </r>
  <r>
    <x v="87"/>
    <x v="86"/>
    <m/>
    <x v="3"/>
    <m/>
    <x v="1"/>
    <m/>
    <m/>
    <s v="Campus"/>
    <m/>
    <m/>
    <n v="1"/>
    <x v="1"/>
    <m/>
    <m/>
    <n v="5"/>
    <n v="1.25"/>
    <n v="0.8"/>
    <n v="1"/>
    <n v="2180"/>
    <x v="12"/>
    <s v="Sam"/>
    <x v="3"/>
    <n v="16920"/>
    <n v="27913"/>
    <n v="49063"/>
    <n v="17900"/>
    <n v="22375"/>
    <n v="71438"/>
    <n v="0"/>
    <n v="0"/>
    <n v="0"/>
    <n v="0"/>
    <n v="0"/>
    <n v="0"/>
    <n v="0"/>
    <n v="0"/>
    <n v="0"/>
    <n v="0"/>
    <n v="1"/>
    <n v="0"/>
    <s v="Äskat/Beslutat 200611 p.39"/>
    <m/>
    <n v="0"/>
    <n v="0"/>
    <n v="0"/>
    <n v="0"/>
    <n v="0"/>
    <n v="0"/>
    <n v="0"/>
    <n v="0"/>
    <n v="0"/>
    <n v="0"/>
    <n v="0"/>
    <n v="0"/>
    <n v="0"/>
    <n v="0"/>
    <n v="0"/>
    <n v="0"/>
    <n v="0"/>
    <n v="0"/>
    <n v="0"/>
    <n v="0"/>
    <n v="1.25"/>
    <n v="1"/>
    <n v="0"/>
    <n v="0"/>
  </r>
  <r>
    <x v="87"/>
    <x v="86"/>
    <m/>
    <x v="12"/>
    <s v="H20"/>
    <x v="1"/>
    <s v="H2111-20"/>
    <s v="Umeå"/>
    <s v="Campus"/>
    <m/>
    <m/>
    <n v="1"/>
    <x v="1"/>
    <m/>
    <m/>
    <n v="6"/>
    <n v="1.5"/>
    <n v="0.85"/>
    <n v="1.2749999999999999"/>
    <n v="2180"/>
    <x v="12"/>
    <s v="Sam"/>
    <x v="12"/>
    <n v="16920"/>
    <n v="27913"/>
    <n v="60969.074999999997"/>
    <n v="17900"/>
    <n v="26850"/>
    <n v="87819.074999999997"/>
    <n v="0"/>
    <n v="0"/>
    <n v="0"/>
    <n v="0"/>
    <n v="0"/>
    <n v="0"/>
    <n v="0"/>
    <n v="0"/>
    <n v="0"/>
    <n v="0"/>
    <n v="1"/>
    <n v="0"/>
    <s v="SP 210923"/>
    <m/>
    <n v="0"/>
    <n v="0"/>
    <n v="0"/>
    <n v="0"/>
    <n v="0"/>
    <n v="0"/>
    <n v="0"/>
    <n v="0"/>
    <n v="0"/>
    <n v="0"/>
    <n v="0"/>
    <n v="0"/>
    <n v="0"/>
    <n v="0"/>
    <n v="0"/>
    <n v="0"/>
    <n v="0"/>
    <n v="0"/>
    <n v="0"/>
    <n v="0"/>
    <n v="1.5"/>
    <n v="1.2749999999999999"/>
    <n v="0"/>
    <n v="0"/>
  </r>
  <r>
    <x v="88"/>
    <x v="87"/>
    <n v="72002"/>
    <x v="3"/>
    <m/>
    <x v="0"/>
    <m/>
    <s v="Umeå"/>
    <s v="Normal"/>
    <m/>
    <m/>
    <m/>
    <x v="3"/>
    <m/>
    <m/>
    <n v="10"/>
    <n v="5"/>
    <n v="0.8"/>
    <n v="4"/>
    <n v="2180"/>
    <x v="12"/>
    <s v="Sam"/>
    <x v="3"/>
    <n v="47928"/>
    <n v="35430"/>
    <n v="381360"/>
    <n v="35700"/>
    <n v="178500"/>
    <n v="559860"/>
    <n v="0"/>
    <n v="0"/>
    <n v="1"/>
    <n v="0"/>
    <n v="0"/>
    <n v="0"/>
    <n v="0"/>
    <n v="0"/>
    <n v="0"/>
    <n v="0"/>
    <n v="0"/>
    <n v="0"/>
    <s v="Enl Fokus-Ladok 210601"/>
    <m/>
    <n v="0"/>
    <n v="0"/>
    <n v="0"/>
    <n v="0"/>
    <n v="5"/>
    <n v="4"/>
    <n v="0"/>
    <n v="0"/>
    <n v="0"/>
    <n v="0"/>
    <n v="0"/>
    <n v="0"/>
    <n v="0"/>
    <n v="0"/>
    <n v="0"/>
    <n v="0"/>
    <n v="0"/>
    <n v="0"/>
    <n v="0"/>
    <n v="0"/>
    <n v="0"/>
    <n v="0"/>
    <n v="0"/>
    <n v="0"/>
  </r>
  <r>
    <x v="88"/>
    <x v="87"/>
    <n v="72003"/>
    <x v="0"/>
    <m/>
    <x v="0"/>
    <m/>
    <s v="Umeå"/>
    <s v="Normal"/>
    <s v="BIOL"/>
    <m/>
    <m/>
    <x v="3"/>
    <m/>
    <m/>
    <n v="1"/>
    <n v="0.5"/>
    <n v="0.85"/>
    <n v="0.42499999999999999"/>
    <n v="2180"/>
    <x v="12"/>
    <s v="Sam"/>
    <x v="0"/>
    <n v="47928"/>
    <n v="35430"/>
    <n v="39021.75"/>
    <n v="35700"/>
    <n v="17850"/>
    <n v="56871.75"/>
    <n v="0"/>
    <n v="0"/>
    <n v="1"/>
    <n v="0"/>
    <n v="0"/>
    <n v="0"/>
    <n v="0"/>
    <n v="0"/>
    <n v="0"/>
    <n v="0"/>
    <n v="0"/>
    <n v="0"/>
    <s v="Enl Fokus-Ladok 210601"/>
    <m/>
    <n v="0"/>
    <n v="0"/>
    <n v="0"/>
    <n v="0"/>
    <n v="0.5"/>
    <n v="0.42499999999999999"/>
    <n v="0"/>
    <n v="0"/>
    <n v="0"/>
    <n v="0"/>
    <n v="0"/>
    <n v="0"/>
    <n v="0"/>
    <n v="0"/>
    <n v="0"/>
    <n v="0"/>
    <n v="0"/>
    <n v="0"/>
    <n v="0"/>
    <n v="0"/>
    <n v="0"/>
    <n v="0"/>
    <n v="0"/>
    <n v="0"/>
  </r>
  <r>
    <x v="88"/>
    <x v="87"/>
    <n v="72003"/>
    <x v="0"/>
    <m/>
    <x v="0"/>
    <m/>
    <s v="Umeå"/>
    <s v="Normal"/>
    <s v="ENGS"/>
    <m/>
    <m/>
    <x v="3"/>
    <m/>
    <m/>
    <n v="1"/>
    <n v="0.5"/>
    <n v="0.85"/>
    <n v="0.42499999999999999"/>
    <n v="2180"/>
    <x v="12"/>
    <s v="Sam"/>
    <x v="0"/>
    <n v="47928"/>
    <n v="35430"/>
    <n v="39021.75"/>
    <n v="35700"/>
    <n v="17850"/>
    <n v="56871.75"/>
    <n v="0"/>
    <n v="0"/>
    <n v="1"/>
    <n v="0"/>
    <n v="0"/>
    <n v="0"/>
    <n v="0"/>
    <n v="0"/>
    <n v="0"/>
    <n v="0"/>
    <n v="0"/>
    <n v="0"/>
    <s v="Enl Fokus-Ladok 210601"/>
    <m/>
    <n v="0"/>
    <n v="0"/>
    <n v="0"/>
    <n v="0"/>
    <n v="0.5"/>
    <n v="0.42499999999999999"/>
    <n v="0"/>
    <n v="0"/>
    <n v="0"/>
    <n v="0"/>
    <n v="0"/>
    <n v="0"/>
    <n v="0"/>
    <n v="0"/>
    <n v="0"/>
    <n v="0"/>
    <n v="0"/>
    <n v="0"/>
    <n v="0"/>
    <n v="0"/>
    <n v="0"/>
    <n v="0"/>
    <n v="0"/>
    <n v="0"/>
  </r>
  <r>
    <x v="88"/>
    <x v="87"/>
    <n v="72003"/>
    <x v="0"/>
    <m/>
    <x v="0"/>
    <m/>
    <s v="Umeå"/>
    <s v="Normal"/>
    <s v="HIST"/>
    <m/>
    <m/>
    <x v="3"/>
    <m/>
    <m/>
    <n v="2"/>
    <n v="1"/>
    <n v="0.85"/>
    <n v="0.85"/>
    <n v="2180"/>
    <x v="12"/>
    <s v="Sam"/>
    <x v="0"/>
    <n v="47928"/>
    <n v="35430"/>
    <n v="78043.5"/>
    <n v="35700"/>
    <n v="35700"/>
    <n v="113743.5"/>
    <n v="0"/>
    <n v="0"/>
    <n v="1"/>
    <n v="0"/>
    <n v="0"/>
    <n v="0"/>
    <n v="0"/>
    <n v="0"/>
    <n v="0"/>
    <n v="0"/>
    <n v="0"/>
    <n v="0"/>
    <s v="Enl Fokus-Ladok 210601"/>
    <m/>
    <n v="0"/>
    <n v="0"/>
    <n v="0"/>
    <n v="0"/>
    <n v="1"/>
    <n v="0.85"/>
    <n v="0"/>
    <n v="0"/>
    <n v="0"/>
    <n v="0"/>
    <n v="0"/>
    <n v="0"/>
    <n v="0"/>
    <n v="0"/>
    <n v="0"/>
    <n v="0"/>
    <n v="0"/>
    <n v="0"/>
    <n v="0"/>
    <n v="0"/>
    <n v="0"/>
    <n v="0"/>
    <n v="0"/>
    <n v="0"/>
  </r>
  <r>
    <x v="88"/>
    <x v="87"/>
    <n v="72003"/>
    <x v="0"/>
    <m/>
    <x v="0"/>
    <m/>
    <s v="Umeå"/>
    <s v="Normal"/>
    <s v="IDRH"/>
    <m/>
    <m/>
    <x v="3"/>
    <m/>
    <m/>
    <n v="30"/>
    <n v="15"/>
    <n v="0.85"/>
    <n v="12.75"/>
    <n v="2180"/>
    <x v="12"/>
    <s v="Sam"/>
    <x v="0"/>
    <n v="47928"/>
    <n v="35430"/>
    <n v="1170652.5"/>
    <n v="35700"/>
    <n v="535500"/>
    <n v="1706152.5"/>
    <n v="0"/>
    <n v="0"/>
    <n v="1"/>
    <n v="0"/>
    <n v="0"/>
    <n v="0"/>
    <n v="0"/>
    <n v="0"/>
    <n v="0"/>
    <n v="0"/>
    <n v="0"/>
    <n v="0"/>
    <s v="Enl Fokus-Ladok 210601"/>
    <m/>
    <n v="0"/>
    <n v="0"/>
    <n v="0"/>
    <n v="0"/>
    <n v="15"/>
    <n v="12.75"/>
    <n v="0"/>
    <n v="0"/>
    <n v="0"/>
    <n v="0"/>
    <n v="0"/>
    <n v="0"/>
    <n v="0"/>
    <n v="0"/>
    <n v="0"/>
    <n v="0"/>
    <n v="0"/>
    <n v="0"/>
    <n v="0"/>
    <n v="0"/>
    <n v="0"/>
    <n v="0"/>
    <n v="0"/>
    <n v="0"/>
  </r>
  <r>
    <x v="88"/>
    <x v="87"/>
    <n v="72003"/>
    <x v="0"/>
    <m/>
    <x v="0"/>
    <m/>
    <s v="Umeå"/>
    <s v="Normal"/>
    <s v="MATT"/>
    <m/>
    <m/>
    <x v="3"/>
    <m/>
    <m/>
    <n v="2"/>
    <n v="1"/>
    <n v="0.85"/>
    <n v="0.85"/>
    <n v="2180"/>
    <x v="12"/>
    <s v="Sam"/>
    <x v="0"/>
    <n v="47928"/>
    <n v="35430"/>
    <n v="78043.5"/>
    <n v="35700"/>
    <n v="35700"/>
    <n v="113743.5"/>
    <n v="0"/>
    <n v="0"/>
    <n v="1"/>
    <n v="0"/>
    <n v="0"/>
    <n v="0"/>
    <n v="0"/>
    <n v="0"/>
    <n v="0"/>
    <n v="0"/>
    <n v="0"/>
    <n v="0"/>
    <s v="Enl Fokus-Ladok 210601"/>
    <m/>
    <n v="0"/>
    <n v="0"/>
    <n v="0"/>
    <n v="0"/>
    <n v="1"/>
    <n v="0.85"/>
    <n v="0"/>
    <n v="0"/>
    <n v="0"/>
    <n v="0"/>
    <n v="0"/>
    <n v="0"/>
    <n v="0"/>
    <n v="0"/>
    <n v="0"/>
    <n v="0"/>
    <n v="0"/>
    <n v="0"/>
    <n v="0"/>
    <n v="0"/>
    <n v="0"/>
    <n v="0"/>
    <n v="0"/>
    <n v="0"/>
  </r>
  <r>
    <x v="88"/>
    <x v="87"/>
    <n v="72003"/>
    <x v="0"/>
    <m/>
    <x v="0"/>
    <m/>
    <s v="Umeå"/>
    <s v="Normal"/>
    <s v="NATU"/>
    <m/>
    <m/>
    <x v="3"/>
    <m/>
    <m/>
    <n v="1"/>
    <n v="0.5"/>
    <n v="0.85"/>
    <n v="0.42499999999999999"/>
    <n v="2180"/>
    <x v="12"/>
    <s v="Sam"/>
    <x v="0"/>
    <n v="47928"/>
    <n v="35430"/>
    <n v="39021.75"/>
    <n v="35700"/>
    <n v="17850"/>
    <n v="56871.75"/>
    <n v="0"/>
    <n v="0"/>
    <n v="1"/>
    <n v="0"/>
    <n v="0"/>
    <n v="0"/>
    <n v="0"/>
    <n v="0"/>
    <n v="0"/>
    <n v="0"/>
    <n v="0"/>
    <n v="0"/>
    <s v="Enl Fokus-Ladok 210601"/>
    <m/>
    <n v="0"/>
    <n v="0"/>
    <n v="0"/>
    <n v="0"/>
    <n v="0.5"/>
    <n v="0.42499999999999999"/>
    <n v="0"/>
    <n v="0"/>
    <n v="0"/>
    <n v="0"/>
    <n v="0"/>
    <n v="0"/>
    <n v="0"/>
    <n v="0"/>
    <n v="0"/>
    <n v="0"/>
    <n v="0"/>
    <n v="0"/>
    <n v="0"/>
    <n v="0"/>
    <n v="0"/>
    <n v="0"/>
    <n v="0"/>
    <n v="0"/>
  </r>
  <r>
    <x v="88"/>
    <x v="87"/>
    <n v="72003"/>
    <x v="0"/>
    <m/>
    <x v="0"/>
    <m/>
    <s v="Umeå"/>
    <s v="Normal"/>
    <s v="SAMK"/>
    <m/>
    <m/>
    <x v="3"/>
    <m/>
    <m/>
    <n v="4"/>
    <n v="2"/>
    <n v="0.85"/>
    <n v="1.7"/>
    <n v="2180"/>
    <x v="12"/>
    <s v="Sam"/>
    <x v="0"/>
    <n v="47928"/>
    <n v="35430"/>
    <n v="156087"/>
    <n v="35700"/>
    <n v="71400"/>
    <n v="227487"/>
    <n v="0"/>
    <n v="0"/>
    <n v="1"/>
    <n v="0"/>
    <n v="0"/>
    <n v="0"/>
    <n v="0"/>
    <n v="0"/>
    <n v="0"/>
    <n v="0"/>
    <n v="0"/>
    <n v="0"/>
    <s v="Enl Fokus-Ladok 210601"/>
    <m/>
    <n v="0"/>
    <n v="0"/>
    <n v="0"/>
    <n v="0"/>
    <n v="2"/>
    <n v="1.7"/>
    <n v="0"/>
    <n v="0"/>
    <n v="0"/>
    <n v="0"/>
    <n v="0"/>
    <n v="0"/>
    <n v="0"/>
    <n v="0"/>
    <n v="0"/>
    <n v="0"/>
    <n v="0"/>
    <n v="0"/>
    <n v="0"/>
    <n v="0"/>
    <n v="0"/>
    <n v="0"/>
    <n v="0"/>
    <n v="0"/>
  </r>
  <r>
    <x v="89"/>
    <x v="88"/>
    <n v="72006"/>
    <x v="3"/>
    <m/>
    <x v="0"/>
    <m/>
    <s v="Umeå"/>
    <s v="Normal"/>
    <m/>
    <m/>
    <m/>
    <x v="3"/>
    <m/>
    <m/>
    <n v="2"/>
    <n v="1"/>
    <n v="0.8"/>
    <n v="0.8"/>
    <n v="2180"/>
    <x v="12"/>
    <s v="Sam"/>
    <x v="3"/>
    <n v="47928"/>
    <n v="35430"/>
    <n v="76272"/>
    <n v="35700"/>
    <n v="35700"/>
    <n v="111972"/>
    <n v="0"/>
    <n v="0"/>
    <n v="1"/>
    <n v="0"/>
    <n v="0"/>
    <n v="0"/>
    <n v="0"/>
    <n v="0"/>
    <n v="0"/>
    <n v="0"/>
    <n v="0"/>
    <n v="0"/>
    <s v="Enl Fokus-Ladok 210601"/>
    <m/>
    <n v="0"/>
    <n v="0"/>
    <n v="0"/>
    <n v="0"/>
    <n v="1"/>
    <n v="0.8"/>
    <n v="0"/>
    <n v="0"/>
    <n v="0"/>
    <n v="0"/>
    <n v="0"/>
    <n v="0"/>
    <n v="0"/>
    <n v="0"/>
    <n v="0"/>
    <n v="0"/>
    <n v="0"/>
    <n v="0"/>
    <n v="0"/>
    <n v="0"/>
    <n v="0"/>
    <n v="0"/>
    <n v="0"/>
    <n v="0"/>
  </r>
  <r>
    <x v="89"/>
    <x v="88"/>
    <n v="72004"/>
    <x v="0"/>
    <m/>
    <x v="0"/>
    <m/>
    <s v="Umeå"/>
    <s v="Normal"/>
    <s v="ENGS"/>
    <m/>
    <m/>
    <x v="3"/>
    <m/>
    <m/>
    <n v="2"/>
    <n v="1"/>
    <n v="0.85"/>
    <n v="0.85"/>
    <n v="2180"/>
    <x v="12"/>
    <s v="Sam"/>
    <x v="0"/>
    <n v="47928"/>
    <n v="35430"/>
    <n v="78043.5"/>
    <n v="35700"/>
    <n v="35700"/>
    <n v="113743.5"/>
    <n v="0"/>
    <n v="0"/>
    <n v="1"/>
    <n v="0"/>
    <n v="0"/>
    <n v="0"/>
    <n v="0"/>
    <n v="0"/>
    <n v="0"/>
    <n v="0"/>
    <n v="0"/>
    <n v="0"/>
    <s v="Enl Fokus-Ladok 210601"/>
    <m/>
    <n v="0"/>
    <n v="0"/>
    <n v="0"/>
    <n v="0"/>
    <n v="1"/>
    <n v="0.85"/>
    <n v="0"/>
    <n v="0"/>
    <n v="0"/>
    <n v="0"/>
    <n v="0"/>
    <n v="0"/>
    <n v="0"/>
    <n v="0"/>
    <n v="0"/>
    <n v="0"/>
    <n v="0"/>
    <n v="0"/>
    <n v="0"/>
    <n v="0"/>
    <n v="0"/>
    <n v="0"/>
    <n v="0"/>
    <n v="0"/>
  </r>
  <r>
    <x v="89"/>
    <x v="88"/>
    <n v="72004"/>
    <x v="0"/>
    <m/>
    <x v="0"/>
    <m/>
    <s v="Umeå"/>
    <s v="Normal"/>
    <s v="IDRH"/>
    <m/>
    <m/>
    <x v="3"/>
    <m/>
    <m/>
    <n v="18"/>
    <n v="9"/>
    <n v="0.85"/>
    <n v="7.6499999999999995"/>
    <n v="2180"/>
    <x v="12"/>
    <s v="Sam"/>
    <x v="0"/>
    <n v="47928"/>
    <n v="35430"/>
    <n v="702391.5"/>
    <n v="35700"/>
    <n v="321300"/>
    <n v="1023691.5"/>
    <n v="0"/>
    <n v="0"/>
    <n v="1"/>
    <n v="0"/>
    <n v="0"/>
    <n v="0"/>
    <n v="0"/>
    <n v="0"/>
    <n v="0"/>
    <n v="0"/>
    <n v="0"/>
    <n v="0"/>
    <s v="Enl Fokus-Ladok 210601"/>
    <m/>
    <n v="0"/>
    <n v="0"/>
    <n v="0"/>
    <n v="0"/>
    <n v="9"/>
    <n v="7.6499999999999995"/>
    <n v="0"/>
    <n v="0"/>
    <n v="0"/>
    <n v="0"/>
    <n v="0"/>
    <n v="0"/>
    <n v="0"/>
    <n v="0"/>
    <n v="0"/>
    <n v="0"/>
    <n v="0"/>
    <n v="0"/>
    <n v="0"/>
    <n v="0"/>
    <n v="0"/>
    <n v="0"/>
    <n v="0"/>
    <n v="0"/>
  </r>
  <r>
    <x v="89"/>
    <x v="88"/>
    <n v="72004"/>
    <x v="0"/>
    <m/>
    <x v="0"/>
    <m/>
    <s v="Umeå"/>
    <s v="Normal"/>
    <s v="MATT"/>
    <m/>
    <m/>
    <x v="3"/>
    <m/>
    <m/>
    <n v="2"/>
    <n v="1"/>
    <n v="0.85"/>
    <n v="0.85"/>
    <n v="2180"/>
    <x v="12"/>
    <s v="Sam"/>
    <x v="0"/>
    <n v="47928"/>
    <n v="35430"/>
    <n v="78043.5"/>
    <n v="35700"/>
    <n v="35700"/>
    <n v="113743.5"/>
    <n v="0"/>
    <n v="0"/>
    <n v="1"/>
    <n v="0"/>
    <n v="0"/>
    <n v="0"/>
    <n v="0"/>
    <n v="0"/>
    <n v="0"/>
    <n v="0"/>
    <n v="0"/>
    <n v="0"/>
    <s v="Enl Fokus-Ladok 210601"/>
    <m/>
    <n v="0"/>
    <n v="0"/>
    <n v="0"/>
    <n v="0"/>
    <n v="1"/>
    <n v="0.85"/>
    <n v="0"/>
    <n v="0"/>
    <n v="0"/>
    <n v="0"/>
    <n v="0"/>
    <n v="0"/>
    <n v="0"/>
    <n v="0"/>
    <n v="0"/>
    <n v="0"/>
    <n v="0"/>
    <n v="0"/>
    <n v="0"/>
    <n v="0"/>
    <n v="0"/>
    <n v="0"/>
    <n v="0"/>
    <n v="0"/>
  </r>
  <r>
    <x v="89"/>
    <x v="88"/>
    <n v="72004"/>
    <x v="0"/>
    <m/>
    <x v="0"/>
    <m/>
    <s v="Umeå"/>
    <s v="Normal"/>
    <s v="NATU"/>
    <m/>
    <m/>
    <x v="3"/>
    <m/>
    <m/>
    <n v="1"/>
    <n v="0.5"/>
    <n v="0.85"/>
    <n v="0.42499999999999999"/>
    <n v="2180"/>
    <x v="12"/>
    <s v="Sam"/>
    <x v="0"/>
    <n v="47928"/>
    <n v="35430"/>
    <n v="39021.75"/>
    <n v="35700"/>
    <n v="17850"/>
    <n v="56871.75"/>
    <n v="0"/>
    <n v="0"/>
    <n v="1"/>
    <n v="0"/>
    <n v="0"/>
    <n v="0"/>
    <n v="0"/>
    <n v="0"/>
    <n v="0"/>
    <n v="0"/>
    <n v="0"/>
    <n v="0"/>
    <s v="Enl Fokus-Ladok 210601"/>
    <m/>
    <n v="0"/>
    <n v="0"/>
    <n v="0"/>
    <n v="0"/>
    <n v="0.5"/>
    <n v="0.42499999999999999"/>
    <n v="0"/>
    <n v="0"/>
    <n v="0"/>
    <n v="0"/>
    <n v="0"/>
    <n v="0"/>
    <n v="0"/>
    <n v="0"/>
    <n v="0"/>
    <n v="0"/>
    <n v="0"/>
    <n v="0"/>
    <n v="0"/>
    <n v="0"/>
    <n v="0"/>
    <n v="0"/>
    <n v="0"/>
    <n v="0"/>
  </r>
  <r>
    <x v="89"/>
    <x v="88"/>
    <n v="72004"/>
    <x v="0"/>
    <m/>
    <x v="0"/>
    <m/>
    <s v="Umeå"/>
    <s v="Normal"/>
    <s v="SAMK"/>
    <m/>
    <m/>
    <x v="3"/>
    <m/>
    <m/>
    <n v="1"/>
    <n v="0.5"/>
    <n v="0.85"/>
    <n v="0.42499999999999999"/>
    <n v="2180"/>
    <x v="12"/>
    <s v="Sam"/>
    <x v="0"/>
    <n v="47928"/>
    <n v="35430"/>
    <n v="39021.75"/>
    <n v="35700"/>
    <n v="17850"/>
    <n v="56871.75"/>
    <n v="0"/>
    <n v="0"/>
    <n v="1"/>
    <n v="0"/>
    <n v="0"/>
    <n v="0"/>
    <n v="0"/>
    <n v="0"/>
    <n v="0"/>
    <n v="0"/>
    <n v="0"/>
    <n v="0"/>
    <s v="Enl Fokus-Ladok 210601"/>
    <m/>
    <n v="0"/>
    <n v="0"/>
    <n v="0"/>
    <n v="0"/>
    <n v="0.5"/>
    <n v="0.42499999999999999"/>
    <n v="0"/>
    <n v="0"/>
    <n v="0"/>
    <n v="0"/>
    <n v="0"/>
    <n v="0"/>
    <n v="0"/>
    <n v="0"/>
    <n v="0"/>
    <n v="0"/>
    <n v="0"/>
    <n v="0"/>
    <n v="0"/>
    <n v="0"/>
    <n v="0"/>
    <n v="0"/>
    <n v="0"/>
    <n v="0"/>
  </r>
  <r>
    <x v="89"/>
    <x v="88"/>
    <n v="72004"/>
    <x v="0"/>
    <m/>
    <x v="0"/>
    <m/>
    <s v="Umeå"/>
    <s v="Normal"/>
    <s v="SVAA"/>
    <m/>
    <m/>
    <x v="3"/>
    <m/>
    <m/>
    <n v="1"/>
    <n v="0.5"/>
    <n v="0.85"/>
    <n v="0.42499999999999999"/>
    <n v="2180"/>
    <x v="12"/>
    <s v="Sam"/>
    <x v="0"/>
    <n v="47928"/>
    <n v="35430"/>
    <n v="39021.75"/>
    <n v="35700"/>
    <n v="17850"/>
    <n v="56871.75"/>
    <n v="0"/>
    <n v="0"/>
    <n v="1"/>
    <n v="0"/>
    <n v="0"/>
    <n v="0"/>
    <n v="0"/>
    <n v="0"/>
    <n v="0"/>
    <n v="0"/>
    <n v="0"/>
    <n v="0"/>
    <s v="Enl Fokus-Ladok 210601"/>
    <m/>
    <n v="0"/>
    <n v="0"/>
    <n v="0"/>
    <n v="0"/>
    <n v="0.5"/>
    <n v="0.42499999999999999"/>
    <n v="0"/>
    <n v="0"/>
    <n v="0"/>
    <n v="0"/>
    <n v="0"/>
    <n v="0"/>
    <n v="0"/>
    <n v="0"/>
    <n v="0"/>
    <n v="0"/>
    <n v="0"/>
    <n v="0"/>
    <n v="0"/>
    <n v="0"/>
    <n v="0"/>
    <n v="0"/>
    <n v="0"/>
    <n v="0"/>
  </r>
  <r>
    <x v="90"/>
    <x v="89"/>
    <m/>
    <x v="3"/>
    <m/>
    <x v="1"/>
    <m/>
    <m/>
    <s v="Campus"/>
    <m/>
    <m/>
    <n v="1"/>
    <x v="3"/>
    <m/>
    <m/>
    <n v="5"/>
    <n v="2.5"/>
    <n v="0.8"/>
    <n v="2"/>
    <n v="2180"/>
    <x v="12"/>
    <s v="Sam"/>
    <x v="3"/>
    <n v="47928"/>
    <n v="35430"/>
    <n v="190680"/>
    <n v="35700"/>
    <n v="89250"/>
    <n v="279930"/>
    <n v="0"/>
    <n v="0"/>
    <n v="1"/>
    <n v="0"/>
    <n v="0"/>
    <n v="0"/>
    <n v="0"/>
    <n v="0"/>
    <n v="0"/>
    <n v="0"/>
    <n v="0"/>
    <n v="0"/>
    <s v="Äskat/Beslutat 200611 p.39"/>
    <m/>
    <n v="0"/>
    <n v="0"/>
    <n v="0"/>
    <n v="0"/>
    <n v="2.5"/>
    <n v="2"/>
    <n v="0"/>
    <n v="0"/>
    <n v="0"/>
    <n v="0"/>
    <n v="0"/>
    <n v="0"/>
    <n v="0"/>
    <n v="0"/>
    <n v="0"/>
    <n v="0"/>
    <n v="0"/>
    <n v="0"/>
    <n v="0"/>
    <n v="0"/>
    <n v="0"/>
    <n v="0"/>
    <n v="0"/>
    <n v="0"/>
  </r>
  <r>
    <x v="90"/>
    <x v="89"/>
    <m/>
    <x v="0"/>
    <s v="H18"/>
    <x v="1"/>
    <s v="H211-20"/>
    <s v="Umeå"/>
    <m/>
    <s v="BIOL"/>
    <m/>
    <n v="1"/>
    <x v="3"/>
    <m/>
    <m/>
    <n v="1"/>
    <n v="0.5"/>
    <n v="0.85"/>
    <n v="0.42499999999999999"/>
    <n v="2180"/>
    <x v="12"/>
    <s v="Sam"/>
    <x v="0"/>
    <n v="47928"/>
    <n v="35430"/>
    <n v="39021.75"/>
    <n v="35700"/>
    <n v="17850"/>
    <n v="56871.75"/>
    <n v="0"/>
    <n v="0"/>
    <n v="1"/>
    <n v="0"/>
    <n v="0"/>
    <n v="0"/>
    <n v="0"/>
    <n v="0"/>
    <n v="0"/>
    <n v="0"/>
    <n v="0"/>
    <n v="0"/>
    <s v="SP 210924"/>
    <m/>
    <n v="0"/>
    <n v="0"/>
    <n v="0"/>
    <n v="0"/>
    <n v="0.5"/>
    <n v="0.42499999999999999"/>
    <n v="0"/>
    <n v="0"/>
    <n v="0"/>
    <n v="0"/>
    <n v="0"/>
    <n v="0"/>
    <n v="0"/>
    <n v="0"/>
    <n v="0"/>
    <n v="0"/>
    <n v="0"/>
    <n v="0"/>
    <n v="0"/>
    <n v="0"/>
    <n v="0"/>
    <n v="0"/>
    <n v="0"/>
    <n v="0"/>
  </r>
  <r>
    <x v="90"/>
    <x v="89"/>
    <m/>
    <x v="0"/>
    <s v="H18"/>
    <x v="1"/>
    <s v="H211-20"/>
    <s v="Umeå"/>
    <m/>
    <s v="ENGS"/>
    <m/>
    <n v="1"/>
    <x v="3"/>
    <m/>
    <m/>
    <n v="1"/>
    <n v="0.5"/>
    <n v="0.85"/>
    <n v="0.42499999999999999"/>
    <n v="2180"/>
    <x v="12"/>
    <s v="Sam"/>
    <x v="0"/>
    <n v="47928"/>
    <n v="35430"/>
    <n v="39021.75"/>
    <n v="35700"/>
    <n v="17850"/>
    <n v="56871.75"/>
    <n v="0"/>
    <n v="0"/>
    <n v="1"/>
    <n v="0"/>
    <n v="0"/>
    <n v="0"/>
    <n v="0"/>
    <n v="0"/>
    <n v="0"/>
    <n v="0"/>
    <n v="0"/>
    <n v="0"/>
    <s v="SP 210924"/>
    <m/>
    <n v="0"/>
    <n v="0"/>
    <n v="0"/>
    <n v="0"/>
    <n v="0.5"/>
    <n v="0.42499999999999999"/>
    <n v="0"/>
    <n v="0"/>
    <n v="0"/>
    <n v="0"/>
    <n v="0"/>
    <n v="0"/>
    <n v="0"/>
    <n v="0"/>
    <n v="0"/>
    <n v="0"/>
    <n v="0"/>
    <n v="0"/>
    <n v="0"/>
    <n v="0"/>
    <n v="0"/>
    <n v="0"/>
    <n v="0"/>
    <n v="0"/>
  </r>
  <r>
    <x v="90"/>
    <x v="89"/>
    <m/>
    <x v="0"/>
    <s v="H18"/>
    <x v="1"/>
    <s v="H211-20"/>
    <s v="Umeå"/>
    <m/>
    <s v="HIST"/>
    <m/>
    <n v="1"/>
    <x v="3"/>
    <m/>
    <m/>
    <n v="2"/>
    <n v="1"/>
    <n v="0.85"/>
    <n v="0.85"/>
    <n v="2180"/>
    <x v="12"/>
    <s v="Sam"/>
    <x v="0"/>
    <n v="47928"/>
    <n v="35430"/>
    <n v="78043.5"/>
    <n v="35700"/>
    <n v="35700"/>
    <n v="113743.5"/>
    <n v="0"/>
    <n v="0"/>
    <n v="1"/>
    <n v="0"/>
    <n v="0"/>
    <n v="0"/>
    <n v="0"/>
    <n v="0"/>
    <n v="0"/>
    <n v="0"/>
    <n v="0"/>
    <n v="0"/>
    <s v="SP 210924"/>
    <m/>
    <n v="0"/>
    <n v="0"/>
    <n v="0"/>
    <n v="0"/>
    <n v="1"/>
    <n v="0.85"/>
    <n v="0"/>
    <n v="0"/>
    <n v="0"/>
    <n v="0"/>
    <n v="0"/>
    <n v="0"/>
    <n v="0"/>
    <n v="0"/>
    <n v="0"/>
    <n v="0"/>
    <n v="0"/>
    <n v="0"/>
    <n v="0"/>
    <n v="0"/>
    <n v="0"/>
    <n v="0"/>
    <n v="0"/>
    <n v="0"/>
  </r>
  <r>
    <x v="90"/>
    <x v="89"/>
    <m/>
    <x v="0"/>
    <s v="H18"/>
    <x v="1"/>
    <s v="H211-20"/>
    <s v="Umeå"/>
    <m/>
    <s v="MATT"/>
    <m/>
    <n v="1"/>
    <x v="3"/>
    <m/>
    <m/>
    <n v="2"/>
    <n v="1"/>
    <n v="0.85"/>
    <n v="0.85"/>
    <n v="2180"/>
    <x v="12"/>
    <s v="Sam"/>
    <x v="0"/>
    <n v="47928"/>
    <n v="35430"/>
    <n v="78043.5"/>
    <n v="35700"/>
    <n v="35700"/>
    <n v="113743.5"/>
    <n v="0"/>
    <n v="0"/>
    <n v="1"/>
    <n v="0"/>
    <n v="0"/>
    <n v="0"/>
    <n v="0"/>
    <n v="0"/>
    <n v="0"/>
    <n v="0"/>
    <n v="0"/>
    <n v="0"/>
    <s v="SP 210924"/>
    <m/>
    <n v="0"/>
    <n v="0"/>
    <n v="0"/>
    <n v="0"/>
    <n v="1"/>
    <n v="0.85"/>
    <n v="0"/>
    <n v="0"/>
    <n v="0"/>
    <n v="0"/>
    <n v="0"/>
    <n v="0"/>
    <n v="0"/>
    <n v="0"/>
    <n v="0"/>
    <n v="0"/>
    <n v="0"/>
    <n v="0"/>
    <n v="0"/>
    <n v="0"/>
    <n v="0"/>
    <n v="0"/>
    <n v="0"/>
    <n v="0"/>
  </r>
  <r>
    <x v="90"/>
    <x v="89"/>
    <m/>
    <x v="0"/>
    <s v="H18"/>
    <x v="1"/>
    <s v="H211-20"/>
    <s v="Umeå"/>
    <m/>
    <s v="NATU"/>
    <m/>
    <n v="1"/>
    <x v="3"/>
    <m/>
    <m/>
    <n v="1"/>
    <n v="0.5"/>
    <n v="0.85"/>
    <n v="0.42499999999999999"/>
    <n v="2180"/>
    <x v="12"/>
    <s v="Sam"/>
    <x v="0"/>
    <n v="47928"/>
    <n v="35430"/>
    <n v="39021.75"/>
    <n v="35700"/>
    <n v="17850"/>
    <n v="56871.75"/>
    <n v="0"/>
    <n v="0"/>
    <n v="1"/>
    <n v="0"/>
    <n v="0"/>
    <n v="0"/>
    <n v="0"/>
    <n v="0"/>
    <n v="0"/>
    <n v="0"/>
    <n v="0"/>
    <n v="0"/>
    <s v="SP 210924"/>
    <m/>
    <n v="0"/>
    <n v="0"/>
    <n v="0"/>
    <n v="0"/>
    <n v="0.5"/>
    <n v="0.42499999999999999"/>
    <n v="0"/>
    <n v="0"/>
    <n v="0"/>
    <n v="0"/>
    <n v="0"/>
    <n v="0"/>
    <n v="0"/>
    <n v="0"/>
    <n v="0"/>
    <n v="0"/>
    <n v="0"/>
    <n v="0"/>
    <n v="0"/>
    <n v="0"/>
    <n v="0"/>
    <n v="0"/>
    <n v="0"/>
    <n v="0"/>
  </r>
  <r>
    <x v="90"/>
    <x v="89"/>
    <m/>
    <x v="0"/>
    <s v="H18"/>
    <x v="1"/>
    <s v="H211-20"/>
    <s v="Umeå"/>
    <m/>
    <s v="SAMK"/>
    <m/>
    <n v="1"/>
    <x v="3"/>
    <m/>
    <m/>
    <n v="3"/>
    <n v="1.5"/>
    <n v="0.85"/>
    <n v="1.2749999999999999"/>
    <n v="2180"/>
    <x v="12"/>
    <s v="Sam"/>
    <x v="0"/>
    <n v="47928"/>
    <n v="35430"/>
    <n v="117065.25"/>
    <n v="35700"/>
    <n v="53550"/>
    <n v="170615.25"/>
    <n v="0"/>
    <n v="0"/>
    <n v="1"/>
    <n v="0"/>
    <n v="0"/>
    <n v="0"/>
    <n v="0"/>
    <n v="0"/>
    <n v="0"/>
    <n v="0"/>
    <n v="0"/>
    <n v="0"/>
    <s v="SP 210924"/>
    <m/>
    <n v="0"/>
    <n v="0"/>
    <n v="0"/>
    <n v="0"/>
    <n v="1.5"/>
    <n v="1.2749999999999999"/>
    <n v="0"/>
    <n v="0"/>
    <n v="0"/>
    <n v="0"/>
    <n v="0"/>
    <n v="0"/>
    <n v="0"/>
    <n v="0"/>
    <n v="0"/>
    <n v="0"/>
    <n v="0"/>
    <n v="0"/>
    <n v="0"/>
    <n v="0"/>
    <n v="0"/>
    <n v="0"/>
    <n v="0"/>
    <n v="0"/>
  </r>
  <r>
    <x v="90"/>
    <x v="89"/>
    <m/>
    <x v="0"/>
    <s v="H20"/>
    <x v="1"/>
    <s v="H211-20"/>
    <s v="Umeå"/>
    <m/>
    <s v="IDRH"/>
    <m/>
    <n v="1"/>
    <x v="3"/>
    <m/>
    <m/>
    <n v="26"/>
    <n v="13"/>
    <n v="0.85"/>
    <n v="11.049999999999999"/>
    <n v="2180"/>
    <x v="12"/>
    <s v="Sam"/>
    <x v="0"/>
    <n v="47928"/>
    <n v="35430"/>
    <n v="1014565.5"/>
    <n v="35700"/>
    <n v="464100"/>
    <n v="1478665.5"/>
    <n v="0"/>
    <n v="0"/>
    <n v="1"/>
    <n v="0"/>
    <n v="0"/>
    <n v="0"/>
    <n v="0"/>
    <n v="0"/>
    <n v="0"/>
    <n v="0"/>
    <n v="0"/>
    <n v="0"/>
    <s v="SP 210924"/>
    <m/>
    <n v="0"/>
    <n v="0"/>
    <n v="0"/>
    <n v="0"/>
    <n v="13"/>
    <n v="11.049999999999999"/>
    <n v="0"/>
    <n v="0"/>
    <n v="0"/>
    <n v="0"/>
    <n v="0"/>
    <n v="0"/>
    <n v="0"/>
    <n v="0"/>
    <n v="0"/>
    <n v="0"/>
    <n v="0"/>
    <n v="0"/>
    <n v="0"/>
    <n v="0"/>
    <n v="0"/>
    <n v="0"/>
    <n v="0"/>
    <n v="0"/>
  </r>
  <r>
    <x v="90"/>
    <x v="89"/>
    <m/>
    <x v="0"/>
    <s v="H20"/>
    <x v="1"/>
    <s v="H211-20"/>
    <s v="Umeå"/>
    <m/>
    <s v="SAMK"/>
    <m/>
    <n v="1"/>
    <x v="3"/>
    <m/>
    <m/>
    <n v="1"/>
    <n v="0.5"/>
    <n v="0.85"/>
    <n v="0.42499999999999999"/>
    <n v="2180"/>
    <x v="12"/>
    <s v="Sam"/>
    <x v="0"/>
    <n v="47928"/>
    <n v="35430"/>
    <n v="39021.75"/>
    <n v="35700"/>
    <n v="17850"/>
    <n v="56871.75"/>
    <n v="0"/>
    <n v="0"/>
    <n v="1"/>
    <n v="0"/>
    <n v="0"/>
    <n v="0"/>
    <n v="0"/>
    <n v="0"/>
    <n v="0"/>
    <n v="0"/>
    <n v="0"/>
    <n v="0"/>
    <s v="SP 210924"/>
    <m/>
    <n v="0"/>
    <n v="0"/>
    <n v="0"/>
    <n v="0"/>
    <n v="0.5"/>
    <n v="0.42499999999999999"/>
    <n v="0"/>
    <n v="0"/>
    <n v="0"/>
    <n v="0"/>
    <n v="0"/>
    <n v="0"/>
    <n v="0"/>
    <n v="0"/>
    <n v="0"/>
    <n v="0"/>
    <n v="0"/>
    <n v="0"/>
    <n v="0"/>
    <n v="0"/>
    <n v="0"/>
    <n v="0"/>
    <n v="0"/>
    <n v="0"/>
  </r>
  <r>
    <x v="91"/>
    <x v="90"/>
    <m/>
    <x v="3"/>
    <m/>
    <x v="1"/>
    <m/>
    <m/>
    <s v="Campus"/>
    <m/>
    <m/>
    <n v="1"/>
    <x v="0"/>
    <m/>
    <m/>
    <n v="5"/>
    <n v="0.625"/>
    <n v="0.8"/>
    <n v="0.5"/>
    <n v="2180"/>
    <x v="12"/>
    <s v="Sam"/>
    <x v="3"/>
    <n v="20766"/>
    <n v="17442"/>
    <n v="21699.75"/>
    <n v="6000"/>
    <n v="3750"/>
    <n v="25449.75"/>
    <n v="0"/>
    <n v="0"/>
    <n v="0"/>
    <n v="0"/>
    <n v="0"/>
    <n v="0"/>
    <n v="1"/>
    <n v="0"/>
    <n v="0"/>
    <n v="0"/>
    <n v="0"/>
    <n v="0"/>
    <s v="Äskat/Beslutat 200611 p.39"/>
    <m/>
    <n v="0"/>
    <n v="0"/>
    <n v="0"/>
    <n v="0"/>
    <n v="0"/>
    <n v="0"/>
    <n v="0"/>
    <n v="0"/>
    <n v="0"/>
    <n v="0"/>
    <n v="0"/>
    <n v="0"/>
    <n v="0.625"/>
    <n v="0.5"/>
    <n v="0"/>
    <n v="0"/>
    <n v="0"/>
    <n v="0"/>
    <n v="0"/>
    <n v="0"/>
    <n v="0"/>
    <n v="0"/>
    <n v="0"/>
    <n v="0"/>
  </r>
  <r>
    <x v="92"/>
    <x v="91"/>
    <m/>
    <x v="3"/>
    <m/>
    <x v="1"/>
    <m/>
    <m/>
    <s v="Distans"/>
    <m/>
    <m/>
    <n v="0.25"/>
    <x v="0"/>
    <m/>
    <m/>
    <n v="30"/>
    <n v="3.75"/>
    <n v="0.8"/>
    <n v="3"/>
    <n v="2193"/>
    <x v="13"/>
    <s v="Sam"/>
    <x v="3"/>
    <n v="20766"/>
    <n v="17442"/>
    <n v="130198.5"/>
    <n v="6000"/>
    <n v="22500"/>
    <n v="152698.5"/>
    <n v="0"/>
    <n v="0"/>
    <n v="0"/>
    <n v="0"/>
    <n v="0"/>
    <n v="0"/>
    <n v="1"/>
    <n v="0"/>
    <n v="0"/>
    <n v="0"/>
    <n v="0"/>
    <n v="0"/>
    <s v="Äskat/Beslutat 200611 p.39"/>
    <m/>
    <n v="0"/>
    <n v="0"/>
    <n v="0"/>
    <n v="0"/>
    <n v="0"/>
    <n v="0"/>
    <n v="0"/>
    <n v="0"/>
    <n v="0"/>
    <n v="0"/>
    <n v="0"/>
    <n v="0"/>
    <n v="3.75"/>
    <n v="3"/>
    <n v="0"/>
    <n v="0"/>
    <n v="0"/>
    <n v="0"/>
    <n v="0"/>
    <n v="0"/>
    <n v="0"/>
    <n v="0"/>
    <n v="0"/>
    <n v="0"/>
  </r>
  <r>
    <x v="93"/>
    <x v="92"/>
    <m/>
    <x v="3"/>
    <m/>
    <x v="1"/>
    <m/>
    <m/>
    <s v="Distans"/>
    <m/>
    <m/>
    <n v="0.25"/>
    <x v="0"/>
    <m/>
    <m/>
    <n v="30"/>
    <n v="3.75"/>
    <n v="0.8"/>
    <n v="3"/>
    <n v="2193"/>
    <x v="13"/>
    <s v="Sam"/>
    <x v="3"/>
    <n v="20766"/>
    <n v="17442"/>
    <n v="130198.5"/>
    <n v="6000"/>
    <n v="22500"/>
    <n v="152698.5"/>
    <n v="0"/>
    <n v="0"/>
    <n v="0"/>
    <n v="0"/>
    <n v="0"/>
    <n v="0"/>
    <n v="1"/>
    <n v="0"/>
    <n v="0"/>
    <n v="0"/>
    <n v="0"/>
    <n v="0"/>
    <s v="Äskat/Beslutat 200611 p.39"/>
    <m/>
    <n v="0"/>
    <n v="0"/>
    <n v="0"/>
    <n v="0"/>
    <n v="0"/>
    <n v="0"/>
    <n v="0"/>
    <n v="0"/>
    <n v="0"/>
    <n v="0"/>
    <n v="0"/>
    <n v="0"/>
    <n v="3.75"/>
    <n v="3"/>
    <n v="0"/>
    <n v="0"/>
    <n v="0"/>
    <n v="0"/>
    <n v="0"/>
    <n v="0"/>
    <n v="0"/>
    <n v="0"/>
    <n v="0"/>
    <n v="0"/>
  </r>
  <r>
    <x v="94"/>
    <x v="93"/>
    <m/>
    <x v="3"/>
    <m/>
    <x v="2"/>
    <m/>
    <m/>
    <m/>
    <m/>
    <m/>
    <n v="0.5"/>
    <x v="0"/>
    <m/>
    <m/>
    <n v="78"/>
    <n v="9.75"/>
    <n v="0.8"/>
    <n v="7.8000000000000007"/>
    <n v="2193"/>
    <x v="13"/>
    <s v="Sam"/>
    <x v="3"/>
    <n v="20766"/>
    <n v="17442"/>
    <n v="338516.1"/>
    <n v="6000"/>
    <n v="58500"/>
    <n v="397016.1"/>
    <n v="0"/>
    <n v="0"/>
    <n v="0"/>
    <n v="0"/>
    <n v="0"/>
    <n v="0"/>
    <n v="1"/>
    <n v="0"/>
    <n v="0"/>
    <n v="0"/>
    <n v="0"/>
    <n v="0"/>
    <s v="Äskat/Beslutat 200611 p.39"/>
    <s v="Enl Ladok 210610"/>
    <n v="0"/>
    <n v="0"/>
    <n v="0"/>
    <n v="0"/>
    <n v="0"/>
    <n v="0"/>
    <n v="0"/>
    <n v="0"/>
    <n v="0"/>
    <n v="0"/>
    <n v="0"/>
    <n v="0"/>
    <n v="9.75"/>
    <n v="7.8000000000000007"/>
    <n v="0"/>
    <n v="0"/>
    <n v="0"/>
    <n v="0"/>
    <n v="0"/>
    <n v="0"/>
    <n v="0"/>
    <n v="0"/>
    <n v="0"/>
    <n v="0"/>
  </r>
  <r>
    <x v="95"/>
    <x v="94"/>
    <n v="72908"/>
    <x v="0"/>
    <m/>
    <x v="0"/>
    <m/>
    <s v="Umeå"/>
    <s v="Normal"/>
    <s v="GEOG"/>
    <m/>
    <m/>
    <x v="1"/>
    <m/>
    <m/>
    <n v="4"/>
    <n v="1"/>
    <n v="0.85"/>
    <n v="0.85"/>
    <n v="2500"/>
    <x v="14"/>
    <s v="Sam"/>
    <x v="0"/>
    <n v="20763.75"/>
    <n v="22102"/>
    <n v="39550.449999999997"/>
    <n v="10150"/>
    <n v="10150"/>
    <n v="49700.45"/>
    <n v="0"/>
    <n v="0"/>
    <n v="0"/>
    <n v="0"/>
    <n v="0"/>
    <n v="0.25"/>
    <n v="0.75"/>
    <n v="0"/>
    <n v="0"/>
    <n v="0"/>
    <n v="0"/>
    <n v="0"/>
    <s v="Enl Fokus-Ladok 210601"/>
    <m/>
    <n v="0"/>
    <n v="0"/>
    <n v="0"/>
    <n v="0"/>
    <n v="0"/>
    <n v="0"/>
    <n v="0"/>
    <n v="0"/>
    <n v="0"/>
    <n v="0"/>
    <n v="0.25"/>
    <n v="0.21249999999999999"/>
    <n v="0.75"/>
    <n v="0.63749999999999996"/>
    <n v="0"/>
    <n v="0"/>
    <n v="0"/>
    <n v="0"/>
    <n v="0"/>
    <n v="0"/>
    <n v="0"/>
    <n v="0"/>
    <n v="0"/>
    <n v="0"/>
  </r>
  <r>
    <x v="95"/>
    <x v="94"/>
    <n v="72908"/>
    <x v="0"/>
    <m/>
    <x v="0"/>
    <m/>
    <s v="Umeå"/>
    <s v="Normal"/>
    <s v="IDRH"/>
    <m/>
    <m/>
    <x v="1"/>
    <m/>
    <m/>
    <n v="1"/>
    <n v="0.25"/>
    <n v="0.85"/>
    <n v="0.21249999999999999"/>
    <n v="2500"/>
    <x v="14"/>
    <s v="Sam"/>
    <x v="0"/>
    <n v="20763.75"/>
    <n v="22102"/>
    <n v="9887.6124999999993"/>
    <n v="10150"/>
    <n v="2537.5"/>
    <n v="12425.112499999999"/>
    <n v="0"/>
    <n v="0"/>
    <n v="0"/>
    <n v="0"/>
    <n v="0"/>
    <n v="0.25"/>
    <n v="0.75"/>
    <n v="0"/>
    <n v="0"/>
    <n v="0"/>
    <n v="0"/>
    <n v="0"/>
    <s v="Enl Fokus-Ladok 210601"/>
    <m/>
    <n v="0"/>
    <n v="0"/>
    <n v="0"/>
    <n v="0"/>
    <n v="0"/>
    <n v="0"/>
    <n v="0"/>
    <n v="0"/>
    <n v="0"/>
    <n v="0"/>
    <n v="6.25E-2"/>
    <n v="5.3124999999999999E-2"/>
    <n v="0.1875"/>
    <n v="0.15937499999999999"/>
    <n v="0"/>
    <n v="0"/>
    <n v="0"/>
    <n v="0"/>
    <n v="0"/>
    <n v="0"/>
    <n v="0"/>
    <n v="0"/>
    <n v="0"/>
    <n v="0"/>
  </r>
  <r>
    <x v="96"/>
    <x v="95"/>
    <n v="72903"/>
    <x v="0"/>
    <m/>
    <x v="0"/>
    <m/>
    <s v="Umeå"/>
    <s v="Normal"/>
    <s v="GEOG"/>
    <m/>
    <m/>
    <x v="1"/>
    <m/>
    <m/>
    <n v="4"/>
    <n v="1"/>
    <n v="0.85"/>
    <n v="0.85"/>
    <n v="2500"/>
    <x v="14"/>
    <s v="Sam"/>
    <x v="0"/>
    <n v="20763.75"/>
    <n v="22102"/>
    <n v="39550.449999999997"/>
    <n v="10150"/>
    <n v="10150"/>
    <n v="49700.45"/>
    <n v="0"/>
    <n v="0"/>
    <n v="0"/>
    <n v="0"/>
    <n v="0"/>
    <n v="0.25"/>
    <n v="0.75"/>
    <n v="0"/>
    <n v="0"/>
    <n v="0"/>
    <n v="0"/>
    <n v="0"/>
    <s v="Enl Fokus-Ladok 210601"/>
    <m/>
    <n v="0"/>
    <n v="0"/>
    <n v="0"/>
    <n v="0"/>
    <n v="0"/>
    <n v="0"/>
    <n v="0"/>
    <n v="0"/>
    <n v="0"/>
    <n v="0"/>
    <n v="0.25"/>
    <n v="0.21249999999999999"/>
    <n v="0.75"/>
    <n v="0.63749999999999996"/>
    <n v="0"/>
    <n v="0"/>
    <n v="0"/>
    <n v="0"/>
    <n v="0"/>
    <n v="0"/>
    <n v="0"/>
    <n v="0"/>
    <n v="0"/>
    <n v="0"/>
  </r>
  <r>
    <x v="96"/>
    <x v="95"/>
    <n v="72903"/>
    <x v="0"/>
    <m/>
    <x v="0"/>
    <m/>
    <s v="Umeå"/>
    <s v="Normal"/>
    <s v="IDRH"/>
    <m/>
    <m/>
    <x v="1"/>
    <m/>
    <m/>
    <n v="1"/>
    <n v="0.25"/>
    <n v="0.85"/>
    <n v="0.21249999999999999"/>
    <n v="2500"/>
    <x v="14"/>
    <s v="Sam"/>
    <x v="0"/>
    <n v="20763.75"/>
    <n v="22102"/>
    <n v="9887.6124999999993"/>
    <n v="10150"/>
    <n v="2537.5"/>
    <n v="12425.112499999999"/>
    <n v="0"/>
    <n v="0"/>
    <n v="0"/>
    <n v="0"/>
    <n v="0"/>
    <n v="0.25"/>
    <n v="0.75"/>
    <n v="0"/>
    <n v="0"/>
    <n v="0"/>
    <n v="0"/>
    <n v="0"/>
    <s v="Enl Fokus-Ladok 210601"/>
    <m/>
    <n v="0"/>
    <n v="0"/>
    <n v="0"/>
    <n v="0"/>
    <n v="0"/>
    <n v="0"/>
    <n v="0"/>
    <n v="0"/>
    <n v="0"/>
    <n v="0"/>
    <n v="6.25E-2"/>
    <n v="5.3124999999999999E-2"/>
    <n v="0.1875"/>
    <n v="0.15937499999999999"/>
    <n v="0"/>
    <n v="0"/>
    <n v="0"/>
    <n v="0"/>
    <n v="0"/>
    <n v="0"/>
    <n v="0"/>
    <n v="0"/>
    <n v="0"/>
    <n v="0"/>
  </r>
  <r>
    <x v="97"/>
    <x v="96"/>
    <m/>
    <x v="0"/>
    <s v="H18"/>
    <x v="1"/>
    <s v="H211-5"/>
    <s v="Umeå"/>
    <m/>
    <s v="IDRH"/>
    <m/>
    <n v="1"/>
    <x v="0"/>
    <m/>
    <m/>
    <n v="1"/>
    <n v="0.125"/>
    <n v="0.85"/>
    <n v="0.10625"/>
    <n v="2500"/>
    <x v="14"/>
    <s v="Sam"/>
    <x v="0"/>
    <n v="20761.5"/>
    <n v="26762"/>
    <n v="5438.65"/>
    <n v="14300"/>
    <n v="1787.5"/>
    <n v="7226.15"/>
    <n v="0"/>
    <n v="0"/>
    <n v="0"/>
    <n v="0"/>
    <n v="0"/>
    <n v="0.5"/>
    <n v="0.5"/>
    <n v="0"/>
    <n v="0"/>
    <n v="0"/>
    <n v="0"/>
    <n v="0"/>
    <s v="SP 210924"/>
    <m/>
    <n v="0"/>
    <n v="0"/>
    <n v="0"/>
    <n v="0"/>
    <n v="0"/>
    <n v="0"/>
    <n v="0"/>
    <n v="0"/>
    <n v="0"/>
    <n v="0"/>
    <n v="6.25E-2"/>
    <n v="5.3124999999999999E-2"/>
    <n v="6.25E-2"/>
    <n v="5.3124999999999999E-2"/>
    <n v="0"/>
    <n v="0"/>
    <n v="0"/>
    <n v="0"/>
    <n v="0"/>
    <n v="0"/>
    <n v="0"/>
    <n v="0"/>
    <n v="0"/>
    <n v="0"/>
  </r>
  <r>
    <x v="97"/>
    <x v="96"/>
    <m/>
    <x v="0"/>
    <s v="H20"/>
    <x v="1"/>
    <s v="H211-5"/>
    <s v="Umeå"/>
    <m/>
    <s v="GEOG"/>
    <m/>
    <n v="1"/>
    <x v="0"/>
    <m/>
    <m/>
    <n v="3"/>
    <n v="0.375"/>
    <n v="0.85"/>
    <n v="0.31874999999999998"/>
    <n v="2500"/>
    <x v="14"/>
    <s v="Sam"/>
    <x v="0"/>
    <n v="20761.5"/>
    <n v="26762"/>
    <n v="16315.949999999999"/>
    <n v="14300"/>
    <n v="5362.5"/>
    <n v="21678.449999999997"/>
    <n v="0"/>
    <n v="0"/>
    <n v="0"/>
    <n v="0"/>
    <n v="0"/>
    <n v="0.5"/>
    <n v="0.5"/>
    <n v="0"/>
    <n v="0"/>
    <n v="0"/>
    <n v="0"/>
    <n v="0"/>
    <s v="SP 210924"/>
    <m/>
    <n v="0"/>
    <n v="0"/>
    <n v="0"/>
    <n v="0"/>
    <n v="0"/>
    <n v="0"/>
    <n v="0"/>
    <n v="0"/>
    <n v="0"/>
    <n v="0"/>
    <n v="0.1875"/>
    <n v="0.15937499999999999"/>
    <n v="0.1875"/>
    <n v="0.15937499999999999"/>
    <n v="0"/>
    <n v="0"/>
    <n v="0"/>
    <n v="0"/>
    <n v="0"/>
    <n v="0"/>
    <n v="0"/>
    <n v="0"/>
    <n v="0"/>
    <n v="0"/>
  </r>
  <r>
    <x v="98"/>
    <x v="97"/>
    <m/>
    <x v="0"/>
    <s v="H18"/>
    <x v="1"/>
    <s v="H2116-20"/>
    <s v="Umeå"/>
    <m/>
    <s v="IDRH"/>
    <m/>
    <n v="1"/>
    <x v="0"/>
    <m/>
    <m/>
    <n v="1"/>
    <n v="0.125"/>
    <n v="0.85"/>
    <n v="0.10625"/>
    <n v="2500"/>
    <x v="14"/>
    <s v="Sam"/>
    <x v="0"/>
    <n v="20766"/>
    <n v="17442"/>
    <n v="4448.9624999999996"/>
    <n v="6000"/>
    <n v="750"/>
    <n v="5198.9624999999996"/>
    <n v="0"/>
    <n v="0"/>
    <n v="0"/>
    <n v="0"/>
    <n v="0"/>
    <n v="0"/>
    <n v="1"/>
    <n v="0"/>
    <n v="0"/>
    <n v="0"/>
    <n v="0"/>
    <n v="0"/>
    <s v="SP 210924"/>
    <m/>
    <n v="0"/>
    <n v="0"/>
    <n v="0"/>
    <n v="0"/>
    <n v="0"/>
    <n v="0"/>
    <n v="0"/>
    <n v="0"/>
    <n v="0"/>
    <n v="0"/>
    <n v="0"/>
    <n v="0"/>
    <n v="0.125"/>
    <n v="0.10625"/>
    <n v="0"/>
    <n v="0"/>
    <n v="0"/>
    <n v="0"/>
    <n v="0"/>
    <n v="0"/>
    <n v="0"/>
    <n v="0"/>
    <n v="0"/>
    <n v="0"/>
  </r>
  <r>
    <x v="98"/>
    <x v="97"/>
    <m/>
    <x v="0"/>
    <s v="H20"/>
    <x v="1"/>
    <s v="H2116-20"/>
    <s v="Umeå"/>
    <m/>
    <s v="GEOG"/>
    <m/>
    <n v="1"/>
    <x v="0"/>
    <m/>
    <m/>
    <n v="3"/>
    <n v="0.375"/>
    <n v="0.85"/>
    <n v="0.31874999999999998"/>
    <n v="2500"/>
    <x v="14"/>
    <s v="Sam"/>
    <x v="0"/>
    <n v="20766"/>
    <n v="17442"/>
    <n v="13346.887500000001"/>
    <n v="6000"/>
    <n v="2250"/>
    <n v="15596.887500000001"/>
    <n v="0"/>
    <n v="0"/>
    <n v="0"/>
    <n v="0"/>
    <n v="0"/>
    <n v="0"/>
    <n v="1"/>
    <n v="0"/>
    <n v="0"/>
    <n v="0"/>
    <n v="0"/>
    <n v="0"/>
    <s v="SP 210924"/>
    <m/>
    <n v="0"/>
    <n v="0"/>
    <n v="0"/>
    <n v="0"/>
    <n v="0"/>
    <n v="0"/>
    <n v="0"/>
    <n v="0"/>
    <n v="0"/>
    <n v="0"/>
    <n v="0"/>
    <n v="0"/>
    <n v="0.375"/>
    <n v="0.31874999999999998"/>
    <n v="0"/>
    <n v="0"/>
    <n v="0"/>
    <n v="0"/>
    <n v="0"/>
    <n v="0"/>
    <n v="0"/>
    <n v="0"/>
    <n v="0"/>
    <n v="0"/>
  </r>
  <r>
    <x v="99"/>
    <x v="98"/>
    <n v="72907"/>
    <x v="0"/>
    <m/>
    <x v="0"/>
    <m/>
    <s v="Umeå"/>
    <s v="Normal"/>
    <s v="ENGS"/>
    <m/>
    <m/>
    <x v="0"/>
    <m/>
    <m/>
    <n v="1"/>
    <n v="0.125"/>
    <n v="0.85"/>
    <n v="0.10625"/>
    <n v="2500"/>
    <x v="14"/>
    <s v="Sam"/>
    <x v="0"/>
    <n v="20766"/>
    <n v="17442"/>
    <n v="4448.9624999999996"/>
    <n v="6000"/>
    <n v="750"/>
    <n v="5198.9624999999996"/>
    <n v="0"/>
    <n v="0"/>
    <n v="0"/>
    <n v="0"/>
    <n v="0"/>
    <n v="0"/>
    <n v="1"/>
    <n v="0"/>
    <n v="0"/>
    <n v="0"/>
    <n v="0"/>
    <n v="0"/>
    <s v="Enl Fokus-Ladok 210601"/>
    <m/>
    <n v="0"/>
    <n v="0"/>
    <n v="0"/>
    <n v="0"/>
    <n v="0"/>
    <n v="0"/>
    <n v="0"/>
    <n v="0"/>
    <n v="0"/>
    <n v="0"/>
    <n v="0"/>
    <n v="0"/>
    <n v="0.125"/>
    <n v="0.10625"/>
    <n v="0"/>
    <n v="0"/>
    <n v="0"/>
    <n v="0"/>
    <n v="0"/>
    <n v="0"/>
    <n v="0"/>
    <n v="0"/>
    <n v="0"/>
    <n v="0"/>
  </r>
  <r>
    <x v="99"/>
    <x v="98"/>
    <n v="72907"/>
    <x v="0"/>
    <m/>
    <x v="0"/>
    <m/>
    <s v="Umeå"/>
    <s v="Normal"/>
    <s v="GEOG"/>
    <m/>
    <m/>
    <x v="0"/>
    <m/>
    <m/>
    <n v="3"/>
    <n v="0.375"/>
    <n v="0.85"/>
    <n v="0.31874999999999998"/>
    <n v="2500"/>
    <x v="14"/>
    <s v="Sam"/>
    <x v="0"/>
    <n v="20766"/>
    <n v="17442"/>
    <n v="13346.887500000001"/>
    <n v="6000"/>
    <n v="2250"/>
    <n v="15596.887500000001"/>
    <n v="0"/>
    <n v="0"/>
    <n v="0"/>
    <n v="0"/>
    <n v="0"/>
    <n v="0"/>
    <n v="1"/>
    <n v="0"/>
    <n v="0"/>
    <n v="0"/>
    <n v="0"/>
    <n v="0"/>
    <s v="Enl Fokus-Ladok 210601"/>
    <m/>
    <n v="0"/>
    <n v="0"/>
    <n v="0"/>
    <n v="0"/>
    <n v="0"/>
    <n v="0"/>
    <n v="0"/>
    <n v="0"/>
    <n v="0"/>
    <n v="0"/>
    <n v="0"/>
    <n v="0"/>
    <n v="0.375"/>
    <n v="0.31874999999999998"/>
    <n v="0"/>
    <n v="0"/>
    <n v="0"/>
    <n v="0"/>
    <n v="0"/>
    <n v="0"/>
    <n v="0"/>
    <n v="0"/>
    <n v="0"/>
    <n v="0"/>
  </r>
  <r>
    <x v="99"/>
    <x v="98"/>
    <n v="72907"/>
    <x v="0"/>
    <m/>
    <x v="0"/>
    <m/>
    <s v="Umeå"/>
    <s v="Normal"/>
    <s v="HIST"/>
    <m/>
    <m/>
    <x v="0"/>
    <m/>
    <m/>
    <n v="2"/>
    <n v="0.25"/>
    <n v="0.85"/>
    <n v="0.21249999999999999"/>
    <n v="2500"/>
    <x v="14"/>
    <s v="Sam"/>
    <x v="0"/>
    <n v="20766"/>
    <n v="17442"/>
    <n v="8897.9249999999993"/>
    <n v="6000"/>
    <n v="1500"/>
    <n v="10397.924999999999"/>
    <n v="0"/>
    <n v="0"/>
    <n v="0"/>
    <n v="0"/>
    <n v="0"/>
    <n v="0"/>
    <n v="1"/>
    <n v="0"/>
    <n v="0"/>
    <n v="0"/>
    <n v="0"/>
    <n v="0"/>
    <s v="Enl Fokus-Ladok 210601"/>
    <m/>
    <n v="0"/>
    <n v="0"/>
    <n v="0"/>
    <n v="0"/>
    <n v="0"/>
    <n v="0"/>
    <n v="0"/>
    <n v="0"/>
    <n v="0"/>
    <n v="0"/>
    <n v="0"/>
    <n v="0"/>
    <n v="0.25"/>
    <n v="0.21249999999999999"/>
    <n v="0"/>
    <n v="0"/>
    <n v="0"/>
    <n v="0"/>
    <n v="0"/>
    <n v="0"/>
    <n v="0"/>
    <n v="0"/>
    <n v="0"/>
    <n v="0"/>
  </r>
  <r>
    <x v="100"/>
    <x v="99"/>
    <m/>
    <x v="0"/>
    <s v="H19"/>
    <x v="1"/>
    <s v="H2113-16"/>
    <s v="Umeå"/>
    <m/>
    <s v="ENGS"/>
    <m/>
    <n v="1"/>
    <x v="4"/>
    <m/>
    <m/>
    <n v="1"/>
    <n v="0.1"/>
    <n v="0.85"/>
    <n v="8.5000000000000006E-2"/>
    <n v="2500"/>
    <x v="14"/>
    <s v="Sa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100"/>
    <x v="99"/>
    <m/>
    <x v="0"/>
    <s v="H19"/>
    <x v="1"/>
    <s v="H2113-16"/>
    <s v="Umeå"/>
    <m/>
    <s v="GEOG"/>
    <m/>
    <n v="1"/>
    <x v="4"/>
    <m/>
    <m/>
    <n v="2"/>
    <n v="0.2"/>
    <n v="0.85"/>
    <n v="0.17"/>
    <n v="2500"/>
    <x v="14"/>
    <s v="Sam"/>
    <x v="0"/>
    <n v="25235"/>
    <n v="27976"/>
    <n v="9802.92"/>
    <n v="3600"/>
    <n v="720"/>
    <n v="10522.92"/>
    <n v="0"/>
    <n v="0"/>
    <n v="0"/>
    <n v="0"/>
    <n v="0"/>
    <n v="0"/>
    <n v="0"/>
    <n v="0"/>
    <n v="1"/>
    <n v="0"/>
    <n v="0"/>
    <n v="0"/>
    <s v="SP 210924"/>
    <m/>
    <n v="0"/>
    <n v="0"/>
    <n v="0"/>
    <n v="0"/>
    <n v="0"/>
    <n v="0"/>
    <n v="0"/>
    <n v="0"/>
    <n v="0"/>
    <n v="0"/>
    <n v="0"/>
    <n v="0"/>
    <n v="0"/>
    <n v="0"/>
    <n v="0"/>
    <n v="0"/>
    <n v="0.2"/>
    <n v="0.17"/>
    <n v="0"/>
    <n v="0"/>
    <n v="0"/>
    <n v="0"/>
    <n v="0"/>
    <n v="0"/>
  </r>
  <r>
    <x v="101"/>
    <x v="100"/>
    <n v="72900"/>
    <x v="0"/>
    <m/>
    <x v="0"/>
    <m/>
    <s v="Umeå"/>
    <s v="Normal"/>
    <s v="ENGS"/>
    <m/>
    <m/>
    <x v="0"/>
    <m/>
    <m/>
    <n v="1"/>
    <n v="0.125"/>
    <n v="0.85"/>
    <n v="0.10625"/>
    <n v="2500"/>
    <x v="14"/>
    <s v="Sam"/>
    <x v="0"/>
    <n v="20766"/>
    <n v="17442"/>
    <n v="4448.9624999999996"/>
    <n v="6000"/>
    <n v="750"/>
    <n v="5198.9624999999996"/>
    <n v="0"/>
    <n v="0"/>
    <n v="0"/>
    <n v="0"/>
    <n v="0"/>
    <n v="0"/>
    <n v="1"/>
    <n v="0"/>
    <n v="0"/>
    <n v="0"/>
    <n v="0"/>
    <n v="0"/>
    <s v="Enl Fokus-Ladok 210601"/>
    <m/>
    <n v="0"/>
    <n v="0"/>
    <n v="0"/>
    <n v="0"/>
    <n v="0"/>
    <n v="0"/>
    <n v="0"/>
    <n v="0"/>
    <n v="0"/>
    <n v="0"/>
    <n v="0"/>
    <n v="0"/>
    <n v="0.125"/>
    <n v="0.10625"/>
    <n v="0"/>
    <n v="0"/>
    <n v="0"/>
    <n v="0"/>
    <n v="0"/>
    <n v="0"/>
    <n v="0"/>
    <n v="0"/>
    <n v="0"/>
    <n v="0"/>
  </r>
  <r>
    <x v="101"/>
    <x v="100"/>
    <n v="72900"/>
    <x v="0"/>
    <m/>
    <x v="0"/>
    <m/>
    <s v="Umeå"/>
    <s v="Normal"/>
    <s v="GEOG"/>
    <m/>
    <m/>
    <x v="0"/>
    <m/>
    <m/>
    <n v="3"/>
    <n v="0.375"/>
    <n v="0.85"/>
    <n v="0.31874999999999998"/>
    <n v="2500"/>
    <x v="14"/>
    <s v="Sam"/>
    <x v="0"/>
    <n v="20766"/>
    <n v="17442"/>
    <n v="13346.887500000001"/>
    <n v="6000"/>
    <n v="2250"/>
    <n v="15596.887500000001"/>
    <n v="0"/>
    <n v="0"/>
    <n v="0"/>
    <n v="0"/>
    <n v="0"/>
    <n v="0"/>
    <n v="1"/>
    <n v="0"/>
    <n v="0"/>
    <n v="0"/>
    <n v="0"/>
    <n v="0"/>
    <s v="Enl Fokus-Ladok 210601"/>
    <m/>
    <n v="0"/>
    <n v="0"/>
    <n v="0"/>
    <n v="0"/>
    <n v="0"/>
    <n v="0"/>
    <n v="0"/>
    <n v="0"/>
    <n v="0"/>
    <n v="0"/>
    <n v="0"/>
    <n v="0"/>
    <n v="0.375"/>
    <n v="0.31874999999999998"/>
    <n v="0"/>
    <n v="0"/>
    <n v="0"/>
    <n v="0"/>
    <n v="0"/>
    <n v="0"/>
    <n v="0"/>
    <n v="0"/>
    <n v="0"/>
    <n v="0"/>
  </r>
  <r>
    <x v="101"/>
    <x v="100"/>
    <n v="72900"/>
    <x v="0"/>
    <m/>
    <x v="0"/>
    <m/>
    <s v="Umeå"/>
    <s v="Normal"/>
    <s v="HIST"/>
    <m/>
    <m/>
    <x v="0"/>
    <m/>
    <m/>
    <n v="2"/>
    <n v="0.25"/>
    <n v="0.85"/>
    <n v="0.21249999999999999"/>
    <n v="2500"/>
    <x v="14"/>
    <s v="Sam"/>
    <x v="0"/>
    <n v="20766"/>
    <n v="17442"/>
    <n v="8897.9249999999993"/>
    <n v="6000"/>
    <n v="1500"/>
    <n v="10397.924999999999"/>
    <n v="0"/>
    <n v="0"/>
    <n v="0"/>
    <n v="0"/>
    <n v="0"/>
    <n v="0"/>
    <n v="1"/>
    <n v="0"/>
    <n v="0"/>
    <n v="0"/>
    <n v="0"/>
    <n v="0"/>
    <s v="Enl Fokus-Ladok 210601"/>
    <m/>
    <n v="0"/>
    <n v="0"/>
    <n v="0"/>
    <n v="0"/>
    <n v="0"/>
    <n v="0"/>
    <n v="0"/>
    <n v="0"/>
    <n v="0"/>
    <n v="0"/>
    <n v="0"/>
    <n v="0"/>
    <n v="0.25"/>
    <n v="0.21249999999999999"/>
    <n v="0"/>
    <n v="0"/>
    <n v="0"/>
    <n v="0"/>
    <n v="0"/>
    <n v="0"/>
    <n v="0"/>
    <n v="0"/>
    <n v="0"/>
    <n v="0"/>
  </r>
  <r>
    <x v="102"/>
    <x v="101"/>
    <n v="72800"/>
    <x v="3"/>
    <m/>
    <x v="0"/>
    <m/>
    <s v="Umeå"/>
    <s v="Distans"/>
    <m/>
    <m/>
    <m/>
    <x v="3"/>
    <m/>
    <m/>
    <n v="38"/>
    <n v="19"/>
    <n v="0.8"/>
    <n v="15.200000000000001"/>
    <n v="2650"/>
    <x v="15"/>
    <s v="Sam"/>
    <x v="3"/>
    <n v="20757"/>
    <n v="36082"/>
    <n v="942829.4"/>
    <n v="22600"/>
    <n v="429400"/>
    <n v="1372229.4"/>
    <n v="0"/>
    <n v="0"/>
    <n v="0"/>
    <n v="0"/>
    <n v="0"/>
    <n v="1"/>
    <n v="0"/>
    <n v="0"/>
    <n v="0"/>
    <n v="0"/>
    <n v="0"/>
    <n v="0"/>
    <s v="Enl Fokus-Ladok 210601"/>
    <m/>
    <n v="0"/>
    <n v="0"/>
    <n v="0"/>
    <n v="0"/>
    <n v="0"/>
    <n v="0"/>
    <n v="0"/>
    <n v="0"/>
    <n v="0"/>
    <n v="0"/>
    <n v="19"/>
    <n v="15.200000000000001"/>
    <n v="0"/>
    <n v="0"/>
    <n v="0"/>
    <n v="0"/>
    <n v="0"/>
    <n v="0"/>
    <n v="0"/>
    <n v="0"/>
    <n v="0"/>
    <n v="0"/>
    <n v="0"/>
    <n v="0"/>
  </r>
  <r>
    <x v="102"/>
    <x v="101"/>
    <n v="72816"/>
    <x v="3"/>
    <m/>
    <x v="0"/>
    <m/>
    <s v="Umeå"/>
    <s v="Distans"/>
    <m/>
    <m/>
    <m/>
    <x v="1"/>
    <m/>
    <m/>
    <n v="17"/>
    <n v="4.25"/>
    <n v="0.8"/>
    <n v="3.4000000000000004"/>
    <n v="2650"/>
    <x v="15"/>
    <s v="Sam"/>
    <x v="3"/>
    <n v="20757"/>
    <n v="36082"/>
    <n v="210896.05000000002"/>
    <n v="22600"/>
    <n v="96050"/>
    <n v="306946.05000000005"/>
    <n v="0"/>
    <n v="0"/>
    <n v="0"/>
    <n v="0"/>
    <n v="0"/>
    <n v="1"/>
    <n v="0"/>
    <n v="0"/>
    <n v="0"/>
    <n v="0"/>
    <n v="0"/>
    <n v="0"/>
    <s v="Enl Fokus-Ladok 210601"/>
    <s v="Läser 15 av 30 hp denna termin"/>
    <n v="0"/>
    <n v="0"/>
    <n v="0"/>
    <n v="0"/>
    <n v="0"/>
    <n v="0"/>
    <n v="0"/>
    <n v="0"/>
    <n v="0"/>
    <n v="0"/>
    <n v="4.25"/>
    <n v="3.4000000000000004"/>
    <n v="0"/>
    <n v="0"/>
    <n v="0"/>
    <n v="0"/>
    <n v="0"/>
    <n v="0"/>
    <n v="0"/>
    <n v="0"/>
    <n v="0"/>
    <n v="0"/>
    <n v="0"/>
    <n v="0"/>
  </r>
  <r>
    <x v="102"/>
    <x v="101"/>
    <m/>
    <x v="3"/>
    <m/>
    <x v="1"/>
    <m/>
    <m/>
    <s v="Distans"/>
    <m/>
    <m/>
    <n v="0.5"/>
    <x v="1"/>
    <m/>
    <m/>
    <n v="20"/>
    <n v="5"/>
    <n v="0.8"/>
    <n v="4"/>
    <n v="2650"/>
    <x v="15"/>
    <s v="Sam"/>
    <x v="3"/>
    <n v="20757"/>
    <n v="36082"/>
    <n v="248113"/>
    <n v="22600"/>
    <n v="113000"/>
    <n v="361113"/>
    <n v="0"/>
    <n v="0"/>
    <n v="0"/>
    <n v="0"/>
    <n v="0"/>
    <n v="1"/>
    <n v="0"/>
    <n v="0"/>
    <n v="0"/>
    <n v="0"/>
    <n v="0"/>
    <n v="0"/>
    <s v="Äskat/Beslutat 200611 p.39"/>
    <m/>
    <n v="0"/>
    <n v="0"/>
    <n v="0"/>
    <n v="0"/>
    <n v="0"/>
    <n v="0"/>
    <n v="0"/>
    <n v="0"/>
    <n v="0"/>
    <n v="0"/>
    <n v="5"/>
    <n v="4"/>
    <n v="0"/>
    <n v="0"/>
    <n v="0"/>
    <n v="0"/>
    <n v="0"/>
    <n v="0"/>
    <n v="0"/>
    <n v="0"/>
    <n v="0"/>
    <n v="0"/>
    <n v="0"/>
    <n v="0"/>
  </r>
  <r>
    <x v="103"/>
    <x v="102"/>
    <m/>
    <x v="3"/>
    <m/>
    <x v="1"/>
    <m/>
    <m/>
    <s v="Distans"/>
    <m/>
    <m/>
    <n v="0.25"/>
    <x v="0"/>
    <m/>
    <m/>
    <n v="40"/>
    <n v="5"/>
    <n v="0.8"/>
    <n v="4"/>
    <n v="2650"/>
    <x v="15"/>
    <s v="Sam"/>
    <x v="3"/>
    <n v="20766"/>
    <n v="17442"/>
    <n v="173598"/>
    <n v="6000"/>
    <n v="30000"/>
    <n v="203598"/>
    <n v="0"/>
    <n v="0"/>
    <n v="0"/>
    <n v="0"/>
    <n v="0"/>
    <n v="0"/>
    <n v="1"/>
    <n v="0"/>
    <n v="0"/>
    <n v="0"/>
    <n v="0"/>
    <n v="0"/>
    <s v="Äskat/Beslutat 200611 p.39"/>
    <m/>
    <n v="0"/>
    <n v="0"/>
    <n v="0"/>
    <n v="0"/>
    <n v="0"/>
    <n v="0"/>
    <n v="0"/>
    <n v="0"/>
    <n v="0"/>
    <n v="0"/>
    <n v="0"/>
    <n v="0"/>
    <n v="5"/>
    <n v="4"/>
    <n v="0"/>
    <n v="0"/>
    <n v="0"/>
    <n v="0"/>
    <n v="0"/>
    <n v="0"/>
    <n v="0"/>
    <n v="0"/>
    <n v="0"/>
    <n v="0"/>
  </r>
  <r>
    <x v="104"/>
    <x v="103"/>
    <m/>
    <x v="3"/>
    <m/>
    <x v="1"/>
    <m/>
    <m/>
    <s v="Distans"/>
    <m/>
    <m/>
    <n v="1"/>
    <x v="3"/>
    <m/>
    <m/>
    <n v="35"/>
    <n v="17.5"/>
    <n v="0.8"/>
    <n v="14"/>
    <n v="2650"/>
    <x v="15"/>
    <s v="Sam"/>
    <x v="3"/>
    <n v="20757"/>
    <n v="36082"/>
    <n v="868395.5"/>
    <n v="22600"/>
    <n v="395500"/>
    <n v="1263895.5"/>
    <n v="0"/>
    <n v="0"/>
    <n v="0"/>
    <n v="0"/>
    <n v="0"/>
    <n v="1"/>
    <n v="0"/>
    <n v="0"/>
    <n v="0"/>
    <n v="0"/>
    <n v="0"/>
    <n v="0"/>
    <s v="Äskat/Beslutat 200611 p.39"/>
    <m/>
    <n v="0"/>
    <n v="0"/>
    <n v="0"/>
    <n v="0"/>
    <n v="0"/>
    <n v="0"/>
    <n v="0"/>
    <n v="0"/>
    <n v="0"/>
    <n v="0"/>
    <n v="17.5"/>
    <n v="14"/>
    <n v="0"/>
    <n v="0"/>
    <n v="0"/>
    <n v="0"/>
    <n v="0"/>
    <n v="0"/>
    <n v="0"/>
    <n v="0"/>
    <n v="0"/>
    <n v="0"/>
    <n v="0"/>
    <n v="0"/>
  </r>
  <r>
    <x v="105"/>
    <x v="104"/>
    <m/>
    <x v="3"/>
    <m/>
    <x v="1"/>
    <m/>
    <m/>
    <s v="Distans"/>
    <m/>
    <m/>
    <n v="1"/>
    <x v="1"/>
    <m/>
    <m/>
    <n v="15"/>
    <n v="3.75"/>
    <n v="0.8"/>
    <n v="3"/>
    <n v="2650"/>
    <x v="15"/>
    <s v="Sam"/>
    <x v="3"/>
    <n v="20757"/>
    <n v="36082"/>
    <n v="186084.75"/>
    <n v="22600"/>
    <n v="84750"/>
    <n v="270834.75"/>
    <n v="0"/>
    <n v="0"/>
    <n v="0"/>
    <n v="0"/>
    <n v="0"/>
    <n v="1"/>
    <n v="0"/>
    <n v="0"/>
    <n v="0"/>
    <n v="0"/>
    <n v="0"/>
    <n v="0"/>
    <s v="Äskat/Beslutat 200611 p.39"/>
    <m/>
    <n v="0"/>
    <n v="0"/>
    <n v="0"/>
    <n v="0"/>
    <n v="0"/>
    <n v="0"/>
    <n v="0"/>
    <n v="0"/>
    <n v="0"/>
    <n v="0"/>
    <n v="3.75"/>
    <n v="3"/>
    <n v="0"/>
    <n v="0"/>
    <n v="0"/>
    <n v="0"/>
    <n v="0"/>
    <n v="0"/>
    <n v="0"/>
    <n v="0"/>
    <n v="0"/>
    <n v="0"/>
    <n v="0"/>
    <n v="0"/>
  </r>
  <r>
    <x v="106"/>
    <x v="105"/>
    <n v="72803"/>
    <x v="3"/>
    <m/>
    <x v="0"/>
    <m/>
    <s v="Umeå"/>
    <s v="Distans"/>
    <m/>
    <m/>
    <m/>
    <x v="0"/>
    <m/>
    <m/>
    <n v="17"/>
    <n v="2.125"/>
    <n v="0.8"/>
    <n v="1.7000000000000002"/>
    <n v="2650"/>
    <x v="15"/>
    <s v="Sam"/>
    <x v="3"/>
    <n v="20766"/>
    <n v="17442"/>
    <n v="73779.149999999994"/>
    <n v="6000"/>
    <n v="12750"/>
    <n v="86529.15"/>
    <n v="0"/>
    <n v="0"/>
    <n v="0"/>
    <n v="0"/>
    <n v="0"/>
    <n v="0"/>
    <n v="1"/>
    <n v="0"/>
    <n v="0"/>
    <n v="0"/>
    <n v="0"/>
    <n v="0"/>
    <s v="Enl Fokus-Ladok 210601"/>
    <m/>
    <n v="0"/>
    <n v="0"/>
    <n v="0"/>
    <n v="0"/>
    <n v="0"/>
    <n v="0"/>
    <n v="0"/>
    <n v="0"/>
    <n v="0"/>
    <n v="0"/>
    <n v="0"/>
    <n v="0"/>
    <n v="2.125"/>
    <n v="1.7000000000000002"/>
    <n v="0"/>
    <n v="0"/>
    <n v="0"/>
    <n v="0"/>
    <n v="0"/>
    <n v="0"/>
    <n v="0"/>
    <n v="0"/>
    <n v="0"/>
    <n v="0"/>
  </r>
  <r>
    <x v="107"/>
    <x v="106"/>
    <n v="72805"/>
    <x v="3"/>
    <m/>
    <x v="0"/>
    <m/>
    <s v="Ospecificerad ort"/>
    <s v="Distans"/>
    <m/>
    <m/>
    <m/>
    <x v="1"/>
    <m/>
    <m/>
    <n v="15"/>
    <n v="3.75"/>
    <n v="0.8"/>
    <n v="3"/>
    <n v="2650"/>
    <x v="15"/>
    <s v="Sam"/>
    <x v="3"/>
    <n v="20766"/>
    <n v="17442"/>
    <n v="130198.5"/>
    <n v="6000"/>
    <n v="22500"/>
    <n v="152698.5"/>
    <n v="0"/>
    <n v="0"/>
    <n v="0"/>
    <n v="0"/>
    <n v="0"/>
    <n v="0"/>
    <n v="1"/>
    <n v="0"/>
    <n v="0"/>
    <n v="0"/>
    <n v="0"/>
    <n v="0"/>
    <s v="Enl Fokus-Ladok 210601"/>
    <m/>
    <n v="0"/>
    <n v="0"/>
    <n v="0"/>
    <n v="0"/>
    <n v="0"/>
    <n v="0"/>
    <n v="0"/>
    <n v="0"/>
    <n v="0"/>
    <n v="0"/>
    <n v="0"/>
    <n v="0"/>
    <n v="3.75"/>
    <n v="3"/>
    <n v="0"/>
    <n v="0"/>
    <n v="0"/>
    <n v="0"/>
    <n v="0"/>
    <n v="0"/>
    <n v="0"/>
    <n v="0"/>
    <n v="0"/>
    <n v="0"/>
  </r>
  <r>
    <x v="108"/>
    <x v="107"/>
    <n v="72806"/>
    <x v="3"/>
    <m/>
    <x v="0"/>
    <m/>
    <s v="Ortsoberoende"/>
    <s v="Distans"/>
    <m/>
    <m/>
    <m/>
    <x v="0"/>
    <m/>
    <m/>
    <n v="18"/>
    <n v="2.25"/>
    <n v="0.8"/>
    <n v="1.8"/>
    <n v="2650"/>
    <x v="15"/>
    <s v="Sam"/>
    <x v="3"/>
    <n v="20766"/>
    <n v="17442"/>
    <n v="78119.100000000006"/>
    <n v="6000"/>
    <n v="13500"/>
    <n v="91619.1"/>
    <n v="0"/>
    <n v="0"/>
    <n v="0"/>
    <n v="0"/>
    <n v="0"/>
    <n v="0"/>
    <n v="1"/>
    <n v="0"/>
    <n v="0"/>
    <n v="0"/>
    <n v="0"/>
    <n v="0"/>
    <s v="Enl Fokus-Ladok 210601"/>
    <m/>
    <n v="0"/>
    <n v="0"/>
    <n v="0"/>
    <n v="0"/>
    <n v="0"/>
    <n v="0"/>
    <n v="0"/>
    <n v="0"/>
    <n v="0"/>
    <n v="0"/>
    <n v="0"/>
    <n v="0"/>
    <n v="2.25"/>
    <n v="1.8"/>
    <n v="0"/>
    <n v="0"/>
    <n v="0"/>
    <n v="0"/>
    <n v="0"/>
    <n v="0"/>
    <n v="0"/>
    <n v="0"/>
    <n v="0"/>
    <n v="0"/>
  </r>
  <r>
    <x v="109"/>
    <x v="108"/>
    <m/>
    <x v="2"/>
    <s v="H15"/>
    <x v="1"/>
    <s v="H211-20"/>
    <s v="Umeå"/>
    <s v="Campus"/>
    <m/>
    <m/>
    <n v="1"/>
    <x v="1"/>
    <m/>
    <m/>
    <n v="2"/>
    <n v="0.5"/>
    <n v="0.85"/>
    <n v="0.42499999999999999"/>
    <n v="2180"/>
    <x v="12"/>
    <s v="Sam"/>
    <x v="2"/>
    <n v="26554"/>
    <n v="33465"/>
    <n v="27499.625"/>
    <n v="6000"/>
    <n v="3000"/>
    <n v="30499.625"/>
    <n v="0"/>
    <n v="0"/>
    <n v="0"/>
    <n v="1"/>
    <n v="0"/>
    <n v="0"/>
    <n v="0"/>
    <n v="0"/>
    <n v="0"/>
    <n v="0"/>
    <n v="0"/>
    <n v="0"/>
    <s v="SP 210920"/>
    <m/>
    <n v="0"/>
    <n v="0"/>
    <n v="0"/>
    <n v="0"/>
    <n v="0"/>
    <n v="0"/>
    <n v="0.5"/>
    <n v="0.42499999999999999"/>
    <n v="0"/>
    <n v="0"/>
    <n v="0"/>
    <n v="0"/>
    <n v="0"/>
    <n v="0"/>
    <n v="0"/>
    <n v="0"/>
    <n v="0"/>
    <n v="0"/>
    <n v="0"/>
    <n v="0"/>
    <n v="0"/>
    <n v="0"/>
    <n v="0"/>
    <n v="0"/>
  </r>
  <r>
    <x v="109"/>
    <x v="108"/>
    <m/>
    <x v="2"/>
    <s v="H17"/>
    <x v="1"/>
    <s v="H211-20"/>
    <s v="Umeå"/>
    <s v="Campus"/>
    <m/>
    <m/>
    <n v="1"/>
    <x v="1"/>
    <m/>
    <m/>
    <n v="1"/>
    <n v="0.25"/>
    <n v="0.85"/>
    <n v="0.21249999999999999"/>
    <n v="2180"/>
    <x v="12"/>
    <s v="Sam"/>
    <x v="2"/>
    <n v="26554"/>
    <n v="33465"/>
    <n v="13749.8125"/>
    <n v="6000"/>
    <n v="1500"/>
    <n v="15249.8125"/>
    <n v="0"/>
    <n v="0"/>
    <n v="0"/>
    <n v="1"/>
    <n v="0"/>
    <n v="0"/>
    <n v="0"/>
    <n v="0"/>
    <n v="0"/>
    <n v="0"/>
    <n v="0"/>
    <n v="0"/>
    <s v="SP 210920"/>
    <m/>
    <n v="0"/>
    <n v="0"/>
    <n v="0"/>
    <n v="0"/>
    <n v="0"/>
    <n v="0"/>
    <n v="0.25"/>
    <n v="0.21249999999999999"/>
    <n v="0"/>
    <n v="0"/>
    <n v="0"/>
    <n v="0"/>
    <n v="0"/>
    <n v="0"/>
    <n v="0"/>
    <n v="0"/>
    <n v="0"/>
    <n v="0"/>
    <n v="0"/>
    <n v="0"/>
    <n v="0"/>
    <n v="0"/>
    <n v="0"/>
    <n v="0"/>
  </r>
  <r>
    <x v="109"/>
    <x v="108"/>
    <m/>
    <x v="2"/>
    <s v="H18"/>
    <x v="1"/>
    <s v="H211-20"/>
    <s v="Umeå"/>
    <s v="Campus"/>
    <m/>
    <m/>
    <n v="1"/>
    <x v="1"/>
    <m/>
    <m/>
    <n v="2"/>
    <n v="0.5"/>
    <n v="0.85"/>
    <n v="0.42499999999999999"/>
    <n v="2180"/>
    <x v="12"/>
    <s v="Sam"/>
    <x v="2"/>
    <n v="26554"/>
    <n v="33465"/>
    <n v="27499.625"/>
    <n v="6000"/>
    <n v="3000"/>
    <n v="30499.625"/>
    <n v="0"/>
    <n v="0"/>
    <n v="0"/>
    <n v="1"/>
    <n v="0"/>
    <n v="0"/>
    <n v="0"/>
    <n v="0"/>
    <n v="0"/>
    <n v="0"/>
    <n v="0"/>
    <n v="0"/>
    <s v="SP 210920"/>
    <m/>
    <n v="0"/>
    <n v="0"/>
    <n v="0"/>
    <n v="0"/>
    <n v="0"/>
    <n v="0"/>
    <n v="0.5"/>
    <n v="0.42499999999999999"/>
    <n v="0"/>
    <n v="0"/>
    <n v="0"/>
    <n v="0"/>
    <n v="0"/>
    <n v="0"/>
    <n v="0"/>
    <n v="0"/>
    <n v="0"/>
    <n v="0"/>
    <n v="0"/>
    <n v="0"/>
    <n v="0"/>
    <n v="0"/>
    <n v="0"/>
    <n v="0"/>
  </r>
  <r>
    <x v="109"/>
    <x v="108"/>
    <m/>
    <x v="2"/>
    <s v="H19"/>
    <x v="1"/>
    <s v="H211-20"/>
    <s v="Umeå"/>
    <s v="Campus"/>
    <m/>
    <m/>
    <n v="1"/>
    <x v="1"/>
    <m/>
    <m/>
    <n v="1"/>
    <n v="0.25"/>
    <n v="0.85"/>
    <n v="0.21249999999999999"/>
    <n v="2180"/>
    <x v="12"/>
    <s v="Sam"/>
    <x v="2"/>
    <n v="26554"/>
    <n v="33465"/>
    <n v="13749.8125"/>
    <n v="6000"/>
    <n v="1500"/>
    <n v="15249.8125"/>
    <n v="0"/>
    <n v="0"/>
    <n v="0"/>
    <n v="1"/>
    <n v="0"/>
    <n v="0"/>
    <n v="0"/>
    <n v="0"/>
    <n v="0"/>
    <n v="0"/>
    <n v="0"/>
    <n v="0"/>
    <s v="SP 210920"/>
    <m/>
    <n v="0"/>
    <n v="0"/>
    <n v="0"/>
    <n v="0"/>
    <n v="0"/>
    <n v="0"/>
    <n v="0.25"/>
    <n v="0.21249999999999999"/>
    <n v="0"/>
    <n v="0"/>
    <n v="0"/>
    <n v="0"/>
    <n v="0"/>
    <n v="0"/>
    <n v="0"/>
    <n v="0"/>
    <n v="0"/>
    <n v="0"/>
    <n v="0"/>
    <n v="0"/>
    <n v="0"/>
    <n v="0"/>
    <n v="0"/>
    <n v="0"/>
  </r>
  <r>
    <x v="109"/>
    <x v="108"/>
    <m/>
    <x v="2"/>
    <s v="H20"/>
    <x v="1"/>
    <s v="H211-20"/>
    <s v="Umeå"/>
    <s v="Campus"/>
    <m/>
    <m/>
    <n v="1"/>
    <x v="1"/>
    <m/>
    <m/>
    <n v="1"/>
    <n v="0.25"/>
    <n v="0.85"/>
    <n v="0.21249999999999999"/>
    <n v="2180"/>
    <x v="12"/>
    <s v="Sam"/>
    <x v="2"/>
    <n v="26554"/>
    <n v="33465"/>
    <n v="13749.8125"/>
    <n v="6000"/>
    <n v="1500"/>
    <n v="15249.8125"/>
    <n v="0"/>
    <n v="0"/>
    <n v="0"/>
    <n v="1"/>
    <n v="0"/>
    <n v="0"/>
    <n v="0"/>
    <n v="0"/>
    <n v="0"/>
    <n v="0"/>
    <n v="0"/>
    <n v="0"/>
    <s v="SP 210920"/>
    <m/>
    <n v="0"/>
    <n v="0"/>
    <n v="0"/>
    <n v="0"/>
    <n v="0"/>
    <n v="0"/>
    <n v="0.25"/>
    <n v="0.21249999999999999"/>
    <n v="0"/>
    <n v="0"/>
    <n v="0"/>
    <n v="0"/>
    <n v="0"/>
    <n v="0"/>
    <n v="0"/>
    <n v="0"/>
    <n v="0"/>
    <n v="0"/>
    <n v="0"/>
    <n v="0"/>
    <n v="0"/>
    <n v="0"/>
    <n v="0"/>
    <n v="0"/>
  </r>
  <r>
    <x v="109"/>
    <x v="108"/>
    <m/>
    <x v="2"/>
    <s v="H21"/>
    <x v="1"/>
    <m/>
    <n v="2480"/>
    <m/>
    <m/>
    <m/>
    <n v="1"/>
    <x v="1"/>
    <m/>
    <m/>
    <n v="58"/>
    <n v="14.5"/>
    <n v="0.85"/>
    <n v="12.324999999999999"/>
    <n v="2180"/>
    <x v="12"/>
    <s v="Sam"/>
    <x v="2"/>
    <n v="26554"/>
    <n v="33465"/>
    <n v="797489.125"/>
    <n v="6000"/>
    <n v="87000"/>
    <n v="884489.125"/>
    <n v="0"/>
    <n v="0"/>
    <n v="0"/>
    <n v="1"/>
    <n v="0"/>
    <n v="0"/>
    <n v="0"/>
    <n v="0"/>
    <n v="0"/>
    <n v="0"/>
    <n v="0"/>
    <n v="0"/>
    <s v="Prognostal"/>
    <m/>
    <n v="0"/>
    <n v="0"/>
    <n v="0"/>
    <n v="0"/>
    <n v="0"/>
    <n v="0"/>
    <n v="14.5"/>
    <n v="12.324999999999999"/>
    <n v="0"/>
    <n v="0"/>
    <n v="0"/>
    <n v="0"/>
    <n v="0"/>
    <n v="0"/>
    <n v="0"/>
    <n v="0"/>
    <n v="0"/>
    <n v="0"/>
    <n v="0"/>
    <n v="0"/>
    <n v="0"/>
    <n v="0"/>
    <n v="0"/>
    <n v="0"/>
  </r>
  <r>
    <x v="109"/>
    <x v="108"/>
    <n v="62800"/>
    <x v="2"/>
    <m/>
    <x v="0"/>
    <m/>
    <s v="Umeå"/>
    <s v="Distans"/>
    <m/>
    <m/>
    <m/>
    <x v="1"/>
    <m/>
    <m/>
    <n v="21"/>
    <n v="5.25"/>
    <n v="0.85"/>
    <n v="4.4624999999999995"/>
    <n v="2180"/>
    <x v="12"/>
    <s v="Sam"/>
    <x v="2"/>
    <n v="26554"/>
    <n v="33465"/>
    <n v="288746.0625"/>
    <n v="6000"/>
    <n v="31500"/>
    <n v="320246.0625"/>
    <n v="0"/>
    <n v="0"/>
    <n v="0"/>
    <n v="1"/>
    <n v="0"/>
    <n v="0"/>
    <n v="0"/>
    <n v="0"/>
    <n v="0"/>
    <n v="0"/>
    <n v="0"/>
    <n v="0"/>
    <s v="Enl Fokus-Ladok 210601"/>
    <m/>
    <n v="0"/>
    <n v="0"/>
    <n v="0"/>
    <n v="0"/>
    <n v="0"/>
    <n v="0"/>
    <n v="5.25"/>
    <n v="4.4624999999999995"/>
    <n v="0"/>
    <n v="0"/>
    <n v="0"/>
    <n v="0"/>
    <n v="0"/>
    <n v="0"/>
    <n v="0"/>
    <n v="0"/>
    <n v="0"/>
    <n v="0"/>
    <n v="0"/>
    <n v="0"/>
    <n v="0"/>
    <n v="0"/>
    <n v="0"/>
    <n v="0"/>
  </r>
  <r>
    <x v="110"/>
    <x v="109"/>
    <m/>
    <x v="2"/>
    <s v="H15"/>
    <x v="1"/>
    <s v="H211-20"/>
    <s v="Umeå"/>
    <s v="Campus"/>
    <m/>
    <m/>
    <n v="0.5"/>
    <x v="1"/>
    <m/>
    <m/>
    <n v="2"/>
    <n v="0.5"/>
    <n v="0.85"/>
    <n v="0.42499999999999999"/>
    <n v="1630"/>
    <x v="11"/>
    <s v="Hum"/>
    <x v="2"/>
    <n v="26554"/>
    <n v="33465"/>
    <n v="27499.625"/>
    <n v="6000"/>
    <n v="3000"/>
    <n v="30499.625"/>
    <n v="0"/>
    <n v="0"/>
    <n v="0"/>
    <n v="1"/>
    <n v="0"/>
    <n v="0"/>
    <n v="0"/>
    <n v="0"/>
    <n v="0"/>
    <n v="0"/>
    <n v="0"/>
    <n v="0"/>
    <s v="SP210920"/>
    <m/>
    <n v="0"/>
    <n v="0"/>
    <n v="0"/>
    <n v="0"/>
    <n v="0"/>
    <n v="0"/>
    <n v="0.5"/>
    <n v="0.42499999999999999"/>
    <n v="0"/>
    <n v="0"/>
    <n v="0"/>
    <n v="0"/>
    <n v="0"/>
    <n v="0"/>
    <n v="0"/>
    <n v="0"/>
    <n v="0"/>
    <n v="0"/>
    <n v="0"/>
    <n v="0"/>
    <n v="0"/>
    <n v="0"/>
    <n v="0"/>
    <n v="0"/>
  </r>
  <r>
    <x v="110"/>
    <x v="109"/>
    <m/>
    <x v="2"/>
    <s v="H17"/>
    <x v="1"/>
    <s v="H211-20"/>
    <s v="Umeå"/>
    <s v="Campus"/>
    <m/>
    <m/>
    <n v="0.5"/>
    <x v="1"/>
    <m/>
    <m/>
    <n v="1"/>
    <n v="0.25"/>
    <n v="0.85"/>
    <n v="0.21249999999999999"/>
    <n v="1630"/>
    <x v="11"/>
    <s v="Hum"/>
    <x v="2"/>
    <n v="26554"/>
    <n v="33465"/>
    <n v="13749.8125"/>
    <n v="6000"/>
    <n v="1500"/>
    <n v="15249.8125"/>
    <n v="0"/>
    <n v="0"/>
    <n v="0"/>
    <n v="1"/>
    <n v="0"/>
    <n v="0"/>
    <n v="0"/>
    <n v="0"/>
    <n v="0"/>
    <n v="0"/>
    <n v="0"/>
    <n v="0"/>
    <s v="SP210920"/>
    <m/>
    <n v="0"/>
    <n v="0"/>
    <n v="0"/>
    <n v="0"/>
    <n v="0"/>
    <n v="0"/>
    <n v="0.25"/>
    <n v="0.21249999999999999"/>
    <n v="0"/>
    <n v="0"/>
    <n v="0"/>
    <n v="0"/>
    <n v="0"/>
    <n v="0"/>
    <n v="0"/>
    <n v="0"/>
    <n v="0"/>
    <n v="0"/>
    <n v="0"/>
    <n v="0"/>
    <n v="0"/>
    <n v="0"/>
    <n v="0"/>
    <n v="0"/>
  </r>
  <r>
    <x v="110"/>
    <x v="109"/>
    <m/>
    <x v="2"/>
    <s v="H18"/>
    <x v="1"/>
    <s v="H211-20"/>
    <s v="Umeå"/>
    <s v="Campus"/>
    <m/>
    <m/>
    <n v="0.5"/>
    <x v="1"/>
    <m/>
    <m/>
    <n v="3"/>
    <n v="0.75"/>
    <n v="0.85"/>
    <n v="0.63749999999999996"/>
    <n v="1630"/>
    <x v="11"/>
    <s v="Hum"/>
    <x v="2"/>
    <n v="26554"/>
    <n v="33465"/>
    <n v="41249.4375"/>
    <n v="6000"/>
    <n v="4500"/>
    <n v="45749.4375"/>
    <n v="0"/>
    <n v="0"/>
    <n v="0"/>
    <n v="1"/>
    <n v="0"/>
    <n v="0"/>
    <n v="0"/>
    <n v="0"/>
    <n v="0"/>
    <n v="0"/>
    <n v="0"/>
    <n v="0"/>
    <s v="SP210920"/>
    <m/>
    <n v="0"/>
    <n v="0"/>
    <n v="0"/>
    <n v="0"/>
    <n v="0"/>
    <n v="0"/>
    <n v="0.75"/>
    <n v="0.63749999999999996"/>
    <n v="0"/>
    <n v="0"/>
    <n v="0"/>
    <n v="0"/>
    <n v="0"/>
    <n v="0"/>
    <n v="0"/>
    <n v="0"/>
    <n v="0"/>
    <n v="0"/>
    <n v="0"/>
    <n v="0"/>
    <n v="0"/>
    <n v="0"/>
    <n v="0"/>
    <n v="0"/>
  </r>
  <r>
    <x v="110"/>
    <x v="109"/>
    <m/>
    <x v="2"/>
    <s v="H19"/>
    <x v="1"/>
    <s v="H211-20"/>
    <s v="Umeå"/>
    <s v="Campus"/>
    <m/>
    <m/>
    <n v="0.5"/>
    <x v="1"/>
    <m/>
    <m/>
    <n v="1"/>
    <n v="0.25"/>
    <n v="0.85"/>
    <n v="0.21249999999999999"/>
    <n v="1630"/>
    <x v="11"/>
    <s v="Hum"/>
    <x v="2"/>
    <n v="26554"/>
    <n v="33465"/>
    <n v="13749.8125"/>
    <n v="6000"/>
    <n v="1500"/>
    <n v="15249.8125"/>
    <n v="0"/>
    <n v="0"/>
    <n v="0"/>
    <n v="1"/>
    <n v="0"/>
    <n v="0"/>
    <n v="0"/>
    <n v="0"/>
    <n v="0"/>
    <n v="0"/>
    <n v="0"/>
    <n v="0"/>
    <s v="SP210920"/>
    <m/>
    <n v="0"/>
    <n v="0"/>
    <n v="0"/>
    <n v="0"/>
    <n v="0"/>
    <n v="0"/>
    <n v="0.25"/>
    <n v="0.21249999999999999"/>
    <n v="0"/>
    <n v="0"/>
    <n v="0"/>
    <n v="0"/>
    <n v="0"/>
    <n v="0"/>
    <n v="0"/>
    <n v="0"/>
    <n v="0"/>
    <n v="0"/>
    <n v="0"/>
    <n v="0"/>
    <n v="0"/>
    <n v="0"/>
    <n v="0"/>
    <n v="0"/>
  </r>
  <r>
    <x v="110"/>
    <x v="109"/>
    <m/>
    <x v="2"/>
    <s v="H20"/>
    <x v="1"/>
    <s v="H211-20"/>
    <s v="Umeå"/>
    <s v="Campus"/>
    <m/>
    <m/>
    <n v="0.5"/>
    <x v="1"/>
    <m/>
    <m/>
    <n v="2"/>
    <n v="0.5"/>
    <n v="0.85"/>
    <n v="0.42499999999999999"/>
    <n v="1630"/>
    <x v="11"/>
    <s v="Hum"/>
    <x v="2"/>
    <n v="26554"/>
    <n v="33465"/>
    <n v="27499.625"/>
    <n v="6000"/>
    <n v="3000"/>
    <n v="30499.625"/>
    <n v="0"/>
    <n v="0"/>
    <n v="0"/>
    <n v="1"/>
    <n v="0"/>
    <n v="0"/>
    <n v="0"/>
    <n v="0"/>
    <n v="0"/>
    <n v="0"/>
    <n v="0"/>
    <n v="0"/>
    <s v="SP210920"/>
    <m/>
    <n v="0"/>
    <n v="0"/>
    <n v="0"/>
    <n v="0"/>
    <n v="0"/>
    <n v="0"/>
    <n v="0.5"/>
    <n v="0.42499999999999999"/>
    <n v="0"/>
    <n v="0"/>
    <n v="0"/>
    <n v="0"/>
    <n v="0"/>
    <n v="0"/>
    <n v="0"/>
    <n v="0"/>
    <n v="0"/>
    <n v="0"/>
    <n v="0"/>
    <n v="0"/>
    <n v="0"/>
    <n v="0"/>
    <n v="0"/>
    <n v="0"/>
  </r>
  <r>
    <x v="110"/>
    <x v="109"/>
    <m/>
    <x v="2"/>
    <s v="H21"/>
    <x v="1"/>
    <m/>
    <n v="2480"/>
    <m/>
    <m/>
    <m/>
    <n v="0.5"/>
    <x v="1"/>
    <m/>
    <m/>
    <n v="31"/>
    <n v="7.75"/>
    <n v="0.85"/>
    <n v="6.5874999999999995"/>
    <n v="1630"/>
    <x v="11"/>
    <s v="Hum"/>
    <x v="2"/>
    <n v="26554"/>
    <n v="33465"/>
    <n v="426244.1875"/>
    <n v="6000"/>
    <n v="46500"/>
    <n v="472744.1875"/>
    <n v="0"/>
    <n v="0"/>
    <n v="0"/>
    <n v="1"/>
    <n v="0"/>
    <n v="0"/>
    <n v="0"/>
    <n v="0"/>
    <n v="0"/>
    <n v="0"/>
    <n v="0"/>
    <n v="0"/>
    <s v="Reg i Ladok 210907"/>
    <s v="Revid"/>
    <n v="0"/>
    <n v="0"/>
    <n v="0"/>
    <n v="0"/>
    <n v="0"/>
    <n v="0"/>
    <n v="7.75"/>
    <n v="6.5874999999999995"/>
    <n v="0"/>
    <n v="0"/>
    <n v="0"/>
    <n v="0"/>
    <n v="0"/>
    <n v="0"/>
    <n v="0"/>
    <n v="0"/>
    <n v="0"/>
    <n v="0"/>
    <n v="0"/>
    <n v="0"/>
    <n v="0"/>
    <n v="0"/>
    <n v="0"/>
    <n v="0"/>
  </r>
  <r>
    <x v="110"/>
    <x v="109"/>
    <m/>
    <x v="2"/>
    <s v="H21"/>
    <x v="1"/>
    <m/>
    <n v="2480"/>
    <m/>
    <m/>
    <m/>
    <n v="1"/>
    <x v="1"/>
    <m/>
    <m/>
    <n v="61"/>
    <n v="15.25"/>
    <n v="0.85"/>
    <n v="12.9625"/>
    <n v="1630"/>
    <x v="11"/>
    <s v="Hum"/>
    <x v="2"/>
    <n v="26554"/>
    <n v="33465"/>
    <n v="838738.5625"/>
    <n v="6000"/>
    <n v="91500"/>
    <n v="930238.5625"/>
    <n v="0"/>
    <n v="0"/>
    <n v="0"/>
    <n v="1"/>
    <n v="0"/>
    <n v="0"/>
    <n v="0"/>
    <n v="0"/>
    <n v="0"/>
    <n v="0"/>
    <n v="0"/>
    <n v="0"/>
    <s v="Reg i Ladok 210907"/>
    <s v="Revid"/>
    <n v="0"/>
    <n v="0"/>
    <n v="0"/>
    <n v="0"/>
    <n v="0"/>
    <n v="0"/>
    <n v="15.25"/>
    <n v="12.9625"/>
    <n v="0"/>
    <n v="0"/>
    <n v="0"/>
    <n v="0"/>
    <n v="0"/>
    <n v="0"/>
    <n v="0"/>
    <n v="0"/>
    <n v="0"/>
    <n v="0"/>
    <n v="0"/>
    <n v="0"/>
    <n v="0"/>
    <n v="0"/>
    <n v="0"/>
    <n v="0"/>
  </r>
  <r>
    <x v="111"/>
    <x v="110"/>
    <n v="69707"/>
    <x v="2"/>
    <m/>
    <x v="0"/>
    <m/>
    <s v="Umeå"/>
    <s v="Distans"/>
    <m/>
    <m/>
    <m/>
    <x v="1"/>
    <m/>
    <m/>
    <n v="46"/>
    <n v="11.5"/>
    <n v="0.85"/>
    <n v="9.7750000000000004"/>
    <n v="5740"/>
    <x v="7"/>
    <s v="TekNat"/>
    <x v="2"/>
    <n v="26554"/>
    <n v="33465"/>
    <n v="632491.375"/>
    <n v="6000"/>
    <n v="69000"/>
    <n v="701491.375"/>
    <n v="0"/>
    <n v="0"/>
    <n v="0"/>
    <n v="1"/>
    <n v="0"/>
    <n v="0"/>
    <n v="0"/>
    <n v="0"/>
    <n v="0"/>
    <n v="0"/>
    <n v="0"/>
    <n v="0"/>
    <s v="Enl Fokus-Ladok 210601"/>
    <m/>
    <n v="0"/>
    <n v="0"/>
    <n v="0"/>
    <n v="0"/>
    <n v="0"/>
    <n v="0"/>
    <n v="11.5"/>
    <n v="9.7750000000000004"/>
    <n v="0"/>
    <n v="0"/>
    <n v="0"/>
    <n v="0"/>
    <n v="0"/>
    <n v="0"/>
    <n v="0"/>
    <n v="0"/>
    <n v="0"/>
    <n v="0"/>
    <n v="0"/>
    <n v="0"/>
    <n v="0"/>
    <n v="0"/>
    <n v="0"/>
    <n v="0"/>
  </r>
  <r>
    <x v="112"/>
    <x v="111"/>
    <m/>
    <x v="7"/>
    <s v="H20"/>
    <x v="1"/>
    <s v="H211-20"/>
    <s v="Umeå"/>
    <s v="Campus"/>
    <s v="GRHF"/>
    <m/>
    <n v="0.5"/>
    <x v="1"/>
    <m/>
    <m/>
    <n v="1"/>
    <n v="0.25"/>
    <n v="0.85"/>
    <n v="0.21249999999999999"/>
    <n v="1650"/>
    <x v="9"/>
    <s v="Hum"/>
    <x v="7"/>
    <n v="25235"/>
    <n v="27976"/>
    <n v="12253.65"/>
    <n v="3600"/>
    <n v="900"/>
    <n v="13153.65"/>
    <n v="0"/>
    <n v="0"/>
    <n v="0"/>
    <n v="0"/>
    <n v="0"/>
    <n v="0"/>
    <n v="0"/>
    <n v="0"/>
    <n v="1"/>
    <n v="0"/>
    <n v="0"/>
    <n v="0"/>
    <s v="SP 210920"/>
    <m/>
    <n v="0"/>
    <n v="0"/>
    <n v="0"/>
    <n v="0"/>
    <n v="0"/>
    <n v="0"/>
    <n v="0"/>
    <n v="0"/>
    <n v="0"/>
    <n v="0"/>
    <n v="0"/>
    <n v="0"/>
    <n v="0"/>
    <n v="0"/>
    <n v="0"/>
    <n v="0"/>
    <n v="0.25"/>
    <n v="0.21249999999999999"/>
    <n v="0"/>
    <n v="0"/>
    <n v="0"/>
    <n v="0"/>
    <n v="0"/>
    <n v="0"/>
  </r>
  <r>
    <x v="112"/>
    <x v="111"/>
    <m/>
    <x v="2"/>
    <s v="H20"/>
    <x v="1"/>
    <s v="H211-20"/>
    <s v="Umeå"/>
    <s v="Campus"/>
    <m/>
    <m/>
    <n v="0.5"/>
    <x v="1"/>
    <m/>
    <m/>
    <n v="20"/>
    <n v="5"/>
    <n v="0.85"/>
    <n v="4.25"/>
    <n v="1650"/>
    <x v="9"/>
    <s v="Hum"/>
    <x v="2"/>
    <n v="25235"/>
    <n v="27976"/>
    <n v="245073"/>
    <n v="3600"/>
    <n v="18000"/>
    <n v="263073"/>
    <n v="0"/>
    <n v="0"/>
    <n v="0"/>
    <n v="0"/>
    <n v="0"/>
    <n v="0"/>
    <n v="0"/>
    <n v="0"/>
    <n v="1"/>
    <n v="0"/>
    <n v="0"/>
    <n v="0"/>
    <s v="SP210920"/>
    <m/>
    <n v="0"/>
    <n v="0"/>
    <n v="0"/>
    <n v="0"/>
    <n v="0"/>
    <n v="0"/>
    <n v="0"/>
    <n v="0"/>
    <n v="0"/>
    <n v="0"/>
    <n v="0"/>
    <n v="0"/>
    <n v="0"/>
    <n v="0"/>
    <n v="0"/>
    <n v="0"/>
    <n v="5"/>
    <n v="4.25"/>
    <n v="0"/>
    <n v="0"/>
    <n v="0"/>
    <n v="0"/>
    <n v="0"/>
    <n v="0"/>
  </r>
  <r>
    <x v="112"/>
    <x v="111"/>
    <n v="65501"/>
    <x v="2"/>
    <m/>
    <x v="0"/>
    <m/>
    <s v="Umeå"/>
    <s v="Distans"/>
    <m/>
    <m/>
    <m/>
    <x v="1"/>
    <m/>
    <m/>
    <n v="46"/>
    <n v="11.5"/>
    <n v="0.85"/>
    <n v="9.7750000000000004"/>
    <n v="1650"/>
    <x v="9"/>
    <s v="Hum"/>
    <x v="2"/>
    <n v="25235"/>
    <n v="27976"/>
    <n v="563667.9"/>
    <n v="3600"/>
    <n v="41400"/>
    <n v="605067.9"/>
    <n v="0"/>
    <n v="0"/>
    <n v="0"/>
    <n v="0"/>
    <n v="0"/>
    <n v="0"/>
    <n v="0"/>
    <n v="0"/>
    <n v="1"/>
    <n v="0"/>
    <n v="0"/>
    <n v="0"/>
    <s v="Enl Fokus-Ladok 210601"/>
    <m/>
    <n v="0"/>
    <n v="0"/>
    <n v="0"/>
    <n v="0"/>
    <n v="0"/>
    <n v="0"/>
    <n v="0"/>
    <n v="0"/>
    <n v="0"/>
    <n v="0"/>
    <n v="0"/>
    <n v="0"/>
    <n v="0"/>
    <n v="0"/>
    <n v="0"/>
    <n v="0"/>
    <n v="11.5"/>
    <n v="9.7750000000000004"/>
    <n v="0"/>
    <n v="0"/>
    <n v="0"/>
    <n v="0"/>
    <n v="0"/>
    <n v="0"/>
  </r>
  <r>
    <x v="113"/>
    <x v="112"/>
    <m/>
    <x v="8"/>
    <s v="H16"/>
    <x v="1"/>
    <s v="H211-20"/>
    <s v="Umeå"/>
    <s v="Campus"/>
    <s v="ALG1"/>
    <m/>
    <n v="1"/>
    <x v="1"/>
    <m/>
    <m/>
    <n v="1"/>
    <n v="0.25"/>
    <n v="0.85"/>
    <n v="0.21249999999999999"/>
    <n v="5740"/>
    <x v="7"/>
    <s v="TekNat"/>
    <x v="8"/>
    <n v="26554"/>
    <n v="33465"/>
    <n v="13749.8125"/>
    <n v="6000"/>
    <n v="1500"/>
    <n v="15249.8125"/>
    <n v="0"/>
    <n v="0"/>
    <n v="0"/>
    <n v="1"/>
    <n v="0"/>
    <n v="0"/>
    <n v="0"/>
    <n v="0"/>
    <n v="0"/>
    <n v="0"/>
    <n v="0"/>
    <n v="0"/>
    <s v="SP 210920"/>
    <m/>
    <n v="0"/>
    <n v="0"/>
    <n v="0"/>
    <n v="0"/>
    <n v="0"/>
    <n v="0"/>
    <n v="0.25"/>
    <n v="0.21249999999999999"/>
    <n v="0"/>
    <n v="0"/>
    <n v="0"/>
    <n v="0"/>
    <n v="0"/>
    <n v="0"/>
    <n v="0"/>
    <n v="0"/>
    <n v="0"/>
    <n v="0"/>
    <n v="0"/>
    <n v="0"/>
    <n v="0"/>
    <n v="0"/>
    <n v="0"/>
    <n v="0"/>
  </r>
  <r>
    <x v="113"/>
    <x v="112"/>
    <m/>
    <x v="2"/>
    <s v="H20"/>
    <x v="1"/>
    <s v="H211-20"/>
    <s v="Umeå"/>
    <s v="Campus"/>
    <m/>
    <m/>
    <n v="1"/>
    <x v="1"/>
    <m/>
    <m/>
    <n v="5"/>
    <n v="1.25"/>
    <n v="0.85"/>
    <n v="1.0625"/>
    <n v="5740"/>
    <x v="7"/>
    <s v="TekNat"/>
    <x v="2"/>
    <n v="26554"/>
    <n v="33465"/>
    <n v="68749.0625"/>
    <n v="6000"/>
    <n v="7500"/>
    <n v="76249.0625"/>
    <n v="0"/>
    <n v="0"/>
    <n v="0"/>
    <n v="1"/>
    <n v="0"/>
    <n v="0"/>
    <n v="0"/>
    <n v="0"/>
    <n v="0"/>
    <n v="0"/>
    <n v="0"/>
    <n v="0"/>
    <s v="SP210920"/>
    <m/>
    <n v="0"/>
    <n v="0"/>
    <n v="0"/>
    <n v="0"/>
    <n v="0"/>
    <n v="0"/>
    <n v="1.25"/>
    <n v="1.0625"/>
    <n v="0"/>
    <n v="0"/>
    <n v="0"/>
    <n v="0"/>
    <n v="0"/>
    <n v="0"/>
    <n v="0"/>
    <n v="0"/>
    <n v="0"/>
    <n v="0"/>
    <n v="0"/>
    <n v="0"/>
    <n v="0"/>
    <n v="0"/>
    <n v="0"/>
    <n v="0"/>
  </r>
  <r>
    <x v="114"/>
    <x v="113"/>
    <m/>
    <x v="2"/>
    <s v="H20"/>
    <x v="1"/>
    <s v="H211-20"/>
    <s v="Umeå"/>
    <s v="Campus"/>
    <m/>
    <m/>
    <n v="1"/>
    <x v="1"/>
    <m/>
    <m/>
    <n v="3"/>
    <n v="0.75"/>
    <n v="0.85"/>
    <n v="0.63749999999999996"/>
    <n v="5740"/>
    <x v="7"/>
    <s v="TekNat"/>
    <x v="2"/>
    <n v="26554"/>
    <n v="33465"/>
    <n v="41249.4375"/>
    <n v="6000"/>
    <n v="4500"/>
    <n v="45749.4375"/>
    <n v="0"/>
    <n v="0"/>
    <n v="0"/>
    <n v="1"/>
    <n v="0"/>
    <n v="0"/>
    <n v="0"/>
    <n v="0"/>
    <n v="0"/>
    <n v="0"/>
    <n v="0"/>
    <n v="0"/>
    <s v="SP210920"/>
    <m/>
    <n v="0"/>
    <n v="0"/>
    <n v="0"/>
    <n v="0"/>
    <n v="0"/>
    <n v="0"/>
    <n v="0.75"/>
    <n v="0.63749999999999996"/>
    <n v="0"/>
    <n v="0"/>
    <n v="0"/>
    <n v="0"/>
    <n v="0"/>
    <n v="0"/>
    <n v="0"/>
    <n v="0"/>
    <n v="0"/>
    <n v="0"/>
    <n v="0"/>
    <n v="0"/>
    <n v="0"/>
    <n v="0"/>
    <n v="0"/>
    <n v="0"/>
  </r>
  <r>
    <x v="115"/>
    <x v="114"/>
    <m/>
    <x v="2"/>
    <s v="H20"/>
    <x v="1"/>
    <s v="H211-20"/>
    <s v="Umeå"/>
    <s v="Campus"/>
    <m/>
    <m/>
    <n v="0.5"/>
    <x v="1"/>
    <m/>
    <m/>
    <n v="3"/>
    <n v="0.75"/>
    <n v="0.85"/>
    <n v="0.63749999999999996"/>
    <n v="2180"/>
    <x v="12"/>
    <s v="Sam"/>
    <x v="2"/>
    <n v="26554"/>
    <n v="33465"/>
    <n v="41249.4375"/>
    <n v="6000"/>
    <n v="4500"/>
    <n v="45749.4375"/>
    <n v="0"/>
    <n v="0"/>
    <n v="0"/>
    <n v="1"/>
    <n v="0"/>
    <n v="0"/>
    <n v="0"/>
    <n v="0"/>
    <n v="0"/>
    <n v="0"/>
    <n v="0"/>
    <n v="0"/>
    <s v="SP210920"/>
    <m/>
    <n v="0"/>
    <n v="0"/>
    <n v="0"/>
    <n v="0"/>
    <n v="0"/>
    <n v="0"/>
    <n v="0.75"/>
    <n v="0.63749999999999996"/>
    <n v="0"/>
    <n v="0"/>
    <n v="0"/>
    <n v="0"/>
    <n v="0"/>
    <n v="0"/>
    <n v="0"/>
    <n v="0"/>
    <n v="0"/>
    <n v="0"/>
    <n v="0"/>
    <n v="0"/>
    <n v="0"/>
    <n v="0"/>
    <n v="0"/>
    <n v="0"/>
  </r>
  <r>
    <x v="116"/>
    <x v="115"/>
    <m/>
    <x v="2"/>
    <s v="H20"/>
    <x v="1"/>
    <s v="H211-20"/>
    <s v="Umeå"/>
    <s v="Campus"/>
    <m/>
    <m/>
    <n v="1"/>
    <x v="1"/>
    <m/>
    <m/>
    <n v="7"/>
    <n v="1.75"/>
    <n v="0.85"/>
    <n v="1.4875"/>
    <n v="1650"/>
    <x v="9"/>
    <s v="Hum"/>
    <x v="2"/>
    <n v="25235"/>
    <n v="27976"/>
    <n v="85775.55"/>
    <n v="3600"/>
    <n v="6300"/>
    <n v="92075.55"/>
    <n v="0"/>
    <n v="0"/>
    <n v="0"/>
    <n v="0"/>
    <n v="0"/>
    <n v="0"/>
    <n v="0"/>
    <n v="0"/>
    <n v="1"/>
    <n v="0"/>
    <n v="0"/>
    <n v="0"/>
    <s v="SP210920"/>
    <m/>
    <n v="0"/>
    <n v="0"/>
    <n v="0"/>
    <n v="0"/>
    <n v="0"/>
    <n v="0"/>
    <n v="0"/>
    <n v="0"/>
    <n v="0"/>
    <n v="0"/>
    <n v="0"/>
    <n v="0"/>
    <n v="0"/>
    <n v="0"/>
    <n v="0"/>
    <n v="0"/>
    <n v="1.75"/>
    <n v="1.4875"/>
    <n v="0"/>
    <n v="0"/>
    <n v="0"/>
    <n v="0"/>
    <n v="0"/>
    <n v="0"/>
  </r>
  <r>
    <x v="117"/>
    <x v="116"/>
    <m/>
    <x v="2"/>
    <s v="H20"/>
    <x v="1"/>
    <s v="H211-20"/>
    <s v="Umeå"/>
    <s v="Campus"/>
    <m/>
    <m/>
    <n v="1"/>
    <x v="1"/>
    <m/>
    <m/>
    <n v="3"/>
    <n v="0.75"/>
    <n v="0.85"/>
    <n v="0.63749999999999996"/>
    <n v="1620"/>
    <x v="0"/>
    <s v="Hum"/>
    <x v="2"/>
    <n v="26554"/>
    <n v="33465"/>
    <n v="41249.4375"/>
    <n v="6000"/>
    <n v="4500"/>
    <n v="45749.4375"/>
    <n v="0"/>
    <n v="0"/>
    <n v="0"/>
    <n v="1"/>
    <n v="0"/>
    <n v="0"/>
    <n v="0"/>
    <n v="0"/>
    <n v="0"/>
    <n v="0"/>
    <n v="0"/>
    <n v="0"/>
    <s v="SP210920"/>
    <m/>
    <n v="0"/>
    <n v="0"/>
    <n v="0"/>
    <n v="0"/>
    <n v="0"/>
    <n v="0"/>
    <n v="0.75"/>
    <n v="0.63749999999999996"/>
    <n v="0"/>
    <n v="0"/>
    <n v="0"/>
    <n v="0"/>
    <n v="0"/>
    <n v="0"/>
    <n v="0"/>
    <n v="0"/>
    <n v="0"/>
    <n v="0"/>
    <n v="0"/>
    <n v="0"/>
    <n v="0"/>
    <n v="0"/>
    <n v="0"/>
    <n v="0"/>
  </r>
  <r>
    <x v="118"/>
    <x v="112"/>
    <m/>
    <x v="2"/>
    <s v="H20"/>
    <x v="1"/>
    <s v="H211-20"/>
    <s v="Umeå"/>
    <s v="Campus"/>
    <m/>
    <m/>
    <n v="1"/>
    <x v="1"/>
    <m/>
    <m/>
    <n v="3"/>
    <n v="0.75"/>
    <n v="0.85"/>
    <n v="0.63749999999999996"/>
    <n v="1620"/>
    <x v="0"/>
    <s v="Hum"/>
    <x v="2"/>
    <n v="26554"/>
    <n v="33465"/>
    <n v="41249.4375"/>
    <n v="6000"/>
    <n v="4500"/>
    <n v="45749.4375"/>
    <n v="0"/>
    <n v="0"/>
    <n v="0"/>
    <n v="1"/>
    <n v="0"/>
    <n v="0"/>
    <n v="0"/>
    <n v="0"/>
    <n v="0"/>
    <n v="0"/>
    <n v="0"/>
    <n v="0"/>
    <s v="SP210920"/>
    <m/>
    <n v="0"/>
    <n v="0"/>
    <n v="0"/>
    <n v="0"/>
    <n v="0"/>
    <n v="0"/>
    <n v="0.75"/>
    <n v="0.63749999999999996"/>
    <n v="0"/>
    <n v="0"/>
    <n v="0"/>
    <n v="0"/>
    <n v="0"/>
    <n v="0"/>
    <n v="0"/>
    <n v="0"/>
    <n v="0"/>
    <n v="0"/>
    <n v="0"/>
    <n v="0"/>
    <n v="0"/>
    <n v="0"/>
    <n v="0"/>
    <n v="0"/>
  </r>
  <r>
    <x v="119"/>
    <x v="112"/>
    <m/>
    <x v="2"/>
    <s v="H20"/>
    <x v="1"/>
    <s v="H211-20"/>
    <s v="Umeå"/>
    <s v="Campus"/>
    <m/>
    <m/>
    <n v="1"/>
    <x v="1"/>
    <m/>
    <m/>
    <n v="10"/>
    <n v="2.5"/>
    <n v="0.85"/>
    <n v="2.125"/>
    <n v="2650"/>
    <x v="15"/>
    <s v="Sam"/>
    <x v="2"/>
    <n v="26554"/>
    <n v="33465"/>
    <n v="137498.125"/>
    <n v="6000"/>
    <n v="15000"/>
    <n v="152498.125"/>
    <n v="0"/>
    <n v="0"/>
    <n v="0"/>
    <n v="1"/>
    <n v="0"/>
    <n v="0"/>
    <n v="0"/>
    <n v="0"/>
    <n v="0"/>
    <n v="0"/>
    <n v="0"/>
    <n v="0"/>
    <s v="SP210920"/>
    <m/>
    <n v="0"/>
    <n v="0"/>
    <n v="0"/>
    <n v="0"/>
    <n v="0"/>
    <n v="0"/>
    <n v="2.5"/>
    <n v="2.125"/>
    <n v="0"/>
    <n v="0"/>
    <n v="0"/>
    <n v="0"/>
    <n v="0"/>
    <n v="0"/>
    <n v="0"/>
    <n v="0"/>
    <n v="0"/>
    <n v="0"/>
    <n v="0"/>
    <n v="0"/>
    <n v="0"/>
    <n v="0"/>
    <n v="0"/>
    <n v="0"/>
  </r>
  <r>
    <x v="120"/>
    <x v="117"/>
    <m/>
    <x v="2"/>
    <s v="H20"/>
    <x v="1"/>
    <s v="H211-20"/>
    <s v="Umeå"/>
    <s v="Campus"/>
    <m/>
    <m/>
    <n v="0.5"/>
    <x v="1"/>
    <m/>
    <m/>
    <n v="4"/>
    <n v="1"/>
    <n v="0.85"/>
    <n v="0.85"/>
    <n v="1650"/>
    <x v="9"/>
    <s v="Hum"/>
    <x v="2"/>
    <n v="25235"/>
    <n v="27976"/>
    <n v="49014.6"/>
    <n v="3600"/>
    <n v="3600"/>
    <n v="52614.6"/>
    <n v="0"/>
    <n v="0"/>
    <n v="0"/>
    <n v="0"/>
    <n v="0"/>
    <n v="0"/>
    <n v="0"/>
    <n v="0"/>
    <n v="1"/>
    <n v="0"/>
    <n v="0"/>
    <n v="0"/>
    <s v="SP210920"/>
    <m/>
    <n v="0"/>
    <n v="0"/>
    <n v="0"/>
    <n v="0"/>
    <n v="0"/>
    <n v="0"/>
    <n v="0"/>
    <n v="0"/>
    <n v="0"/>
    <n v="0"/>
    <n v="0"/>
    <n v="0"/>
    <n v="0"/>
    <n v="0"/>
    <n v="0"/>
    <n v="0"/>
    <n v="1"/>
    <n v="0.85"/>
    <n v="0"/>
    <n v="0"/>
    <n v="0"/>
    <n v="0"/>
    <n v="0"/>
    <n v="0"/>
  </r>
  <r>
    <x v="120"/>
    <x v="117"/>
    <m/>
    <x v="2"/>
    <s v="H20"/>
    <x v="1"/>
    <s v="H211-20"/>
    <s v="Umeå"/>
    <s v="Campus"/>
    <m/>
    <m/>
    <n v="1"/>
    <x v="1"/>
    <m/>
    <m/>
    <n v="30"/>
    <n v="7.5"/>
    <n v="0.85"/>
    <n v="6.375"/>
    <n v="1650"/>
    <x v="9"/>
    <s v="Hum"/>
    <x v="2"/>
    <n v="25235"/>
    <n v="27976"/>
    <n v="367609.5"/>
    <n v="3600"/>
    <n v="27000"/>
    <n v="394609.5"/>
    <n v="0"/>
    <n v="0"/>
    <n v="0"/>
    <n v="0"/>
    <n v="0"/>
    <n v="0"/>
    <n v="0"/>
    <n v="0"/>
    <n v="1"/>
    <n v="0"/>
    <n v="0"/>
    <n v="0"/>
    <s v="SP210920"/>
    <m/>
    <n v="0"/>
    <n v="0"/>
    <n v="0"/>
    <n v="0"/>
    <n v="0"/>
    <n v="0"/>
    <n v="0"/>
    <n v="0"/>
    <n v="0"/>
    <n v="0"/>
    <n v="0"/>
    <n v="0"/>
    <n v="0"/>
    <n v="0"/>
    <n v="0"/>
    <n v="0"/>
    <n v="7.5"/>
    <n v="6.375"/>
    <n v="0"/>
    <n v="0"/>
    <n v="0"/>
    <n v="0"/>
    <n v="0"/>
    <n v="0"/>
  </r>
  <r>
    <x v="121"/>
    <x v="116"/>
    <m/>
    <x v="2"/>
    <s v="H20"/>
    <x v="1"/>
    <s v="H211-20"/>
    <s v="Umeå"/>
    <s v="Campus"/>
    <m/>
    <m/>
    <n v="1"/>
    <x v="1"/>
    <m/>
    <m/>
    <n v="1"/>
    <n v="0.25"/>
    <n v="0.85"/>
    <n v="0.21249999999999999"/>
    <n v="1650"/>
    <x v="9"/>
    <s v="Hum"/>
    <x v="2"/>
    <n v="26554"/>
    <n v="33465"/>
    <n v="13749.8125"/>
    <n v="6000"/>
    <n v="1500"/>
    <n v="15249.8125"/>
    <n v="0"/>
    <n v="0"/>
    <n v="0"/>
    <n v="1"/>
    <n v="0"/>
    <n v="0"/>
    <n v="0"/>
    <n v="0"/>
    <n v="0"/>
    <n v="0"/>
    <n v="0"/>
    <n v="0"/>
    <s v="SP210920"/>
    <m/>
    <n v="0"/>
    <n v="0"/>
    <n v="0"/>
    <n v="0"/>
    <n v="0"/>
    <n v="0"/>
    <n v="0.25"/>
    <n v="0.21249999999999999"/>
    <n v="0"/>
    <n v="0"/>
    <n v="0"/>
    <n v="0"/>
    <n v="0"/>
    <n v="0"/>
    <n v="0"/>
    <n v="0"/>
    <n v="0"/>
    <n v="0"/>
    <n v="0"/>
    <n v="0"/>
    <n v="0"/>
    <n v="0"/>
    <n v="0"/>
    <n v="0"/>
  </r>
  <r>
    <x v="122"/>
    <x v="114"/>
    <m/>
    <x v="2"/>
    <s v="H20"/>
    <x v="1"/>
    <s v="H211-20"/>
    <s v="Umeå"/>
    <s v="Campus"/>
    <m/>
    <m/>
    <n v="0.5"/>
    <x v="1"/>
    <m/>
    <m/>
    <n v="3"/>
    <n v="0.75"/>
    <n v="0.85"/>
    <n v="0.63749999999999996"/>
    <n v="1650"/>
    <x v="9"/>
    <s v="Hum"/>
    <x v="2"/>
    <n v="26554"/>
    <n v="33465"/>
    <n v="41249.4375"/>
    <n v="6000"/>
    <n v="4500"/>
    <n v="45749.4375"/>
    <n v="0"/>
    <n v="0"/>
    <n v="0"/>
    <n v="1"/>
    <n v="0"/>
    <n v="0"/>
    <n v="0"/>
    <n v="0"/>
    <n v="0"/>
    <n v="0"/>
    <n v="0"/>
    <n v="0"/>
    <s v="SP210920"/>
    <m/>
    <n v="0"/>
    <n v="0"/>
    <n v="0"/>
    <n v="0"/>
    <n v="0"/>
    <n v="0"/>
    <n v="0.75"/>
    <n v="0.63749999999999996"/>
    <n v="0"/>
    <n v="0"/>
    <n v="0"/>
    <n v="0"/>
    <n v="0"/>
    <n v="0"/>
    <n v="0"/>
    <n v="0"/>
    <n v="0"/>
    <n v="0"/>
    <n v="0"/>
    <n v="0"/>
    <n v="0"/>
    <n v="0"/>
    <n v="0"/>
    <n v="0"/>
  </r>
  <r>
    <x v="122"/>
    <x v="114"/>
    <m/>
    <x v="2"/>
    <s v="H20"/>
    <x v="1"/>
    <s v="H211-20"/>
    <s v="Umeå"/>
    <s v="Campus"/>
    <m/>
    <m/>
    <n v="1"/>
    <x v="1"/>
    <m/>
    <m/>
    <n v="10"/>
    <n v="2.5"/>
    <n v="0.85"/>
    <n v="2.125"/>
    <n v="1650"/>
    <x v="9"/>
    <s v="Hum"/>
    <x v="2"/>
    <n v="26554"/>
    <n v="33465"/>
    <n v="137498.125"/>
    <n v="6000"/>
    <n v="15000"/>
    <n v="152498.125"/>
    <n v="0"/>
    <n v="0"/>
    <n v="0"/>
    <n v="1"/>
    <n v="0"/>
    <n v="0"/>
    <n v="0"/>
    <n v="0"/>
    <n v="0"/>
    <n v="0"/>
    <n v="0"/>
    <n v="0"/>
    <s v="SP210920"/>
    <m/>
    <n v="0"/>
    <n v="0"/>
    <n v="0"/>
    <n v="0"/>
    <n v="0"/>
    <n v="0"/>
    <n v="2.5"/>
    <n v="2.125"/>
    <n v="0"/>
    <n v="0"/>
    <n v="0"/>
    <n v="0"/>
    <n v="0"/>
    <n v="0"/>
    <n v="0"/>
    <n v="0"/>
    <n v="0"/>
    <n v="0"/>
    <n v="0"/>
    <n v="0"/>
    <n v="0"/>
    <n v="0"/>
    <n v="0"/>
    <n v="0"/>
  </r>
  <r>
    <x v="123"/>
    <x v="118"/>
    <n v="71705"/>
    <x v="3"/>
    <m/>
    <x v="0"/>
    <m/>
    <s v="Ortsoberoende"/>
    <s v="Distans"/>
    <m/>
    <m/>
    <m/>
    <x v="3"/>
    <m/>
    <m/>
    <n v="6"/>
    <n v="1.5"/>
    <n v="0.8"/>
    <n v="1.2000000000000002"/>
    <n v="1620"/>
    <x v="0"/>
    <s v="Hum"/>
    <x v="3"/>
    <n v="20766"/>
    <n v="17442"/>
    <n v="52079.4"/>
    <n v="6000"/>
    <n v="9000"/>
    <n v="61079.4"/>
    <n v="0"/>
    <n v="1"/>
    <n v="0"/>
    <n v="0"/>
    <n v="0"/>
    <n v="0"/>
    <n v="0"/>
    <n v="0"/>
    <n v="0"/>
    <n v="0"/>
    <n v="0"/>
    <n v="0"/>
    <s v="Enl Fokus-Ladok 210601"/>
    <m/>
    <n v="0"/>
    <n v="0"/>
    <n v="1.5"/>
    <n v="1.2000000000000002"/>
    <n v="0"/>
    <n v="0"/>
    <n v="0"/>
    <n v="0"/>
    <n v="0"/>
    <n v="0"/>
    <n v="0"/>
    <n v="0"/>
    <n v="0"/>
    <n v="0"/>
    <n v="0"/>
    <n v="0"/>
    <n v="0"/>
    <n v="0"/>
    <n v="0"/>
    <n v="0"/>
    <n v="0"/>
    <n v="0"/>
    <n v="0"/>
    <n v="0"/>
  </r>
  <r>
    <x v="123"/>
    <x v="118"/>
    <m/>
    <x v="3"/>
    <m/>
    <x v="1"/>
    <m/>
    <m/>
    <s v="Distans"/>
    <m/>
    <m/>
    <n v="0.5"/>
    <x v="1"/>
    <m/>
    <m/>
    <n v="5"/>
    <n v="1.25"/>
    <n v="0.8"/>
    <n v="1"/>
    <n v="1620"/>
    <x v="0"/>
    <s v="Hum"/>
    <x v="3"/>
    <n v="20766"/>
    <n v="17442"/>
    <n v="43399.5"/>
    <n v="6000"/>
    <n v="7500"/>
    <n v="50899.5"/>
    <n v="0"/>
    <n v="1"/>
    <n v="0"/>
    <n v="0"/>
    <n v="0"/>
    <n v="0"/>
    <n v="0"/>
    <n v="0"/>
    <n v="0"/>
    <n v="0"/>
    <n v="0"/>
    <n v="0"/>
    <s v="Äskat/Beslutat 200611 p.39"/>
    <m/>
    <n v="0"/>
    <n v="0"/>
    <n v="1.25"/>
    <n v="1"/>
    <n v="0"/>
    <n v="0"/>
    <n v="0"/>
    <n v="0"/>
    <n v="0"/>
    <n v="0"/>
    <n v="0"/>
    <n v="0"/>
    <n v="0"/>
    <n v="0"/>
    <n v="0"/>
    <n v="0"/>
    <n v="0"/>
    <n v="0"/>
    <n v="0"/>
    <n v="0"/>
    <n v="0"/>
    <n v="0"/>
    <n v="0"/>
    <n v="0"/>
  </r>
  <r>
    <x v="124"/>
    <x v="119"/>
    <m/>
    <x v="4"/>
    <s v="H18"/>
    <x v="1"/>
    <s v="H211-10"/>
    <s v="Umeå"/>
    <s v="Campus"/>
    <m/>
    <m/>
    <n v="1"/>
    <x v="1"/>
    <m/>
    <m/>
    <n v="3"/>
    <n v="0.75"/>
    <n v="0.85"/>
    <n v="0.63749999999999996"/>
    <n v="1620"/>
    <x v="0"/>
    <s v="Hum"/>
    <x v="4"/>
    <n v="20766"/>
    <n v="17442"/>
    <n v="26693.775000000001"/>
    <n v="6000"/>
    <n v="4500"/>
    <n v="31193.775000000001"/>
    <n v="0"/>
    <n v="1"/>
    <n v="0"/>
    <n v="0"/>
    <n v="0"/>
    <n v="0"/>
    <n v="0"/>
    <n v="0"/>
    <n v="0"/>
    <n v="0"/>
    <n v="0"/>
    <n v="0"/>
    <s v="SP 210923"/>
    <m/>
    <n v="0"/>
    <n v="0"/>
    <n v="0.75"/>
    <n v="0.63749999999999996"/>
    <n v="0"/>
    <n v="0"/>
    <n v="0"/>
    <n v="0"/>
    <n v="0"/>
    <n v="0"/>
    <n v="0"/>
    <n v="0"/>
    <n v="0"/>
    <n v="0"/>
    <n v="0"/>
    <n v="0"/>
    <n v="0"/>
    <n v="0"/>
    <n v="0"/>
    <n v="0"/>
    <n v="0"/>
    <n v="0"/>
    <n v="0"/>
    <n v="0"/>
  </r>
  <r>
    <x v="124"/>
    <x v="119"/>
    <m/>
    <x v="4"/>
    <s v="H19"/>
    <x v="1"/>
    <s v="H211-10"/>
    <s v="Umeå"/>
    <s v="Campus"/>
    <m/>
    <m/>
    <n v="1"/>
    <x v="1"/>
    <m/>
    <m/>
    <n v="31"/>
    <n v="7.75"/>
    <n v="0.85"/>
    <n v="6.5874999999999995"/>
    <n v="1620"/>
    <x v="0"/>
    <s v="Hum"/>
    <x v="4"/>
    <n v="20766"/>
    <n v="17442"/>
    <n v="275835.67499999999"/>
    <n v="6000"/>
    <n v="46500"/>
    <n v="322335.67499999999"/>
    <n v="0"/>
    <n v="1"/>
    <n v="0"/>
    <n v="0"/>
    <n v="0"/>
    <n v="0"/>
    <n v="0"/>
    <n v="0"/>
    <n v="0"/>
    <n v="0"/>
    <n v="0"/>
    <n v="0"/>
    <s v="SP 210923"/>
    <m/>
    <n v="0"/>
    <n v="0"/>
    <n v="7.75"/>
    <n v="6.5874999999999995"/>
    <n v="0"/>
    <n v="0"/>
    <n v="0"/>
    <n v="0"/>
    <n v="0"/>
    <n v="0"/>
    <n v="0"/>
    <n v="0"/>
    <n v="0"/>
    <n v="0"/>
    <n v="0"/>
    <n v="0"/>
    <n v="0"/>
    <n v="0"/>
    <n v="0"/>
    <n v="0"/>
    <n v="0"/>
    <n v="0"/>
    <n v="0"/>
    <n v="0"/>
  </r>
  <r>
    <x v="125"/>
    <x v="120"/>
    <n v="71922"/>
    <x v="3"/>
    <m/>
    <x v="0"/>
    <m/>
    <s v="Umeå"/>
    <s v="Normal"/>
    <m/>
    <m/>
    <m/>
    <x v="3"/>
    <m/>
    <m/>
    <n v="2"/>
    <n v="1"/>
    <n v="0.8"/>
    <n v="0.8"/>
    <n v="1630"/>
    <x v="11"/>
    <s v="Hum"/>
    <x v="3"/>
    <n v="20766"/>
    <n v="17442"/>
    <n v="34719.599999999999"/>
    <n v="6000"/>
    <n v="6000"/>
    <n v="40719.599999999999"/>
    <n v="0"/>
    <n v="1"/>
    <n v="0"/>
    <n v="0"/>
    <n v="0"/>
    <n v="0"/>
    <n v="0"/>
    <n v="0"/>
    <n v="0"/>
    <n v="0"/>
    <n v="0"/>
    <n v="0"/>
    <s v="Enl Fokus-Ladok 210601"/>
    <m/>
    <n v="0"/>
    <n v="0"/>
    <n v="1"/>
    <n v="0.8"/>
    <n v="0"/>
    <n v="0"/>
    <n v="0"/>
    <n v="0"/>
    <n v="0"/>
    <n v="0"/>
    <n v="0"/>
    <n v="0"/>
    <n v="0"/>
    <n v="0"/>
    <n v="0"/>
    <n v="0"/>
    <n v="0"/>
    <n v="0"/>
    <n v="0"/>
    <n v="0"/>
    <n v="0"/>
    <n v="0"/>
    <n v="0"/>
    <n v="0"/>
  </r>
  <r>
    <x v="125"/>
    <x v="120"/>
    <n v="71908"/>
    <x v="5"/>
    <m/>
    <x v="0"/>
    <m/>
    <s v="Umeå"/>
    <s v="Normal"/>
    <m/>
    <m/>
    <m/>
    <x v="3"/>
    <m/>
    <m/>
    <n v="11"/>
    <n v="5.5"/>
    <n v="0.85"/>
    <n v="4.6749999999999998"/>
    <n v="1630"/>
    <x v="11"/>
    <s v="Hum"/>
    <x v="5"/>
    <n v="20766"/>
    <n v="17442"/>
    <n v="195754.34999999998"/>
    <n v="6000"/>
    <n v="33000"/>
    <n v="228754.34999999998"/>
    <n v="0"/>
    <n v="1"/>
    <n v="0"/>
    <n v="0"/>
    <n v="0"/>
    <n v="0"/>
    <n v="0"/>
    <n v="0"/>
    <n v="0"/>
    <n v="0"/>
    <n v="0"/>
    <n v="0"/>
    <s v="Enl Fokus-Ladok 210601"/>
    <m/>
    <n v="0"/>
    <n v="0"/>
    <n v="5.5"/>
    <n v="4.6749999999999998"/>
    <n v="0"/>
    <n v="0"/>
    <n v="0"/>
    <n v="0"/>
    <n v="0"/>
    <n v="0"/>
    <n v="0"/>
    <n v="0"/>
    <n v="0"/>
    <n v="0"/>
    <n v="0"/>
    <n v="0"/>
    <n v="0"/>
    <n v="0"/>
    <n v="0"/>
    <n v="0"/>
    <n v="0"/>
    <n v="0"/>
    <n v="0"/>
    <n v="0"/>
  </r>
  <r>
    <x v="126"/>
    <x v="121"/>
    <m/>
    <x v="13"/>
    <s v="H21"/>
    <x v="1"/>
    <m/>
    <n v="2480"/>
    <m/>
    <m/>
    <m/>
    <m/>
    <x v="0"/>
    <m/>
    <m/>
    <n v="145"/>
    <n v="18.125"/>
    <n v="0.85"/>
    <n v="15.40625"/>
    <n v="1630"/>
    <x v="11"/>
    <s v="Hum"/>
    <x v="0"/>
    <n v="26554"/>
    <n v="33465"/>
    <n v="996861.40625"/>
    <n v="6000"/>
    <n v="108750"/>
    <n v="1105611.40625"/>
    <n v="0"/>
    <n v="0"/>
    <n v="0"/>
    <n v="1"/>
    <n v="0"/>
    <n v="0"/>
    <n v="0"/>
    <n v="0"/>
    <n v="0"/>
    <n v="0"/>
    <n v="0"/>
    <n v="0"/>
    <s v="Prognostal"/>
    <m/>
    <n v="0"/>
    <n v="0"/>
    <n v="0"/>
    <n v="0"/>
    <n v="0"/>
    <n v="0"/>
    <n v="18.125"/>
    <n v="15.40625"/>
    <n v="0"/>
    <n v="0"/>
    <n v="0"/>
    <n v="0"/>
    <n v="0"/>
    <n v="0"/>
    <n v="0"/>
    <n v="0"/>
    <n v="0"/>
    <n v="0"/>
    <n v="0"/>
    <n v="0"/>
    <n v="0"/>
    <n v="0"/>
    <n v="0"/>
    <n v="0"/>
  </r>
  <r>
    <x v="126"/>
    <x v="121"/>
    <m/>
    <x v="0"/>
    <s v="H19"/>
    <x v="1"/>
    <s v="H2111-15"/>
    <s v="Umeå"/>
    <m/>
    <s v="SVAA"/>
    <m/>
    <n v="1"/>
    <x v="0"/>
    <m/>
    <m/>
    <n v="1"/>
    <n v="0.125"/>
    <n v="0.85"/>
    <n v="0.10625"/>
    <n v="1630"/>
    <x v="11"/>
    <s v="Hum"/>
    <x v="0"/>
    <n v="26554"/>
    <n v="33465"/>
    <n v="6874.90625"/>
    <n v="6000"/>
    <n v="750"/>
    <n v="7624.90625"/>
    <n v="0"/>
    <n v="0"/>
    <n v="0"/>
    <n v="1"/>
    <n v="0"/>
    <n v="0"/>
    <n v="0"/>
    <n v="0"/>
    <n v="0"/>
    <n v="0"/>
    <n v="0"/>
    <n v="0"/>
    <s v="SP 210924"/>
    <m/>
    <n v="0"/>
    <n v="0"/>
    <n v="0"/>
    <n v="0"/>
    <n v="0"/>
    <n v="0"/>
    <n v="0.125"/>
    <n v="0.10625"/>
    <n v="0"/>
    <n v="0"/>
    <n v="0"/>
    <n v="0"/>
    <n v="0"/>
    <n v="0"/>
    <n v="0"/>
    <n v="0"/>
    <n v="0"/>
    <n v="0"/>
    <n v="0"/>
    <n v="0"/>
    <n v="0"/>
    <n v="0"/>
    <n v="0"/>
    <n v="0"/>
  </r>
  <r>
    <x v="126"/>
    <x v="121"/>
    <m/>
    <x v="11"/>
    <s v="H21"/>
    <x v="1"/>
    <m/>
    <n v="2480"/>
    <m/>
    <m/>
    <m/>
    <m/>
    <x v="0"/>
    <n v="-0.1"/>
    <n v="53"/>
    <n v="47.7"/>
    <n v="5.9625000000000004"/>
    <n v="0.85"/>
    <n v="5.0681250000000002"/>
    <n v="1630"/>
    <x v="11"/>
    <s v="Hum"/>
    <x v="11"/>
    <n v="26554"/>
    <n v="33465"/>
    <n v="327933.02812500001"/>
    <n v="6000"/>
    <n v="35775"/>
    <n v="363708.02812500001"/>
    <n v="0"/>
    <n v="0"/>
    <n v="0"/>
    <n v="1"/>
    <n v="0"/>
    <n v="0"/>
    <n v="0"/>
    <n v="0"/>
    <n v="0"/>
    <n v="0"/>
    <n v="0"/>
    <n v="0"/>
    <s v="Prognostal"/>
    <m/>
    <n v="0"/>
    <n v="0"/>
    <n v="0"/>
    <n v="0"/>
    <n v="0"/>
    <n v="0"/>
    <n v="5.9625000000000004"/>
    <n v="5.0681250000000002"/>
    <n v="0"/>
    <n v="0"/>
    <n v="0"/>
    <n v="0"/>
    <n v="0"/>
    <n v="0"/>
    <n v="0"/>
    <n v="0"/>
    <n v="0"/>
    <n v="0"/>
    <n v="0"/>
    <n v="0"/>
    <n v="0"/>
    <n v="0"/>
    <n v="0"/>
    <n v="0"/>
  </r>
  <r>
    <x v="126"/>
    <x v="121"/>
    <m/>
    <x v="11"/>
    <s v="V21"/>
    <x v="1"/>
    <s v="H2111-15"/>
    <s v="Umeå"/>
    <s v="Campus"/>
    <m/>
    <m/>
    <n v="1"/>
    <x v="0"/>
    <m/>
    <m/>
    <n v="2"/>
    <n v="0.25"/>
    <n v="0.85"/>
    <n v="0.21249999999999999"/>
    <n v="1630"/>
    <x v="11"/>
    <s v="Hum"/>
    <x v="11"/>
    <n v="26554"/>
    <n v="33465"/>
    <n v="13749.8125"/>
    <n v="6000"/>
    <n v="1500"/>
    <n v="15249.8125"/>
    <n v="0"/>
    <n v="0"/>
    <n v="0"/>
    <n v="1"/>
    <n v="0"/>
    <n v="0"/>
    <n v="0"/>
    <n v="0"/>
    <n v="0"/>
    <n v="0"/>
    <n v="0"/>
    <n v="0"/>
    <s v="SP 210924"/>
    <m/>
    <n v="0"/>
    <n v="0"/>
    <n v="0"/>
    <n v="0"/>
    <n v="0"/>
    <n v="0"/>
    <n v="0.25"/>
    <n v="0.21249999999999999"/>
    <n v="0"/>
    <n v="0"/>
    <n v="0"/>
    <n v="0"/>
    <n v="0"/>
    <n v="0"/>
    <n v="0"/>
    <n v="0"/>
    <n v="0"/>
    <n v="0"/>
    <n v="0"/>
    <n v="0"/>
    <n v="0"/>
    <n v="0"/>
    <n v="0"/>
    <n v="0"/>
  </r>
  <r>
    <x v="126"/>
    <x v="121"/>
    <n v="71904"/>
    <x v="11"/>
    <m/>
    <x v="0"/>
    <m/>
    <s v="Umeå"/>
    <s v="Normal"/>
    <m/>
    <m/>
    <m/>
    <x v="0"/>
    <m/>
    <m/>
    <n v="29"/>
    <n v="3.625"/>
    <n v="0.85"/>
    <n v="3.0812499999999998"/>
    <n v="1630"/>
    <x v="11"/>
    <s v="Hum"/>
    <x v="11"/>
    <n v="26554"/>
    <n v="33465"/>
    <n v="199372.28125"/>
    <n v="6000"/>
    <n v="21750"/>
    <n v="221122.28125"/>
    <n v="0"/>
    <n v="0"/>
    <n v="0"/>
    <n v="1"/>
    <n v="0"/>
    <n v="0"/>
    <n v="0"/>
    <n v="0"/>
    <n v="0"/>
    <n v="0"/>
    <n v="0"/>
    <n v="0"/>
    <s v="Enl Fokus-Ladok 210601"/>
    <m/>
    <n v="0"/>
    <n v="0"/>
    <n v="0"/>
    <n v="0"/>
    <n v="0"/>
    <n v="0"/>
    <n v="3.625"/>
    <n v="3.0812499999999998"/>
    <n v="0"/>
    <n v="0"/>
    <n v="0"/>
    <n v="0"/>
    <n v="0"/>
    <n v="0"/>
    <n v="0"/>
    <n v="0"/>
    <n v="0"/>
    <n v="0"/>
    <n v="0"/>
    <n v="0"/>
    <n v="0"/>
    <n v="0"/>
    <n v="0"/>
    <n v="0"/>
  </r>
  <r>
    <x v="126"/>
    <x v="121"/>
    <m/>
    <x v="12"/>
    <s v="H21"/>
    <x v="1"/>
    <m/>
    <n v="2480"/>
    <m/>
    <m/>
    <m/>
    <m/>
    <x v="0"/>
    <n v="-0.1"/>
    <n v="24"/>
    <n v="21.6"/>
    <n v="2.7"/>
    <n v="0.85"/>
    <n v="2.2949999999999999"/>
    <n v="1630"/>
    <x v="11"/>
    <s v="Hum"/>
    <x v="12"/>
    <n v="26554"/>
    <n v="33465"/>
    <n v="148497.97500000001"/>
    <n v="6000"/>
    <n v="16200.000000000002"/>
    <n v="164697.97500000001"/>
    <n v="0"/>
    <n v="0"/>
    <n v="0"/>
    <n v="1"/>
    <n v="0"/>
    <n v="0"/>
    <n v="0"/>
    <n v="0"/>
    <n v="0"/>
    <n v="0"/>
    <n v="0"/>
    <n v="0"/>
    <s v="Prognostal"/>
    <m/>
    <n v="0"/>
    <n v="0"/>
    <n v="0"/>
    <n v="0"/>
    <n v="0"/>
    <n v="0"/>
    <n v="2.7"/>
    <n v="2.2949999999999999"/>
    <n v="0"/>
    <n v="0"/>
    <n v="0"/>
    <n v="0"/>
    <n v="0"/>
    <n v="0"/>
    <n v="0"/>
    <n v="0"/>
    <n v="0"/>
    <n v="0"/>
    <n v="0"/>
    <n v="0"/>
    <n v="0"/>
    <n v="0"/>
    <n v="0"/>
    <n v="0"/>
  </r>
  <r>
    <x v="126"/>
    <x v="121"/>
    <m/>
    <x v="4"/>
    <s v="H21"/>
    <x v="1"/>
    <m/>
    <n v="2480"/>
    <m/>
    <m/>
    <m/>
    <m/>
    <x v="0"/>
    <n v="-0.08"/>
    <n v="41"/>
    <n v="37.72"/>
    <n v="4.7149999999999999"/>
    <n v="0.85"/>
    <n v="4.0077499999999997"/>
    <n v="1630"/>
    <x v="11"/>
    <s v="Hum"/>
    <x v="4"/>
    <n v="26554"/>
    <n v="33465"/>
    <n v="259321.46375"/>
    <n v="6000"/>
    <n v="28290"/>
    <n v="287611.46375"/>
    <n v="0"/>
    <n v="0"/>
    <n v="0"/>
    <n v="1"/>
    <n v="0"/>
    <n v="0"/>
    <n v="0"/>
    <n v="0"/>
    <n v="0"/>
    <n v="0"/>
    <n v="0"/>
    <n v="0"/>
    <s v="Prognostal"/>
    <m/>
    <n v="0"/>
    <n v="0"/>
    <n v="0"/>
    <n v="0"/>
    <n v="0"/>
    <n v="0"/>
    <n v="4.7149999999999999"/>
    <n v="4.0077499999999997"/>
    <n v="0"/>
    <n v="0"/>
    <n v="0"/>
    <n v="0"/>
    <n v="0"/>
    <n v="0"/>
    <n v="0"/>
    <n v="0"/>
    <n v="0"/>
    <n v="0"/>
    <n v="0"/>
    <n v="0"/>
    <n v="0"/>
    <n v="0"/>
    <n v="0"/>
    <n v="0"/>
  </r>
  <r>
    <x v="126"/>
    <x v="121"/>
    <m/>
    <x v="5"/>
    <s v="H20"/>
    <x v="1"/>
    <s v="H2111-15"/>
    <s v="Umeå"/>
    <s v="Campus"/>
    <m/>
    <m/>
    <n v="1"/>
    <x v="0"/>
    <m/>
    <m/>
    <n v="1"/>
    <n v="0.125"/>
    <n v="0.85"/>
    <n v="0.10625"/>
    <n v="1630"/>
    <x v="11"/>
    <s v="Hum"/>
    <x v="5"/>
    <n v="26554"/>
    <n v="33465"/>
    <n v="6874.90625"/>
    <n v="6000"/>
    <n v="750"/>
    <n v="7624.90625"/>
    <n v="0"/>
    <n v="0"/>
    <n v="0"/>
    <n v="1"/>
    <n v="0"/>
    <n v="0"/>
    <n v="0"/>
    <n v="0"/>
    <n v="0"/>
    <n v="0"/>
    <n v="0"/>
    <n v="0"/>
    <s v="SP 210923"/>
    <m/>
    <n v="0"/>
    <n v="0"/>
    <n v="0"/>
    <n v="0"/>
    <n v="0"/>
    <n v="0"/>
    <n v="0.125"/>
    <n v="0.10625"/>
    <n v="0"/>
    <n v="0"/>
    <n v="0"/>
    <n v="0"/>
    <n v="0"/>
    <n v="0"/>
    <n v="0"/>
    <n v="0"/>
    <n v="0"/>
    <n v="0"/>
    <n v="0"/>
    <n v="0"/>
    <n v="0"/>
    <n v="0"/>
    <n v="0"/>
    <n v="0"/>
  </r>
  <r>
    <x v="126"/>
    <x v="121"/>
    <m/>
    <x v="5"/>
    <s v="H21"/>
    <x v="1"/>
    <m/>
    <n v="2480"/>
    <m/>
    <s v="ARBE"/>
    <m/>
    <m/>
    <x v="0"/>
    <n v="-0.08"/>
    <n v="23"/>
    <n v="21.16"/>
    <n v="2.645"/>
    <n v="0.85"/>
    <n v="2.2482500000000001"/>
    <n v="1630"/>
    <x v="11"/>
    <s v="Hum"/>
    <x v="5"/>
    <n v="26554"/>
    <n v="33465"/>
    <n v="145473.01624999999"/>
    <n v="6000"/>
    <n v="15870"/>
    <n v="161343.01624999999"/>
    <n v="0"/>
    <n v="0"/>
    <n v="0"/>
    <n v="1"/>
    <n v="0"/>
    <n v="0"/>
    <n v="0"/>
    <n v="0"/>
    <n v="0"/>
    <n v="0"/>
    <n v="0"/>
    <n v="0"/>
    <s v="Prognostal"/>
    <m/>
    <n v="0"/>
    <n v="0"/>
    <n v="0"/>
    <n v="0"/>
    <n v="0"/>
    <n v="0"/>
    <n v="2.645"/>
    <n v="2.2482500000000001"/>
    <n v="0"/>
    <n v="0"/>
    <n v="0"/>
    <n v="0"/>
    <n v="0"/>
    <n v="0"/>
    <n v="0"/>
    <n v="0"/>
    <n v="0"/>
    <n v="0"/>
    <n v="0"/>
    <n v="0"/>
    <n v="0"/>
    <n v="0"/>
    <n v="0"/>
    <n v="0"/>
  </r>
  <r>
    <x v="126"/>
    <x v="121"/>
    <m/>
    <x v="5"/>
    <s v="H21"/>
    <x v="1"/>
    <m/>
    <n v="2480"/>
    <m/>
    <m/>
    <m/>
    <m/>
    <x v="0"/>
    <n v="-0.1"/>
    <n v="43"/>
    <n v="38.700000000000003"/>
    <n v="4.8375000000000004"/>
    <n v="0.85"/>
    <n v="4.1118750000000004"/>
    <n v="1630"/>
    <x v="11"/>
    <s v="Hum"/>
    <x v="5"/>
    <n v="26554"/>
    <n v="33465"/>
    <n v="266058.87187500001"/>
    <n v="6000"/>
    <n v="29025.000000000004"/>
    <n v="295083.87187500001"/>
    <n v="0"/>
    <n v="0"/>
    <n v="0"/>
    <n v="1"/>
    <n v="0"/>
    <n v="0"/>
    <n v="0"/>
    <n v="0"/>
    <n v="0"/>
    <n v="0"/>
    <n v="0"/>
    <n v="0"/>
    <s v="Prognostal"/>
    <m/>
    <n v="0"/>
    <n v="0"/>
    <n v="0"/>
    <n v="0"/>
    <n v="0"/>
    <n v="0"/>
    <n v="4.8375000000000004"/>
    <n v="4.1118750000000004"/>
    <n v="0"/>
    <n v="0"/>
    <n v="0"/>
    <n v="0"/>
    <n v="0"/>
    <n v="0"/>
    <n v="0"/>
    <n v="0"/>
    <n v="0"/>
    <n v="0"/>
    <n v="0"/>
    <n v="0"/>
    <n v="0"/>
    <n v="0"/>
    <n v="0"/>
    <n v="0"/>
  </r>
  <r>
    <x v="127"/>
    <x v="122"/>
    <m/>
    <x v="13"/>
    <s v="H21"/>
    <x v="1"/>
    <m/>
    <n v="2480"/>
    <m/>
    <m/>
    <m/>
    <m/>
    <x v="0"/>
    <m/>
    <m/>
    <n v="145"/>
    <n v="18.125"/>
    <n v="0.85"/>
    <n v="15.40625"/>
    <n v="1630"/>
    <x v="11"/>
    <s v="Hum"/>
    <x v="0"/>
    <n v="26554"/>
    <n v="33465"/>
    <n v="996861.40625"/>
    <n v="6000"/>
    <n v="108750"/>
    <n v="1105611.40625"/>
    <n v="0"/>
    <n v="0"/>
    <n v="0"/>
    <n v="1"/>
    <n v="0"/>
    <n v="0"/>
    <n v="0"/>
    <n v="0"/>
    <n v="0"/>
    <n v="0"/>
    <n v="0"/>
    <n v="0"/>
    <s v="Prognostal"/>
    <m/>
    <n v="0"/>
    <n v="0"/>
    <n v="0"/>
    <n v="0"/>
    <n v="0"/>
    <n v="0"/>
    <n v="18.125"/>
    <n v="15.40625"/>
    <n v="0"/>
    <n v="0"/>
    <n v="0"/>
    <n v="0"/>
    <n v="0"/>
    <n v="0"/>
    <n v="0"/>
    <n v="0"/>
    <n v="0"/>
    <n v="0"/>
    <n v="0"/>
    <n v="0"/>
    <n v="0"/>
    <n v="0"/>
    <n v="0"/>
    <n v="0"/>
  </r>
  <r>
    <x v="127"/>
    <x v="122"/>
    <m/>
    <x v="0"/>
    <s v="H19"/>
    <x v="1"/>
    <s v="H2116-20"/>
    <s v="Umeå"/>
    <m/>
    <s v="SVAA"/>
    <m/>
    <n v="1"/>
    <x v="0"/>
    <m/>
    <m/>
    <n v="1"/>
    <n v="0.125"/>
    <n v="0.85"/>
    <n v="0.10625"/>
    <n v="1630"/>
    <x v="11"/>
    <s v="Hum"/>
    <x v="0"/>
    <n v="26554"/>
    <n v="33465"/>
    <n v="6874.90625"/>
    <n v="6000"/>
    <n v="750"/>
    <n v="7624.90625"/>
    <n v="0"/>
    <n v="0"/>
    <n v="0"/>
    <n v="1"/>
    <n v="0"/>
    <n v="0"/>
    <n v="0"/>
    <n v="0"/>
    <n v="0"/>
    <n v="0"/>
    <n v="0"/>
    <n v="0"/>
    <s v="SP 210924"/>
    <m/>
    <n v="0"/>
    <n v="0"/>
    <n v="0"/>
    <n v="0"/>
    <n v="0"/>
    <n v="0"/>
    <n v="0.125"/>
    <n v="0.10625"/>
    <n v="0"/>
    <n v="0"/>
    <n v="0"/>
    <n v="0"/>
    <n v="0"/>
    <n v="0"/>
    <n v="0"/>
    <n v="0"/>
    <n v="0"/>
    <n v="0"/>
    <n v="0"/>
    <n v="0"/>
    <n v="0"/>
    <n v="0"/>
    <n v="0"/>
    <n v="0"/>
  </r>
  <r>
    <x v="127"/>
    <x v="122"/>
    <m/>
    <x v="11"/>
    <s v="H21"/>
    <x v="1"/>
    <m/>
    <n v="2480"/>
    <m/>
    <m/>
    <m/>
    <m/>
    <x v="0"/>
    <n v="-0.1"/>
    <n v="53"/>
    <n v="47.7"/>
    <n v="5.9625000000000004"/>
    <n v="0.85"/>
    <n v="5.0681250000000002"/>
    <n v="1630"/>
    <x v="11"/>
    <s v="Hum"/>
    <x v="11"/>
    <n v="26554"/>
    <n v="33465"/>
    <n v="327933.02812500001"/>
    <n v="6000"/>
    <n v="35775"/>
    <n v="363708.02812500001"/>
    <n v="0"/>
    <n v="0"/>
    <n v="0"/>
    <n v="1"/>
    <n v="0"/>
    <n v="0"/>
    <n v="0"/>
    <n v="0"/>
    <n v="0"/>
    <n v="0"/>
    <n v="0"/>
    <n v="0"/>
    <s v="Prognostal"/>
    <m/>
    <n v="0"/>
    <n v="0"/>
    <n v="0"/>
    <n v="0"/>
    <n v="0"/>
    <n v="0"/>
    <n v="5.9625000000000004"/>
    <n v="5.0681250000000002"/>
    <n v="0"/>
    <n v="0"/>
    <n v="0"/>
    <n v="0"/>
    <n v="0"/>
    <n v="0"/>
    <n v="0"/>
    <n v="0"/>
    <n v="0"/>
    <n v="0"/>
    <n v="0"/>
    <n v="0"/>
    <n v="0"/>
    <n v="0"/>
    <n v="0"/>
    <n v="0"/>
  </r>
  <r>
    <x v="127"/>
    <x v="122"/>
    <m/>
    <x v="11"/>
    <s v="V21"/>
    <x v="1"/>
    <s v="H2116-20"/>
    <s v="Umeå"/>
    <s v="Campus"/>
    <m/>
    <m/>
    <n v="1"/>
    <x v="0"/>
    <m/>
    <m/>
    <n v="3"/>
    <n v="0.375"/>
    <n v="0.85"/>
    <n v="0.31874999999999998"/>
    <n v="1630"/>
    <x v="11"/>
    <s v="Hum"/>
    <x v="11"/>
    <n v="26554"/>
    <n v="33465"/>
    <n v="20624.71875"/>
    <n v="6000"/>
    <n v="2250"/>
    <n v="22874.71875"/>
    <n v="0"/>
    <n v="0"/>
    <n v="0"/>
    <n v="1"/>
    <n v="0"/>
    <n v="0"/>
    <n v="0"/>
    <n v="0"/>
    <n v="0"/>
    <n v="0"/>
    <n v="0"/>
    <n v="0"/>
    <s v="SP 210924"/>
    <m/>
    <n v="0"/>
    <n v="0"/>
    <n v="0"/>
    <n v="0"/>
    <n v="0"/>
    <n v="0"/>
    <n v="0.375"/>
    <n v="0.31874999999999998"/>
    <n v="0"/>
    <n v="0"/>
    <n v="0"/>
    <n v="0"/>
    <n v="0"/>
    <n v="0"/>
    <n v="0"/>
    <n v="0"/>
    <n v="0"/>
    <n v="0"/>
    <n v="0"/>
    <n v="0"/>
    <n v="0"/>
    <n v="0"/>
    <n v="0"/>
    <n v="0"/>
  </r>
  <r>
    <x v="127"/>
    <x v="122"/>
    <n v="71907"/>
    <x v="11"/>
    <m/>
    <x v="0"/>
    <m/>
    <s v="Umeå"/>
    <s v="Normal"/>
    <m/>
    <m/>
    <m/>
    <x v="0"/>
    <m/>
    <m/>
    <n v="28"/>
    <n v="3.5"/>
    <n v="0.85"/>
    <n v="2.9750000000000001"/>
    <n v="1630"/>
    <x v="11"/>
    <s v="Hum"/>
    <x v="11"/>
    <n v="26554"/>
    <n v="33465"/>
    <n v="192497.375"/>
    <n v="6000"/>
    <n v="21000"/>
    <n v="213497.375"/>
    <n v="0"/>
    <n v="0"/>
    <n v="0"/>
    <n v="1"/>
    <n v="0"/>
    <n v="0"/>
    <n v="0"/>
    <n v="0"/>
    <n v="0"/>
    <n v="0"/>
    <n v="0"/>
    <n v="0"/>
    <s v="Enl Fokus-Ladok 210601"/>
    <m/>
    <n v="0"/>
    <n v="0"/>
    <n v="0"/>
    <n v="0"/>
    <n v="0"/>
    <n v="0"/>
    <n v="3.5"/>
    <n v="2.9750000000000001"/>
    <n v="0"/>
    <n v="0"/>
    <n v="0"/>
    <n v="0"/>
    <n v="0"/>
    <n v="0"/>
    <n v="0"/>
    <n v="0"/>
    <n v="0"/>
    <n v="0"/>
    <n v="0"/>
    <n v="0"/>
    <n v="0"/>
    <n v="0"/>
    <n v="0"/>
    <n v="0"/>
  </r>
  <r>
    <x v="127"/>
    <x v="122"/>
    <m/>
    <x v="12"/>
    <s v="H21"/>
    <x v="1"/>
    <m/>
    <n v="2480"/>
    <m/>
    <m/>
    <m/>
    <m/>
    <x v="0"/>
    <n v="-0.1"/>
    <n v="24"/>
    <n v="21.6"/>
    <n v="2.7"/>
    <n v="0.85"/>
    <n v="2.2949999999999999"/>
    <n v="1630"/>
    <x v="11"/>
    <s v="Hum"/>
    <x v="12"/>
    <n v="26554"/>
    <n v="33465"/>
    <n v="148497.97500000001"/>
    <n v="6000"/>
    <n v="16200.000000000002"/>
    <n v="164697.97500000001"/>
    <n v="0"/>
    <n v="0"/>
    <n v="0"/>
    <n v="1"/>
    <n v="0"/>
    <n v="0"/>
    <n v="0"/>
    <n v="0"/>
    <n v="0"/>
    <n v="0"/>
    <n v="0"/>
    <n v="0"/>
    <s v="Prognostal"/>
    <m/>
    <n v="0"/>
    <n v="0"/>
    <n v="0"/>
    <n v="0"/>
    <n v="0"/>
    <n v="0"/>
    <n v="2.7"/>
    <n v="2.2949999999999999"/>
    <n v="0"/>
    <n v="0"/>
    <n v="0"/>
    <n v="0"/>
    <n v="0"/>
    <n v="0"/>
    <n v="0"/>
    <n v="0"/>
    <n v="0"/>
    <n v="0"/>
    <n v="0"/>
    <n v="0"/>
    <n v="0"/>
    <n v="0"/>
    <n v="0"/>
    <n v="0"/>
  </r>
  <r>
    <x v="127"/>
    <x v="122"/>
    <m/>
    <x v="4"/>
    <s v="H21"/>
    <x v="1"/>
    <m/>
    <n v="2480"/>
    <m/>
    <m/>
    <m/>
    <m/>
    <x v="0"/>
    <n v="-0.08"/>
    <n v="41"/>
    <n v="37.72"/>
    <n v="4.7149999999999999"/>
    <n v="0.85"/>
    <n v="4.0077499999999997"/>
    <n v="1630"/>
    <x v="11"/>
    <s v="Hum"/>
    <x v="4"/>
    <n v="26554"/>
    <n v="33465"/>
    <n v="259321.46375"/>
    <n v="6000"/>
    <n v="28290"/>
    <n v="287611.46375"/>
    <n v="0"/>
    <n v="0"/>
    <n v="0"/>
    <n v="1"/>
    <n v="0"/>
    <n v="0"/>
    <n v="0"/>
    <n v="0"/>
    <n v="0"/>
    <n v="0"/>
    <n v="0"/>
    <n v="0"/>
    <s v="Prognostal"/>
    <m/>
    <n v="0"/>
    <n v="0"/>
    <n v="0"/>
    <n v="0"/>
    <n v="0"/>
    <n v="0"/>
    <n v="4.7149999999999999"/>
    <n v="4.0077499999999997"/>
    <n v="0"/>
    <n v="0"/>
    <n v="0"/>
    <n v="0"/>
    <n v="0"/>
    <n v="0"/>
    <n v="0"/>
    <n v="0"/>
    <n v="0"/>
    <n v="0"/>
    <n v="0"/>
    <n v="0"/>
    <n v="0"/>
    <n v="0"/>
    <n v="0"/>
    <n v="0"/>
  </r>
  <r>
    <x v="127"/>
    <x v="122"/>
    <m/>
    <x v="5"/>
    <s v="H21"/>
    <x v="1"/>
    <m/>
    <n v="2480"/>
    <m/>
    <m/>
    <m/>
    <m/>
    <x v="0"/>
    <n v="-0.12"/>
    <n v="43"/>
    <n v="37.840000000000003"/>
    <n v="4.7300000000000004"/>
    <n v="0.85"/>
    <n v="4.0205000000000002"/>
    <n v="1630"/>
    <x v="11"/>
    <s v="Hum"/>
    <x v="5"/>
    <n v="26554"/>
    <n v="33465"/>
    <n v="260146.45250000001"/>
    <n v="6000"/>
    <n v="28380.000000000004"/>
    <n v="288526.45250000001"/>
    <n v="0"/>
    <n v="0"/>
    <n v="0"/>
    <n v="1"/>
    <n v="0"/>
    <n v="0"/>
    <n v="0"/>
    <n v="0"/>
    <n v="0"/>
    <n v="0"/>
    <n v="0"/>
    <n v="0"/>
    <s v="Prognostal"/>
    <m/>
    <n v="0"/>
    <n v="0"/>
    <n v="0"/>
    <n v="0"/>
    <n v="0"/>
    <n v="0"/>
    <n v="4.7300000000000004"/>
    <n v="4.0205000000000002"/>
    <n v="0"/>
    <n v="0"/>
    <n v="0"/>
    <n v="0"/>
    <n v="0"/>
    <n v="0"/>
    <n v="0"/>
    <n v="0"/>
    <n v="0"/>
    <n v="0"/>
    <n v="0"/>
    <n v="0"/>
    <n v="0"/>
    <n v="0"/>
    <n v="0"/>
    <n v="0"/>
  </r>
  <r>
    <x v="128"/>
    <x v="123"/>
    <m/>
    <x v="14"/>
    <s v="H21"/>
    <x v="1"/>
    <m/>
    <n v="2480"/>
    <m/>
    <m/>
    <m/>
    <n v="0.5"/>
    <x v="6"/>
    <n v="-0.1"/>
    <n v="45"/>
    <n v="40.5"/>
    <n v="3.375"/>
    <n v="0.85"/>
    <n v="2.8687499999999999"/>
    <n v="1630"/>
    <x v="11"/>
    <s v="Hum"/>
    <x v="13"/>
    <n v="26554"/>
    <n v="33465"/>
    <n v="185622.46875"/>
    <n v="6000"/>
    <n v="20250"/>
    <n v="205872.46875"/>
    <n v="0"/>
    <n v="0"/>
    <n v="0"/>
    <n v="1"/>
    <n v="0"/>
    <n v="0"/>
    <n v="0"/>
    <n v="0"/>
    <n v="0"/>
    <n v="0"/>
    <n v="0"/>
    <n v="0"/>
    <s v="Prognostal"/>
    <s v="Läser 5 av 10 hp denna termin"/>
    <n v="0"/>
    <n v="0"/>
    <n v="0"/>
    <n v="0"/>
    <n v="0"/>
    <n v="0"/>
    <n v="3.375"/>
    <n v="2.8687499999999999"/>
    <n v="0"/>
    <n v="0"/>
    <n v="0"/>
    <n v="0"/>
    <n v="0"/>
    <n v="0"/>
    <n v="0"/>
    <n v="0"/>
    <n v="0"/>
    <n v="0"/>
    <n v="0"/>
    <n v="0"/>
    <n v="0"/>
    <n v="0"/>
    <n v="0"/>
    <n v="0"/>
  </r>
  <r>
    <x v="128"/>
    <x v="123"/>
    <n v="71911"/>
    <x v="14"/>
    <m/>
    <x v="0"/>
    <m/>
    <s v="Umeå"/>
    <s v="Distans"/>
    <m/>
    <m/>
    <m/>
    <x v="6"/>
    <m/>
    <m/>
    <n v="44"/>
    <n v="3.6669999999999998"/>
    <n v="0.85"/>
    <n v="3.1169499999999997"/>
    <n v="1630"/>
    <x v="11"/>
    <s v="Hum"/>
    <x v="13"/>
    <n v="26554"/>
    <n v="33465"/>
    <n v="201682.24974999999"/>
    <n v="6000"/>
    <n v="22002"/>
    <n v="223684.24974999999"/>
    <n v="0"/>
    <n v="0"/>
    <n v="0"/>
    <n v="1"/>
    <n v="0"/>
    <n v="0"/>
    <n v="0"/>
    <n v="0"/>
    <n v="0"/>
    <n v="0"/>
    <n v="0"/>
    <n v="0"/>
    <s v="Enl Fokus-Ladok 210601"/>
    <s v="Läser 5 av 10 hp denna termin"/>
    <n v="0"/>
    <n v="0"/>
    <n v="0"/>
    <n v="0"/>
    <n v="0"/>
    <n v="0"/>
    <n v="3.6669999999999998"/>
    <n v="3.1169499999999997"/>
    <n v="0"/>
    <n v="0"/>
    <n v="0"/>
    <n v="0"/>
    <n v="0"/>
    <n v="0"/>
    <n v="0"/>
    <n v="0"/>
    <n v="0"/>
    <n v="0"/>
    <n v="0"/>
    <n v="0"/>
    <n v="0"/>
    <n v="0"/>
    <n v="0"/>
    <n v="0"/>
  </r>
  <r>
    <x v="129"/>
    <x v="124"/>
    <m/>
    <x v="14"/>
    <s v="H21"/>
    <x v="1"/>
    <m/>
    <n v="2480"/>
    <m/>
    <m/>
    <m/>
    <n v="0.5"/>
    <x v="7"/>
    <m/>
    <m/>
    <n v="45"/>
    <n v="7.5"/>
    <n v="0.85"/>
    <n v="6.375"/>
    <n v="1630"/>
    <x v="11"/>
    <s v="Hum"/>
    <x v="13"/>
    <n v="26554"/>
    <n v="33465"/>
    <n v="412494.375"/>
    <n v="6000"/>
    <n v="45000"/>
    <n v="457494.375"/>
    <n v="0"/>
    <n v="0"/>
    <n v="0"/>
    <n v="1"/>
    <n v="0"/>
    <n v="0"/>
    <n v="0"/>
    <n v="0"/>
    <n v="0"/>
    <n v="0"/>
    <n v="0"/>
    <n v="0"/>
    <s v="Reg i Ladok 210907"/>
    <m/>
    <n v="0"/>
    <n v="0"/>
    <n v="0"/>
    <n v="0"/>
    <n v="0"/>
    <n v="0"/>
    <n v="7.5"/>
    <n v="6.375"/>
    <n v="0"/>
    <n v="0"/>
    <n v="0"/>
    <n v="0"/>
    <n v="0"/>
    <n v="0"/>
    <n v="0"/>
    <n v="0"/>
    <n v="0"/>
    <n v="0"/>
    <n v="0"/>
    <n v="0"/>
    <n v="0"/>
    <n v="0"/>
    <n v="0"/>
    <n v="0"/>
  </r>
  <r>
    <x v="130"/>
    <x v="125"/>
    <n v="71920"/>
    <x v="5"/>
    <m/>
    <x v="0"/>
    <m/>
    <s v="Umeå"/>
    <s v="Normal"/>
    <m/>
    <m/>
    <m/>
    <x v="4"/>
    <m/>
    <m/>
    <n v="19"/>
    <n v="1.9"/>
    <n v="0.85"/>
    <n v="1.615"/>
    <n v="1620"/>
    <x v="0"/>
    <s v="Hum"/>
    <x v="5"/>
    <n v="25235"/>
    <n v="27976"/>
    <n v="93127.739999999991"/>
    <n v="3600"/>
    <n v="6840"/>
    <n v="99967.739999999991"/>
    <n v="0"/>
    <n v="0"/>
    <n v="0"/>
    <n v="0"/>
    <n v="0"/>
    <n v="0"/>
    <n v="0"/>
    <n v="0"/>
    <n v="1"/>
    <n v="0"/>
    <n v="0"/>
    <n v="0"/>
    <s v="Enl Fokus-Ladok 210601"/>
    <m/>
    <n v="0"/>
    <n v="0"/>
    <n v="0"/>
    <n v="0"/>
    <n v="0"/>
    <n v="0"/>
    <n v="0"/>
    <n v="0"/>
    <n v="0"/>
    <n v="0"/>
    <n v="0"/>
    <n v="0"/>
    <n v="0"/>
    <n v="0"/>
    <n v="0"/>
    <n v="0"/>
    <n v="1.9"/>
    <n v="1.615"/>
    <n v="0"/>
    <n v="0"/>
    <n v="0"/>
    <n v="0"/>
    <n v="0"/>
    <n v="0"/>
  </r>
  <r>
    <x v="131"/>
    <x v="126"/>
    <n v="71919"/>
    <x v="4"/>
    <m/>
    <x v="0"/>
    <m/>
    <s v="Umeå"/>
    <s v="Normal"/>
    <m/>
    <m/>
    <m/>
    <x v="4"/>
    <m/>
    <m/>
    <n v="38"/>
    <n v="3.8"/>
    <n v="0.85"/>
    <n v="3.23"/>
    <n v="1620"/>
    <x v="0"/>
    <s v="Hum"/>
    <x v="4"/>
    <n v="25235"/>
    <n v="27976"/>
    <n v="186255.47999999998"/>
    <n v="3600"/>
    <n v="13680"/>
    <n v="199935.47999999998"/>
    <n v="0"/>
    <n v="0"/>
    <n v="0"/>
    <n v="0"/>
    <n v="0"/>
    <n v="0"/>
    <n v="0"/>
    <n v="0"/>
    <n v="1"/>
    <n v="0"/>
    <n v="0"/>
    <n v="0"/>
    <s v="Enl Fokus-Ladok 210601"/>
    <m/>
    <n v="0"/>
    <n v="0"/>
    <n v="0"/>
    <n v="0"/>
    <n v="0"/>
    <n v="0"/>
    <n v="0"/>
    <n v="0"/>
    <n v="0"/>
    <n v="0"/>
    <n v="0"/>
    <n v="0"/>
    <n v="0"/>
    <n v="0"/>
    <n v="0"/>
    <n v="0"/>
    <n v="3.8"/>
    <n v="3.23"/>
    <n v="0"/>
    <n v="0"/>
    <n v="0"/>
    <n v="0"/>
    <n v="0"/>
    <n v="0"/>
  </r>
  <r>
    <x v="132"/>
    <x v="127"/>
    <m/>
    <x v="0"/>
    <s v="H16"/>
    <x v="1"/>
    <s v="H211-15"/>
    <s v="Umeå"/>
    <m/>
    <s v="ENGS"/>
    <m/>
    <n v="1"/>
    <x v="2"/>
    <m/>
    <m/>
    <n v="3"/>
    <n v="1.125"/>
    <n v="0.85"/>
    <n v="0.95624999999999993"/>
    <n v="1620"/>
    <x v="0"/>
    <s v="Hum"/>
    <x v="0"/>
    <n v="25235"/>
    <n v="27976"/>
    <n v="55141.425000000003"/>
    <n v="3600"/>
    <n v="4050"/>
    <n v="59191.425000000003"/>
    <n v="0"/>
    <n v="0"/>
    <n v="0"/>
    <n v="0"/>
    <n v="0"/>
    <n v="0"/>
    <n v="0"/>
    <n v="0"/>
    <n v="1"/>
    <n v="0"/>
    <n v="0"/>
    <n v="0"/>
    <s v="SP 210924"/>
    <m/>
    <n v="0"/>
    <n v="0"/>
    <n v="0"/>
    <n v="0"/>
    <n v="0"/>
    <n v="0"/>
    <n v="0"/>
    <n v="0"/>
    <n v="0"/>
    <n v="0"/>
    <n v="0"/>
    <n v="0"/>
    <n v="0"/>
    <n v="0"/>
    <n v="0"/>
    <n v="0"/>
    <n v="1.125"/>
    <n v="0.95624999999999993"/>
    <n v="0"/>
    <n v="0"/>
    <n v="0"/>
    <n v="0"/>
    <n v="0"/>
    <n v="0"/>
  </r>
  <r>
    <x v="132"/>
    <x v="127"/>
    <m/>
    <x v="0"/>
    <s v="H17"/>
    <x v="1"/>
    <s v="H211-15"/>
    <s v="Umeå"/>
    <m/>
    <s v="ENGS"/>
    <m/>
    <n v="1"/>
    <x v="2"/>
    <m/>
    <m/>
    <n v="15"/>
    <n v="5.625"/>
    <n v="0.85"/>
    <n v="4.78125"/>
    <n v="1620"/>
    <x v="0"/>
    <s v="Hum"/>
    <x v="0"/>
    <n v="25235"/>
    <n v="27976"/>
    <n v="275707.125"/>
    <n v="3600"/>
    <n v="20250"/>
    <n v="295957.125"/>
    <n v="0"/>
    <n v="0"/>
    <n v="0"/>
    <n v="0"/>
    <n v="0"/>
    <n v="0"/>
    <n v="0"/>
    <n v="0"/>
    <n v="1"/>
    <n v="0"/>
    <n v="0"/>
    <n v="0"/>
    <s v="SP 210924"/>
    <m/>
    <n v="0"/>
    <n v="0"/>
    <n v="0"/>
    <n v="0"/>
    <n v="0"/>
    <n v="0"/>
    <n v="0"/>
    <n v="0"/>
    <n v="0"/>
    <n v="0"/>
    <n v="0"/>
    <n v="0"/>
    <n v="0"/>
    <n v="0"/>
    <n v="0"/>
    <n v="0"/>
    <n v="5.625"/>
    <n v="4.78125"/>
    <n v="0"/>
    <n v="0"/>
    <n v="0"/>
    <n v="0"/>
    <n v="0"/>
    <n v="0"/>
  </r>
  <r>
    <x v="132"/>
    <x v="127"/>
    <m/>
    <x v="0"/>
    <s v="H18"/>
    <x v="1"/>
    <s v="H211-15"/>
    <s v="Umeå"/>
    <m/>
    <s v="ENGS"/>
    <m/>
    <n v="1"/>
    <x v="2"/>
    <m/>
    <m/>
    <n v="1"/>
    <n v="0.375"/>
    <n v="0.85"/>
    <n v="0.31874999999999998"/>
    <n v="1620"/>
    <x v="0"/>
    <s v="Hu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132"/>
    <x v="127"/>
    <n v="71925"/>
    <x v="0"/>
    <m/>
    <x v="0"/>
    <m/>
    <s v="Umeå"/>
    <s v="Normal"/>
    <s v="ENGS"/>
    <m/>
    <m/>
    <x v="2"/>
    <m/>
    <m/>
    <n v="17"/>
    <n v="6.375"/>
    <n v="0.85"/>
    <n v="5.4187500000000002"/>
    <n v="1620"/>
    <x v="0"/>
    <s v="Hum"/>
    <x v="0"/>
    <n v="25235"/>
    <n v="27976"/>
    <n v="312468.07500000001"/>
    <n v="3600"/>
    <n v="22950"/>
    <n v="335418.07500000001"/>
    <n v="0"/>
    <n v="0"/>
    <n v="0"/>
    <n v="0"/>
    <n v="0"/>
    <n v="0"/>
    <n v="0"/>
    <n v="0"/>
    <n v="1"/>
    <n v="0"/>
    <n v="0"/>
    <n v="0"/>
    <s v="Enl Fokus-Ladok 210601"/>
    <m/>
    <n v="0"/>
    <n v="0"/>
    <n v="0"/>
    <n v="0"/>
    <n v="0"/>
    <n v="0"/>
    <n v="0"/>
    <n v="0"/>
    <n v="0"/>
    <n v="0"/>
    <n v="0"/>
    <n v="0"/>
    <n v="0"/>
    <n v="0"/>
    <n v="0"/>
    <n v="0"/>
    <n v="6.375"/>
    <n v="5.4187500000000002"/>
    <n v="0"/>
    <n v="0"/>
    <n v="0"/>
    <n v="0"/>
    <n v="0"/>
    <n v="0"/>
  </r>
  <r>
    <x v="133"/>
    <x v="128"/>
    <m/>
    <x v="0"/>
    <s v="H16"/>
    <x v="1"/>
    <s v="H211-15"/>
    <s v="Umeå"/>
    <m/>
    <s v="SVAA"/>
    <m/>
    <n v="1"/>
    <x v="2"/>
    <m/>
    <m/>
    <n v="2"/>
    <n v="0.75"/>
    <n v="0.85"/>
    <n v="0.63749999999999996"/>
    <n v="1620"/>
    <x v="0"/>
    <s v="Hum"/>
    <x v="0"/>
    <n v="25235"/>
    <n v="27976"/>
    <n v="36760.949999999997"/>
    <n v="3600"/>
    <n v="2700"/>
    <n v="39460.949999999997"/>
    <n v="0"/>
    <n v="0"/>
    <n v="0"/>
    <n v="0"/>
    <n v="0"/>
    <n v="0"/>
    <n v="0"/>
    <n v="0"/>
    <n v="1"/>
    <n v="0"/>
    <n v="0"/>
    <n v="0"/>
    <s v="SP 210924"/>
    <m/>
    <n v="0"/>
    <n v="0"/>
    <n v="0"/>
    <n v="0"/>
    <n v="0"/>
    <n v="0"/>
    <n v="0"/>
    <n v="0"/>
    <n v="0"/>
    <n v="0"/>
    <n v="0"/>
    <n v="0"/>
    <n v="0"/>
    <n v="0"/>
    <n v="0"/>
    <n v="0"/>
    <n v="0.75"/>
    <n v="0.63749999999999996"/>
    <n v="0"/>
    <n v="0"/>
    <n v="0"/>
    <n v="0"/>
    <n v="0"/>
    <n v="0"/>
  </r>
  <r>
    <x v="133"/>
    <x v="128"/>
    <m/>
    <x v="0"/>
    <s v="H17"/>
    <x v="1"/>
    <s v="H211-15"/>
    <s v="Umeå"/>
    <m/>
    <s v="SVAA"/>
    <m/>
    <n v="1"/>
    <x v="2"/>
    <m/>
    <m/>
    <n v="7"/>
    <n v="2.625"/>
    <n v="0.85"/>
    <n v="2.2312499999999997"/>
    <n v="1620"/>
    <x v="0"/>
    <s v="Hum"/>
    <x v="0"/>
    <n v="25235"/>
    <n v="27976"/>
    <n v="128663.32499999998"/>
    <n v="3600"/>
    <n v="9450"/>
    <n v="138113.32499999998"/>
    <n v="0"/>
    <n v="0"/>
    <n v="0"/>
    <n v="0"/>
    <n v="0"/>
    <n v="0"/>
    <n v="0"/>
    <n v="0"/>
    <n v="1"/>
    <n v="0"/>
    <n v="0"/>
    <n v="0"/>
    <s v="SP 210924"/>
    <m/>
    <n v="0"/>
    <n v="0"/>
    <n v="0"/>
    <n v="0"/>
    <n v="0"/>
    <n v="0"/>
    <n v="0"/>
    <n v="0"/>
    <n v="0"/>
    <n v="0"/>
    <n v="0"/>
    <n v="0"/>
    <n v="0"/>
    <n v="0"/>
    <n v="0"/>
    <n v="0"/>
    <n v="2.625"/>
    <n v="2.2312499999999997"/>
    <n v="0"/>
    <n v="0"/>
    <n v="0"/>
    <n v="0"/>
    <n v="0"/>
    <n v="0"/>
  </r>
  <r>
    <x v="133"/>
    <x v="128"/>
    <m/>
    <x v="0"/>
    <s v="H20"/>
    <x v="1"/>
    <s v="H211-15"/>
    <s v="Umeå"/>
    <m/>
    <s v="SVAA"/>
    <m/>
    <n v="1"/>
    <x v="2"/>
    <m/>
    <m/>
    <n v="1"/>
    <n v="0.375"/>
    <n v="0.85"/>
    <n v="0.31874999999999998"/>
    <n v="1620"/>
    <x v="0"/>
    <s v="Hu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133"/>
    <x v="128"/>
    <n v="71901"/>
    <x v="0"/>
    <m/>
    <x v="0"/>
    <m/>
    <s v="Umeå"/>
    <s v="Normal"/>
    <s v="SVAA"/>
    <m/>
    <m/>
    <x v="2"/>
    <m/>
    <m/>
    <n v="9"/>
    <n v="3.375"/>
    <n v="0.85"/>
    <n v="2.8687499999999999"/>
    <n v="1620"/>
    <x v="0"/>
    <s v="Hum"/>
    <x v="0"/>
    <n v="25235"/>
    <n v="27976"/>
    <n v="165424.27499999999"/>
    <n v="3600"/>
    <n v="12150"/>
    <n v="177574.27499999999"/>
    <n v="0"/>
    <n v="0"/>
    <n v="0"/>
    <n v="0"/>
    <n v="0"/>
    <n v="0"/>
    <n v="0"/>
    <n v="0"/>
    <n v="1"/>
    <n v="0"/>
    <n v="0"/>
    <n v="0"/>
    <s v="Enl Fokus-Ladok 210601"/>
    <m/>
    <n v="0"/>
    <n v="0"/>
    <n v="0"/>
    <n v="0"/>
    <n v="0"/>
    <n v="0"/>
    <n v="0"/>
    <n v="0"/>
    <n v="0"/>
    <n v="0"/>
    <n v="0"/>
    <n v="0"/>
    <n v="0"/>
    <n v="0"/>
    <n v="0"/>
    <n v="0"/>
    <n v="3.375"/>
    <n v="2.8687499999999999"/>
    <n v="0"/>
    <n v="0"/>
    <n v="0"/>
    <n v="0"/>
    <n v="0"/>
    <n v="0"/>
  </r>
  <r>
    <x v="134"/>
    <x v="129"/>
    <n v="71921"/>
    <x v="12"/>
    <m/>
    <x v="0"/>
    <m/>
    <s v="Umeå"/>
    <s v="Normal"/>
    <m/>
    <m/>
    <m/>
    <x v="0"/>
    <m/>
    <m/>
    <n v="21"/>
    <n v="2.625"/>
    <n v="0.85"/>
    <n v="2.2312499999999997"/>
    <n v="1620"/>
    <x v="0"/>
    <s v="Hum"/>
    <x v="12"/>
    <n v="20766"/>
    <n v="17442"/>
    <n v="93428.212499999994"/>
    <n v="6000"/>
    <n v="15750"/>
    <n v="109178.21249999999"/>
    <n v="0"/>
    <n v="1"/>
    <n v="0"/>
    <n v="0"/>
    <n v="0"/>
    <n v="0"/>
    <n v="0"/>
    <n v="0"/>
    <n v="0"/>
    <n v="0"/>
    <n v="0"/>
    <n v="0"/>
    <s v="Enl Fokus-Ladok 210601"/>
    <m/>
    <n v="0"/>
    <n v="0"/>
    <n v="2.625"/>
    <n v="2.2312499999999997"/>
    <n v="0"/>
    <n v="0"/>
    <n v="0"/>
    <n v="0"/>
    <n v="0"/>
    <n v="0"/>
    <n v="0"/>
    <n v="0"/>
    <n v="0"/>
    <n v="0"/>
    <n v="0"/>
    <n v="0"/>
    <n v="0"/>
    <n v="0"/>
    <n v="0"/>
    <n v="0"/>
    <n v="0"/>
    <n v="0"/>
    <n v="0"/>
    <n v="0"/>
  </r>
  <r>
    <x v="135"/>
    <x v="130"/>
    <n v="71929"/>
    <x v="0"/>
    <m/>
    <x v="0"/>
    <m/>
    <s v="Umeå"/>
    <s v="Normal"/>
    <s v="SPAN"/>
    <m/>
    <m/>
    <x v="2"/>
    <m/>
    <m/>
    <n v="1"/>
    <n v="0.375"/>
    <n v="0.85"/>
    <n v="0.31874999999999998"/>
    <n v="1620"/>
    <x v="0"/>
    <s v="Hum"/>
    <x v="0"/>
    <n v="25235"/>
    <n v="27976"/>
    <n v="18380.474999999999"/>
    <n v="3600"/>
    <n v="1350"/>
    <n v="19730.474999999999"/>
    <n v="0"/>
    <n v="0"/>
    <n v="0"/>
    <n v="0"/>
    <n v="0"/>
    <n v="0"/>
    <n v="0"/>
    <n v="0"/>
    <n v="1"/>
    <n v="0"/>
    <n v="0"/>
    <n v="0"/>
    <s v="Enl Fokus-Ladok 210601"/>
    <m/>
    <n v="0"/>
    <n v="0"/>
    <n v="0"/>
    <n v="0"/>
    <n v="0"/>
    <n v="0"/>
    <n v="0"/>
    <n v="0"/>
    <n v="0"/>
    <n v="0"/>
    <n v="0"/>
    <n v="0"/>
    <n v="0"/>
    <n v="0"/>
    <n v="0"/>
    <n v="0"/>
    <n v="0.375"/>
    <n v="0.31874999999999998"/>
    <n v="0"/>
    <n v="0"/>
    <n v="0"/>
    <n v="0"/>
    <n v="0"/>
    <n v="0"/>
  </r>
  <r>
    <x v="136"/>
    <x v="131"/>
    <m/>
    <x v="0"/>
    <s v="H17"/>
    <x v="1"/>
    <s v="H211-15"/>
    <s v="Umeå"/>
    <m/>
    <s v="TYSK"/>
    <m/>
    <n v="1"/>
    <x v="2"/>
    <m/>
    <m/>
    <n v="1"/>
    <n v="0.375"/>
    <n v="0.85"/>
    <n v="0.31874999999999998"/>
    <n v="1620"/>
    <x v="0"/>
    <s v="Hu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136"/>
    <x v="131"/>
    <n v="71928"/>
    <x v="0"/>
    <m/>
    <x v="0"/>
    <m/>
    <s v="Umeå"/>
    <s v="Normal"/>
    <s v="TYSK"/>
    <m/>
    <m/>
    <x v="2"/>
    <m/>
    <m/>
    <n v="1"/>
    <n v="0.375"/>
    <n v="0.85"/>
    <n v="0.31874999999999998"/>
    <n v="1620"/>
    <x v="0"/>
    <s v="Hum"/>
    <x v="0"/>
    <n v="25235"/>
    <n v="27976"/>
    <n v="18380.474999999999"/>
    <n v="3600"/>
    <n v="1350"/>
    <n v="19730.474999999999"/>
    <n v="0"/>
    <n v="0"/>
    <n v="0"/>
    <n v="0"/>
    <n v="0"/>
    <n v="0"/>
    <n v="0"/>
    <n v="0"/>
    <n v="1"/>
    <n v="0"/>
    <n v="0"/>
    <n v="0"/>
    <s v="Enl Fokus-Ladok 210601"/>
    <m/>
    <n v="0"/>
    <n v="0"/>
    <n v="0"/>
    <n v="0"/>
    <n v="0"/>
    <n v="0"/>
    <n v="0"/>
    <n v="0"/>
    <n v="0"/>
    <n v="0"/>
    <n v="0"/>
    <n v="0"/>
    <n v="0"/>
    <n v="0"/>
    <n v="0"/>
    <n v="0"/>
    <n v="0.375"/>
    <n v="0.31874999999999998"/>
    <n v="0"/>
    <n v="0"/>
    <n v="0"/>
    <n v="0"/>
    <n v="0"/>
    <n v="0"/>
  </r>
  <r>
    <x v="137"/>
    <x v="132"/>
    <n v="71914"/>
    <x v="0"/>
    <m/>
    <x v="0"/>
    <m/>
    <s v="Umeå"/>
    <s v="Normal"/>
    <s v="SVAN"/>
    <m/>
    <m/>
    <x v="2"/>
    <m/>
    <m/>
    <n v="2"/>
    <n v="0.75"/>
    <n v="0.85"/>
    <n v="0.63749999999999996"/>
    <n v="1620"/>
    <x v="0"/>
    <s v="Hum"/>
    <x v="0"/>
    <n v="25235"/>
    <n v="27976"/>
    <n v="36760.949999999997"/>
    <n v="3600"/>
    <n v="2700"/>
    <n v="39460.949999999997"/>
    <n v="0"/>
    <n v="0"/>
    <n v="0"/>
    <n v="0"/>
    <n v="0"/>
    <n v="0"/>
    <n v="0"/>
    <n v="0"/>
    <n v="1"/>
    <n v="0"/>
    <n v="0"/>
    <n v="0"/>
    <s v="Enl Fokus-Ladok 210601"/>
    <m/>
    <n v="0"/>
    <n v="0"/>
    <n v="0"/>
    <n v="0"/>
    <n v="0"/>
    <n v="0"/>
    <n v="0"/>
    <n v="0"/>
    <n v="0"/>
    <n v="0"/>
    <n v="0"/>
    <n v="0"/>
    <n v="0"/>
    <n v="0"/>
    <n v="0"/>
    <n v="0"/>
    <n v="0.75"/>
    <n v="0.63749999999999996"/>
    <n v="0"/>
    <n v="0"/>
    <n v="0"/>
    <n v="0"/>
    <n v="0"/>
    <n v="0"/>
  </r>
  <r>
    <x v="138"/>
    <x v="133"/>
    <m/>
    <x v="11"/>
    <s v="H19"/>
    <x v="1"/>
    <s v="H211-10"/>
    <s v="Umeå"/>
    <s v="Campus"/>
    <m/>
    <m/>
    <n v="1"/>
    <x v="1"/>
    <m/>
    <m/>
    <n v="1"/>
    <n v="0.25"/>
    <n v="0.85"/>
    <n v="0.21249999999999999"/>
    <n v="1620"/>
    <x v="0"/>
    <s v="Hum"/>
    <x v="11"/>
    <n v="20766"/>
    <n v="17442"/>
    <n v="8897.9249999999993"/>
    <n v="6000"/>
    <n v="1500"/>
    <n v="10397.924999999999"/>
    <n v="0"/>
    <n v="1"/>
    <n v="0"/>
    <n v="0"/>
    <n v="0"/>
    <n v="0"/>
    <n v="0"/>
    <n v="0"/>
    <n v="0"/>
    <n v="0"/>
    <n v="0"/>
    <n v="0"/>
    <s v="SP 210924"/>
    <m/>
    <n v="0"/>
    <n v="0"/>
    <n v="0.25"/>
    <n v="0.21249999999999999"/>
    <n v="0"/>
    <n v="0"/>
    <n v="0"/>
    <n v="0"/>
    <n v="0"/>
    <n v="0"/>
    <n v="0"/>
    <n v="0"/>
    <n v="0"/>
    <n v="0"/>
    <n v="0"/>
    <n v="0"/>
    <n v="0"/>
    <n v="0"/>
    <n v="0"/>
    <n v="0"/>
    <n v="0"/>
    <n v="0"/>
    <n v="0"/>
    <n v="0"/>
  </r>
  <r>
    <x v="138"/>
    <x v="133"/>
    <m/>
    <x v="11"/>
    <s v="H20"/>
    <x v="1"/>
    <s v="H211-10"/>
    <s v="Umeå"/>
    <s v="Campus"/>
    <m/>
    <m/>
    <n v="1"/>
    <x v="1"/>
    <m/>
    <m/>
    <n v="38"/>
    <n v="9.5"/>
    <n v="0.85"/>
    <n v="8.0749999999999993"/>
    <n v="1620"/>
    <x v="0"/>
    <s v="Hum"/>
    <x v="11"/>
    <n v="20766"/>
    <n v="17442"/>
    <n v="338121.15"/>
    <n v="6000"/>
    <n v="57000"/>
    <n v="395121.15"/>
    <n v="0"/>
    <n v="1"/>
    <n v="0"/>
    <n v="0"/>
    <n v="0"/>
    <n v="0"/>
    <n v="0"/>
    <n v="0"/>
    <n v="0"/>
    <n v="0"/>
    <n v="0"/>
    <n v="0"/>
    <s v="SP 210924"/>
    <m/>
    <n v="0"/>
    <n v="0"/>
    <n v="9.5"/>
    <n v="8.0749999999999993"/>
    <n v="0"/>
    <n v="0"/>
    <n v="0"/>
    <n v="0"/>
    <n v="0"/>
    <n v="0"/>
    <n v="0"/>
    <n v="0"/>
    <n v="0"/>
    <n v="0"/>
    <n v="0"/>
    <n v="0"/>
    <n v="0"/>
    <n v="0"/>
    <n v="0"/>
    <n v="0"/>
    <n v="0"/>
    <n v="0"/>
    <n v="0"/>
    <n v="0"/>
  </r>
  <r>
    <x v="138"/>
    <x v="133"/>
    <n v="71913"/>
    <x v="11"/>
    <m/>
    <x v="0"/>
    <m/>
    <s v="Umeå"/>
    <s v="Normal"/>
    <m/>
    <m/>
    <m/>
    <x v="1"/>
    <m/>
    <m/>
    <n v="23"/>
    <n v="5.75"/>
    <n v="0.85"/>
    <n v="4.8875000000000002"/>
    <n v="1620"/>
    <x v="0"/>
    <s v="Hum"/>
    <x v="11"/>
    <n v="20766"/>
    <n v="17442"/>
    <n v="204652.27500000002"/>
    <n v="6000"/>
    <n v="34500"/>
    <n v="239152.27500000002"/>
    <n v="0"/>
    <n v="1"/>
    <n v="0"/>
    <n v="0"/>
    <n v="0"/>
    <n v="0"/>
    <n v="0"/>
    <n v="0"/>
    <n v="0"/>
    <n v="0"/>
    <n v="0"/>
    <n v="0"/>
    <s v="Enl Fokus-Ladok 210601"/>
    <m/>
    <n v="0"/>
    <n v="0"/>
    <n v="5.75"/>
    <n v="4.8875000000000002"/>
    <n v="0"/>
    <n v="0"/>
    <n v="0"/>
    <n v="0"/>
    <n v="0"/>
    <n v="0"/>
    <n v="0"/>
    <n v="0"/>
    <n v="0"/>
    <n v="0"/>
    <n v="0"/>
    <n v="0"/>
    <n v="0"/>
    <n v="0"/>
    <n v="0"/>
    <n v="0"/>
    <n v="0"/>
    <n v="0"/>
    <n v="0"/>
    <n v="0"/>
  </r>
  <r>
    <x v="139"/>
    <x v="134"/>
    <m/>
    <x v="3"/>
    <m/>
    <x v="1"/>
    <m/>
    <m/>
    <s v="Distans"/>
    <m/>
    <m/>
    <n v="0.25"/>
    <x v="0"/>
    <m/>
    <m/>
    <n v="50"/>
    <n v="6.25"/>
    <n v="0.8"/>
    <n v="5"/>
    <n v="1620"/>
    <x v="0"/>
    <s v="Hum"/>
    <x v="3"/>
    <n v="20766"/>
    <n v="17442"/>
    <n v="216997.5"/>
    <n v="6000"/>
    <n v="37500"/>
    <n v="254497.5"/>
    <n v="0"/>
    <n v="1"/>
    <n v="0"/>
    <n v="0"/>
    <n v="0"/>
    <n v="0"/>
    <n v="0"/>
    <n v="0"/>
    <n v="0"/>
    <n v="0"/>
    <n v="0"/>
    <n v="0"/>
    <s v="Äskat/Beslutat 200611 p.39"/>
    <m/>
    <n v="0"/>
    <n v="0"/>
    <n v="6.25"/>
    <n v="5"/>
    <n v="0"/>
    <n v="0"/>
    <n v="0"/>
    <n v="0"/>
    <n v="0"/>
    <n v="0"/>
    <n v="0"/>
    <n v="0"/>
    <n v="0"/>
    <n v="0"/>
    <n v="0"/>
    <n v="0"/>
    <n v="0"/>
    <n v="0"/>
    <n v="0"/>
    <n v="0"/>
    <n v="0"/>
    <n v="0"/>
    <n v="0"/>
    <n v="0"/>
  </r>
  <r>
    <x v="140"/>
    <x v="135"/>
    <m/>
    <x v="3"/>
    <m/>
    <x v="1"/>
    <m/>
    <m/>
    <s v="Distans"/>
    <m/>
    <m/>
    <n v="0.25"/>
    <x v="0"/>
    <m/>
    <m/>
    <n v="40"/>
    <n v="5"/>
    <n v="0.8"/>
    <n v="4"/>
    <n v="1620"/>
    <x v="0"/>
    <s v="Hum"/>
    <x v="3"/>
    <n v="20766"/>
    <n v="17442"/>
    <n v="173598"/>
    <n v="6000"/>
    <n v="30000"/>
    <n v="203598"/>
    <n v="0"/>
    <n v="1"/>
    <n v="0"/>
    <n v="0"/>
    <n v="0"/>
    <n v="0"/>
    <n v="0"/>
    <n v="0"/>
    <n v="0"/>
    <n v="0"/>
    <n v="0"/>
    <n v="0"/>
    <s v="Äskat/Beslutat 200611 p.39"/>
    <m/>
    <n v="0"/>
    <n v="0"/>
    <n v="5"/>
    <n v="4"/>
    <n v="0"/>
    <n v="0"/>
    <n v="0"/>
    <n v="0"/>
    <n v="0"/>
    <n v="0"/>
    <n v="0"/>
    <n v="0"/>
    <n v="0"/>
    <n v="0"/>
    <n v="0"/>
    <n v="0"/>
    <n v="0"/>
    <n v="0"/>
    <n v="0"/>
    <n v="0"/>
    <n v="0"/>
    <n v="0"/>
    <n v="0"/>
    <n v="0"/>
  </r>
  <r>
    <x v="141"/>
    <x v="136"/>
    <m/>
    <x v="3"/>
    <m/>
    <x v="1"/>
    <m/>
    <m/>
    <s v="Distans"/>
    <m/>
    <m/>
    <n v="0.25"/>
    <x v="0"/>
    <m/>
    <m/>
    <n v="20"/>
    <n v="2.5"/>
    <n v="0.8"/>
    <n v="2"/>
    <n v="1620"/>
    <x v="0"/>
    <s v="Hum"/>
    <x v="3"/>
    <n v="20766"/>
    <n v="17442"/>
    <n v="86799"/>
    <n v="6000"/>
    <n v="15000"/>
    <n v="101799"/>
    <n v="0"/>
    <n v="1"/>
    <n v="0"/>
    <n v="0"/>
    <n v="0"/>
    <n v="0"/>
    <n v="0"/>
    <n v="0"/>
    <n v="0"/>
    <n v="0"/>
    <n v="0"/>
    <n v="0"/>
    <s v="Äskat/Beslutat 200611 p.39"/>
    <m/>
    <n v="0"/>
    <n v="0"/>
    <n v="2.5"/>
    <n v="2"/>
    <n v="0"/>
    <n v="0"/>
    <n v="0"/>
    <n v="0"/>
    <n v="0"/>
    <n v="0"/>
    <n v="0"/>
    <n v="0"/>
    <n v="0"/>
    <n v="0"/>
    <n v="0"/>
    <n v="0"/>
    <n v="0"/>
    <n v="0"/>
    <n v="0"/>
    <n v="0"/>
    <n v="0"/>
    <n v="0"/>
    <n v="0"/>
    <n v="0"/>
  </r>
  <r>
    <x v="142"/>
    <x v="137"/>
    <m/>
    <x v="0"/>
    <s v="H16"/>
    <x v="1"/>
    <s v="H211-15"/>
    <s v="Umeå"/>
    <m/>
    <s v="MATT"/>
    <m/>
    <n v="1"/>
    <x v="2"/>
    <m/>
    <m/>
    <n v="1"/>
    <n v="0.375"/>
    <n v="0.85"/>
    <n v="0.31874999999999998"/>
    <n v="5730"/>
    <x v="6"/>
    <s v="TekNat"/>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142"/>
    <x v="137"/>
    <m/>
    <x v="0"/>
    <s v="H17"/>
    <x v="1"/>
    <s v="H211-15"/>
    <s v="Umeå"/>
    <m/>
    <s v="MATT"/>
    <m/>
    <n v="1"/>
    <x v="2"/>
    <m/>
    <m/>
    <n v="11"/>
    <n v="4.125"/>
    <n v="0.85"/>
    <n v="3.5062500000000001"/>
    <n v="5730"/>
    <x v="6"/>
    <s v="TekNat"/>
    <x v="0"/>
    <n v="25235"/>
    <n v="27976"/>
    <n v="202185.22500000001"/>
    <n v="3600"/>
    <n v="14850"/>
    <n v="217035.22500000001"/>
    <n v="0"/>
    <n v="0"/>
    <n v="0"/>
    <n v="0"/>
    <n v="0"/>
    <n v="0"/>
    <n v="0"/>
    <n v="0"/>
    <n v="1"/>
    <n v="0"/>
    <n v="0"/>
    <n v="0"/>
    <s v="SP 210924"/>
    <m/>
    <n v="0"/>
    <n v="0"/>
    <n v="0"/>
    <n v="0"/>
    <n v="0"/>
    <n v="0"/>
    <n v="0"/>
    <n v="0"/>
    <n v="0"/>
    <n v="0"/>
    <n v="0"/>
    <n v="0"/>
    <n v="0"/>
    <n v="0"/>
    <n v="0"/>
    <n v="0"/>
    <n v="4.125"/>
    <n v="3.5062500000000001"/>
    <n v="0"/>
    <n v="0"/>
    <n v="0"/>
    <n v="0"/>
    <n v="0"/>
    <n v="0"/>
  </r>
  <r>
    <x v="142"/>
    <x v="137"/>
    <n v="75812"/>
    <x v="0"/>
    <m/>
    <x v="0"/>
    <m/>
    <s v="Umeå"/>
    <s v="Normal"/>
    <s v="IDMA"/>
    <m/>
    <m/>
    <x v="2"/>
    <m/>
    <m/>
    <n v="1"/>
    <n v="0.375"/>
    <n v="0.85"/>
    <n v="0.31874999999999998"/>
    <n v="5730"/>
    <x v="6"/>
    <s v="TekNat"/>
    <x v="0"/>
    <n v="25235"/>
    <n v="27976"/>
    <n v="18380.474999999999"/>
    <n v="3600"/>
    <n v="1350"/>
    <n v="19730.474999999999"/>
    <n v="0"/>
    <n v="0"/>
    <n v="0"/>
    <n v="0"/>
    <n v="0"/>
    <n v="0"/>
    <n v="0"/>
    <n v="0"/>
    <n v="1"/>
    <n v="0"/>
    <n v="0"/>
    <n v="0"/>
    <s v="Enl Fokus-Ladok 210601"/>
    <m/>
    <n v="0"/>
    <n v="0"/>
    <n v="0"/>
    <n v="0"/>
    <n v="0"/>
    <n v="0"/>
    <n v="0"/>
    <n v="0"/>
    <n v="0"/>
    <n v="0"/>
    <n v="0"/>
    <n v="0"/>
    <n v="0"/>
    <n v="0"/>
    <n v="0"/>
    <n v="0"/>
    <n v="0.375"/>
    <n v="0.31874999999999998"/>
    <n v="0"/>
    <n v="0"/>
    <n v="0"/>
    <n v="0"/>
    <n v="0"/>
    <n v="0"/>
  </r>
  <r>
    <x v="142"/>
    <x v="137"/>
    <n v="75812"/>
    <x v="0"/>
    <m/>
    <x v="0"/>
    <m/>
    <s v="Umeå"/>
    <s v="Normal"/>
    <s v="MATT"/>
    <m/>
    <m/>
    <x v="2"/>
    <m/>
    <m/>
    <n v="8"/>
    <n v="3"/>
    <n v="0.85"/>
    <n v="2.5499999999999998"/>
    <n v="5730"/>
    <x v="6"/>
    <s v="TekNat"/>
    <x v="0"/>
    <n v="25235"/>
    <n v="27976"/>
    <n v="147043.79999999999"/>
    <n v="3600"/>
    <n v="10800"/>
    <n v="157843.79999999999"/>
    <n v="0"/>
    <n v="0"/>
    <n v="0"/>
    <n v="0"/>
    <n v="0"/>
    <n v="0"/>
    <n v="0"/>
    <n v="0"/>
    <n v="1"/>
    <n v="0"/>
    <n v="0"/>
    <n v="0"/>
    <s v="Enl Fokus-Ladok 210601"/>
    <m/>
    <n v="0"/>
    <n v="0"/>
    <n v="0"/>
    <n v="0"/>
    <n v="0"/>
    <n v="0"/>
    <n v="0"/>
    <n v="0"/>
    <n v="0"/>
    <n v="0"/>
    <n v="0"/>
    <n v="0"/>
    <n v="0"/>
    <n v="0"/>
    <n v="0"/>
    <n v="0"/>
    <n v="3"/>
    <n v="2.5499999999999998"/>
    <n v="0"/>
    <n v="0"/>
    <n v="0"/>
    <n v="0"/>
    <n v="0"/>
    <n v="0"/>
  </r>
  <r>
    <x v="143"/>
    <x v="15"/>
    <n v="75803"/>
    <x v="3"/>
    <m/>
    <x v="0"/>
    <m/>
    <s v="Umeå"/>
    <s v="Normal"/>
    <m/>
    <m/>
    <m/>
    <x v="0"/>
    <m/>
    <m/>
    <n v="9"/>
    <n v="1.125"/>
    <n v="0.8"/>
    <n v="0.9"/>
    <n v="5730"/>
    <x v="6"/>
    <s v="TekNat"/>
    <x v="3"/>
    <n v="20757"/>
    <n v="36082"/>
    <n v="55825.425000000003"/>
    <n v="22600"/>
    <n v="25425"/>
    <n v="81250.425000000003"/>
    <n v="0"/>
    <n v="0"/>
    <n v="0"/>
    <n v="0"/>
    <n v="0"/>
    <n v="1"/>
    <n v="0"/>
    <n v="0"/>
    <n v="0"/>
    <n v="0"/>
    <n v="0"/>
    <n v="0"/>
    <s v="Enl Fokus-Ladok 210601"/>
    <m/>
    <n v="0"/>
    <n v="0"/>
    <n v="0"/>
    <n v="0"/>
    <n v="0"/>
    <n v="0"/>
    <n v="0"/>
    <n v="0"/>
    <n v="0"/>
    <n v="0"/>
    <n v="1.125"/>
    <n v="0.9"/>
    <n v="0"/>
    <n v="0"/>
    <n v="0"/>
    <n v="0"/>
    <n v="0"/>
    <n v="0"/>
    <n v="0"/>
    <n v="0"/>
    <n v="0"/>
    <n v="0"/>
    <n v="0"/>
    <n v="0"/>
  </r>
  <r>
    <x v="143"/>
    <x v="15"/>
    <n v="75803"/>
    <x v="6"/>
    <m/>
    <x v="0"/>
    <m/>
    <s v="Umeå"/>
    <s v="Normal"/>
    <s v="TXBI"/>
    <m/>
    <m/>
    <x v="0"/>
    <m/>
    <m/>
    <n v="1"/>
    <n v="0.125"/>
    <n v="0.85"/>
    <n v="0.10625"/>
    <n v="5730"/>
    <x v="6"/>
    <s v="TekNat"/>
    <x v="6"/>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43"/>
    <x v="15"/>
    <n v="75803"/>
    <x v="0"/>
    <m/>
    <x v="0"/>
    <m/>
    <s v="Umeå"/>
    <s v="Normal"/>
    <s v="IDRH"/>
    <m/>
    <m/>
    <x v="0"/>
    <m/>
    <m/>
    <n v="1"/>
    <n v="0.125"/>
    <n v="0.85"/>
    <n v="0.10625"/>
    <n v="5730"/>
    <x v="6"/>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43"/>
    <x v="15"/>
    <n v="75803"/>
    <x v="0"/>
    <m/>
    <x v="0"/>
    <m/>
    <s v="Umeå"/>
    <s v="Normal"/>
    <s v="MATT"/>
    <m/>
    <m/>
    <x v="0"/>
    <m/>
    <m/>
    <n v="12"/>
    <n v="1.5"/>
    <n v="0.85"/>
    <n v="1.2749999999999999"/>
    <n v="5730"/>
    <x v="6"/>
    <s v="TekNat"/>
    <x v="0"/>
    <n v="20757"/>
    <n v="36082"/>
    <n v="77140.049999999988"/>
    <n v="22600"/>
    <n v="33900"/>
    <n v="111040.04999999999"/>
    <n v="0"/>
    <n v="0"/>
    <n v="0"/>
    <n v="0"/>
    <n v="0"/>
    <n v="1"/>
    <n v="0"/>
    <n v="0"/>
    <n v="0"/>
    <n v="0"/>
    <n v="0"/>
    <n v="0"/>
    <s v="Enl Fokus-Ladok 210601"/>
    <m/>
    <n v="0"/>
    <n v="0"/>
    <n v="0"/>
    <n v="0"/>
    <n v="0"/>
    <n v="0"/>
    <n v="0"/>
    <n v="0"/>
    <n v="0"/>
    <n v="0"/>
    <n v="1.5"/>
    <n v="1.2749999999999999"/>
    <n v="0"/>
    <n v="0"/>
    <n v="0"/>
    <n v="0"/>
    <n v="0"/>
    <n v="0"/>
    <n v="0"/>
    <n v="0"/>
    <n v="0"/>
    <n v="0"/>
    <n v="0"/>
    <n v="0"/>
  </r>
  <r>
    <x v="144"/>
    <x v="138"/>
    <n v="75804"/>
    <x v="5"/>
    <m/>
    <x v="0"/>
    <m/>
    <s v="Umeå"/>
    <s v="Normal"/>
    <m/>
    <m/>
    <m/>
    <x v="0"/>
    <m/>
    <m/>
    <n v="46"/>
    <n v="5.75"/>
    <n v="0.85"/>
    <n v="4.8875000000000002"/>
    <n v="5730"/>
    <x v="6"/>
    <s v="TekNat"/>
    <x v="5"/>
    <n v="20757"/>
    <n v="36082"/>
    <n v="295703.52500000002"/>
    <n v="22600"/>
    <n v="129950"/>
    <n v="425653.52500000002"/>
    <n v="0"/>
    <n v="0"/>
    <n v="0"/>
    <n v="0"/>
    <n v="0"/>
    <n v="1"/>
    <n v="0"/>
    <n v="0"/>
    <n v="0"/>
    <n v="0"/>
    <n v="0"/>
    <n v="0"/>
    <s v="Enl Fokus-Ladok 210601"/>
    <m/>
    <n v="0"/>
    <n v="0"/>
    <n v="0"/>
    <n v="0"/>
    <n v="0"/>
    <n v="0"/>
    <n v="0"/>
    <n v="0"/>
    <n v="0"/>
    <n v="0"/>
    <n v="5.75"/>
    <n v="4.8875000000000002"/>
    <n v="0"/>
    <n v="0"/>
    <n v="0"/>
    <n v="0"/>
    <n v="0"/>
    <n v="0"/>
    <n v="0"/>
    <n v="0"/>
    <n v="0"/>
    <n v="0"/>
    <n v="0"/>
    <n v="0"/>
  </r>
  <r>
    <x v="145"/>
    <x v="139"/>
    <n v="75813"/>
    <x v="3"/>
    <m/>
    <x v="0"/>
    <m/>
    <s v="Umeå"/>
    <s v="Normal"/>
    <m/>
    <m/>
    <m/>
    <x v="0"/>
    <m/>
    <m/>
    <n v="20"/>
    <n v="2.5"/>
    <n v="0.8"/>
    <n v="2"/>
    <n v="5730"/>
    <x v="6"/>
    <s v="TekNat"/>
    <x v="3"/>
    <n v="20757"/>
    <n v="36082"/>
    <n v="124056.5"/>
    <n v="22600"/>
    <n v="56500"/>
    <n v="180556.5"/>
    <n v="0"/>
    <n v="0"/>
    <n v="0"/>
    <n v="0"/>
    <n v="0"/>
    <n v="1"/>
    <n v="0"/>
    <n v="0"/>
    <n v="0"/>
    <n v="0"/>
    <n v="0"/>
    <n v="0"/>
    <s v="Enl Fokus-Ladok 210601"/>
    <m/>
    <n v="0"/>
    <n v="0"/>
    <n v="0"/>
    <n v="0"/>
    <n v="0"/>
    <n v="0"/>
    <n v="0"/>
    <n v="0"/>
    <n v="0"/>
    <n v="0"/>
    <n v="2.5"/>
    <n v="2"/>
    <n v="0"/>
    <n v="0"/>
    <n v="0"/>
    <n v="0"/>
    <n v="0"/>
    <n v="0"/>
    <n v="0"/>
    <n v="0"/>
    <n v="0"/>
    <n v="0"/>
    <n v="0"/>
    <n v="0"/>
  </r>
  <r>
    <x v="145"/>
    <x v="139"/>
    <n v="75813"/>
    <x v="0"/>
    <m/>
    <x v="0"/>
    <m/>
    <s v="Umeå"/>
    <s v="Normal"/>
    <s v="BIOL"/>
    <m/>
    <m/>
    <x v="0"/>
    <m/>
    <m/>
    <n v="1"/>
    <n v="0.125"/>
    <n v="0.85"/>
    <n v="0.10625"/>
    <n v="5730"/>
    <x v="6"/>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45"/>
    <x v="139"/>
    <n v="75813"/>
    <x v="0"/>
    <m/>
    <x v="0"/>
    <m/>
    <s v="Umeå"/>
    <s v="Normal"/>
    <s v="IDRH"/>
    <m/>
    <m/>
    <x v="0"/>
    <m/>
    <m/>
    <n v="2"/>
    <n v="0.25"/>
    <n v="0.85"/>
    <n v="0.21249999999999999"/>
    <n v="5730"/>
    <x v="6"/>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145"/>
    <x v="139"/>
    <n v="75813"/>
    <x v="0"/>
    <m/>
    <x v="0"/>
    <m/>
    <s v="Umeå"/>
    <s v="Normal"/>
    <s v="MATT"/>
    <m/>
    <m/>
    <x v="0"/>
    <m/>
    <m/>
    <n v="23"/>
    <n v="2.875"/>
    <n v="0.85"/>
    <n v="2.4437500000000001"/>
    <n v="5730"/>
    <x v="6"/>
    <s v="TekNat"/>
    <x v="0"/>
    <n v="20757"/>
    <n v="36082"/>
    <n v="147851.76250000001"/>
    <n v="22600"/>
    <n v="64975"/>
    <n v="212826.76250000001"/>
    <n v="0"/>
    <n v="0"/>
    <n v="0"/>
    <n v="0"/>
    <n v="0"/>
    <n v="1"/>
    <n v="0"/>
    <n v="0"/>
    <n v="0"/>
    <n v="0"/>
    <n v="0"/>
    <n v="0"/>
    <s v="Enl Fokus-Ladok 210601"/>
    <m/>
    <n v="0"/>
    <n v="0"/>
    <n v="0"/>
    <n v="0"/>
    <n v="0"/>
    <n v="0"/>
    <n v="0"/>
    <n v="0"/>
    <n v="0"/>
    <n v="0"/>
    <n v="2.875"/>
    <n v="2.4437500000000001"/>
    <n v="0"/>
    <n v="0"/>
    <n v="0"/>
    <n v="0"/>
    <n v="0"/>
    <n v="0"/>
    <n v="0"/>
    <n v="0"/>
    <n v="0"/>
    <n v="0"/>
    <n v="0"/>
    <n v="0"/>
  </r>
  <r>
    <x v="145"/>
    <x v="139"/>
    <n v="75813"/>
    <x v="0"/>
    <m/>
    <x v="0"/>
    <m/>
    <s v="Umeå"/>
    <s v="Normal"/>
    <s v="SAMK"/>
    <m/>
    <m/>
    <x v="0"/>
    <m/>
    <m/>
    <n v="1"/>
    <n v="0.125"/>
    <n v="0.85"/>
    <n v="0.10625"/>
    <n v="5730"/>
    <x v="6"/>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46"/>
    <x v="140"/>
    <n v="75816"/>
    <x v="3"/>
    <m/>
    <x v="0"/>
    <m/>
    <s v="Umeå"/>
    <s v="Normal"/>
    <m/>
    <m/>
    <m/>
    <x v="0"/>
    <m/>
    <m/>
    <n v="14"/>
    <n v="1.75"/>
    <n v="0.8"/>
    <n v="1.4000000000000001"/>
    <n v="5730"/>
    <x v="6"/>
    <s v="TekNat"/>
    <x v="3"/>
    <n v="20757"/>
    <n v="36082"/>
    <n v="86839.55"/>
    <n v="22600"/>
    <n v="39550"/>
    <n v="126389.55"/>
    <n v="0"/>
    <n v="0"/>
    <n v="0"/>
    <n v="0"/>
    <n v="0"/>
    <n v="0.5"/>
    <n v="0"/>
    <n v="0.5"/>
    <n v="0"/>
    <n v="0"/>
    <n v="0"/>
    <n v="0"/>
    <s v="Enl Fokus-Ladok 210601"/>
    <m/>
    <n v="0"/>
    <n v="0"/>
    <n v="0"/>
    <n v="0"/>
    <n v="0"/>
    <n v="0"/>
    <n v="0"/>
    <n v="0"/>
    <n v="0"/>
    <n v="0"/>
    <n v="0.875"/>
    <n v="0.70000000000000007"/>
    <n v="0"/>
    <n v="0"/>
    <n v="0.875"/>
    <n v="0.70000000000000007"/>
    <n v="0"/>
    <n v="0"/>
    <n v="0"/>
    <n v="0"/>
    <n v="0"/>
    <n v="0"/>
    <n v="0"/>
    <n v="0"/>
  </r>
  <r>
    <x v="146"/>
    <x v="140"/>
    <n v="75816"/>
    <x v="0"/>
    <m/>
    <x v="0"/>
    <m/>
    <s v="Umeå"/>
    <s v="Normal"/>
    <s v="BIOL"/>
    <m/>
    <m/>
    <x v="0"/>
    <m/>
    <m/>
    <n v="1"/>
    <n v="0.125"/>
    <n v="0.85"/>
    <n v="0.10625"/>
    <n v="5730"/>
    <x v="6"/>
    <s v="TekNat"/>
    <x v="0"/>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146"/>
    <x v="140"/>
    <n v="75816"/>
    <x v="0"/>
    <m/>
    <x v="0"/>
    <m/>
    <s v="Umeå"/>
    <s v="Normal"/>
    <s v="IDRH"/>
    <m/>
    <m/>
    <x v="0"/>
    <m/>
    <m/>
    <n v="2"/>
    <n v="0.25"/>
    <n v="0.85"/>
    <n v="0.21249999999999999"/>
    <n v="5730"/>
    <x v="6"/>
    <s v="TekNat"/>
    <x v="0"/>
    <n v="20757"/>
    <n v="36082"/>
    <n v="12856.674999999999"/>
    <n v="22600"/>
    <n v="5650"/>
    <n v="18506.674999999999"/>
    <n v="0"/>
    <n v="0"/>
    <n v="0"/>
    <n v="0"/>
    <n v="0"/>
    <n v="0.5"/>
    <n v="0"/>
    <n v="0.5"/>
    <n v="0"/>
    <n v="0"/>
    <n v="0"/>
    <n v="0"/>
    <s v="Enl Fokus-Ladok 210601"/>
    <m/>
    <n v="0"/>
    <n v="0"/>
    <n v="0"/>
    <n v="0"/>
    <n v="0"/>
    <n v="0"/>
    <n v="0"/>
    <n v="0"/>
    <n v="0"/>
    <n v="0"/>
    <n v="0.125"/>
    <n v="0.10625"/>
    <n v="0"/>
    <n v="0"/>
    <n v="0.125"/>
    <n v="0.10625"/>
    <n v="0"/>
    <n v="0"/>
    <n v="0"/>
    <n v="0"/>
    <n v="0"/>
    <n v="0"/>
    <n v="0"/>
    <n v="0"/>
  </r>
  <r>
    <x v="146"/>
    <x v="140"/>
    <n v="75816"/>
    <x v="0"/>
    <m/>
    <x v="0"/>
    <m/>
    <s v="Umeå"/>
    <s v="Normal"/>
    <s v="MATT"/>
    <m/>
    <m/>
    <x v="0"/>
    <m/>
    <m/>
    <n v="20"/>
    <n v="2.5"/>
    <n v="0.85"/>
    <n v="2.125"/>
    <n v="5730"/>
    <x v="6"/>
    <s v="TekNat"/>
    <x v="0"/>
    <n v="20757"/>
    <n v="36082"/>
    <n v="128566.75"/>
    <n v="22600"/>
    <n v="56500"/>
    <n v="185066.75"/>
    <n v="0"/>
    <n v="0"/>
    <n v="0"/>
    <n v="0"/>
    <n v="0"/>
    <n v="0.5"/>
    <n v="0"/>
    <n v="0.5"/>
    <n v="0"/>
    <n v="0"/>
    <n v="0"/>
    <n v="0"/>
    <s v="Enl Fokus-Ladok 210601"/>
    <m/>
    <n v="0"/>
    <n v="0"/>
    <n v="0"/>
    <n v="0"/>
    <n v="0"/>
    <n v="0"/>
    <n v="0"/>
    <n v="0"/>
    <n v="0"/>
    <n v="0"/>
    <n v="1.25"/>
    <n v="1.0625"/>
    <n v="0"/>
    <n v="0"/>
    <n v="1.25"/>
    <n v="1.0625"/>
    <n v="0"/>
    <n v="0"/>
    <n v="0"/>
    <n v="0"/>
    <n v="0"/>
    <n v="0"/>
    <n v="0"/>
    <n v="0"/>
  </r>
  <r>
    <x v="146"/>
    <x v="140"/>
    <n v="75816"/>
    <x v="0"/>
    <m/>
    <x v="0"/>
    <m/>
    <s v="Umeå"/>
    <s v="Normal"/>
    <s v="SAMK"/>
    <m/>
    <m/>
    <x v="0"/>
    <m/>
    <m/>
    <n v="1"/>
    <n v="0.125"/>
    <n v="0.85"/>
    <n v="0.10625"/>
    <n v="5730"/>
    <x v="6"/>
    <s v="TekNat"/>
    <x v="0"/>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147"/>
    <x v="141"/>
    <n v="75808"/>
    <x v="3"/>
    <m/>
    <x v="0"/>
    <m/>
    <s v="Umeå"/>
    <s v="Normal"/>
    <m/>
    <m/>
    <m/>
    <x v="0"/>
    <m/>
    <m/>
    <n v="6"/>
    <n v="0.75"/>
    <n v="0.8"/>
    <n v="0.60000000000000009"/>
    <n v="5730"/>
    <x v="6"/>
    <s v="TekNat"/>
    <x v="3"/>
    <n v="20757"/>
    <n v="36082"/>
    <n v="37216.950000000004"/>
    <n v="22600"/>
    <n v="16950"/>
    <n v="54166.950000000004"/>
    <n v="0"/>
    <n v="0"/>
    <n v="0"/>
    <n v="0"/>
    <n v="0"/>
    <n v="1"/>
    <n v="0"/>
    <n v="0"/>
    <n v="0"/>
    <n v="0"/>
    <n v="0"/>
    <n v="0"/>
    <s v="Enl Fokus-Ladok 210601"/>
    <m/>
    <n v="0"/>
    <n v="0"/>
    <n v="0"/>
    <n v="0"/>
    <n v="0"/>
    <n v="0"/>
    <n v="0"/>
    <n v="0"/>
    <n v="0"/>
    <n v="0"/>
    <n v="0.75"/>
    <n v="0.60000000000000009"/>
    <n v="0"/>
    <n v="0"/>
    <n v="0"/>
    <n v="0"/>
    <n v="0"/>
    <n v="0"/>
    <n v="0"/>
    <n v="0"/>
    <n v="0"/>
    <n v="0"/>
    <n v="0"/>
    <n v="0"/>
  </r>
  <r>
    <x v="147"/>
    <x v="141"/>
    <n v="75808"/>
    <x v="0"/>
    <m/>
    <x v="0"/>
    <m/>
    <s v="Umeå"/>
    <s v="Normal"/>
    <s v="BIOL"/>
    <m/>
    <m/>
    <x v="0"/>
    <m/>
    <m/>
    <n v="1"/>
    <n v="0.125"/>
    <n v="0.85"/>
    <n v="0.10625"/>
    <n v="5730"/>
    <x v="6"/>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47"/>
    <x v="141"/>
    <n v="75808"/>
    <x v="0"/>
    <m/>
    <x v="0"/>
    <m/>
    <s v="Umeå"/>
    <s v="Normal"/>
    <s v="IDRH"/>
    <m/>
    <m/>
    <x v="0"/>
    <m/>
    <m/>
    <n v="2"/>
    <n v="0.25"/>
    <n v="0.85"/>
    <n v="0.21249999999999999"/>
    <n v="5730"/>
    <x v="6"/>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147"/>
    <x v="141"/>
    <n v="75808"/>
    <x v="0"/>
    <m/>
    <x v="0"/>
    <m/>
    <s v="Umeå"/>
    <s v="Normal"/>
    <s v="MATT"/>
    <m/>
    <m/>
    <x v="0"/>
    <m/>
    <m/>
    <n v="22"/>
    <n v="2.75"/>
    <n v="0.85"/>
    <n v="2.3374999999999999"/>
    <n v="5730"/>
    <x v="6"/>
    <s v="TekNat"/>
    <x v="0"/>
    <n v="20757"/>
    <n v="36082"/>
    <n v="141423.42499999999"/>
    <n v="22600"/>
    <n v="62150"/>
    <n v="203573.42499999999"/>
    <n v="0"/>
    <n v="0"/>
    <n v="0"/>
    <n v="0"/>
    <n v="0"/>
    <n v="1"/>
    <n v="0"/>
    <n v="0"/>
    <n v="0"/>
    <n v="0"/>
    <n v="0"/>
    <n v="0"/>
    <s v="Enl Fokus-Ladok 210601"/>
    <m/>
    <n v="0"/>
    <n v="0"/>
    <n v="0"/>
    <n v="0"/>
    <n v="0"/>
    <n v="0"/>
    <n v="0"/>
    <n v="0"/>
    <n v="0"/>
    <n v="0"/>
    <n v="2.75"/>
    <n v="2.3374999999999999"/>
    <n v="0"/>
    <n v="0"/>
    <n v="0"/>
    <n v="0"/>
    <n v="0"/>
    <n v="0"/>
    <n v="0"/>
    <n v="0"/>
    <n v="0"/>
    <n v="0"/>
    <n v="0"/>
    <n v="0"/>
  </r>
  <r>
    <x v="147"/>
    <x v="141"/>
    <n v="75808"/>
    <x v="0"/>
    <m/>
    <x v="0"/>
    <m/>
    <s v="Umeå"/>
    <s v="Normal"/>
    <s v="SAMK"/>
    <m/>
    <m/>
    <x v="0"/>
    <m/>
    <m/>
    <n v="1"/>
    <n v="0.125"/>
    <n v="0.85"/>
    <n v="0.10625"/>
    <n v="5730"/>
    <x v="6"/>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48"/>
    <x v="142"/>
    <n v="75806"/>
    <x v="3"/>
    <m/>
    <x v="0"/>
    <m/>
    <s v="Umeå"/>
    <s v="Normal"/>
    <m/>
    <m/>
    <m/>
    <x v="0"/>
    <m/>
    <m/>
    <n v="20"/>
    <n v="2.5"/>
    <n v="0.8"/>
    <n v="2"/>
    <n v="5730"/>
    <x v="6"/>
    <s v="TekNat"/>
    <x v="3"/>
    <n v="20757"/>
    <n v="36082"/>
    <n v="124056.5"/>
    <n v="22600"/>
    <n v="56500"/>
    <n v="180556.5"/>
    <n v="0"/>
    <n v="0"/>
    <n v="0"/>
    <n v="0"/>
    <n v="0"/>
    <n v="0.5"/>
    <n v="0"/>
    <n v="0.5"/>
    <n v="0"/>
    <n v="0"/>
    <n v="0"/>
    <n v="0"/>
    <s v="Enl Fokus-Ladok 210601"/>
    <m/>
    <n v="0"/>
    <n v="0"/>
    <n v="0"/>
    <n v="0"/>
    <n v="0"/>
    <n v="0"/>
    <n v="0"/>
    <n v="0"/>
    <n v="0"/>
    <n v="0"/>
    <n v="1.25"/>
    <n v="1"/>
    <n v="0"/>
    <n v="0"/>
    <n v="1.25"/>
    <n v="1"/>
    <n v="0"/>
    <n v="0"/>
    <n v="0"/>
    <n v="0"/>
    <n v="0"/>
    <n v="0"/>
    <n v="0"/>
    <n v="0"/>
  </r>
  <r>
    <x v="148"/>
    <x v="142"/>
    <n v="75806"/>
    <x v="0"/>
    <m/>
    <x v="0"/>
    <m/>
    <s v="Umeå"/>
    <s v="Normal"/>
    <s v="IDRH"/>
    <m/>
    <m/>
    <x v="0"/>
    <m/>
    <m/>
    <n v="2"/>
    <n v="0.25"/>
    <n v="0.85"/>
    <n v="0.21249999999999999"/>
    <n v="5730"/>
    <x v="6"/>
    <s v="TekNat"/>
    <x v="0"/>
    <n v="20757"/>
    <n v="36082"/>
    <n v="12856.674999999999"/>
    <n v="22600"/>
    <n v="5650"/>
    <n v="18506.674999999999"/>
    <n v="0"/>
    <n v="0"/>
    <n v="0"/>
    <n v="0"/>
    <n v="0"/>
    <n v="0.5"/>
    <n v="0"/>
    <n v="0.5"/>
    <n v="0"/>
    <n v="0"/>
    <n v="0"/>
    <n v="0"/>
    <s v="Enl Fokus-Ladok 210601"/>
    <m/>
    <n v="0"/>
    <n v="0"/>
    <n v="0"/>
    <n v="0"/>
    <n v="0"/>
    <n v="0"/>
    <n v="0"/>
    <n v="0"/>
    <n v="0"/>
    <n v="0"/>
    <n v="0.125"/>
    <n v="0.10625"/>
    <n v="0"/>
    <n v="0"/>
    <n v="0.125"/>
    <n v="0.10625"/>
    <n v="0"/>
    <n v="0"/>
    <n v="0"/>
    <n v="0"/>
    <n v="0"/>
    <n v="0"/>
    <n v="0"/>
    <n v="0"/>
  </r>
  <r>
    <x v="148"/>
    <x v="142"/>
    <n v="75806"/>
    <x v="0"/>
    <m/>
    <x v="0"/>
    <m/>
    <s v="Umeå"/>
    <s v="Normal"/>
    <s v="MATT"/>
    <m/>
    <m/>
    <x v="0"/>
    <m/>
    <m/>
    <n v="11"/>
    <n v="1.375"/>
    <n v="0.85"/>
    <n v="1.16875"/>
    <n v="5730"/>
    <x v="6"/>
    <s v="TekNat"/>
    <x v="0"/>
    <n v="20757"/>
    <n v="36082"/>
    <n v="70711.712499999994"/>
    <n v="22600"/>
    <n v="31075"/>
    <n v="101786.71249999999"/>
    <n v="0"/>
    <n v="0"/>
    <n v="0"/>
    <n v="0"/>
    <n v="0"/>
    <n v="0.5"/>
    <n v="0"/>
    <n v="0.5"/>
    <n v="0"/>
    <n v="0"/>
    <n v="0"/>
    <n v="0"/>
    <s v="Enl Fokus-Ladok 210601"/>
    <m/>
    <n v="0"/>
    <n v="0"/>
    <n v="0"/>
    <n v="0"/>
    <n v="0"/>
    <n v="0"/>
    <n v="0"/>
    <n v="0"/>
    <n v="0"/>
    <n v="0"/>
    <n v="0.6875"/>
    <n v="0.58437499999999998"/>
    <n v="0"/>
    <n v="0"/>
    <n v="0.6875"/>
    <n v="0.58437499999999998"/>
    <n v="0"/>
    <n v="0"/>
    <n v="0"/>
    <n v="0"/>
    <n v="0"/>
    <n v="0"/>
    <n v="0"/>
    <n v="0"/>
  </r>
  <r>
    <x v="149"/>
    <x v="143"/>
    <n v="75809"/>
    <x v="3"/>
    <m/>
    <x v="0"/>
    <m/>
    <s v="Umeå"/>
    <s v="Normal"/>
    <m/>
    <m/>
    <m/>
    <x v="0"/>
    <m/>
    <m/>
    <n v="4"/>
    <n v="0.5"/>
    <n v="0.8"/>
    <n v="0.4"/>
    <n v="5730"/>
    <x v="6"/>
    <s v="TekNat"/>
    <x v="3"/>
    <n v="20757"/>
    <n v="36082"/>
    <n v="24811.300000000003"/>
    <n v="22600"/>
    <n v="11300"/>
    <n v="36111.300000000003"/>
    <n v="0"/>
    <n v="0"/>
    <n v="0"/>
    <n v="0"/>
    <n v="0"/>
    <n v="0.5"/>
    <n v="0"/>
    <n v="0.5"/>
    <n v="0"/>
    <n v="0"/>
    <n v="0"/>
    <n v="0"/>
    <s v="Enl Fokus-Ladok 210601"/>
    <m/>
    <n v="0"/>
    <n v="0"/>
    <n v="0"/>
    <n v="0"/>
    <n v="0"/>
    <n v="0"/>
    <n v="0"/>
    <n v="0"/>
    <n v="0"/>
    <n v="0"/>
    <n v="0.25"/>
    <n v="0.2"/>
    <n v="0"/>
    <n v="0"/>
    <n v="0.25"/>
    <n v="0.2"/>
    <n v="0"/>
    <n v="0"/>
    <n v="0"/>
    <n v="0"/>
    <n v="0"/>
    <n v="0"/>
    <n v="0"/>
    <n v="0"/>
  </r>
  <r>
    <x v="149"/>
    <x v="143"/>
    <n v="75809"/>
    <x v="6"/>
    <m/>
    <x v="0"/>
    <m/>
    <s v="Umeå"/>
    <s v="Normal"/>
    <s v="TXBI"/>
    <m/>
    <m/>
    <x v="0"/>
    <m/>
    <m/>
    <n v="1"/>
    <n v="0.125"/>
    <n v="0.85"/>
    <n v="0.10625"/>
    <n v="5730"/>
    <x v="6"/>
    <s v="TekNat"/>
    <x v="6"/>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149"/>
    <x v="143"/>
    <n v="75809"/>
    <x v="0"/>
    <m/>
    <x v="0"/>
    <m/>
    <s v="Umeå"/>
    <s v="Normal"/>
    <s v="IDRH"/>
    <m/>
    <m/>
    <x v="0"/>
    <m/>
    <m/>
    <n v="2"/>
    <n v="0.25"/>
    <n v="0.85"/>
    <n v="0.21249999999999999"/>
    <n v="5730"/>
    <x v="6"/>
    <s v="TekNat"/>
    <x v="0"/>
    <n v="20757"/>
    <n v="36082"/>
    <n v="12856.674999999999"/>
    <n v="22600"/>
    <n v="5650"/>
    <n v="18506.674999999999"/>
    <n v="0"/>
    <n v="0"/>
    <n v="0"/>
    <n v="0"/>
    <n v="0"/>
    <n v="0.5"/>
    <n v="0"/>
    <n v="0.5"/>
    <n v="0"/>
    <n v="0"/>
    <n v="0"/>
    <n v="0"/>
    <s v="Enl Fokus-Ladok 210601"/>
    <m/>
    <n v="0"/>
    <n v="0"/>
    <n v="0"/>
    <n v="0"/>
    <n v="0"/>
    <n v="0"/>
    <n v="0"/>
    <n v="0"/>
    <n v="0"/>
    <n v="0"/>
    <n v="0.125"/>
    <n v="0.10625"/>
    <n v="0"/>
    <n v="0"/>
    <n v="0.125"/>
    <n v="0.10625"/>
    <n v="0"/>
    <n v="0"/>
    <n v="0"/>
    <n v="0"/>
    <n v="0"/>
    <n v="0"/>
    <n v="0"/>
    <n v="0"/>
  </r>
  <r>
    <x v="149"/>
    <x v="143"/>
    <n v="75809"/>
    <x v="0"/>
    <m/>
    <x v="0"/>
    <m/>
    <s v="Umeå"/>
    <s v="Normal"/>
    <s v="MATT"/>
    <m/>
    <m/>
    <x v="0"/>
    <m/>
    <m/>
    <n v="11"/>
    <n v="1.375"/>
    <n v="0.85"/>
    <n v="1.16875"/>
    <n v="5730"/>
    <x v="6"/>
    <s v="TekNat"/>
    <x v="0"/>
    <n v="20757"/>
    <n v="36082"/>
    <n v="70711.712499999994"/>
    <n v="22600"/>
    <n v="31075"/>
    <n v="101786.71249999999"/>
    <n v="0"/>
    <n v="0"/>
    <n v="0"/>
    <n v="0"/>
    <n v="0"/>
    <n v="0.5"/>
    <n v="0"/>
    <n v="0.5"/>
    <n v="0"/>
    <n v="0"/>
    <n v="0"/>
    <n v="0"/>
    <s v="Enl Fokus-Ladok 210601"/>
    <m/>
    <n v="0"/>
    <n v="0"/>
    <n v="0"/>
    <n v="0"/>
    <n v="0"/>
    <n v="0"/>
    <n v="0"/>
    <n v="0"/>
    <n v="0"/>
    <n v="0"/>
    <n v="0.6875"/>
    <n v="0.58437499999999998"/>
    <n v="0"/>
    <n v="0"/>
    <n v="0.6875"/>
    <n v="0.58437499999999998"/>
    <n v="0"/>
    <n v="0"/>
    <n v="0"/>
    <n v="0"/>
    <n v="0"/>
    <n v="0"/>
    <n v="0"/>
    <n v="0"/>
  </r>
  <r>
    <x v="150"/>
    <x v="144"/>
    <n v="75800"/>
    <x v="3"/>
    <m/>
    <x v="0"/>
    <m/>
    <s v="Umeå"/>
    <s v="Normal"/>
    <m/>
    <m/>
    <m/>
    <x v="0"/>
    <m/>
    <m/>
    <n v="4"/>
    <n v="0.5"/>
    <n v="0.8"/>
    <n v="0.4"/>
    <n v="5730"/>
    <x v="6"/>
    <s v="TekNat"/>
    <x v="3"/>
    <n v="20757"/>
    <n v="36082"/>
    <n v="24811.300000000003"/>
    <n v="22600"/>
    <n v="11300"/>
    <n v="36111.300000000003"/>
    <n v="0"/>
    <n v="0"/>
    <n v="0"/>
    <n v="0"/>
    <n v="0"/>
    <n v="0.5"/>
    <n v="0"/>
    <n v="0.5"/>
    <n v="0"/>
    <n v="0"/>
    <n v="0"/>
    <n v="0"/>
    <s v="Enl Fokus-Ladok 210601"/>
    <m/>
    <n v="0"/>
    <n v="0"/>
    <n v="0"/>
    <n v="0"/>
    <n v="0"/>
    <n v="0"/>
    <n v="0"/>
    <n v="0"/>
    <n v="0"/>
    <n v="0"/>
    <n v="0.25"/>
    <n v="0.2"/>
    <n v="0"/>
    <n v="0"/>
    <n v="0.25"/>
    <n v="0.2"/>
    <n v="0"/>
    <n v="0"/>
    <n v="0"/>
    <n v="0"/>
    <n v="0"/>
    <n v="0"/>
    <n v="0"/>
    <n v="0"/>
  </r>
  <r>
    <x v="150"/>
    <x v="144"/>
    <n v="75800"/>
    <x v="6"/>
    <m/>
    <x v="0"/>
    <m/>
    <s v="Umeå"/>
    <s v="Normal"/>
    <s v="MATT"/>
    <m/>
    <m/>
    <x v="0"/>
    <m/>
    <m/>
    <n v="1"/>
    <n v="0.125"/>
    <n v="0.85"/>
    <n v="0.10625"/>
    <n v="5730"/>
    <x v="6"/>
    <s v="TekNat"/>
    <x v="6"/>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150"/>
    <x v="144"/>
    <n v="75800"/>
    <x v="0"/>
    <m/>
    <x v="0"/>
    <m/>
    <s v="Umeå"/>
    <s v="Normal"/>
    <s v="IDRH"/>
    <m/>
    <m/>
    <x v="0"/>
    <m/>
    <m/>
    <n v="1"/>
    <n v="0.125"/>
    <n v="0.85"/>
    <n v="0.10625"/>
    <n v="5730"/>
    <x v="6"/>
    <s v="TekNat"/>
    <x v="0"/>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150"/>
    <x v="144"/>
    <n v="75800"/>
    <x v="0"/>
    <m/>
    <x v="0"/>
    <m/>
    <s v="Umeå"/>
    <s v="Normal"/>
    <s v="MATT"/>
    <m/>
    <m/>
    <x v="0"/>
    <m/>
    <m/>
    <n v="9"/>
    <n v="1.125"/>
    <n v="0.85"/>
    <n v="0.95624999999999993"/>
    <n v="5730"/>
    <x v="6"/>
    <s v="TekNat"/>
    <x v="0"/>
    <n v="20757"/>
    <n v="36082"/>
    <n v="57855.037499999999"/>
    <n v="22600"/>
    <n v="25425"/>
    <n v="83280.037500000006"/>
    <n v="0"/>
    <n v="0"/>
    <n v="0"/>
    <n v="0"/>
    <n v="0"/>
    <n v="0.5"/>
    <n v="0"/>
    <n v="0.5"/>
    <n v="0"/>
    <n v="0"/>
    <n v="0"/>
    <n v="0"/>
    <s v="Enl Fokus-Ladok 210601"/>
    <m/>
    <n v="0"/>
    <n v="0"/>
    <n v="0"/>
    <n v="0"/>
    <n v="0"/>
    <n v="0"/>
    <n v="0"/>
    <n v="0"/>
    <n v="0"/>
    <n v="0"/>
    <n v="0.5625"/>
    <n v="0.47812499999999997"/>
    <n v="0"/>
    <n v="0"/>
    <n v="0.5625"/>
    <n v="0.47812499999999997"/>
    <n v="0"/>
    <n v="0"/>
    <n v="0"/>
    <n v="0"/>
    <n v="0"/>
    <n v="0"/>
    <n v="0"/>
    <n v="0"/>
  </r>
  <r>
    <x v="151"/>
    <x v="145"/>
    <m/>
    <x v="3"/>
    <m/>
    <x v="1"/>
    <m/>
    <m/>
    <s v="Campus"/>
    <m/>
    <m/>
    <n v="1"/>
    <x v="0"/>
    <m/>
    <m/>
    <n v="2"/>
    <n v="0.25"/>
    <n v="0.8"/>
    <n v="0.2"/>
    <n v="5730"/>
    <x v="6"/>
    <s v="TekNat"/>
    <x v="3"/>
    <n v="20757"/>
    <n v="36082"/>
    <n v="12405.650000000001"/>
    <n v="22600"/>
    <n v="5650"/>
    <n v="18055.650000000001"/>
    <n v="0"/>
    <n v="0"/>
    <n v="0"/>
    <n v="0"/>
    <n v="0"/>
    <n v="0.5"/>
    <n v="0"/>
    <n v="0.5"/>
    <n v="0"/>
    <n v="0"/>
    <n v="0"/>
    <n v="0"/>
    <s v="Äskat/Beslutat 200611 p.39"/>
    <m/>
    <n v="0"/>
    <n v="0"/>
    <n v="0"/>
    <n v="0"/>
    <n v="0"/>
    <n v="0"/>
    <n v="0"/>
    <n v="0"/>
    <n v="0"/>
    <n v="0"/>
    <n v="0.125"/>
    <n v="0.1"/>
    <n v="0"/>
    <n v="0"/>
    <n v="0.125"/>
    <n v="0.1"/>
    <n v="0"/>
    <n v="0"/>
    <n v="0"/>
    <n v="0"/>
    <n v="0"/>
    <n v="0"/>
    <n v="0"/>
    <n v="0"/>
  </r>
  <r>
    <x v="151"/>
    <x v="145"/>
    <m/>
    <x v="0"/>
    <s v="H17"/>
    <x v="1"/>
    <s v="H2116-20"/>
    <s v="Umeå"/>
    <m/>
    <s v="SAMK"/>
    <m/>
    <n v="1"/>
    <x v="0"/>
    <m/>
    <m/>
    <n v="1"/>
    <n v="0.125"/>
    <n v="0.85"/>
    <n v="0.10625"/>
    <n v="5730"/>
    <x v="6"/>
    <s v="TekNat"/>
    <x v="0"/>
    <n v="20757"/>
    <n v="36082"/>
    <n v="6428.3374999999996"/>
    <n v="22600"/>
    <n v="2825"/>
    <n v="9253.3374999999996"/>
    <n v="0"/>
    <n v="0"/>
    <n v="0"/>
    <n v="0"/>
    <n v="0"/>
    <n v="0.5"/>
    <n v="0"/>
    <n v="0.5"/>
    <n v="0"/>
    <n v="0"/>
    <n v="0"/>
    <n v="0"/>
    <s v="SP 210924"/>
    <m/>
    <n v="0"/>
    <n v="0"/>
    <n v="0"/>
    <n v="0"/>
    <n v="0"/>
    <n v="0"/>
    <n v="0"/>
    <n v="0"/>
    <n v="0"/>
    <n v="0"/>
    <n v="6.25E-2"/>
    <n v="5.3124999999999999E-2"/>
    <n v="0"/>
    <n v="0"/>
    <n v="6.25E-2"/>
    <n v="5.3124999999999999E-2"/>
    <n v="0"/>
    <n v="0"/>
    <n v="0"/>
    <n v="0"/>
    <n v="0"/>
    <n v="0"/>
    <n v="0"/>
    <n v="0"/>
  </r>
  <r>
    <x v="151"/>
    <x v="145"/>
    <m/>
    <x v="0"/>
    <s v="H18"/>
    <x v="1"/>
    <s v="H2116-20"/>
    <s v="Umeå"/>
    <m/>
    <s v="BIOL"/>
    <m/>
    <n v="1"/>
    <x v="0"/>
    <m/>
    <m/>
    <n v="1"/>
    <n v="0.125"/>
    <n v="0.85"/>
    <n v="0.10625"/>
    <n v="5730"/>
    <x v="6"/>
    <s v="TekNat"/>
    <x v="0"/>
    <n v="20757"/>
    <n v="36082"/>
    <n v="6428.3374999999996"/>
    <n v="22600"/>
    <n v="2825"/>
    <n v="9253.3374999999996"/>
    <n v="0"/>
    <n v="0"/>
    <n v="0"/>
    <n v="0"/>
    <n v="0"/>
    <n v="0.5"/>
    <n v="0"/>
    <n v="0.5"/>
    <n v="0"/>
    <n v="0"/>
    <n v="0"/>
    <n v="0"/>
    <s v="SP 210924"/>
    <m/>
    <n v="0"/>
    <n v="0"/>
    <n v="0"/>
    <n v="0"/>
    <n v="0"/>
    <n v="0"/>
    <n v="0"/>
    <n v="0"/>
    <n v="0"/>
    <n v="0"/>
    <n v="6.25E-2"/>
    <n v="5.3124999999999999E-2"/>
    <n v="0"/>
    <n v="0"/>
    <n v="6.25E-2"/>
    <n v="5.3124999999999999E-2"/>
    <n v="0"/>
    <n v="0"/>
    <n v="0"/>
    <n v="0"/>
    <n v="0"/>
    <n v="0"/>
    <n v="0"/>
    <n v="0"/>
  </r>
  <r>
    <x v="151"/>
    <x v="145"/>
    <m/>
    <x v="0"/>
    <s v="H18"/>
    <x v="1"/>
    <s v="H2116-20"/>
    <s v="Umeå"/>
    <m/>
    <s v="IDRH"/>
    <m/>
    <n v="1"/>
    <x v="0"/>
    <m/>
    <m/>
    <n v="2"/>
    <n v="0.25"/>
    <n v="0.85"/>
    <n v="0.21249999999999999"/>
    <n v="5730"/>
    <x v="6"/>
    <s v="TekNat"/>
    <x v="0"/>
    <n v="20757"/>
    <n v="36082"/>
    <n v="12856.674999999999"/>
    <n v="22600"/>
    <n v="5650"/>
    <n v="18506.674999999999"/>
    <n v="0"/>
    <n v="0"/>
    <n v="0"/>
    <n v="0"/>
    <n v="0"/>
    <n v="0.5"/>
    <n v="0"/>
    <n v="0.5"/>
    <n v="0"/>
    <n v="0"/>
    <n v="0"/>
    <n v="0"/>
    <s v="SP 210924"/>
    <m/>
    <n v="0"/>
    <n v="0"/>
    <n v="0"/>
    <n v="0"/>
    <n v="0"/>
    <n v="0"/>
    <n v="0"/>
    <n v="0"/>
    <n v="0"/>
    <n v="0"/>
    <n v="0.125"/>
    <n v="0.10625"/>
    <n v="0"/>
    <n v="0"/>
    <n v="0.125"/>
    <n v="0.10625"/>
    <n v="0"/>
    <n v="0"/>
    <n v="0"/>
    <n v="0"/>
    <n v="0"/>
    <n v="0"/>
    <n v="0"/>
    <n v="0"/>
  </r>
  <r>
    <x v="151"/>
    <x v="145"/>
    <m/>
    <x v="0"/>
    <s v="H18"/>
    <x v="1"/>
    <s v="H2116-20"/>
    <s v="Umeå"/>
    <m/>
    <s v="SAMK"/>
    <m/>
    <n v="1"/>
    <x v="0"/>
    <m/>
    <m/>
    <n v="1"/>
    <n v="0.125"/>
    <n v="0.85"/>
    <n v="0.10625"/>
    <n v="5730"/>
    <x v="6"/>
    <s v="TekNat"/>
    <x v="0"/>
    <n v="20757"/>
    <n v="36082"/>
    <n v="6428.3374999999996"/>
    <n v="22600"/>
    <n v="2825"/>
    <n v="9253.3374999999996"/>
    <n v="0"/>
    <n v="0"/>
    <n v="0"/>
    <n v="0"/>
    <n v="0"/>
    <n v="0.5"/>
    <n v="0"/>
    <n v="0.5"/>
    <n v="0"/>
    <n v="0"/>
    <n v="0"/>
    <n v="0"/>
    <s v="SP 210924"/>
    <m/>
    <n v="0"/>
    <n v="0"/>
    <n v="0"/>
    <n v="0"/>
    <n v="0"/>
    <n v="0"/>
    <n v="0"/>
    <n v="0"/>
    <n v="0"/>
    <n v="0"/>
    <n v="6.25E-2"/>
    <n v="5.3124999999999999E-2"/>
    <n v="0"/>
    <n v="0"/>
    <n v="6.25E-2"/>
    <n v="5.3124999999999999E-2"/>
    <n v="0"/>
    <n v="0"/>
    <n v="0"/>
    <n v="0"/>
    <n v="0"/>
    <n v="0"/>
    <n v="0"/>
    <n v="0"/>
  </r>
  <r>
    <x v="151"/>
    <x v="145"/>
    <m/>
    <x v="0"/>
    <s v="H19"/>
    <x v="1"/>
    <s v="H2116-20"/>
    <s v="Umeå"/>
    <m/>
    <s v="MATT"/>
    <m/>
    <n v="1"/>
    <x v="0"/>
    <m/>
    <m/>
    <n v="1"/>
    <n v="0.125"/>
    <n v="0.85"/>
    <n v="0.10625"/>
    <n v="5730"/>
    <x v="6"/>
    <s v="TekNat"/>
    <x v="0"/>
    <n v="20757"/>
    <n v="36082"/>
    <n v="6428.3374999999996"/>
    <n v="22600"/>
    <n v="2825"/>
    <n v="9253.3374999999996"/>
    <n v="0"/>
    <n v="0"/>
    <n v="0"/>
    <n v="0"/>
    <n v="0"/>
    <n v="0.5"/>
    <n v="0"/>
    <n v="0.5"/>
    <n v="0"/>
    <n v="0"/>
    <n v="0"/>
    <n v="0"/>
    <s v="SP 210924"/>
    <m/>
    <n v="0"/>
    <n v="0"/>
    <n v="0"/>
    <n v="0"/>
    <n v="0"/>
    <n v="0"/>
    <n v="0"/>
    <n v="0"/>
    <n v="0"/>
    <n v="0"/>
    <n v="6.25E-2"/>
    <n v="5.3124999999999999E-2"/>
    <n v="0"/>
    <n v="0"/>
    <n v="6.25E-2"/>
    <n v="5.3124999999999999E-2"/>
    <n v="0"/>
    <n v="0"/>
    <n v="0"/>
    <n v="0"/>
    <n v="0"/>
    <n v="0"/>
    <n v="0"/>
    <n v="0"/>
  </r>
  <r>
    <x v="151"/>
    <x v="145"/>
    <m/>
    <x v="0"/>
    <s v="H20"/>
    <x v="1"/>
    <s v="H2116-20"/>
    <s v="Umeå"/>
    <m/>
    <s v="MATT"/>
    <m/>
    <n v="1"/>
    <x v="0"/>
    <m/>
    <m/>
    <n v="18"/>
    <n v="2.25"/>
    <n v="0.85"/>
    <n v="1.9124999999999999"/>
    <n v="5730"/>
    <x v="6"/>
    <s v="TekNat"/>
    <x v="0"/>
    <n v="20757"/>
    <n v="36082"/>
    <n v="115710.075"/>
    <n v="22600"/>
    <n v="50850"/>
    <n v="166560.07500000001"/>
    <n v="0"/>
    <n v="0"/>
    <n v="0"/>
    <n v="0"/>
    <n v="0"/>
    <n v="0.5"/>
    <n v="0"/>
    <n v="0.5"/>
    <n v="0"/>
    <n v="0"/>
    <n v="0"/>
    <n v="0"/>
    <s v="SP 210924"/>
    <m/>
    <n v="0"/>
    <n v="0"/>
    <n v="0"/>
    <n v="0"/>
    <n v="0"/>
    <n v="0"/>
    <n v="0"/>
    <n v="0"/>
    <n v="0"/>
    <n v="0"/>
    <n v="1.125"/>
    <n v="0.95624999999999993"/>
    <n v="0"/>
    <n v="0"/>
    <n v="1.125"/>
    <n v="0.95624999999999993"/>
    <n v="0"/>
    <n v="0"/>
    <n v="0"/>
    <n v="0"/>
    <n v="0"/>
    <n v="0"/>
    <n v="0"/>
    <n v="0"/>
  </r>
  <r>
    <x v="152"/>
    <x v="146"/>
    <n v="75802"/>
    <x v="6"/>
    <m/>
    <x v="0"/>
    <m/>
    <s v="Umeå"/>
    <s v="Normal"/>
    <s v="MATT"/>
    <m/>
    <m/>
    <x v="0"/>
    <m/>
    <m/>
    <n v="1"/>
    <n v="0.125"/>
    <n v="0.85"/>
    <n v="0.10625"/>
    <n v="5730"/>
    <x v="6"/>
    <s v="TekNat"/>
    <x v="6"/>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152"/>
    <x v="146"/>
    <n v="75802"/>
    <x v="0"/>
    <m/>
    <x v="0"/>
    <m/>
    <s v="Umeå"/>
    <s v="Normal"/>
    <s v="MATT"/>
    <m/>
    <m/>
    <x v="0"/>
    <m/>
    <m/>
    <n v="1"/>
    <n v="0.125"/>
    <n v="0.85"/>
    <n v="0.10625"/>
    <n v="5730"/>
    <x v="6"/>
    <s v="TekNat"/>
    <x v="0"/>
    <n v="20757"/>
    <n v="36082"/>
    <n v="6428.3374999999996"/>
    <n v="22600"/>
    <n v="2825"/>
    <n v="9253.3374999999996"/>
    <n v="0"/>
    <n v="0"/>
    <n v="0"/>
    <n v="0"/>
    <n v="0"/>
    <n v="0.5"/>
    <n v="0"/>
    <n v="0.5"/>
    <n v="0"/>
    <n v="0"/>
    <n v="0"/>
    <n v="0"/>
    <s v="Enl Fokus-Ladok 210601"/>
    <m/>
    <n v="0"/>
    <n v="0"/>
    <n v="0"/>
    <n v="0"/>
    <n v="0"/>
    <n v="0"/>
    <n v="0"/>
    <n v="0"/>
    <n v="0"/>
    <n v="0"/>
    <n v="6.25E-2"/>
    <n v="5.3124999999999999E-2"/>
    <n v="0"/>
    <n v="0"/>
    <n v="6.25E-2"/>
    <n v="5.3124999999999999E-2"/>
    <n v="0"/>
    <n v="0"/>
    <n v="0"/>
    <n v="0"/>
    <n v="0"/>
    <n v="0"/>
    <n v="0"/>
    <n v="0"/>
  </r>
  <r>
    <x v="153"/>
    <x v="147"/>
    <m/>
    <x v="0"/>
    <s v="H18"/>
    <x v="1"/>
    <s v="H211-5"/>
    <s v="Umeå"/>
    <m/>
    <s v="SAMK"/>
    <m/>
    <n v="1"/>
    <x v="0"/>
    <m/>
    <m/>
    <n v="1"/>
    <n v="0.125"/>
    <n v="0.85"/>
    <n v="0.10625"/>
    <n v="5730"/>
    <x v="6"/>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53"/>
    <x v="147"/>
    <m/>
    <x v="0"/>
    <s v="H19"/>
    <x v="1"/>
    <s v="H211-5"/>
    <s v="Umeå"/>
    <m/>
    <s v="MATT"/>
    <m/>
    <n v="1"/>
    <x v="0"/>
    <m/>
    <m/>
    <n v="1"/>
    <n v="0.125"/>
    <n v="0.85"/>
    <n v="0.10625"/>
    <n v="5730"/>
    <x v="6"/>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54"/>
    <x v="148"/>
    <m/>
    <x v="0"/>
    <s v="H15"/>
    <x v="1"/>
    <s v="H2113-16"/>
    <s v="Umeå"/>
    <m/>
    <s v="MATT"/>
    <m/>
    <n v="1"/>
    <x v="4"/>
    <m/>
    <m/>
    <n v="1"/>
    <n v="0.1"/>
    <n v="0.85"/>
    <n v="8.5000000000000006E-2"/>
    <n v="5730"/>
    <x v="6"/>
    <s v="TekNat"/>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154"/>
    <x v="148"/>
    <m/>
    <x v="0"/>
    <s v="H18"/>
    <x v="1"/>
    <s v="H2113-16"/>
    <s v="Umeå"/>
    <m/>
    <s v="MATT"/>
    <m/>
    <n v="1"/>
    <x v="4"/>
    <m/>
    <m/>
    <n v="1"/>
    <n v="0.1"/>
    <n v="0.85"/>
    <n v="8.5000000000000006E-2"/>
    <n v="5730"/>
    <x v="6"/>
    <s v="TekNat"/>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154"/>
    <x v="148"/>
    <m/>
    <x v="0"/>
    <s v="H19"/>
    <x v="1"/>
    <s v="H2113-16"/>
    <s v="Umeå"/>
    <m/>
    <s v="MATT"/>
    <m/>
    <n v="1"/>
    <x v="4"/>
    <m/>
    <m/>
    <n v="8"/>
    <n v="0.8"/>
    <n v="0.85"/>
    <n v="0.68"/>
    <n v="5730"/>
    <x v="6"/>
    <s v="TekNat"/>
    <x v="0"/>
    <n v="25235"/>
    <n v="27976"/>
    <n v="39211.68"/>
    <n v="3600"/>
    <n v="2880"/>
    <n v="42091.68"/>
    <n v="0"/>
    <n v="0"/>
    <n v="0"/>
    <n v="0"/>
    <n v="0"/>
    <n v="0"/>
    <n v="0"/>
    <n v="0"/>
    <n v="1"/>
    <n v="0"/>
    <n v="0"/>
    <n v="0"/>
    <s v="SP 210924"/>
    <m/>
    <n v="0"/>
    <n v="0"/>
    <n v="0"/>
    <n v="0"/>
    <n v="0"/>
    <n v="0"/>
    <n v="0"/>
    <n v="0"/>
    <n v="0"/>
    <n v="0"/>
    <n v="0"/>
    <n v="0"/>
    <n v="0"/>
    <n v="0"/>
    <n v="0"/>
    <n v="0"/>
    <n v="0.8"/>
    <n v="0.68"/>
    <n v="0"/>
    <n v="0"/>
    <n v="0"/>
    <n v="0"/>
    <n v="0"/>
    <n v="0"/>
  </r>
  <r>
    <x v="155"/>
    <x v="149"/>
    <m/>
    <x v="3"/>
    <m/>
    <x v="1"/>
    <m/>
    <m/>
    <s v="Campus"/>
    <m/>
    <m/>
    <n v="1"/>
    <x v="0"/>
    <m/>
    <m/>
    <n v="2"/>
    <n v="0.25"/>
    <n v="0.8"/>
    <n v="0.2"/>
    <n v="5730"/>
    <x v="6"/>
    <s v="TekNat"/>
    <x v="3"/>
    <n v="20757"/>
    <n v="36082"/>
    <n v="12405.650000000001"/>
    <n v="22600"/>
    <n v="5650"/>
    <n v="18055.650000000001"/>
    <n v="0"/>
    <n v="0"/>
    <n v="0"/>
    <n v="0"/>
    <n v="0"/>
    <n v="0.5"/>
    <n v="0"/>
    <n v="0.5"/>
    <n v="0"/>
    <n v="0"/>
    <n v="0"/>
    <n v="0"/>
    <s v="Äskat/Beslutat 200611 p.39"/>
    <m/>
    <n v="0"/>
    <n v="0"/>
    <n v="0"/>
    <n v="0"/>
    <n v="0"/>
    <n v="0"/>
    <n v="0"/>
    <n v="0"/>
    <n v="0"/>
    <n v="0"/>
    <n v="0.125"/>
    <n v="0.1"/>
    <n v="0"/>
    <n v="0"/>
    <n v="0.125"/>
    <n v="0.1"/>
    <n v="0"/>
    <n v="0"/>
    <n v="0"/>
    <n v="0"/>
    <n v="0"/>
    <n v="0"/>
    <n v="0"/>
    <n v="0"/>
  </r>
  <r>
    <x v="156"/>
    <x v="147"/>
    <m/>
    <x v="3"/>
    <m/>
    <x v="1"/>
    <m/>
    <m/>
    <s v="Campus"/>
    <m/>
    <m/>
    <n v="1"/>
    <x v="0"/>
    <m/>
    <m/>
    <n v="8"/>
    <n v="1"/>
    <n v="0.8"/>
    <n v="0.8"/>
    <n v="5730"/>
    <x v="6"/>
    <s v="TekNat"/>
    <x v="3"/>
    <n v="20757"/>
    <n v="36082"/>
    <n v="49622.600000000006"/>
    <n v="22600"/>
    <n v="22600"/>
    <n v="72222.600000000006"/>
    <n v="0"/>
    <n v="0"/>
    <n v="0"/>
    <n v="0"/>
    <n v="0"/>
    <n v="1"/>
    <n v="0"/>
    <n v="0"/>
    <n v="0"/>
    <n v="0"/>
    <n v="0"/>
    <n v="0"/>
    <s v="Äskat/Beslutat 200611 p.39"/>
    <m/>
    <n v="0"/>
    <n v="0"/>
    <n v="0"/>
    <n v="0"/>
    <n v="0"/>
    <n v="0"/>
    <n v="0"/>
    <n v="0"/>
    <n v="0"/>
    <n v="0"/>
    <n v="1"/>
    <n v="0.8"/>
    <n v="0"/>
    <n v="0"/>
    <n v="0"/>
    <n v="0"/>
    <n v="0"/>
    <n v="0"/>
    <n v="0"/>
    <n v="0"/>
    <n v="0"/>
    <n v="0"/>
    <n v="0"/>
    <n v="0"/>
  </r>
  <r>
    <x v="156"/>
    <x v="147"/>
    <m/>
    <x v="0"/>
    <s v="H17"/>
    <x v="1"/>
    <s v="H211-5"/>
    <s v="Umeå"/>
    <m/>
    <s v="SAMK"/>
    <m/>
    <n v="1"/>
    <x v="0"/>
    <m/>
    <m/>
    <n v="1"/>
    <n v="0.125"/>
    <n v="0.85"/>
    <n v="0.10625"/>
    <n v="5730"/>
    <x v="6"/>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56"/>
    <x v="147"/>
    <m/>
    <x v="0"/>
    <s v="H18"/>
    <x v="1"/>
    <s v="H211-5"/>
    <s v="Umeå"/>
    <m/>
    <s v="BIOL"/>
    <m/>
    <n v="1"/>
    <x v="0"/>
    <m/>
    <m/>
    <n v="1"/>
    <n v="0.125"/>
    <n v="0.85"/>
    <n v="0.10625"/>
    <n v="5730"/>
    <x v="6"/>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56"/>
    <x v="147"/>
    <m/>
    <x v="0"/>
    <s v="H18"/>
    <x v="1"/>
    <s v="H211-5"/>
    <s v="Umeå"/>
    <m/>
    <s v="IDRH"/>
    <m/>
    <n v="1"/>
    <x v="0"/>
    <m/>
    <m/>
    <n v="2"/>
    <n v="0.25"/>
    <n v="0.85"/>
    <n v="0.21249999999999999"/>
    <n v="5730"/>
    <x v="6"/>
    <s v="TekNat"/>
    <x v="0"/>
    <n v="20757"/>
    <n v="36082"/>
    <n v="12856.674999999999"/>
    <n v="22600"/>
    <n v="5650"/>
    <n v="18506.674999999999"/>
    <n v="0"/>
    <n v="0"/>
    <n v="0"/>
    <n v="0"/>
    <n v="0"/>
    <n v="1"/>
    <n v="0"/>
    <n v="0"/>
    <n v="0"/>
    <n v="0"/>
    <n v="0"/>
    <n v="0"/>
    <s v="SP 210924"/>
    <m/>
    <n v="0"/>
    <n v="0"/>
    <n v="0"/>
    <n v="0"/>
    <n v="0"/>
    <n v="0"/>
    <n v="0"/>
    <n v="0"/>
    <n v="0"/>
    <n v="0"/>
    <n v="0.25"/>
    <n v="0.21249999999999999"/>
    <n v="0"/>
    <n v="0"/>
    <n v="0"/>
    <n v="0"/>
    <n v="0"/>
    <n v="0"/>
    <n v="0"/>
    <n v="0"/>
    <n v="0"/>
    <n v="0"/>
    <n v="0"/>
    <n v="0"/>
  </r>
  <r>
    <x v="156"/>
    <x v="147"/>
    <m/>
    <x v="0"/>
    <s v="H20"/>
    <x v="1"/>
    <s v="H211-5"/>
    <s v="Umeå"/>
    <m/>
    <s v="MATT"/>
    <m/>
    <n v="1"/>
    <x v="0"/>
    <m/>
    <m/>
    <n v="17"/>
    <n v="2.125"/>
    <n v="0.85"/>
    <n v="1.8062499999999999"/>
    <n v="5730"/>
    <x v="6"/>
    <s v="TekNat"/>
    <x v="0"/>
    <n v="20757"/>
    <n v="36082"/>
    <n v="109281.73749999999"/>
    <n v="22600"/>
    <n v="48025"/>
    <n v="157306.73749999999"/>
    <n v="0"/>
    <n v="0"/>
    <n v="0"/>
    <n v="0"/>
    <n v="0"/>
    <n v="1"/>
    <n v="0"/>
    <n v="0"/>
    <n v="0"/>
    <n v="0"/>
    <n v="0"/>
    <n v="0"/>
    <s v="SP 210924"/>
    <m/>
    <n v="0"/>
    <n v="0"/>
    <n v="0"/>
    <n v="0"/>
    <n v="0"/>
    <n v="0"/>
    <n v="0"/>
    <n v="0"/>
    <n v="0"/>
    <n v="0"/>
    <n v="2.125"/>
    <n v="1.8062499999999999"/>
    <n v="0"/>
    <n v="0"/>
    <n v="0"/>
    <n v="0"/>
    <n v="0"/>
    <n v="0"/>
    <n v="0"/>
    <n v="0"/>
    <n v="0"/>
    <n v="0"/>
    <n v="0"/>
    <n v="0"/>
  </r>
  <r>
    <x v="157"/>
    <x v="150"/>
    <m/>
    <x v="4"/>
    <s v="H20"/>
    <x v="1"/>
    <s v="H211-5"/>
    <s v="Umeå"/>
    <s v="Campus"/>
    <m/>
    <m/>
    <n v="1"/>
    <x v="0"/>
    <m/>
    <m/>
    <n v="47"/>
    <n v="5.875"/>
    <n v="0.85"/>
    <n v="4.9937499999999995"/>
    <n v="5730"/>
    <x v="6"/>
    <s v="TekNat"/>
    <x v="4"/>
    <n v="20757"/>
    <n v="36082"/>
    <n v="302131.86249999999"/>
    <n v="22600"/>
    <n v="132775"/>
    <n v="434906.86249999999"/>
    <n v="0"/>
    <n v="0"/>
    <n v="0"/>
    <n v="0"/>
    <n v="0"/>
    <n v="1"/>
    <n v="0"/>
    <n v="0"/>
    <n v="0"/>
    <n v="0"/>
    <n v="0"/>
    <n v="0"/>
    <s v="SP 210923"/>
    <m/>
    <n v="0"/>
    <n v="0"/>
    <n v="0"/>
    <n v="0"/>
    <n v="0"/>
    <n v="0"/>
    <n v="0"/>
    <n v="0"/>
    <n v="0"/>
    <n v="0"/>
    <n v="5.875"/>
    <n v="4.9937499999999995"/>
    <n v="0"/>
    <n v="0"/>
    <n v="0"/>
    <n v="0"/>
    <n v="0"/>
    <n v="0"/>
    <n v="0"/>
    <n v="0"/>
    <n v="0"/>
    <n v="0"/>
    <n v="0"/>
    <n v="0"/>
  </r>
  <r>
    <x v="157"/>
    <x v="150"/>
    <m/>
    <x v="4"/>
    <s v="V18"/>
    <x v="1"/>
    <s v="H211-5"/>
    <s v="Umeå"/>
    <s v="Campus"/>
    <m/>
    <m/>
    <n v="1"/>
    <x v="0"/>
    <m/>
    <m/>
    <n v="1"/>
    <n v="0.125"/>
    <n v="0.85"/>
    <n v="0.10625"/>
    <n v="5730"/>
    <x v="6"/>
    <s v="TekNat"/>
    <x v="4"/>
    <n v="20757"/>
    <n v="36082"/>
    <n v="6428.3374999999996"/>
    <n v="22600"/>
    <n v="2825"/>
    <n v="9253.3374999999996"/>
    <n v="0"/>
    <n v="0"/>
    <n v="0"/>
    <n v="0"/>
    <n v="0"/>
    <n v="1"/>
    <n v="0"/>
    <n v="0"/>
    <n v="0"/>
    <n v="0"/>
    <n v="0"/>
    <n v="0"/>
    <s v="SP 210923"/>
    <m/>
    <n v="0"/>
    <n v="0"/>
    <n v="0"/>
    <n v="0"/>
    <n v="0"/>
    <n v="0"/>
    <n v="0"/>
    <n v="0"/>
    <n v="0"/>
    <n v="0"/>
    <n v="0.125"/>
    <n v="0.10625"/>
    <n v="0"/>
    <n v="0"/>
    <n v="0"/>
    <n v="0"/>
    <n v="0"/>
    <n v="0"/>
    <n v="0"/>
    <n v="0"/>
    <n v="0"/>
    <n v="0"/>
    <n v="0"/>
    <n v="0"/>
  </r>
  <r>
    <x v="158"/>
    <x v="151"/>
    <m/>
    <x v="0"/>
    <s v="H16"/>
    <x v="1"/>
    <s v="H2116-20:V221-15"/>
    <s v="Umeå"/>
    <m/>
    <s v="MATT"/>
    <m/>
    <n v="1"/>
    <x v="0"/>
    <m/>
    <m/>
    <n v="2"/>
    <n v="0.25"/>
    <n v="0.85"/>
    <n v="0.21249999999999999"/>
    <n v="5740"/>
    <x v="7"/>
    <s v="TekNat"/>
    <x v="0"/>
    <n v="20757"/>
    <n v="36082"/>
    <n v="12856.674999999999"/>
    <n v="22600"/>
    <n v="5650"/>
    <n v="18506.674999999999"/>
    <n v="0"/>
    <n v="0"/>
    <n v="0"/>
    <n v="0"/>
    <n v="0"/>
    <n v="1"/>
    <n v="0"/>
    <n v="0"/>
    <n v="0"/>
    <n v="0"/>
    <n v="0"/>
    <n v="0"/>
    <s v="SP 210924"/>
    <s v="Läser 7,5 av 30 hp denna termin"/>
    <n v="0"/>
    <n v="0"/>
    <n v="0"/>
    <n v="0"/>
    <n v="0"/>
    <n v="0"/>
    <n v="0"/>
    <n v="0"/>
    <n v="0"/>
    <n v="0"/>
    <n v="0.25"/>
    <n v="0.21249999999999999"/>
    <n v="0"/>
    <n v="0"/>
    <n v="0"/>
    <n v="0"/>
    <n v="0"/>
    <n v="0"/>
    <n v="0"/>
    <n v="0"/>
    <n v="0"/>
    <n v="0"/>
    <n v="0"/>
    <n v="0"/>
  </r>
  <r>
    <x v="158"/>
    <x v="151"/>
    <m/>
    <x v="0"/>
    <s v="H17"/>
    <x v="1"/>
    <s v="H2116-20:V221-15"/>
    <s v="Umeå"/>
    <m/>
    <s v="MATT"/>
    <m/>
    <n v="1"/>
    <x v="0"/>
    <m/>
    <m/>
    <n v="9"/>
    <n v="1.125"/>
    <n v="0.85"/>
    <n v="0.95624999999999993"/>
    <n v="5740"/>
    <x v="7"/>
    <s v="TekNat"/>
    <x v="0"/>
    <n v="20757"/>
    <n v="36082"/>
    <n v="57855.037499999999"/>
    <n v="22600"/>
    <n v="25425"/>
    <n v="83280.037500000006"/>
    <n v="0"/>
    <n v="0"/>
    <n v="0"/>
    <n v="0"/>
    <n v="0"/>
    <n v="1"/>
    <n v="0"/>
    <n v="0"/>
    <n v="0"/>
    <n v="0"/>
    <n v="0"/>
    <n v="0"/>
    <s v="SP 210924"/>
    <s v="Läser 7,5 av 30 hp denna termin"/>
    <n v="0"/>
    <n v="0"/>
    <n v="0"/>
    <n v="0"/>
    <n v="0"/>
    <n v="0"/>
    <n v="0"/>
    <n v="0"/>
    <n v="0"/>
    <n v="0"/>
    <n v="1.125"/>
    <n v="0.95624999999999993"/>
    <n v="0"/>
    <n v="0"/>
    <n v="0"/>
    <n v="0"/>
    <n v="0"/>
    <n v="0"/>
    <n v="0"/>
    <n v="0"/>
    <n v="0"/>
    <n v="0"/>
    <n v="0"/>
    <n v="0"/>
  </r>
  <r>
    <x v="158"/>
    <x v="151"/>
    <m/>
    <x v="0"/>
    <s v="V21"/>
    <x v="1"/>
    <s v="H2116-20:V221-15"/>
    <s v="Umeå"/>
    <m/>
    <s v="MATT"/>
    <m/>
    <n v="1"/>
    <x v="0"/>
    <m/>
    <m/>
    <n v="1"/>
    <n v="0.125"/>
    <n v="0.85"/>
    <n v="0.10625"/>
    <n v="5740"/>
    <x v="7"/>
    <s v="TekNat"/>
    <x v="0"/>
    <n v="20757"/>
    <n v="36082"/>
    <n v="6428.3374999999996"/>
    <n v="22600"/>
    <n v="2825"/>
    <n v="9253.3374999999996"/>
    <n v="0"/>
    <n v="0"/>
    <n v="0"/>
    <n v="0"/>
    <n v="0"/>
    <n v="1"/>
    <n v="0"/>
    <n v="0"/>
    <n v="0"/>
    <n v="0"/>
    <n v="0"/>
    <n v="0"/>
    <s v="SP 210924"/>
    <s v="Läser 7,5 av 30 hp denna termin"/>
    <n v="0"/>
    <n v="0"/>
    <n v="0"/>
    <n v="0"/>
    <n v="0"/>
    <n v="0"/>
    <n v="0"/>
    <n v="0"/>
    <n v="0"/>
    <n v="0"/>
    <n v="0.125"/>
    <n v="0.10625"/>
    <n v="0"/>
    <n v="0"/>
    <n v="0"/>
    <n v="0"/>
    <n v="0"/>
    <n v="0"/>
    <n v="0"/>
    <n v="0"/>
    <n v="0"/>
    <n v="0"/>
    <n v="0"/>
    <n v="0"/>
  </r>
  <r>
    <x v="159"/>
    <x v="152"/>
    <n v="61514"/>
    <x v="4"/>
    <m/>
    <x v="0"/>
    <m/>
    <s v="Umeå"/>
    <s v="Normal"/>
    <m/>
    <m/>
    <m/>
    <x v="0"/>
    <m/>
    <m/>
    <n v="51"/>
    <n v="6.375"/>
    <n v="0.85"/>
    <n v="5.4187500000000002"/>
    <n v="5740"/>
    <x v="7"/>
    <s v="TekNat"/>
    <x v="4"/>
    <n v="20757"/>
    <n v="36082"/>
    <n v="327845.21250000002"/>
    <n v="22600"/>
    <n v="144075"/>
    <n v="471920.21250000002"/>
    <n v="0"/>
    <n v="0"/>
    <n v="0"/>
    <n v="0"/>
    <n v="0"/>
    <n v="1"/>
    <n v="0"/>
    <n v="0"/>
    <n v="0"/>
    <n v="0"/>
    <n v="0"/>
    <n v="0"/>
    <s v="Enl Fokus-Ladok 210601"/>
    <m/>
    <n v="0"/>
    <n v="0"/>
    <n v="0"/>
    <n v="0"/>
    <n v="0"/>
    <n v="0"/>
    <n v="0"/>
    <n v="0"/>
    <n v="0"/>
    <n v="0"/>
    <n v="6.375"/>
    <n v="5.4187500000000002"/>
    <n v="0"/>
    <n v="0"/>
    <n v="0"/>
    <n v="0"/>
    <n v="0"/>
    <n v="0"/>
    <n v="0"/>
    <n v="0"/>
    <n v="0"/>
    <n v="0"/>
    <n v="0"/>
    <n v="0"/>
  </r>
  <r>
    <x v="160"/>
    <x v="153"/>
    <m/>
    <x v="4"/>
    <s v="H20"/>
    <x v="1"/>
    <s v="H216-10"/>
    <s v="Umeå"/>
    <s v="Campus"/>
    <m/>
    <m/>
    <n v="1"/>
    <x v="0"/>
    <m/>
    <m/>
    <n v="47"/>
    <n v="5.875"/>
    <n v="0.85"/>
    <n v="4.9937499999999995"/>
    <n v="5740"/>
    <x v="7"/>
    <s v="TekNat"/>
    <x v="4"/>
    <n v="20757"/>
    <n v="36082"/>
    <n v="302131.86249999999"/>
    <n v="22600"/>
    <n v="132775"/>
    <n v="434906.86249999999"/>
    <n v="0"/>
    <n v="0"/>
    <n v="0"/>
    <n v="0"/>
    <n v="0"/>
    <n v="1"/>
    <n v="0"/>
    <n v="0"/>
    <n v="0"/>
    <n v="0"/>
    <n v="0"/>
    <n v="0"/>
    <s v="SP 210923"/>
    <m/>
    <n v="0"/>
    <n v="0"/>
    <n v="0"/>
    <n v="0"/>
    <n v="0"/>
    <n v="0"/>
    <n v="0"/>
    <n v="0"/>
    <n v="0"/>
    <n v="0"/>
    <n v="5.875"/>
    <n v="4.9937499999999995"/>
    <n v="0"/>
    <n v="0"/>
    <n v="0"/>
    <n v="0"/>
    <n v="0"/>
    <n v="0"/>
    <n v="0"/>
    <n v="0"/>
    <n v="0"/>
    <n v="0"/>
    <n v="0"/>
    <n v="0"/>
  </r>
  <r>
    <x v="161"/>
    <x v="154"/>
    <m/>
    <x v="4"/>
    <s v="H18"/>
    <x v="1"/>
    <s v="H2116-20"/>
    <s v="Umeå"/>
    <s v="Campus"/>
    <m/>
    <m/>
    <n v="1"/>
    <x v="0"/>
    <m/>
    <m/>
    <n v="1"/>
    <n v="0.125"/>
    <n v="0.85"/>
    <n v="0.10625"/>
    <n v="5740"/>
    <x v="7"/>
    <s v="TekNat"/>
    <x v="4"/>
    <n v="20757"/>
    <n v="36082"/>
    <n v="6428.3374999999996"/>
    <n v="22600"/>
    <n v="2825"/>
    <n v="9253.3374999999996"/>
    <n v="0"/>
    <n v="0"/>
    <n v="0"/>
    <n v="0"/>
    <n v="0"/>
    <n v="1"/>
    <n v="0"/>
    <n v="0"/>
    <n v="0"/>
    <n v="0"/>
    <n v="0"/>
    <n v="0"/>
    <s v="SP 210923"/>
    <m/>
    <n v="0"/>
    <n v="0"/>
    <n v="0"/>
    <n v="0"/>
    <n v="0"/>
    <n v="0"/>
    <n v="0"/>
    <n v="0"/>
    <n v="0"/>
    <n v="0"/>
    <n v="0.125"/>
    <n v="0.10625"/>
    <n v="0"/>
    <n v="0"/>
    <n v="0"/>
    <n v="0"/>
    <n v="0"/>
    <n v="0"/>
    <n v="0"/>
    <n v="0"/>
    <n v="0"/>
    <n v="0"/>
    <n v="0"/>
    <n v="0"/>
  </r>
  <r>
    <x v="161"/>
    <x v="154"/>
    <m/>
    <x v="4"/>
    <s v="H19"/>
    <x v="1"/>
    <s v="H2116-20"/>
    <s v="Umeå"/>
    <s v="Campus"/>
    <m/>
    <m/>
    <n v="1"/>
    <x v="0"/>
    <m/>
    <m/>
    <n v="35"/>
    <n v="4.375"/>
    <n v="0.85"/>
    <n v="3.71875"/>
    <n v="5740"/>
    <x v="7"/>
    <s v="TekNat"/>
    <x v="4"/>
    <n v="20757"/>
    <n v="36082"/>
    <n v="224991.8125"/>
    <n v="22600"/>
    <n v="98875"/>
    <n v="323866.8125"/>
    <n v="0"/>
    <n v="0"/>
    <n v="0"/>
    <n v="0"/>
    <n v="0"/>
    <n v="1"/>
    <n v="0"/>
    <n v="0"/>
    <n v="0"/>
    <n v="0"/>
    <n v="0"/>
    <n v="0"/>
    <s v="SP 210923"/>
    <m/>
    <n v="0"/>
    <n v="0"/>
    <n v="0"/>
    <n v="0"/>
    <n v="0"/>
    <n v="0"/>
    <n v="0"/>
    <n v="0"/>
    <n v="0"/>
    <n v="0"/>
    <n v="4.375"/>
    <n v="3.71875"/>
    <n v="0"/>
    <n v="0"/>
    <n v="0"/>
    <n v="0"/>
    <n v="0"/>
    <n v="0"/>
    <n v="0"/>
    <n v="0"/>
    <n v="0"/>
    <n v="0"/>
    <n v="0"/>
    <n v="0"/>
  </r>
  <r>
    <x v="161"/>
    <x v="154"/>
    <m/>
    <x v="4"/>
    <s v="H20"/>
    <x v="1"/>
    <s v="H2116-20"/>
    <s v="Umeå"/>
    <s v="Campus"/>
    <m/>
    <m/>
    <n v="1"/>
    <x v="0"/>
    <m/>
    <m/>
    <n v="1"/>
    <n v="0.125"/>
    <n v="0.85"/>
    <n v="0.10625"/>
    <n v="5740"/>
    <x v="7"/>
    <s v="TekNat"/>
    <x v="4"/>
    <n v="20757"/>
    <n v="36082"/>
    <n v="6428.3374999999996"/>
    <n v="22600"/>
    <n v="2825"/>
    <n v="9253.3374999999996"/>
    <n v="0"/>
    <n v="0"/>
    <n v="0"/>
    <n v="0"/>
    <n v="0"/>
    <n v="1"/>
    <n v="0"/>
    <n v="0"/>
    <n v="0"/>
    <n v="0"/>
    <n v="0"/>
    <n v="0"/>
    <s v="SP 210923"/>
    <m/>
    <n v="0"/>
    <n v="0"/>
    <n v="0"/>
    <n v="0"/>
    <n v="0"/>
    <n v="0"/>
    <n v="0"/>
    <n v="0"/>
    <n v="0"/>
    <n v="0"/>
    <n v="0.125"/>
    <n v="0.10625"/>
    <n v="0"/>
    <n v="0"/>
    <n v="0"/>
    <n v="0"/>
    <n v="0"/>
    <n v="0"/>
    <n v="0"/>
    <n v="0"/>
    <n v="0"/>
    <n v="0"/>
    <n v="0"/>
    <n v="0"/>
  </r>
  <r>
    <x v="161"/>
    <x v="154"/>
    <m/>
    <x v="4"/>
    <s v="V18"/>
    <x v="1"/>
    <s v="H2116-20"/>
    <s v="Umeå"/>
    <s v="Campus"/>
    <m/>
    <m/>
    <n v="1"/>
    <x v="0"/>
    <m/>
    <m/>
    <n v="1"/>
    <n v="0.125"/>
    <n v="0.85"/>
    <n v="0.10625"/>
    <n v="5740"/>
    <x v="7"/>
    <s v="TekNat"/>
    <x v="4"/>
    <n v="20757"/>
    <n v="36082"/>
    <n v="6428.3374999999996"/>
    <n v="22600"/>
    <n v="2825"/>
    <n v="9253.3374999999996"/>
    <n v="0"/>
    <n v="0"/>
    <n v="0"/>
    <n v="0"/>
    <n v="0"/>
    <n v="1"/>
    <n v="0"/>
    <n v="0"/>
    <n v="0"/>
    <n v="0"/>
    <n v="0"/>
    <n v="0"/>
    <s v="SP 210923"/>
    <m/>
    <n v="0"/>
    <n v="0"/>
    <n v="0"/>
    <n v="0"/>
    <n v="0"/>
    <n v="0"/>
    <n v="0"/>
    <n v="0"/>
    <n v="0"/>
    <n v="0"/>
    <n v="0.125"/>
    <n v="0.10625"/>
    <n v="0"/>
    <n v="0"/>
    <n v="0"/>
    <n v="0"/>
    <n v="0"/>
    <n v="0"/>
    <n v="0"/>
    <n v="0"/>
    <n v="0"/>
    <n v="0"/>
    <n v="0"/>
    <n v="0"/>
  </r>
  <r>
    <x v="162"/>
    <x v="155"/>
    <m/>
    <x v="5"/>
    <s v="H20"/>
    <x v="1"/>
    <s v="H211-5"/>
    <s v="Umeå"/>
    <s v="Campus"/>
    <m/>
    <m/>
    <n v="1"/>
    <x v="0"/>
    <m/>
    <m/>
    <n v="43"/>
    <n v="5.375"/>
    <n v="0.85"/>
    <n v="4.5687499999999996"/>
    <n v="5740"/>
    <x v="7"/>
    <s v="TekNat"/>
    <x v="5"/>
    <n v="20757"/>
    <n v="36082"/>
    <n v="276418.51249999995"/>
    <n v="22600"/>
    <n v="121475"/>
    <n v="397893.51249999995"/>
    <n v="0"/>
    <n v="0"/>
    <n v="0"/>
    <n v="0"/>
    <n v="0"/>
    <n v="1"/>
    <n v="0"/>
    <n v="0"/>
    <n v="0"/>
    <n v="0"/>
    <n v="0"/>
    <n v="0"/>
    <s v="SP 210923"/>
    <m/>
    <n v="0"/>
    <n v="0"/>
    <n v="0"/>
    <n v="0"/>
    <n v="0"/>
    <n v="0"/>
    <n v="0"/>
    <n v="0"/>
    <n v="0"/>
    <n v="0"/>
    <n v="5.375"/>
    <n v="4.5687499999999996"/>
    <n v="0"/>
    <n v="0"/>
    <n v="0"/>
    <n v="0"/>
    <n v="0"/>
    <n v="0"/>
    <n v="0"/>
    <n v="0"/>
    <n v="0"/>
    <n v="0"/>
    <n v="0"/>
    <n v="0"/>
  </r>
  <r>
    <x v="163"/>
    <x v="156"/>
    <m/>
    <x v="5"/>
    <s v="H20"/>
    <x v="1"/>
    <s v="H216-10"/>
    <s v="Umeå"/>
    <s v="Campus"/>
    <m/>
    <m/>
    <n v="1"/>
    <x v="0"/>
    <m/>
    <m/>
    <n v="41"/>
    <n v="5.125"/>
    <n v="0.85"/>
    <n v="4.3562500000000002"/>
    <n v="5740"/>
    <x v="7"/>
    <s v="TekNat"/>
    <x v="5"/>
    <n v="20757"/>
    <n v="36082"/>
    <n v="263561.83750000002"/>
    <n v="22600"/>
    <n v="115825"/>
    <n v="379386.83750000002"/>
    <n v="0"/>
    <n v="0"/>
    <n v="0"/>
    <n v="0"/>
    <n v="0"/>
    <n v="1"/>
    <n v="0"/>
    <n v="0"/>
    <n v="0"/>
    <n v="0"/>
    <n v="0"/>
    <n v="0"/>
    <s v="SP 210923"/>
    <m/>
    <n v="0"/>
    <n v="0"/>
    <n v="0"/>
    <n v="0"/>
    <n v="0"/>
    <n v="0"/>
    <n v="0"/>
    <n v="0"/>
    <n v="0"/>
    <n v="0"/>
    <n v="5.125"/>
    <n v="4.3562500000000002"/>
    <n v="0"/>
    <n v="0"/>
    <n v="0"/>
    <n v="0"/>
    <n v="0"/>
    <n v="0"/>
    <n v="0"/>
    <n v="0"/>
    <n v="0"/>
    <n v="0"/>
    <n v="0"/>
    <n v="0"/>
  </r>
  <r>
    <x v="164"/>
    <x v="157"/>
    <m/>
    <x v="5"/>
    <s v="H17"/>
    <x v="1"/>
    <s v="H2116-20"/>
    <s v="Umeå"/>
    <s v="Campus"/>
    <m/>
    <m/>
    <n v="1"/>
    <x v="0"/>
    <m/>
    <m/>
    <n v="1"/>
    <n v="0.125"/>
    <n v="0.85"/>
    <n v="0.10625"/>
    <n v="5740"/>
    <x v="7"/>
    <s v="TekNat"/>
    <x v="5"/>
    <n v="20757"/>
    <n v="36082"/>
    <n v="6428.3374999999996"/>
    <n v="22600"/>
    <n v="2825"/>
    <n v="9253.3374999999996"/>
    <n v="0"/>
    <n v="0"/>
    <n v="0"/>
    <n v="0"/>
    <n v="0"/>
    <n v="1"/>
    <n v="0"/>
    <n v="0"/>
    <n v="0"/>
    <n v="0"/>
    <n v="0"/>
    <n v="0"/>
    <s v="SP 210923"/>
    <m/>
    <n v="0"/>
    <n v="0"/>
    <n v="0"/>
    <n v="0"/>
    <n v="0"/>
    <n v="0"/>
    <n v="0"/>
    <n v="0"/>
    <n v="0"/>
    <n v="0"/>
    <n v="0.125"/>
    <n v="0.10625"/>
    <n v="0"/>
    <n v="0"/>
    <n v="0"/>
    <n v="0"/>
    <n v="0"/>
    <n v="0"/>
    <n v="0"/>
    <n v="0"/>
    <n v="0"/>
    <n v="0"/>
    <n v="0"/>
    <n v="0"/>
  </r>
  <r>
    <x v="164"/>
    <x v="157"/>
    <m/>
    <x v="5"/>
    <s v="H19"/>
    <x v="1"/>
    <s v="H2116-20"/>
    <s v="Umeå"/>
    <s v="Campus"/>
    <m/>
    <m/>
    <n v="1"/>
    <x v="0"/>
    <m/>
    <m/>
    <n v="21"/>
    <n v="2.625"/>
    <n v="0.85"/>
    <n v="2.2312499999999997"/>
    <n v="5740"/>
    <x v="7"/>
    <s v="TekNat"/>
    <x v="5"/>
    <n v="20757"/>
    <n v="36082"/>
    <n v="134995.08749999999"/>
    <n v="22600"/>
    <n v="59325"/>
    <n v="194320.08749999999"/>
    <n v="0"/>
    <n v="0"/>
    <n v="0"/>
    <n v="0"/>
    <n v="0"/>
    <n v="1"/>
    <n v="0"/>
    <n v="0"/>
    <n v="0"/>
    <n v="0"/>
    <n v="0"/>
    <n v="0"/>
    <s v="SP 210923"/>
    <m/>
    <n v="0"/>
    <n v="0"/>
    <n v="0"/>
    <n v="0"/>
    <n v="0"/>
    <n v="0"/>
    <n v="0"/>
    <n v="0"/>
    <n v="0"/>
    <n v="0"/>
    <n v="2.625"/>
    <n v="2.2312499999999997"/>
    <n v="0"/>
    <n v="0"/>
    <n v="0"/>
    <n v="0"/>
    <n v="0"/>
    <n v="0"/>
    <n v="0"/>
    <n v="0"/>
    <n v="0"/>
    <n v="0"/>
    <n v="0"/>
    <n v="0"/>
  </r>
  <r>
    <x v="164"/>
    <x v="157"/>
    <m/>
    <x v="5"/>
    <s v="H20"/>
    <x v="1"/>
    <s v="H2116-20"/>
    <s v="Umeå"/>
    <s v="Campus"/>
    <m/>
    <m/>
    <n v="1"/>
    <x v="0"/>
    <m/>
    <m/>
    <n v="1"/>
    <n v="0.125"/>
    <n v="0.85"/>
    <n v="0.10625"/>
    <n v="5740"/>
    <x v="7"/>
    <s v="TekNat"/>
    <x v="5"/>
    <n v="20757"/>
    <n v="36082"/>
    <n v="6428.3374999999996"/>
    <n v="22600"/>
    <n v="2825"/>
    <n v="9253.3374999999996"/>
    <n v="0"/>
    <n v="0"/>
    <n v="0"/>
    <n v="0"/>
    <n v="0"/>
    <n v="1"/>
    <n v="0"/>
    <n v="0"/>
    <n v="0"/>
    <n v="0"/>
    <n v="0"/>
    <n v="0"/>
    <s v="SP 210923"/>
    <m/>
    <n v="0"/>
    <n v="0"/>
    <n v="0"/>
    <n v="0"/>
    <n v="0"/>
    <n v="0"/>
    <n v="0"/>
    <n v="0"/>
    <n v="0"/>
    <n v="0"/>
    <n v="0.125"/>
    <n v="0.10625"/>
    <n v="0"/>
    <n v="0"/>
    <n v="0"/>
    <n v="0"/>
    <n v="0"/>
    <n v="0"/>
    <n v="0"/>
    <n v="0"/>
    <n v="0"/>
    <n v="0"/>
    <n v="0"/>
    <n v="0"/>
  </r>
  <r>
    <x v="165"/>
    <x v="158"/>
    <m/>
    <x v="11"/>
    <s v="H20"/>
    <x v="1"/>
    <s v="H2111-15"/>
    <s v="Umeå"/>
    <s v="Campus"/>
    <m/>
    <m/>
    <n v="1"/>
    <x v="0"/>
    <m/>
    <m/>
    <n v="36"/>
    <n v="4.5"/>
    <n v="0.85"/>
    <n v="3.8249999999999997"/>
    <n v="5740"/>
    <x v="7"/>
    <s v="TekNat"/>
    <x v="11"/>
    <n v="20757"/>
    <n v="36082"/>
    <n v="231420.15"/>
    <n v="22600"/>
    <n v="101700"/>
    <n v="333120.15000000002"/>
    <n v="0"/>
    <n v="0"/>
    <n v="0"/>
    <n v="0"/>
    <n v="0"/>
    <n v="1"/>
    <n v="0"/>
    <n v="0"/>
    <n v="0"/>
    <n v="0"/>
    <n v="0"/>
    <n v="0"/>
    <s v="SP 210924"/>
    <m/>
    <n v="0"/>
    <n v="0"/>
    <n v="0"/>
    <n v="0"/>
    <n v="0"/>
    <n v="0"/>
    <n v="0"/>
    <n v="0"/>
    <n v="0"/>
    <n v="0"/>
    <n v="4.5"/>
    <n v="3.8249999999999997"/>
    <n v="0"/>
    <n v="0"/>
    <n v="0"/>
    <n v="0"/>
    <n v="0"/>
    <n v="0"/>
    <n v="0"/>
    <n v="0"/>
    <n v="0"/>
    <n v="0"/>
    <n v="0"/>
    <n v="0"/>
  </r>
  <r>
    <x v="165"/>
    <x v="158"/>
    <n v="61503"/>
    <x v="11"/>
    <m/>
    <x v="0"/>
    <m/>
    <s v="Umeå"/>
    <s v="Normal"/>
    <m/>
    <m/>
    <m/>
    <x v="0"/>
    <m/>
    <m/>
    <n v="21"/>
    <n v="2.625"/>
    <n v="0.85"/>
    <n v="2.2312499999999997"/>
    <n v="5740"/>
    <x v="7"/>
    <s v="TekNat"/>
    <x v="11"/>
    <n v="20757"/>
    <n v="36082"/>
    <n v="134995.08749999999"/>
    <n v="22600"/>
    <n v="59325"/>
    <n v="194320.08749999999"/>
    <n v="0"/>
    <n v="0"/>
    <n v="0"/>
    <n v="0"/>
    <n v="0"/>
    <n v="1"/>
    <n v="0"/>
    <n v="0"/>
    <n v="0"/>
    <n v="0"/>
    <n v="0"/>
    <n v="0"/>
    <s v="Enl Fokus-Ladok 210601"/>
    <m/>
    <n v="0"/>
    <n v="0"/>
    <n v="0"/>
    <n v="0"/>
    <n v="0"/>
    <n v="0"/>
    <n v="0"/>
    <n v="0"/>
    <n v="0"/>
    <n v="0"/>
    <n v="2.625"/>
    <n v="2.2312499999999997"/>
    <n v="0"/>
    <n v="0"/>
    <n v="0"/>
    <n v="0"/>
    <n v="0"/>
    <n v="0"/>
    <n v="0"/>
    <n v="0"/>
    <n v="0"/>
    <n v="0"/>
    <n v="0"/>
    <n v="0"/>
  </r>
  <r>
    <x v="166"/>
    <x v="159"/>
    <m/>
    <x v="3"/>
    <m/>
    <x v="1"/>
    <m/>
    <m/>
    <s v="Distans"/>
    <m/>
    <m/>
    <n v="0.5"/>
    <x v="1"/>
    <m/>
    <m/>
    <n v="6"/>
    <n v="1.5"/>
    <n v="0.8"/>
    <n v="1.2000000000000002"/>
    <n v="5740"/>
    <x v="7"/>
    <s v="TekNat"/>
    <x v="3"/>
    <n v="20757"/>
    <n v="36082"/>
    <n v="74433.900000000009"/>
    <n v="22600"/>
    <n v="33900"/>
    <n v="108333.90000000001"/>
    <n v="0"/>
    <n v="0"/>
    <n v="0"/>
    <n v="0"/>
    <n v="0"/>
    <n v="1"/>
    <n v="0"/>
    <n v="0"/>
    <n v="0"/>
    <n v="0"/>
    <n v="0"/>
    <n v="0"/>
    <s v="Äskat/Beslutat 200611 p.39"/>
    <m/>
    <n v="0"/>
    <n v="0"/>
    <n v="0"/>
    <n v="0"/>
    <n v="0"/>
    <n v="0"/>
    <n v="0"/>
    <n v="0"/>
    <n v="0"/>
    <n v="0"/>
    <n v="1.5"/>
    <n v="1.2000000000000002"/>
    <n v="0"/>
    <n v="0"/>
    <n v="0"/>
    <n v="0"/>
    <n v="0"/>
    <n v="0"/>
    <n v="0"/>
    <n v="0"/>
    <n v="0"/>
    <n v="0"/>
    <n v="0"/>
    <n v="0"/>
  </r>
  <r>
    <x v="167"/>
    <x v="160"/>
    <m/>
    <x v="3"/>
    <m/>
    <x v="1"/>
    <m/>
    <m/>
    <s v="Distans"/>
    <m/>
    <m/>
    <n v="0.5"/>
    <x v="1"/>
    <m/>
    <m/>
    <n v="6"/>
    <n v="1.5"/>
    <n v="0.8"/>
    <n v="1.2000000000000002"/>
    <n v="5740"/>
    <x v="7"/>
    <s v="TekNat"/>
    <x v="3"/>
    <n v="20757"/>
    <n v="36082"/>
    <n v="74433.900000000009"/>
    <n v="22600"/>
    <n v="33900"/>
    <n v="108333.90000000001"/>
    <n v="0"/>
    <n v="0"/>
    <n v="0"/>
    <n v="0"/>
    <n v="0"/>
    <n v="1"/>
    <n v="0"/>
    <n v="0"/>
    <n v="0"/>
    <n v="0"/>
    <n v="0"/>
    <n v="0"/>
    <s v="Äskat/Beslutat 200611 p.39"/>
    <m/>
    <n v="0"/>
    <n v="0"/>
    <n v="0"/>
    <n v="0"/>
    <n v="0"/>
    <n v="0"/>
    <n v="0"/>
    <n v="0"/>
    <n v="0"/>
    <n v="0"/>
    <n v="1.5"/>
    <n v="1.2000000000000002"/>
    <n v="0"/>
    <n v="0"/>
    <n v="0"/>
    <n v="0"/>
    <n v="0"/>
    <n v="0"/>
    <n v="0"/>
    <n v="0"/>
    <n v="0"/>
    <n v="0"/>
    <n v="0"/>
    <n v="0"/>
  </r>
  <r>
    <x v="168"/>
    <x v="161"/>
    <n v="61500"/>
    <x v="3"/>
    <m/>
    <x v="0"/>
    <m/>
    <s v="Umeå"/>
    <s v="Distans"/>
    <m/>
    <m/>
    <m/>
    <x v="1"/>
    <m/>
    <m/>
    <n v="6"/>
    <n v="1.5"/>
    <n v="0.8"/>
    <n v="1.2000000000000002"/>
    <n v="5740"/>
    <x v="7"/>
    <s v="TekNat"/>
    <x v="3"/>
    <n v="20757"/>
    <n v="36082"/>
    <n v="74433.900000000009"/>
    <n v="22600"/>
    <n v="33900"/>
    <n v="108333.90000000001"/>
    <n v="0"/>
    <n v="0"/>
    <n v="0"/>
    <n v="0"/>
    <n v="0"/>
    <n v="1"/>
    <n v="0"/>
    <n v="0"/>
    <n v="0"/>
    <n v="0"/>
    <n v="0"/>
    <n v="0"/>
    <s v="Enl Fokus-Ladok 210601"/>
    <m/>
    <n v="0"/>
    <n v="0"/>
    <n v="0"/>
    <n v="0"/>
    <n v="0"/>
    <n v="0"/>
    <n v="0"/>
    <n v="0"/>
    <n v="0"/>
    <n v="0"/>
    <n v="1.5"/>
    <n v="1.2000000000000002"/>
    <n v="0"/>
    <n v="0"/>
    <n v="0"/>
    <n v="0"/>
    <n v="0"/>
    <n v="0"/>
    <n v="0"/>
    <n v="0"/>
    <n v="0"/>
    <n v="0"/>
    <n v="0"/>
    <n v="0"/>
  </r>
  <r>
    <x v="169"/>
    <x v="162"/>
    <n v="61502"/>
    <x v="3"/>
    <m/>
    <x v="0"/>
    <m/>
    <s v="Umeå"/>
    <s v="Normal"/>
    <m/>
    <m/>
    <m/>
    <x v="0"/>
    <m/>
    <m/>
    <n v="1"/>
    <n v="0.125"/>
    <n v="0.8"/>
    <n v="0.1"/>
    <n v="5740"/>
    <x v="7"/>
    <s v="TekNat"/>
    <x v="3"/>
    <n v="20757"/>
    <n v="36082"/>
    <n v="6202.8250000000007"/>
    <n v="22600"/>
    <n v="2825"/>
    <n v="9027.8250000000007"/>
    <n v="0"/>
    <n v="0"/>
    <n v="0"/>
    <n v="0"/>
    <n v="0"/>
    <n v="1"/>
    <n v="0"/>
    <n v="0"/>
    <n v="0"/>
    <n v="0"/>
    <n v="0"/>
    <n v="0"/>
    <s v="Enl Fokus-Ladok 210601"/>
    <m/>
    <n v="0"/>
    <n v="0"/>
    <n v="0"/>
    <n v="0"/>
    <n v="0"/>
    <n v="0"/>
    <n v="0"/>
    <n v="0"/>
    <n v="0"/>
    <n v="0"/>
    <n v="0.125"/>
    <n v="0.1"/>
    <n v="0"/>
    <n v="0"/>
    <n v="0"/>
    <n v="0"/>
    <n v="0"/>
    <n v="0"/>
    <n v="0"/>
    <n v="0"/>
    <n v="0"/>
    <n v="0"/>
    <n v="0"/>
    <n v="0"/>
  </r>
  <r>
    <x v="169"/>
    <x v="162"/>
    <n v="61506"/>
    <x v="0"/>
    <m/>
    <x v="0"/>
    <m/>
    <s v="Umeå"/>
    <s v="Normal"/>
    <s v="BIOL"/>
    <m/>
    <m/>
    <x v="0"/>
    <m/>
    <m/>
    <n v="1"/>
    <n v="0.125"/>
    <n v="0.85"/>
    <n v="0.10625"/>
    <n v="5740"/>
    <x v="7"/>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69"/>
    <x v="162"/>
    <n v="61506"/>
    <x v="0"/>
    <m/>
    <x v="0"/>
    <m/>
    <s v="Umeå"/>
    <s v="Normal"/>
    <s v="IDRH"/>
    <m/>
    <m/>
    <x v="0"/>
    <m/>
    <m/>
    <n v="2"/>
    <n v="0.25"/>
    <n v="0.85"/>
    <n v="0.21249999999999999"/>
    <n v="5740"/>
    <x v="7"/>
    <s v="TekNat"/>
    <x v="0"/>
    <n v="20757"/>
    <n v="36082"/>
    <n v="12856.674999999999"/>
    <n v="22600"/>
    <n v="5650"/>
    <n v="18506.674999999999"/>
    <n v="0"/>
    <n v="0"/>
    <n v="0"/>
    <n v="0"/>
    <n v="0"/>
    <n v="1"/>
    <n v="0"/>
    <n v="0"/>
    <n v="0"/>
    <n v="0"/>
    <n v="0"/>
    <n v="0"/>
    <s v="Enl Fokus-Ladok 210601"/>
    <m/>
    <n v="0"/>
    <n v="0"/>
    <n v="0"/>
    <n v="0"/>
    <n v="0"/>
    <n v="0"/>
    <n v="0"/>
    <n v="0"/>
    <n v="0"/>
    <n v="0"/>
    <n v="0.25"/>
    <n v="0.21249999999999999"/>
    <n v="0"/>
    <n v="0"/>
    <n v="0"/>
    <n v="0"/>
    <n v="0"/>
    <n v="0"/>
    <n v="0"/>
    <n v="0"/>
    <n v="0"/>
    <n v="0"/>
    <n v="0"/>
    <n v="0"/>
  </r>
  <r>
    <x v="169"/>
    <x v="162"/>
    <n v="61502"/>
    <x v="0"/>
    <m/>
    <x v="0"/>
    <m/>
    <s v="Umeå"/>
    <s v="Normal"/>
    <s v="MATT"/>
    <m/>
    <m/>
    <x v="0"/>
    <m/>
    <m/>
    <n v="1"/>
    <n v="0.125"/>
    <n v="0.85"/>
    <n v="0.10625"/>
    <n v="5740"/>
    <x v="7"/>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69"/>
    <x v="162"/>
    <n v="61506"/>
    <x v="0"/>
    <m/>
    <x v="0"/>
    <m/>
    <s v="Umeå"/>
    <s v="Normal"/>
    <s v="MATT"/>
    <m/>
    <m/>
    <x v="0"/>
    <m/>
    <m/>
    <n v="20"/>
    <n v="2.5"/>
    <n v="0.85"/>
    <n v="2.125"/>
    <n v="5740"/>
    <x v="7"/>
    <s v="TekNat"/>
    <x v="0"/>
    <n v="20757"/>
    <n v="36082"/>
    <n v="128566.75"/>
    <n v="22600"/>
    <n v="56500"/>
    <n v="185066.75"/>
    <n v="0"/>
    <n v="0"/>
    <n v="0"/>
    <n v="0"/>
    <n v="0"/>
    <n v="1"/>
    <n v="0"/>
    <n v="0"/>
    <n v="0"/>
    <n v="0"/>
    <n v="0"/>
    <n v="0"/>
    <s v="Enl Fokus-Ladok 210601"/>
    <m/>
    <n v="0"/>
    <n v="0"/>
    <n v="0"/>
    <n v="0"/>
    <n v="0"/>
    <n v="0"/>
    <n v="0"/>
    <n v="0"/>
    <n v="0"/>
    <n v="0"/>
    <n v="2.5"/>
    <n v="2.125"/>
    <n v="0"/>
    <n v="0"/>
    <n v="0"/>
    <n v="0"/>
    <n v="0"/>
    <n v="0"/>
    <n v="0"/>
    <n v="0"/>
    <n v="0"/>
    <n v="0"/>
    <n v="0"/>
    <n v="0"/>
  </r>
  <r>
    <x v="169"/>
    <x v="162"/>
    <n v="61506"/>
    <x v="0"/>
    <m/>
    <x v="0"/>
    <m/>
    <s v="Umeå"/>
    <s v="Normal"/>
    <s v="SAMK"/>
    <m/>
    <m/>
    <x v="0"/>
    <m/>
    <m/>
    <n v="1"/>
    <n v="0.125"/>
    <n v="0.85"/>
    <n v="0.10625"/>
    <n v="5740"/>
    <x v="7"/>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70"/>
    <x v="163"/>
    <m/>
    <x v="3"/>
    <m/>
    <x v="1"/>
    <m/>
    <m/>
    <s v="Distans"/>
    <m/>
    <m/>
    <n v="1"/>
    <x v="0"/>
    <m/>
    <m/>
    <n v="2"/>
    <n v="0.25"/>
    <n v="0.8"/>
    <n v="0.2"/>
    <n v="5740"/>
    <x v="7"/>
    <s v="TekNat"/>
    <x v="3"/>
    <n v="20757"/>
    <n v="36082"/>
    <n v="12405.650000000001"/>
    <n v="22600"/>
    <n v="5650"/>
    <n v="18055.650000000001"/>
    <n v="0"/>
    <n v="0"/>
    <n v="0"/>
    <n v="0"/>
    <n v="0"/>
    <n v="1"/>
    <n v="0"/>
    <n v="0"/>
    <n v="0"/>
    <n v="0"/>
    <n v="0"/>
    <n v="0"/>
    <s v="Äskat/Beslutat 200611 p.39"/>
    <m/>
    <n v="0"/>
    <n v="0"/>
    <n v="0"/>
    <n v="0"/>
    <n v="0"/>
    <n v="0"/>
    <n v="0"/>
    <n v="0"/>
    <n v="0"/>
    <n v="0"/>
    <n v="0.25"/>
    <n v="0.2"/>
    <n v="0"/>
    <n v="0"/>
    <n v="0"/>
    <n v="0"/>
    <n v="0"/>
    <n v="0"/>
    <n v="0"/>
    <n v="0"/>
    <n v="0"/>
    <n v="0"/>
    <n v="0"/>
    <n v="0"/>
  </r>
  <r>
    <x v="170"/>
    <x v="163"/>
    <m/>
    <x v="0"/>
    <s v="H17"/>
    <x v="1"/>
    <s v="H2111-15"/>
    <s v="Umeå"/>
    <m/>
    <s v="SAMK"/>
    <m/>
    <n v="1"/>
    <x v="0"/>
    <m/>
    <m/>
    <n v="1"/>
    <n v="0.125"/>
    <n v="0.85"/>
    <n v="0.10625"/>
    <n v="5740"/>
    <x v="7"/>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70"/>
    <x v="163"/>
    <m/>
    <x v="0"/>
    <s v="H18"/>
    <x v="1"/>
    <s v="H2111-15"/>
    <s v="Umeå"/>
    <m/>
    <s v="BIOL"/>
    <m/>
    <n v="1"/>
    <x v="0"/>
    <m/>
    <m/>
    <n v="1"/>
    <n v="0.125"/>
    <n v="0.85"/>
    <n v="0.10625"/>
    <n v="5740"/>
    <x v="7"/>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70"/>
    <x v="163"/>
    <m/>
    <x v="0"/>
    <s v="H18"/>
    <x v="1"/>
    <s v="H2111-15"/>
    <s v="Umeå"/>
    <m/>
    <s v="IDRH"/>
    <m/>
    <n v="1"/>
    <x v="0"/>
    <m/>
    <m/>
    <n v="2"/>
    <n v="0.25"/>
    <n v="0.85"/>
    <n v="0.21249999999999999"/>
    <n v="5740"/>
    <x v="7"/>
    <s v="TekNat"/>
    <x v="0"/>
    <n v="20757"/>
    <n v="36082"/>
    <n v="12856.674999999999"/>
    <n v="22600"/>
    <n v="5650"/>
    <n v="18506.674999999999"/>
    <n v="0"/>
    <n v="0"/>
    <n v="0"/>
    <n v="0"/>
    <n v="0"/>
    <n v="1"/>
    <n v="0"/>
    <n v="0"/>
    <n v="0"/>
    <n v="0"/>
    <n v="0"/>
    <n v="0"/>
    <s v="SP 210924"/>
    <m/>
    <n v="0"/>
    <n v="0"/>
    <n v="0"/>
    <n v="0"/>
    <n v="0"/>
    <n v="0"/>
    <n v="0"/>
    <n v="0"/>
    <n v="0"/>
    <n v="0"/>
    <n v="0.25"/>
    <n v="0.21249999999999999"/>
    <n v="0"/>
    <n v="0"/>
    <n v="0"/>
    <n v="0"/>
    <n v="0"/>
    <n v="0"/>
    <n v="0"/>
    <n v="0"/>
    <n v="0"/>
    <n v="0"/>
    <n v="0"/>
    <n v="0"/>
  </r>
  <r>
    <x v="170"/>
    <x v="163"/>
    <m/>
    <x v="0"/>
    <s v="H18"/>
    <x v="1"/>
    <s v="H2111-15"/>
    <s v="Umeå"/>
    <m/>
    <s v="SAMK"/>
    <m/>
    <n v="1"/>
    <x v="0"/>
    <m/>
    <m/>
    <n v="1"/>
    <n v="0.125"/>
    <n v="0.85"/>
    <n v="0.10625"/>
    <n v="5740"/>
    <x v="7"/>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70"/>
    <x v="163"/>
    <m/>
    <x v="0"/>
    <s v="H19"/>
    <x v="1"/>
    <s v="H2111-15"/>
    <s v="Umeå"/>
    <m/>
    <s v="MATT"/>
    <m/>
    <n v="1"/>
    <x v="0"/>
    <m/>
    <m/>
    <n v="1"/>
    <n v="0.125"/>
    <n v="0.85"/>
    <n v="0.10625"/>
    <n v="5740"/>
    <x v="7"/>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70"/>
    <x v="163"/>
    <m/>
    <x v="0"/>
    <s v="H20"/>
    <x v="1"/>
    <s v="H2111-15"/>
    <s v="Umeå"/>
    <m/>
    <s v="MATT"/>
    <m/>
    <n v="1"/>
    <x v="0"/>
    <m/>
    <m/>
    <n v="18"/>
    <n v="2.25"/>
    <n v="0.85"/>
    <n v="1.9124999999999999"/>
    <n v="5740"/>
    <x v="7"/>
    <s v="TekNat"/>
    <x v="0"/>
    <n v="20757"/>
    <n v="36082"/>
    <n v="115710.075"/>
    <n v="22600"/>
    <n v="50850"/>
    <n v="166560.07500000001"/>
    <n v="0"/>
    <n v="0"/>
    <n v="0"/>
    <n v="0"/>
    <n v="0"/>
    <n v="1"/>
    <n v="0"/>
    <n v="0"/>
    <n v="0"/>
    <n v="0"/>
    <n v="0"/>
    <n v="0"/>
    <s v="SP 210924"/>
    <m/>
    <n v="0"/>
    <n v="0"/>
    <n v="0"/>
    <n v="0"/>
    <n v="0"/>
    <n v="0"/>
    <n v="0"/>
    <n v="0"/>
    <n v="0"/>
    <n v="0"/>
    <n v="2.25"/>
    <n v="1.9124999999999999"/>
    <n v="0"/>
    <n v="0"/>
    <n v="0"/>
    <n v="0"/>
    <n v="0"/>
    <n v="0"/>
    <n v="0"/>
    <n v="0"/>
    <n v="0"/>
    <n v="0"/>
    <n v="0"/>
    <n v="0"/>
  </r>
  <r>
    <x v="171"/>
    <x v="164"/>
    <m/>
    <x v="3"/>
    <m/>
    <x v="1"/>
    <m/>
    <m/>
    <s v="Campus"/>
    <m/>
    <m/>
    <n v="1"/>
    <x v="0"/>
    <m/>
    <m/>
    <n v="4"/>
    <n v="0.5"/>
    <n v="0.8"/>
    <n v="0.4"/>
    <n v="5730"/>
    <x v="6"/>
    <s v="TekNat"/>
    <x v="3"/>
    <n v="20757"/>
    <n v="36082"/>
    <n v="24811.300000000003"/>
    <n v="22600"/>
    <n v="11300"/>
    <n v="36111.300000000003"/>
    <n v="0"/>
    <n v="0"/>
    <n v="0"/>
    <n v="0"/>
    <n v="0"/>
    <n v="1"/>
    <n v="0"/>
    <n v="0"/>
    <n v="0"/>
    <n v="0"/>
    <n v="0"/>
    <n v="0"/>
    <s v="Äskat/Beslutat 200611 p.39"/>
    <m/>
    <n v="0"/>
    <n v="0"/>
    <n v="0"/>
    <n v="0"/>
    <n v="0"/>
    <n v="0"/>
    <n v="0"/>
    <n v="0"/>
    <n v="0"/>
    <n v="0"/>
    <n v="0.5"/>
    <n v="0.4"/>
    <n v="0"/>
    <n v="0"/>
    <n v="0"/>
    <n v="0"/>
    <n v="0"/>
    <n v="0"/>
    <n v="0"/>
    <n v="0"/>
    <n v="0"/>
    <n v="0"/>
    <n v="0"/>
    <n v="0"/>
  </r>
  <r>
    <x v="171"/>
    <x v="164"/>
    <m/>
    <x v="0"/>
    <s v="H17"/>
    <x v="1"/>
    <s v="H216-10"/>
    <s v="Umeå"/>
    <m/>
    <s v="SAMK"/>
    <m/>
    <n v="1"/>
    <x v="0"/>
    <m/>
    <m/>
    <n v="1"/>
    <n v="0.125"/>
    <n v="0.85"/>
    <n v="0.10625"/>
    <n v="5730"/>
    <x v="6"/>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71"/>
    <x v="164"/>
    <m/>
    <x v="0"/>
    <s v="H18"/>
    <x v="1"/>
    <s v="H216-10"/>
    <s v="Umeå"/>
    <m/>
    <s v="BIOL"/>
    <m/>
    <n v="1"/>
    <x v="0"/>
    <m/>
    <m/>
    <n v="1"/>
    <n v="0.125"/>
    <n v="0.85"/>
    <n v="0.10625"/>
    <n v="5730"/>
    <x v="6"/>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71"/>
    <x v="164"/>
    <m/>
    <x v="0"/>
    <s v="H18"/>
    <x v="1"/>
    <s v="H216-10"/>
    <s v="Umeå"/>
    <m/>
    <s v="IDRH"/>
    <m/>
    <n v="1"/>
    <x v="0"/>
    <m/>
    <m/>
    <n v="2"/>
    <n v="0.25"/>
    <n v="0.85"/>
    <n v="0.21249999999999999"/>
    <n v="5730"/>
    <x v="6"/>
    <s v="TekNat"/>
    <x v="0"/>
    <n v="20757"/>
    <n v="36082"/>
    <n v="12856.674999999999"/>
    <n v="22600"/>
    <n v="5650"/>
    <n v="18506.674999999999"/>
    <n v="0"/>
    <n v="0"/>
    <n v="0"/>
    <n v="0"/>
    <n v="0"/>
    <n v="1"/>
    <n v="0"/>
    <n v="0"/>
    <n v="0"/>
    <n v="0"/>
    <n v="0"/>
    <n v="0"/>
    <s v="SP 210924"/>
    <m/>
    <n v="0"/>
    <n v="0"/>
    <n v="0"/>
    <n v="0"/>
    <n v="0"/>
    <n v="0"/>
    <n v="0"/>
    <n v="0"/>
    <n v="0"/>
    <n v="0"/>
    <n v="0.25"/>
    <n v="0.21249999999999999"/>
    <n v="0"/>
    <n v="0"/>
    <n v="0"/>
    <n v="0"/>
    <n v="0"/>
    <n v="0"/>
    <n v="0"/>
    <n v="0"/>
    <n v="0"/>
    <n v="0"/>
    <n v="0"/>
    <n v="0"/>
  </r>
  <r>
    <x v="171"/>
    <x v="164"/>
    <m/>
    <x v="0"/>
    <s v="H18"/>
    <x v="1"/>
    <s v="H216-10"/>
    <s v="Umeå"/>
    <m/>
    <s v="SAMK"/>
    <m/>
    <n v="1"/>
    <x v="0"/>
    <m/>
    <m/>
    <n v="1"/>
    <n v="0.125"/>
    <n v="0.85"/>
    <n v="0.10625"/>
    <n v="5730"/>
    <x v="6"/>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71"/>
    <x v="164"/>
    <m/>
    <x v="0"/>
    <s v="H19"/>
    <x v="1"/>
    <s v="H216-10"/>
    <s v="Umeå"/>
    <m/>
    <s v="MASH"/>
    <m/>
    <n v="1"/>
    <x v="0"/>
    <m/>
    <m/>
    <n v="1"/>
    <n v="0.125"/>
    <n v="0.85"/>
    <n v="0.10625"/>
    <n v="5730"/>
    <x v="6"/>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71"/>
    <x v="164"/>
    <m/>
    <x v="0"/>
    <s v="H20"/>
    <x v="1"/>
    <s v="H216-10"/>
    <s v="Umeå"/>
    <m/>
    <s v="MATT"/>
    <m/>
    <n v="1"/>
    <x v="0"/>
    <m/>
    <m/>
    <n v="18"/>
    <n v="2.25"/>
    <n v="0.85"/>
    <n v="1.9124999999999999"/>
    <n v="5730"/>
    <x v="6"/>
    <s v="TekNat"/>
    <x v="0"/>
    <n v="20757"/>
    <n v="36082"/>
    <n v="115710.075"/>
    <n v="22600"/>
    <n v="50850"/>
    <n v="166560.07500000001"/>
    <n v="0"/>
    <n v="0"/>
    <n v="0"/>
    <n v="0"/>
    <n v="0"/>
    <n v="1"/>
    <n v="0"/>
    <n v="0"/>
    <n v="0"/>
    <n v="0"/>
    <n v="0"/>
    <n v="0"/>
    <s v="SP 210924"/>
    <m/>
    <n v="0"/>
    <n v="0"/>
    <n v="0"/>
    <n v="0"/>
    <n v="0"/>
    <n v="0"/>
    <n v="0"/>
    <n v="0"/>
    <n v="0"/>
    <n v="0"/>
    <n v="2.25"/>
    <n v="1.9124999999999999"/>
    <n v="0"/>
    <n v="0"/>
    <n v="0"/>
    <n v="0"/>
    <n v="0"/>
    <n v="0"/>
    <n v="0"/>
    <n v="0"/>
    <n v="0"/>
    <n v="0"/>
    <n v="0"/>
    <n v="0"/>
  </r>
  <r>
    <x v="172"/>
    <x v="165"/>
    <n v="75805"/>
    <x v="0"/>
    <m/>
    <x v="0"/>
    <m/>
    <s v="Umeå"/>
    <s v="Normal"/>
    <s v="MATT"/>
    <m/>
    <m/>
    <x v="0"/>
    <m/>
    <m/>
    <n v="2"/>
    <n v="0.25"/>
    <n v="0.85"/>
    <n v="0.21249999999999999"/>
    <n v="5730"/>
    <x v="6"/>
    <s v="TekNat"/>
    <x v="0"/>
    <n v="20757"/>
    <n v="36082"/>
    <n v="12856.674999999999"/>
    <n v="22600"/>
    <n v="5650"/>
    <n v="18506.674999999999"/>
    <n v="0"/>
    <n v="0"/>
    <n v="0"/>
    <n v="0"/>
    <n v="0"/>
    <n v="0.5"/>
    <n v="0"/>
    <n v="0.5"/>
    <n v="0"/>
    <n v="0"/>
    <n v="0"/>
    <n v="0"/>
    <s v="Enl Fokus-Ladok 210601"/>
    <m/>
    <n v="0"/>
    <n v="0"/>
    <n v="0"/>
    <n v="0"/>
    <n v="0"/>
    <n v="0"/>
    <n v="0"/>
    <n v="0"/>
    <n v="0"/>
    <n v="0"/>
    <n v="0.125"/>
    <n v="0.10625"/>
    <n v="0"/>
    <n v="0"/>
    <n v="0.125"/>
    <n v="0.10625"/>
    <n v="0"/>
    <n v="0"/>
    <n v="0"/>
    <n v="0"/>
    <n v="0"/>
    <n v="0"/>
    <n v="0"/>
    <n v="0"/>
  </r>
  <r>
    <x v="173"/>
    <x v="166"/>
    <n v="66703"/>
    <x v="0"/>
    <m/>
    <x v="0"/>
    <m/>
    <s v="Umeå"/>
    <s v="Normal"/>
    <s v="MATT"/>
    <m/>
    <m/>
    <x v="3"/>
    <m/>
    <m/>
    <n v="1"/>
    <n v="0.5"/>
    <n v="0.85"/>
    <n v="0.42499999999999999"/>
    <n v="1650"/>
    <x v="9"/>
    <s v="Hum"/>
    <x v="0"/>
    <n v="33396"/>
    <n v="66137"/>
    <n v="44806.224999999999"/>
    <n v="72600"/>
    <n v="36300"/>
    <n v="81106.225000000006"/>
    <n v="0"/>
    <n v="0"/>
    <n v="0"/>
    <n v="0"/>
    <n v="1"/>
    <n v="0"/>
    <n v="0"/>
    <n v="0"/>
    <n v="0"/>
    <n v="0"/>
    <n v="0"/>
    <n v="0"/>
    <s v="Enl Fokus-Ladok 210601"/>
    <m/>
    <n v="0"/>
    <n v="0"/>
    <n v="0"/>
    <n v="0"/>
    <n v="0"/>
    <n v="0"/>
    <n v="0"/>
    <n v="0"/>
    <n v="0.5"/>
    <n v="0.42499999999999999"/>
    <n v="0"/>
    <n v="0"/>
    <n v="0"/>
    <n v="0"/>
    <n v="0"/>
    <n v="0"/>
    <n v="0"/>
    <n v="0"/>
    <n v="0"/>
    <n v="0"/>
    <n v="0"/>
    <n v="0"/>
    <n v="0"/>
    <n v="0"/>
  </r>
  <r>
    <x v="173"/>
    <x v="166"/>
    <n v="66703"/>
    <x v="0"/>
    <m/>
    <x v="0"/>
    <m/>
    <s v="Umeå"/>
    <s v="Normal"/>
    <s v="MUSI"/>
    <m/>
    <m/>
    <x v="3"/>
    <m/>
    <m/>
    <n v="5"/>
    <n v="2.5"/>
    <n v="0.85"/>
    <n v="2.125"/>
    <n v="1650"/>
    <x v="9"/>
    <s v="Hum"/>
    <x v="0"/>
    <n v="33396"/>
    <n v="66137"/>
    <n v="224031.125"/>
    <n v="72600"/>
    <n v="181500"/>
    <n v="405531.125"/>
    <n v="0"/>
    <n v="0"/>
    <n v="0"/>
    <n v="0"/>
    <n v="1"/>
    <n v="0"/>
    <n v="0"/>
    <n v="0"/>
    <n v="0"/>
    <n v="0"/>
    <n v="0"/>
    <n v="0"/>
    <s v="Enl Fokus-Ladok 210601"/>
    <m/>
    <n v="0"/>
    <n v="0"/>
    <n v="0"/>
    <n v="0"/>
    <n v="0"/>
    <n v="0"/>
    <n v="0"/>
    <n v="0"/>
    <n v="2.5"/>
    <n v="2.125"/>
    <n v="0"/>
    <n v="0"/>
    <n v="0"/>
    <n v="0"/>
    <n v="0"/>
    <n v="0"/>
    <n v="0"/>
    <n v="0"/>
    <n v="0"/>
    <n v="0"/>
    <n v="0"/>
    <n v="0"/>
    <n v="0"/>
    <n v="0"/>
  </r>
  <r>
    <x v="174"/>
    <x v="167"/>
    <n v="66710"/>
    <x v="3"/>
    <m/>
    <x v="0"/>
    <m/>
    <s v="Umeå"/>
    <s v="Normal"/>
    <m/>
    <m/>
    <m/>
    <x v="3"/>
    <m/>
    <m/>
    <n v="1"/>
    <n v="0.5"/>
    <n v="0.8"/>
    <n v="0.4"/>
    <n v="1650"/>
    <x v="9"/>
    <s v="Hum"/>
    <x v="3"/>
    <n v="33396"/>
    <n v="66137"/>
    <n v="43152.800000000003"/>
    <n v="72600"/>
    <n v="36300"/>
    <n v="79452.800000000003"/>
    <n v="0"/>
    <n v="0"/>
    <n v="0"/>
    <n v="0"/>
    <n v="1"/>
    <n v="0"/>
    <n v="0"/>
    <n v="0"/>
    <n v="0"/>
    <n v="0"/>
    <n v="0"/>
    <n v="0"/>
    <s v="Enl Fokus-Ladok 210601"/>
    <m/>
    <n v="0"/>
    <n v="0"/>
    <n v="0"/>
    <n v="0"/>
    <n v="0"/>
    <n v="0"/>
    <n v="0"/>
    <n v="0"/>
    <n v="0.5"/>
    <n v="0.4"/>
    <n v="0"/>
    <n v="0"/>
    <n v="0"/>
    <n v="0"/>
    <n v="0"/>
    <n v="0"/>
    <n v="0"/>
    <n v="0"/>
    <n v="0"/>
    <n v="0"/>
    <n v="0"/>
    <n v="0"/>
    <n v="0"/>
    <n v="0"/>
  </r>
  <r>
    <x v="175"/>
    <x v="168"/>
    <s v="MU051"/>
    <x v="0"/>
    <m/>
    <x v="0"/>
    <m/>
    <s v="Umeå"/>
    <s v="Normal"/>
    <s v="MUSI"/>
    <m/>
    <m/>
    <x v="3"/>
    <m/>
    <m/>
    <n v="3"/>
    <n v="1.5"/>
    <n v="0.85"/>
    <n v="1.2749999999999999"/>
    <n v="1650"/>
    <x v="9"/>
    <s v="Hum"/>
    <x v="0"/>
    <n v="33396"/>
    <n v="66137"/>
    <n v="134418.67499999999"/>
    <n v="72600"/>
    <n v="108900"/>
    <n v="243318.67499999999"/>
    <n v="0"/>
    <n v="0"/>
    <n v="0"/>
    <n v="0"/>
    <n v="1"/>
    <n v="0"/>
    <n v="0"/>
    <n v="0"/>
    <n v="0"/>
    <n v="0"/>
    <n v="0"/>
    <n v="0"/>
    <s v="Enl Fokus-Ladok 210601"/>
    <m/>
    <n v="0"/>
    <n v="0"/>
    <n v="0"/>
    <n v="0"/>
    <n v="0"/>
    <n v="0"/>
    <n v="0"/>
    <n v="0"/>
    <n v="1.5"/>
    <n v="1.2749999999999999"/>
    <n v="0"/>
    <n v="0"/>
    <n v="0"/>
    <n v="0"/>
    <n v="0"/>
    <n v="0"/>
    <n v="0"/>
    <n v="0"/>
    <n v="0"/>
    <n v="0"/>
    <n v="0"/>
    <n v="0"/>
    <n v="0"/>
    <n v="0"/>
  </r>
  <r>
    <x v="176"/>
    <x v="169"/>
    <n v="66608"/>
    <x v="3"/>
    <m/>
    <x v="0"/>
    <m/>
    <s v="Umeå"/>
    <s v="Distans"/>
    <m/>
    <m/>
    <m/>
    <x v="1"/>
    <m/>
    <m/>
    <n v="15"/>
    <n v="3.75"/>
    <n v="0.8"/>
    <n v="3"/>
    <n v="1650"/>
    <x v="9"/>
    <s v="Hum"/>
    <x v="3"/>
    <n v="33396"/>
    <n v="66137"/>
    <n v="323646"/>
    <n v="72600"/>
    <n v="272250"/>
    <n v="595896"/>
    <n v="0"/>
    <n v="0"/>
    <n v="0"/>
    <n v="0"/>
    <n v="1"/>
    <n v="0"/>
    <n v="0"/>
    <n v="0"/>
    <n v="0"/>
    <n v="0"/>
    <n v="0"/>
    <n v="0"/>
    <s v="Enl Fokus-Ladok 210601"/>
    <s v="Läser 15 av 30 hp denna termin"/>
    <n v="0"/>
    <n v="0"/>
    <n v="0"/>
    <n v="0"/>
    <n v="0"/>
    <n v="0"/>
    <n v="0"/>
    <n v="0"/>
    <n v="3.75"/>
    <n v="3"/>
    <n v="0"/>
    <n v="0"/>
    <n v="0"/>
    <n v="0"/>
    <n v="0"/>
    <n v="0"/>
    <n v="0"/>
    <n v="0"/>
    <n v="0"/>
    <n v="0"/>
    <n v="0"/>
    <n v="0"/>
    <n v="0"/>
    <n v="0"/>
  </r>
  <r>
    <x v="176"/>
    <x v="169"/>
    <m/>
    <x v="3"/>
    <m/>
    <x v="1"/>
    <m/>
    <m/>
    <s v="Distans"/>
    <m/>
    <m/>
    <n v="0.5"/>
    <x v="1"/>
    <m/>
    <m/>
    <n v="10"/>
    <n v="2.5"/>
    <n v="0.8"/>
    <n v="2"/>
    <n v="1650"/>
    <x v="9"/>
    <s v="Hum"/>
    <x v="3"/>
    <n v="33396"/>
    <n v="66137"/>
    <n v="215764"/>
    <n v="72600"/>
    <n v="181500"/>
    <n v="397264"/>
    <n v="0"/>
    <n v="0"/>
    <n v="0"/>
    <n v="0"/>
    <n v="1"/>
    <n v="0"/>
    <n v="0"/>
    <n v="0"/>
    <n v="0"/>
    <n v="0"/>
    <n v="0"/>
    <n v="0"/>
    <s v="Äskat/Beslutat 200611 p.39"/>
    <s v="Läser 15 av 30 hp denna termin"/>
    <n v="0"/>
    <n v="0"/>
    <n v="0"/>
    <n v="0"/>
    <n v="0"/>
    <n v="0"/>
    <n v="0"/>
    <n v="0"/>
    <n v="2.5"/>
    <n v="2"/>
    <n v="0"/>
    <n v="0"/>
    <n v="0"/>
    <n v="0"/>
    <n v="0"/>
    <n v="0"/>
    <n v="0"/>
    <n v="0"/>
    <n v="0"/>
    <n v="0"/>
    <n v="0"/>
    <n v="0"/>
    <n v="0"/>
    <n v="0"/>
  </r>
  <r>
    <x v="177"/>
    <x v="170"/>
    <n v="66604"/>
    <x v="3"/>
    <m/>
    <x v="0"/>
    <m/>
    <s v="Umeå"/>
    <s v="Distans"/>
    <m/>
    <m/>
    <m/>
    <x v="1"/>
    <m/>
    <m/>
    <n v="5"/>
    <n v="1.25"/>
    <n v="0.8"/>
    <n v="1"/>
    <n v="1650"/>
    <x v="9"/>
    <s v="Hum"/>
    <x v="3"/>
    <n v="33396"/>
    <n v="66137"/>
    <n v="107882"/>
    <n v="72600"/>
    <n v="90750"/>
    <n v="198632"/>
    <n v="0"/>
    <n v="0"/>
    <n v="0"/>
    <n v="0"/>
    <n v="1"/>
    <n v="0"/>
    <n v="0"/>
    <n v="0"/>
    <n v="0"/>
    <n v="0"/>
    <n v="0"/>
    <n v="0"/>
    <s v="Enl Fokus-Ladok 210601"/>
    <s v="Läser 15 av 30 hp denna termin"/>
    <n v="0"/>
    <n v="0"/>
    <n v="0"/>
    <n v="0"/>
    <n v="0"/>
    <n v="0"/>
    <n v="0"/>
    <n v="0"/>
    <n v="1.25"/>
    <n v="1"/>
    <n v="0"/>
    <n v="0"/>
    <n v="0"/>
    <n v="0"/>
    <n v="0"/>
    <n v="0"/>
    <n v="0"/>
    <n v="0"/>
    <n v="0"/>
    <n v="0"/>
    <n v="0"/>
    <n v="0"/>
    <n v="0"/>
    <n v="0"/>
  </r>
  <r>
    <x v="177"/>
    <x v="170"/>
    <m/>
    <x v="3"/>
    <m/>
    <x v="1"/>
    <m/>
    <m/>
    <s v="Distans"/>
    <m/>
    <m/>
    <n v="0.5"/>
    <x v="1"/>
    <m/>
    <m/>
    <n v="10"/>
    <n v="2.5"/>
    <n v="0.8"/>
    <n v="2"/>
    <n v="1650"/>
    <x v="9"/>
    <s v="Hum"/>
    <x v="3"/>
    <n v="33396"/>
    <n v="66137"/>
    <n v="215764"/>
    <n v="72600"/>
    <n v="181500"/>
    <n v="397264"/>
    <n v="0"/>
    <n v="0"/>
    <n v="0"/>
    <n v="0"/>
    <n v="1"/>
    <n v="0"/>
    <n v="0"/>
    <n v="0"/>
    <n v="0"/>
    <n v="0"/>
    <n v="0"/>
    <n v="0"/>
    <s v="Äskat/Beslutat 200611 p.39"/>
    <s v="Läser 15 av 30 hp denna termin"/>
    <n v="0"/>
    <n v="0"/>
    <n v="0"/>
    <n v="0"/>
    <n v="0"/>
    <n v="0"/>
    <n v="0"/>
    <n v="0"/>
    <n v="2.5"/>
    <n v="2"/>
    <n v="0"/>
    <n v="0"/>
    <n v="0"/>
    <n v="0"/>
    <n v="0"/>
    <n v="0"/>
    <n v="0"/>
    <n v="0"/>
    <n v="0"/>
    <n v="0"/>
    <n v="0"/>
    <n v="0"/>
    <n v="0"/>
    <n v="0"/>
  </r>
  <r>
    <x v="178"/>
    <x v="171"/>
    <n v="66609"/>
    <x v="3"/>
    <m/>
    <x v="0"/>
    <m/>
    <s v="Umeå"/>
    <s v="Distans"/>
    <m/>
    <m/>
    <m/>
    <x v="1"/>
    <m/>
    <m/>
    <n v="10"/>
    <n v="2.5"/>
    <n v="0.8"/>
    <n v="2"/>
    <n v="1650"/>
    <x v="9"/>
    <s v="Hum"/>
    <x v="3"/>
    <n v="33396"/>
    <n v="66137"/>
    <n v="215764"/>
    <n v="72600"/>
    <n v="181500"/>
    <n v="397264"/>
    <n v="0"/>
    <n v="0"/>
    <n v="0"/>
    <n v="0"/>
    <n v="1"/>
    <n v="0"/>
    <n v="0"/>
    <n v="0"/>
    <n v="0"/>
    <n v="0"/>
    <n v="0"/>
    <n v="0"/>
    <s v="Enl Fokus-Ladok 210601"/>
    <s v="Läser 15 av 30 hp denna termin"/>
    <n v="0"/>
    <n v="0"/>
    <n v="0"/>
    <n v="0"/>
    <n v="0"/>
    <n v="0"/>
    <n v="0"/>
    <n v="0"/>
    <n v="2.5"/>
    <n v="2"/>
    <n v="0"/>
    <n v="0"/>
    <n v="0"/>
    <n v="0"/>
    <n v="0"/>
    <n v="0"/>
    <n v="0"/>
    <n v="0"/>
    <n v="0"/>
    <n v="0"/>
    <n v="0"/>
    <n v="0"/>
    <n v="0"/>
    <n v="0"/>
  </r>
  <r>
    <x v="178"/>
    <x v="171"/>
    <m/>
    <x v="3"/>
    <m/>
    <x v="1"/>
    <m/>
    <m/>
    <s v="Distans"/>
    <m/>
    <m/>
    <n v="0.5"/>
    <x v="1"/>
    <m/>
    <m/>
    <n v="10"/>
    <n v="2.5"/>
    <n v="0.8"/>
    <n v="2"/>
    <n v="1650"/>
    <x v="9"/>
    <s v="Hum"/>
    <x v="3"/>
    <n v="33396"/>
    <n v="66137"/>
    <n v="215764"/>
    <n v="72600"/>
    <n v="181500"/>
    <n v="397264"/>
    <n v="0"/>
    <n v="0"/>
    <n v="0"/>
    <n v="0"/>
    <n v="1"/>
    <n v="0"/>
    <n v="0"/>
    <n v="0"/>
    <n v="0"/>
    <n v="0"/>
    <n v="0"/>
    <n v="0"/>
    <s v="Äskat/Beslutat 200611 p.39"/>
    <s v="Läser 15 av 30 hp denna termin"/>
    <n v="0"/>
    <n v="0"/>
    <n v="0"/>
    <n v="0"/>
    <n v="0"/>
    <n v="0"/>
    <n v="0"/>
    <n v="0"/>
    <n v="2.5"/>
    <n v="2"/>
    <n v="0"/>
    <n v="0"/>
    <n v="0"/>
    <n v="0"/>
    <n v="0"/>
    <n v="0"/>
    <n v="0"/>
    <n v="0"/>
    <n v="0"/>
    <n v="0"/>
    <n v="0"/>
    <n v="0"/>
    <n v="0"/>
    <n v="0"/>
  </r>
  <r>
    <x v="179"/>
    <x v="172"/>
    <m/>
    <x v="3"/>
    <m/>
    <x v="1"/>
    <m/>
    <m/>
    <s v="Campus"/>
    <m/>
    <m/>
    <n v="1"/>
    <x v="3"/>
    <m/>
    <m/>
    <n v="4"/>
    <n v="2"/>
    <n v="0.8"/>
    <n v="1.6"/>
    <n v="1650"/>
    <x v="9"/>
    <s v="Hum"/>
    <x v="3"/>
    <n v="33396"/>
    <n v="66137"/>
    <n v="172611.20000000001"/>
    <n v="72600"/>
    <n v="145200"/>
    <n v="317811.20000000001"/>
    <n v="0"/>
    <n v="0"/>
    <n v="0"/>
    <n v="0"/>
    <n v="1"/>
    <n v="0"/>
    <n v="0"/>
    <n v="0"/>
    <n v="0"/>
    <n v="0"/>
    <n v="0"/>
    <n v="0"/>
    <s v="Äskat/Beslutat 200611 p.39"/>
    <m/>
    <n v="0"/>
    <n v="0"/>
    <n v="0"/>
    <n v="0"/>
    <n v="0"/>
    <n v="0"/>
    <n v="0"/>
    <n v="0"/>
    <n v="2"/>
    <n v="1.6"/>
    <n v="0"/>
    <n v="0"/>
    <n v="0"/>
    <n v="0"/>
    <n v="0"/>
    <n v="0"/>
    <n v="0"/>
    <n v="0"/>
    <n v="0"/>
    <n v="0"/>
    <n v="0"/>
    <n v="0"/>
    <n v="0"/>
    <n v="0"/>
  </r>
  <r>
    <x v="179"/>
    <x v="172"/>
    <m/>
    <x v="0"/>
    <s v="H18"/>
    <x v="1"/>
    <s v="H211-20"/>
    <s v="Umeå"/>
    <m/>
    <s v="MATT"/>
    <m/>
    <n v="1"/>
    <x v="3"/>
    <m/>
    <m/>
    <n v="1"/>
    <n v="0.5"/>
    <n v="0.85"/>
    <n v="0.42499999999999999"/>
    <n v="1650"/>
    <x v="9"/>
    <s v="Hum"/>
    <x v="0"/>
    <n v="33396"/>
    <n v="66137"/>
    <n v="44806.224999999999"/>
    <n v="72600"/>
    <n v="36300"/>
    <n v="81106.225000000006"/>
    <n v="0"/>
    <n v="0"/>
    <n v="0"/>
    <n v="0"/>
    <n v="1"/>
    <n v="0"/>
    <n v="0"/>
    <n v="0"/>
    <n v="0"/>
    <n v="0"/>
    <n v="0"/>
    <n v="0"/>
    <s v="SP 210924"/>
    <m/>
    <n v="0"/>
    <n v="0"/>
    <n v="0"/>
    <n v="0"/>
    <n v="0"/>
    <n v="0"/>
    <n v="0"/>
    <n v="0"/>
    <n v="0.5"/>
    <n v="0.42499999999999999"/>
    <n v="0"/>
    <n v="0"/>
    <n v="0"/>
    <n v="0"/>
    <n v="0"/>
    <n v="0"/>
    <n v="0"/>
    <n v="0"/>
    <n v="0"/>
    <n v="0"/>
    <n v="0"/>
    <n v="0"/>
    <n v="0"/>
    <n v="0"/>
  </r>
  <r>
    <x v="179"/>
    <x v="172"/>
    <m/>
    <x v="0"/>
    <s v="H20"/>
    <x v="1"/>
    <s v="H211-20"/>
    <s v="Umeå"/>
    <m/>
    <s v="MUSI"/>
    <m/>
    <n v="1"/>
    <x v="3"/>
    <m/>
    <m/>
    <n v="5"/>
    <n v="2.5"/>
    <n v="0.85"/>
    <n v="2.125"/>
    <n v="1650"/>
    <x v="9"/>
    <s v="Hum"/>
    <x v="0"/>
    <n v="33396"/>
    <n v="66137"/>
    <n v="224031.125"/>
    <n v="72600"/>
    <n v="181500"/>
    <n v="405531.125"/>
    <n v="0"/>
    <n v="0"/>
    <n v="0"/>
    <n v="0"/>
    <n v="1"/>
    <n v="0"/>
    <n v="0"/>
    <n v="0"/>
    <n v="0"/>
    <n v="0"/>
    <n v="0"/>
    <n v="0"/>
    <s v="SP 210924"/>
    <m/>
    <n v="0"/>
    <n v="0"/>
    <n v="0"/>
    <n v="0"/>
    <n v="0"/>
    <n v="0"/>
    <n v="0"/>
    <n v="0"/>
    <n v="2.5"/>
    <n v="2.125"/>
    <n v="0"/>
    <n v="0"/>
    <n v="0"/>
    <n v="0"/>
    <n v="0"/>
    <n v="0"/>
    <n v="0"/>
    <n v="0"/>
    <n v="0"/>
    <n v="0"/>
    <n v="0"/>
    <n v="0"/>
    <n v="0"/>
    <n v="0"/>
  </r>
  <r>
    <x v="180"/>
    <x v="173"/>
    <n v="72302"/>
    <x v="1"/>
    <m/>
    <x v="0"/>
    <m/>
    <s v="Umeå"/>
    <s v="Distans"/>
    <s v="DIST"/>
    <m/>
    <m/>
    <x v="0"/>
    <m/>
    <m/>
    <n v="18"/>
    <n v="2.25"/>
    <n v="0.85"/>
    <n v="1.9124999999999999"/>
    <n v="2271"/>
    <x v="1"/>
    <s v="Sam"/>
    <x v="1"/>
    <n v="20766"/>
    <n v="17442"/>
    <n v="80081.324999999997"/>
    <n v="6000"/>
    <n v="13500"/>
    <n v="93581.324999999997"/>
    <n v="0"/>
    <n v="0"/>
    <n v="0"/>
    <n v="0"/>
    <n v="0"/>
    <n v="0"/>
    <n v="1"/>
    <n v="0"/>
    <n v="0"/>
    <n v="0"/>
    <n v="0"/>
    <n v="0"/>
    <s v="Enl Fokus-Ladok 210601"/>
    <m/>
    <n v="0"/>
    <n v="0"/>
    <n v="0"/>
    <n v="0"/>
    <n v="0"/>
    <n v="0"/>
    <n v="0"/>
    <n v="0"/>
    <n v="0"/>
    <n v="0"/>
    <n v="0"/>
    <n v="0"/>
    <n v="2.25"/>
    <n v="1.9124999999999999"/>
    <n v="0"/>
    <n v="0"/>
    <n v="0"/>
    <n v="0"/>
    <n v="0"/>
    <n v="0"/>
    <n v="0"/>
    <n v="0"/>
    <n v="0"/>
    <n v="0"/>
  </r>
  <r>
    <x v="180"/>
    <x v="173"/>
    <n v="72303"/>
    <x v="1"/>
    <m/>
    <x v="0"/>
    <m/>
    <s v="Umeå"/>
    <s v="Normal"/>
    <s v="REGU"/>
    <m/>
    <m/>
    <x v="0"/>
    <m/>
    <m/>
    <n v="28"/>
    <n v="3.5"/>
    <n v="0.85"/>
    <n v="2.9750000000000001"/>
    <n v="2271"/>
    <x v="1"/>
    <s v="Sam"/>
    <x v="1"/>
    <n v="20766"/>
    <n v="17442"/>
    <n v="124570.95000000001"/>
    <n v="6000"/>
    <n v="21000"/>
    <n v="145570.95000000001"/>
    <n v="0"/>
    <n v="0"/>
    <n v="0"/>
    <n v="0"/>
    <n v="0"/>
    <n v="0"/>
    <n v="1"/>
    <n v="0"/>
    <n v="0"/>
    <n v="0"/>
    <n v="0"/>
    <n v="0"/>
    <s v="Enl Fokus-Ladok 210601"/>
    <m/>
    <n v="0"/>
    <n v="0"/>
    <n v="0"/>
    <n v="0"/>
    <n v="0"/>
    <n v="0"/>
    <n v="0"/>
    <n v="0"/>
    <n v="0"/>
    <n v="0"/>
    <n v="0"/>
    <n v="0"/>
    <n v="3.5"/>
    <n v="2.9750000000000001"/>
    <n v="0"/>
    <n v="0"/>
    <n v="0"/>
    <n v="0"/>
    <n v="0"/>
    <n v="0"/>
    <n v="0"/>
    <n v="0"/>
    <n v="0"/>
    <n v="0"/>
  </r>
  <r>
    <x v="181"/>
    <x v="2"/>
    <n v="72301"/>
    <x v="1"/>
    <m/>
    <x v="0"/>
    <m/>
    <s v="Umeå"/>
    <s v="Distans"/>
    <s v="DIST"/>
    <m/>
    <m/>
    <x v="0"/>
    <m/>
    <m/>
    <n v="22"/>
    <n v="2.75"/>
    <n v="0.85"/>
    <n v="2.3374999999999999"/>
    <n v="2271"/>
    <x v="1"/>
    <s v="Sam"/>
    <x v="1"/>
    <n v="20766"/>
    <n v="17442"/>
    <n v="97877.174999999988"/>
    <n v="6000"/>
    <n v="16500"/>
    <n v="114377.17499999999"/>
    <n v="0"/>
    <n v="0"/>
    <n v="0"/>
    <n v="0"/>
    <n v="0"/>
    <n v="0"/>
    <n v="1"/>
    <n v="0"/>
    <n v="0"/>
    <n v="0"/>
    <n v="0"/>
    <n v="0"/>
    <s v="Enl Fokus-Ladok 210601"/>
    <m/>
    <n v="0"/>
    <n v="0"/>
    <n v="0"/>
    <n v="0"/>
    <n v="0"/>
    <n v="0"/>
    <n v="0"/>
    <n v="0"/>
    <n v="0"/>
    <n v="0"/>
    <n v="0"/>
    <n v="0"/>
    <n v="2.75"/>
    <n v="2.3374999999999999"/>
    <n v="0"/>
    <n v="0"/>
    <n v="0"/>
    <n v="0"/>
    <n v="0"/>
    <n v="0"/>
    <n v="0"/>
    <n v="0"/>
    <n v="0"/>
    <n v="0"/>
  </r>
  <r>
    <x v="181"/>
    <x v="2"/>
    <n v="72300"/>
    <x v="1"/>
    <m/>
    <x v="0"/>
    <m/>
    <s v="Umeå"/>
    <s v="Normal"/>
    <s v="REGU"/>
    <m/>
    <m/>
    <x v="0"/>
    <m/>
    <m/>
    <n v="26"/>
    <n v="3.25"/>
    <n v="0.85"/>
    <n v="2.7624999999999997"/>
    <n v="2271"/>
    <x v="1"/>
    <s v="Sam"/>
    <x v="1"/>
    <n v="20766"/>
    <n v="17442"/>
    <n v="115673.02499999999"/>
    <n v="6000"/>
    <n v="19500"/>
    <n v="135173.02499999999"/>
    <n v="0"/>
    <n v="0"/>
    <n v="0"/>
    <n v="0"/>
    <n v="0"/>
    <n v="0"/>
    <n v="1"/>
    <n v="0"/>
    <n v="0"/>
    <n v="0"/>
    <n v="0"/>
    <n v="0"/>
    <s v="Enl Fokus-Ladok 210601"/>
    <m/>
    <n v="0"/>
    <n v="0"/>
    <n v="0"/>
    <n v="0"/>
    <n v="0"/>
    <n v="0"/>
    <n v="0"/>
    <n v="0"/>
    <n v="0"/>
    <n v="0"/>
    <n v="0"/>
    <n v="0"/>
    <n v="3.25"/>
    <n v="2.7624999999999997"/>
    <n v="0"/>
    <n v="0"/>
    <n v="0"/>
    <n v="0"/>
    <n v="0"/>
    <n v="0"/>
    <n v="0"/>
    <n v="0"/>
    <n v="0"/>
    <n v="0"/>
  </r>
  <r>
    <x v="182"/>
    <x v="174"/>
    <m/>
    <x v="0"/>
    <s v="H17"/>
    <x v="1"/>
    <s v="H211-15"/>
    <s v="Umeå"/>
    <m/>
    <s v="NATU"/>
    <m/>
    <n v="1"/>
    <x v="2"/>
    <m/>
    <m/>
    <n v="1"/>
    <n v="0.375"/>
    <n v="0.85"/>
    <n v="0.31874999999999998"/>
    <n v="5740"/>
    <x v="7"/>
    <s v="TekNat"/>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183"/>
    <x v="175"/>
    <m/>
    <x v="0"/>
    <s v="H17"/>
    <x v="1"/>
    <s v="H2116-20:V221-15"/>
    <s v="Umeå"/>
    <m/>
    <s v="NATU"/>
    <m/>
    <n v="1"/>
    <x v="0"/>
    <m/>
    <m/>
    <n v="1"/>
    <n v="0.125"/>
    <n v="0.85"/>
    <n v="0.10625"/>
    <n v="5740"/>
    <x v="7"/>
    <s v="TekNat"/>
    <x v="0"/>
    <n v="20757"/>
    <n v="36082"/>
    <n v="6428.3374999999996"/>
    <n v="22600"/>
    <n v="2825"/>
    <n v="9253.3374999999996"/>
    <n v="0"/>
    <n v="0"/>
    <n v="0"/>
    <n v="0"/>
    <n v="0"/>
    <n v="1"/>
    <n v="0"/>
    <n v="0"/>
    <n v="0"/>
    <n v="0"/>
    <n v="0"/>
    <n v="0"/>
    <s v="SP 210924"/>
    <s v="Läser 7,5 av 30 hp denna termin"/>
    <n v="0"/>
    <n v="0"/>
    <n v="0"/>
    <n v="0"/>
    <n v="0"/>
    <n v="0"/>
    <n v="0"/>
    <n v="0"/>
    <n v="0"/>
    <n v="0"/>
    <n v="0.125"/>
    <n v="0.10625"/>
    <n v="0"/>
    <n v="0"/>
    <n v="0"/>
    <n v="0"/>
    <n v="0"/>
    <n v="0"/>
    <n v="0"/>
    <n v="0"/>
    <n v="0"/>
    <n v="0"/>
    <n v="0"/>
    <n v="0"/>
  </r>
  <r>
    <x v="184"/>
    <x v="176"/>
    <n v="69500"/>
    <x v="3"/>
    <m/>
    <x v="0"/>
    <m/>
    <s v="Umeå"/>
    <s v="Normal"/>
    <m/>
    <m/>
    <m/>
    <x v="0"/>
    <m/>
    <m/>
    <n v="2"/>
    <n v="0.25"/>
    <n v="0.8"/>
    <n v="0.2"/>
    <n v="5740"/>
    <x v="7"/>
    <s v="TekNat"/>
    <x v="3"/>
    <n v="20757"/>
    <n v="36082"/>
    <n v="12405.650000000001"/>
    <n v="22600"/>
    <n v="5650"/>
    <n v="18055.650000000001"/>
    <n v="0"/>
    <n v="0"/>
    <n v="0"/>
    <n v="0"/>
    <n v="0"/>
    <n v="1"/>
    <n v="0"/>
    <n v="0"/>
    <n v="0"/>
    <n v="0"/>
    <n v="0"/>
    <n v="0"/>
    <s v="Enl Fokus-Ladok 210601"/>
    <m/>
    <n v="0"/>
    <n v="0"/>
    <n v="0"/>
    <n v="0"/>
    <n v="0"/>
    <n v="0"/>
    <n v="0"/>
    <n v="0"/>
    <n v="0"/>
    <n v="0"/>
    <n v="0.25"/>
    <n v="0.2"/>
    <n v="0"/>
    <n v="0"/>
    <n v="0"/>
    <n v="0"/>
    <n v="0"/>
    <n v="0"/>
    <n v="0"/>
    <n v="0"/>
    <n v="0"/>
    <n v="0"/>
    <n v="0"/>
    <n v="0"/>
  </r>
  <r>
    <x v="184"/>
    <x v="176"/>
    <n v="69500"/>
    <x v="0"/>
    <m/>
    <x v="0"/>
    <m/>
    <s v="Umeå"/>
    <s v="Normal"/>
    <s v="MATT"/>
    <m/>
    <m/>
    <x v="0"/>
    <m/>
    <m/>
    <n v="3"/>
    <n v="0.375"/>
    <n v="0.85"/>
    <n v="0.31874999999999998"/>
    <n v="5740"/>
    <x v="7"/>
    <s v="TekNat"/>
    <x v="0"/>
    <n v="20757"/>
    <n v="36082"/>
    <n v="19285.012499999997"/>
    <n v="22600"/>
    <n v="8475"/>
    <n v="27760.012499999997"/>
    <n v="0"/>
    <n v="0"/>
    <n v="0"/>
    <n v="0"/>
    <n v="0"/>
    <n v="1"/>
    <n v="0"/>
    <n v="0"/>
    <n v="0"/>
    <n v="0"/>
    <n v="0"/>
    <n v="0"/>
    <s v="Enl Fokus-Ladok 210601"/>
    <m/>
    <n v="0"/>
    <n v="0"/>
    <n v="0"/>
    <n v="0"/>
    <n v="0"/>
    <n v="0"/>
    <n v="0"/>
    <n v="0"/>
    <n v="0"/>
    <n v="0"/>
    <n v="0.375"/>
    <n v="0.31874999999999998"/>
    <n v="0"/>
    <n v="0"/>
    <n v="0"/>
    <n v="0"/>
    <n v="0"/>
    <n v="0"/>
    <n v="0"/>
    <n v="0"/>
    <n v="0"/>
    <n v="0"/>
    <n v="0"/>
    <n v="0"/>
  </r>
  <r>
    <x v="184"/>
    <x v="176"/>
    <n v="69500"/>
    <x v="0"/>
    <m/>
    <x v="0"/>
    <m/>
    <s v="Umeå"/>
    <s v="Normal"/>
    <s v="NATU"/>
    <m/>
    <m/>
    <x v="0"/>
    <m/>
    <m/>
    <n v="1"/>
    <n v="0.125"/>
    <n v="0.85"/>
    <n v="0.10625"/>
    <n v="5740"/>
    <x v="7"/>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85"/>
    <x v="177"/>
    <n v="69501"/>
    <x v="3"/>
    <m/>
    <x v="0"/>
    <m/>
    <s v="Umeå"/>
    <s v="Normal"/>
    <m/>
    <m/>
    <m/>
    <x v="0"/>
    <m/>
    <m/>
    <n v="1"/>
    <n v="0.125"/>
    <n v="0.8"/>
    <n v="0.1"/>
    <n v="5740"/>
    <x v="7"/>
    <s v="TekNat"/>
    <x v="3"/>
    <n v="20757"/>
    <n v="36082"/>
    <n v="6202.8250000000007"/>
    <n v="22600"/>
    <n v="2825"/>
    <n v="9027.8250000000007"/>
    <n v="0"/>
    <n v="0"/>
    <n v="0"/>
    <n v="0"/>
    <n v="0"/>
    <n v="1"/>
    <n v="0"/>
    <n v="0"/>
    <n v="0"/>
    <n v="0"/>
    <n v="0"/>
    <n v="0"/>
    <s v="Enl Fokus-Ladok 210601"/>
    <m/>
    <n v="0"/>
    <n v="0"/>
    <n v="0"/>
    <n v="0"/>
    <n v="0"/>
    <n v="0"/>
    <n v="0"/>
    <n v="0"/>
    <n v="0"/>
    <n v="0"/>
    <n v="0.125"/>
    <n v="0.1"/>
    <n v="0"/>
    <n v="0"/>
    <n v="0"/>
    <n v="0"/>
    <n v="0"/>
    <n v="0"/>
    <n v="0"/>
    <n v="0"/>
    <n v="0"/>
    <n v="0"/>
    <n v="0"/>
    <n v="0"/>
  </r>
  <r>
    <x v="185"/>
    <x v="177"/>
    <n v="69501"/>
    <x v="0"/>
    <m/>
    <x v="0"/>
    <m/>
    <s v="Umeå"/>
    <s v="Normal"/>
    <s v="MATT"/>
    <m/>
    <m/>
    <x v="0"/>
    <m/>
    <m/>
    <n v="3"/>
    <n v="0.375"/>
    <n v="0.85"/>
    <n v="0.31874999999999998"/>
    <n v="5740"/>
    <x v="7"/>
    <s v="TekNat"/>
    <x v="0"/>
    <n v="20757"/>
    <n v="36082"/>
    <n v="19285.012499999997"/>
    <n v="22600"/>
    <n v="8475"/>
    <n v="27760.012499999997"/>
    <n v="0"/>
    <n v="0"/>
    <n v="0"/>
    <n v="0"/>
    <n v="0"/>
    <n v="1"/>
    <n v="0"/>
    <n v="0"/>
    <n v="0"/>
    <n v="0"/>
    <n v="0"/>
    <n v="0"/>
    <s v="Enl Fokus-Ladok 210601"/>
    <m/>
    <n v="0"/>
    <n v="0"/>
    <n v="0"/>
    <n v="0"/>
    <n v="0"/>
    <n v="0"/>
    <n v="0"/>
    <n v="0"/>
    <n v="0"/>
    <n v="0"/>
    <n v="0.375"/>
    <n v="0.31874999999999998"/>
    <n v="0"/>
    <n v="0"/>
    <n v="0"/>
    <n v="0"/>
    <n v="0"/>
    <n v="0"/>
    <n v="0"/>
    <n v="0"/>
    <n v="0"/>
    <n v="0"/>
    <n v="0"/>
    <n v="0"/>
  </r>
  <r>
    <x v="185"/>
    <x v="177"/>
    <n v="69501"/>
    <x v="0"/>
    <m/>
    <x v="0"/>
    <m/>
    <s v="Umeå"/>
    <s v="Normal"/>
    <s v="NATU"/>
    <m/>
    <m/>
    <x v="0"/>
    <m/>
    <m/>
    <n v="1"/>
    <n v="0.125"/>
    <n v="0.85"/>
    <n v="0.10625"/>
    <n v="5740"/>
    <x v="7"/>
    <s v="TekNat"/>
    <x v="0"/>
    <n v="20757"/>
    <n v="36082"/>
    <n v="6428.3374999999996"/>
    <n v="22600"/>
    <n v="2825"/>
    <n v="9253.3374999999996"/>
    <n v="0"/>
    <n v="0"/>
    <n v="0"/>
    <n v="0"/>
    <n v="0"/>
    <n v="1"/>
    <n v="0"/>
    <n v="0"/>
    <n v="0"/>
    <n v="0"/>
    <n v="0"/>
    <n v="0"/>
    <s v="Enl Fokus-Ladok 210601"/>
    <m/>
    <n v="0"/>
    <n v="0"/>
    <n v="0"/>
    <n v="0"/>
    <n v="0"/>
    <n v="0"/>
    <n v="0"/>
    <n v="0"/>
    <n v="0"/>
    <n v="0"/>
    <n v="0.125"/>
    <n v="0.10625"/>
    <n v="0"/>
    <n v="0"/>
    <n v="0"/>
    <n v="0"/>
    <n v="0"/>
    <n v="0"/>
    <n v="0"/>
    <n v="0"/>
    <n v="0"/>
    <n v="0"/>
    <n v="0"/>
    <n v="0"/>
  </r>
  <r>
    <x v="186"/>
    <x v="178"/>
    <n v="61701"/>
    <x v="12"/>
    <m/>
    <x v="0"/>
    <m/>
    <s v="Umeå"/>
    <s v="Normal"/>
    <m/>
    <m/>
    <m/>
    <x v="0"/>
    <m/>
    <m/>
    <n v="23"/>
    <n v="2.875"/>
    <n v="0.85"/>
    <n v="2.4437500000000001"/>
    <n v="5740"/>
    <x v="7"/>
    <s v="TekNat"/>
    <x v="12"/>
    <n v="20757"/>
    <n v="36082"/>
    <n v="147851.76250000001"/>
    <n v="22600"/>
    <n v="64975"/>
    <n v="212826.76250000001"/>
    <n v="0"/>
    <n v="0"/>
    <n v="0"/>
    <n v="0"/>
    <n v="0"/>
    <n v="1"/>
    <n v="0"/>
    <n v="0"/>
    <n v="0"/>
    <n v="0"/>
    <n v="0"/>
    <n v="0"/>
    <s v="Enl Fokus-Ladok 210601"/>
    <m/>
    <n v="0"/>
    <n v="0"/>
    <n v="0"/>
    <n v="0"/>
    <n v="0"/>
    <n v="0"/>
    <n v="0"/>
    <n v="0"/>
    <n v="0"/>
    <n v="0"/>
    <n v="2.875"/>
    <n v="2.4437500000000001"/>
    <n v="0"/>
    <n v="0"/>
    <n v="0"/>
    <n v="0"/>
    <n v="0"/>
    <n v="0"/>
    <n v="0"/>
    <n v="0"/>
    <n v="0"/>
    <n v="0"/>
    <n v="0"/>
    <n v="0"/>
  </r>
  <r>
    <x v="187"/>
    <x v="179"/>
    <n v="61704"/>
    <x v="4"/>
    <m/>
    <x v="0"/>
    <m/>
    <s v="Umeå"/>
    <s v="Normal"/>
    <m/>
    <m/>
    <m/>
    <x v="1"/>
    <m/>
    <m/>
    <n v="41"/>
    <n v="10.25"/>
    <n v="0.85"/>
    <n v="8.7125000000000004"/>
    <n v="5740"/>
    <x v="7"/>
    <s v="TekNat"/>
    <x v="4"/>
    <n v="20757"/>
    <n v="36082"/>
    <n v="527123.67500000005"/>
    <n v="22600"/>
    <n v="231650"/>
    <n v="758773.67500000005"/>
    <n v="0"/>
    <n v="0"/>
    <n v="0"/>
    <n v="0"/>
    <n v="0"/>
    <n v="1"/>
    <n v="0"/>
    <n v="0"/>
    <n v="0"/>
    <n v="0"/>
    <n v="0"/>
    <n v="0"/>
    <s v="Enl Fokus-Ladok 210601"/>
    <m/>
    <n v="0"/>
    <n v="0"/>
    <n v="0"/>
    <n v="0"/>
    <n v="0"/>
    <n v="0"/>
    <n v="0"/>
    <n v="0"/>
    <n v="0"/>
    <n v="0"/>
    <n v="10.25"/>
    <n v="8.7125000000000004"/>
    <n v="0"/>
    <n v="0"/>
    <n v="0"/>
    <n v="0"/>
    <n v="0"/>
    <n v="0"/>
    <n v="0"/>
    <n v="0"/>
    <n v="0"/>
    <n v="0"/>
    <n v="0"/>
    <n v="0"/>
  </r>
  <r>
    <x v="188"/>
    <x v="180"/>
    <n v="61705"/>
    <x v="5"/>
    <m/>
    <x v="0"/>
    <m/>
    <s v="Umeå"/>
    <s v="Normal"/>
    <m/>
    <m/>
    <m/>
    <x v="3"/>
    <m/>
    <m/>
    <n v="9"/>
    <n v="4.5"/>
    <n v="0.85"/>
    <n v="3.8249999999999997"/>
    <n v="5740"/>
    <x v="7"/>
    <s v="TekNat"/>
    <x v="5"/>
    <n v="20757"/>
    <n v="36082"/>
    <n v="231420.15"/>
    <n v="22600"/>
    <n v="101700"/>
    <n v="333120.15000000002"/>
    <n v="0"/>
    <n v="0"/>
    <n v="0"/>
    <n v="0"/>
    <n v="0"/>
    <n v="1"/>
    <n v="0"/>
    <n v="0"/>
    <n v="0"/>
    <n v="0"/>
    <n v="0"/>
    <n v="0"/>
    <s v="Enl Fokus-Ladok 210601"/>
    <m/>
    <n v="0"/>
    <n v="0"/>
    <n v="0"/>
    <n v="0"/>
    <n v="0"/>
    <n v="0"/>
    <n v="0"/>
    <n v="0"/>
    <n v="0"/>
    <n v="0"/>
    <n v="4.5"/>
    <n v="3.8249999999999997"/>
    <n v="0"/>
    <n v="0"/>
    <n v="0"/>
    <n v="0"/>
    <n v="0"/>
    <n v="0"/>
    <n v="0"/>
    <n v="0"/>
    <n v="0"/>
    <n v="0"/>
    <n v="0"/>
    <n v="0"/>
  </r>
  <r>
    <x v="189"/>
    <x v="181"/>
    <m/>
    <x v="11"/>
    <s v="H19"/>
    <x v="1"/>
    <s v="H2111-20"/>
    <s v="Umeå"/>
    <s v="Campus"/>
    <m/>
    <m/>
    <n v="1"/>
    <x v="1"/>
    <m/>
    <m/>
    <n v="38"/>
    <n v="9.5"/>
    <n v="0.85"/>
    <n v="8.0749999999999993"/>
    <n v="5740"/>
    <x v="7"/>
    <s v="TekNat"/>
    <x v="11"/>
    <n v="20757"/>
    <n v="36082"/>
    <n v="488553.64999999997"/>
    <n v="22600"/>
    <n v="214700"/>
    <n v="703253.64999999991"/>
    <n v="0"/>
    <n v="0"/>
    <n v="0"/>
    <n v="0"/>
    <n v="0"/>
    <n v="1"/>
    <n v="0"/>
    <n v="0"/>
    <n v="0"/>
    <n v="0"/>
    <n v="0"/>
    <n v="0"/>
    <s v="SP 210924"/>
    <m/>
    <n v="0"/>
    <n v="0"/>
    <n v="0"/>
    <n v="0"/>
    <n v="0"/>
    <n v="0"/>
    <n v="0"/>
    <n v="0"/>
    <n v="0"/>
    <n v="0"/>
    <n v="9.5"/>
    <n v="8.0749999999999993"/>
    <n v="0"/>
    <n v="0"/>
    <n v="0"/>
    <n v="0"/>
    <n v="0"/>
    <n v="0"/>
    <n v="0"/>
    <n v="0"/>
    <n v="0"/>
    <n v="0"/>
    <n v="0"/>
    <n v="0"/>
  </r>
  <r>
    <x v="189"/>
    <x v="181"/>
    <m/>
    <x v="11"/>
    <s v="V16"/>
    <x v="1"/>
    <s v="H2111-20"/>
    <s v="Umeå"/>
    <s v="Campus"/>
    <m/>
    <m/>
    <n v="1"/>
    <x v="1"/>
    <m/>
    <m/>
    <n v="1"/>
    <n v="0.25"/>
    <n v="0.85"/>
    <n v="0.21249999999999999"/>
    <n v="5740"/>
    <x v="7"/>
    <s v="TekNat"/>
    <x v="11"/>
    <n v="20757"/>
    <n v="36082"/>
    <n v="12856.674999999999"/>
    <n v="22600"/>
    <n v="5650"/>
    <n v="18506.674999999999"/>
    <n v="0"/>
    <n v="0"/>
    <n v="0"/>
    <n v="0"/>
    <n v="0"/>
    <n v="1"/>
    <n v="0"/>
    <n v="0"/>
    <n v="0"/>
    <n v="0"/>
    <n v="0"/>
    <n v="0"/>
    <s v="SP 210924"/>
    <m/>
    <n v="0"/>
    <n v="0"/>
    <n v="0"/>
    <n v="0"/>
    <n v="0"/>
    <n v="0"/>
    <n v="0"/>
    <n v="0"/>
    <n v="0"/>
    <n v="0"/>
    <n v="0.25"/>
    <n v="0.21249999999999999"/>
    <n v="0"/>
    <n v="0"/>
    <n v="0"/>
    <n v="0"/>
    <n v="0"/>
    <n v="0"/>
    <n v="0"/>
    <n v="0"/>
    <n v="0"/>
    <n v="0"/>
    <n v="0"/>
    <n v="0"/>
  </r>
  <r>
    <x v="189"/>
    <x v="181"/>
    <n v="61706"/>
    <x v="11"/>
    <m/>
    <x v="0"/>
    <m/>
    <s v="Umeå"/>
    <s v="Normal"/>
    <m/>
    <m/>
    <m/>
    <x v="1"/>
    <m/>
    <m/>
    <n v="14"/>
    <n v="3.5"/>
    <n v="0.85"/>
    <n v="2.9750000000000001"/>
    <n v="5740"/>
    <x v="7"/>
    <s v="TekNat"/>
    <x v="11"/>
    <n v="20757"/>
    <n v="36082"/>
    <n v="179993.45"/>
    <n v="22600"/>
    <n v="79100"/>
    <n v="259093.45"/>
    <n v="0"/>
    <n v="0"/>
    <n v="0"/>
    <n v="0"/>
    <n v="0"/>
    <n v="1"/>
    <n v="0"/>
    <n v="0"/>
    <n v="0"/>
    <n v="0"/>
    <n v="0"/>
    <n v="0"/>
    <s v="Enl Fokus-Ladok 210601"/>
    <m/>
    <n v="0"/>
    <n v="0"/>
    <n v="0"/>
    <n v="0"/>
    <n v="0"/>
    <n v="0"/>
    <n v="0"/>
    <n v="0"/>
    <n v="0"/>
    <n v="0"/>
    <n v="3.5"/>
    <n v="2.9750000000000001"/>
    <n v="0"/>
    <n v="0"/>
    <n v="0"/>
    <n v="0"/>
    <n v="0"/>
    <n v="0"/>
    <n v="0"/>
    <n v="0"/>
    <n v="0"/>
    <n v="0"/>
    <n v="0"/>
    <n v="0"/>
  </r>
  <r>
    <x v="190"/>
    <x v="182"/>
    <m/>
    <x v="3"/>
    <m/>
    <x v="2"/>
    <m/>
    <m/>
    <s v="Campus"/>
    <m/>
    <m/>
    <n v="0.5"/>
    <x v="0"/>
    <m/>
    <m/>
    <n v="16"/>
    <n v="2"/>
    <n v="0.8"/>
    <n v="1.6"/>
    <n v="5740"/>
    <x v="7"/>
    <s v="TekNat"/>
    <x v="3"/>
    <n v="20757"/>
    <n v="36082"/>
    <n v="99245.200000000012"/>
    <n v="22600"/>
    <n v="45200"/>
    <n v="144445.20000000001"/>
    <n v="0"/>
    <n v="0"/>
    <n v="0"/>
    <n v="0"/>
    <n v="0"/>
    <n v="1"/>
    <n v="0"/>
    <n v="0"/>
    <n v="0"/>
    <n v="0"/>
    <n v="0"/>
    <n v="0"/>
    <s v="Äskat/Beslutat 200611 p.39"/>
    <s v="Enl Ladok 210610"/>
    <n v="0"/>
    <n v="0"/>
    <n v="0"/>
    <n v="0"/>
    <n v="0"/>
    <n v="0"/>
    <n v="0"/>
    <n v="0"/>
    <n v="0"/>
    <n v="0"/>
    <n v="2"/>
    <n v="1.6"/>
    <n v="0"/>
    <n v="0"/>
    <n v="0"/>
    <n v="0"/>
    <n v="0"/>
    <n v="0"/>
    <n v="0"/>
    <n v="0"/>
    <n v="0"/>
    <n v="0"/>
    <n v="0"/>
    <n v="0"/>
  </r>
  <r>
    <x v="191"/>
    <x v="183"/>
    <n v="61702"/>
    <x v="3"/>
    <m/>
    <x v="0"/>
    <m/>
    <s v="Umeå"/>
    <s v="Normal"/>
    <m/>
    <m/>
    <m/>
    <x v="0"/>
    <m/>
    <m/>
    <n v="4"/>
    <n v="0.5"/>
    <n v="0.8"/>
    <n v="0.4"/>
    <n v="5740"/>
    <x v="7"/>
    <s v="TekNat"/>
    <x v="3"/>
    <n v="20757"/>
    <n v="36082"/>
    <n v="24811.300000000003"/>
    <n v="22600"/>
    <n v="11300"/>
    <n v="36111.300000000003"/>
    <n v="0"/>
    <n v="0"/>
    <n v="0"/>
    <n v="0"/>
    <n v="0"/>
    <n v="1"/>
    <n v="0"/>
    <n v="0"/>
    <n v="0"/>
    <n v="0"/>
    <n v="0"/>
    <n v="0"/>
    <s v="Enl Fokus-Ladok 210601"/>
    <m/>
    <n v="0"/>
    <n v="0"/>
    <n v="0"/>
    <n v="0"/>
    <n v="0"/>
    <n v="0"/>
    <n v="0"/>
    <n v="0"/>
    <n v="0"/>
    <n v="0"/>
    <n v="0.5"/>
    <n v="0.4"/>
    <n v="0"/>
    <n v="0"/>
    <n v="0"/>
    <n v="0"/>
    <n v="0"/>
    <n v="0"/>
    <n v="0"/>
    <n v="0"/>
    <n v="0"/>
    <n v="0"/>
    <n v="0"/>
    <n v="0"/>
  </r>
  <r>
    <x v="192"/>
    <x v="184"/>
    <n v="61602"/>
    <x v="3"/>
    <m/>
    <x v="0"/>
    <m/>
    <s v="Umeå"/>
    <s v="Distans"/>
    <m/>
    <m/>
    <m/>
    <x v="1"/>
    <m/>
    <m/>
    <n v="13"/>
    <n v="3.25"/>
    <n v="0.8"/>
    <n v="2.6"/>
    <n v="5740"/>
    <x v="7"/>
    <s v="TekNat"/>
    <x v="3"/>
    <n v="20757"/>
    <n v="36082"/>
    <n v="161273.45000000001"/>
    <n v="22600"/>
    <n v="73450"/>
    <n v="234723.45"/>
    <n v="0"/>
    <n v="0"/>
    <n v="0"/>
    <n v="0"/>
    <n v="0"/>
    <n v="1"/>
    <n v="0"/>
    <n v="0"/>
    <n v="0"/>
    <n v="0"/>
    <n v="0"/>
    <n v="0"/>
    <s v="Enl Fokus-Ladok 210601"/>
    <s v="Läser 15 av 30 hp denna termin"/>
    <n v="0"/>
    <n v="0"/>
    <n v="0"/>
    <n v="0"/>
    <n v="0"/>
    <n v="0"/>
    <n v="0"/>
    <n v="0"/>
    <n v="0"/>
    <n v="0"/>
    <n v="3.25"/>
    <n v="2.6"/>
    <n v="0"/>
    <n v="0"/>
    <n v="0"/>
    <n v="0"/>
    <n v="0"/>
    <n v="0"/>
    <n v="0"/>
    <n v="0"/>
    <n v="0"/>
    <n v="0"/>
    <n v="0"/>
    <n v="0"/>
  </r>
  <r>
    <x v="192"/>
    <x v="184"/>
    <m/>
    <x v="3"/>
    <m/>
    <x v="1"/>
    <m/>
    <m/>
    <s v="Distans"/>
    <m/>
    <m/>
    <n v="0.5"/>
    <x v="1"/>
    <m/>
    <m/>
    <n v="25"/>
    <n v="6.25"/>
    <n v="0.8"/>
    <n v="5"/>
    <n v="5740"/>
    <x v="7"/>
    <s v="TekNat"/>
    <x v="3"/>
    <n v="20757"/>
    <n v="36082"/>
    <n v="310141.25"/>
    <n v="22600"/>
    <n v="141250"/>
    <n v="451391.25"/>
    <n v="0"/>
    <n v="0"/>
    <n v="0"/>
    <n v="0"/>
    <n v="0"/>
    <n v="1"/>
    <n v="0"/>
    <n v="0"/>
    <n v="0"/>
    <n v="0"/>
    <n v="0"/>
    <n v="0"/>
    <s v="Äskat/Beslutat 200611 p.39"/>
    <s v="Läser 15 av 30 hp denna termin"/>
    <n v="0"/>
    <n v="0"/>
    <n v="0"/>
    <n v="0"/>
    <n v="0"/>
    <n v="0"/>
    <n v="0"/>
    <n v="0"/>
    <n v="0"/>
    <n v="0"/>
    <n v="6.25"/>
    <n v="5"/>
    <n v="0"/>
    <n v="0"/>
    <n v="0"/>
    <n v="0"/>
    <n v="0"/>
    <n v="0"/>
    <n v="0"/>
    <n v="0"/>
    <n v="0"/>
    <n v="0"/>
    <n v="0"/>
    <n v="0"/>
  </r>
  <r>
    <x v="193"/>
    <x v="185"/>
    <n v="68726"/>
    <x v="1"/>
    <m/>
    <x v="0"/>
    <m/>
    <s v="Umeå"/>
    <s v="Distans"/>
    <s v="DIOB"/>
    <m/>
    <m/>
    <x v="1"/>
    <m/>
    <m/>
    <n v="28"/>
    <n v="7"/>
    <n v="0.85"/>
    <n v="5.95"/>
    <n v="2193"/>
    <x v="13"/>
    <s v="Sam"/>
    <x v="1"/>
    <n v="20766"/>
    <n v="17442"/>
    <n v="249141.90000000002"/>
    <n v="6000"/>
    <n v="42000"/>
    <n v="291141.90000000002"/>
    <n v="0"/>
    <n v="0"/>
    <n v="0"/>
    <n v="0"/>
    <n v="0"/>
    <n v="0"/>
    <n v="1"/>
    <n v="0"/>
    <n v="0"/>
    <n v="0"/>
    <n v="0"/>
    <n v="0"/>
    <s v="Enl Fokus-Ladok 210601"/>
    <m/>
    <n v="0"/>
    <n v="0"/>
    <n v="0"/>
    <n v="0"/>
    <n v="0"/>
    <n v="0"/>
    <n v="0"/>
    <n v="0"/>
    <n v="0"/>
    <n v="0"/>
    <n v="0"/>
    <n v="0"/>
    <n v="7"/>
    <n v="5.95"/>
    <n v="0"/>
    <n v="0"/>
    <n v="0"/>
    <n v="0"/>
    <n v="0"/>
    <n v="0"/>
    <n v="0"/>
    <n v="0"/>
    <n v="0"/>
    <n v="0"/>
  </r>
  <r>
    <x v="193"/>
    <x v="185"/>
    <n v="68726"/>
    <x v="1"/>
    <m/>
    <x v="0"/>
    <m/>
    <s v="Umeå"/>
    <s v="Distans"/>
    <s v="DIST"/>
    <m/>
    <m/>
    <x v="1"/>
    <m/>
    <m/>
    <n v="21"/>
    <n v="5.25"/>
    <n v="0.85"/>
    <n v="4.4624999999999995"/>
    <n v="2193"/>
    <x v="13"/>
    <s v="Sam"/>
    <x v="1"/>
    <n v="20766"/>
    <n v="17442"/>
    <n v="186856.42499999999"/>
    <n v="6000"/>
    <n v="31500"/>
    <n v="218356.42499999999"/>
    <n v="0"/>
    <n v="0"/>
    <n v="0"/>
    <n v="0"/>
    <n v="0"/>
    <n v="0"/>
    <n v="1"/>
    <n v="0"/>
    <n v="0"/>
    <n v="0"/>
    <n v="0"/>
    <n v="0"/>
    <s v="Enl Fokus-Ladok 210601"/>
    <m/>
    <n v="0"/>
    <n v="0"/>
    <n v="0"/>
    <n v="0"/>
    <n v="0"/>
    <n v="0"/>
    <n v="0"/>
    <n v="0"/>
    <n v="0"/>
    <n v="0"/>
    <n v="0"/>
    <n v="0"/>
    <n v="5.25"/>
    <n v="4.4624999999999995"/>
    <n v="0"/>
    <n v="0"/>
    <n v="0"/>
    <n v="0"/>
    <n v="0"/>
    <n v="0"/>
    <n v="0"/>
    <n v="0"/>
    <n v="0"/>
    <n v="0"/>
  </r>
  <r>
    <x v="193"/>
    <x v="185"/>
    <n v="68727"/>
    <x v="1"/>
    <m/>
    <x v="0"/>
    <m/>
    <s v="Umeå"/>
    <s v="Normal"/>
    <s v="REGU"/>
    <m/>
    <m/>
    <x v="1"/>
    <m/>
    <m/>
    <n v="20"/>
    <n v="5"/>
    <n v="0.85"/>
    <n v="4.25"/>
    <n v="2193"/>
    <x v="13"/>
    <s v="Sam"/>
    <x v="1"/>
    <n v="20766"/>
    <n v="17442"/>
    <n v="177958.5"/>
    <n v="6000"/>
    <n v="30000"/>
    <n v="207958.5"/>
    <n v="0"/>
    <n v="0"/>
    <n v="0"/>
    <n v="0"/>
    <n v="0"/>
    <n v="0"/>
    <n v="1"/>
    <n v="0"/>
    <n v="0"/>
    <n v="0"/>
    <n v="0"/>
    <n v="0"/>
    <s v="Enl Fokus-Ladok 210601"/>
    <m/>
    <n v="0"/>
    <n v="0"/>
    <n v="0"/>
    <n v="0"/>
    <n v="0"/>
    <n v="0"/>
    <n v="0"/>
    <n v="0"/>
    <n v="0"/>
    <n v="0"/>
    <n v="0"/>
    <n v="0"/>
    <n v="5"/>
    <n v="4.25"/>
    <n v="0"/>
    <n v="0"/>
    <n v="0"/>
    <n v="0"/>
    <n v="0"/>
    <n v="0"/>
    <n v="0"/>
    <n v="0"/>
    <n v="0"/>
    <n v="0"/>
  </r>
  <r>
    <x v="193"/>
    <x v="185"/>
    <n v="68726"/>
    <x v="1"/>
    <m/>
    <x v="0"/>
    <m/>
    <s v="Umeå"/>
    <s v="Distans"/>
    <m/>
    <m/>
    <m/>
    <x v="1"/>
    <m/>
    <m/>
    <n v="1"/>
    <n v="0.25"/>
    <n v="0.85"/>
    <n v="0.21249999999999999"/>
    <n v="2193"/>
    <x v="13"/>
    <s v="Sam"/>
    <x v="1"/>
    <n v="20766"/>
    <n v="17442"/>
    <n v="8897.9249999999993"/>
    <n v="6000"/>
    <n v="1500"/>
    <n v="10397.924999999999"/>
    <n v="0"/>
    <n v="0"/>
    <n v="0"/>
    <n v="0"/>
    <n v="0"/>
    <n v="0"/>
    <n v="1"/>
    <n v="0"/>
    <n v="0"/>
    <n v="0"/>
    <n v="0"/>
    <n v="0"/>
    <s v="Enl Fokus-Ladok 210601"/>
    <m/>
    <n v="0"/>
    <n v="0"/>
    <n v="0"/>
    <n v="0"/>
    <n v="0"/>
    <n v="0"/>
    <n v="0"/>
    <n v="0"/>
    <n v="0"/>
    <n v="0"/>
    <n v="0"/>
    <n v="0"/>
    <n v="0.25"/>
    <n v="0.21249999999999999"/>
    <n v="0"/>
    <n v="0"/>
    <n v="0"/>
    <n v="0"/>
    <n v="0"/>
    <n v="0"/>
    <n v="0"/>
    <n v="0"/>
    <n v="0"/>
    <n v="0"/>
  </r>
  <r>
    <x v="194"/>
    <x v="186"/>
    <m/>
    <x v="12"/>
    <s v="H20"/>
    <x v="1"/>
    <s v="H211-5"/>
    <s v="Umeå"/>
    <s v="Campus"/>
    <m/>
    <m/>
    <n v="1"/>
    <x v="0"/>
    <m/>
    <m/>
    <n v="18"/>
    <n v="2.25"/>
    <n v="0.85"/>
    <n v="1.9124999999999999"/>
    <n v="2193"/>
    <x v="13"/>
    <s v="Sam"/>
    <x v="12"/>
    <n v="20766"/>
    <n v="17442"/>
    <n v="80081.324999999997"/>
    <n v="6000"/>
    <n v="13500"/>
    <n v="93581.324999999997"/>
    <n v="0"/>
    <n v="0"/>
    <n v="0"/>
    <n v="0"/>
    <n v="0"/>
    <n v="0"/>
    <n v="1"/>
    <n v="0"/>
    <n v="0"/>
    <n v="0"/>
    <n v="0"/>
    <n v="0"/>
    <s v="SP 210923"/>
    <m/>
    <n v="0"/>
    <n v="0"/>
    <n v="0"/>
    <n v="0"/>
    <n v="0"/>
    <n v="0"/>
    <n v="0"/>
    <n v="0"/>
    <n v="0"/>
    <n v="0"/>
    <n v="0"/>
    <n v="0"/>
    <n v="2.25"/>
    <n v="1.9124999999999999"/>
    <n v="0"/>
    <n v="0"/>
    <n v="0"/>
    <n v="0"/>
    <n v="0"/>
    <n v="0"/>
    <n v="0"/>
    <n v="0"/>
    <n v="0"/>
    <n v="0"/>
  </r>
  <r>
    <x v="195"/>
    <x v="187"/>
    <n v="68728"/>
    <x v="12"/>
    <m/>
    <x v="0"/>
    <m/>
    <s v="Umeå"/>
    <s v="Normal"/>
    <m/>
    <m/>
    <m/>
    <x v="1"/>
    <m/>
    <m/>
    <n v="22"/>
    <n v="5.5"/>
    <n v="0.85"/>
    <n v="4.6749999999999998"/>
    <n v="2193"/>
    <x v="13"/>
    <s v="Sam"/>
    <x v="12"/>
    <n v="20766"/>
    <n v="17442"/>
    <n v="195754.34999999998"/>
    <n v="6000"/>
    <n v="33000"/>
    <n v="228754.34999999998"/>
    <n v="0"/>
    <n v="0"/>
    <n v="0"/>
    <n v="0"/>
    <n v="0"/>
    <n v="0"/>
    <n v="1"/>
    <n v="0"/>
    <n v="0"/>
    <n v="0"/>
    <n v="0"/>
    <n v="0"/>
    <s v="Enl Fokus-Ladok 210601"/>
    <m/>
    <n v="0"/>
    <n v="0"/>
    <n v="0"/>
    <n v="0"/>
    <n v="0"/>
    <n v="0"/>
    <n v="0"/>
    <n v="0"/>
    <n v="0"/>
    <n v="0"/>
    <n v="0"/>
    <n v="0"/>
    <n v="5.5"/>
    <n v="4.6749999999999998"/>
    <n v="0"/>
    <n v="0"/>
    <n v="0"/>
    <n v="0"/>
    <n v="0"/>
    <n v="0"/>
    <n v="0"/>
    <n v="0"/>
    <n v="0"/>
    <n v="0"/>
  </r>
  <r>
    <x v="196"/>
    <x v="188"/>
    <n v="68718"/>
    <x v="3"/>
    <m/>
    <x v="0"/>
    <m/>
    <s v="Ortsoberoende"/>
    <s v="Distans"/>
    <m/>
    <m/>
    <m/>
    <x v="1"/>
    <m/>
    <m/>
    <n v="23"/>
    <n v="5.75"/>
    <n v="0.8"/>
    <n v="4.6000000000000005"/>
    <n v="2193"/>
    <x v="13"/>
    <s v="Sam"/>
    <x v="3"/>
    <n v="20766"/>
    <n v="17442"/>
    <n v="199637.7"/>
    <n v="6000"/>
    <n v="34500"/>
    <n v="234137.7"/>
    <n v="0"/>
    <n v="0"/>
    <n v="0"/>
    <n v="0"/>
    <n v="0"/>
    <n v="0"/>
    <n v="1"/>
    <n v="0"/>
    <n v="0"/>
    <n v="0"/>
    <n v="0"/>
    <n v="0"/>
    <s v="Enl Fokus-Ladok 210601"/>
    <m/>
    <n v="0"/>
    <n v="0"/>
    <n v="0"/>
    <n v="0"/>
    <n v="0"/>
    <n v="0"/>
    <n v="0"/>
    <n v="0"/>
    <n v="0"/>
    <n v="0"/>
    <n v="0"/>
    <n v="0"/>
    <n v="5.75"/>
    <n v="4.6000000000000005"/>
    <n v="0"/>
    <n v="0"/>
    <n v="0"/>
    <n v="0"/>
    <n v="0"/>
    <n v="0"/>
    <n v="0"/>
    <n v="0"/>
    <n v="0"/>
    <n v="0"/>
  </r>
  <r>
    <x v="197"/>
    <x v="189"/>
    <m/>
    <x v="3"/>
    <m/>
    <x v="1"/>
    <m/>
    <m/>
    <s v="Distans"/>
    <m/>
    <m/>
    <n v="0.5"/>
    <x v="1"/>
    <m/>
    <m/>
    <n v="30"/>
    <n v="7.5"/>
    <n v="0.8"/>
    <n v="6"/>
    <n v="2193"/>
    <x v="13"/>
    <s v="Sam"/>
    <x v="3"/>
    <n v="20766"/>
    <n v="17442"/>
    <n v="260397"/>
    <n v="6000"/>
    <n v="45000"/>
    <n v="305397"/>
    <n v="0"/>
    <n v="0"/>
    <n v="0"/>
    <n v="0"/>
    <n v="0"/>
    <n v="0"/>
    <n v="1"/>
    <n v="0"/>
    <n v="0"/>
    <n v="0"/>
    <n v="0"/>
    <n v="0"/>
    <s v="Äskat/Beslutat 200611 p.39"/>
    <m/>
    <n v="0"/>
    <n v="0"/>
    <n v="0"/>
    <n v="0"/>
    <n v="0"/>
    <n v="0"/>
    <n v="0"/>
    <n v="0"/>
    <n v="0"/>
    <n v="0"/>
    <n v="0"/>
    <n v="0"/>
    <n v="7.5"/>
    <n v="6"/>
    <n v="0"/>
    <n v="0"/>
    <n v="0"/>
    <n v="0"/>
    <n v="0"/>
    <n v="0"/>
    <n v="0"/>
    <n v="0"/>
    <n v="0"/>
    <n v="0"/>
  </r>
  <r>
    <x v="198"/>
    <x v="190"/>
    <n v="64509"/>
    <x v="4"/>
    <m/>
    <x v="0"/>
    <m/>
    <s v="Umeå"/>
    <s v="Normal"/>
    <m/>
    <m/>
    <m/>
    <x v="1"/>
    <m/>
    <m/>
    <n v="42"/>
    <n v="10.5"/>
    <n v="0.85"/>
    <n v="8.9249999999999989"/>
    <n v="2180"/>
    <x v="12"/>
    <s v="Sam"/>
    <x v="4"/>
    <n v="20766"/>
    <n v="17442"/>
    <n v="373712.85"/>
    <n v="6000"/>
    <n v="63000"/>
    <n v="436712.85"/>
    <n v="0"/>
    <n v="0"/>
    <n v="0"/>
    <n v="0"/>
    <n v="0"/>
    <n v="0"/>
    <n v="1"/>
    <n v="0"/>
    <n v="0"/>
    <n v="0"/>
    <n v="0"/>
    <n v="0"/>
    <s v="Enl Fokus-Ladok 210601"/>
    <m/>
    <n v="0"/>
    <n v="0"/>
    <n v="0"/>
    <n v="0"/>
    <n v="0"/>
    <n v="0"/>
    <n v="0"/>
    <n v="0"/>
    <n v="0"/>
    <n v="0"/>
    <n v="0"/>
    <n v="0"/>
    <n v="10.5"/>
    <n v="8.9249999999999989"/>
    <n v="0"/>
    <n v="0"/>
    <n v="0"/>
    <n v="0"/>
    <n v="0"/>
    <n v="0"/>
    <n v="0"/>
    <n v="0"/>
    <n v="0"/>
    <n v="0"/>
  </r>
  <r>
    <x v="199"/>
    <x v="191"/>
    <m/>
    <x v="3"/>
    <m/>
    <x v="1"/>
    <m/>
    <m/>
    <s v="Campus"/>
    <m/>
    <m/>
    <n v="0.25"/>
    <x v="0"/>
    <m/>
    <m/>
    <n v="15"/>
    <n v="1.875"/>
    <n v="0.8"/>
    <n v="1.5"/>
    <n v="5740"/>
    <x v="7"/>
    <s v="TekNat"/>
    <x v="3"/>
    <n v="20757"/>
    <n v="36082"/>
    <n v="93042.375"/>
    <n v="22600"/>
    <n v="42375"/>
    <n v="135417.375"/>
    <n v="0"/>
    <n v="0"/>
    <n v="0"/>
    <n v="0"/>
    <n v="0"/>
    <n v="1"/>
    <n v="0"/>
    <n v="0"/>
    <n v="0"/>
    <n v="0"/>
    <n v="0"/>
    <n v="0"/>
    <s v="Äskat/Beslutat 200611 p.39"/>
    <m/>
    <n v="0"/>
    <n v="0"/>
    <n v="0"/>
    <n v="0"/>
    <n v="0"/>
    <n v="0"/>
    <n v="0"/>
    <n v="0"/>
    <n v="0"/>
    <n v="0"/>
    <n v="1.875"/>
    <n v="1.5"/>
    <n v="0"/>
    <n v="0"/>
    <n v="0"/>
    <n v="0"/>
    <n v="0"/>
    <n v="0"/>
    <n v="0"/>
    <n v="0"/>
    <n v="0"/>
    <n v="0"/>
    <n v="0"/>
    <n v="0"/>
  </r>
  <r>
    <x v="199"/>
    <x v="191"/>
    <m/>
    <x v="0"/>
    <s v="H20"/>
    <x v="1"/>
    <s v="H211-20"/>
    <s v="Umeå"/>
    <m/>
    <s v="NATU"/>
    <m/>
    <n v="0.25"/>
    <x v="0"/>
    <m/>
    <m/>
    <n v="1"/>
    <n v="0.125"/>
    <n v="0.85"/>
    <n v="0.10625"/>
    <n v="5740"/>
    <x v="7"/>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199"/>
    <x v="191"/>
    <m/>
    <x v="0"/>
    <s v="V21"/>
    <x v="1"/>
    <s v="H211-20"/>
    <s v="Umeå"/>
    <m/>
    <s v="MATT"/>
    <m/>
    <n v="0.25"/>
    <x v="0"/>
    <m/>
    <m/>
    <n v="1"/>
    <n v="0.125"/>
    <n v="0.85"/>
    <n v="0.10625"/>
    <n v="5740"/>
    <x v="7"/>
    <s v="TekNat"/>
    <x v="0"/>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200"/>
    <x v="192"/>
    <m/>
    <x v="11"/>
    <s v="H20"/>
    <x v="1"/>
    <s v="H211-4"/>
    <s v="Umeå"/>
    <s v="Campus"/>
    <m/>
    <m/>
    <n v="1"/>
    <x v="4"/>
    <m/>
    <m/>
    <n v="1"/>
    <n v="0.1"/>
    <n v="0.85"/>
    <n v="8.5000000000000006E-2"/>
    <n v="2193"/>
    <x v="13"/>
    <s v="Sam"/>
    <x v="11"/>
    <n v="26554"/>
    <n v="33465"/>
    <n v="5499.9250000000002"/>
    <n v="6000"/>
    <n v="600"/>
    <n v="6099.9250000000002"/>
    <n v="0"/>
    <n v="0"/>
    <n v="0"/>
    <n v="1"/>
    <n v="0"/>
    <n v="0"/>
    <n v="0"/>
    <n v="0"/>
    <n v="0"/>
    <n v="0"/>
    <n v="0"/>
    <n v="0"/>
    <s v="SP 210924"/>
    <m/>
    <n v="0"/>
    <n v="0"/>
    <n v="0"/>
    <n v="0"/>
    <n v="0"/>
    <n v="0"/>
    <n v="0.1"/>
    <n v="8.5000000000000006E-2"/>
    <n v="0"/>
    <n v="0"/>
    <n v="0"/>
    <n v="0"/>
    <n v="0"/>
    <n v="0"/>
    <n v="0"/>
    <n v="0"/>
    <n v="0"/>
    <n v="0"/>
    <n v="0"/>
    <n v="0"/>
    <n v="0"/>
    <n v="0"/>
    <n v="0"/>
    <n v="0"/>
  </r>
  <r>
    <x v="200"/>
    <x v="192"/>
    <m/>
    <x v="11"/>
    <s v="H21"/>
    <x v="1"/>
    <m/>
    <n v="2480"/>
    <m/>
    <m/>
    <m/>
    <m/>
    <x v="4"/>
    <m/>
    <m/>
    <n v="53"/>
    <n v="5.3000000000000007"/>
    <n v="0.85"/>
    <n v="4.5050000000000008"/>
    <n v="2193"/>
    <x v="13"/>
    <s v="Sam"/>
    <x v="11"/>
    <n v="26554"/>
    <n v="33465"/>
    <n v="291496.02500000002"/>
    <n v="6000"/>
    <n v="31800.000000000004"/>
    <n v="323296.02500000002"/>
    <n v="0"/>
    <n v="0"/>
    <n v="0"/>
    <n v="1"/>
    <n v="0"/>
    <n v="0"/>
    <n v="0"/>
    <n v="0"/>
    <n v="0"/>
    <n v="0"/>
    <n v="0"/>
    <n v="0"/>
    <s v="Reg enl Ladok 210907"/>
    <m/>
    <n v="0"/>
    <n v="0"/>
    <n v="0"/>
    <n v="0"/>
    <n v="0"/>
    <n v="0"/>
    <n v="5.3000000000000007"/>
    <n v="4.5050000000000008"/>
    <n v="0"/>
    <n v="0"/>
    <n v="0"/>
    <n v="0"/>
    <n v="0"/>
    <n v="0"/>
    <n v="0"/>
    <n v="0"/>
    <n v="0"/>
    <n v="0"/>
    <n v="0"/>
    <n v="0"/>
    <n v="0"/>
    <n v="0"/>
    <n v="0"/>
    <n v="0"/>
  </r>
  <r>
    <x v="200"/>
    <x v="192"/>
    <n v="68714"/>
    <x v="11"/>
    <m/>
    <x v="0"/>
    <m/>
    <s v="Umeå"/>
    <s v="Normal"/>
    <m/>
    <m/>
    <m/>
    <x v="4"/>
    <m/>
    <m/>
    <n v="34"/>
    <n v="3.4"/>
    <n v="0.85"/>
    <n v="2.8899999999999997"/>
    <n v="2193"/>
    <x v="13"/>
    <s v="Sam"/>
    <x v="11"/>
    <n v="26554"/>
    <n v="33465"/>
    <n v="186997.44999999998"/>
    <n v="6000"/>
    <n v="20400"/>
    <n v="207397.44999999998"/>
    <n v="0"/>
    <n v="0"/>
    <n v="0"/>
    <n v="1"/>
    <n v="0"/>
    <n v="0"/>
    <n v="0"/>
    <n v="0"/>
    <n v="0"/>
    <n v="0"/>
    <n v="0"/>
    <n v="0"/>
    <s v="Enl Fokus-Ladok 210601"/>
    <m/>
    <n v="0"/>
    <n v="0"/>
    <n v="0"/>
    <n v="0"/>
    <n v="0"/>
    <n v="0"/>
    <n v="3.4"/>
    <n v="2.8899999999999997"/>
    <n v="0"/>
    <n v="0"/>
    <n v="0"/>
    <n v="0"/>
    <n v="0"/>
    <n v="0"/>
    <n v="0"/>
    <n v="0"/>
    <n v="0"/>
    <n v="0"/>
    <n v="0"/>
    <n v="0"/>
    <n v="0"/>
    <n v="0"/>
    <n v="0"/>
    <n v="0"/>
  </r>
  <r>
    <x v="201"/>
    <x v="193"/>
    <m/>
    <x v="11"/>
    <s v="H21"/>
    <x v="1"/>
    <m/>
    <n v="2480"/>
    <m/>
    <m/>
    <m/>
    <m/>
    <x v="8"/>
    <n v="-0.05"/>
    <n v="53"/>
    <n v="50.35"/>
    <n v="1.25875"/>
    <n v="0.85"/>
    <n v="1.0699375"/>
    <n v="2193"/>
    <x v="13"/>
    <s v="Sam"/>
    <x v="11"/>
    <n v="25235"/>
    <n v="27976"/>
    <n v="61697.12775"/>
    <n v="3600"/>
    <n v="4531.5"/>
    <n v="66228.62775"/>
    <n v="0"/>
    <n v="0"/>
    <n v="0"/>
    <n v="0"/>
    <n v="0"/>
    <n v="0"/>
    <n v="0"/>
    <n v="0"/>
    <n v="1"/>
    <n v="0"/>
    <n v="0"/>
    <n v="0"/>
    <s v="Prognostal"/>
    <m/>
    <n v="0"/>
    <n v="0"/>
    <n v="0"/>
    <n v="0"/>
    <n v="0"/>
    <n v="0"/>
    <n v="0"/>
    <n v="0"/>
    <n v="0"/>
    <n v="0"/>
    <n v="0"/>
    <n v="0"/>
    <n v="0"/>
    <n v="0"/>
    <n v="0"/>
    <n v="0"/>
    <n v="1.25875"/>
    <n v="1.0699375"/>
    <n v="0"/>
    <n v="0"/>
    <n v="0"/>
    <n v="0"/>
    <n v="0"/>
    <n v="0"/>
  </r>
  <r>
    <x v="201"/>
    <x v="193"/>
    <n v="68715"/>
    <x v="11"/>
    <m/>
    <x v="0"/>
    <m/>
    <s v="Umeå"/>
    <s v="Normal"/>
    <m/>
    <m/>
    <m/>
    <x v="8"/>
    <m/>
    <m/>
    <n v="29"/>
    <n v="0.72499999999999998"/>
    <n v="0.85"/>
    <n v="0.61624999999999996"/>
    <n v="2193"/>
    <x v="13"/>
    <s v="Sam"/>
    <x v="11"/>
    <n v="25235"/>
    <n v="27976"/>
    <n v="35535.584999999999"/>
    <n v="3600"/>
    <n v="2610"/>
    <n v="38145.584999999999"/>
    <n v="0"/>
    <n v="0"/>
    <n v="0"/>
    <n v="0"/>
    <n v="0"/>
    <n v="0"/>
    <n v="0"/>
    <n v="0"/>
    <n v="1"/>
    <n v="0"/>
    <n v="0"/>
    <n v="0"/>
    <s v="Enl Fokus-Ladok 210601"/>
    <m/>
    <n v="0"/>
    <n v="0"/>
    <n v="0"/>
    <n v="0"/>
    <n v="0"/>
    <n v="0"/>
    <n v="0"/>
    <n v="0"/>
    <n v="0"/>
    <n v="0"/>
    <n v="0"/>
    <n v="0"/>
    <n v="0"/>
    <n v="0"/>
    <n v="0"/>
    <n v="0"/>
    <n v="0.72499999999999998"/>
    <n v="0.61624999999999996"/>
    <n v="0"/>
    <n v="0"/>
    <n v="0"/>
    <n v="0"/>
    <n v="0"/>
    <n v="0"/>
  </r>
  <r>
    <x v="202"/>
    <x v="194"/>
    <m/>
    <x v="13"/>
    <s v="H21"/>
    <x v="1"/>
    <m/>
    <n v="2480"/>
    <m/>
    <m/>
    <m/>
    <m/>
    <x v="4"/>
    <m/>
    <m/>
    <n v="149"/>
    <n v="14.9"/>
    <n v="0.85"/>
    <n v="12.664999999999999"/>
    <n v="2180"/>
    <x v="12"/>
    <s v="Sam"/>
    <x v="0"/>
    <n v="26554"/>
    <n v="33465"/>
    <n v="819488.82499999995"/>
    <n v="6000"/>
    <n v="89400"/>
    <n v="908888.82499999995"/>
    <n v="0"/>
    <n v="0"/>
    <n v="0"/>
    <n v="1"/>
    <n v="0"/>
    <n v="0"/>
    <n v="0"/>
    <n v="0"/>
    <n v="0"/>
    <n v="0"/>
    <n v="0"/>
    <n v="0"/>
    <s v="Reg enl Ladok 210907"/>
    <m/>
    <n v="0"/>
    <n v="0"/>
    <n v="0"/>
    <n v="0"/>
    <n v="0"/>
    <n v="0"/>
    <n v="14.9"/>
    <n v="12.664999999999999"/>
    <n v="0"/>
    <n v="0"/>
    <n v="0"/>
    <n v="0"/>
    <n v="0"/>
    <n v="0"/>
    <n v="0"/>
    <n v="0"/>
    <n v="0"/>
    <n v="0"/>
    <n v="0"/>
    <n v="0"/>
    <n v="0"/>
    <n v="0"/>
    <n v="0"/>
    <n v="0"/>
  </r>
  <r>
    <x v="202"/>
    <x v="194"/>
    <m/>
    <x v="0"/>
    <s v="H19"/>
    <x v="1"/>
    <s v="H211-4"/>
    <s v="Umeå"/>
    <m/>
    <s v="MATT"/>
    <m/>
    <n v="1"/>
    <x v="4"/>
    <m/>
    <m/>
    <n v="1"/>
    <n v="0.1"/>
    <n v="0.85"/>
    <n v="8.5000000000000006E-2"/>
    <n v="2180"/>
    <x v="12"/>
    <s v="Sam"/>
    <x v="0"/>
    <n v="26554"/>
    <n v="33465"/>
    <n v="5499.9250000000002"/>
    <n v="6000"/>
    <n v="600"/>
    <n v="6099.9250000000002"/>
    <n v="0"/>
    <n v="0"/>
    <n v="0"/>
    <n v="1"/>
    <n v="0"/>
    <n v="0"/>
    <n v="0"/>
    <n v="0"/>
    <n v="0"/>
    <n v="0"/>
    <n v="0"/>
    <n v="0"/>
    <s v="SP 210924"/>
    <m/>
    <n v="0"/>
    <n v="0"/>
    <n v="0"/>
    <n v="0"/>
    <n v="0"/>
    <n v="0"/>
    <n v="0.1"/>
    <n v="8.5000000000000006E-2"/>
    <n v="0"/>
    <n v="0"/>
    <n v="0"/>
    <n v="0"/>
    <n v="0"/>
    <n v="0"/>
    <n v="0"/>
    <n v="0"/>
    <n v="0"/>
    <n v="0"/>
    <n v="0"/>
    <n v="0"/>
    <n v="0"/>
    <n v="0"/>
    <n v="0"/>
    <n v="0"/>
  </r>
  <r>
    <x v="203"/>
    <x v="195"/>
    <m/>
    <x v="13"/>
    <s v="H21"/>
    <x v="1"/>
    <m/>
    <n v="2480"/>
    <m/>
    <m/>
    <m/>
    <m/>
    <x v="8"/>
    <m/>
    <m/>
    <n v="145"/>
    <n v="3.625"/>
    <n v="0.85"/>
    <n v="3.0812499999999998"/>
    <n v="2180"/>
    <x v="12"/>
    <s v="Sam"/>
    <x v="0"/>
    <n v="25235"/>
    <n v="27976"/>
    <n v="177677.92499999999"/>
    <n v="3600"/>
    <n v="13050"/>
    <n v="190727.92499999999"/>
    <n v="0"/>
    <n v="0"/>
    <n v="0"/>
    <n v="0"/>
    <n v="0"/>
    <n v="0"/>
    <n v="0"/>
    <n v="0"/>
    <n v="1"/>
    <n v="0"/>
    <n v="0"/>
    <n v="0"/>
    <s v="Prognostal"/>
    <m/>
    <n v="0"/>
    <n v="0"/>
    <n v="0"/>
    <n v="0"/>
    <n v="0"/>
    <n v="0"/>
    <n v="0"/>
    <n v="0"/>
    <n v="0"/>
    <n v="0"/>
    <n v="0"/>
    <n v="0"/>
    <n v="0"/>
    <n v="0"/>
    <n v="0"/>
    <n v="0"/>
    <n v="3.625"/>
    <n v="3.0812499999999998"/>
    <n v="0"/>
    <n v="0"/>
    <n v="0"/>
    <n v="0"/>
    <n v="0"/>
    <n v="0"/>
  </r>
  <r>
    <x v="203"/>
    <x v="195"/>
    <m/>
    <x v="0"/>
    <s v="H19"/>
    <x v="1"/>
    <s v="H215"/>
    <s v="Umeå"/>
    <m/>
    <s v="SVAA"/>
    <m/>
    <n v="1"/>
    <x v="8"/>
    <m/>
    <m/>
    <n v="1"/>
    <n v="2.5000000000000001E-2"/>
    <n v="0.85"/>
    <n v="2.1250000000000002E-2"/>
    <n v="2180"/>
    <x v="12"/>
    <s v="Sam"/>
    <x v="0"/>
    <n v="25235"/>
    <n v="27976"/>
    <n v="1225.365"/>
    <n v="3600"/>
    <n v="90"/>
    <n v="1315.365"/>
    <n v="0"/>
    <n v="0"/>
    <n v="0"/>
    <n v="0"/>
    <n v="0"/>
    <n v="0"/>
    <n v="0"/>
    <n v="0"/>
    <n v="1"/>
    <n v="0"/>
    <n v="0"/>
    <n v="0"/>
    <s v="SP 210924"/>
    <m/>
    <n v="0"/>
    <n v="0"/>
    <n v="0"/>
    <n v="0"/>
    <n v="0"/>
    <n v="0"/>
    <n v="0"/>
    <n v="0"/>
    <n v="0"/>
    <n v="0"/>
    <n v="0"/>
    <n v="0"/>
    <n v="0"/>
    <n v="0"/>
    <n v="0"/>
    <n v="0"/>
    <n v="2.5000000000000001E-2"/>
    <n v="2.1250000000000002E-2"/>
    <n v="0"/>
    <n v="0"/>
    <n v="0"/>
    <n v="0"/>
    <n v="0"/>
    <n v="0"/>
  </r>
  <r>
    <x v="204"/>
    <x v="196"/>
    <m/>
    <x v="13"/>
    <s v="H21"/>
    <x v="1"/>
    <m/>
    <n v="2480"/>
    <m/>
    <m/>
    <m/>
    <m/>
    <x v="0"/>
    <m/>
    <m/>
    <n v="145"/>
    <n v="18.125"/>
    <n v="0.85"/>
    <n v="15.40625"/>
    <n v="2180"/>
    <x v="12"/>
    <s v="Sam"/>
    <x v="0"/>
    <n v="26554"/>
    <n v="33465"/>
    <n v="996861.40625"/>
    <n v="6000"/>
    <n v="108750"/>
    <n v="1105611.40625"/>
    <n v="0"/>
    <n v="0"/>
    <n v="0"/>
    <n v="1"/>
    <n v="0"/>
    <n v="0"/>
    <n v="0"/>
    <n v="0"/>
    <n v="0"/>
    <n v="0"/>
    <n v="0"/>
    <n v="0"/>
    <s v="Prognostal"/>
    <m/>
    <n v="0"/>
    <n v="0"/>
    <n v="0"/>
    <n v="0"/>
    <n v="0"/>
    <n v="0"/>
    <n v="18.125"/>
    <n v="15.40625"/>
    <n v="0"/>
    <n v="0"/>
    <n v="0"/>
    <n v="0"/>
    <n v="0"/>
    <n v="0"/>
    <n v="0"/>
    <n v="0"/>
    <n v="0"/>
    <n v="0"/>
    <n v="0"/>
    <n v="0"/>
    <n v="0"/>
    <n v="0"/>
    <n v="0"/>
    <n v="0"/>
  </r>
  <r>
    <x v="204"/>
    <x v="196"/>
    <m/>
    <x v="11"/>
    <s v="H20"/>
    <x v="1"/>
    <s v="H216-10"/>
    <s v="Umeå"/>
    <s v="Campus"/>
    <m/>
    <m/>
    <n v="1"/>
    <x v="0"/>
    <m/>
    <m/>
    <n v="1"/>
    <n v="0.125"/>
    <n v="0.85"/>
    <n v="0.10625"/>
    <n v="2180"/>
    <x v="12"/>
    <s v="Sam"/>
    <x v="11"/>
    <n v="26554"/>
    <n v="33465"/>
    <n v="6874.90625"/>
    <n v="6000"/>
    <n v="750"/>
    <n v="7624.90625"/>
    <n v="0"/>
    <n v="0"/>
    <n v="0"/>
    <n v="1"/>
    <n v="0"/>
    <n v="0"/>
    <n v="0"/>
    <n v="0"/>
    <n v="0"/>
    <n v="0"/>
    <n v="0"/>
    <n v="0"/>
    <s v="SP 210924"/>
    <m/>
    <n v="0"/>
    <n v="0"/>
    <n v="0"/>
    <n v="0"/>
    <n v="0"/>
    <n v="0"/>
    <n v="0.125"/>
    <n v="0.10625"/>
    <n v="0"/>
    <n v="0"/>
    <n v="0"/>
    <n v="0"/>
    <n v="0"/>
    <n v="0"/>
    <n v="0"/>
    <n v="0"/>
    <n v="0"/>
    <n v="0"/>
    <n v="0"/>
    <n v="0"/>
    <n v="0"/>
    <n v="0"/>
    <n v="0"/>
    <n v="0"/>
  </r>
  <r>
    <x v="204"/>
    <x v="196"/>
    <m/>
    <x v="11"/>
    <s v="H21"/>
    <x v="1"/>
    <m/>
    <n v="2480"/>
    <m/>
    <m/>
    <m/>
    <m/>
    <x v="0"/>
    <n v="-0.08"/>
    <n v="53"/>
    <n v="48.76"/>
    <n v="6.0949999999999998"/>
    <n v="0.85"/>
    <n v="5.1807499999999997"/>
    <n v="2180"/>
    <x v="12"/>
    <s v="Sam"/>
    <x v="11"/>
    <n v="26554"/>
    <n v="33465"/>
    <n v="335220.42874999996"/>
    <n v="6000"/>
    <n v="36570"/>
    <n v="371790.42874999996"/>
    <n v="0"/>
    <n v="0"/>
    <n v="0"/>
    <n v="1"/>
    <n v="0"/>
    <n v="0"/>
    <n v="0"/>
    <n v="0"/>
    <n v="0"/>
    <n v="0"/>
    <n v="0"/>
    <n v="0"/>
    <s v="Prognostal"/>
    <m/>
    <n v="0"/>
    <n v="0"/>
    <n v="0"/>
    <n v="0"/>
    <n v="0"/>
    <n v="0"/>
    <n v="6.0949999999999998"/>
    <n v="5.1807499999999997"/>
    <n v="0"/>
    <n v="0"/>
    <n v="0"/>
    <n v="0"/>
    <n v="0"/>
    <n v="0"/>
    <n v="0"/>
    <n v="0"/>
    <n v="0"/>
    <n v="0"/>
    <n v="0"/>
    <n v="0"/>
    <n v="0"/>
    <n v="0"/>
    <n v="0"/>
    <n v="0"/>
  </r>
  <r>
    <x v="204"/>
    <x v="196"/>
    <m/>
    <x v="11"/>
    <s v="V21"/>
    <x v="1"/>
    <s v="H216-10"/>
    <s v="Umeå"/>
    <s v="Campus"/>
    <m/>
    <m/>
    <n v="1"/>
    <x v="0"/>
    <m/>
    <m/>
    <n v="2"/>
    <n v="0.25"/>
    <n v="0.85"/>
    <n v="0.21249999999999999"/>
    <n v="2180"/>
    <x v="12"/>
    <s v="Sam"/>
    <x v="11"/>
    <n v="26554"/>
    <n v="33465"/>
    <n v="13749.8125"/>
    <n v="6000"/>
    <n v="1500"/>
    <n v="15249.8125"/>
    <n v="0"/>
    <n v="0"/>
    <n v="0"/>
    <n v="1"/>
    <n v="0"/>
    <n v="0"/>
    <n v="0"/>
    <n v="0"/>
    <n v="0"/>
    <n v="0"/>
    <n v="0"/>
    <n v="0"/>
    <s v="SP 210924"/>
    <m/>
    <n v="0"/>
    <n v="0"/>
    <n v="0"/>
    <n v="0"/>
    <n v="0"/>
    <n v="0"/>
    <n v="0.25"/>
    <n v="0.21249999999999999"/>
    <n v="0"/>
    <n v="0"/>
    <n v="0"/>
    <n v="0"/>
    <n v="0"/>
    <n v="0"/>
    <n v="0"/>
    <n v="0"/>
    <n v="0"/>
    <n v="0"/>
    <n v="0"/>
    <n v="0"/>
    <n v="0"/>
    <n v="0"/>
    <n v="0"/>
    <n v="0"/>
  </r>
  <r>
    <x v="204"/>
    <x v="196"/>
    <n v="64501"/>
    <x v="11"/>
    <m/>
    <x v="0"/>
    <m/>
    <s v="Umeå"/>
    <s v="Normal"/>
    <m/>
    <m/>
    <m/>
    <x v="0"/>
    <m/>
    <m/>
    <n v="29"/>
    <n v="3.625"/>
    <n v="0.85"/>
    <n v="3.0812499999999998"/>
    <n v="2180"/>
    <x v="12"/>
    <s v="Sam"/>
    <x v="11"/>
    <n v="26554"/>
    <n v="33465"/>
    <n v="199372.28125"/>
    <n v="6000"/>
    <n v="21750"/>
    <n v="221122.28125"/>
    <n v="0"/>
    <n v="0"/>
    <n v="0"/>
    <n v="1"/>
    <n v="0"/>
    <n v="0"/>
    <n v="0"/>
    <n v="0"/>
    <n v="0"/>
    <n v="0"/>
    <n v="0"/>
    <n v="0"/>
    <s v="Enl Fokus-Ladok 210601"/>
    <m/>
    <n v="0"/>
    <n v="0"/>
    <n v="0"/>
    <n v="0"/>
    <n v="0"/>
    <n v="0"/>
    <n v="3.625"/>
    <n v="3.0812499999999998"/>
    <n v="0"/>
    <n v="0"/>
    <n v="0"/>
    <n v="0"/>
    <n v="0"/>
    <n v="0"/>
    <n v="0"/>
    <n v="0"/>
    <n v="0"/>
    <n v="0"/>
    <n v="0"/>
    <n v="0"/>
    <n v="0"/>
    <n v="0"/>
    <n v="0"/>
    <n v="0"/>
  </r>
  <r>
    <x v="204"/>
    <x v="196"/>
    <m/>
    <x v="12"/>
    <s v="H21"/>
    <x v="1"/>
    <m/>
    <n v="2480"/>
    <m/>
    <m/>
    <m/>
    <m/>
    <x v="0"/>
    <n v="-0.08"/>
    <n v="24"/>
    <n v="22.08"/>
    <n v="2.76"/>
    <n v="0.85"/>
    <n v="2.3459999999999996"/>
    <n v="2180"/>
    <x v="12"/>
    <s v="Sam"/>
    <x v="12"/>
    <n v="26554"/>
    <n v="33465"/>
    <n v="151797.93"/>
    <n v="6000"/>
    <n v="16560"/>
    <n v="168357.93"/>
    <n v="0"/>
    <n v="0"/>
    <n v="0"/>
    <n v="1"/>
    <n v="0"/>
    <n v="0"/>
    <n v="0"/>
    <n v="0"/>
    <n v="0"/>
    <n v="0"/>
    <n v="0"/>
    <n v="0"/>
    <s v="Prognostal"/>
    <m/>
    <n v="0"/>
    <n v="0"/>
    <n v="0"/>
    <n v="0"/>
    <n v="0"/>
    <n v="0"/>
    <n v="2.76"/>
    <n v="2.3459999999999996"/>
    <n v="0"/>
    <n v="0"/>
    <n v="0"/>
    <n v="0"/>
    <n v="0"/>
    <n v="0"/>
    <n v="0"/>
    <n v="0"/>
    <n v="0"/>
    <n v="0"/>
    <n v="0"/>
    <n v="0"/>
    <n v="0"/>
    <n v="0"/>
    <n v="0"/>
    <n v="0"/>
  </r>
  <r>
    <x v="204"/>
    <x v="196"/>
    <m/>
    <x v="4"/>
    <s v="H21"/>
    <x v="1"/>
    <m/>
    <n v="2480"/>
    <m/>
    <m/>
    <m/>
    <m/>
    <x v="0"/>
    <n v="-0.05"/>
    <n v="41"/>
    <n v="38.950000000000003"/>
    <n v="4.8687500000000004"/>
    <n v="0.85"/>
    <n v="4.1384375000000002"/>
    <n v="2180"/>
    <x v="12"/>
    <s v="Sam"/>
    <x v="4"/>
    <n v="26554"/>
    <n v="33465"/>
    <n v="267777.59843750001"/>
    <n v="6000"/>
    <n v="29212.500000000004"/>
    <n v="296990.09843750001"/>
    <n v="0"/>
    <n v="0"/>
    <n v="0"/>
    <n v="1"/>
    <n v="0"/>
    <n v="0"/>
    <n v="0"/>
    <n v="0"/>
    <n v="0"/>
    <n v="0"/>
    <n v="0"/>
    <n v="0"/>
    <s v="Prognostal"/>
    <m/>
    <n v="0"/>
    <n v="0"/>
    <n v="0"/>
    <n v="0"/>
    <n v="0"/>
    <n v="0"/>
    <n v="4.8687500000000004"/>
    <n v="4.1384375000000002"/>
    <n v="0"/>
    <n v="0"/>
    <n v="0"/>
    <n v="0"/>
    <n v="0"/>
    <n v="0"/>
    <n v="0"/>
    <n v="0"/>
    <n v="0"/>
    <n v="0"/>
    <n v="0"/>
    <n v="0"/>
    <n v="0"/>
    <n v="0"/>
    <n v="0"/>
    <n v="0"/>
  </r>
  <r>
    <x v="204"/>
    <x v="196"/>
    <m/>
    <x v="5"/>
    <s v="H21"/>
    <x v="1"/>
    <m/>
    <n v="2480"/>
    <m/>
    <s v="ARBE"/>
    <m/>
    <n v="0.75"/>
    <x v="0"/>
    <n v="-0.05"/>
    <n v="23"/>
    <n v="21.85"/>
    <n v="2.7312500000000002"/>
    <n v="0.85"/>
    <n v="2.3215625000000002"/>
    <n v="2180"/>
    <x v="12"/>
    <s v="Sam"/>
    <x v="5"/>
    <n v="26554"/>
    <n v="33465"/>
    <n v="150216.70156250001"/>
    <n v="6000"/>
    <n v="16387.5"/>
    <n v="166604.20156250001"/>
    <n v="0"/>
    <n v="0"/>
    <n v="0"/>
    <n v="1"/>
    <n v="0"/>
    <n v="0"/>
    <n v="0"/>
    <n v="0"/>
    <n v="0"/>
    <n v="0"/>
    <n v="0"/>
    <n v="0"/>
    <s v="Prognostal"/>
    <m/>
    <n v="0"/>
    <n v="0"/>
    <n v="0"/>
    <n v="0"/>
    <n v="0"/>
    <n v="0"/>
    <n v="2.7312500000000002"/>
    <n v="2.3215625000000002"/>
    <n v="0"/>
    <n v="0"/>
    <n v="0"/>
    <n v="0"/>
    <n v="0"/>
    <n v="0"/>
    <n v="0"/>
    <n v="0"/>
    <n v="0"/>
    <n v="0"/>
    <n v="0"/>
    <n v="0"/>
    <n v="0"/>
    <n v="0"/>
    <n v="0"/>
    <n v="0"/>
  </r>
  <r>
    <x v="204"/>
    <x v="196"/>
    <m/>
    <x v="5"/>
    <s v="H21"/>
    <x v="1"/>
    <m/>
    <n v="2480"/>
    <m/>
    <m/>
    <m/>
    <m/>
    <x v="0"/>
    <n v="-0.08"/>
    <n v="43"/>
    <n v="39.56"/>
    <n v="4.9450000000000003"/>
    <n v="0.85"/>
    <n v="4.2032499999999997"/>
    <n v="2180"/>
    <x v="12"/>
    <s v="Sam"/>
    <x v="5"/>
    <n v="26554"/>
    <n v="33465"/>
    <n v="271971.29125000001"/>
    <n v="6000"/>
    <n v="29670"/>
    <n v="301641.29125000001"/>
    <n v="0"/>
    <n v="0"/>
    <n v="0"/>
    <n v="1"/>
    <n v="0"/>
    <n v="0"/>
    <n v="0"/>
    <n v="0"/>
    <n v="0"/>
    <n v="0"/>
    <n v="0"/>
    <n v="0"/>
    <s v="Prognostal"/>
    <m/>
    <n v="0"/>
    <n v="0"/>
    <n v="0"/>
    <n v="0"/>
    <n v="0"/>
    <n v="0"/>
    <n v="4.9450000000000003"/>
    <n v="4.2032499999999997"/>
    <n v="0"/>
    <n v="0"/>
    <n v="0"/>
    <n v="0"/>
    <n v="0"/>
    <n v="0"/>
    <n v="0"/>
    <n v="0"/>
    <n v="0"/>
    <n v="0"/>
    <n v="0"/>
    <n v="0"/>
    <n v="0"/>
    <n v="0"/>
    <n v="0"/>
    <n v="0"/>
  </r>
  <r>
    <x v="205"/>
    <x v="197"/>
    <m/>
    <x v="3"/>
    <m/>
    <x v="1"/>
    <m/>
    <m/>
    <s v="Campus"/>
    <m/>
    <m/>
    <n v="1"/>
    <x v="0"/>
    <m/>
    <m/>
    <n v="25"/>
    <n v="3.125"/>
    <n v="0.8"/>
    <n v="2.5"/>
    <n v="2180"/>
    <x v="12"/>
    <s v="Sam"/>
    <x v="3"/>
    <n v="24341.200000000001"/>
    <n v="25869.200000000004"/>
    <n v="140739.25"/>
    <n v="4080"/>
    <n v="12750"/>
    <n v="153489.25"/>
    <n v="0"/>
    <n v="0"/>
    <n v="0"/>
    <n v="0"/>
    <n v="0"/>
    <n v="0"/>
    <n v="0.2"/>
    <n v="0"/>
    <n v="0.8"/>
    <n v="0"/>
    <n v="0"/>
    <n v="0"/>
    <s v="Äskat/Beslutat 200611 p.39"/>
    <m/>
    <n v="0"/>
    <n v="0"/>
    <n v="0"/>
    <n v="0"/>
    <n v="0"/>
    <n v="0"/>
    <n v="0"/>
    <n v="0"/>
    <n v="0"/>
    <n v="0"/>
    <n v="0"/>
    <n v="0"/>
    <n v="0.625"/>
    <n v="0.5"/>
    <n v="0"/>
    <n v="0"/>
    <n v="2.5"/>
    <n v="2"/>
    <n v="0"/>
    <n v="0"/>
    <n v="0"/>
    <n v="0"/>
    <n v="0"/>
    <n v="0"/>
  </r>
  <r>
    <x v="206"/>
    <x v="198"/>
    <n v="64507"/>
    <x v="3"/>
    <m/>
    <x v="0"/>
    <m/>
    <s v="Umeå"/>
    <s v="Normal"/>
    <m/>
    <m/>
    <m/>
    <x v="0"/>
    <m/>
    <m/>
    <n v="9"/>
    <n v="1.125"/>
    <n v="0.8"/>
    <n v="0.9"/>
    <n v="2180"/>
    <x v="12"/>
    <s v="Sam"/>
    <x v="3"/>
    <n v="20766"/>
    <n v="17442"/>
    <n v="39059.550000000003"/>
    <n v="6000"/>
    <n v="6750"/>
    <n v="45809.55"/>
    <n v="0"/>
    <n v="0"/>
    <n v="0"/>
    <n v="0"/>
    <n v="0"/>
    <n v="0"/>
    <n v="1"/>
    <n v="0"/>
    <n v="0"/>
    <n v="0"/>
    <n v="0"/>
    <n v="0"/>
    <s v="Enl Fokus-Ladok 210601"/>
    <m/>
    <n v="0"/>
    <n v="0"/>
    <n v="0"/>
    <n v="0"/>
    <n v="0"/>
    <n v="0"/>
    <n v="0"/>
    <n v="0"/>
    <n v="0"/>
    <n v="0"/>
    <n v="0"/>
    <n v="0"/>
    <n v="1.125"/>
    <n v="0.9"/>
    <n v="0"/>
    <n v="0"/>
    <n v="0"/>
    <n v="0"/>
    <n v="0"/>
    <n v="0"/>
    <n v="0"/>
    <n v="0"/>
    <n v="0"/>
    <n v="0"/>
  </r>
  <r>
    <x v="206"/>
    <x v="198"/>
    <s v="A6451"/>
    <x v="3"/>
    <m/>
    <x v="0"/>
    <m/>
    <s v="Umeå"/>
    <s v="Normal"/>
    <m/>
    <m/>
    <m/>
    <x v="0"/>
    <m/>
    <m/>
    <n v="7"/>
    <n v="0.875"/>
    <n v="0.8"/>
    <n v="0.70000000000000007"/>
    <n v="2180"/>
    <x v="12"/>
    <s v="Sam"/>
    <x v="3"/>
    <n v="20766"/>
    <n v="17442"/>
    <n v="30379.65"/>
    <n v="6000"/>
    <n v="5250"/>
    <n v="35629.65"/>
    <n v="0"/>
    <n v="0"/>
    <n v="0"/>
    <n v="0"/>
    <n v="0"/>
    <n v="0"/>
    <n v="1"/>
    <n v="0"/>
    <n v="0"/>
    <n v="0"/>
    <n v="0"/>
    <n v="0"/>
    <s v="Enl Fokus-Ladok 210601"/>
    <m/>
    <n v="0"/>
    <n v="0"/>
    <n v="0"/>
    <n v="0"/>
    <n v="0"/>
    <n v="0"/>
    <n v="0"/>
    <n v="0"/>
    <n v="0"/>
    <n v="0"/>
    <n v="0"/>
    <n v="0"/>
    <n v="0.875"/>
    <n v="0.70000000000000007"/>
    <n v="0"/>
    <n v="0"/>
    <n v="0"/>
    <n v="0"/>
    <n v="0"/>
    <n v="0"/>
    <n v="0"/>
    <n v="0"/>
    <n v="0"/>
    <n v="0"/>
  </r>
  <r>
    <x v="206"/>
    <x v="198"/>
    <s v="F6458"/>
    <x v="3"/>
    <m/>
    <x v="0"/>
    <m/>
    <s v="Umeå"/>
    <s v="Normal"/>
    <m/>
    <m/>
    <m/>
    <x v="0"/>
    <m/>
    <m/>
    <n v="1"/>
    <n v="0.125"/>
    <n v="0.8"/>
    <n v="0.1"/>
    <n v="2180"/>
    <x v="12"/>
    <s v="Sam"/>
    <x v="3"/>
    <n v="20766"/>
    <n v="17442"/>
    <n v="4339.95"/>
    <n v="6000"/>
    <n v="750"/>
    <n v="5089.95"/>
    <n v="0"/>
    <n v="0"/>
    <n v="0"/>
    <n v="0"/>
    <n v="0"/>
    <n v="0"/>
    <n v="1"/>
    <n v="0"/>
    <n v="0"/>
    <n v="0"/>
    <n v="0"/>
    <n v="0"/>
    <s v="Enl Fokus-Ladok 210601"/>
    <m/>
    <n v="0"/>
    <n v="0"/>
    <n v="0"/>
    <n v="0"/>
    <n v="0"/>
    <n v="0"/>
    <n v="0"/>
    <n v="0"/>
    <n v="0"/>
    <n v="0"/>
    <n v="0"/>
    <n v="0"/>
    <n v="0.125"/>
    <n v="0.1"/>
    <n v="0"/>
    <n v="0"/>
    <n v="0"/>
    <n v="0"/>
    <n v="0"/>
    <n v="0"/>
    <n v="0"/>
    <n v="0"/>
    <n v="0"/>
    <n v="0"/>
  </r>
  <r>
    <x v="206"/>
    <x v="198"/>
    <m/>
    <x v="3"/>
    <m/>
    <x v="1"/>
    <m/>
    <m/>
    <s v="Campus"/>
    <m/>
    <m/>
    <n v="1"/>
    <x v="0"/>
    <m/>
    <m/>
    <n v="30"/>
    <n v="3.75"/>
    <n v="0.8"/>
    <n v="3"/>
    <n v="2180"/>
    <x v="12"/>
    <s v="Sam"/>
    <x v="3"/>
    <n v="20766"/>
    <n v="17442"/>
    <n v="130198.5"/>
    <n v="6000"/>
    <n v="22500"/>
    <n v="152698.5"/>
    <n v="0"/>
    <n v="0"/>
    <n v="0"/>
    <n v="0"/>
    <n v="0"/>
    <n v="0"/>
    <n v="1"/>
    <n v="0"/>
    <n v="0"/>
    <n v="0"/>
    <n v="0"/>
    <n v="0"/>
    <s v="Äskat/Beslutat 200611 p.39"/>
    <m/>
    <n v="0"/>
    <n v="0"/>
    <n v="0"/>
    <n v="0"/>
    <n v="0"/>
    <n v="0"/>
    <n v="0"/>
    <n v="0"/>
    <n v="0"/>
    <n v="0"/>
    <n v="0"/>
    <n v="0"/>
    <n v="3.75"/>
    <n v="3"/>
    <n v="0"/>
    <n v="0"/>
    <n v="0"/>
    <n v="0"/>
    <n v="0"/>
    <n v="0"/>
    <n v="0"/>
    <n v="0"/>
    <n v="0"/>
    <n v="0"/>
  </r>
  <r>
    <x v="207"/>
    <x v="199"/>
    <n v="64500"/>
    <x v="3"/>
    <m/>
    <x v="0"/>
    <m/>
    <s v="Ortsoberoende"/>
    <s v="Distans"/>
    <m/>
    <m/>
    <m/>
    <x v="0"/>
    <m/>
    <m/>
    <n v="27"/>
    <n v="3.375"/>
    <n v="0.8"/>
    <n v="2.7"/>
    <n v="2180"/>
    <x v="12"/>
    <s v="Sam"/>
    <x v="3"/>
    <n v="20766"/>
    <n v="17442"/>
    <n v="117178.65"/>
    <n v="6000"/>
    <n v="20250"/>
    <n v="137428.65"/>
    <n v="0"/>
    <n v="0"/>
    <n v="0"/>
    <n v="0"/>
    <n v="0"/>
    <n v="0"/>
    <n v="1"/>
    <n v="0"/>
    <n v="0"/>
    <n v="0"/>
    <n v="0"/>
    <n v="0"/>
    <s v="Enl Fokus-Ladok 210601"/>
    <m/>
    <n v="0"/>
    <n v="0"/>
    <n v="0"/>
    <n v="0"/>
    <n v="0"/>
    <n v="0"/>
    <n v="0"/>
    <n v="0"/>
    <n v="0"/>
    <n v="0"/>
    <n v="0"/>
    <n v="0"/>
    <n v="3.375"/>
    <n v="2.7"/>
    <n v="0"/>
    <n v="0"/>
    <n v="0"/>
    <n v="0"/>
    <n v="0"/>
    <n v="0"/>
    <n v="0"/>
    <n v="0"/>
    <n v="0"/>
    <n v="0"/>
  </r>
  <r>
    <x v="207"/>
    <x v="199"/>
    <n v="64505"/>
    <x v="3"/>
    <m/>
    <x v="0"/>
    <m/>
    <s v="Umeå"/>
    <s v="Normal"/>
    <m/>
    <m/>
    <m/>
    <x v="0"/>
    <m/>
    <m/>
    <n v="1"/>
    <n v="0.125"/>
    <n v="0.8"/>
    <n v="0.1"/>
    <n v="2180"/>
    <x v="12"/>
    <s v="Sam"/>
    <x v="3"/>
    <n v="20766"/>
    <n v="17442"/>
    <n v="4339.95"/>
    <n v="6000"/>
    <n v="750"/>
    <n v="5089.95"/>
    <n v="0"/>
    <n v="0"/>
    <n v="0"/>
    <n v="0"/>
    <n v="0"/>
    <n v="0"/>
    <n v="1"/>
    <n v="0"/>
    <n v="0"/>
    <n v="0"/>
    <n v="0"/>
    <n v="0"/>
    <s v="Enl Fokus-Ladok 210601"/>
    <m/>
    <n v="0"/>
    <n v="0"/>
    <n v="0"/>
    <n v="0"/>
    <n v="0"/>
    <n v="0"/>
    <n v="0"/>
    <n v="0"/>
    <n v="0"/>
    <n v="0"/>
    <n v="0"/>
    <n v="0"/>
    <n v="0.125"/>
    <n v="0.1"/>
    <n v="0"/>
    <n v="0"/>
    <n v="0"/>
    <n v="0"/>
    <n v="0"/>
    <n v="0"/>
    <n v="0"/>
    <n v="0"/>
    <n v="0"/>
    <n v="0"/>
  </r>
  <r>
    <x v="207"/>
    <x v="199"/>
    <s v="A6453"/>
    <x v="3"/>
    <m/>
    <x v="0"/>
    <m/>
    <s v="Umeå"/>
    <s v="Normal"/>
    <m/>
    <m/>
    <m/>
    <x v="0"/>
    <m/>
    <m/>
    <n v="14"/>
    <n v="1.75"/>
    <n v="0.8"/>
    <n v="1.4000000000000001"/>
    <n v="2180"/>
    <x v="12"/>
    <s v="Sam"/>
    <x v="3"/>
    <n v="20766"/>
    <n v="17442"/>
    <n v="60759.3"/>
    <n v="6000"/>
    <n v="10500"/>
    <n v="71259.3"/>
    <n v="0"/>
    <n v="0"/>
    <n v="0"/>
    <n v="0"/>
    <n v="0"/>
    <n v="0"/>
    <n v="1"/>
    <n v="0"/>
    <n v="0"/>
    <n v="0"/>
    <n v="0"/>
    <n v="0"/>
    <s v="Enl Fokus-Ladok 210601"/>
    <m/>
    <n v="0"/>
    <n v="0"/>
    <n v="0"/>
    <n v="0"/>
    <n v="0"/>
    <n v="0"/>
    <n v="0"/>
    <n v="0"/>
    <n v="0"/>
    <n v="0"/>
    <n v="0"/>
    <n v="0"/>
    <n v="1.75"/>
    <n v="1.4000000000000001"/>
    <n v="0"/>
    <n v="0"/>
    <n v="0"/>
    <n v="0"/>
    <n v="0"/>
    <n v="0"/>
    <n v="0"/>
    <n v="0"/>
    <n v="0"/>
    <n v="0"/>
  </r>
  <r>
    <x v="207"/>
    <x v="199"/>
    <s v="F6450"/>
    <x v="3"/>
    <m/>
    <x v="0"/>
    <m/>
    <s v="Umeå"/>
    <s v="Normal"/>
    <m/>
    <m/>
    <m/>
    <x v="0"/>
    <m/>
    <m/>
    <n v="3"/>
    <n v="0.375"/>
    <n v="0.8"/>
    <n v="0.30000000000000004"/>
    <n v="2180"/>
    <x v="12"/>
    <s v="Sam"/>
    <x v="3"/>
    <n v="20766"/>
    <n v="17442"/>
    <n v="13019.85"/>
    <n v="6000"/>
    <n v="2250"/>
    <n v="15269.85"/>
    <n v="0"/>
    <n v="0"/>
    <n v="0"/>
    <n v="0"/>
    <n v="0"/>
    <n v="0"/>
    <n v="1"/>
    <n v="0"/>
    <n v="0"/>
    <n v="0"/>
    <n v="0"/>
    <n v="0"/>
    <s v="Enl Fokus-Ladok 210601"/>
    <m/>
    <n v="0"/>
    <n v="0"/>
    <n v="0"/>
    <n v="0"/>
    <n v="0"/>
    <n v="0"/>
    <n v="0"/>
    <n v="0"/>
    <n v="0"/>
    <n v="0"/>
    <n v="0"/>
    <n v="0"/>
    <n v="0.375"/>
    <n v="0.30000000000000004"/>
    <n v="0"/>
    <n v="0"/>
    <n v="0"/>
    <n v="0"/>
    <n v="0"/>
    <n v="0"/>
    <n v="0"/>
    <n v="0"/>
    <n v="0"/>
    <n v="0"/>
  </r>
  <r>
    <x v="207"/>
    <x v="199"/>
    <m/>
    <x v="3"/>
    <m/>
    <x v="1"/>
    <m/>
    <m/>
    <s v="Campus"/>
    <m/>
    <m/>
    <n v="1"/>
    <x v="0"/>
    <m/>
    <m/>
    <n v="30"/>
    <n v="3.75"/>
    <n v="0.8"/>
    <n v="3"/>
    <n v="2180"/>
    <x v="12"/>
    <s v="Sam"/>
    <x v="3"/>
    <n v="20766"/>
    <n v="17442"/>
    <n v="130198.5"/>
    <n v="6000"/>
    <n v="22500"/>
    <n v="152698.5"/>
    <n v="0"/>
    <n v="0"/>
    <n v="0"/>
    <n v="0"/>
    <n v="0"/>
    <n v="0"/>
    <n v="1"/>
    <n v="0"/>
    <n v="0"/>
    <n v="0"/>
    <n v="0"/>
    <n v="0"/>
    <s v="Äskat/Beslutat 200611 p.39"/>
    <m/>
    <n v="0"/>
    <n v="0"/>
    <n v="0"/>
    <n v="0"/>
    <n v="0"/>
    <n v="0"/>
    <n v="0"/>
    <n v="0"/>
    <n v="0"/>
    <n v="0"/>
    <n v="0"/>
    <n v="0"/>
    <n v="3.75"/>
    <n v="3"/>
    <n v="0"/>
    <n v="0"/>
    <n v="0"/>
    <n v="0"/>
    <n v="0"/>
    <n v="0"/>
    <n v="0"/>
    <n v="0"/>
    <n v="0"/>
    <n v="0"/>
  </r>
  <r>
    <x v="208"/>
    <x v="200"/>
    <m/>
    <x v="3"/>
    <m/>
    <x v="1"/>
    <m/>
    <m/>
    <s v="Campus"/>
    <m/>
    <m/>
    <n v="1"/>
    <x v="0"/>
    <m/>
    <m/>
    <n v="15"/>
    <n v="1.875"/>
    <n v="0.8"/>
    <n v="1.5"/>
    <n v="2180"/>
    <x v="12"/>
    <s v="Sam"/>
    <x v="3"/>
    <n v="20766"/>
    <n v="17442"/>
    <n v="65099.25"/>
    <n v="6000"/>
    <n v="11250"/>
    <n v="76349.25"/>
    <n v="0"/>
    <n v="0"/>
    <n v="0"/>
    <n v="0"/>
    <n v="0"/>
    <n v="0"/>
    <n v="1"/>
    <n v="0"/>
    <n v="0"/>
    <n v="0"/>
    <n v="0"/>
    <n v="0"/>
    <s v="Äskat/Beslutat 200611 p.39"/>
    <m/>
    <n v="0"/>
    <n v="0"/>
    <n v="0"/>
    <n v="0"/>
    <n v="0"/>
    <n v="0"/>
    <n v="0"/>
    <n v="0"/>
    <n v="0"/>
    <n v="0"/>
    <n v="0"/>
    <n v="0"/>
    <n v="1.875"/>
    <n v="1.5"/>
    <n v="0"/>
    <n v="0"/>
    <n v="0"/>
    <n v="0"/>
    <n v="0"/>
    <n v="0"/>
    <n v="0"/>
    <n v="0"/>
    <n v="0"/>
    <n v="0"/>
  </r>
  <r>
    <x v="209"/>
    <x v="201"/>
    <n v="61911"/>
    <x v="15"/>
    <m/>
    <x v="0"/>
    <m/>
    <s v="Umeå"/>
    <s v="Distans"/>
    <s v="MAGG"/>
    <m/>
    <m/>
    <x v="9"/>
    <m/>
    <m/>
    <n v="9"/>
    <n v="1.2"/>
    <n v="0.85"/>
    <n v="1.02"/>
    <n v="5740"/>
    <x v="7"/>
    <s v="TekNat"/>
    <x v="14"/>
    <n v="20757"/>
    <n v="36082"/>
    <n v="61712.039999999994"/>
    <n v="22600"/>
    <n v="27120"/>
    <n v="88832.04"/>
    <n v="0"/>
    <n v="0"/>
    <n v="0"/>
    <n v="0"/>
    <n v="0"/>
    <n v="1"/>
    <n v="0"/>
    <n v="0"/>
    <n v="0"/>
    <n v="0"/>
    <n v="0"/>
    <n v="0"/>
    <s v="Enl Fokus-Ladok 210601"/>
    <m/>
    <n v="0"/>
    <n v="0"/>
    <n v="0"/>
    <n v="0"/>
    <n v="0"/>
    <n v="0"/>
    <n v="0"/>
    <n v="0"/>
    <n v="0"/>
    <n v="0"/>
    <n v="1.2"/>
    <n v="1.02"/>
    <n v="0"/>
    <n v="0"/>
    <n v="0"/>
    <n v="0"/>
    <n v="0"/>
    <n v="0"/>
    <n v="0"/>
    <n v="0"/>
    <n v="0"/>
    <n v="0"/>
    <n v="0"/>
    <n v="0"/>
  </r>
  <r>
    <x v="210"/>
    <x v="202"/>
    <n v="61910"/>
    <x v="15"/>
    <m/>
    <x v="0"/>
    <m/>
    <s v="Umeå"/>
    <s v="Distans"/>
    <s v="MAGG"/>
    <m/>
    <m/>
    <x v="10"/>
    <m/>
    <m/>
    <n v="9"/>
    <n v="1.8"/>
    <n v="0.85"/>
    <n v="1.53"/>
    <n v="5740"/>
    <x v="7"/>
    <s v="TekNat"/>
    <x v="14"/>
    <n v="20757"/>
    <n v="36082"/>
    <n v="92568.06"/>
    <n v="22600"/>
    <n v="40680"/>
    <n v="133248.06"/>
    <n v="0"/>
    <n v="0"/>
    <n v="0"/>
    <n v="0"/>
    <n v="0"/>
    <n v="1"/>
    <n v="0"/>
    <n v="0"/>
    <n v="0"/>
    <n v="0"/>
    <n v="0"/>
    <n v="0"/>
    <s v="Enl Fokus-Ladok 210601"/>
    <m/>
    <n v="0"/>
    <n v="0"/>
    <n v="0"/>
    <n v="0"/>
    <n v="0"/>
    <n v="0"/>
    <n v="0"/>
    <n v="0"/>
    <n v="0"/>
    <n v="0"/>
    <n v="1.8"/>
    <n v="1.53"/>
    <n v="0"/>
    <n v="0"/>
    <n v="0"/>
    <n v="0"/>
    <n v="0"/>
    <n v="0"/>
    <n v="0"/>
    <n v="0"/>
    <n v="0"/>
    <n v="0"/>
    <n v="0"/>
    <n v="0"/>
  </r>
  <r>
    <x v="211"/>
    <x v="203"/>
    <n v="61913"/>
    <x v="15"/>
    <m/>
    <x v="0"/>
    <m/>
    <s v="Umeå"/>
    <s v="Distans"/>
    <s v="MAGG"/>
    <m/>
    <m/>
    <x v="7"/>
    <m/>
    <m/>
    <n v="9"/>
    <n v="1.5"/>
    <n v="0.85"/>
    <n v="1.2749999999999999"/>
    <n v="5740"/>
    <x v="7"/>
    <s v="TekNat"/>
    <x v="14"/>
    <n v="20757"/>
    <n v="36082"/>
    <n v="77140.049999999988"/>
    <n v="22600"/>
    <n v="33900"/>
    <n v="111040.04999999999"/>
    <n v="0"/>
    <n v="0"/>
    <n v="0"/>
    <n v="0"/>
    <n v="0"/>
    <n v="1"/>
    <n v="0"/>
    <n v="0"/>
    <n v="0"/>
    <n v="0"/>
    <n v="0"/>
    <n v="0"/>
    <s v="Enl Fokus-Ladok 210601"/>
    <m/>
    <n v="0"/>
    <n v="0"/>
    <n v="0"/>
    <n v="0"/>
    <n v="0"/>
    <n v="0"/>
    <n v="0"/>
    <n v="0"/>
    <n v="0"/>
    <n v="0"/>
    <n v="1.5"/>
    <n v="1.2749999999999999"/>
    <n v="0"/>
    <n v="0"/>
    <n v="0"/>
    <n v="0"/>
    <n v="0"/>
    <n v="0"/>
    <n v="0"/>
    <n v="0"/>
    <n v="0"/>
    <n v="0"/>
    <n v="0"/>
    <n v="0"/>
  </r>
  <r>
    <x v="212"/>
    <x v="204"/>
    <m/>
    <x v="0"/>
    <s v="H15"/>
    <x v="1"/>
    <s v="H211-15"/>
    <s v="Umeå"/>
    <m/>
    <s v="IDRH"/>
    <m/>
    <n v="1"/>
    <x v="2"/>
    <m/>
    <m/>
    <n v="3"/>
    <n v="1.125"/>
    <n v="0.85"/>
    <n v="0.95624999999999993"/>
    <n v="2180"/>
    <x v="12"/>
    <s v="Sam"/>
    <x v="0"/>
    <n v="25235"/>
    <n v="27976"/>
    <n v="55141.425000000003"/>
    <n v="3600"/>
    <n v="4050"/>
    <n v="59191.425000000003"/>
    <n v="0"/>
    <n v="0"/>
    <n v="0"/>
    <n v="0"/>
    <n v="0"/>
    <n v="0"/>
    <n v="0"/>
    <n v="0"/>
    <n v="1"/>
    <n v="0"/>
    <n v="0"/>
    <n v="0"/>
    <s v="SP 210924"/>
    <m/>
    <n v="0"/>
    <n v="0"/>
    <n v="0"/>
    <n v="0"/>
    <n v="0"/>
    <n v="0"/>
    <n v="0"/>
    <n v="0"/>
    <n v="0"/>
    <n v="0"/>
    <n v="0"/>
    <n v="0"/>
    <n v="0"/>
    <n v="0"/>
    <n v="0"/>
    <n v="0"/>
    <n v="1.125"/>
    <n v="0.95624999999999993"/>
    <n v="0"/>
    <n v="0"/>
    <n v="0"/>
    <n v="0"/>
    <n v="0"/>
    <n v="0"/>
  </r>
  <r>
    <x v="212"/>
    <x v="204"/>
    <m/>
    <x v="0"/>
    <s v="H16"/>
    <x v="1"/>
    <s v="H211-15"/>
    <s v="Umeå"/>
    <m/>
    <s v="IDRH"/>
    <m/>
    <n v="1"/>
    <x v="2"/>
    <m/>
    <m/>
    <n v="2"/>
    <n v="0.75"/>
    <n v="0.85"/>
    <n v="0.63749999999999996"/>
    <n v="2180"/>
    <x v="12"/>
    <s v="Sam"/>
    <x v="0"/>
    <n v="25235"/>
    <n v="27976"/>
    <n v="36760.949999999997"/>
    <n v="3600"/>
    <n v="2700"/>
    <n v="39460.949999999997"/>
    <n v="0"/>
    <n v="0"/>
    <n v="0"/>
    <n v="0"/>
    <n v="0"/>
    <n v="0"/>
    <n v="0"/>
    <n v="0"/>
    <n v="1"/>
    <n v="0"/>
    <n v="0"/>
    <n v="0"/>
    <s v="SP 210924"/>
    <m/>
    <n v="0"/>
    <n v="0"/>
    <n v="0"/>
    <n v="0"/>
    <n v="0"/>
    <n v="0"/>
    <n v="0"/>
    <n v="0"/>
    <n v="0"/>
    <n v="0"/>
    <n v="0"/>
    <n v="0"/>
    <n v="0"/>
    <n v="0"/>
    <n v="0"/>
    <n v="0"/>
    <n v="0.75"/>
    <n v="0.63749999999999996"/>
    <n v="0"/>
    <n v="0"/>
    <n v="0"/>
    <n v="0"/>
    <n v="0"/>
    <n v="0"/>
  </r>
  <r>
    <x v="212"/>
    <x v="204"/>
    <m/>
    <x v="0"/>
    <s v="H17"/>
    <x v="1"/>
    <s v="H211-15"/>
    <s v="Umeå"/>
    <m/>
    <s v="IDRH"/>
    <m/>
    <n v="1"/>
    <x v="2"/>
    <m/>
    <m/>
    <n v="14"/>
    <n v="5.25"/>
    <n v="0.85"/>
    <n v="4.4624999999999995"/>
    <n v="2180"/>
    <x v="12"/>
    <s v="Sam"/>
    <x v="0"/>
    <n v="25235"/>
    <n v="27976"/>
    <n v="257326.64999999997"/>
    <n v="3600"/>
    <n v="18900"/>
    <n v="276226.64999999997"/>
    <n v="0"/>
    <n v="0"/>
    <n v="0"/>
    <n v="0"/>
    <n v="0"/>
    <n v="0"/>
    <n v="0"/>
    <n v="0"/>
    <n v="1"/>
    <n v="0"/>
    <n v="0"/>
    <n v="0"/>
    <s v="SP 210924"/>
    <m/>
    <n v="0"/>
    <n v="0"/>
    <n v="0"/>
    <n v="0"/>
    <n v="0"/>
    <n v="0"/>
    <n v="0"/>
    <n v="0"/>
    <n v="0"/>
    <n v="0"/>
    <n v="0"/>
    <n v="0"/>
    <n v="0"/>
    <n v="0"/>
    <n v="0"/>
    <n v="0"/>
    <n v="5.25"/>
    <n v="4.4624999999999995"/>
    <n v="0"/>
    <n v="0"/>
    <n v="0"/>
    <n v="0"/>
    <n v="0"/>
    <n v="0"/>
  </r>
  <r>
    <x v="212"/>
    <x v="204"/>
    <n v="64512"/>
    <x v="0"/>
    <m/>
    <x v="0"/>
    <m/>
    <s v="Umeå"/>
    <s v="Normal"/>
    <s v="IDRH"/>
    <m/>
    <m/>
    <x v="2"/>
    <m/>
    <m/>
    <n v="13"/>
    <n v="4.875"/>
    <n v="0.85"/>
    <n v="4.1437499999999998"/>
    <n v="2180"/>
    <x v="12"/>
    <s v="Sam"/>
    <x v="0"/>
    <n v="25235"/>
    <n v="27976"/>
    <n v="238946.17499999999"/>
    <n v="3600"/>
    <n v="17550"/>
    <n v="256496.17499999999"/>
    <n v="0"/>
    <n v="0"/>
    <n v="0"/>
    <n v="0"/>
    <n v="0"/>
    <n v="0"/>
    <n v="0"/>
    <n v="0"/>
    <n v="1"/>
    <n v="0"/>
    <n v="0"/>
    <n v="0"/>
    <s v="Enl Fokus-Ladok 210601"/>
    <m/>
    <n v="0"/>
    <n v="0"/>
    <n v="0"/>
    <n v="0"/>
    <n v="0"/>
    <n v="0"/>
    <n v="0"/>
    <n v="0"/>
    <n v="0"/>
    <n v="0"/>
    <n v="0"/>
    <n v="0"/>
    <n v="0"/>
    <n v="0"/>
    <n v="0"/>
    <n v="0"/>
    <n v="4.875"/>
    <n v="4.1437499999999998"/>
    <n v="0"/>
    <n v="0"/>
    <n v="0"/>
    <n v="0"/>
    <n v="0"/>
    <n v="0"/>
  </r>
  <r>
    <x v="213"/>
    <x v="205"/>
    <m/>
    <x v="11"/>
    <s v="H19"/>
    <x v="1"/>
    <s v="H211-10"/>
    <s v="Umeå"/>
    <s v="Campus"/>
    <m/>
    <m/>
    <n v="1"/>
    <x v="1"/>
    <m/>
    <m/>
    <n v="1"/>
    <n v="0.25"/>
    <n v="0.85"/>
    <n v="0.21249999999999999"/>
    <n v="2193"/>
    <x v="13"/>
    <s v="Sam"/>
    <x v="11"/>
    <n v="20766"/>
    <n v="17442"/>
    <n v="8897.9249999999993"/>
    <n v="6000"/>
    <n v="1500"/>
    <n v="10397.924999999999"/>
    <n v="0"/>
    <n v="0"/>
    <n v="0"/>
    <n v="0"/>
    <n v="0"/>
    <n v="0"/>
    <n v="1"/>
    <n v="0"/>
    <n v="0"/>
    <n v="0"/>
    <n v="0"/>
    <n v="0"/>
    <s v="SP 210924"/>
    <m/>
    <n v="0"/>
    <n v="0"/>
    <n v="0"/>
    <n v="0"/>
    <n v="0"/>
    <n v="0"/>
    <n v="0"/>
    <n v="0"/>
    <n v="0"/>
    <n v="0"/>
    <n v="0"/>
    <n v="0"/>
    <n v="0.25"/>
    <n v="0.21249999999999999"/>
    <n v="0"/>
    <n v="0"/>
    <n v="0"/>
    <n v="0"/>
    <n v="0"/>
    <n v="0"/>
    <n v="0"/>
    <n v="0"/>
    <n v="0"/>
    <n v="0"/>
  </r>
  <r>
    <x v="213"/>
    <x v="205"/>
    <m/>
    <x v="11"/>
    <s v="H20"/>
    <x v="1"/>
    <s v="H211-10"/>
    <s v="Umeå"/>
    <s v="Campus"/>
    <m/>
    <m/>
    <n v="1"/>
    <x v="1"/>
    <m/>
    <m/>
    <n v="2"/>
    <n v="0.5"/>
    <n v="0.85"/>
    <n v="0.42499999999999999"/>
    <n v="2193"/>
    <x v="13"/>
    <s v="Sam"/>
    <x v="11"/>
    <n v="20766"/>
    <n v="17442"/>
    <n v="17795.849999999999"/>
    <n v="6000"/>
    <n v="3000"/>
    <n v="20795.849999999999"/>
    <n v="0"/>
    <n v="0"/>
    <n v="0"/>
    <n v="0"/>
    <n v="0"/>
    <n v="0"/>
    <n v="1"/>
    <n v="0"/>
    <n v="0"/>
    <n v="0"/>
    <n v="0"/>
    <n v="0"/>
    <s v="SP 210924"/>
    <m/>
    <n v="0"/>
    <n v="0"/>
    <n v="0"/>
    <n v="0"/>
    <n v="0"/>
    <n v="0"/>
    <n v="0"/>
    <n v="0"/>
    <n v="0"/>
    <n v="0"/>
    <n v="0"/>
    <n v="0"/>
    <n v="0.5"/>
    <n v="0.42499999999999999"/>
    <n v="0"/>
    <n v="0"/>
    <n v="0"/>
    <n v="0"/>
    <n v="0"/>
    <n v="0"/>
    <n v="0"/>
    <n v="0"/>
    <n v="0"/>
    <n v="0"/>
  </r>
  <r>
    <x v="213"/>
    <x v="205"/>
    <m/>
    <x v="11"/>
    <s v="V21"/>
    <x v="1"/>
    <s v="H211-10"/>
    <s v="Umeå"/>
    <s v="Campus"/>
    <m/>
    <m/>
    <n v="1"/>
    <x v="1"/>
    <m/>
    <m/>
    <n v="24"/>
    <n v="6"/>
    <n v="0.85"/>
    <n v="5.0999999999999996"/>
    <n v="2193"/>
    <x v="13"/>
    <s v="Sam"/>
    <x v="11"/>
    <n v="20766"/>
    <n v="17442"/>
    <n v="213550.2"/>
    <n v="6000"/>
    <n v="36000"/>
    <n v="249550.2"/>
    <n v="0"/>
    <n v="0"/>
    <n v="0"/>
    <n v="0"/>
    <n v="0"/>
    <n v="0"/>
    <n v="1"/>
    <n v="0"/>
    <n v="0"/>
    <n v="0"/>
    <n v="0"/>
    <n v="0"/>
    <s v="SP 210924"/>
    <m/>
    <n v="0"/>
    <n v="0"/>
    <n v="0"/>
    <n v="0"/>
    <n v="0"/>
    <n v="0"/>
    <n v="0"/>
    <n v="0"/>
    <n v="0"/>
    <n v="0"/>
    <n v="0"/>
    <n v="0"/>
    <n v="6"/>
    <n v="5.0999999999999996"/>
    <n v="0"/>
    <n v="0"/>
    <n v="0"/>
    <n v="0"/>
    <n v="0"/>
    <n v="0"/>
    <n v="0"/>
    <n v="0"/>
    <n v="0"/>
    <n v="0"/>
  </r>
  <r>
    <x v="213"/>
    <x v="205"/>
    <n v="68709"/>
    <x v="11"/>
    <m/>
    <x v="0"/>
    <m/>
    <s v="Umeå"/>
    <s v="Normal"/>
    <m/>
    <m/>
    <m/>
    <x v="1"/>
    <m/>
    <m/>
    <n v="44"/>
    <n v="11"/>
    <n v="0.85"/>
    <n v="9.35"/>
    <n v="2193"/>
    <x v="13"/>
    <s v="Sam"/>
    <x v="11"/>
    <n v="20766"/>
    <n v="17442"/>
    <n v="391508.69999999995"/>
    <n v="6000"/>
    <n v="66000"/>
    <n v="457508.69999999995"/>
    <n v="0"/>
    <n v="0"/>
    <n v="0"/>
    <n v="0"/>
    <n v="0"/>
    <n v="0"/>
    <n v="1"/>
    <n v="0"/>
    <n v="0"/>
    <n v="0"/>
    <n v="0"/>
    <n v="0"/>
    <s v="Enl Fokus-Ladok 210601"/>
    <m/>
    <n v="0"/>
    <n v="0"/>
    <n v="0"/>
    <n v="0"/>
    <n v="0"/>
    <n v="0"/>
    <n v="0"/>
    <n v="0"/>
    <n v="0"/>
    <n v="0"/>
    <n v="0"/>
    <n v="0"/>
    <n v="11"/>
    <n v="9.35"/>
    <n v="0"/>
    <n v="0"/>
    <n v="0"/>
    <n v="0"/>
    <n v="0"/>
    <n v="0"/>
    <n v="0"/>
    <n v="0"/>
    <n v="0"/>
    <n v="0"/>
  </r>
  <r>
    <x v="214"/>
    <x v="206"/>
    <m/>
    <x v="11"/>
    <s v="H19"/>
    <x v="1"/>
    <s v="H2111-13"/>
    <s v="Umeå"/>
    <s v="Campus"/>
    <m/>
    <m/>
    <n v="1"/>
    <x v="6"/>
    <m/>
    <m/>
    <n v="2"/>
    <n v="0.16666666666666666"/>
    <n v="0.85"/>
    <n v="0.14166666666666666"/>
    <n v="2193"/>
    <x v="13"/>
    <s v="Sam"/>
    <x v="11"/>
    <n v="20766"/>
    <n v="17442"/>
    <n v="5931.95"/>
    <n v="6000"/>
    <n v="1000"/>
    <n v="6931.95"/>
    <n v="0"/>
    <n v="0"/>
    <n v="0"/>
    <n v="0"/>
    <n v="0"/>
    <n v="0"/>
    <n v="1"/>
    <n v="0"/>
    <n v="0"/>
    <n v="0"/>
    <n v="0"/>
    <n v="0"/>
    <s v="SP 210924"/>
    <m/>
    <n v="0"/>
    <n v="0"/>
    <n v="0"/>
    <n v="0"/>
    <n v="0"/>
    <n v="0"/>
    <n v="0"/>
    <n v="0"/>
    <n v="0"/>
    <n v="0"/>
    <n v="0"/>
    <n v="0"/>
    <n v="0.16666666666666666"/>
    <n v="0.14166666666666666"/>
    <n v="0"/>
    <n v="0"/>
    <n v="0"/>
    <n v="0"/>
    <n v="0"/>
    <n v="0"/>
    <n v="0"/>
    <n v="0"/>
    <n v="0"/>
    <n v="0"/>
  </r>
  <r>
    <x v="214"/>
    <x v="206"/>
    <m/>
    <x v="11"/>
    <s v="H20"/>
    <x v="1"/>
    <s v="H2111-13"/>
    <s v="Umeå"/>
    <s v="Campus"/>
    <m/>
    <m/>
    <n v="1"/>
    <x v="6"/>
    <m/>
    <m/>
    <n v="1"/>
    <n v="8.3333333333333329E-2"/>
    <n v="0.85"/>
    <n v="7.0833333333333331E-2"/>
    <n v="2193"/>
    <x v="13"/>
    <s v="Sam"/>
    <x v="11"/>
    <n v="20766"/>
    <n v="17442"/>
    <n v="2965.9749999999999"/>
    <n v="6000"/>
    <n v="500"/>
    <n v="3465.9749999999999"/>
    <n v="0"/>
    <n v="0"/>
    <n v="0"/>
    <n v="0"/>
    <n v="0"/>
    <n v="0"/>
    <n v="1"/>
    <n v="0"/>
    <n v="0"/>
    <n v="0"/>
    <n v="0"/>
    <n v="0"/>
    <s v="SP 210924"/>
    <m/>
    <n v="0"/>
    <n v="0"/>
    <n v="0"/>
    <n v="0"/>
    <n v="0"/>
    <n v="0"/>
    <n v="0"/>
    <n v="0"/>
    <n v="0"/>
    <n v="0"/>
    <n v="0"/>
    <n v="0"/>
    <n v="8.3333333333333329E-2"/>
    <n v="7.0833333333333331E-2"/>
    <n v="0"/>
    <n v="0"/>
    <n v="0"/>
    <n v="0"/>
    <n v="0"/>
    <n v="0"/>
    <n v="0"/>
    <n v="0"/>
    <n v="0"/>
    <n v="0"/>
  </r>
  <r>
    <x v="214"/>
    <x v="206"/>
    <m/>
    <x v="11"/>
    <s v="V21"/>
    <x v="1"/>
    <s v="H2111-13"/>
    <s v="Umeå"/>
    <s v="Campus"/>
    <m/>
    <m/>
    <n v="1"/>
    <x v="6"/>
    <m/>
    <m/>
    <n v="24"/>
    <n v="2"/>
    <n v="0.85"/>
    <n v="1.7"/>
    <n v="2193"/>
    <x v="13"/>
    <s v="Sam"/>
    <x v="11"/>
    <n v="20766"/>
    <n v="17442"/>
    <n v="71183.399999999994"/>
    <n v="6000"/>
    <n v="12000"/>
    <n v="83183.399999999994"/>
    <n v="0"/>
    <n v="0"/>
    <n v="0"/>
    <n v="0"/>
    <n v="0"/>
    <n v="0"/>
    <n v="1"/>
    <n v="0"/>
    <n v="0"/>
    <n v="0"/>
    <n v="0"/>
    <n v="0"/>
    <s v="SP 210924"/>
    <m/>
    <n v="0"/>
    <n v="0"/>
    <n v="0"/>
    <n v="0"/>
    <n v="0"/>
    <n v="0"/>
    <n v="0"/>
    <n v="0"/>
    <n v="0"/>
    <n v="0"/>
    <n v="0"/>
    <n v="0"/>
    <n v="2"/>
    <n v="1.7"/>
    <n v="0"/>
    <n v="0"/>
    <n v="0"/>
    <n v="0"/>
    <n v="0"/>
    <n v="0"/>
    <n v="0"/>
    <n v="0"/>
    <n v="0"/>
    <n v="0"/>
  </r>
  <r>
    <x v="214"/>
    <x v="206"/>
    <n v="68705"/>
    <x v="11"/>
    <m/>
    <x v="0"/>
    <m/>
    <s v="Umeå"/>
    <s v="Normal"/>
    <m/>
    <m/>
    <m/>
    <x v="6"/>
    <m/>
    <m/>
    <n v="40"/>
    <n v="3.3330000000000002"/>
    <n v="0.85"/>
    <n v="2.8330500000000001"/>
    <n v="2193"/>
    <x v="13"/>
    <s v="Sam"/>
    <x v="11"/>
    <n v="20766"/>
    <n v="17442"/>
    <n v="118627.1361"/>
    <n v="6000"/>
    <n v="19998"/>
    <n v="138625.1361"/>
    <n v="0"/>
    <n v="0"/>
    <n v="0"/>
    <n v="0"/>
    <n v="0"/>
    <n v="0"/>
    <n v="1"/>
    <n v="0"/>
    <n v="0"/>
    <n v="0"/>
    <n v="0"/>
    <n v="0"/>
    <s v="Enl Fokus-Ladok 210601"/>
    <m/>
    <n v="0"/>
    <n v="0"/>
    <n v="0"/>
    <n v="0"/>
    <n v="0"/>
    <n v="0"/>
    <n v="0"/>
    <n v="0"/>
    <n v="0"/>
    <n v="0"/>
    <n v="0"/>
    <n v="0"/>
    <n v="3.3330000000000002"/>
    <n v="2.8330500000000001"/>
    <n v="0"/>
    <n v="0"/>
    <n v="0"/>
    <n v="0"/>
    <n v="0"/>
    <n v="0"/>
    <n v="0"/>
    <n v="0"/>
    <n v="0"/>
    <n v="0"/>
  </r>
  <r>
    <x v="215"/>
    <x v="207"/>
    <m/>
    <x v="0"/>
    <s v="H16"/>
    <x v="1"/>
    <s v="H211-15"/>
    <s v="Umeå"/>
    <m/>
    <s v="SAMK"/>
    <m/>
    <n v="1"/>
    <x v="2"/>
    <m/>
    <m/>
    <n v="2"/>
    <n v="0.75"/>
    <n v="0.85"/>
    <n v="0.63749999999999996"/>
    <n v="2180"/>
    <x v="12"/>
    <s v="Sam"/>
    <x v="0"/>
    <n v="25235"/>
    <n v="27976"/>
    <n v="36760.949999999997"/>
    <n v="3600"/>
    <n v="2700"/>
    <n v="39460.949999999997"/>
    <n v="0"/>
    <n v="0"/>
    <n v="0"/>
    <n v="0"/>
    <n v="0"/>
    <n v="0"/>
    <n v="0"/>
    <n v="0"/>
    <n v="1"/>
    <n v="0"/>
    <n v="0"/>
    <n v="0"/>
    <s v="SP 210924"/>
    <m/>
    <n v="0"/>
    <n v="0"/>
    <n v="0"/>
    <n v="0"/>
    <n v="0"/>
    <n v="0"/>
    <n v="0"/>
    <n v="0"/>
    <n v="0"/>
    <n v="0"/>
    <n v="0"/>
    <n v="0"/>
    <n v="0"/>
    <n v="0"/>
    <n v="0"/>
    <n v="0"/>
    <n v="0.75"/>
    <n v="0.63749999999999996"/>
    <n v="0"/>
    <n v="0"/>
    <n v="0"/>
    <n v="0"/>
    <n v="0"/>
    <n v="0"/>
  </r>
  <r>
    <x v="215"/>
    <x v="207"/>
    <m/>
    <x v="0"/>
    <s v="H17"/>
    <x v="1"/>
    <s v="H211-15"/>
    <s v="Umeå"/>
    <m/>
    <s v="SAMK"/>
    <m/>
    <n v="1"/>
    <x v="2"/>
    <m/>
    <m/>
    <n v="6"/>
    <n v="2.25"/>
    <n v="0.85"/>
    <n v="1.9124999999999999"/>
    <n v="2180"/>
    <x v="12"/>
    <s v="Sam"/>
    <x v="0"/>
    <n v="25235"/>
    <n v="27976"/>
    <n v="110282.85"/>
    <n v="3600"/>
    <n v="8100"/>
    <n v="118382.85"/>
    <n v="0"/>
    <n v="0"/>
    <n v="0"/>
    <n v="0"/>
    <n v="0"/>
    <n v="0"/>
    <n v="0"/>
    <n v="0"/>
    <n v="1"/>
    <n v="0"/>
    <n v="0"/>
    <n v="0"/>
    <s v="SP 210924"/>
    <m/>
    <n v="0"/>
    <n v="0"/>
    <n v="0"/>
    <n v="0"/>
    <n v="0"/>
    <n v="0"/>
    <n v="0"/>
    <n v="0"/>
    <n v="0"/>
    <n v="0"/>
    <n v="0"/>
    <n v="0"/>
    <n v="0"/>
    <n v="0"/>
    <n v="0"/>
    <n v="0"/>
    <n v="2.25"/>
    <n v="1.9124999999999999"/>
    <n v="0"/>
    <n v="0"/>
    <n v="0"/>
    <n v="0"/>
    <n v="0"/>
    <n v="0"/>
  </r>
  <r>
    <x v="215"/>
    <x v="207"/>
    <m/>
    <x v="0"/>
    <s v="H19"/>
    <x v="1"/>
    <s v="H211-15"/>
    <s v="Umeå"/>
    <m/>
    <s v="SAMK"/>
    <m/>
    <n v="1"/>
    <x v="2"/>
    <m/>
    <m/>
    <n v="1"/>
    <n v="0.375"/>
    <n v="0.85"/>
    <n v="0.31874999999999998"/>
    <n v="2180"/>
    <x v="12"/>
    <s v="Sa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215"/>
    <x v="207"/>
    <n v="64510"/>
    <x v="0"/>
    <m/>
    <x v="0"/>
    <m/>
    <s v="Umeå"/>
    <s v="Normal"/>
    <s v="SAMK"/>
    <m/>
    <m/>
    <x v="2"/>
    <m/>
    <m/>
    <n v="3"/>
    <n v="1.125"/>
    <n v="0.85"/>
    <n v="0.95624999999999993"/>
    <n v="2180"/>
    <x v="12"/>
    <s v="Sam"/>
    <x v="0"/>
    <n v="25235"/>
    <n v="27976"/>
    <n v="55141.425000000003"/>
    <n v="3600"/>
    <n v="4050"/>
    <n v="59191.425000000003"/>
    <n v="0"/>
    <n v="0"/>
    <n v="0"/>
    <n v="0"/>
    <n v="0"/>
    <n v="0"/>
    <n v="0"/>
    <n v="0"/>
    <n v="1"/>
    <n v="0"/>
    <n v="0"/>
    <n v="0"/>
    <s v="Enl Fokus-Ladok 210601"/>
    <m/>
    <n v="0"/>
    <n v="0"/>
    <n v="0"/>
    <n v="0"/>
    <n v="0"/>
    <n v="0"/>
    <n v="0"/>
    <n v="0"/>
    <n v="0"/>
    <n v="0"/>
    <n v="0"/>
    <n v="0"/>
    <n v="0"/>
    <n v="0"/>
    <n v="0"/>
    <n v="0"/>
    <n v="1.125"/>
    <n v="0.95624999999999993"/>
    <n v="0"/>
    <n v="0"/>
    <n v="0"/>
    <n v="0"/>
    <n v="0"/>
    <n v="0"/>
  </r>
  <r>
    <x v="216"/>
    <x v="208"/>
    <n v="61901"/>
    <x v="3"/>
    <m/>
    <x v="0"/>
    <m/>
    <s v="Ortsoberoende"/>
    <s v="Distans"/>
    <m/>
    <m/>
    <m/>
    <x v="11"/>
    <m/>
    <m/>
    <n v="33"/>
    <n v="1.925"/>
    <n v="0.8"/>
    <n v="1.54"/>
    <n v="5740"/>
    <x v="7"/>
    <s v="TekNat"/>
    <x v="3"/>
    <n v="20757"/>
    <n v="36082"/>
    <n v="95523.505000000005"/>
    <n v="22600"/>
    <n v="43505"/>
    <n v="139028.505"/>
    <n v="0"/>
    <n v="0"/>
    <n v="0"/>
    <n v="0"/>
    <n v="0"/>
    <n v="1"/>
    <n v="0"/>
    <n v="0"/>
    <n v="0"/>
    <n v="0"/>
    <n v="0"/>
    <n v="0"/>
    <s v="Enl Fokus-Ladok 210601"/>
    <m/>
    <n v="0"/>
    <n v="0"/>
    <n v="0"/>
    <n v="0"/>
    <n v="0"/>
    <n v="0"/>
    <n v="0"/>
    <n v="0"/>
    <n v="0"/>
    <n v="0"/>
    <n v="1.925"/>
    <n v="1.54"/>
    <n v="0"/>
    <n v="0"/>
    <n v="0"/>
    <n v="0"/>
    <n v="0"/>
    <n v="0"/>
    <n v="0"/>
    <n v="0"/>
    <n v="0"/>
    <n v="0"/>
    <n v="0"/>
    <n v="0"/>
  </r>
  <r>
    <x v="216"/>
    <x v="208"/>
    <m/>
    <x v="3"/>
    <m/>
    <x v="1"/>
    <m/>
    <m/>
    <s v="Distans"/>
    <m/>
    <m/>
    <n v="0.25"/>
    <x v="11"/>
    <m/>
    <m/>
    <n v="40"/>
    <n v="2.3333333333333335"/>
    <n v="0.8"/>
    <n v="1.8666666666666669"/>
    <n v="5740"/>
    <x v="7"/>
    <s v="TekNat"/>
    <x v="3"/>
    <n v="20757"/>
    <n v="36082"/>
    <n v="115786.06666666668"/>
    <n v="22600"/>
    <n v="52733.333333333336"/>
    <n v="168519.40000000002"/>
    <n v="0"/>
    <n v="0"/>
    <n v="0"/>
    <n v="0"/>
    <n v="0"/>
    <n v="1"/>
    <n v="0"/>
    <n v="0"/>
    <n v="0"/>
    <n v="0"/>
    <n v="0"/>
    <n v="0"/>
    <s v="Äskat/Beslutat 200611 p.39"/>
    <s v="Beställd av LH"/>
    <n v="0"/>
    <n v="0"/>
    <n v="0"/>
    <n v="0"/>
    <n v="0"/>
    <n v="0"/>
    <n v="0"/>
    <n v="0"/>
    <n v="0"/>
    <n v="0"/>
    <n v="2.3333333333333335"/>
    <n v="1.8666666666666669"/>
    <n v="0"/>
    <n v="0"/>
    <n v="0"/>
    <n v="0"/>
    <n v="0"/>
    <n v="0"/>
    <n v="0"/>
    <n v="0"/>
    <n v="0"/>
    <n v="0"/>
    <n v="0"/>
    <n v="0"/>
  </r>
  <r>
    <x v="217"/>
    <x v="209"/>
    <m/>
    <x v="12"/>
    <s v="H19"/>
    <x v="1"/>
    <s v="H215-10"/>
    <s v="Umeå"/>
    <s v="Campus"/>
    <m/>
    <m/>
    <n v="1"/>
    <x v="0"/>
    <m/>
    <m/>
    <n v="2"/>
    <n v="0.25"/>
    <n v="0.85"/>
    <n v="0.21249999999999999"/>
    <n v="2193"/>
    <x v="13"/>
    <s v="Sam"/>
    <x v="12"/>
    <n v="25235"/>
    <n v="27976"/>
    <n v="12253.65"/>
    <n v="3600"/>
    <n v="900"/>
    <n v="13153.65"/>
    <n v="0"/>
    <n v="0"/>
    <n v="0"/>
    <n v="0"/>
    <n v="0"/>
    <n v="0"/>
    <n v="0"/>
    <n v="0"/>
    <n v="1"/>
    <n v="0"/>
    <n v="0"/>
    <n v="0"/>
    <s v="SP210923"/>
    <m/>
    <n v="0"/>
    <n v="0"/>
    <n v="0"/>
    <n v="0"/>
    <n v="0"/>
    <n v="0"/>
    <n v="0"/>
    <n v="0"/>
    <n v="0"/>
    <n v="0"/>
    <n v="0"/>
    <n v="0"/>
    <n v="0"/>
    <n v="0"/>
    <n v="0"/>
    <n v="0"/>
    <n v="0.25"/>
    <n v="0.21249999999999999"/>
    <n v="0"/>
    <n v="0"/>
    <n v="0"/>
    <n v="0"/>
    <n v="0"/>
    <n v="0"/>
  </r>
  <r>
    <x v="217"/>
    <x v="209"/>
    <m/>
    <x v="12"/>
    <s v="H20"/>
    <x v="1"/>
    <s v="H215-10"/>
    <s v="Umeå"/>
    <s v="Campus"/>
    <m/>
    <m/>
    <n v="1"/>
    <x v="0"/>
    <m/>
    <m/>
    <n v="17"/>
    <n v="2.125"/>
    <n v="0.85"/>
    <n v="1.8062499999999999"/>
    <n v="2193"/>
    <x v="13"/>
    <s v="Sam"/>
    <x v="12"/>
    <n v="25235"/>
    <n v="27976"/>
    <n v="104156.02499999999"/>
    <n v="3600"/>
    <n v="7650"/>
    <n v="111806.02499999999"/>
    <n v="0"/>
    <n v="0"/>
    <n v="0"/>
    <n v="0"/>
    <n v="0"/>
    <n v="0"/>
    <n v="0"/>
    <n v="0"/>
    <n v="1"/>
    <n v="0"/>
    <n v="0"/>
    <n v="0"/>
    <s v="SP210923"/>
    <m/>
    <n v="0"/>
    <n v="0"/>
    <n v="0"/>
    <n v="0"/>
    <n v="0"/>
    <n v="0"/>
    <n v="0"/>
    <n v="0"/>
    <n v="0"/>
    <n v="0"/>
    <n v="0"/>
    <n v="0"/>
    <n v="0"/>
    <n v="0"/>
    <n v="0"/>
    <n v="0"/>
    <n v="2.125"/>
    <n v="1.8062499999999999"/>
    <n v="0"/>
    <n v="0"/>
    <n v="0"/>
    <n v="0"/>
    <n v="0"/>
    <n v="0"/>
  </r>
  <r>
    <x v="218"/>
    <x v="210"/>
    <n v="68702"/>
    <x v="3"/>
    <m/>
    <x v="0"/>
    <m/>
    <s v="Ortsoberoende"/>
    <s v="Distans"/>
    <m/>
    <m/>
    <m/>
    <x v="12"/>
    <m/>
    <m/>
    <n v="47"/>
    <n v="3.133"/>
    <n v="0.8"/>
    <n v="2.5064000000000002"/>
    <n v="2193"/>
    <x v="13"/>
    <s v="Sam"/>
    <x v="3"/>
    <n v="20766"/>
    <n v="17442"/>
    <n v="108776.5068"/>
    <n v="6000"/>
    <n v="18798"/>
    <n v="127574.5068"/>
    <n v="0"/>
    <n v="0"/>
    <n v="0"/>
    <n v="0"/>
    <n v="0"/>
    <n v="0"/>
    <n v="1"/>
    <n v="0"/>
    <n v="0"/>
    <n v="0"/>
    <n v="0"/>
    <n v="0"/>
    <s v="Enl Fokus-Ladok 210601"/>
    <m/>
    <n v="0"/>
    <n v="0"/>
    <n v="0"/>
    <n v="0"/>
    <n v="0"/>
    <n v="0"/>
    <n v="0"/>
    <n v="0"/>
    <n v="0"/>
    <n v="0"/>
    <n v="0"/>
    <n v="0"/>
    <n v="3.133"/>
    <n v="2.5064000000000002"/>
    <n v="0"/>
    <n v="0"/>
    <n v="0"/>
    <n v="0"/>
    <n v="0"/>
    <n v="0"/>
    <n v="0"/>
    <n v="0"/>
    <n v="0"/>
    <n v="0"/>
  </r>
  <r>
    <x v="218"/>
    <x v="210"/>
    <m/>
    <x v="3"/>
    <m/>
    <x v="1"/>
    <m/>
    <m/>
    <s v="Distans"/>
    <m/>
    <m/>
    <n v="0.25"/>
    <x v="12"/>
    <m/>
    <m/>
    <n v="40"/>
    <n v="2.6666666666666665"/>
    <n v="0.8"/>
    <n v="2.1333333333333333"/>
    <n v="2193"/>
    <x v="13"/>
    <s v="Sam"/>
    <x v="3"/>
    <n v="20766"/>
    <n v="17442"/>
    <n v="92585.600000000006"/>
    <n v="6000"/>
    <n v="16000"/>
    <n v="108585.60000000001"/>
    <n v="0"/>
    <n v="0"/>
    <n v="0"/>
    <n v="0"/>
    <n v="0"/>
    <n v="0"/>
    <n v="1"/>
    <n v="0"/>
    <n v="0"/>
    <n v="0"/>
    <n v="0"/>
    <n v="0"/>
    <s v="Äskat/Beslutat 200611 p.39"/>
    <s v="Beställd av LH"/>
    <n v="0"/>
    <n v="0"/>
    <n v="0"/>
    <n v="0"/>
    <n v="0"/>
    <n v="0"/>
    <n v="0"/>
    <n v="0"/>
    <n v="0"/>
    <n v="0"/>
    <n v="0"/>
    <n v="0"/>
    <n v="2.6666666666666665"/>
    <n v="2.1333333333333333"/>
    <n v="0"/>
    <n v="0"/>
    <n v="0"/>
    <n v="0"/>
    <n v="0"/>
    <n v="0"/>
    <n v="0"/>
    <n v="0"/>
    <n v="0"/>
    <n v="0"/>
  </r>
  <r>
    <x v="219"/>
    <x v="211"/>
    <m/>
    <x v="4"/>
    <s v="H17"/>
    <x v="1"/>
    <s v="H2116-20:V221-15"/>
    <s v="Umeå"/>
    <s v="Campus"/>
    <m/>
    <m/>
    <n v="1"/>
    <x v="0"/>
    <m/>
    <m/>
    <n v="2"/>
    <n v="0.25"/>
    <n v="0.85"/>
    <n v="0.21249999999999999"/>
    <n v="5740"/>
    <x v="7"/>
    <s v="TekNat"/>
    <x v="4"/>
    <n v="20757"/>
    <n v="36082"/>
    <n v="12856.674999999999"/>
    <n v="22600"/>
    <n v="5650"/>
    <n v="18506.674999999999"/>
    <n v="0"/>
    <n v="0"/>
    <n v="0"/>
    <n v="0"/>
    <n v="0"/>
    <n v="1"/>
    <n v="0"/>
    <n v="0"/>
    <n v="0"/>
    <n v="0"/>
    <n v="0"/>
    <n v="0"/>
    <s v="SP 210923"/>
    <s v="Läser 7,5 av 30 hp denna termin"/>
    <n v="0"/>
    <n v="0"/>
    <n v="0"/>
    <n v="0"/>
    <n v="0"/>
    <n v="0"/>
    <n v="0"/>
    <n v="0"/>
    <n v="0"/>
    <n v="0"/>
    <n v="0.25"/>
    <n v="0.21249999999999999"/>
    <n v="0"/>
    <n v="0"/>
    <n v="0"/>
    <n v="0"/>
    <n v="0"/>
    <n v="0"/>
    <n v="0"/>
    <n v="0"/>
    <n v="0"/>
    <n v="0"/>
    <n v="0"/>
    <n v="0"/>
  </r>
  <r>
    <x v="219"/>
    <x v="211"/>
    <m/>
    <x v="4"/>
    <s v="H18"/>
    <x v="1"/>
    <s v="H2116-20:V221-15"/>
    <s v="Umeå"/>
    <s v="Campus"/>
    <m/>
    <m/>
    <n v="1"/>
    <x v="0"/>
    <m/>
    <m/>
    <n v="39"/>
    <n v="4.875"/>
    <n v="0.85"/>
    <n v="4.1437499999999998"/>
    <n v="5740"/>
    <x v="7"/>
    <s v="TekNat"/>
    <x v="4"/>
    <n v="20757"/>
    <n v="36082"/>
    <n v="250705.16250000001"/>
    <n v="22600"/>
    <n v="110175"/>
    <n v="360880.16249999998"/>
    <n v="0"/>
    <n v="0"/>
    <n v="0"/>
    <n v="0"/>
    <n v="0"/>
    <n v="1"/>
    <n v="0"/>
    <n v="0"/>
    <n v="0"/>
    <n v="0"/>
    <n v="0"/>
    <n v="0"/>
    <s v="SP 210923"/>
    <s v="Läser 7,5 av 30 hp denna termin"/>
    <n v="0"/>
    <n v="0"/>
    <n v="0"/>
    <n v="0"/>
    <n v="0"/>
    <n v="0"/>
    <n v="0"/>
    <n v="0"/>
    <n v="0"/>
    <n v="0"/>
    <n v="4.875"/>
    <n v="4.1437499999999998"/>
    <n v="0"/>
    <n v="0"/>
    <n v="0"/>
    <n v="0"/>
    <n v="0"/>
    <n v="0"/>
    <n v="0"/>
    <n v="0"/>
    <n v="0"/>
    <n v="0"/>
    <n v="0"/>
    <n v="0"/>
  </r>
  <r>
    <x v="219"/>
    <x v="211"/>
    <m/>
    <x v="4"/>
    <s v="H20"/>
    <x v="1"/>
    <s v="H2116-20:V221-15"/>
    <s v="Umeå"/>
    <s v="Campus"/>
    <m/>
    <m/>
    <n v="1"/>
    <x v="0"/>
    <m/>
    <m/>
    <n v="1"/>
    <n v="0.125"/>
    <n v="0.85"/>
    <n v="0.10625"/>
    <n v="5740"/>
    <x v="7"/>
    <s v="TekNat"/>
    <x v="4"/>
    <n v="20757"/>
    <n v="36082"/>
    <n v="6428.3374999999996"/>
    <n v="22600"/>
    <n v="2825"/>
    <n v="9253.3374999999996"/>
    <n v="0"/>
    <n v="0"/>
    <n v="0"/>
    <n v="0"/>
    <n v="0"/>
    <n v="1"/>
    <n v="0"/>
    <n v="0"/>
    <n v="0"/>
    <n v="0"/>
    <n v="0"/>
    <n v="0"/>
    <s v="SP 210923"/>
    <s v="Läser 7,5 av 30 hp denna termin"/>
    <n v="0"/>
    <n v="0"/>
    <n v="0"/>
    <n v="0"/>
    <n v="0"/>
    <n v="0"/>
    <n v="0"/>
    <n v="0"/>
    <n v="0"/>
    <n v="0"/>
    <n v="0.125"/>
    <n v="0.10625"/>
    <n v="0"/>
    <n v="0"/>
    <n v="0"/>
    <n v="0"/>
    <n v="0"/>
    <n v="0"/>
    <n v="0"/>
    <n v="0"/>
    <n v="0"/>
    <n v="0"/>
    <n v="0"/>
    <n v="0"/>
  </r>
  <r>
    <x v="219"/>
    <x v="211"/>
    <n v="61801"/>
    <x v="4"/>
    <m/>
    <x v="0"/>
    <m/>
    <s v="Umeå"/>
    <s v="Normal"/>
    <m/>
    <m/>
    <m/>
    <x v="2"/>
    <m/>
    <m/>
    <n v="30"/>
    <n v="11.25"/>
    <n v="0.85"/>
    <n v="9.5625"/>
    <n v="5740"/>
    <x v="7"/>
    <s v="TekNat"/>
    <x v="4"/>
    <n v="20757"/>
    <n v="36082"/>
    <n v="578550.375"/>
    <n v="22600"/>
    <n v="254250"/>
    <n v="832800.375"/>
    <n v="0"/>
    <n v="0"/>
    <n v="0"/>
    <n v="0"/>
    <n v="0"/>
    <n v="1"/>
    <n v="0"/>
    <n v="0"/>
    <n v="0"/>
    <n v="0"/>
    <n v="0"/>
    <n v="0"/>
    <s v="Enl Fokus-Ladok 210601"/>
    <s v="Läser 22,5 av 30 hp denna termin"/>
    <n v="0"/>
    <n v="0"/>
    <n v="0"/>
    <n v="0"/>
    <n v="0"/>
    <n v="0"/>
    <n v="0"/>
    <n v="0"/>
    <n v="0"/>
    <n v="0"/>
    <n v="11.25"/>
    <n v="9.5625"/>
    <n v="0"/>
    <n v="0"/>
    <n v="0"/>
    <n v="0"/>
    <n v="0"/>
    <n v="0"/>
    <n v="0"/>
    <n v="0"/>
    <n v="0"/>
    <n v="0"/>
    <n v="0"/>
    <n v="0"/>
  </r>
  <r>
    <x v="220"/>
    <x v="212"/>
    <m/>
    <x v="5"/>
    <s v="H18"/>
    <x v="1"/>
    <s v="H2116-20:V221-15"/>
    <s v="Umeå"/>
    <s v="Campus"/>
    <m/>
    <m/>
    <n v="1"/>
    <x v="0"/>
    <m/>
    <m/>
    <n v="19"/>
    <n v="2.375"/>
    <n v="0.85"/>
    <n v="2.0187499999999998"/>
    <n v="5740"/>
    <x v="7"/>
    <s v="TekNat"/>
    <x v="5"/>
    <n v="20757"/>
    <n v="36082"/>
    <n v="122138.41249999999"/>
    <n v="22600"/>
    <n v="53675"/>
    <n v="175813.41249999998"/>
    <n v="0"/>
    <n v="0"/>
    <n v="0"/>
    <n v="0"/>
    <n v="0"/>
    <n v="1"/>
    <n v="0"/>
    <n v="0"/>
    <n v="0"/>
    <n v="0"/>
    <n v="0"/>
    <n v="0"/>
    <s v="SP 210923"/>
    <s v="Läser 7,5 av 30 hp denna termin"/>
    <n v="0"/>
    <n v="0"/>
    <n v="0"/>
    <n v="0"/>
    <n v="0"/>
    <n v="0"/>
    <n v="0"/>
    <n v="0"/>
    <n v="0"/>
    <n v="0"/>
    <n v="2.375"/>
    <n v="2.0187499999999998"/>
    <n v="0"/>
    <n v="0"/>
    <n v="0"/>
    <n v="0"/>
    <n v="0"/>
    <n v="0"/>
    <n v="0"/>
    <n v="0"/>
    <n v="0"/>
    <n v="0"/>
    <n v="0"/>
    <n v="0"/>
  </r>
  <r>
    <x v="220"/>
    <x v="212"/>
    <m/>
    <x v="5"/>
    <s v="H19"/>
    <x v="1"/>
    <s v="H2116-20:V221-15"/>
    <s v="Umeå"/>
    <s v="Campus"/>
    <m/>
    <m/>
    <n v="1"/>
    <x v="0"/>
    <m/>
    <m/>
    <n v="1"/>
    <n v="0.125"/>
    <n v="0.85"/>
    <n v="0.10625"/>
    <n v="5740"/>
    <x v="7"/>
    <s v="TekNat"/>
    <x v="5"/>
    <n v="20757"/>
    <n v="36082"/>
    <n v="6428.3374999999996"/>
    <n v="22600"/>
    <n v="2825"/>
    <n v="9253.3374999999996"/>
    <n v="0"/>
    <n v="0"/>
    <n v="0"/>
    <n v="0"/>
    <n v="0"/>
    <n v="1"/>
    <n v="0"/>
    <n v="0"/>
    <n v="0"/>
    <n v="0"/>
    <n v="0"/>
    <n v="0"/>
    <s v="SP 210923"/>
    <s v="Läser 7,5 av 30 hp denna termin"/>
    <n v="0"/>
    <n v="0"/>
    <n v="0"/>
    <n v="0"/>
    <n v="0"/>
    <n v="0"/>
    <n v="0"/>
    <n v="0"/>
    <n v="0"/>
    <n v="0"/>
    <n v="0.125"/>
    <n v="0.10625"/>
    <n v="0"/>
    <n v="0"/>
    <n v="0"/>
    <n v="0"/>
    <n v="0"/>
    <n v="0"/>
    <n v="0"/>
    <n v="0"/>
    <n v="0"/>
    <n v="0"/>
    <n v="0"/>
    <n v="0"/>
  </r>
  <r>
    <x v="220"/>
    <x v="212"/>
    <n v="61804"/>
    <x v="5"/>
    <m/>
    <x v="0"/>
    <m/>
    <s v="Umeå"/>
    <s v="Normal"/>
    <m/>
    <m/>
    <m/>
    <x v="2"/>
    <m/>
    <m/>
    <n v="27"/>
    <n v="10.125"/>
    <n v="0.85"/>
    <n v="8.6062499999999993"/>
    <n v="5740"/>
    <x v="7"/>
    <s v="TekNat"/>
    <x v="5"/>
    <n v="20757"/>
    <n v="36082"/>
    <n v="520695.33749999997"/>
    <n v="22600"/>
    <n v="228825"/>
    <n v="749520.33749999991"/>
    <n v="0"/>
    <n v="0"/>
    <n v="0"/>
    <n v="0"/>
    <n v="0"/>
    <n v="1"/>
    <n v="0"/>
    <n v="0"/>
    <n v="0"/>
    <n v="0"/>
    <n v="0"/>
    <n v="0"/>
    <s v="Enl Fokus-Ladok 210601"/>
    <s v="Läser 22,5 av 30 hp denna termin"/>
    <n v="0"/>
    <n v="0"/>
    <n v="0"/>
    <n v="0"/>
    <n v="0"/>
    <n v="0"/>
    <n v="0"/>
    <n v="0"/>
    <n v="0"/>
    <n v="0"/>
    <n v="10.125"/>
    <n v="8.6062499999999993"/>
    <n v="0"/>
    <n v="0"/>
    <n v="0"/>
    <n v="0"/>
    <n v="0"/>
    <n v="0"/>
    <n v="0"/>
    <n v="0"/>
    <n v="0"/>
    <n v="0"/>
    <n v="0"/>
    <n v="0"/>
  </r>
  <r>
    <x v="221"/>
    <x v="213"/>
    <m/>
    <x v="11"/>
    <s v="H16"/>
    <x v="1"/>
    <s v="H218-12"/>
    <s v="Umeå"/>
    <s v="Campus"/>
    <m/>
    <m/>
    <n v="1"/>
    <x v="9"/>
    <m/>
    <m/>
    <n v="1"/>
    <n v="0.13333333333333333"/>
    <n v="0.85"/>
    <n v="0.11333333333333333"/>
    <n v="2193"/>
    <x v="13"/>
    <s v="Sam"/>
    <x v="11"/>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1"/>
    <x v="213"/>
    <m/>
    <x v="11"/>
    <s v="V19"/>
    <x v="1"/>
    <s v="H218-12"/>
    <s v="Umeå"/>
    <s v="Campus"/>
    <m/>
    <m/>
    <n v="1"/>
    <x v="9"/>
    <m/>
    <m/>
    <n v="1"/>
    <n v="0.13333333333333333"/>
    <n v="0.85"/>
    <n v="0.11333333333333333"/>
    <n v="2193"/>
    <x v="13"/>
    <s v="Sam"/>
    <x v="11"/>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1"/>
    <x v="213"/>
    <m/>
    <x v="11"/>
    <s v="V20"/>
    <x v="1"/>
    <s v="H218-12"/>
    <s v="Umeå"/>
    <s v="Campus"/>
    <m/>
    <m/>
    <n v="1"/>
    <x v="9"/>
    <m/>
    <m/>
    <n v="20"/>
    <n v="2.6666666666666665"/>
    <n v="0.85"/>
    <n v="2.2666666666666666"/>
    <n v="2193"/>
    <x v="13"/>
    <s v="Sam"/>
    <x v="11"/>
    <n v="26554"/>
    <n v="33465"/>
    <n v="146664.66666666666"/>
    <n v="6000"/>
    <n v="16000"/>
    <n v="162664.66666666666"/>
    <n v="0"/>
    <n v="0"/>
    <n v="0"/>
    <n v="1"/>
    <n v="0"/>
    <n v="0"/>
    <n v="0"/>
    <n v="0"/>
    <n v="0"/>
    <n v="0"/>
    <n v="0"/>
    <n v="0"/>
    <s v="SP 210924"/>
    <m/>
    <n v="0"/>
    <n v="0"/>
    <n v="0"/>
    <n v="0"/>
    <n v="0"/>
    <n v="0"/>
    <n v="2.6666666666666665"/>
    <n v="2.2666666666666666"/>
    <n v="0"/>
    <n v="0"/>
    <n v="0"/>
    <n v="0"/>
    <n v="0"/>
    <n v="0"/>
    <n v="0"/>
    <n v="0"/>
    <n v="0"/>
    <n v="0"/>
    <n v="0"/>
    <n v="0"/>
    <n v="0"/>
    <n v="0"/>
    <n v="0"/>
    <n v="0"/>
  </r>
  <r>
    <x v="221"/>
    <x v="213"/>
    <n v="68713"/>
    <x v="11"/>
    <m/>
    <x v="0"/>
    <m/>
    <s v="Umeå"/>
    <s v="Normal"/>
    <m/>
    <m/>
    <m/>
    <x v="9"/>
    <m/>
    <m/>
    <n v="37"/>
    <n v="4.9329999999999998"/>
    <n v="0.85"/>
    <n v="4.1930499999999995"/>
    <n v="2193"/>
    <x v="13"/>
    <s v="Sam"/>
    <x v="11"/>
    <n v="26554"/>
    <n v="33465"/>
    <n v="271311.30024999997"/>
    <n v="6000"/>
    <n v="29598"/>
    <n v="300909.30024999997"/>
    <n v="0"/>
    <n v="0"/>
    <n v="0"/>
    <n v="1"/>
    <n v="0"/>
    <n v="0"/>
    <n v="0"/>
    <n v="0"/>
    <n v="0"/>
    <n v="0"/>
    <n v="0"/>
    <n v="0"/>
    <s v="Enl Fokus-Ladok 210601"/>
    <m/>
    <n v="0"/>
    <n v="0"/>
    <n v="0"/>
    <n v="0"/>
    <n v="0"/>
    <n v="0"/>
    <n v="4.9329999999999998"/>
    <n v="4.1930499999999995"/>
    <n v="0"/>
    <n v="0"/>
    <n v="0"/>
    <n v="0"/>
    <n v="0"/>
    <n v="0"/>
    <n v="0"/>
    <n v="0"/>
    <n v="0"/>
    <n v="0"/>
    <n v="0"/>
    <n v="0"/>
    <n v="0"/>
    <n v="0"/>
    <n v="0"/>
    <n v="0"/>
  </r>
  <r>
    <x v="222"/>
    <x v="214"/>
    <m/>
    <x v="11"/>
    <s v="H16"/>
    <x v="1"/>
    <s v="H2113-16"/>
    <s v="Umeå"/>
    <s v="Campus"/>
    <m/>
    <m/>
    <n v="1"/>
    <x v="4"/>
    <m/>
    <m/>
    <n v="1"/>
    <n v="0.1"/>
    <n v="0.85"/>
    <n v="8.5000000000000006E-2"/>
    <n v="2193"/>
    <x v="13"/>
    <s v="Sam"/>
    <x v="11"/>
    <n v="26554"/>
    <n v="33465"/>
    <n v="5499.9250000000002"/>
    <n v="6000"/>
    <n v="600"/>
    <n v="6099.9250000000002"/>
    <n v="0"/>
    <n v="0"/>
    <n v="0"/>
    <n v="1"/>
    <n v="0"/>
    <n v="0"/>
    <n v="0"/>
    <n v="0"/>
    <n v="0"/>
    <n v="0"/>
    <n v="0"/>
    <n v="0"/>
    <s v="SP 210924"/>
    <m/>
    <n v="0"/>
    <n v="0"/>
    <n v="0"/>
    <n v="0"/>
    <n v="0"/>
    <n v="0"/>
    <n v="0.1"/>
    <n v="8.5000000000000006E-2"/>
    <n v="0"/>
    <n v="0"/>
    <n v="0"/>
    <n v="0"/>
    <n v="0"/>
    <n v="0"/>
    <n v="0"/>
    <n v="0"/>
    <n v="0"/>
    <n v="0"/>
    <n v="0"/>
    <n v="0"/>
    <n v="0"/>
    <n v="0"/>
    <n v="0"/>
    <n v="0"/>
  </r>
  <r>
    <x v="222"/>
    <x v="214"/>
    <m/>
    <x v="11"/>
    <s v="H19"/>
    <x v="1"/>
    <s v="H2113-16"/>
    <s v="Umeå"/>
    <s v="Campus"/>
    <m/>
    <m/>
    <n v="1"/>
    <x v="4"/>
    <m/>
    <m/>
    <n v="1"/>
    <n v="0.1"/>
    <n v="0.85"/>
    <n v="8.5000000000000006E-2"/>
    <n v="2193"/>
    <x v="13"/>
    <s v="Sam"/>
    <x v="11"/>
    <n v="26554"/>
    <n v="33465"/>
    <n v="5499.9250000000002"/>
    <n v="6000"/>
    <n v="600"/>
    <n v="6099.9250000000002"/>
    <n v="0"/>
    <n v="0"/>
    <n v="0"/>
    <n v="1"/>
    <n v="0"/>
    <n v="0"/>
    <n v="0"/>
    <n v="0"/>
    <n v="0"/>
    <n v="0"/>
    <n v="0"/>
    <n v="0"/>
    <s v="SP 210924"/>
    <m/>
    <n v="0"/>
    <n v="0"/>
    <n v="0"/>
    <n v="0"/>
    <n v="0"/>
    <n v="0"/>
    <n v="0.1"/>
    <n v="8.5000000000000006E-2"/>
    <n v="0"/>
    <n v="0"/>
    <n v="0"/>
    <n v="0"/>
    <n v="0"/>
    <n v="0"/>
    <n v="0"/>
    <n v="0"/>
    <n v="0"/>
    <n v="0"/>
    <n v="0"/>
    <n v="0"/>
    <n v="0"/>
    <n v="0"/>
    <n v="0"/>
    <n v="0"/>
  </r>
  <r>
    <x v="222"/>
    <x v="214"/>
    <m/>
    <x v="11"/>
    <s v="V19"/>
    <x v="1"/>
    <s v="H2113-16"/>
    <s v="Umeå"/>
    <s v="Campus"/>
    <m/>
    <m/>
    <n v="1"/>
    <x v="4"/>
    <m/>
    <m/>
    <n v="1"/>
    <n v="0.1"/>
    <n v="0.85"/>
    <n v="8.5000000000000006E-2"/>
    <n v="2193"/>
    <x v="13"/>
    <s v="Sam"/>
    <x v="11"/>
    <n v="26554"/>
    <n v="33465"/>
    <n v="5499.9250000000002"/>
    <n v="6000"/>
    <n v="600"/>
    <n v="6099.9250000000002"/>
    <n v="0"/>
    <n v="0"/>
    <n v="0"/>
    <n v="1"/>
    <n v="0"/>
    <n v="0"/>
    <n v="0"/>
    <n v="0"/>
    <n v="0"/>
    <n v="0"/>
    <n v="0"/>
    <n v="0"/>
    <s v="SP 210924"/>
    <m/>
    <n v="0"/>
    <n v="0"/>
    <n v="0"/>
    <n v="0"/>
    <n v="0"/>
    <n v="0"/>
    <n v="0.1"/>
    <n v="8.5000000000000006E-2"/>
    <n v="0"/>
    <n v="0"/>
    <n v="0"/>
    <n v="0"/>
    <n v="0"/>
    <n v="0"/>
    <n v="0"/>
    <n v="0"/>
    <n v="0"/>
    <n v="0"/>
    <n v="0"/>
    <n v="0"/>
    <n v="0"/>
    <n v="0"/>
    <n v="0"/>
    <n v="0"/>
  </r>
  <r>
    <x v="222"/>
    <x v="214"/>
    <m/>
    <x v="11"/>
    <s v="V20"/>
    <x v="1"/>
    <s v="H2113-16"/>
    <s v="Umeå"/>
    <s v="Campus"/>
    <m/>
    <m/>
    <n v="1"/>
    <x v="4"/>
    <m/>
    <m/>
    <n v="21"/>
    <n v="2.1"/>
    <n v="0.85"/>
    <n v="1.7849999999999999"/>
    <n v="2193"/>
    <x v="13"/>
    <s v="Sam"/>
    <x v="11"/>
    <n v="26554"/>
    <n v="33465"/>
    <n v="115498.42499999999"/>
    <n v="6000"/>
    <n v="12600"/>
    <n v="128098.42499999999"/>
    <n v="0"/>
    <n v="0"/>
    <n v="0"/>
    <n v="1"/>
    <n v="0"/>
    <n v="0"/>
    <n v="0"/>
    <n v="0"/>
    <n v="0"/>
    <n v="0"/>
    <n v="0"/>
    <n v="0"/>
    <s v="SP 210924"/>
    <m/>
    <n v="0"/>
    <n v="0"/>
    <n v="0"/>
    <n v="0"/>
    <n v="0"/>
    <n v="0"/>
    <n v="2.1"/>
    <n v="1.7849999999999999"/>
    <n v="0"/>
    <n v="0"/>
    <n v="0"/>
    <n v="0"/>
    <n v="0"/>
    <n v="0"/>
    <n v="0"/>
    <n v="0"/>
    <n v="0"/>
    <n v="0"/>
    <n v="0"/>
    <n v="0"/>
    <n v="0"/>
    <n v="0"/>
    <n v="0"/>
    <n v="0"/>
  </r>
  <r>
    <x v="222"/>
    <x v="214"/>
    <n v="68711"/>
    <x v="11"/>
    <m/>
    <x v="0"/>
    <m/>
    <s v="Umeå"/>
    <s v="Normal"/>
    <m/>
    <m/>
    <m/>
    <x v="4"/>
    <m/>
    <m/>
    <n v="38"/>
    <n v="3.8"/>
    <n v="0.85"/>
    <n v="3.23"/>
    <n v="2193"/>
    <x v="13"/>
    <s v="Sam"/>
    <x v="11"/>
    <n v="26554"/>
    <n v="33465"/>
    <n v="208997.15"/>
    <n v="6000"/>
    <n v="22800"/>
    <n v="231797.15"/>
    <n v="0"/>
    <n v="0"/>
    <n v="0"/>
    <n v="1"/>
    <n v="0"/>
    <n v="0"/>
    <n v="0"/>
    <n v="0"/>
    <n v="0"/>
    <n v="0"/>
    <n v="0"/>
    <n v="0"/>
    <s v="Enl Fokus-Ladok 210601"/>
    <m/>
    <n v="0"/>
    <n v="0"/>
    <n v="0"/>
    <n v="0"/>
    <n v="0"/>
    <n v="0"/>
    <n v="3.8"/>
    <n v="3.23"/>
    <n v="0"/>
    <n v="0"/>
    <n v="0"/>
    <n v="0"/>
    <n v="0"/>
    <n v="0"/>
    <n v="0"/>
    <n v="0"/>
    <n v="0"/>
    <n v="0"/>
    <n v="0"/>
    <n v="0"/>
    <n v="0"/>
    <n v="0"/>
    <n v="0"/>
    <n v="0"/>
  </r>
  <r>
    <x v="223"/>
    <x v="215"/>
    <n v="64508"/>
    <x v="6"/>
    <m/>
    <x v="0"/>
    <m/>
    <s v="Umeå"/>
    <s v="Normal"/>
    <s v="TXAL"/>
    <m/>
    <m/>
    <x v="6"/>
    <m/>
    <m/>
    <n v="1"/>
    <n v="8.3000000000000004E-2"/>
    <n v="0.85"/>
    <n v="7.0550000000000002E-2"/>
    <n v="2180"/>
    <x v="12"/>
    <s v="Sam"/>
    <x v="6"/>
    <n v="26554"/>
    <n v="33465"/>
    <n v="4564.9377500000001"/>
    <n v="6000"/>
    <n v="498"/>
    <n v="5062.9377500000001"/>
    <n v="0"/>
    <n v="0"/>
    <n v="0"/>
    <n v="1"/>
    <n v="0"/>
    <n v="0"/>
    <n v="0"/>
    <n v="0"/>
    <n v="0"/>
    <n v="0"/>
    <n v="0"/>
    <n v="0"/>
    <s v="Enl Fokus-Ladok 210601"/>
    <m/>
    <n v="0"/>
    <n v="0"/>
    <n v="0"/>
    <n v="0"/>
    <n v="0"/>
    <n v="0"/>
    <n v="8.3000000000000004E-2"/>
    <n v="7.0550000000000002E-2"/>
    <n v="0"/>
    <n v="0"/>
    <n v="0"/>
    <n v="0"/>
    <n v="0"/>
    <n v="0"/>
    <n v="0"/>
    <n v="0"/>
    <n v="0"/>
    <n v="0"/>
    <n v="0"/>
    <n v="0"/>
    <n v="0"/>
    <n v="0"/>
    <n v="0"/>
    <n v="0"/>
  </r>
  <r>
    <x v="223"/>
    <x v="215"/>
    <m/>
    <x v="12"/>
    <s v="H19"/>
    <x v="1"/>
    <s v="H2113-15"/>
    <s v="Umeå"/>
    <s v="Campus"/>
    <m/>
    <m/>
    <n v="1"/>
    <x v="6"/>
    <m/>
    <m/>
    <n v="16"/>
    <n v="1.3333333333333333"/>
    <n v="0.85"/>
    <n v="1.1333333333333333"/>
    <n v="2180"/>
    <x v="12"/>
    <s v="Sam"/>
    <x v="12"/>
    <n v="26554"/>
    <n v="33465"/>
    <n v="73332.333333333328"/>
    <n v="6000"/>
    <n v="8000"/>
    <n v="81332.333333333328"/>
    <n v="0"/>
    <n v="0"/>
    <n v="0"/>
    <n v="1"/>
    <n v="0"/>
    <n v="0"/>
    <n v="0"/>
    <n v="0"/>
    <n v="0"/>
    <n v="0"/>
    <n v="0"/>
    <n v="0"/>
    <s v="SP210923"/>
    <m/>
    <n v="0"/>
    <n v="0"/>
    <n v="0"/>
    <n v="0"/>
    <n v="0"/>
    <n v="0"/>
    <n v="1.3333333333333333"/>
    <n v="1.1333333333333333"/>
    <n v="0"/>
    <n v="0"/>
    <n v="0"/>
    <n v="0"/>
    <n v="0"/>
    <n v="0"/>
    <n v="0"/>
    <n v="0"/>
    <n v="0"/>
    <n v="0"/>
    <n v="0"/>
    <n v="0"/>
    <n v="0"/>
    <n v="0"/>
    <n v="0"/>
    <n v="0"/>
  </r>
  <r>
    <x v="223"/>
    <x v="215"/>
    <n v="64508"/>
    <x v="4"/>
    <m/>
    <x v="0"/>
    <m/>
    <s v="Umeå"/>
    <s v="Normal"/>
    <m/>
    <m/>
    <m/>
    <x v="6"/>
    <m/>
    <m/>
    <n v="43"/>
    <n v="3.5830000000000002"/>
    <n v="0.85"/>
    <n v="3.04555"/>
    <n v="2180"/>
    <x v="12"/>
    <s v="Sam"/>
    <x v="4"/>
    <n v="26554"/>
    <n v="33465"/>
    <n v="197062.31274999998"/>
    <n v="6000"/>
    <n v="21498"/>
    <n v="218560.31274999998"/>
    <n v="0"/>
    <n v="0"/>
    <n v="0"/>
    <n v="1"/>
    <n v="0"/>
    <n v="0"/>
    <n v="0"/>
    <n v="0"/>
    <n v="0"/>
    <n v="0"/>
    <n v="0"/>
    <n v="0"/>
    <s v="Enl Fokus-Ladok 210601"/>
    <m/>
    <n v="0"/>
    <n v="0"/>
    <n v="0"/>
    <n v="0"/>
    <n v="0"/>
    <n v="0"/>
    <n v="3.5830000000000002"/>
    <n v="3.04555"/>
    <n v="0"/>
    <n v="0"/>
    <n v="0"/>
    <n v="0"/>
    <n v="0"/>
    <n v="0"/>
    <n v="0"/>
    <n v="0"/>
    <n v="0"/>
    <n v="0"/>
    <n v="0"/>
    <n v="0"/>
    <n v="0"/>
    <n v="0"/>
    <n v="0"/>
    <n v="0"/>
  </r>
  <r>
    <x v="223"/>
    <x v="215"/>
    <n v="64508"/>
    <x v="5"/>
    <m/>
    <x v="0"/>
    <m/>
    <s v="Umeå"/>
    <s v="Normal"/>
    <m/>
    <m/>
    <m/>
    <x v="6"/>
    <m/>
    <m/>
    <n v="21"/>
    <n v="1.75"/>
    <n v="0.85"/>
    <n v="1.4875"/>
    <n v="2180"/>
    <x v="12"/>
    <s v="Sam"/>
    <x v="5"/>
    <n v="26554"/>
    <n v="33465"/>
    <n v="96248.6875"/>
    <n v="6000"/>
    <n v="10500"/>
    <n v="106748.6875"/>
    <n v="0"/>
    <n v="0"/>
    <n v="0"/>
    <n v="1"/>
    <n v="0"/>
    <n v="0"/>
    <n v="0"/>
    <n v="0"/>
    <n v="0"/>
    <n v="0"/>
    <n v="0"/>
    <n v="0"/>
    <s v="Enl Fokus-Ladok 210601"/>
    <m/>
    <n v="0"/>
    <n v="0"/>
    <n v="0"/>
    <n v="0"/>
    <n v="0"/>
    <n v="0"/>
    <n v="1.75"/>
    <n v="1.4875"/>
    <n v="0"/>
    <n v="0"/>
    <n v="0"/>
    <n v="0"/>
    <n v="0"/>
    <n v="0"/>
    <n v="0"/>
    <n v="0"/>
    <n v="0"/>
    <n v="0"/>
    <n v="0"/>
    <n v="0"/>
    <n v="0"/>
    <n v="0"/>
    <n v="0"/>
    <n v="0"/>
  </r>
  <r>
    <x v="224"/>
    <x v="216"/>
    <m/>
    <x v="6"/>
    <s v="H16"/>
    <x v="1"/>
    <s v="H2117-20"/>
    <s v="Umeå"/>
    <m/>
    <s v="TXBI"/>
    <m/>
    <n v="1"/>
    <x v="6"/>
    <m/>
    <m/>
    <n v="1"/>
    <n v="8.3333333333333329E-2"/>
    <n v="0.85"/>
    <n v="7.0833333333333331E-2"/>
    <n v="2180"/>
    <x v="12"/>
    <s v="Sam"/>
    <x v="6"/>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H15"/>
    <x v="1"/>
    <s v="H2117-20"/>
    <s v="Umeå"/>
    <m/>
    <s v="IDRH"/>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H15"/>
    <x v="1"/>
    <s v="H2117-20"/>
    <s v="Umeå"/>
    <m/>
    <s v="MATT"/>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H18"/>
    <x v="1"/>
    <s v="H2117-20"/>
    <s v="Umeå"/>
    <m/>
    <s v="BILÄ"/>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H18"/>
    <x v="1"/>
    <s v="H2117-20"/>
    <s v="Umeå"/>
    <m/>
    <s v="BIOL"/>
    <m/>
    <n v="1"/>
    <x v="6"/>
    <m/>
    <m/>
    <n v="2"/>
    <n v="0.16666666666666666"/>
    <n v="0.85"/>
    <n v="0.14166666666666666"/>
    <n v="2180"/>
    <x v="12"/>
    <s v="Sam"/>
    <x v="0"/>
    <n v="26554"/>
    <n v="33465"/>
    <n v="9166.5416666666661"/>
    <n v="6000"/>
    <n v="1000"/>
    <n v="10166.541666666666"/>
    <n v="0"/>
    <n v="0"/>
    <n v="0"/>
    <n v="1"/>
    <n v="0"/>
    <n v="0"/>
    <n v="0"/>
    <n v="0"/>
    <n v="0"/>
    <n v="0"/>
    <n v="0"/>
    <n v="0"/>
    <s v="SP 210924"/>
    <m/>
    <n v="0"/>
    <n v="0"/>
    <n v="0"/>
    <n v="0"/>
    <n v="0"/>
    <n v="0"/>
    <n v="0.16666666666666666"/>
    <n v="0.14166666666666666"/>
    <n v="0"/>
    <n v="0"/>
    <n v="0"/>
    <n v="0"/>
    <n v="0"/>
    <n v="0"/>
    <n v="0"/>
    <n v="0"/>
    <n v="0"/>
    <n v="0"/>
    <n v="0"/>
    <n v="0"/>
    <n v="0"/>
    <n v="0"/>
    <n v="0"/>
    <n v="0"/>
  </r>
  <r>
    <x v="224"/>
    <x v="216"/>
    <m/>
    <x v="0"/>
    <s v="H18"/>
    <x v="1"/>
    <s v="H2117-20"/>
    <s v="Umeå"/>
    <m/>
    <s v="ENGS"/>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H18"/>
    <x v="1"/>
    <s v="H2117-20"/>
    <s v="Umeå"/>
    <m/>
    <s v="HIST"/>
    <m/>
    <n v="1"/>
    <x v="6"/>
    <m/>
    <m/>
    <n v="2"/>
    <n v="0.16666666666666666"/>
    <n v="0.85"/>
    <n v="0.14166666666666666"/>
    <n v="2180"/>
    <x v="12"/>
    <s v="Sam"/>
    <x v="0"/>
    <n v="26554"/>
    <n v="33465"/>
    <n v="9166.5416666666661"/>
    <n v="6000"/>
    <n v="1000"/>
    <n v="10166.541666666666"/>
    <n v="0"/>
    <n v="0"/>
    <n v="0"/>
    <n v="1"/>
    <n v="0"/>
    <n v="0"/>
    <n v="0"/>
    <n v="0"/>
    <n v="0"/>
    <n v="0"/>
    <n v="0"/>
    <n v="0"/>
    <s v="SP 210924"/>
    <m/>
    <n v="0"/>
    <n v="0"/>
    <n v="0"/>
    <n v="0"/>
    <n v="0"/>
    <n v="0"/>
    <n v="0.16666666666666666"/>
    <n v="0.14166666666666666"/>
    <n v="0"/>
    <n v="0"/>
    <n v="0"/>
    <n v="0"/>
    <n v="0"/>
    <n v="0"/>
    <n v="0"/>
    <n v="0"/>
    <n v="0"/>
    <n v="0"/>
    <n v="0"/>
    <n v="0"/>
    <n v="0"/>
    <n v="0"/>
    <n v="0"/>
    <n v="0"/>
  </r>
  <r>
    <x v="224"/>
    <x v="216"/>
    <m/>
    <x v="0"/>
    <s v="H18"/>
    <x v="1"/>
    <s v="H2117-20"/>
    <s v="Umeå"/>
    <m/>
    <s v="IDRH"/>
    <m/>
    <n v="1"/>
    <x v="6"/>
    <m/>
    <m/>
    <n v="2"/>
    <n v="0.16666666666666666"/>
    <n v="0.85"/>
    <n v="0.14166666666666666"/>
    <n v="2180"/>
    <x v="12"/>
    <s v="Sam"/>
    <x v="0"/>
    <n v="26554"/>
    <n v="33465"/>
    <n v="9166.5416666666661"/>
    <n v="6000"/>
    <n v="1000"/>
    <n v="10166.541666666666"/>
    <n v="0"/>
    <n v="0"/>
    <n v="0"/>
    <n v="1"/>
    <n v="0"/>
    <n v="0"/>
    <n v="0"/>
    <n v="0"/>
    <n v="0"/>
    <n v="0"/>
    <n v="0"/>
    <n v="0"/>
    <s v="SP 210924"/>
    <m/>
    <n v="0"/>
    <n v="0"/>
    <n v="0"/>
    <n v="0"/>
    <n v="0"/>
    <n v="0"/>
    <n v="0.16666666666666666"/>
    <n v="0.14166666666666666"/>
    <n v="0"/>
    <n v="0"/>
    <n v="0"/>
    <n v="0"/>
    <n v="0"/>
    <n v="0"/>
    <n v="0"/>
    <n v="0"/>
    <n v="0"/>
    <n v="0"/>
    <n v="0"/>
    <n v="0"/>
    <n v="0"/>
    <n v="0"/>
    <n v="0"/>
    <n v="0"/>
  </r>
  <r>
    <x v="224"/>
    <x v="216"/>
    <m/>
    <x v="0"/>
    <s v="H18"/>
    <x v="1"/>
    <s v="H2117-20"/>
    <s v="Umeå"/>
    <m/>
    <s v="MATT"/>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H18"/>
    <x v="1"/>
    <s v="H2117-20"/>
    <s v="Umeå"/>
    <m/>
    <s v="RELK"/>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H19"/>
    <x v="1"/>
    <s v="H2117-20"/>
    <s v="Umeå"/>
    <m/>
    <s v="BILÄ"/>
    <m/>
    <n v="1"/>
    <x v="6"/>
    <m/>
    <m/>
    <n v="2"/>
    <n v="0.16666666666666666"/>
    <n v="0.85"/>
    <n v="0.14166666666666666"/>
    <n v="2180"/>
    <x v="12"/>
    <s v="Sam"/>
    <x v="0"/>
    <n v="26554"/>
    <n v="33465"/>
    <n v="9166.5416666666661"/>
    <n v="6000"/>
    <n v="1000"/>
    <n v="10166.541666666666"/>
    <n v="0"/>
    <n v="0"/>
    <n v="0"/>
    <n v="1"/>
    <n v="0"/>
    <n v="0"/>
    <n v="0"/>
    <n v="0"/>
    <n v="0"/>
    <n v="0"/>
    <n v="0"/>
    <n v="0"/>
    <s v="SP 210924"/>
    <m/>
    <n v="0"/>
    <n v="0"/>
    <n v="0"/>
    <n v="0"/>
    <n v="0"/>
    <n v="0"/>
    <n v="0.16666666666666666"/>
    <n v="0.14166666666666666"/>
    <n v="0"/>
    <n v="0"/>
    <n v="0"/>
    <n v="0"/>
    <n v="0"/>
    <n v="0"/>
    <n v="0"/>
    <n v="0"/>
    <n v="0"/>
    <n v="0"/>
    <n v="0"/>
    <n v="0"/>
    <n v="0"/>
    <n v="0"/>
    <n v="0"/>
    <n v="0"/>
  </r>
  <r>
    <x v="224"/>
    <x v="216"/>
    <m/>
    <x v="0"/>
    <s v="H19"/>
    <x v="1"/>
    <s v="H2117-20"/>
    <s v="Umeå"/>
    <m/>
    <s v="BIOL"/>
    <m/>
    <n v="1"/>
    <x v="6"/>
    <m/>
    <m/>
    <n v="2"/>
    <n v="0.16666666666666666"/>
    <n v="0.85"/>
    <n v="0.14166666666666666"/>
    <n v="2180"/>
    <x v="12"/>
    <s v="Sam"/>
    <x v="0"/>
    <n v="26554"/>
    <n v="33465"/>
    <n v="9166.5416666666661"/>
    <n v="6000"/>
    <n v="1000"/>
    <n v="10166.541666666666"/>
    <n v="0"/>
    <n v="0"/>
    <n v="0"/>
    <n v="1"/>
    <n v="0"/>
    <n v="0"/>
    <n v="0"/>
    <n v="0"/>
    <n v="0"/>
    <n v="0"/>
    <n v="0"/>
    <n v="0"/>
    <s v="SP 210924"/>
    <m/>
    <n v="0"/>
    <n v="0"/>
    <n v="0"/>
    <n v="0"/>
    <n v="0"/>
    <n v="0"/>
    <n v="0.16666666666666666"/>
    <n v="0.14166666666666666"/>
    <n v="0"/>
    <n v="0"/>
    <n v="0"/>
    <n v="0"/>
    <n v="0"/>
    <n v="0"/>
    <n v="0"/>
    <n v="0"/>
    <n v="0"/>
    <n v="0"/>
    <n v="0"/>
    <n v="0"/>
    <n v="0"/>
    <n v="0"/>
    <n v="0"/>
    <n v="0"/>
  </r>
  <r>
    <x v="224"/>
    <x v="216"/>
    <m/>
    <x v="0"/>
    <s v="H19"/>
    <x v="1"/>
    <s v="H2117-20"/>
    <s v="Umeå"/>
    <m/>
    <s v="ENGS"/>
    <m/>
    <n v="1"/>
    <x v="6"/>
    <m/>
    <m/>
    <n v="12"/>
    <n v="1"/>
    <n v="0.85"/>
    <n v="0.85"/>
    <n v="2180"/>
    <x v="12"/>
    <s v="Sam"/>
    <x v="0"/>
    <n v="26554"/>
    <n v="33465"/>
    <n v="54999.25"/>
    <n v="6000"/>
    <n v="6000"/>
    <n v="60999.25"/>
    <n v="0"/>
    <n v="0"/>
    <n v="0"/>
    <n v="1"/>
    <n v="0"/>
    <n v="0"/>
    <n v="0"/>
    <n v="0"/>
    <n v="0"/>
    <n v="0"/>
    <n v="0"/>
    <n v="0"/>
    <s v="SP 210924"/>
    <m/>
    <n v="0"/>
    <n v="0"/>
    <n v="0"/>
    <n v="0"/>
    <n v="0"/>
    <n v="0"/>
    <n v="1"/>
    <n v="0.85"/>
    <n v="0"/>
    <n v="0"/>
    <n v="0"/>
    <n v="0"/>
    <n v="0"/>
    <n v="0"/>
    <n v="0"/>
    <n v="0"/>
    <n v="0"/>
    <n v="0"/>
    <n v="0"/>
    <n v="0"/>
    <n v="0"/>
    <n v="0"/>
    <n v="0"/>
    <n v="0"/>
  </r>
  <r>
    <x v="224"/>
    <x v="216"/>
    <m/>
    <x v="0"/>
    <s v="H19"/>
    <x v="1"/>
    <s v="H2117-20"/>
    <s v="Umeå"/>
    <m/>
    <s v="GEOG"/>
    <m/>
    <n v="1"/>
    <x v="6"/>
    <m/>
    <m/>
    <n v="2"/>
    <n v="0.16666666666666666"/>
    <n v="0.85"/>
    <n v="0.14166666666666666"/>
    <n v="2180"/>
    <x v="12"/>
    <s v="Sam"/>
    <x v="0"/>
    <n v="26554"/>
    <n v="33465"/>
    <n v="9166.5416666666661"/>
    <n v="6000"/>
    <n v="1000"/>
    <n v="10166.541666666666"/>
    <n v="0"/>
    <n v="0"/>
    <n v="0"/>
    <n v="1"/>
    <n v="0"/>
    <n v="0"/>
    <n v="0"/>
    <n v="0"/>
    <n v="0"/>
    <n v="0"/>
    <n v="0"/>
    <n v="0"/>
    <s v="SP 210924"/>
    <m/>
    <n v="0"/>
    <n v="0"/>
    <n v="0"/>
    <n v="0"/>
    <n v="0"/>
    <n v="0"/>
    <n v="0.16666666666666666"/>
    <n v="0.14166666666666666"/>
    <n v="0"/>
    <n v="0"/>
    <n v="0"/>
    <n v="0"/>
    <n v="0"/>
    <n v="0"/>
    <n v="0"/>
    <n v="0"/>
    <n v="0"/>
    <n v="0"/>
    <n v="0"/>
    <n v="0"/>
    <n v="0"/>
    <n v="0"/>
    <n v="0"/>
    <n v="0"/>
  </r>
  <r>
    <x v="224"/>
    <x v="216"/>
    <m/>
    <x v="0"/>
    <s v="H19"/>
    <x v="1"/>
    <s v="H2117-20"/>
    <s v="Umeå"/>
    <m/>
    <s v="HIST"/>
    <m/>
    <n v="1"/>
    <x v="6"/>
    <m/>
    <m/>
    <n v="17"/>
    <n v="1.4166666666666665"/>
    <n v="0.85"/>
    <n v="1.2041666666666666"/>
    <n v="2180"/>
    <x v="12"/>
    <s v="Sam"/>
    <x v="0"/>
    <n v="26554"/>
    <n v="33465"/>
    <n v="77915.604166666657"/>
    <n v="6000"/>
    <n v="8500"/>
    <n v="86415.604166666657"/>
    <n v="0"/>
    <n v="0"/>
    <n v="0"/>
    <n v="1"/>
    <n v="0"/>
    <n v="0"/>
    <n v="0"/>
    <n v="0"/>
    <n v="0"/>
    <n v="0"/>
    <n v="0"/>
    <n v="0"/>
    <s v="SP 210924"/>
    <m/>
    <n v="0"/>
    <n v="0"/>
    <n v="0"/>
    <n v="0"/>
    <n v="0"/>
    <n v="0"/>
    <n v="1.4166666666666665"/>
    <n v="1.2041666666666666"/>
    <n v="0"/>
    <n v="0"/>
    <n v="0"/>
    <n v="0"/>
    <n v="0"/>
    <n v="0"/>
    <n v="0"/>
    <n v="0"/>
    <n v="0"/>
    <n v="0"/>
    <n v="0"/>
    <n v="0"/>
    <n v="0"/>
    <n v="0"/>
    <n v="0"/>
    <n v="0"/>
  </r>
  <r>
    <x v="224"/>
    <x v="216"/>
    <m/>
    <x v="0"/>
    <s v="H19"/>
    <x v="1"/>
    <s v="H2117-20"/>
    <s v="Umeå"/>
    <m/>
    <s v="IDRH"/>
    <m/>
    <n v="1"/>
    <x v="6"/>
    <m/>
    <m/>
    <n v="18"/>
    <n v="1.5"/>
    <n v="0.85"/>
    <n v="1.2749999999999999"/>
    <n v="2180"/>
    <x v="12"/>
    <s v="Sam"/>
    <x v="0"/>
    <n v="26554"/>
    <n v="33465"/>
    <n v="82498.875"/>
    <n v="6000"/>
    <n v="9000"/>
    <n v="91498.875"/>
    <n v="0"/>
    <n v="0"/>
    <n v="0"/>
    <n v="1"/>
    <n v="0"/>
    <n v="0"/>
    <n v="0"/>
    <n v="0"/>
    <n v="0"/>
    <n v="0"/>
    <n v="0"/>
    <n v="0"/>
    <s v="SP 210924"/>
    <m/>
    <n v="0"/>
    <n v="0"/>
    <n v="0"/>
    <n v="0"/>
    <n v="0"/>
    <n v="0"/>
    <n v="1.5"/>
    <n v="1.2749999999999999"/>
    <n v="0"/>
    <n v="0"/>
    <n v="0"/>
    <n v="0"/>
    <n v="0"/>
    <n v="0"/>
    <n v="0"/>
    <n v="0"/>
    <n v="0"/>
    <n v="0"/>
    <n v="0"/>
    <n v="0"/>
    <n v="0"/>
    <n v="0"/>
    <n v="0"/>
    <n v="0"/>
  </r>
  <r>
    <x v="224"/>
    <x v="216"/>
    <m/>
    <x v="0"/>
    <s v="H19"/>
    <x v="1"/>
    <s v="H2117-20"/>
    <s v="Umeå"/>
    <m/>
    <s v="MATT"/>
    <m/>
    <n v="1"/>
    <x v="6"/>
    <m/>
    <m/>
    <n v="7"/>
    <n v="0.58333333333333326"/>
    <n v="0.85"/>
    <n v="0.49583333333333324"/>
    <n v="2180"/>
    <x v="12"/>
    <s v="Sam"/>
    <x v="0"/>
    <n v="26554"/>
    <n v="33465"/>
    <n v="32082.895833333328"/>
    <n v="6000"/>
    <n v="3499.9999999999995"/>
    <n v="35582.895833333328"/>
    <n v="0"/>
    <n v="0"/>
    <n v="0"/>
    <n v="1"/>
    <n v="0"/>
    <n v="0"/>
    <n v="0"/>
    <n v="0"/>
    <n v="0"/>
    <n v="0"/>
    <n v="0"/>
    <n v="0"/>
    <s v="SP 210924"/>
    <m/>
    <n v="0"/>
    <n v="0"/>
    <n v="0"/>
    <n v="0"/>
    <n v="0"/>
    <n v="0"/>
    <n v="0.58333333333333326"/>
    <n v="0.49583333333333324"/>
    <n v="0"/>
    <n v="0"/>
    <n v="0"/>
    <n v="0"/>
    <n v="0"/>
    <n v="0"/>
    <n v="0"/>
    <n v="0"/>
    <n v="0"/>
    <n v="0"/>
    <n v="0"/>
    <n v="0"/>
    <n v="0"/>
    <n v="0"/>
    <n v="0"/>
    <n v="0"/>
  </r>
  <r>
    <x v="224"/>
    <x v="216"/>
    <m/>
    <x v="0"/>
    <s v="H19"/>
    <x v="1"/>
    <s v="H2117-20"/>
    <s v="Umeå"/>
    <m/>
    <s v="NATU"/>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H19"/>
    <x v="1"/>
    <s v="H2117-20"/>
    <s v="Umeå"/>
    <m/>
    <s v="RELK"/>
    <m/>
    <n v="1"/>
    <x v="6"/>
    <m/>
    <m/>
    <n v="2"/>
    <n v="0.16666666666666666"/>
    <n v="0.85"/>
    <n v="0.14166666666666666"/>
    <n v="2180"/>
    <x v="12"/>
    <s v="Sam"/>
    <x v="0"/>
    <n v="26554"/>
    <n v="33465"/>
    <n v="9166.5416666666661"/>
    <n v="6000"/>
    <n v="1000"/>
    <n v="10166.541666666666"/>
    <n v="0"/>
    <n v="0"/>
    <n v="0"/>
    <n v="1"/>
    <n v="0"/>
    <n v="0"/>
    <n v="0"/>
    <n v="0"/>
    <n v="0"/>
    <n v="0"/>
    <n v="0"/>
    <n v="0"/>
    <s v="SP 210924"/>
    <m/>
    <n v="0"/>
    <n v="0"/>
    <n v="0"/>
    <n v="0"/>
    <n v="0"/>
    <n v="0"/>
    <n v="0.16666666666666666"/>
    <n v="0.14166666666666666"/>
    <n v="0"/>
    <n v="0"/>
    <n v="0"/>
    <n v="0"/>
    <n v="0"/>
    <n v="0"/>
    <n v="0"/>
    <n v="0"/>
    <n v="0"/>
    <n v="0"/>
    <n v="0"/>
    <n v="0"/>
    <n v="0"/>
    <n v="0"/>
    <n v="0"/>
    <n v="0"/>
  </r>
  <r>
    <x v="224"/>
    <x v="216"/>
    <m/>
    <x v="0"/>
    <s v="H19"/>
    <x v="1"/>
    <s v="H2117-20"/>
    <s v="Umeå"/>
    <m/>
    <s v="SAMK"/>
    <m/>
    <n v="1"/>
    <x v="6"/>
    <m/>
    <m/>
    <n v="12"/>
    <n v="1"/>
    <n v="0.85"/>
    <n v="0.85"/>
    <n v="2180"/>
    <x v="12"/>
    <s v="Sam"/>
    <x v="0"/>
    <n v="26554"/>
    <n v="33465"/>
    <n v="54999.25"/>
    <n v="6000"/>
    <n v="6000"/>
    <n v="60999.25"/>
    <n v="0"/>
    <n v="0"/>
    <n v="0"/>
    <n v="1"/>
    <n v="0"/>
    <n v="0"/>
    <n v="0"/>
    <n v="0"/>
    <n v="0"/>
    <n v="0"/>
    <n v="0"/>
    <n v="0"/>
    <s v="SP 210924"/>
    <m/>
    <n v="0"/>
    <n v="0"/>
    <n v="0"/>
    <n v="0"/>
    <n v="0"/>
    <n v="0"/>
    <n v="1"/>
    <n v="0.85"/>
    <n v="0"/>
    <n v="0"/>
    <n v="0"/>
    <n v="0"/>
    <n v="0"/>
    <n v="0"/>
    <n v="0"/>
    <n v="0"/>
    <n v="0"/>
    <n v="0"/>
    <n v="0"/>
    <n v="0"/>
    <n v="0"/>
    <n v="0"/>
    <n v="0"/>
    <n v="0"/>
  </r>
  <r>
    <x v="224"/>
    <x v="216"/>
    <m/>
    <x v="0"/>
    <s v="H19"/>
    <x v="1"/>
    <s v="H2117-20"/>
    <s v="Umeå"/>
    <m/>
    <s v="SVAA"/>
    <m/>
    <n v="1"/>
    <x v="6"/>
    <m/>
    <m/>
    <n v="8"/>
    <n v="0.66666666666666663"/>
    <n v="0.85"/>
    <n v="0.56666666666666665"/>
    <n v="2180"/>
    <x v="12"/>
    <s v="Sam"/>
    <x v="0"/>
    <n v="26554"/>
    <n v="33465"/>
    <n v="36666.166666666664"/>
    <n v="6000"/>
    <n v="4000"/>
    <n v="40666.166666666664"/>
    <n v="0"/>
    <n v="0"/>
    <n v="0"/>
    <n v="1"/>
    <n v="0"/>
    <n v="0"/>
    <n v="0"/>
    <n v="0"/>
    <n v="0"/>
    <n v="0"/>
    <n v="0"/>
    <n v="0"/>
    <s v="SP 210924"/>
    <m/>
    <n v="0"/>
    <n v="0"/>
    <n v="0"/>
    <n v="0"/>
    <n v="0"/>
    <n v="0"/>
    <n v="0.66666666666666663"/>
    <n v="0.56666666666666665"/>
    <n v="0"/>
    <n v="0"/>
    <n v="0"/>
    <n v="0"/>
    <n v="0"/>
    <n v="0"/>
    <n v="0"/>
    <n v="0"/>
    <n v="0"/>
    <n v="0"/>
    <n v="0"/>
    <n v="0"/>
    <n v="0"/>
    <n v="0"/>
    <n v="0"/>
    <n v="0"/>
  </r>
  <r>
    <x v="224"/>
    <x v="216"/>
    <m/>
    <x v="0"/>
    <s v="H19"/>
    <x v="1"/>
    <s v="H2117-20"/>
    <s v="Umeå"/>
    <m/>
    <s v="SVAN"/>
    <m/>
    <n v="1"/>
    <x v="6"/>
    <m/>
    <m/>
    <n v="2"/>
    <n v="0.16666666666666666"/>
    <n v="0.85"/>
    <n v="0.14166666666666666"/>
    <n v="2180"/>
    <x v="12"/>
    <s v="Sam"/>
    <x v="0"/>
    <n v="26554"/>
    <n v="33465"/>
    <n v="9166.5416666666661"/>
    <n v="6000"/>
    <n v="1000"/>
    <n v="10166.541666666666"/>
    <n v="0"/>
    <n v="0"/>
    <n v="0"/>
    <n v="1"/>
    <n v="0"/>
    <n v="0"/>
    <n v="0"/>
    <n v="0"/>
    <n v="0"/>
    <n v="0"/>
    <n v="0"/>
    <n v="0"/>
    <s v="SP 210924"/>
    <m/>
    <n v="0"/>
    <n v="0"/>
    <n v="0"/>
    <n v="0"/>
    <n v="0"/>
    <n v="0"/>
    <n v="0.16666666666666666"/>
    <n v="0.14166666666666666"/>
    <n v="0"/>
    <n v="0"/>
    <n v="0"/>
    <n v="0"/>
    <n v="0"/>
    <n v="0"/>
    <n v="0"/>
    <n v="0"/>
    <n v="0"/>
    <n v="0"/>
    <n v="0"/>
    <n v="0"/>
    <n v="0"/>
    <n v="0"/>
    <n v="0"/>
    <n v="0"/>
  </r>
  <r>
    <x v="224"/>
    <x v="216"/>
    <m/>
    <x v="0"/>
    <s v="H19"/>
    <x v="1"/>
    <s v="H2117-20"/>
    <s v="Umeå"/>
    <m/>
    <s v="TYSK"/>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H20"/>
    <x v="1"/>
    <s v="H2117-20"/>
    <s v="Umeå"/>
    <m/>
    <s v="BILÄ"/>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4"/>
    <x v="216"/>
    <m/>
    <x v="0"/>
    <s v="V18"/>
    <x v="1"/>
    <s v="H2117-20"/>
    <s v="Umeå"/>
    <m/>
    <s v="HIST"/>
    <m/>
    <n v="1"/>
    <x v="6"/>
    <m/>
    <m/>
    <n v="1"/>
    <n v="8.3333333333333329E-2"/>
    <n v="0.85"/>
    <n v="7.0833333333333331E-2"/>
    <n v="2180"/>
    <x v="12"/>
    <s v="Sam"/>
    <x v="0"/>
    <n v="26554"/>
    <n v="33465"/>
    <n v="4583.270833333333"/>
    <n v="6000"/>
    <n v="500"/>
    <n v="5083.270833333333"/>
    <n v="0"/>
    <n v="0"/>
    <n v="0"/>
    <n v="1"/>
    <n v="0"/>
    <n v="0"/>
    <n v="0"/>
    <n v="0"/>
    <n v="0"/>
    <n v="0"/>
    <n v="0"/>
    <n v="0"/>
    <s v="SP 210924"/>
    <m/>
    <n v="0"/>
    <n v="0"/>
    <n v="0"/>
    <n v="0"/>
    <n v="0"/>
    <n v="0"/>
    <n v="8.3333333333333329E-2"/>
    <n v="7.0833333333333331E-2"/>
    <n v="0"/>
    <n v="0"/>
    <n v="0"/>
    <n v="0"/>
    <n v="0"/>
    <n v="0"/>
    <n v="0"/>
    <n v="0"/>
    <n v="0"/>
    <n v="0"/>
    <n v="0"/>
    <n v="0"/>
    <n v="0"/>
    <n v="0"/>
    <n v="0"/>
    <n v="0"/>
  </r>
  <r>
    <x v="225"/>
    <x v="217"/>
    <n v="64506"/>
    <x v="6"/>
    <m/>
    <x v="0"/>
    <m/>
    <s v="Umeå"/>
    <s v="Normal"/>
    <s v="TXAL"/>
    <m/>
    <m/>
    <x v="9"/>
    <m/>
    <m/>
    <n v="1"/>
    <n v="0.13300000000000001"/>
    <n v="0.85"/>
    <n v="0.11305"/>
    <n v="2180"/>
    <x v="12"/>
    <s v="Sam"/>
    <x v="6"/>
    <n v="26554"/>
    <n v="33465"/>
    <n v="7314.9002500000006"/>
    <n v="6000"/>
    <n v="798"/>
    <n v="8112.9002500000006"/>
    <n v="0"/>
    <n v="0"/>
    <n v="0"/>
    <n v="1"/>
    <n v="0"/>
    <n v="0"/>
    <n v="0"/>
    <n v="0"/>
    <n v="0"/>
    <n v="0"/>
    <n v="0"/>
    <n v="0"/>
    <s v="Enl Fokus-Ladok 210601"/>
    <m/>
    <n v="0"/>
    <n v="0"/>
    <n v="0"/>
    <n v="0"/>
    <n v="0"/>
    <n v="0"/>
    <n v="0.13300000000000001"/>
    <n v="0.11305"/>
    <n v="0"/>
    <n v="0"/>
    <n v="0"/>
    <n v="0"/>
    <n v="0"/>
    <n v="0"/>
    <n v="0"/>
    <n v="0"/>
    <n v="0"/>
    <n v="0"/>
    <n v="0"/>
    <n v="0"/>
    <n v="0"/>
    <n v="0"/>
    <n v="0"/>
    <n v="0"/>
  </r>
  <r>
    <x v="225"/>
    <x v="217"/>
    <n v="64506"/>
    <x v="4"/>
    <m/>
    <x v="0"/>
    <m/>
    <s v="Umeå"/>
    <s v="Normal"/>
    <m/>
    <m/>
    <m/>
    <x v="9"/>
    <m/>
    <m/>
    <n v="44"/>
    <n v="5.867"/>
    <n v="0.85"/>
    <n v="4.9869500000000002"/>
    <n v="2180"/>
    <x v="12"/>
    <s v="Sam"/>
    <x v="4"/>
    <n v="26554"/>
    <n v="33465"/>
    <n v="322680.59974999999"/>
    <n v="6000"/>
    <n v="35202"/>
    <n v="357882.59974999999"/>
    <n v="0"/>
    <n v="0"/>
    <n v="0"/>
    <n v="1"/>
    <n v="0"/>
    <n v="0"/>
    <n v="0"/>
    <n v="0"/>
    <n v="0"/>
    <n v="0"/>
    <n v="0"/>
    <n v="0"/>
    <s v="Enl Fokus-Ladok 210601"/>
    <m/>
    <n v="0"/>
    <n v="0"/>
    <n v="0"/>
    <n v="0"/>
    <n v="0"/>
    <n v="0"/>
    <n v="5.867"/>
    <n v="4.9869500000000002"/>
    <n v="0"/>
    <n v="0"/>
    <n v="0"/>
    <n v="0"/>
    <n v="0"/>
    <n v="0"/>
    <n v="0"/>
    <n v="0"/>
    <n v="0"/>
    <n v="0"/>
    <n v="0"/>
    <n v="0"/>
    <n v="0"/>
    <n v="0"/>
    <n v="0"/>
    <n v="0"/>
  </r>
  <r>
    <x v="225"/>
    <x v="217"/>
    <n v="64506"/>
    <x v="5"/>
    <m/>
    <x v="0"/>
    <m/>
    <s v="Umeå"/>
    <s v="Normal"/>
    <m/>
    <m/>
    <m/>
    <x v="9"/>
    <m/>
    <m/>
    <n v="21"/>
    <n v="2.8"/>
    <n v="0.85"/>
    <n v="2.38"/>
    <n v="2180"/>
    <x v="12"/>
    <s v="Sam"/>
    <x v="5"/>
    <n v="26554"/>
    <n v="33465"/>
    <n v="153997.9"/>
    <n v="6000"/>
    <n v="16800"/>
    <n v="170797.9"/>
    <n v="0"/>
    <n v="0"/>
    <n v="0"/>
    <n v="1"/>
    <n v="0"/>
    <n v="0"/>
    <n v="0"/>
    <n v="0"/>
    <n v="0"/>
    <n v="0"/>
    <n v="0"/>
    <n v="0"/>
    <s v="Enl Fokus-Ladok 210601"/>
    <m/>
    <n v="0"/>
    <n v="0"/>
    <n v="0"/>
    <n v="0"/>
    <n v="0"/>
    <n v="0"/>
    <n v="2.8"/>
    <n v="2.38"/>
    <n v="0"/>
    <n v="0"/>
    <n v="0"/>
    <n v="0"/>
    <n v="0"/>
    <n v="0"/>
    <n v="0"/>
    <n v="0"/>
    <n v="0"/>
    <n v="0"/>
    <n v="0"/>
    <n v="0"/>
    <n v="0"/>
    <n v="0"/>
    <n v="0"/>
    <n v="0"/>
  </r>
  <r>
    <x v="226"/>
    <x v="218"/>
    <m/>
    <x v="6"/>
    <s v="H16"/>
    <x v="1"/>
    <s v="H211-5"/>
    <s v="Umeå"/>
    <m/>
    <s v="TXBI"/>
    <m/>
    <n v="1"/>
    <x v="9"/>
    <m/>
    <m/>
    <n v="1"/>
    <n v="0.13333333333333333"/>
    <n v="0.85"/>
    <n v="0.11333333333333333"/>
    <n v="2180"/>
    <x v="12"/>
    <s v="Sam"/>
    <x v="6"/>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15"/>
    <x v="1"/>
    <s v="H211-5"/>
    <s v="Umeå"/>
    <m/>
    <s v="IDRH"/>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15"/>
    <x v="1"/>
    <s v="H211-5"/>
    <s v="Umeå"/>
    <m/>
    <s v="MATT"/>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18"/>
    <x v="1"/>
    <s v="H211-5"/>
    <s v="Umeå"/>
    <m/>
    <s v="BILÄ"/>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18"/>
    <x v="1"/>
    <s v="H211-5"/>
    <s v="Umeå"/>
    <m/>
    <s v="BIOL"/>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18"/>
    <x v="1"/>
    <s v="H211-5"/>
    <s v="Umeå"/>
    <m/>
    <s v="ENGS"/>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18"/>
    <x v="1"/>
    <s v="H211-5"/>
    <s v="Umeå"/>
    <m/>
    <s v="HIST"/>
    <m/>
    <n v="1"/>
    <x v="9"/>
    <m/>
    <m/>
    <n v="2"/>
    <n v="0.26666666666666666"/>
    <n v="0.85"/>
    <n v="0.22666666666666666"/>
    <n v="2180"/>
    <x v="12"/>
    <s v="Sam"/>
    <x v="0"/>
    <n v="26554"/>
    <n v="33465"/>
    <n v="14666.466666666667"/>
    <n v="6000"/>
    <n v="1600"/>
    <n v="16266.466666666667"/>
    <n v="0"/>
    <n v="0"/>
    <n v="0"/>
    <n v="1"/>
    <n v="0"/>
    <n v="0"/>
    <n v="0"/>
    <n v="0"/>
    <n v="0"/>
    <n v="0"/>
    <n v="0"/>
    <n v="0"/>
    <s v="SP 210924"/>
    <m/>
    <n v="0"/>
    <n v="0"/>
    <n v="0"/>
    <n v="0"/>
    <n v="0"/>
    <n v="0"/>
    <n v="0.26666666666666666"/>
    <n v="0.22666666666666666"/>
    <n v="0"/>
    <n v="0"/>
    <n v="0"/>
    <n v="0"/>
    <n v="0"/>
    <n v="0"/>
    <n v="0"/>
    <n v="0"/>
    <n v="0"/>
    <n v="0"/>
    <n v="0"/>
    <n v="0"/>
    <n v="0"/>
    <n v="0"/>
    <n v="0"/>
    <n v="0"/>
  </r>
  <r>
    <x v="226"/>
    <x v="218"/>
    <m/>
    <x v="0"/>
    <s v="H18"/>
    <x v="1"/>
    <s v="H211-5"/>
    <s v="Umeå"/>
    <m/>
    <s v="IDRH"/>
    <m/>
    <n v="1"/>
    <x v="9"/>
    <m/>
    <m/>
    <n v="2"/>
    <n v="0.26666666666666666"/>
    <n v="0.85"/>
    <n v="0.22666666666666666"/>
    <n v="2180"/>
    <x v="12"/>
    <s v="Sam"/>
    <x v="0"/>
    <n v="26554"/>
    <n v="33465"/>
    <n v="14666.466666666667"/>
    <n v="6000"/>
    <n v="1600"/>
    <n v="16266.466666666667"/>
    <n v="0"/>
    <n v="0"/>
    <n v="0"/>
    <n v="1"/>
    <n v="0"/>
    <n v="0"/>
    <n v="0"/>
    <n v="0"/>
    <n v="0"/>
    <n v="0"/>
    <n v="0"/>
    <n v="0"/>
    <s v="SP 210924"/>
    <m/>
    <n v="0"/>
    <n v="0"/>
    <n v="0"/>
    <n v="0"/>
    <n v="0"/>
    <n v="0"/>
    <n v="0.26666666666666666"/>
    <n v="0.22666666666666666"/>
    <n v="0"/>
    <n v="0"/>
    <n v="0"/>
    <n v="0"/>
    <n v="0"/>
    <n v="0"/>
    <n v="0"/>
    <n v="0"/>
    <n v="0"/>
    <n v="0"/>
    <n v="0"/>
    <n v="0"/>
    <n v="0"/>
    <n v="0"/>
    <n v="0"/>
    <n v="0"/>
  </r>
  <r>
    <x v="226"/>
    <x v="218"/>
    <m/>
    <x v="0"/>
    <s v="H18"/>
    <x v="1"/>
    <s v="H211-5"/>
    <s v="Umeå"/>
    <m/>
    <s v="MATT"/>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18"/>
    <x v="1"/>
    <s v="H211-5"/>
    <s v="Umeå"/>
    <m/>
    <s v="RELK"/>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19"/>
    <x v="1"/>
    <s v="H211-5"/>
    <s v="Umeå"/>
    <m/>
    <s v="BILÄ"/>
    <m/>
    <n v="1"/>
    <x v="9"/>
    <m/>
    <m/>
    <n v="2"/>
    <n v="0.26666666666666666"/>
    <n v="0.85"/>
    <n v="0.22666666666666666"/>
    <n v="2180"/>
    <x v="12"/>
    <s v="Sam"/>
    <x v="0"/>
    <n v="26554"/>
    <n v="33465"/>
    <n v="14666.466666666667"/>
    <n v="6000"/>
    <n v="1600"/>
    <n v="16266.466666666667"/>
    <n v="0"/>
    <n v="0"/>
    <n v="0"/>
    <n v="1"/>
    <n v="0"/>
    <n v="0"/>
    <n v="0"/>
    <n v="0"/>
    <n v="0"/>
    <n v="0"/>
    <n v="0"/>
    <n v="0"/>
    <s v="SP 210924"/>
    <m/>
    <n v="0"/>
    <n v="0"/>
    <n v="0"/>
    <n v="0"/>
    <n v="0"/>
    <n v="0"/>
    <n v="0.26666666666666666"/>
    <n v="0.22666666666666666"/>
    <n v="0"/>
    <n v="0"/>
    <n v="0"/>
    <n v="0"/>
    <n v="0"/>
    <n v="0"/>
    <n v="0"/>
    <n v="0"/>
    <n v="0"/>
    <n v="0"/>
    <n v="0"/>
    <n v="0"/>
    <n v="0"/>
    <n v="0"/>
    <n v="0"/>
    <n v="0"/>
  </r>
  <r>
    <x v="226"/>
    <x v="218"/>
    <m/>
    <x v="0"/>
    <s v="H19"/>
    <x v="1"/>
    <s v="H211-5"/>
    <s v="Umeå"/>
    <m/>
    <s v="BIOL"/>
    <m/>
    <n v="1"/>
    <x v="9"/>
    <m/>
    <m/>
    <n v="2"/>
    <n v="0.26666666666666666"/>
    <n v="0.85"/>
    <n v="0.22666666666666666"/>
    <n v="2180"/>
    <x v="12"/>
    <s v="Sam"/>
    <x v="0"/>
    <n v="26554"/>
    <n v="33465"/>
    <n v="14666.466666666667"/>
    <n v="6000"/>
    <n v="1600"/>
    <n v="16266.466666666667"/>
    <n v="0"/>
    <n v="0"/>
    <n v="0"/>
    <n v="1"/>
    <n v="0"/>
    <n v="0"/>
    <n v="0"/>
    <n v="0"/>
    <n v="0"/>
    <n v="0"/>
    <n v="0"/>
    <n v="0"/>
    <s v="SP 210924"/>
    <m/>
    <n v="0"/>
    <n v="0"/>
    <n v="0"/>
    <n v="0"/>
    <n v="0"/>
    <n v="0"/>
    <n v="0.26666666666666666"/>
    <n v="0.22666666666666666"/>
    <n v="0"/>
    <n v="0"/>
    <n v="0"/>
    <n v="0"/>
    <n v="0"/>
    <n v="0"/>
    <n v="0"/>
    <n v="0"/>
    <n v="0"/>
    <n v="0"/>
    <n v="0"/>
    <n v="0"/>
    <n v="0"/>
    <n v="0"/>
    <n v="0"/>
    <n v="0"/>
  </r>
  <r>
    <x v="226"/>
    <x v="218"/>
    <m/>
    <x v="0"/>
    <s v="H19"/>
    <x v="1"/>
    <s v="H211-5"/>
    <s v="Umeå"/>
    <m/>
    <s v="ENGS"/>
    <m/>
    <n v="1"/>
    <x v="9"/>
    <m/>
    <m/>
    <n v="12"/>
    <n v="1.6"/>
    <n v="0.85"/>
    <n v="1.36"/>
    <n v="2180"/>
    <x v="12"/>
    <s v="Sam"/>
    <x v="0"/>
    <n v="26554"/>
    <n v="33465"/>
    <n v="87998.8"/>
    <n v="6000"/>
    <n v="9600"/>
    <n v="97598.8"/>
    <n v="0"/>
    <n v="0"/>
    <n v="0"/>
    <n v="1"/>
    <n v="0"/>
    <n v="0"/>
    <n v="0"/>
    <n v="0"/>
    <n v="0"/>
    <n v="0"/>
    <n v="0"/>
    <n v="0"/>
    <s v="SP 210924"/>
    <m/>
    <n v="0"/>
    <n v="0"/>
    <n v="0"/>
    <n v="0"/>
    <n v="0"/>
    <n v="0"/>
    <n v="1.6"/>
    <n v="1.36"/>
    <n v="0"/>
    <n v="0"/>
    <n v="0"/>
    <n v="0"/>
    <n v="0"/>
    <n v="0"/>
    <n v="0"/>
    <n v="0"/>
    <n v="0"/>
    <n v="0"/>
    <n v="0"/>
    <n v="0"/>
    <n v="0"/>
    <n v="0"/>
    <n v="0"/>
    <n v="0"/>
  </r>
  <r>
    <x v="226"/>
    <x v="218"/>
    <m/>
    <x v="0"/>
    <s v="H19"/>
    <x v="1"/>
    <s v="H211-5"/>
    <s v="Umeå"/>
    <m/>
    <s v="GEOG"/>
    <m/>
    <n v="1"/>
    <x v="9"/>
    <m/>
    <m/>
    <n v="2"/>
    <n v="0.26666666666666666"/>
    <n v="0.85"/>
    <n v="0.22666666666666666"/>
    <n v="2180"/>
    <x v="12"/>
    <s v="Sam"/>
    <x v="0"/>
    <n v="26554"/>
    <n v="33465"/>
    <n v="14666.466666666667"/>
    <n v="6000"/>
    <n v="1600"/>
    <n v="16266.466666666667"/>
    <n v="0"/>
    <n v="0"/>
    <n v="0"/>
    <n v="1"/>
    <n v="0"/>
    <n v="0"/>
    <n v="0"/>
    <n v="0"/>
    <n v="0"/>
    <n v="0"/>
    <n v="0"/>
    <n v="0"/>
    <s v="SP 210924"/>
    <m/>
    <n v="0"/>
    <n v="0"/>
    <n v="0"/>
    <n v="0"/>
    <n v="0"/>
    <n v="0"/>
    <n v="0.26666666666666666"/>
    <n v="0.22666666666666666"/>
    <n v="0"/>
    <n v="0"/>
    <n v="0"/>
    <n v="0"/>
    <n v="0"/>
    <n v="0"/>
    <n v="0"/>
    <n v="0"/>
    <n v="0"/>
    <n v="0"/>
    <n v="0"/>
    <n v="0"/>
    <n v="0"/>
    <n v="0"/>
    <n v="0"/>
    <n v="0"/>
  </r>
  <r>
    <x v="226"/>
    <x v="218"/>
    <m/>
    <x v="0"/>
    <s v="H19"/>
    <x v="1"/>
    <s v="H211-5"/>
    <s v="Umeå"/>
    <m/>
    <s v="HIST"/>
    <m/>
    <n v="1"/>
    <x v="9"/>
    <m/>
    <m/>
    <n v="17"/>
    <n v="2.2666666666666666"/>
    <n v="0.85"/>
    <n v="1.9266666666666665"/>
    <n v="2180"/>
    <x v="12"/>
    <s v="Sam"/>
    <x v="0"/>
    <n v="26554"/>
    <n v="33465"/>
    <n v="124664.96666666666"/>
    <n v="6000"/>
    <n v="13600"/>
    <n v="138264.96666666667"/>
    <n v="0"/>
    <n v="0"/>
    <n v="0"/>
    <n v="1"/>
    <n v="0"/>
    <n v="0"/>
    <n v="0"/>
    <n v="0"/>
    <n v="0"/>
    <n v="0"/>
    <n v="0"/>
    <n v="0"/>
    <s v="SP 210924"/>
    <m/>
    <n v="0"/>
    <n v="0"/>
    <n v="0"/>
    <n v="0"/>
    <n v="0"/>
    <n v="0"/>
    <n v="2.2666666666666666"/>
    <n v="1.9266666666666665"/>
    <n v="0"/>
    <n v="0"/>
    <n v="0"/>
    <n v="0"/>
    <n v="0"/>
    <n v="0"/>
    <n v="0"/>
    <n v="0"/>
    <n v="0"/>
    <n v="0"/>
    <n v="0"/>
    <n v="0"/>
    <n v="0"/>
    <n v="0"/>
    <n v="0"/>
    <n v="0"/>
  </r>
  <r>
    <x v="226"/>
    <x v="218"/>
    <m/>
    <x v="0"/>
    <s v="H19"/>
    <x v="1"/>
    <s v="H211-5"/>
    <s v="Umeå"/>
    <m/>
    <s v="IDRH"/>
    <m/>
    <n v="1"/>
    <x v="9"/>
    <m/>
    <m/>
    <n v="18"/>
    <n v="2.4"/>
    <n v="0.85"/>
    <n v="2.04"/>
    <n v="2180"/>
    <x v="12"/>
    <s v="Sam"/>
    <x v="0"/>
    <n v="26554"/>
    <n v="33465"/>
    <n v="131998.20000000001"/>
    <n v="6000"/>
    <n v="14400"/>
    <n v="146398.20000000001"/>
    <n v="0"/>
    <n v="0"/>
    <n v="0"/>
    <n v="1"/>
    <n v="0"/>
    <n v="0"/>
    <n v="0"/>
    <n v="0"/>
    <n v="0"/>
    <n v="0"/>
    <n v="0"/>
    <n v="0"/>
    <s v="SP 210924"/>
    <m/>
    <n v="0"/>
    <n v="0"/>
    <n v="0"/>
    <n v="0"/>
    <n v="0"/>
    <n v="0"/>
    <n v="2.4"/>
    <n v="2.04"/>
    <n v="0"/>
    <n v="0"/>
    <n v="0"/>
    <n v="0"/>
    <n v="0"/>
    <n v="0"/>
    <n v="0"/>
    <n v="0"/>
    <n v="0"/>
    <n v="0"/>
    <n v="0"/>
    <n v="0"/>
    <n v="0"/>
    <n v="0"/>
    <n v="0"/>
    <n v="0"/>
  </r>
  <r>
    <x v="226"/>
    <x v="218"/>
    <m/>
    <x v="0"/>
    <s v="H19"/>
    <x v="1"/>
    <s v="H211-5"/>
    <s v="Umeå"/>
    <m/>
    <s v="MATT"/>
    <m/>
    <n v="1"/>
    <x v="9"/>
    <m/>
    <m/>
    <n v="7"/>
    <n v="0.93333333333333335"/>
    <n v="0.85"/>
    <n v="0.79333333333333333"/>
    <n v="2180"/>
    <x v="12"/>
    <s v="Sam"/>
    <x v="0"/>
    <n v="26554"/>
    <n v="33465"/>
    <n v="51332.633333333331"/>
    <n v="6000"/>
    <n v="5600"/>
    <n v="56932.633333333331"/>
    <n v="0"/>
    <n v="0"/>
    <n v="0"/>
    <n v="1"/>
    <n v="0"/>
    <n v="0"/>
    <n v="0"/>
    <n v="0"/>
    <n v="0"/>
    <n v="0"/>
    <n v="0"/>
    <n v="0"/>
    <s v="SP 210924"/>
    <m/>
    <n v="0"/>
    <n v="0"/>
    <n v="0"/>
    <n v="0"/>
    <n v="0"/>
    <n v="0"/>
    <n v="0.93333333333333335"/>
    <n v="0.79333333333333333"/>
    <n v="0"/>
    <n v="0"/>
    <n v="0"/>
    <n v="0"/>
    <n v="0"/>
    <n v="0"/>
    <n v="0"/>
    <n v="0"/>
    <n v="0"/>
    <n v="0"/>
    <n v="0"/>
    <n v="0"/>
    <n v="0"/>
    <n v="0"/>
    <n v="0"/>
    <n v="0"/>
  </r>
  <r>
    <x v="226"/>
    <x v="218"/>
    <m/>
    <x v="0"/>
    <s v="H19"/>
    <x v="1"/>
    <s v="H211-5"/>
    <s v="Umeå"/>
    <m/>
    <s v="NATU"/>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19"/>
    <x v="1"/>
    <s v="H211-5"/>
    <s v="Umeå"/>
    <m/>
    <s v="RELK"/>
    <m/>
    <n v="1"/>
    <x v="9"/>
    <m/>
    <m/>
    <n v="2"/>
    <n v="0.26666666666666666"/>
    <n v="0.85"/>
    <n v="0.22666666666666666"/>
    <n v="2180"/>
    <x v="12"/>
    <s v="Sam"/>
    <x v="0"/>
    <n v="26554"/>
    <n v="33465"/>
    <n v="14666.466666666667"/>
    <n v="6000"/>
    <n v="1600"/>
    <n v="16266.466666666667"/>
    <n v="0"/>
    <n v="0"/>
    <n v="0"/>
    <n v="1"/>
    <n v="0"/>
    <n v="0"/>
    <n v="0"/>
    <n v="0"/>
    <n v="0"/>
    <n v="0"/>
    <n v="0"/>
    <n v="0"/>
    <s v="SP 210924"/>
    <m/>
    <n v="0"/>
    <n v="0"/>
    <n v="0"/>
    <n v="0"/>
    <n v="0"/>
    <n v="0"/>
    <n v="0.26666666666666666"/>
    <n v="0.22666666666666666"/>
    <n v="0"/>
    <n v="0"/>
    <n v="0"/>
    <n v="0"/>
    <n v="0"/>
    <n v="0"/>
    <n v="0"/>
    <n v="0"/>
    <n v="0"/>
    <n v="0"/>
    <n v="0"/>
    <n v="0"/>
    <n v="0"/>
    <n v="0"/>
    <n v="0"/>
    <n v="0"/>
  </r>
  <r>
    <x v="226"/>
    <x v="218"/>
    <m/>
    <x v="0"/>
    <s v="H19"/>
    <x v="1"/>
    <s v="H211-5"/>
    <s v="Umeå"/>
    <m/>
    <s v="SAMK"/>
    <m/>
    <n v="1"/>
    <x v="9"/>
    <m/>
    <m/>
    <n v="12"/>
    <n v="1.6"/>
    <n v="0.85"/>
    <n v="1.36"/>
    <n v="2180"/>
    <x v="12"/>
    <s v="Sam"/>
    <x v="0"/>
    <n v="26554"/>
    <n v="33465"/>
    <n v="87998.8"/>
    <n v="6000"/>
    <n v="9600"/>
    <n v="97598.8"/>
    <n v="0"/>
    <n v="0"/>
    <n v="0"/>
    <n v="1"/>
    <n v="0"/>
    <n v="0"/>
    <n v="0"/>
    <n v="0"/>
    <n v="0"/>
    <n v="0"/>
    <n v="0"/>
    <n v="0"/>
    <s v="SP 210924"/>
    <m/>
    <n v="0"/>
    <n v="0"/>
    <n v="0"/>
    <n v="0"/>
    <n v="0"/>
    <n v="0"/>
    <n v="1.6"/>
    <n v="1.36"/>
    <n v="0"/>
    <n v="0"/>
    <n v="0"/>
    <n v="0"/>
    <n v="0"/>
    <n v="0"/>
    <n v="0"/>
    <n v="0"/>
    <n v="0"/>
    <n v="0"/>
    <n v="0"/>
    <n v="0"/>
    <n v="0"/>
    <n v="0"/>
    <n v="0"/>
    <n v="0"/>
  </r>
  <r>
    <x v="226"/>
    <x v="218"/>
    <m/>
    <x v="0"/>
    <s v="H19"/>
    <x v="1"/>
    <s v="H211-5"/>
    <s v="Umeå"/>
    <m/>
    <s v="SVAA"/>
    <m/>
    <n v="1"/>
    <x v="9"/>
    <m/>
    <m/>
    <n v="8"/>
    <n v="1.0666666666666667"/>
    <n v="0.85"/>
    <n v="0.90666666666666662"/>
    <n v="2180"/>
    <x v="12"/>
    <s v="Sam"/>
    <x v="0"/>
    <n v="26554"/>
    <n v="33465"/>
    <n v="58665.866666666669"/>
    <n v="6000"/>
    <n v="6400"/>
    <n v="65065.866666666669"/>
    <n v="0"/>
    <n v="0"/>
    <n v="0"/>
    <n v="1"/>
    <n v="0"/>
    <n v="0"/>
    <n v="0"/>
    <n v="0"/>
    <n v="0"/>
    <n v="0"/>
    <n v="0"/>
    <n v="0"/>
    <s v="SP 210924"/>
    <m/>
    <n v="0"/>
    <n v="0"/>
    <n v="0"/>
    <n v="0"/>
    <n v="0"/>
    <n v="0"/>
    <n v="1.0666666666666667"/>
    <n v="0.90666666666666662"/>
    <n v="0"/>
    <n v="0"/>
    <n v="0"/>
    <n v="0"/>
    <n v="0"/>
    <n v="0"/>
    <n v="0"/>
    <n v="0"/>
    <n v="0"/>
    <n v="0"/>
    <n v="0"/>
    <n v="0"/>
    <n v="0"/>
    <n v="0"/>
    <n v="0"/>
    <n v="0"/>
  </r>
  <r>
    <x v="226"/>
    <x v="218"/>
    <m/>
    <x v="0"/>
    <s v="H19"/>
    <x v="1"/>
    <s v="H211-5"/>
    <s v="Umeå"/>
    <m/>
    <s v="SVAN"/>
    <m/>
    <n v="1"/>
    <x v="9"/>
    <m/>
    <m/>
    <n v="2"/>
    <n v="0.26666666666666666"/>
    <n v="0.85"/>
    <n v="0.22666666666666666"/>
    <n v="2180"/>
    <x v="12"/>
    <s v="Sam"/>
    <x v="0"/>
    <n v="26554"/>
    <n v="33465"/>
    <n v="14666.466666666667"/>
    <n v="6000"/>
    <n v="1600"/>
    <n v="16266.466666666667"/>
    <n v="0"/>
    <n v="0"/>
    <n v="0"/>
    <n v="1"/>
    <n v="0"/>
    <n v="0"/>
    <n v="0"/>
    <n v="0"/>
    <n v="0"/>
    <n v="0"/>
    <n v="0"/>
    <n v="0"/>
    <s v="SP 210924"/>
    <m/>
    <n v="0"/>
    <n v="0"/>
    <n v="0"/>
    <n v="0"/>
    <n v="0"/>
    <n v="0"/>
    <n v="0.26666666666666666"/>
    <n v="0.22666666666666666"/>
    <n v="0"/>
    <n v="0"/>
    <n v="0"/>
    <n v="0"/>
    <n v="0"/>
    <n v="0"/>
    <n v="0"/>
    <n v="0"/>
    <n v="0"/>
    <n v="0"/>
    <n v="0"/>
    <n v="0"/>
    <n v="0"/>
    <n v="0"/>
    <n v="0"/>
    <n v="0"/>
  </r>
  <r>
    <x v="226"/>
    <x v="218"/>
    <m/>
    <x v="0"/>
    <s v="H19"/>
    <x v="1"/>
    <s v="H211-5"/>
    <s v="Umeå"/>
    <m/>
    <s v="TYSK"/>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H20"/>
    <x v="1"/>
    <s v="H211-5"/>
    <s v="Umeå"/>
    <m/>
    <s v="BILÄ"/>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6"/>
    <x v="218"/>
    <m/>
    <x v="0"/>
    <s v="V18"/>
    <x v="1"/>
    <s v="H211-5"/>
    <s v="Umeå"/>
    <m/>
    <s v="HIST"/>
    <m/>
    <n v="1"/>
    <x v="9"/>
    <m/>
    <m/>
    <n v="1"/>
    <n v="0.13333333333333333"/>
    <n v="0.85"/>
    <n v="0.11333333333333333"/>
    <n v="2180"/>
    <x v="12"/>
    <s v="Sam"/>
    <x v="0"/>
    <n v="26554"/>
    <n v="33465"/>
    <n v="7333.2333333333336"/>
    <n v="6000"/>
    <n v="800"/>
    <n v="8133.2333333333336"/>
    <n v="0"/>
    <n v="0"/>
    <n v="0"/>
    <n v="1"/>
    <n v="0"/>
    <n v="0"/>
    <n v="0"/>
    <n v="0"/>
    <n v="0"/>
    <n v="0"/>
    <n v="0"/>
    <n v="0"/>
    <s v="SP 210924"/>
    <m/>
    <n v="0"/>
    <n v="0"/>
    <n v="0"/>
    <n v="0"/>
    <n v="0"/>
    <n v="0"/>
    <n v="0.13333333333333333"/>
    <n v="0.11333333333333333"/>
    <n v="0"/>
    <n v="0"/>
    <n v="0"/>
    <n v="0"/>
    <n v="0"/>
    <n v="0"/>
    <n v="0"/>
    <n v="0"/>
    <n v="0"/>
    <n v="0"/>
    <n v="0"/>
    <n v="0"/>
    <n v="0"/>
    <n v="0"/>
    <n v="0"/>
    <n v="0"/>
  </r>
  <r>
    <x v="227"/>
    <x v="219"/>
    <n v="68722"/>
    <x v="12"/>
    <m/>
    <x v="0"/>
    <m/>
    <s v="Umeå"/>
    <s v="Normal"/>
    <m/>
    <m/>
    <m/>
    <x v="1"/>
    <m/>
    <m/>
    <n v="24"/>
    <n v="6"/>
    <n v="0.85"/>
    <n v="5.0999999999999996"/>
    <n v="2193"/>
    <x v="13"/>
    <s v="Sam"/>
    <x v="12"/>
    <n v="20766"/>
    <n v="17442"/>
    <n v="213550.2"/>
    <n v="6000"/>
    <n v="36000"/>
    <n v="249550.2"/>
    <n v="0"/>
    <n v="0"/>
    <n v="0"/>
    <n v="0"/>
    <n v="0"/>
    <n v="0"/>
    <n v="1"/>
    <n v="0"/>
    <n v="0"/>
    <n v="0"/>
    <n v="0"/>
    <n v="0"/>
    <s v="Enl Fokus-Ladok 210601"/>
    <m/>
    <n v="0"/>
    <n v="0"/>
    <n v="0"/>
    <n v="0"/>
    <n v="0"/>
    <n v="0"/>
    <n v="0"/>
    <n v="0"/>
    <n v="0"/>
    <n v="0"/>
    <n v="0"/>
    <n v="0"/>
    <n v="6"/>
    <n v="5.0999999999999996"/>
    <n v="0"/>
    <n v="0"/>
    <n v="0"/>
    <n v="0"/>
    <n v="0"/>
    <n v="0"/>
    <n v="0"/>
    <n v="0"/>
    <n v="0"/>
    <n v="0"/>
  </r>
  <r>
    <x v="228"/>
    <x v="220"/>
    <n v="68725"/>
    <x v="12"/>
    <m/>
    <x v="0"/>
    <m/>
    <s v="Umeå"/>
    <s v="Normal"/>
    <m/>
    <m/>
    <m/>
    <x v="13"/>
    <m/>
    <m/>
    <n v="18"/>
    <n v="3.3"/>
    <n v="0.85"/>
    <n v="2.8049999999999997"/>
    <n v="2193"/>
    <x v="13"/>
    <s v="Sam"/>
    <x v="12"/>
    <n v="25235"/>
    <n v="27976"/>
    <n v="161748.18"/>
    <n v="3600"/>
    <n v="11880"/>
    <n v="173628.18"/>
    <n v="0"/>
    <n v="0"/>
    <n v="0"/>
    <n v="0"/>
    <n v="0"/>
    <n v="0"/>
    <n v="0"/>
    <n v="0"/>
    <n v="1"/>
    <n v="0"/>
    <n v="0"/>
    <n v="0"/>
    <s v="Enl Fokus-Ladok 210601"/>
    <m/>
    <n v="0"/>
    <n v="0"/>
    <n v="0"/>
    <n v="0"/>
    <n v="0"/>
    <n v="0"/>
    <n v="0"/>
    <n v="0"/>
    <n v="0"/>
    <n v="0"/>
    <n v="0"/>
    <n v="0"/>
    <n v="0"/>
    <n v="0"/>
    <n v="0"/>
    <n v="0"/>
    <n v="3.3"/>
    <n v="2.8049999999999997"/>
    <n v="0"/>
    <n v="0"/>
    <n v="0"/>
    <n v="0"/>
    <n v="0"/>
    <n v="0"/>
  </r>
  <r>
    <x v="229"/>
    <x v="221"/>
    <n v="61903"/>
    <x v="6"/>
    <m/>
    <x v="0"/>
    <m/>
    <s v="Umeå"/>
    <s v="Normal"/>
    <s v="TXAL"/>
    <m/>
    <m/>
    <x v="13"/>
    <m/>
    <m/>
    <n v="1"/>
    <n v="0.183"/>
    <n v="0.85"/>
    <n v="0.15554999999999999"/>
    <n v="5740"/>
    <x v="7"/>
    <s v="TekNat"/>
    <x v="6"/>
    <n v="26554"/>
    <n v="33465"/>
    <n v="10064.86275"/>
    <n v="6000"/>
    <n v="1098"/>
    <n v="11162.86275"/>
    <n v="0"/>
    <n v="0"/>
    <n v="0"/>
    <n v="1"/>
    <n v="0"/>
    <n v="0"/>
    <n v="0"/>
    <n v="0"/>
    <n v="0"/>
    <n v="0"/>
    <n v="0"/>
    <n v="0"/>
    <s v="Enl Fokus-Ladok 210601"/>
    <m/>
    <n v="0"/>
    <n v="0"/>
    <n v="0"/>
    <n v="0"/>
    <n v="0"/>
    <n v="0"/>
    <n v="0.183"/>
    <n v="0.15554999999999999"/>
    <n v="0"/>
    <n v="0"/>
    <n v="0"/>
    <n v="0"/>
    <n v="0"/>
    <n v="0"/>
    <n v="0"/>
    <n v="0"/>
    <n v="0"/>
    <n v="0"/>
    <n v="0"/>
    <n v="0"/>
    <n v="0"/>
    <n v="0"/>
    <n v="0"/>
    <n v="0"/>
  </r>
  <r>
    <x v="229"/>
    <x v="221"/>
    <n v="61903"/>
    <x v="12"/>
    <m/>
    <x v="0"/>
    <m/>
    <s v="Umeå"/>
    <s v="Normal"/>
    <m/>
    <m/>
    <m/>
    <x v="13"/>
    <m/>
    <m/>
    <n v="16"/>
    <n v="2.9329999999999998"/>
    <n v="0.85"/>
    <n v="2.4930499999999998"/>
    <n v="5740"/>
    <x v="7"/>
    <s v="TekNat"/>
    <x v="12"/>
    <n v="26554"/>
    <n v="33465"/>
    <n v="161312.80024999997"/>
    <n v="6000"/>
    <n v="17598"/>
    <n v="178910.80024999997"/>
    <n v="0"/>
    <n v="0"/>
    <n v="0"/>
    <n v="1"/>
    <n v="0"/>
    <n v="0"/>
    <n v="0"/>
    <n v="0"/>
    <n v="0"/>
    <n v="0"/>
    <n v="0"/>
    <n v="0"/>
    <s v="Enl Fokus-Ladok 210601"/>
    <m/>
    <n v="0"/>
    <n v="0"/>
    <n v="0"/>
    <n v="0"/>
    <n v="0"/>
    <n v="0"/>
    <n v="2.9329999999999998"/>
    <n v="2.4930499999999998"/>
    <n v="0"/>
    <n v="0"/>
    <n v="0"/>
    <n v="0"/>
    <n v="0"/>
    <n v="0"/>
    <n v="0"/>
    <n v="0"/>
    <n v="0"/>
    <n v="0"/>
    <n v="0"/>
    <n v="0"/>
    <n v="0"/>
    <n v="0"/>
    <n v="0"/>
    <n v="0"/>
  </r>
  <r>
    <x v="229"/>
    <x v="221"/>
    <n v="61903"/>
    <x v="4"/>
    <m/>
    <x v="0"/>
    <m/>
    <s v="Umeå"/>
    <s v="Normal"/>
    <m/>
    <m/>
    <m/>
    <x v="13"/>
    <m/>
    <m/>
    <n v="44"/>
    <n v="8.0670000000000002"/>
    <n v="0.85"/>
    <n v="6.8569500000000003"/>
    <n v="5740"/>
    <x v="7"/>
    <s v="TekNat"/>
    <x v="4"/>
    <n v="26554"/>
    <n v="33465"/>
    <n v="443678.94975000003"/>
    <n v="6000"/>
    <n v="48402"/>
    <n v="492080.94975000003"/>
    <n v="0"/>
    <n v="0"/>
    <n v="0"/>
    <n v="1"/>
    <n v="0"/>
    <n v="0"/>
    <n v="0"/>
    <n v="0"/>
    <n v="0"/>
    <n v="0"/>
    <n v="0"/>
    <n v="0"/>
    <s v="Enl Fokus-Ladok 210601"/>
    <m/>
    <n v="0"/>
    <n v="0"/>
    <n v="0"/>
    <n v="0"/>
    <n v="0"/>
    <n v="0"/>
    <n v="8.0670000000000002"/>
    <n v="6.8569500000000003"/>
    <n v="0"/>
    <n v="0"/>
    <n v="0"/>
    <n v="0"/>
    <n v="0"/>
    <n v="0"/>
    <n v="0"/>
    <n v="0"/>
    <n v="0"/>
    <n v="0"/>
    <n v="0"/>
    <n v="0"/>
    <n v="0"/>
    <n v="0"/>
    <n v="0"/>
    <n v="0"/>
  </r>
  <r>
    <x v="229"/>
    <x v="221"/>
    <n v="61903"/>
    <x v="5"/>
    <m/>
    <x v="0"/>
    <m/>
    <s v="Umeå"/>
    <s v="Normal"/>
    <m/>
    <m/>
    <m/>
    <x v="13"/>
    <m/>
    <m/>
    <n v="21"/>
    <n v="3.85"/>
    <n v="0.85"/>
    <n v="3.2725"/>
    <n v="5740"/>
    <x v="7"/>
    <s v="TekNat"/>
    <x v="5"/>
    <n v="26554"/>
    <n v="33465"/>
    <n v="211747.11249999999"/>
    <n v="6000"/>
    <n v="23100"/>
    <n v="234847.11249999999"/>
    <n v="0"/>
    <n v="0"/>
    <n v="0"/>
    <n v="1"/>
    <n v="0"/>
    <n v="0"/>
    <n v="0"/>
    <n v="0"/>
    <n v="0"/>
    <n v="0"/>
    <n v="0"/>
    <n v="0"/>
    <s v="Enl Fokus-Ladok 210601"/>
    <m/>
    <n v="0"/>
    <n v="0"/>
    <n v="0"/>
    <n v="0"/>
    <n v="0"/>
    <n v="0"/>
    <n v="3.85"/>
    <n v="3.2725"/>
    <n v="0"/>
    <n v="0"/>
    <n v="0"/>
    <n v="0"/>
    <n v="0"/>
    <n v="0"/>
    <n v="0"/>
    <n v="0"/>
    <n v="0"/>
    <n v="0"/>
    <n v="0"/>
    <n v="0"/>
    <n v="0"/>
    <n v="0"/>
    <n v="0"/>
    <n v="0"/>
  </r>
  <r>
    <x v="230"/>
    <x v="222"/>
    <m/>
    <x v="11"/>
    <s v="H16"/>
    <x v="1"/>
    <s v="H2117-20:V221-3"/>
    <s v="Umeå"/>
    <s v="Campus"/>
    <m/>
    <m/>
    <n v="1"/>
    <x v="4"/>
    <m/>
    <m/>
    <n v="1"/>
    <n v="0.1"/>
    <n v="0.85"/>
    <n v="8.5000000000000006E-2"/>
    <n v="5740"/>
    <x v="7"/>
    <s v="TekNat"/>
    <x v="11"/>
    <n v="26554"/>
    <n v="33465"/>
    <n v="5499.9250000000002"/>
    <n v="6000"/>
    <n v="600"/>
    <n v="6099.9250000000002"/>
    <n v="0"/>
    <n v="0"/>
    <n v="0"/>
    <n v="1"/>
    <n v="0"/>
    <n v="0"/>
    <n v="0"/>
    <n v="0"/>
    <n v="0"/>
    <n v="0"/>
    <n v="0"/>
    <n v="0"/>
    <s v="SP 210924"/>
    <s v="Läser 6 av 10 hp denna termin"/>
    <n v="0"/>
    <n v="0"/>
    <n v="0"/>
    <n v="0"/>
    <n v="0"/>
    <n v="0"/>
    <n v="0.1"/>
    <n v="8.5000000000000006E-2"/>
    <n v="0"/>
    <n v="0"/>
    <n v="0"/>
    <n v="0"/>
    <n v="0"/>
    <n v="0"/>
    <n v="0"/>
    <n v="0"/>
    <n v="0"/>
    <n v="0"/>
    <n v="0"/>
    <n v="0"/>
    <n v="0"/>
    <n v="0"/>
    <n v="0"/>
    <n v="0"/>
  </r>
  <r>
    <x v="230"/>
    <x v="222"/>
    <m/>
    <x v="11"/>
    <s v="H19"/>
    <x v="1"/>
    <s v="H2117-20:V221-3"/>
    <s v="Umeå"/>
    <s v="Campus"/>
    <m/>
    <m/>
    <n v="1"/>
    <x v="4"/>
    <m/>
    <m/>
    <n v="2"/>
    <n v="0.2"/>
    <n v="0.85"/>
    <n v="0.17"/>
    <n v="5740"/>
    <x v="7"/>
    <s v="TekNat"/>
    <x v="11"/>
    <n v="26554"/>
    <n v="33465"/>
    <n v="10999.85"/>
    <n v="6000"/>
    <n v="1200"/>
    <n v="12199.85"/>
    <n v="0"/>
    <n v="0"/>
    <n v="0"/>
    <n v="1"/>
    <n v="0"/>
    <n v="0"/>
    <n v="0"/>
    <n v="0"/>
    <n v="0"/>
    <n v="0"/>
    <n v="0"/>
    <n v="0"/>
    <s v="SP 210924"/>
    <s v="Läser 6 av 10 hp denna termin"/>
    <n v="0"/>
    <n v="0"/>
    <n v="0"/>
    <n v="0"/>
    <n v="0"/>
    <n v="0"/>
    <n v="0.2"/>
    <n v="0.17"/>
    <n v="0"/>
    <n v="0"/>
    <n v="0"/>
    <n v="0"/>
    <n v="0"/>
    <n v="0"/>
    <n v="0"/>
    <n v="0"/>
    <n v="0"/>
    <n v="0"/>
    <n v="0"/>
    <n v="0"/>
    <n v="0"/>
    <n v="0"/>
    <n v="0"/>
    <n v="0"/>
  </r>
  <r>
    <x v="230"/>
    <x v="222"/>
    <m/>
    <x v="11"/>
    <s v="H19"/>
    <x v="1"/>
    <s v="V2117-20:H211-3"/>
    <s v="Umeå"/>
    <s v="Campus"/>
    <m/>
    <m/>
    <n v="1"/>
    <x v="12"/>
    <m/>
    <m/>
    <n v="37"/>
    <n v="2.4666666666666668"/>
    <n v="0.85"/>
    <n v="2.0966666666666667"/>
    <n v="5740"/>
    <x v="7"/>
    <s v="TekNat"/>
    <x v="11"/>
    <n v="26554"/>
    <n v="33465"/>
    <n v="135664.81666666665"/>
    <n v="6000"/>
    <n v="14800"/>
    <n v="150464.81666666665"/>
    <n v="0"/>
    <n v="0"/>
    <n v="0"/>
    <n v="1"/>
    <n v="0"/>
    <n v="0"/>
    <n v="0"/>
    <n v="0"/>
    <n v="0"/>
    <n v="0"/>
    <n v="0"/>
    <n v="0"/>
    <s v="SP 210924"/>
    <s v="Läser 4 av 10 hp denna termin"/>
    <n v="0"/>
    <n v="0"/>
    <n v="0"/>
    <n v="0"/>
    <n v="0"/>
    <n v="0"/>
    <n v="2.4666666666666668"/>
    <n v="2.0966666666666667"/>
    <n v="0"/>
    <n v="0"/>
    <n v="0"/>
    <n v="0"/>
    <n v="0"/>
    <n v="0"/>
    <n v="0"/>
    <n v="0"/>
    <n v="0"/>
    <n v="0"/>
    <n v="0"/>
    <n v="0"/>
    <n v="0"/>
    <n v="0"/>
    <n v="0"/>
    <n v="0"/>
  </r>
  <r>
    <x v="230"/>
    <x v="222"/>
    <m/>
    <x v="11"/>
    <s v="V16"/>
    <x v="1"/>
    <s v="H2117-20:V221-3"/>
    <s v="Umeå"/>
    <s v="Campus"/>
    <m/>
    <m/>
    <n v="1"/>
    <x v="4"/>
    <m/>
    <m/>
    <n v="1"/>
    <n v="0.1"/>
    <n v="0.85"/>
    <n v="8.5000000000000006E-2"/>
    <n v="5740"/>
    <x v="7"/>
    <s v="TekNat"/>
    <x v="11"/>
    <n v="26554"/>
    <n v="33465"/>
    <n v="5499.9250000000002"/>
    <n v="6000"/>
    <n v="600"/>
    <n v="6099.9250000000002"/>
    <n v="0"/>
    <n v="0"/>
    <n v="0"/>
    <n v="1"/>
    <n v="0"/>
    <n v="0"/>
    <n v="0"/>
    <n v="0"/>
    <n v="0"/>
    <n v="0"/>
    <n v="0"/>
    <n v="0"/>
    <s v="SP 210924"/>
    <s v="Läser 6 av 10 hp denna termin"/>
    <n v="0"/>
    <n v="0"/>
    <n v="0"/>
    <n v="0"/>
    <n v="0"/>
    <n v="0"/>
    <n v="0.1"/>
    <n v="8.5000000000000006E-2"/>
    <n v="0"/>
    <n v="0"/>
    <n v="0"/>
    <n v="0"/>
    <n v="0"/>
    <n v="0"/>
    <n v="0"/>
    <n v="0"/>
    <n v="0"/>
    <n v="0"/>
    <n v="0"/>
    <n v="0"/>
    <n v="0"/>
    <n v="0"/>
    <n v="0"/>
    <n v="0"/>
  </r>
  <r>
    <x v="230"/>
    <x v="222"/>
    <m/>
    <x v="11"/>
    <s v="V19"/>
    <x v="1"/>
    <s v="H2117-20:V221-3"/>
    <s v="Umeå"/>
    <s v="Campus"/>
    <m/>
    <m/>
    <n v="1"/>
    <x v="4"/>
    <m/>
    <m/>
    <n v="1"/>
    <n v="0.1"/>
    <n v="0.85"/>
    <n v="8.5000000000000006E-2"/>
    <n v="5740"/>
    <x v="7"/>
    <s v="TekNat"/>
    <x v="11"/>
    <n v="26554"/>
    <n v="33465"/>
    <n v="5499.9250000000002"/>
    <n v="6000"/>
    <n v="600"/>
    <n v="6099.9250000000002"/>
    <n v="0"/>
    <n v="0"/>
    <n v="0"/>
    <n v="1"/>
    <n v="0"/>
    <n v="0"/>
    <n v="0"/>
    <n v="0"/>
    <n v="0"/>
    <n v="0"/>
    <n v="0"/>
    <n v="0"/>
    <s v="SP 210924"/>
    <s v="Läser 6 av 10 hp denna termin"/>
    <n v="0"/>
    <n v="0"/>
    <n v="0"/>
    <n v="0"/>
    <n v="0"/>
    <n v="0"/>
    <n v="0.1"/>
    <n v="8.5000000000000006E-2"/>
    <n v="0"/>
    <n v="0"/>
    <n v="0"/>
    <n v="0"/>
    <n v="0"/>
    <n v="0"/>
    <n v="0"/>
    <n v="0"/>
    <n v="0"/>
    <n v="0"/>
    <n v="0"/>
    <n v="0"/>
    <n v="0"/>
    <n v="0"/>
    <n v="0"/>
    <n v="0"/>
  </r>
  <r>
    <x v="230"/>
    <x v="222"/>
    <m/>
    <x v="11"/>
    <s v="V20"/>
    <x v="1"/>
    <s v="H2117-20:V221-3"/>
    <s v="Umeå"/>
    <s v="Campus"/>
    <m/>
    <m/>
    <n v="1"/>
    <x v="4"/>
    <m/>
    <m/>
    <n v="21"/>
    <n v="2.1"/>
    <n v="0.85"/>
    <n v="1.7849999999999999"/>
    <n v="5740"/>
    <x v="7"/>
    <s v="TekNat"/>
    <x v="11"/>
    <n v="26554"/>
    <n v="33465"/>
    <n v="115498.42499999999"/>
    <n v="6000"/>
    <n v="12600"/>
    <n v="128098.42499999999"/>
    <n v="0"/>
    <n v="0"/>
    <n v="0"/>
    <n v="1"/>
    <n v="0"/>
    <n v="0"/>
    <n v="0"/>
    <n v="0"/>
    <n v="0"/>
    <n v="0"/>
    <n v="0"/>
    <n v="0"/>
    <s v="SP 210924"/>
    <s v="Läser 6 av 10 hp denna termin"/>
    <n v="0"/>
    <n v="0"/>
    <n v="0"/>
    <n v="0"/>
    <n v="0"/>
    <n v="0"/>
    <n v="2.1"/>
    <n v="1.7849999999999999"/>
    <n v="0"/>
    <n v="0"/>
    <n v="0"/>
    <n v="0"/>
    <n v="0"/>
    <n v="0"/>
    <n v="0"/>
    <n v="0"/>
    <n v="0"/>
    <n v="0"/>
    <n v="0"/>
    <n v="0"/>
    <n v="0"/>
    <n v="0"/>
    <n v="0"/>
    <n v="0"/>
  </r>
  <r>
    <x v="230"/>
    <x v="222"/>
    <m/>
    <x v="11"/>
    <s v="V20"/>
    <x v="1"/>
    <s v="V2117-20:H211-3"/>
    <s v="Umeå"/>
    <s v="Campus"/>
    <m/>
    <m/>
    <n v="1"/>
    <x v="12"/>
    <m/>
    <m/>
    <n v="1"/>
    <n v="6.6666666666666666E-2"/>
    <n v="0.85"/>
    <n v="5.6666666666666664E-2"/>
    <n v="5740"/>
    <x v="7"/>
    <s v="TekNat"/>
    <x v="11"/>
    <n v="26554"/>
    <n v="33465"/>
    <n v="3666.6166666666668"/>
    <n v="6000"/>
    <n v="400"/>
    <n v="4066.6166666666668"/>
    <n v="0"/>
    <n v="0"/>
    <n v="0"/>
    <n v="1"/>
    <n v="0"/>
    <n v="0"/>
    <n v="0"/>
    <n v="0"/>
    <n v="0"/>
    <n v="0"/>
    <n v="0"/>
    <n v="0"/>
    <s v="SP 210924"/>
    <s v="Läser 6 av 10 hp denna termin"/>
    <n v="0"/>
    <n v="0"/>
    <n v="0"/>
    <n v="0"/>
    <n v="0"/>
    <n v="0"/>
    <n v="6.6666666666666666E-2"/>
    <n v="5.6666666666666664E-2"/>
    <n v="0"/>
    <n v="0"/>
    <n v="0"/>
    <n v="0"/>
    <n v="0"/>
    <n v="0"/>
    <n v="0"/>
    <n v="0"/>
    <n v="0"/>
    <n v="0"/>
    <n v="0"/>
    <n v="0"/>
    <n v="0"/>
    <n v="0"/>
    <n v="0"/>
    <n v="0"/>
  </r>
  <r>
    <x v="230"/>
    <x v="222"/>
    <n v="61818"/>
    <x v="11"/>
    <m/>
    <x v="0"/>
    <m/>
    <s v="Umeå"/>
    <s v="Normal"/>
    <m/>
    <m/>
    <m/>
    <x v="12"/>
    <m/>
    <m/>
    <n v="13"/>
    <n v="0.86699999999999999"/>
    <n v="0.85"/>
    <n v="0.73694999999999999"/>
    <n v="5740"/>
    <x v="7"/>
    <s v="TekNat"/>
    <x v="11"/>
    <n v="26554"/>
    <n v="33465"/>
    <n v="47684.349749999994"/>
    <n v="6000"/>
    <n v="5202"/>
    <n v="52886.349749999994"/>
    <n v="0"/>
    <n v="0"/>
    <n v="0"/>
    <n v="1"/>
    <n v="0"/>
    <n v="0"/>
    <n v="0"/>
    <n v="0"/>
    <n v="0"/>
    <n v="0"/>
    <n v="0"/>
    <n v="0"/>
    <s v="Enl Fokus-Ladok 210601"/>
    <s v="Läser 4 av 10 hp denna termin"/>
    <n v="0"/>
    <n v="0"/>
    <n v="0"/>
    <n v="0"/>
    <n v="0"/>
    <n v="0"/>
    <n v="0.86699999999999999"/>
    <n v="0.73694999999999999"/>
    <n v="0"/>
    <n v="0"/>
    <n v="0"/>
    <n v="0"/>
    <n v="0"/>
    <n v="0"/>
    <n v="0"/>
    <n v="0"/>
    <n v="0"/>
    <n v="0"/>
    <n v="0"/>
    <n v="0"/>
    <n v="0"/>
    <n v="0"/>
    <n v="0"/>
    <n v="0"/>
  </r>
  <r>
    <x v="230"/>
    <x v="222"/>
    <n v="61902"/>
    <x v="11"/>
    <m/>
    <x v="0"/>
    <m/>
    <s v="Umeå"/>
    <s v="Normal"/>
    <m/>
    <m/>
    <m/>
    <x v="4"/>
    <m/>
    <m/>
    <n v="38"/>
    <n v="3.8"/>
    <n v="0.85"/>
    <n v="3.23"/>
    <n v="5740"/>
    <x v="7"/>
    <s v="TekNat"/>
    <x v="11"/>
    <n v="26554"/>
    <n v="33465"/>
    <n v="208997.15"/>
    <n v="6000"/>
    <n v="22800"/>
    <n v="231797.15"/>
    <n v="0"/>
    <n v="0"/>
    <n v="0"/>
    <n v="1"/>
    <n v="0"/>
    <n v="0"/>
    <n v="0"/>
    <n v="0"/>
    <n v="0"/>
    <n v="0"/>
    <n v="0"/>
    <n v="0"/>
    <s v="Enl Fokus-Ladok 210601"/>
    <s v="Läser 6 av 10 hp denna termin"/>
    <n v="0"/>
    <n v="0"/>
    <n v="0"/>
    <n v="0"/>
    <n v="0"/>
    <n v="0"/>
    <n v="3.8"/>
    <n v="3.23"/>
    <n v="0"/>
    <n v="0"/>
    <n v="0"/>
    <n v="0"/>
    <n v="0"/>
    <n v="0"/>
    <n v="0"/>
    <n v="0"/>
    <n v="0"/>
    <n v="0"/>
    <n v="0"/>
    <n v="0"/>
    <n v="0"/>
    <n v="0"/>
    <n v="0"/>
    <n v="0"/>
  </r>
  <r>
    <x v="231"/>
    <x v="223"/>
    <m/>
    <x v="6"/>
    <s v="H16"/>
    <x v="1"/>
    <s v="H216-12"/>
    <s v="Umeå"/>
    <m/>
    <s v="TXBI"/>
    <m/>
    <n v="1"/>
    <x v="13"/>
    <m/>
    <m/>
    <n v="1"/>
    <n v="0.18333333333333332"/>
    <n v="0.85"/>
    <n v="0.15583333333333332"/>
    <n v="5740"/>
    <x v="7"/>
    <s v="TekNat"/>
    <x v="6"/>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15"/>
    <x v="1"/>
    <s v="H216-12"/>
    <s v="Umeå"/>
    <m/>
    <s v="IDRH"/>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15"/>
    <x v="1"/>
    <s v="H216-12"/>
    <s v="Umeå"/>
    <m/>
    <s v="MATT"/>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18"/>
    <x v="1"/>
    <s v="H216-12"/>
    <s v="Umeå"/>
    <m/>
    <s v="BILÄ"/>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18"/>
    <x v="1"/>
    <s v="H216-12"/>
    <s v="Umeå"/>
    <m/>
    <s v="BIOL"/>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18"/>
    <x v="1"/>
    <s v="H216-12"/>
    <s v="Umeå"/>
    <m/>
    <s v="ENGS"/>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18"/>
    <x v="1"/>
    <s v="H216-12"/>
    <s v="Umeå"/>
    <m/>
    <s v="HIST"/>
    <m/>
    <n v="1"/>
    <x v="13"/>
    <m/>
    <m/>
    <n v="2"/>
    <n v="0.36666666666666664"/>
    <n v="0.85"/>
    <n v="0.31166666666666665"/>
    <n v="5740"/>
    <x v="7"/>
    <s v="TekNat"/>
    <x v="0"/>
    <n v="26554"/>
    <n v="33465"/>
    <n v="20166.391666666663"/>
    <n v="6000"/>
    <n v="2200"/>
    <n v="22366.391666666663"/>
    <n v="0"/>
    <n v="0"/>
    <n v="0"/>
    <n v="1"/>
    <n v="0"/>
    <n v="0"/>
    <n v="0"/>
    <n v="0"/>
    <n v="0"/>
    <n v="0"/>
    <n v="0"/>
    <n v="0"/>
    <s v="SP 210924"/>
    <m/>
    <n v="0"/>
    <n v="0"/>
    <n v="0"/>
    <n v="0"/>
    <n v="0"/>
    <n v="0"/>
    <n v="0.36666666666666664"/>
    <n v="0.31166666666666665"/>
    <n v="0"/>
    <n v="0"/>
    <n v="0"/>
    <n v="0"/>
    <n v="0"/>
    <n v="0"/>
    <n v="0"/>
    <n v="0"/>
    <n v="0"/>
    <n v="0"/>
    <n v="0"/>
    <n v="0"/>
    <n v="0"/>
    <n v="0"/>
    <n v="0"/>
    <n v="0"/>
  </r>
  <r>
    <x v="231"/>
    <x v="223"/>
    <m/>
    <x v="0"/>
    <s v="H18"/>
    <x v="1"/>
    <s v="H216-12"/>
    <s v="Umeå"/>
    <m/>
    <s v="IDRH"/>
    <m/>
    <n v="1"/>
    <x v="13"/>
    <m/>
    <m/>
    <n v="2"/>
    <n v="0.36666666666666664"/>
    <n v="0.85"/>
    <n v="0.31166666666666665"/>
    <n v="5740"/>
    <x v="7"/>
    <s v="TekNat"/>
    <x v="0"/>
    <n v="26554"/>
    <n v="33465"/>
    <n v="20166.391666666663"/>
    <n v="6000"/>
    <n v="2200"/>
    <n v="22366.391666666663"/>
    <n v="0"/>
    <n v="0"/>
    <n v="0"/>
    <n v="1"/>
    <n v="0"/>
    <n v="0"/>
    <n v="0"/>
    <n v="0"/>
    <n v="0"/>
    <n v="0"/>
    <n v="0"/>
    <n v="0"/>
    <s v="SP 210924"/>
    <m/>
    <n v="0"/>
    <n v="0"/>
    <n v="0"/>
    <n v="0"/>
    <n v="0"/>
    <n v="0"/>
    <n v="0.36666666666666664"/>
    <n v="0.31166666666666665"/>
    <n v="0"/>
    <n v="0"/>
    <n v="0"/>
    <n v="0"/>
    <n v="0"/>
    <n v="0"/>
    <n v="0"/>
    <n v="0"/>
    <n v="0"/>
    <n v="0"/>
    <n v="0"/>
    <n v="0"/>
    <n v="0"/>
    <n v="0"/>
    <n v="0"/>
    <n v="0"/>
  </r>
  <r>
    <x v="231"/>
    <x v="223"/>
    <m/>
    <x v="0"/>
    <s v="H18"/>
    <x v="1"/>
    <s v="H216-12"/>
    <s v="Umeå"/>
    <m/>
    <s v="MATT"/>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18"/>
    <x v="1"/>
    <s v="H216-12"/>
    <s v="Umeå"/>
    <m/>
    <s v="RELK"/>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19"/>
    <x v="1"/>
    <s v="H216-12"/>
    <s v="Umeå"/>
    <m/>
    <s v="BILÄ"/>
    <m/>
    <n v="1"/>
    <x v="13"/>
    <m/>
    <m/>
    <n v="2"/>
    <n v="0.36666666666666664"/>
    <n v="0.85"/>
    <n v="0.31166666666666665"/>
    <n v="5740"/>
    <x v="7"/>
    <s v="TekNat"/>
    <x v="0"/>
    <n v="26554"/>
    <n v="33465"/>
    <n v="20166.391666666663"/>
    <n v="6000"/>
    <n v="2200"/>
    <n v="22366.391666666663"/>
    <n v="0"/>
    <n v="0"/>
    <n v="0"/>
    <n v="1"/>
    <n v="0"/>
    <n v="0"/>
    <n v="0"/>
    <n v="0"/>
    <n v="0"/>
    <n v="0"/>
    <n v="0"/>
    <n v="0"/>
    <s v="SP 210924"/>
    <m/>
    <n v="0"/>
    <n v="0"/>
    <n v="0"/>
    <n v="0"/>
    <n v="0"/>
    <n v="0"/>
    <n v="0.36666666666666664"/>
    <n v="0.31166666666666665"/>
    <n v="0"/>
    <n v="0"/>
    <n v="0"/>
    <n v="0"/>
    <n v="0"/>
    <n v="0"/>
    <n v="0"/>
    <n v="0"/>
    <n v="0"/>
    <n v="0"/>
    <n v="0"/>
    <n v="0"/>
    <n v="0"/>
    <n v="0"/>
    <n v="0"/>
    <n v="0"/>
  </r>
  <r>
    <x v="231"/>
    <x v="223"/>
    <m/>
    <x v="0"/>
    <s v="H19"/>
    <x v="1"/>
    <s v="H216-12"/>
    <s v="Umeå"/>
    <m/>
    <s v="BIOL"/>
    <m/>
    <n v="1"/>
    <x v="13"/>
    <m/>
    <m/>
    <n v="2"/>
    <n v="0.36666666666666664"/>
    <n v="0.85"/>
    <n v="0.31166666666666665"/>
    <n v="5740"/>
    <x v="7"/>
    <s v="TekNat"/>
    <x v="0"/>
    <n v="26554"/>
    <n v="33465"/>
    <n v="20166.391666666663"/>
    <n v="6000"/>
    <n v="2200"/>
    <n v="22366.391666666663"/>
    <n v="0"/>
    <n v="0"/>
    <n v="0"/>
    <n v="1"/>
    <n v="0"/>
    <n v="0"/>
    <n v="0"/>
    <n v="0"/>
    <n v="0"/>
    <n v="0"/>
    <n v="0"/>
    <n v="0"/>
    <s v="SP 210924"/>
    <m/>
    <n v="0"/>
    <n v="0"/>
    <n v="0"/>
    <n v="0"/>
    <n v="0"/>
    <n v="0"/>
    <n v="0.36666666666666664"/>
    <n v="0.31166666666666665"/>
    <n v="0"/>
    <n v="0"/>
    <n v="0"/>
    <n v="0"/>
    <n v="0"/>
    <n v="0"/>
    <n v="0"/>
    <n v="0"/>
    <n v="0"/>
    <n v="0"/>
    <n v="0"/>
    <n v="0"/>
    <n v="0"/>
    <n v="0"/>
    <n v="0"/>
    <n v="0"/>
  </r>
  <r>
    <x v="231"/>
    <x v="223"/>
    <m/>
    <x v="0"/>
    <s v="H19"/>
    <x v="1"/>
    <s v="H216-12"/>
    <s v="Umeå"/>
    <m/>
    <s v="ENGS"/>
    <m/>
    <n v="1"/>
    <x v="13"/>
    <m/>
    <m/>
    <n v="12"/>
    <n v="2.1999999999999997"/>
    <n v="0.85"/>
    <n v="1.8699999999999997"/>
    <n v="5740"/>
    <x v="7"/>
    <s v="TekNat"/>
    <x v="0"/>
    <n v="26554"/>
    <n v="33465"/>
    <n v="120998.34999999998"/>
    <n v="6000"/>
    <n v="13199.999999999998"/>
    <n v="134198.34999999998"/>
    <n v="0"/>
    <n v="0"/>
    <n v="0"/>
    <n v="1"/>
    <n v="0"/>
    <n v="0"/>
    <n v="0"/>
    <n v="0"/>
    <n v="0"/>
    <n v="0"/>
    <n v="0"/>
    <n v="0"/>
    <s v="SP 210924"/>
    <m/>
    <n v="0"/>
    <n v="0"/>
    <n v="0"/>
    <n v="0"/>
    <n v="0"/>
    <n v="0"/>
    <n v="2.1999999999999997"/>
    <n v="1.8699999999999997"/>
    <n v="0"/>
    <n v="0"/>
    <n v="0"/>
    <n v="0"/>
    <n v="0"/>
    <n v="0"/>
    <n v="0"/>
    <n v="0"/>
    <n v="0"/>
    <n v="0"/>
    <n v="0"/>
    <n v="0"/>
    <n v="0"/>
    <n v="0"/>
    <n v="0"/>
    <n v="0"/>
  </r>
  <r>
    <x v="231"/>
    <x v="223"/>
    <m/>
    <x v="0"/>
    <s v="H19"/>
    <x v="1"/>
    <s v="H216-12"/>
    <s v="Umeå"/>
    <m/>
    <s v="GEOG"/>
    <m/>
    <n v="1"/>
    <x v="13"/>
    <m/>
    <m/>
    <n v="2"/>
    <n v="0.36666666666666664"/>
    <n v="0.85"/>
    <n v="0.31166666666666665"/>
    <n v="5740"/>
    <x v="7"/>
    <s v="TekNat"/>
    <x v="0"/>
    <n v="26554"/>
    <n v="33465"/>
    <n v="20166.391666666663"/>
    <n v="6000"/>
    <n v="2200"/>
    <n v="22366.391666666663"/>
    <n v="0"/>
    <n v="0"/>
    <n v="0"/>
    <n v="1"/>
    <n v="0"/>
    <n v="0"/>
    <n v="0"/>
    <n v="0"/>
    <n v="0"/>
    <n v="0"/>
    <n v="0"/>
    <n v="0"/>
    <s v="SP 210924"/>
    <m/>
    <n v="0"/>
    <n v="0"/>
    <n v="0"/>
    <n v="0"/>
    <n v="0"/>
    <n v="0"/>
    <n v="0.36666666666666664"/>
    <n v="0.31166666666666665"/>
    <n v="0"/>
    <n v="0"/>
    <n v="0"/>
    <n v="0"/>
    <n v="0"/>
    <n v="0"/>
    <n v="0"/>
    <n v="0"/>
    <n v="0"/>
    <n v="0"/>
    <n v="0"/>
    <n v="0"/>
    <n v="0"/>
    <n v="0"/>
    <n v="0"/>
    <n v="0"/>
  </r>
  <r>
    <x v="231"/>
    <x v="223"/>
    <m/>
    <x v="0"/>
    <s v="H19"/>
    <x v="1"/>
    <s v="H216-12"/>
    <s v="Umeå"/>
    <m/>
    <s v="HIST"/>
    <m/>
    <n v="1"/>
    <x v="13"/>
    <m/>
    <m/>
    <n v="17"/>
    <n v="3.1166666666666663"/>
    <n v="0.85"/>
    <n v="2.6491666666666664"/>
    <n v="5740"/>
    <x v="7"/>
    <s v="TekNat"/>
    <x v="0"/>
    <n v="26554"/>
    <n v="33465"/>
    <n v="171414.32916666666"/>
    <n v="6000"/>
    <n v="18699.999999999996"/>
    <n v="190114.32916666666"/>
    <n v="0"/>
    <n v="0"/>
    <n v="0"/>
    <n v="1"/>
    <n v="0"/>
    <n v="0"/>
    <n v="0"/>
    <n v="0"/>
    <n v="0"/>
    <n v="0"/>
    <n v="0"/>
    <n v="0"/>
    <s v="SP 210924"/>
    <m/>
    <n v="0"/>
    <n v="0"/>
    <n v="0"/>
    <n v="0"/>
    <n v="0"/>
    <n v="0"/>
    <n v="3.1166666666666663"/>
    <n v="2.6491666666666664"/>
    <n v="0"/>
    <n v="0"/>
    <n v="0"/>
    <n v="0"/>
    <n v="0"/>
    <n v="0"/>
    <n v="0"/>
    <n v="0"/>
    <n v="0"/>
    <n v="0"/>
    <n v="0"/>
    <n v="0"/>
    <n v="0"/>
    <n v="0"/>
    <n v="0"/>
    <n v="0"/>
  </r>
  <r>
    <x v="231"/>
    <x v="223"/>
    <m/>
    <x v="0"/>
    <s v="H19"/>
    <x v="1"/>
    <s v="H216-12"/>
    <s v="Umeå"/>
    <m/>
    <s v="IDRH"/>
    <m/>
    <n v="1"/>
    <x v="13"/>
    <m/>
    <m/>
    <n v="18"/>
    <n v="3.3"/>
    <n v="0.85"/>
    <n v="2.8049999999999997"/>
    <n v="5740"/>
    <x v="7"/>
    <s v="TekNat"/>
    <x v="0"/>
    <n v="26554"/>
    <n v="33465"/>
    <n v="181497.52499999999"/>
    <n v="6000"/>
    <n v="19800"/>
    <n v="201297.52499999999"/>
    <n v="0"/>
    <n v="0"/>
    <n v="0"/>
    <n v="1"/>
    <n v="0"/>
    <n v="0"/>
    <n v="0"/>
    <n v="0"/>
    <n v="0"/>
    <n v="0"/>
    <n v="0"/>
    <n v="0"/>
    <s v="SP 210924"/>
    <m/>
    <n v="0"/>
    <n v="0"/>
    <n v="0"/>
    <n v="0"/>
    <n v="0"/>
    <n v="0"/>
    <n v="3.3"/>
    <n v="2.8049999999999997"/>
    <n v="0"/>
    <n v="0"/>
    <n v="0"/>
    <n v="0"/>
    <n v="0"/>
    <n v="0"/>
    <n v="0"/>
    <n v="0"/>
    <n v="0"/>
    <n v="0"/>
    <n v="0"/>
    <n v="0"/>
    <n v="0"/>
    <n v="0"/>
    <n v="0"/>
    <n v="0"/>
  </r>
  <r>
    <x v="231"/>
    <x v="223"/>
    <m/>
    <x v="0"/>
    <s v="H19"/>
    <x v="1"/>
    <s v="H216-12"/>
    <s v="Umeå"/>
    <m/>
    <s v="MATT"/>
    <m/>
    <n v="1"/>
    <x v="13"/>
    <m/>
    <m/>
    <n v="7"/>
    <n v="1.2833333333333332"/>
    <n v="0.85"/>
    <n v="1.0908333333333331"/>
    <n v="5740"/>
    <x v="7"/>
    <s v="TekNat"/>
    <x v="0"/>
    <n v="26554"/>
    <n v="33465"/>
    <n v="70582.37083333332"/>
    <n v="6000"/>
    <n v="7699.9999999999991"/>
    <n v="78282.37083333332"/>
    <n v="0"/>
    <n v="0"/>
    <n v="0"/>
    <n v="1"/>
    <n v="0"/>
    <n v="0"/>
    <n v="0"/>
    <n v="0"/>
    <n v="0"/>
    <n v="0"/>
    <n v="0"/>
    <n v="0"/>
    <s v="SP 210924"/>
    <m/>
    <n v="0"/>
    <n v="0"/>
    <n v="0"/>
    <n v="0"/>
    <n v="0"/>
    <n v="0"/>
    <n v="1.2833333333333332"/>
    <n v="1.0908333333333331"/>
    <n v="0"/>
    <n v="0"/>
    <n v="0"/>
    <n v="0"/>
    <n v="0"/>
    <n v="0"/>
    <n v="0"/>
    <n v="0"/>
    <n v="0"/>
    <n v="0"/>
    <n v="0"/>
    <n v="0"/>
    <n v="0"/>
    <n v="0"/>
    <n v="0"/>
    <n v="0"/>
  </r>
  <r>
    <x v="231"/>
    <x v="223"/>
    <m/>
    <x v="0"/>
    <s v="H19"/>
    <x v="1"/>
    <s v="H216-12"/>
    <s v="Umeå"/>
    <m/>
    <s v="NATU"/>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19"/>
    <x v="1"/>
    <s v="H216-12"/>
    <s v="Umeå"/>
    <m/>
    <s v="RELK"/>
    <m/>
    <n v="1"/>
    <x v="13"/>
    <m/>
    <m/>
    <n v="2"/>
    <n v="0.36666666666666664"/>
    <n v="0.85"/>
    <n v="0.31166666666666665"/>
    <n v="5740"/>
    <x v="7"/>
    <s v="TekNat"/>
    <x v="0"/>
    <n v="26554"/>
    <n v="33465"/>
    <n v="20166.391666666663"/>
    <n v="6000"/>
    <n v="2200"/>
    <n v="22366.391666666663"/>
    <n v="0"/>
    <n v="0"/>
    <n v="0"/>
    <n v="1"/>
    <n v="0"/>
    <n v="0"/>
    <n v="0"/>
    <n v="0"/>
    <n v="0"/>
    <n v="0"/>
    <n v="0"/>
    <n v="0"/>
    <s v="SP 210924"/>
    <m/>
    <n v="0"/>
    <n v="0"/>
    <n v="0"/>
    <n v="0"/>
    <n v="0"/>
    <n v="0"/>
    <n v="0.36666666666666664"/>
    <n v="0.31166666666666665"/>
    <n v="0"/>
    <n v="0"/>
    <n v="0"/>
    <n v="0"/>
    <n v="0"/>
    <n v="0"/>
    <n v="0"/>
    <n v="0"/>
    <n v="0"/>
    <n v="0"/>
    <n v="0"/>
    <n v="0"/>
    <n v="0"/>
    <n v="0"/>
    <n v="0"/>
    <n v="0"/>
  </r>
  <r>
    <x v="231"/>
    <x v="223"/>
    <m/>
    <x v="0"/>
    <s v="H19"/>
    <x v="1"/>
    <s v="H216-12"/>
    <s v="Umeå"/>
    <m/>
    <s v="SAMK"/>
    <m/>
    <n v="1"/>
    <x v="13"/>
    <m/>
    <m/>
    <n v="12"/>
    <n v="2.1999999999999997"/>
    <n v="0.85"/>
    <n v="1.8699999999999997"/>
    <n v="5740"/>
    <x v="7"/>
    <s v="TekNat"/>
    <x v="0"/>
    <n v="26554"/>
    <n v="33465"/>
    <n v="120998.34999999998"/>
    <n v="6000"/>
    <n v="13199.999999999998"/>
    <n v="134198.34999999998"/>
    <n v="0"/>
    <n v="0"/>
    <n v="0"/>
    <n v="1"/>
    <n v="0"/>
    <n v="0"/>
    <n v="0"/>
    <n v="0"/>
    <n v="0"/>
    <n v="0"/>
    <n v="0"/>
    <n v="0"/>
    <s v="SP 210924"/>
    <m/>
    <n v="0"/>
    <n v="0"/>
    <n v="0"/>
    <n v="0"/>
    <n v="0"/>
    <n v="0"/>
    <n v="2.1999999999999997"/>
    <n v="1.8699999999999997"/>
    <n v="0"/>
    <n v="0"/>
    <n v="0"/>
    <n v="0"/>
    <n v="0"/>
    <n v="0"/>
    <n v="0"/>
    <n v="0"/>
    <n v="0"/>
    <n v="0"/>
    <n v="0"/>
    <n v="0"/>
    <n v="0"/>
    <n v="0"/>
    <n v="0"/>
    <n v="0"/>
  </r>
  <r>
    <x v="231"/>
    <x v="223"/>
    <m/>
    <x v="0"/>
    <s v="H19"/>
    <x v="1"/>
    <s v="H216-12"/>
    <s v="Umeå"/>
    <m/>
    <s v="SVAA"/>
    <m/>
    <n v="1"/>
    <x v="13"/>
    <m/>
    <m/>
    <n v="8"/>
    <n v="1.4666666666666666"/>
    <n v="0.85"/>
    <n v="1.2466666666666666"/>
    <n v="5740"/>
    <x v="7"/>
    <s v="TekNat"/>
    <x v="0"/>
    <n v="26554"/>
    <n v="33465"/>
    <n v="80665.566666666651"/>
    <n v="6000"/>
    <n v="8800"/>
    <n v="89465.566666666651"/>
    <n v="0"/>
    <n v="0"/>
    <n v="0"/>
    <n v="1"/>
    <n v="0"/>
    <n v="0"/>
    <n v="0"/>
    <n v="0"/>
    <n v="0"/>
    <n v="0"/>
    <n v="0"/>
    <n v="0"/>
    <s v="SP 210924"/>
    <m/>
    <n v="0"/>
    <n v="0"/>
    <n v="0"/>
    <n v="0"/>
    <n v="0"/>
    <n v="0"/>
    <n v="1.4666666666666666"/>
    <n v="1.2466666666666666"/>
    <n v="0"/>
    <n v="0"/>
    <n v="0"/>
    <n v="0"/>
    <n v="0"/>
    <n v="0"/>
    <n v="0"/>
    <n v="0"/>
    <n v="0"/>
    <n v="0"/>
    <n v="0"/>
    <n v="0"/>
    <n v="0"/>
    <n v="0"/>
    <n v="0"/>
    <n v="0"/>
  </r>
  <r>
    <x v="231"/>
    <x v="223"/>
    <m/>
    <x v="0"/>
    <s v="H19"/>
    <x v="1"/>
    <s v="H216-12"/>
    <s v="Umeå"/>
    <m/>
    <s v="SVAN"/>
    <m/>
    <n v="1"/>
    <x v="13"/>
    <m/>
    <m/>
    <n v="2"/>
    <n v="0.36666666666666664"/>
    <n v="0.85"/>
    <n v="0.31166666666666665"/>
    <n v="5740"/>
    <x v="7"/>
    <s v="TekNat"/>
    <x v="0"/>
    <n v="26554"/>
    <n v="33465"/>
    <n v="20166.391666666663"/>
    <n v="6000"/>
    <n v="2200"/>
    <n v="22366.391666666663"/>
    <n v="0"/>
    <n v="0"/>
    <n v="0"/>
    <n v="1"/>
    <n v="0"/>
    <n v="0"/>
    <n v="0"/>
    <n v="0"/>
    <n v="0"/>
    <n v="0"/>
    <n v="0"/>
    <n v="0"/>
    <s v="SP 210924"/>
    <m/>
    <n v="0"/>
    <n v="0"/>
    <n v="0"/>
    <n v="0"/>
    <n v="0"/>
    <n v="0"/>
    <n v="0.36666666666666664"/>
    <n v="0.31166666666666665"/>
    <n v="0"/>
    <n v="0"/>
    <n v="0"/>
    <n v="0"/>
    <n v="0"/>
    <n v="0"/>
    <n v="0"/>
    <n v="0"/>
    <n v="0"/>
    <n v="0"/>
    <n v="0"/>
    <n v="0"/>
    <n v="0"/>
    <n v="0"/>
    <n v="0"/>
    <n v="0"/>
  </r>
  <r>
    <x v="231"/>
    <x v="223"/>
    <m/>
    <x v="0"/>
    <s v="H19"/>
    <x v="1"/>
    <s v="H216-12"/>
    <s v="Umeå"/>
    <m/>
    <s v="TYSK"/>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H20"/>
    <x v="1"/>
    <s v="H216-12"/>
    <s v="Umeå"/>
    <m/>
    <s v="BILÄ"/>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V18"/>
    <x v="1"/>
    <s v="H216-12"/>
    <s v="Umeå"/>
    <m/>
    <s v="HIST"/>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1"/>
    <x v="223"/>
    <m/>
    <x v="0"/>
    <s v="V21"/>
    <x v="1"/>
    <s v="H216-12"/>
    <s v="Umeå"/>
    <m/>
    <s v="MATT"/>
    <m/>
    <n v="1"/>
    <x v="13"/>
    <m/>
    <m/>
    <n v="1"/>
    <n v="0.18333333333333332"/>
    <n v="0.85"/>
    <n v="0.15583333333333332"/>
    <n v="5740"/>
    <x v="7"/>
    <s v="TekNat"/>
    <x v="0"/>
    <n v="26554"/>
    <n v="33465"/>
    <n v="10083.195833333331"/>
    <n v="6000"/>
    <n v="1100"/>
    <n v="11183.195833333331"/>
    <n v="0"/>
    <n v="0"/>
    <n v="0"/>
    <n v="1"/>
    <n v="0"/>
    <n v="0"/>
    <n v="0"/>
    <n v="0"/>
    <n v="0"/>
    <n v="0"/>
    <n v="0"/>
    <n v="0"/>
    <s v="SP 210924"/>
    <m/>
    <n v="0"/>
    <n v="0"/>
    <n v="0"/>
    <n v="0"/>
    <n v="0"/>
    <n v="0"/>
    <n v="0.18333333333333332"/>
    <n v="0.15583333333333332"/>
    <n v="0"/>
    <n v="0"/>
    <n v="0"/>
    <n v="0"/>
    <n v="0"/>
    <n v="0"/>
    <n v="0"/>
    <n v="0"/>
    <n v="0"/>
    <n v="0"/>
    <n v="0"/>
    <n v="0"/>
    <n v="0"/>
    <n v="0"/>
    <n v="0"/>
    <n v="0"/>
  </r>
  <r>
    <x v="232"/>
    <x v="224"/>
    <m/>
    <x v="3"/>
    <m/>
    <x v="1"/>
    <m/>
    <m/>
    <s v="Distans"/>
    <m/>
    <m/>
    <n v="0.5"/>
    <x v="1"/>
    <m/>
    <m/>
    <n v="30"/>
    <n v="7.5"/>
    <n v="0.8"/>
    <n v="6"/>
    <n v="2193"/>
    <x v="13"/>
    <s v="Sam"/>
    <x v="3"/>
    <n v="20766"/>
    <n v="17442"/>
    <n v="260397"/>
    <n v="6000"/>
    <n v="45000"/>
    <n v="305397"/>
    <n v="0"/>
    <n v="0"/>
    <n v="0"/>
    <n v="0"/>
    <n v="0"/>
    <n v="0"/>
    <n v="1"/>
    <n v="0"/>
    <n v="0"/>
    <n v="0"/>
    <n v="0"/>
    <n v="0"/>
    <s v="Äskat/Beslutat 200611 p.39"/>
    <m/>
    <n v="0"/>
    <n v="0"/>
    <n v="0"/>
    <n v="0"/>
    <n v="0"/>
    <n v="0"/>
    <n v="0"/>
    <n v="0"/>
    <n v="0"/>
    <n v="0"/>
    <n v="0"/>
    <n v="0"/>
    <n v="7.5"/>
    <n v="6"/>
    <n v="0"/>
    <n v="0"/>
    <n v="0"/>
    <n v="0"/>
    <n v="0"/>
    <n v="0"/>
    <n v="0"/>
    <n v="0"/>
    <n v="0"/>
    <n v="0"/>
  </r>
  <r>
    <x v="233"/>
    <x v="224"/>
    <n v="68629"/>
    <x v="3"/>
    <m/>
    <x v="0"/>
    <m/>
    <s v="Umeå"/>
    <s v="Distans"/>
    <m/>
    <m/>
    <m/>
    <x v="1"/>
    <m/>
    <m/>
    <n v="6"/>
    <n v="1.5"/>
    <n v="0.8"/>
    <n v="1.2000000000000002"/>
    <n v="2193"/>
    <x v="13"/>
    <s v="Sam"/>
    <x v="3"/>
    <n v="20766"/>
    <n v="17442"/>
    <n v="52079.4"/>
    <n v="6000"/>
    <n v="9000"/>
    <n v="61079.4"/>
    <n v="0"/>
    <n v="0"/>
    <n v="0"/>
    <n v="0"/>
    <n v="0"/>
    <n v="0"/>
    <n v="1"/>
    <n v="0"/>
    <n v="0"/>
    <n v="0"/>
    <n v="0"/>
    <n v="0"/>
    <s v="Enl Fokus-Ladok 210601"/>
    <s v="Läser 15 av 30 hp denna termin"/>
    <n v="0"/>
    <n v="0"/>
    <n v="0"/>
    <n v="0"/>
    <n v="0"/>
    <n v="0"/>
    <n v="0"/>
    <n v="0"/>
    <n v="0"/>
    <n v="0"/>
    <n v="0"/>
    <n v="0"/>
    <n v="1.5"/>
    <n v="1.2000000000000002"/>
    <n v="0"/>
    <n v="0"/>
    <n v="0"/>
    <n v="0"/>
    <n v="0"/>
    <n v="0"/>
    <n v="0"/>
    <n v="0"/>
    <n v="0"/>
    <n v="0"/>
  </r>
  <r>
    <x v="233"/>
    <x v="224"/>
    <m/>
    <x v="3"/>
    <m/>
    <x v="1"/>
    <m/>
    <m/>
    <s v="Distans"/>
    <m/>
    <m/>
    <n v="1"/>
    <x v="3"/>
    <m/>
    <m/>
    <n v="30"/>
    <n v="15"/>
    <n v="0.8"/>
    <n v="12"/>
    <n v="2193"/>
    <x v="13"/>
    <s v="Sam"/>
    <x v="3"/>
    <n v="20766"/>
    <n v="17442"/>
    <n v="520794"/>
    <n v="6000"/>
    <n v="90000"/>
    <n v="610794"/>
    <n v="0"/>
    <n v="0"/>
    <n v="0"/>
    <n v="0"/>
    <n v="0"/>
    <n v="0"/>
    <n v="1"/>
    <n v="0"/>
    <n v="0"/>
    <n v="0"/>
    <n v="0"/>
    <n v="0"/>
    <s v="Äskat/Beslutat 200611 p.39"/>
    <m/>
    <n v="0"/>
    <n v="0"/>
    <n v="0"/>
    <n v="0"/>
    <n v="0"/>
    <n v="0"/>
    <n v="0"/>
    <n v="0"/>
    <n v="0"/>
    <n v="0"/>
    <n v="0"/>
    <n v="0"/>
    <n v="15"/>
    <n v="12"/>
    <n v="0"/>
    <n v="0"/>
    <n v="0"/>
    <n v="0"/>
    <n v="0"/>
    <n v="0"/>
    <n v="0"/>
    <n v="0"/>
    <n v="0"/>
    <n v="0"/>
  </r>
  <r>
    <x v="234"/>
    <x v="225"/>
    <m/>
    <x v="3"/>
    <m/>
    <x v="1"/>
    <m/>
    <m/>
    <s v="Distans"/>
    <m/>
    <m/>
    <n v="0.5"/>
    <x v="1"/>
    <m/>
    <m/>
    <n v="40"/>
    <n v="10"/>
    <n v="0.8"/>
    <n v="8"/>
    <n v="2193"/>
    <x v="13"/>
    <s v="Sam"/>
    <x v="3"/>
    <n v="20766"/>
    <n v="17442"/>
    <n v="347196"/>
    <n v="6000"/>
    <n v="60000"/>
    <n v="407196"/>
    <n v="0"/>
    <n v="0"/>
    <n v="0"/>
    <n v="0"/>
    <n v="0"/>
    <n v="0"/>
    <n v="1"/>
    <n v="0"/>
    <n v="0"/>
    <n v="0"/>
    <n v="0"/>
    <n v="0"/>
    <s v="Äskat/Beslutat 200611 p.39"/>
    <m/>
    <n v="0"/>
    <n v="0"/>
    <n v="0"/>
    <n v="0"/>
    <n v="0"/>
    <n v="0"/>
    <n v="0"/>
    <n v="0"/>
    <n v="0"/>
    <n v="0"/>
    <n v="0"/>
    <n v="0"/>
    <n v="10"/>
    <n v="8"/>
    <n v="0"/>
    <n v="0"/>
    <n v="0"/>
    <n v="0"/>
    <n v="0"/>
    <n v="0"/>
    <n v="0"/>
    <n v="0"/>
    <n v="0"/>
    <n v="0"/>
  </r>
  <r>
    <x v="235"/>
    <x v="226"/>
    <m/>
    <x v="3"/>
    <m/>
    <x v="1"/>
    <m/>
    <m/>
    <s v="Distans"/>
    <m/>
    <m/>
    <n v="0.5"/>
    <x v="1"/>
    <m/>
    <m/>
    <n v="20"/>
    <n v="5"/>
    <n v="0.8"/>
    <n v="4"/>
    <n v="2193"/>
    <x v="13"/>
    <s v="Sam"/>
    <x v="3"/>
    <n v="20766"/>
    <n v="17442"/>
    <n v="173598"/>
    <n v="6000"/>
    <n v="30000"/>
    <n v="203598"/>
    <n v="0"/>
    <n v="0"/>
    <n v="0"/>
    <n v="0"/>
    <n v="0"/>
    <n v="0"/>
    <n v="1"/>
    <n v="0"/>
    <n v="0"/>
    <n v="0"/>
    <n v="0"/>
    <n v="0"/>
    <s v="Äskat/Beslutat 200611 p.39"/>
    <m/>
    <n v="0"/>
    <n v="0"/>
    <n v="0"/>
    <n v="0"/>
    <n v="0"/>
    <n v="0"/>
    <n v="0"/>
    <n v="0"/>
    <n v="0"/>
    <n v="0"/>
    <n v="0"/>
    <n v="0"/>
    <n v="5"/>
    <n v="4"/>
    <n v="0"/>
    <n v="0"/>
    <n v="0"/>
    <n v="0"/>
    <n v="0"/>
    <n v="0"/>
    <n v="0"/>
    <n v="0"/>
    <n v="0"/>
    <n v="0"/>
  </r>
  <r>
    <x v="236"/>
    <x v="227"/>
    <n v="68700"/>
    <x v="3"/>
    <m/>
    <x v="0"/>
    <m/>
    <s v="Ortsoberoende"/>
    <s v="Distans"/>
    <m/>
    <m/>
    <m/>
    <x v="0"/>
    <m/>
    <m/>
    <n v="23"/>
    <n v="2.875"/>
    <n v="0.8"/>
    <n v="2.3000000000000003"/>
    <n v="2193"/>
    <x v="13"/>
    <s v="Sam"/>
    <x v="3"/>
    <n v="20766"/>
    <n v="17442"/>
    <n v="99818.85"/>
    <n v="6000"/>
    <n v="17250"/>
    <n v="117068.85"/>
    <n v="0"/>
    <n v="0"/>
    <n v="0"/>
    <n v="0"/>
    <n v="0"/>
    <n v="0"/>
    <n v="1"/>
    <n v="0"/>
    <n v="0"/>
    <n v="0"/>
    <n v="0"/>
    <n v="0"/>
    <s v="Enl Fokus-Ladok 210601"/>
    <m/>
    <n v="0"/>
    <n v="0"/>
    <n v="0"/>
    <n v="0"/>
    <n v="0"/>
    <n v="0"/>
    <n v="0"/>
    <n v="0"/>
    <n v="0"/>
    <n v="0"/>
    <n v="0"/>
    <n v="0"/>
    <n v="2.875"/>
    <n v="2.3000000000000003"/>
    <n v="0"/>
    <n v="0"/>
    <n v="0"/>
    <n v="0"/>
    <n v="0"/>
    <n v="0"/>
    <n v="0"/>
    <n v="0"/>
    <n v="0"/>
    <n v="0"/>
  </r>
  <r>
    <x v="237"/>
    <x v="228"/>
    <n v="68704"/>
    <x v="3"/>
    <m/>
    <x v="0"/>
    <m/>
    <s v="Ortsoberoende"/>
    <s v="Distans"/>
    <m/>
    <m/>
    <m/>
    <x v="0"/>
    <m/>
    <m/>
    <n v="16"/>
    <n v="2"/>
    <n v="0.8"/>
    <n v="1.6"/>
    <n v="2193"/>
    <x v="13"/>
    <s v="Sam"/>
    <x v="3"/>
    <n v="20766"/>
    <n v="17442"/>
    <n v="69439.199999999997"/>
    <n v="6000"/>
    <n v="12000"/>
    <n v="81439.199999999997"/>
    <n v="0"/>
    <n v="0"/>
    <n v="0"/>
    <n v="0"/>
    <n v="0"/>
    <n v="0"/>
    <n v="1"/>
    <n v="0"/>
    <n v="0"/>
    <n v="0"/>
    <n v="0"/>
    <n v="0"/>
    <s v="Enl Fokus-Ladok 210601"/>
    <m/>
    <n v="0"/>
    <n v="0"/>
    <n v="0"/>
    <n v="0"/>
    <n v="0"/>
    <n v="0"/>
    <n v="0"/>
    <n v="0"/>
    <n v="0"/>
    <n v="0"/>
    <n v="0"/>
    <n v="0"/>
    <n v="2"/>
    <n v="1.6"/>
    <n v="0"/>
    <n v="0"/>
    <n v="0"/>
    <n v="0"/>
    <n v="0"/>
    <n v="0"/>
    <n v="0"/>
    <n v="0"/>
    <n v="0"/>
    <n v="0"/>
  </r>
  <r>
    <x v="238"/>
    <x v="44"/>
    <m/>
    <x v="12"/>
    <s v="H19"/>
    <x v="1"/>
    <s v="H2111-12"/>
    <s v="Umeå"/>
    <s v="Campus"/>
    <m/>
    <m/>
    <n v="1"/>
    <x v="5"/>
    <m/>
    <m/>
    <n v="10"/>
    <n v="0.41666666666666663"/>
    <n v="0.85"/>
    <n v="0.35416666666666663"/>
    <n v="2180"/>
    <x v="12"/>
    <s v="Sam"/>
    <x v="12"/>
    <n v="25235"/>
    <n v="27976"/>
    <n v="20422.75"/>
    <n v="3600"/>
    <n v="1499.9999999999998"/>
    <n v="21922.75"/>
    <n v="0"/>
    <n v="0"/>
    <n v="0"/>
    <n v="0"/>
    <n v="0"/>
    <n v="0"/>
    <n v="0"/>
    <n v="0"/>
    <n v="1"/>
    <n v="0"/>
    <n v="0"/>
    <n v="0"/>
    <s v="SP210923"/>
    <m/>
    <n v="0"/>
    <n v="0"/>
    <n v="0"/>
    <n v="0"/>
    <n v="0"/>
    <n v="0"/>
    <n v="0"/>
    <n v="0"/>
    <n v="0"/>
    <n v="0"/>
    <n v="0"/>
    <n v="0"/>
    <n v="0"/>
    <n v="0"/>
    <n v="0"/>
    <n v="0"/>
    <n v="0.41666666666666663"/>
    <n v="0.35416666666666663"/>
    <n v="0"/>
    <n v="0"/>
    <n v="0"/>
    <n v="0"/>
    <n v="0"/>
    <n v="0"/>
  </r>
  <r>
    <x v="239"/>
    <x v="229"/>
    <m/>
    <x v="12"/>
    <s v="H18"/>
    <x v="1"/>
    <s v="H2116-20"/>
    <s v="Umeå"/>
    <s v="Campus"/>
    <m/>
    <m/>
    <n v="1"/>
    <x v="0"/>
    <m/>
    <m/>
    <n v="2"/>
    <n v="0.25"/>
    <n v="0.85"/>
    <n v="0.21249999999999999"/>
    <n v="2193"/>
    <x v="13"/>
    <s v="Sam"/>
    <x v="12"/>
    <n v="20766"/>
    <n v="17442"/>
    <n v="8897.9249999999993"/>
    <n v="6000"/>
    <n v="1500"/>
    <n v="10397.924999999999"/>
    <n v="0"/>
    <n v="0"/>
    <n v="0"/>
    <n v="0"/>
    <n v="0"/>
    <n v="0"/>
    <n v="1"/>
    <n v="0"/>
    <n v="0"/>
    <n v="0"/>
    <n v="0"/>
    <n v="0"/>
    <s v="SP210923"/>
    <m/>
    <n v="0"/>
    <n v="0"/>
    <n v="0"/>
    <n v="0"/>
    <n v="0"/>
    <n v="0"/>
    <n v="0"/>
    <n v="0"/>
    <n v="0"/>
    <n v="0"/>
    <n v="0"/>
    <n v="0"/>
    <n v="0.25"/>
    <n v="0.21249999999999999"/>
    <n v="0"/>
    <n v="0"/>
    <n v="0"/>
    <n v="0"/>
    <n v="0"/>
    <n v="0"/>
    <n v="0"/>
    <n v="0"/>
    <n v="0"/>
    <n v="0"/>
  </r>
  <r>
    <x v="239"/>
    <x v="229"/>
    <m/>
    <x v="12"/>
    <s v="H19"/>
    <x v="1"/>
    <s v="H2116-20"/>
    <s v="Umeå"/>
    <s v="Campus"/>
    <m/>
    <m/>
    <n v="1"/>
    <x v="0"/>
    <m/>
    <m/>
    <n v="15"/>
    <n v="1.875"/>
    <n v="0.85"/>
    <n v="1.59375"/>
    <n v="2193"/>
    <x v="13"/>
    <s v="Sam"/>
    <x v="12"/>
    <n v="20766"/>
    <n v="17442"/>
    <n v="66734.4375"/>
    <n v="6000"/>
    <n v="11250"/>
    <n v="77984.4375"/>
    <n v="0"/>
    <n v="0"/>
    <n v="0"/>
    <n v="0"/>
    <n v="0"/>
    <n v="0"/>
    <n v="1"/>
    <n v="0"/>
    <n v="0"/>
    <n v="0"/>
    <n v="0"/>
    <n v="0"/>
    <s v="SP210923"/>
    <m/>
    <n v="0"/>
    <n v="0"/>
    <n v="0"/>
    <n v="0"/>
    <n v="0"/>
    <n v="0"/>
    <n v="0"/>
    <n v="0"/>
    <n v="0"/>
    <n v="0"/>
    <n v="0"/>
    <n v="0"/>
    <n v="1.875"/>
    <n v="1.59375"/>
    <n v="0"/>
    <n v="0"/>
    <n v="0"/>
    <n v="0"/>
    <n v="0"/>
    <n v="0"/>
    <n v="0"/>
    <n v="0"/>
    <n v="0"/>
    <n v="0"/>
  </r>
  <r>
    <x v="240"/>
    <x v="230"/>
    <n v="68708"/>
    <x v="11"/>
    <m/>
    <x v="0"/>
    <m/>
    <s v="Umeå"/>
    <s v="Normal"/>
    <m/>
    <m/>
    <m/>
    <x v="7"/>
    <m/>
    <m/>
    <n v="35"/>
    <n v="5.8330000000000002"/>
    <n v="0.85"/>
    <n v="4.9580500000000001"/>
    <n v="2193"/>
    <x v="13"/>
    <s v="Sam"/>
    <x v="11"/>
    <n v="25235"/>
    <n v="27976"/>
    <n v="285902.1618"/>
    <n v="3600"/>
    <n v="20998.799999999999"/>
    <n v="306900.96179999999"/>
    <n v="0"/>
    <n v="0"/>
    <n v="0"/>
    <n v="0"/>
    <n v="0"/>
    <n v="0"/>
    <n v="0"/>
    <n v="0"/>
    <n v="1"/>
    <n v="0"/>
    <n v="0"/>
    <n v="0"/>
    <s v="Enl Fokus-Ladok 210601"/>
    <m/>
    <n v="0"/>
    <n v="0"/>
    <n v="0"/>
    <n v="0"/>
    <n v="0"/>
    <n v="0"/>
    <n v="0"/>
    <n v="0"/>
    <n v="0"/>
    <n v="0"/>
    <n v="0"/>
    <n v="0"/>
    <n v="0"/>
    <n v="0"/>
    <n v="0"/>
    <n v="0"/>
    <n v="5.8330000000000002"/>
    <n v="4.9580500000000001"/>
    <n v="0"/>
    <n v="0"/>
    <n v="0"/>
    <n v="0"/>
    <n v="0"/>
    <n v="0"/>
  </r>
  <r>
    <x v="241"/>
    <x v="231"/>
    <m/>
    <x v="11"/>
    <s v="H16"/>
    <x v="1"/>
    <s v="H211-7"/>
    <s v="Umeå"/>
    <s v="Campus"/>
    <m/>
    <m/>
    <n v="1"/>
    <x v="7"/>
    <m/>
    <m/>
    <n v="1"/>
    <n v="0.16666666666666666"/>
    <n v="0.85"/>
    <n v="0.14166666666666666"/>
    <n v="2193"/>
    <x v="13"/>
    <s v="Sam"/>
    <x v="11"/>
    <n v="20766"/>
    <n v="17442"/>
    <n v="5931.95"/>
    <n v="6000"/>
    <n v="1000"/>
    <n v="6931.95"/>
    <n v="0"/>
    <n v="0"/>
    <n v="0"/>
    <n v="0"/>
    <n v="0"/>
    <n v="0"/>
    <n v="1"/>
    <n v="0"/>
    <n v="0"/>
    <n v="0"/>
    <n v="0"/>
    <n v="0"/>
    <s v="SP 210924"/>
    <m/>
    <n v="0"/>
    <n v="0"/>
    <n v="0"/>
    <n v="0"/>
    <n v="0"/>
    <n v="0"/>
    <n v="0"/>
    <n v="0"/>
    <n v="0"/>
    <n v="0"/>
    <n v="0"/>
    <n v="0"/>
    <n v="0.16666666666666666"/>
    <n v="0.14166666666666666"/>
    <n v="0"/>
    <n v="0"/>
    <n v="0"/>
    <n v="0"/>
    <n v="0"/>
    <n v="0"/>
    <n v="0"/>
    <n v="0"/>
    <n v="0"/>
    <n v="0"/>
  </r>
  <r>
    <x v="241"/>
    <x v="231"/>
    <m/>
    <x v="11"/>
    <s v="H19"/>
    <x v="1"/>
    <s v="H211-7"/>
    <s v="Umeå"/>
    <s v="Campus"/>
    <m/>
    <m/>
    <n v="1"/>
    <x v="7"/>
    <m/>
    <m/>
    <n v="1"/>
    <n v="0.16666666666666666"/>
    <n v="0.85"/>
    <n v="0.14166666666666666"/>
    <n v="2193"/>
    <x v="13"/>
    <s v="Sam"/>
    <x v="11"/>
    <n v="20766"/>
    <n v="17442"/>
    <n v="5931.95"/>
    <n v="6000"/>
    <n v="1000"/>
    <n v="6931.95"/>
    <n v="0"/>
    <n v="0"/>
    <n v="0"/>
    <n v="0"/>
    <n v="0"/>
    <n v="0"/>
    <n v="1"/>
    <n v="0"/>
    <n v="0"/>
    <n v="0"/>
    <n v="0"/>
    <n v="0"/>
    <s v="SP 210924"/>
    <m/>
    <n v="0"/>
    <n v="0"/>
    <n v="0"/>
    <n v="0"/>
    <n v="0"/>
    <n v="0"/>
    <n v="0"/>
    <n v="0"/>
    <n v="0"/>
    <n v="0"/>
    <n v="0"/>
    <n v="0"/>
    <n v="0.16666666666666666"/>
    <n v="0.14166666666666666"/>
    <n v="0"/>
    <n v="0"/>
    <n v="0"/>
    <n v="0"/>
    <n v="0"/>
    <n v="0"/>
    <n v="0"/>
    <n v="0"/>
    <n v="0"/>
    <n v="0"/>
  </r>
  <r>
    <x v="241"/>
    <x v="231"/>
    <m/>
    <x v="11"/>
    <s v="V19"/>
    <x v="1"/>
    <s v="H211-7"/>
    <s v="Umeå"/>
    <s v="Campus"/>
    <m/>
    <m/>
    <n v="1"/>
    <x v="7"/>
    <m/>
    <m/>
    <n v="1"/>
    <n v="0.16666666666666666"/>
    <n v="0.85"/>
    <n v="0.14166666666666666"/>
    <n v="2193"/>
    <x v="13"/>
    <s v="Sam"/>
    <x v="11"/>
    <n v="20766"/>
    <n v="17442"/>
    <n v="5931.95"/>
    <n v="6000"/>
    <n v="1000"/>
    <n v="6931.95"/>
    <n v="0"/>
    <n v="0"/>
    <n v="0"/>
    <n v="0"/>
    <n v="0"/>
    <n v="0"/>
    <n v="1"/>
    <n v="0"/>
    <n v="0"/>
    <n v="0"/>
    <n v="0"/>
    <n v="0"/>
    <s v="SP 210924"/>
    <m/>
    <n v="0"/>
    <n v="0"/>
    <n v="0"/>
    <n v="0"/>
    <n v="0"/>
    <n v="0"/>
    <n v="0"/>
    <n v="0"/>
    <n v="0"/>
    <n v="0"/>
    <n v="0"/>
    <n v="0"/>
    <n v="0.16666666666666666"/>
    <n v="0.14166666666666666"/>
    <n v="0"/>
    <n v="0"/>
    <n v="0"/>
    <n v="0"/>
    <n v="0"/>
    <n v="0"/>
    <n v="0"/>
    <n v="0"/>
    <n v="0"/>
    <n v="0"/>
  </r>
  <r>
    <x v="241"/>
    <x v="231"/>
    <m/>
    <x v="11"/>
    <s v="V20"/>
    <x v="1"/>
    <s v="H211-7"/>
    <s v="Umeå"/>
    <s v="Campus"/>
    <m/>
    <m/>
    <n v="1"/>
    <x v="7"/>
    <m/>
    <m/>
    <n v="21"/>
    <n v="3.5"/>
    <n v="0.85"/>
    <n v="2.9750000000000001"/>
    <n v="2193"/>
    <x v="13"/>
    <s v="Sam"/>
    <x v="11"/>
    <n v="20766"/>
    <n v="17442"/>
    <n v="124570.95000000001"/>
    <n v="6000"/>
    <n v="21000"/>
    <n v="145570.95000000001"/>
    <n v="0"/>
    <n v="0"/>
    <n v="0"/>
    <n v="0"/>
    <n v="0"/>
    <n v="0"/>
    <n v="1"/>
    <n v="0"/>
    <n v="0"/>
    <n v="0"/>
    <n v="0"/>
    <n v="0"/>
    <s v="SP 210924"/>
    <m/>
    <n v="0"/>
    <n v="0"/>
    <n v="0"/>
    <n v="0"/>
    <n v="0"/>
    <n v="0"/>
    <n v="0"/>
    <n v="0"/>
    <n v="0"/>
    <n v="0"/>
    <n v="0"/>
    <n v="0"/>
    <n v="3.5"/>
    <n v="2.9750000000000001"/>
    <n v="0"/>
    <n v="0"/>
    <n v="0"/>
    <n v="0"/>
    <n v="0"/>
    <n v="0"/>
    <n v="0"/>
    <n v="0"/>
    <n v="0"/>
    <n v="0"/>
  </r>
  <r>
    <x v="241"/>
    <x v="231"/>
    <n v="68710"/>
    <x v="11"/>
    <m/>
    <x v="0"/>
    <m/>
    <s v="Umeå"/>
    <s v="Normal"/>
    <m/>
    <m/>
    <m/>
    <x v="7"/>
    <m/>
    <m/>
    <n v="37"/>
    <n v="6.1669999999999998"/>
    <n v="0.85"/>
    <n v="5.2419500000000001"/>
    <n v="2193"/>
    <x v="13"/>
    <s v="Sam"/>
    <x v="11"/>
    <n v="20766"/>
    <n v="17442"/>
    <n v="219494.01389999999"/>
    <n v="6000"/>
    <n v="37002"/>
    <n v="256496.01389999999"/>
    <n v="0"/>
    <n v="0"/>
    <n v="0"/>
    <n v="0"/>
    <n v="0"/>
    <n v="0"/>
    <n v="1"/>
    <n v="0"/>
    <n v="0"/>
    <n v="0"/>
    <n v="0"/>
    <n v="0"/>
    <s v="Enl Fokus-Ladok 210601"/>
    <m/>
    <n v="0"/>
    <n v="0"/>
    <n v="0"/>
    <n v="0"/>
    <n v="0"/>
    <n v="0"/>
    <n v="0"/>
    <n v="0"/>
    <n v="0"/>
    <n v="0"/>
    <n v="0"/>
    <n v="0"/>
    <n v="6.1669999999999998"/>
    <n v="5.2419500000000001"/>
    <n v="0"/>
    <n v="0"/>
    <n v="0"/>
    <n v="0"/>
    <n v="0"/>
    <n v="0"/>
    <n v="0"/>
    <n v="0"/>
    <n v="0"/>
    <n v="0"/>
  </r>
  <r>
    <x v="242"/>
    <x v="232"/>
    <n v="68716"/>
    <x v="11"/>
    <m/>
    <x v="0"/>
    <m/>
    <s v="Umeå"/>
    <s v="Normal"/>
    <m/>
    <m/>
    <m/>
    <x v="13"/>
    <m/>
    <m/>
    <n v="11"/>
    <n v="2.0169999999999999"/>
    <n v="0.85"/>
    <n v="1.7144499999999998"/>
    <n v="2193"/>
    <x v="13"/>
    <s v="Sam"/>
    <x v="11"/>
    <n v="25235"/>
    <n v="27976"/>
    <n v="98862.448199999984"/>
    <n v="3600"/>
    <n v="7261.2"/>
    <n v="106123.64819999998"/>
    <n v="0"/>
    <n v="0"/>
    <n v="0"/>
    <n v="0"/>
    <n v="0"/>
    <n v="0"/>
    <n v="0"/>
    <n v="0"/>
    <n v="1"/>
    <n v="0"/>
    <n v="0"/>
    <n v="0"/>
    <s v="Enl Fokus-Ladok 210601"/>
    <m/>
    <n v="0"/>
    <n v="0"/>
    <n v="0"/>
    <n v="0"/>
    <n v="0"/>
    <n v="0"/>
    <n v="0"/>
    <n v="0"/>
    <n v="0"/>
    <n v="0"/>
    <n v="0"/>
    <n v="0"/>
    <n v="0"/>
    <n v="0"/>
    <n v="0"/>
    <n v="0"/>
    <n v="2.0169999999999999"/>
    <n v="1.7144499999999998"/>
    <n v="0"/>
    <n v="0"/>
    <n v="0"/>
    <n v="0"/>
    <n v="0"/>
    <n v="0"/>
  </r>
  <r>
    <x v="243"/>
    <x v="233"/>
    <m/>
    <x v="7"/>
    <s v="H19"/>
    <x v="1"/>
    <s v="H211-20"/>
    <s v="Umeå"/>
    <s v="Campus"/>
    <m/>
    <m/>
    <n v="0.5"/>
    <x v="1"/>
    <m/>
    <m/>
    <n v="2"/>
    <n v="0.5"/>
    <n v="0.85"/>
    <n v="0.42499999999999999"/>
    <n v="5740"/>
    <x v="7"/>
    <s v="TekNat"/>
    <x v="7"/>
    <n v="26554"/>
    <n v="33465"/>
    <n v="27499.625"/>
    <n v="6000"/>
    <n v="3000"/>
    <n v="30499.625"/>
    <n v="0"/>
    <n v="0"/>
    <n v="0"/>
    <n v="1"/>
    <n v="0"/>
    <n v="0"/>
    <n v="0"/>
    <n v="0"/>
    <n v="0"/>
    <n v="0"/>
    <n v="0"/>
    <n v="0"/>
    <s v="SP 210920"/>
    <m/>
    <n v="0"/>
    <n v="0"/>
    <n v="0"/>
    <n v="0"/>
    <n v="0"/>
    <n v="0"/>
    <n v="0.5"/>
    <n v="0.42499999999999999"/>
    <n v="0"/>
    <n v="0"/>
    <n v="0"/>
    <n v="0"/>
    <n v="0"/>
    <n v="0"/>
    <n v="0"/>
    <n v="0"/>
    <n v="0"/>
    <n v="0"/>
    <n v="0"/>
    <n v="0"/>
    <n v="0"/>
    <n v="0"/>
    <n v="0"/>
    <n v="0"/>
  </r>
  <r>
    <x v="244"/>
    <x v="234"/>
    <m/>
    <x v="4"/>
    <s v="H16"/>
    <x v="1"/>
    <s v="H211-15"/>
    <s v="Umeå"/>
    <s v="Campus"/>
    <m/>
    <m/>
    <n v="1"/>
    <x v="2"/>
    <m/>
    <m/>
    <n v="1"/>
    <n v="0.375"/>
    <n v="0.85"/>
    <n v="0.31874999999999998"/>
    <n v="5740"/>
    <x v="7"/>
    <s v="TekNat"/>
    <x v="4"/>
    <n v="25235"/>
    <n v="27976"/>
    <n v="18380.474999999999"/>
    <n v="3600"/>
    <n v="1350"/>
    <n v="19730.474999999999"/>
    <n v="0"/>
    <n v="0"/>
    <n v="0"/>
    <n v="0"/>
    <n v="0"/>
    <n v="0"/>
    <n v="0"/>
    <n v="0"/>
    <n v="1"/>
    <n v="0"/>
    <n v="0"/>
    <n v="0"/>
    <s v="SP 210923"/>
    <m/>
    <n v="0"/>
    <n v="0"/>
    <n v="0"/>
    <n v="0"/>
    <n v="0"/>
    <n v="0"/>
    <n v="0"/>
    <n v="0"/>
    <n v="0"/>
    <n v="0"/>
    <n v="0"/>
    <n v="0"/>
    <n v="0"/>
    <n v="0"/>
    <n v="0"/>
    <n v="0"/>
    <n v="0.375"/>
    <n v="0.31874999999999998"/>
    <n v="0"/>
    <n v="0"/>
    <n v="0"/>
    <n v="0"/>
    <n v="0"/>
    <n v="0"/>
  </r>
  <r>
    <x v="244"/>
    <x v="234"/>
    <m/>
    <x v="4"/>
    <s v="H17"/>
    <x v="1"/>
    <s v="H211-15"/>
    <s v="Umeå"/>
    <s v="Campus"/>
    <m/>
    <m/>
    <n v="1"/>
    <x v="2"/>
    <m/>
    <m/>
    <n v="3"/>
    <n v="1.125"/>
    <n v="0.85"/>
    <n v="0.95624999999999993"/>
    <n v="5740"/>
    <x v="7"/>
    <s v="TekNat"/>
    <x v="4"/>
    <n v="25235"/>
    <n v="27976"/>
    <n v="55141.425000000003"/>
    <n v="3600"/>
    <n v="4050"/>
    <n v="59191.425000000003"/>
    <n v="0"/>
    <n v="0"/>
    <n v="0"/>
    <n v="0"/>
    <n v="0"/>
    <n v="0"/>
    <n v="0"/>
    <n v="0"/>
    <n v="1"/>
    <n v="0"/>
    <n v="0"/>
    <n v="0"/>
    <s v="SP 210923"/>
    <m/>
    <n v="0"/>
    <n v="0"/>
    <n v="0"/>
    <n v="0"/>
    <n v="0"/>
    <n v="0"/>
    <n v="0"/>
    <n v="0"/>
    <n v="0"/>
    <n v="0"/>
    <n v="0"/>
    <n v="0"/>
    <n v="0"/>
    <n v="0"/>
    <n v="0"/>
    <n v="0"/>
    <n v="1.125"/>
    <n v="0.95624999999999993"/>
    <n v="0"/>
    <n v="0"/>
    <n v="0"/>
    <n v="0"/>
    <n v="0"/>
    <n v="0"/>
  </r>
  <r>
    <x v="244"/>
    <x v="234"/>
    <m/>
    <x v="4"/>
    <s v="H18"/>
    <x v="1"/>
    <s v="H211-15"/>
    <s v="Umeå"/>
    <s v="Campus"/>
    <m/>
    <m/>
    <n v="1"/>
    <x v="2"/>
    <m/>
    <m/>
    <n v="38"/>
    <n v="14.25"/>
    <n v="0.85"/>
    <n v="12.112499999999999"/>
    <n v="5740"/>
    <x v="7"/>
    <s v="TekNat"/>
    <x v="4"/>
    <n v="25235"/>
    <n v="27976"/>
    <n v="698458.05"/>
    <n v="3600"/>
    <n v="51300"/>
    <n v="749758.05"/>
    <n v="0"/>
    <n v="0"/>
    <n v="0"/>
    <n v="0"/>
    <n v="0"/>
    <n v="0"/>
    <n v="0"/>
    <n v="0"/>
    <n v="1"/>
    <n v="0"/>
    <n v="0"/>
    <n v="0"/>
    <s v="SP 210923"/>
    <m/>
    <n v="0"/>
    <n v="0"/>
    <n v="0"/>
    <n v="0"/>
    <n v="0"/>
    <n v="0"/>
    <n v="0"/>
    <n v="0"/>
    <n v="0"/>
    <n v="0"/>
    <n v="0"/>
    <n v="0"/>
    <n v="0"/>
    <n v="0"/>
    <n v="0"/>
    <n v="0"/>
    <n v="14.25"/>
    <n v="12.112499999999999"/>
    <n v="0"/>
    <n v="0"/>
    <n v="0"/>
    <n v="0"/>
    <n v="0"/>
    <n v="0"/>
  </r>
  <r>
    <x v="245"/>
    <x v="235"/>
    <m/>
    <x v="5"/>
    <s v="H18"/>
    <x v="1"/>
    <s v="H211-15"/>
    <s v="Umeå"/>
    <s v="Campus"/>
    <m/>
    <m/>
    <n v="1"/>
    <x v="2"/>
    <m/>
    <m/>
    <n v="18"/>
    <n v="6.75"/>
    <n v="0.85"/>
    <n v="5.7374999999999998"/>
    <n v="5740"/>
    <x v="7"/>
    <s v="TekNat"/>
    <x v="5"/>
    <n v="25235"/>
    <n v="27976"/>
    <n v="330848.55"/>
    <n v="3600"/>
    <n v="24300"/>
    <n v="355148.55"/>
    <n v="0"/>
    <n v="0"/>
    <n v="0"/>
    <n v="0"/>
    <n v="0"/>
    <n v="0"/>
    <n v="0"/>
    <n v="0"/>
    <n v="1"/>
    <n v="0"/>
    <n v="0"/>
    <n v="0"/>
    <s v="SP 210923"/>
    <m/>
    <n v="0"/>
    <n v="0"/>
    <n v="0"/>
    <n v="0"/>
    <n v="0"/>
    <n v="0"/>
    <n v="0"/>
    <n v="0"/>
    <n v="0"/>
    <n v="0"/>
    <n v="0"/>
    <n v="0"/>
    <n v="0"/>
    <n v="0"/>
    <n v="0"/>
    <n v="0"/>
    <n v="6.75"/>
    <n v="5.7374999999999998"/>
    <n v="0"/>
    <n v="0"/>
    <n v="0"/>
    <n v="0"/>
    <n v="0"/>
    <n v="0"/>
  </r>
  <r>
    <x v="245"/>
    <x v="235"/>
    <m/>
    <x v="5"/>
    <s v="H19"/>
    <x v="1"/>
    <s v="H211-15"/>
    <s v="Umeå"/>
    <s v="Campus"/>
    <m/>
    <m/>
    <n v="1"/>
    <x v="2"/>
    <m/>
    <m/>
    <n v="1"/>
    <n v="0.375"/>
    <n v="0.85"/>
    <n v="0.31874999999999998"/>
    <n v="5740"/>
    <x v="7"/>
    <s v="TekNat"/>
    <x v="5"/>
    <n v="25235"/>
    <n v="27976"/>
    <n v="18380.474999999999"/>
    <n v="3600"/>
    <n v="1350"/>
    <n v="19730.474999999999"/>
    <n v="0"/>
    <n v="0"/>
    <n v="0"/>
    <n v="0"/>
    <n v="0"/>
    <n v="0"/>
    <n v="0"/>
    <n v="0"/>
    <n v="1"/>
    <n v="0"/>
    <n v="0"/>
    <n v="0"/>
    <s v="SP 210923"/>
    <m/>
    <n v="0"/>
    <n v="0"/>
    <n v="0"/>
    <n v="0"/>
    <n v="0"/>
    <n v="0"/>
    <n v="0"/>
    <n v="0"/>
    <n v="0"/>
    <n v="0"/>
    <n v="0"/>
    <n v="0"/>
    <n v="0"/>
    <n v="0"/>
    <n v="0"/>
    <n v="0"/>
    <n v="0.375"/>
    <n v="0.31874999999999998"/>
    <n v="0"/>
    <n v="0"/>
    <n v="0"/>
    <n v="0"/>
    <n v="0"/>
    <n v="0"/>
  </r>
  <r>
    <x v="246"/>
    <x v="236"/>
    <n v="68733"/>
    <x v="12"/>
    <m/>
    <x v="0"/>
    <m/>
    <s v="Umeå"/>
    <s v="Normal"/>
    <m/>
    <m/>
    <m/>
    <x v="0"/>
    <m/>
    <m/>
    <n v="21"/>
    <n v="2.625"/>
    <n v="0.85"/>
    <n v="2.2312499999999997"/>
    <n v="2193"/>
    <x v="13"/>
    <s v="Sam"/>
    <x v="12"/>
    <n v="25235"/>
    <n v="27976"/>
    <n v="128663.32499999998"/>
    <n v="3600"/>
    <n v="9450"/>
    <n v="138113.32499999998"/>
    <n v="0"/>
    <n v="0"/>
    <n v="0"/>
    <n v="0"/>
    <n v="0"/>
    <n v="0"/>
    <n v="0"/>
    <n v="0"/>
    <n v="1"/>
    <n v="0"/>
    <n v="0"/>
    <n v="0"/>
    <s v="Enl Fokus-Ladok 210601"/>
    <m/>
    <n v="0"/>
    <n v="0"/>
    <n v="0"/>
    <n v="0"/>
    <n v="0"/>
    <n v="0"/>
    <n v="0"/>
    <n v="0"/>
    <n v="0"/>
    <n v="0"/>
    <n v="0"/>
    <n v="0"/>
    <n v="0"/>
    <n v="0"/>
    <n v="0"/>
    <n v="0"/>
    <n v="2.625"/>
    <n v="2.2312499999999997"/>
    <n v="0"/>
    <n v="0"/>
    <n v="0"/>
    <n v="0"/>
    <n v="0"/>
    <n v="0"/>
  </r>
  <r>
    <x v="247"/>
    <x v="237"/>
    <m/>
    <x v="11"/>
    <s v="V16"/>
    <x v="1"/>
    <s v="H211-10"/>
    <s v="Umeå"/>
    <s v="Campus"/>
    <m/>
    <m/>
    <n v="1"/>
    <x v="1"/>
    <m/>
    <m/>
    <n v="1"/>
    <n v="0.25"/>
    <n v="0.85"/>
    <n v="0.21249999999999999"/>
    <n v="2193"/>
    <x v="13"/>
    <s v="Sam"/>
    <x v="11"/>
    <n v="20766"/>
    <n v="17442"/>
    <n v="8897.9249999999993"/>
    <n v="6000"/>
    <n v="1500"/>
    <n v="10397.924999999999"/>
    <n v="0"/>
    <n v="0"/>
    <n v="0"/>
    <n v="0"/>
    <n v="0"/>
    <n v="0"/>
    <n v="1"/>
    <n v="0"/>
    <n v="0"/>
    <n v="0"/>
    <n v="0"/>
    <n v="0"/>
    <s v="SP 210924"/>
    <m/>
    <n v="0"/>
    <n v="0"/>
    <n v="0"/>
    <n v="0"/>
    <n v="0"/>
    <n v="0"/>
    <n v="0"/>
    <n v="0"/>
    <n v="0"/>
    <n v="0"/>
    <n v="0"/>
    <n v="0"/>
    <n v="0.25"/>
    <n v="0.21249999999999999"/>
    <n v="0"/>
    <n v="0"/>
    <n v="0"/>
    <n v="0"/>
    <n v="0"/>
    <n v="0"/>
    <n v="0"/>
    <n v="0"/>
    <n v="0"/>
    <n v="0"/>
  </r>
  <r>
    <x v="247"/>
    <x v="237"/>
    <m/>
    <x v="11"/>
    <s v="V18"/>
    <x v="1"/>
    <s v="H211-10"/>
    <s v="Umeå"/>
    <s v="Campus"/>
    <m/>
    <m/>
    <n v="1"/>
    <x v="1"/>
    <m/>
    <m/>
    <n v="1"/>
    <n v="0.25"/>
    <n v="0.85"/>
    <n v="0.21249999999999999"/>
    <n v="2193"/>
    <x v="13"/>
    <s v="Sam"/>
    <x v="11"/>
    <n v="20766"/>
    <n v="17442"/>
    <n v="8897.9249999999993"/>
    <n v="6000"/>
    <n v="1500"/>
    <n v="10397.924999999999"/>
    <n v="0"/>
    <n v="0"/>
    <n v="0"/>
    <n v="0"/>
    <n v="0"/>
    <n v="0"/>
    <n v="1"/>
    <n v="0"/>
    <n v="0"/>
    <n v="0"/>
    <n v="0"/>
    <n v="0"/>
    <s v="SP 210924"/>
    <m/>
    <n v="0"/>
    <n v="0"/>
    <n v="0"/>
    <n v="0"/>
    <n v="0"/>
    <n v="0"/>
    <n v="0"/>
    <n v="0"/>
    <n v="0"/>
    <n v="0"/>
    <n v="0"/>
    <n v="0"/>
    <n v="0.25"/>
    <n v="0.21249999999999999"/>
    <n v="0"/>
    <n v="0"/>
    <n v="0"/>
    <n v="0"/>
    <n v="0"/>
    <n v="0"/>
    <n v="0"/>
    <n v="0"/>
    <n v="0"/>
    <n v="0"/>
  </r>
  <r>
    <x v="247"/>
    <x v="237"/>
    <m/>
    <x v="11"/>
    <s v="V19"/>
    <x v="1"/>
    <s v="H211-10"/>
    <s v="Umeå"/>
    <s v="Campus"/>
    <m/>
    <m/>
    <n v="1"/>
    <x v="1"/>
    <m/>
    <m/>
    <n v="12"/>
    <n v="3"/>
    <n v="0.85"/>
    <n v="2.5499999999999998"/>
    <n v="2193"/>
    <x v="13"/>
    <s v="Sam"/>
    <x v="11"/>
    <n v="20766"/>
    <n v="17442"/>
    <n v="106775.1"/>
    <n v="6000"/>
    <n v="18000"/>
    <n v="124775.1"/>
    <n v="0"/>
    <n v="0"/>
    <n v="0"/>
    <n v="0"/>
    <n v="0"/>
    <n v="0"/>
    <n v="1"/>
    <n v="0"/>
    <n v="0"/>
    <n v="0"/>
    <n v="0"/>
    <n v="0"/>
    <s v="SP 210924"/>
    <m/>
    <n v="0"/>
    <n v="0"/>
    <n v="0"/>
    <n v="0"/>
    <n v="0"/>
    <n v="0"/>
    <n v="0"/>
    <n v="0"/>
    <n v="0"/>
    <n v="0"/>
    <n v="0"/>
    <n v="0"/>
    <n v="3"/>
    <n v="2.5499999999999998"/>
    <n v="0"/>
    <n v="0"/>
    <n v="0"/>
    <n v="0"/>
    <n v="0"/>
    <n v="0"/>
    <n v="0"/>
    <n v="0"/>
    <n v="0"/>
    <n v="0"/>
  </r>
  <r>
    <x v="247"/>
    <x v="237"/>
    <n v="68717"/>
    <x v="11"/>
    <m/>
    <x v="0"/>
    <m/>
    <s v="Umeå"/>
    <s v="Normal"/>
    <m/>
    <m/>
    <m/>
    <x v="1"/>
    <m/>
    <m/>
    <n v="40"/>
    <n v="10"/>
    <n v="0.85"/>
    <n v="8.5"/>
    <n v="2193"/>
    <x v="13"/>
    <s v="Sam"/>
    <x v="11"/>
    <n v="20766"/>
    <n v="17442"/>
    <n v="355917"/>
    <n v="6000"/>
    <n v="60000"/>
    <n v="415917"/>
    <n v="0"/>
    <n v="0"/>
    <n v="0"/>
    <n v="0"/>
    <n v="0"/>
    <n v="0"/>
    <n v="1"/>
    <n v="0"/>
    <n v="0"/>
    <n v="0"/>
    <n v="0"/>
    <n v="0"/>
    <s v="Enl Fokus-Ladok 210601"/>
    <m/>
    <n v="0"/>
    <n v="0"/>
    <n v="0"/>
    <n v="0"/>
    <n v="0"/>
    <n v="0"/>
    <n v="0"/>
    <n v="0"/>
    <n v="0"/>
    <n v="0"/>
    <n v="0"/>
    <n v="0"/>
    <n v="10"/>
    <n v="8.5"/>
    <n v="0"/>
    <n v="0"/>
    <n v="0"/>
    <n v="0"/>
    <n v="0"/>
    <n v="0"/>
    <n v="0"/>
    <n v="0"/>
    <n v="0"/>
    <n v="0"/>
  </r>
  <r>
    <x v="248"/>
    <x v="238"/>
    <n v="68723"/>
    <x v="12"/>
    <m/>
    <x v="0"/>
    <m/>
    <s v="Umeå"/>
    <s v="Normal"/>
    <m/>
    <m/>
    <m/>
    <x v="0"/>
    <m/>
    <m/>
    <n v="21"/>
    <n v="2.625"/>
    <n v="0.85"/>
    <n v="2.2312499999999997"/>
    <n v="2193"/>
    <x v="13"/>
    <s v="Sam"/>
    <x v="12"/>
    <n v="26554"/>
    <n v="33465"/>
    <n v="144373.03125"/>
    <n v="6000"/>
    <n v="15750"/>
    <n v="160123.03125"/>
    <n v="0"/>
    <n v="0"/>
    <n v="0"/>
    <n v="1"/>
    <n v="0"/>
    <n v="0"/>
    <n v="0"/>
    <n v="0"/>
    <n v="0"/>
    <n v="0"/>
    <n v="0"/>
    <n v="0"/>
    <s v="Enl Fokus-Ladok 210601"/>
    <m/>
    <n v="0"/>
    <n v="0"/>
    <n v="0"/>
    <n v="0"/>
    <n v="0"/>
    <n v="0"/>
    <n v="2.625"/>
    <n v="2.2312499999999997"/>
    <n v="0"/>
    <n v="0"/>
    <n v="0"/>
    <n v="0"/>
    <n v="0"/>
    <n v="0"/>
    <n v="0"/>
    <n v="0"/>
    <n v="0"/>
    <n v="0"/>
    <n v="0"/>
    <n v="0"/>
    <n v="0"/>
    <n v="0"/>
    <n v="0"/>
    <n v="0"/>
  </r>
  <r>
    <x v="249"/>
    <x v="239"/>
    <m/>
    <x v="12"/>
    <s v="H21"/>
    <x v="1"/>
    <m/>
    <n v="2480"/>
    <m/>
    <m/>
    <m/>
    <m/>
    <x v="4"/>
    <m/>
    <m/>
    <n v="24"/>
    <n v="2.4000000000000004"/>
    <n v="0.85"/>
    <n v="2.04"/>
    <n v="5740"/>
    <x v="7"/>
    <s v="TekNat"/>
    <x v="12"/>
    <n v="26554"/>
    <n v="33465"/>
    <n v="131998.20000000001"/>
    <n v="6000"/>
    <n v="14400.000000000002"/>
    <n v="146398.20000000001"/>
    <n v="0"/>
    <n v="0"/>
    <n v="0"/>
    <n v="1"/>
    <n v="0"/>
    <n v="0"/>
    <n v="0"/>
    <n v="0"/>
    <n v="0"/>
    <n v="0"/>
    <n v="0"/>
    <n v="0"/>
    <s v="Reg i Ladok 210907"/>
    <m/>
    <n v="0"/>
    <n v="0"/>
    <n v="0"/>
    <n v="0"/>
    <n v="0"/>
    <n v="0"/>
    <n v="2.4000000000000004"/>
    <n v="2.04"/>
    <n v="0"/>
    <n v="0"/>
    <n v="0"/>
    <n v="0"/>
    <n v="0"/>
    <n v="0"/>
    <n v="0"/>
    <n v="0"/>
    <n v="0"/>
    <n v="0"/>
    <n v="0"/>
    <n v="0"/>
    <n v="0"/>
    <n v="0"/>
    <n v="0"/>
    <n v="0"/>
  </r>
  <r>
    <x v="249"/>
    <x v="239"/>
    <m/>
    <x v="4"/>
    <s v="H21"/>
    <x v="1"/>
    <m/>
    <n v="2480"/>
    <m/>
    <m/>
    <m/>
    <m/>
    <x v="4"/>
    <m/>
    <m/>
    <n v="41"/>
    <n v="4.1000000000000005"/>
    <n v="0.85"/>
    <n v="3.4850000000000003"/>
    <n v="5740"/>
    <x v="7"/>
    <s v="TekNat"/>
    <x v="4"/>
    <n v="26554"/>
    <n v="33465"/>
    <n v="225496.92500000002"/>
    <n v="6000"/>
    <n v="24600.000000000004"/>
    <n v="250096.92500000002"/>
    <n v="0"/>
    <n v="0"/>
    <n v="0"/>
    <n v="1"/>
    <n v="0"/>
    <n v="0"/>
    <n v="0"/>
    <n v="0"/>
    <n v="0"/>
    <n v="0"/>
    <n v="0"/>
    <n v="0"/>
    <s v="Reg i Ladok 210907"/>
    <m/>
    <n v="0"/>
    <n v="0"/>
    <n v="0"/>
    <n v="0"/>
    <n v="0"/>
    <n v="0"/>
    <n v="4.1000000000000005"/>
    <n v="3.4850000000000003"/>
    <n v="0"/>
    <n v="0"/>
    <n v="0"/>
    <n v="0"/>
    <n v="0"/>
    <n v="0"/>
    <n v="0"/>
    <n v="0"/>
    <n v="0"/>
    <n v="0"/>
    <n v="0"/>
    <n v="0"/>
    <n v="0"/>
    <n v="0"/>
    <n v="0"/>
    <n v="0"/>
  </r>
  <r>
    <x v="249"/>
    <x v="239"/>
    <m/>
    <x v="5"/>
    <s v="H20"/>
    <x v="1"/>
    <s v="H211-4"/>
    <s v="Umeå"/>
    <s v="Campus"/>
    <m/>
    <m/>
    <n v="1"/>
    <x v="4"/>
    <m/>
    <m/>
    <n v="1"/>
    <n v="0.1"/>
    <n v="0.85"/>
    <n v="8.5000000000000006E-2"/>
    <n v="5740"/>
    <x v="7"/>
    <s v="TekNat"/>
    <x v="5"/>
    <n v="26554"/>
    <n v="33465"/>
    <n v="5499.9250000000002"/>
    <n v="6000"/>
    <n v="600"/>
    <n v="6099.9250000000002"/>
    <n v="0"/>
    <n v="0"/>
    <n v="0"/>
    <n v="1"/>
    <n v="0"/>
    <n v="0"/>
    <n v="0"/>
    <n v="0"/>
    <n v="0"/>
    <n v="0"/>
    <n v="0"/>
    <n v="0"/>
    <s v="SP 210923"/>
    <m/>
    <n v="0"/>
    <n v="0"/>
    <n v="0"/>
    <n v="0"/>
    <n v="0"/>
    <n v="0"/>
    <n v="0.1"/>
    <n v="8.5000000000000006E-2"/>
    <n v="0"/>
    <n v="0"/>
    <n v="0"/>
    <n v="0"/>
    <n v="0"/>
    <n v="0"/>
    <n v="0"/>
    <n v="0"/>
    <n v="0"/>
    <n v="0"/>
    <n v="0"/>
    <n v="0"/>
    <n v="0"/>
    <n v="0"/>
    <n v="0"/>
    <n v="0"/>
  </r>
  <r>
    <x v="249"/>
    <x v="239"/>
    <m/>
    <x v="5"/>
    <s v="H21"/>
    <x v="1"/>
    <m/>
    <n v="2480"/>
    <m/>
    <s v="ARBE"/>
    <m/>
    <n v="0.75"/>
    <x v="4"/>
    <m/>
    <m/>
    <n v="23"/>
    <n v="2.3000000000000003"/>
    <n v="0.85"/>
    <n v="1.9550000000000001"/>
    <n v="5740"/>
    <x v="7"/>
    <s v="TekNat"/>
    <x v="5"/>
    <n v="26554"/>
    <n v="33465"/>
    <n v="126498.27500000001"/>
    <n v="6000"/>
    <n v="13800.000000000002"/>
    <n v="140298.27500000002"/>
    <n v="0"/>
    <n v="0"/>
    <n v="0"/>
    <n v="1"/>
    <n v="0"/>
    <n v="0"/>
    <n v="0"/>
    <n v="0"/>
    <n v="0"/>
    <n v="0"/>
    <n v="0"/>
    <n v="0"/>
    <s v="Reg i Ladok 210907"/>
    <s v="enl uppg fr A-K LP"/>
    <n v="0"/>
    <n v="0"/>
    <n v="0"/>
    <n v="0"/>
    <n v="0"/>
    <n v="0"/>
    <n v="2.3000000000000003"/>
    <n v="1.9550000000000001"/>
    <n v="0"/>
    <n v="0"/>
    <n v="0"/>
    <n v="0"/>
    <n v="0"/>
    <n v="0"/>
    <n v="0"/>
    <n v="0"/>
    <n v="0"/>
    <n v="0"/>
    <n v="0"/>
    <n v="0"/>
    <n v="0"/>
    <n v="0"/>
    <n v="0"/>
    <n v="0"/>
  </r>
  <r>
    <x v="249"/>
    <x v="239"/>
    <m/>
    <x v="5"/>
    <s v="H21"/>
    <x v="1"/>
    <m/>
    <n v="2480"/>
    <m/>
    <m/>
    <m/>
    <m/>
    <x v="4"/>
    <m/>
    <m/>
    <n v="43"/>
    <n v="4.3"/>
    <n v="0.85"/>
    <n v="3.6549999999999998"/>
    <n v="5740"/>
    <x v="7"/>
    <s v="TekNat"/>
    <x v="5"/>
    <n v="26554"/>
    <n v="33465"/>
    <n v="236496.77499999999"/>
    <n v="6000"/>
    <n v="25800"/>
    <n v="262296.77500000002"/>
    <n v="0"/>
    <n v="0"/>
    <n v="0"/>
    <n v="1"/>
    <n v="0"/>
    <n v="0"/>
    <n v="0"/>
    <n v="0"/>
    <n v="0"/>
    <n v="0"/>
    <n v="0"/>
    <n v="0"/>
    <s v="Reg i Ladok 210907"/>
    <s v="Reviderat"/>
    <n v="0"/>
    <n v="0"/>
    <n v="0"/>
    <n v="0"/>
    <n v="0"/>
    <n v="0"/>
    <n v="4.3"/>
    <n v="3.6549999999999998"/>
    <n v="0"/>
    <n v="0"/>
    <n v="0"/>
    <n v="0"/>
    <n v="0"/>
    <n v="0"/>
    <n v="0"/>
    <n v="0"/>
    <n v="0"/>
    <n v="0"/>
    <n v="0"/>
    <n v="0"/>
    <n v="0"/>
    <n v="0"/>
    <n v="0"/>
    <n v="0"/>
  </r>
  <r>
    <x v="250"/>
    <x v="240"/>
    <n v="61906"/>
    <x v="5"/>
    <m/>
    <x v="0"/>
    <m/>
    <s v="Umeå"/>
    <s v="Normal"/>
    <m/>
    <m/>
    <m/>
    <x v="0"/>
    <m/>
    <m/>
    <n v="26"/>
    <n v="3.25"/>
    <n v="0.85"/>
    <n v="2.7624999999999997"/>
    <n v="5740"/>
    <x v="7"/>
    <s v="TekNat"/>
    <x v="5"/>
    <n v="26554"/>
    <n v="33465"/>
    <n v="178747.5625"/>
    <n v="6000"/>
    <n v="19500"/>
    <n v="198247.5625"/>
    <n v="0"/>
    <n v="0"/>
    <n v="0"/>
    <n v="1"/>
    <n v="0"/>
    <n v="0"/>
    <n v="0"/>
    <n v="0"/>
    <n v="0"/>
    <n v="0"/>
    <n v="0"/>
    <n v="0"/>
    <s v="Enl Fokus-Ladok 210601"/>
    <m/>
    <n v="0"/>
    <n v="0"/>
    <n v="0"/>
    <n v="0"/>
    <n v="0"/>
    <n v="0"/>
    <n v="3.25"/>
    <n v="2.7624999999999997"/>
    <n v="0"/>
    <n v="0"/>
    <n v="0"/>
    <n v="0"/>
    <n v="0"/>
    <n v="0"/>
    <n v="0"/>
    <n v="0"/>
    <n v="0"/>
    <n v="0"/>
    <n v="0"/>
    <n v="0"/>
    <n v="0"/>
    <n v="0"/>
    <n v="0"/>
    <n v="0"/>
  </r>
  <r>
    <x v="251"/>
    <x v="241"/>
    <n v="61904"/>
    <x v="4"/>
    <m/>
    <x v="0"/>
    <m/>
    <s v="Umeå"/>
    <s v="Normal"/>
    <m/>
    <m/>
    <m/>
    <x v="0"/>
    <m/>
    <m/>
    <n v="27"/>
    <n v="3.375"/>
    <n v="0.85"/>
    <n v="2.8687499999999999"/>
    <n v="5740"/>
    <x v="7"/>
    <s v="TekNat"/>
    <x v="4"/>
    <n v="26554"/>
    <n v="33465"/>
    <n v="185622.46875"/>
    <n v="6000"/>
    <n v="20250"/>
    <n v="205872.46875"/>
    <n v="0"/>
    <n v="0"/>
    <n v="0"/>
    <n v="1"/>
    <n v="0"/>
    <n v="0"/>
    <n v="0"/>
    <n v="0"/>
    <n v="0"/>
    <n v="0"/>
    <n v="0"/>
    <n v="0"/>
    <s v="Enl Fokus-Ladok 210601"/>
    <m/>
    <n v="0"/>
    <n v="0"/>
    <n v="0"/>
    <n v="0"/>
    <n v="0"/>
    <n v="0"/>
    <n v="3.375"/>
    <n v="2.8687499999999999"/>
    <n v="0"/>
    <n v="0"/>
    <n v="0"/>
    <n v="0"/>
    <n v="0"/>
    <n v="0"/>
    <n v="0"/>
    <n v="0"/>
    <n v="0"/>
    <n v="0"/>
    <n v="0"/>
    <n v="0"/>
    <n v="0"/>
    <n v="0"/>
    <n v="0"/>
    <n v="0"/>
  </r>
  <r>
    <x v="252"/>
    <x v="242"/>
    <m/>
    <x v="12"/>
    <s v="H21"/>
    <x v="1"/>
    <m/>
    <n v="2480"/>
    <m/>
    <m/>
    <m/>
    <m/>
    <x v="8"/>
    <n v="-0.05"/>
    <n v="24"/>
    <n v="22.8"/>
    <n v="0.57000000000000006"/>
    <n v="0.85"/>
    <n v="0.48450000000000004"/>
    <n v="5740"/>
    <x v="7"/>
    <s v="TekNat"/>
    <x v="12"/>
    <n v="25235"/>
    <n v="27976"/>
    <n v="27938.322"/>
    <n v="3600"/>
    <n v="2052"/>
    <n v="29990.322"/>
    <n v="0"/>
    <n v="0"/>
    <n v="0"/>
    <n v="0"/>
    <n v="0"/>
    <n v="0"/>
    <n v="0"/>
    <n v="0"/>
    <n v="1"/>
    <n v="0"/>
    <n v="0"/>
    <n v="0"/>
    <s v="Prognostal"/>
    <m/>
    <n v="0"/>
    <n v="0"/>
    <n v="0"/>
    <n v="0"/>
    <n v="0"/>
    <n v="0"/>
    <n v="0"/>
    <n v="0"/>
    <n v="0"/>
    <n v="0"/>
    <n v="0"/>
    <n v="0"/>
    <n v="0"/>
    <n v="0"/>
    <n v="0"/>
    <n v="0"/>
    <n v="0.57000000000000006"/>
    <n v="0.48450000000000004"/>
    <n v="0"/>
    <n v="0"/>
    <n v="0"/>
    <n v="0"/>
    <n v="0"/>
    <n v="0"/>
  </r>
  <r>
    <x v="252"/>
    <x v="242"/>
    <m/>
    <x v="4"/>
    <s v="H21"/>
    <x v="1"/>
    <m/>
    <n v="2480"/>
    <m/>
    <m/>
    <m/>
    <m/>
    <x v="8"/>
    <n v="-0.05"/>
    <n v="41"/>
    <n v="38.950000000000003"/>
    <n v="0.97375000000000012"/>
    <n v="0.85"/>
    <n v="0.82768750000000013"/>
    <n v="5740"/>
    <x v="7"/>
    <s v="TekNat"/>
    <x v="4"/>
    <n v="25235"/>
    <n v="27976"/>
    <n v="47727.966750000007"/>
    <n v="3600"/>
    <n v="3505.5000000000005"/>
    <n v="51233.466750000007"/>
    <n v="0"/>
    <n v="0"/>
    <n v="0"/>
    <n v="0"/>
    <n v="0"/>
    <n v="0"/>
    <n v="0"/>
    <n v="0"/>
    <n v="1"/>
    <n v="0"/>
    <n v="0"/>
    <n v="0"/>
    <s v="Prognostal"/>
    <m/>
    <n v="0"/>
    <n v="0"/>
    <n v="0"/>
    <n v="0"/>
    <n v="0"/>
    <n v="0"/>
    <n v="0"/>
    <n v="0"/>
    <n v="0"/>
    <n v="0"/>
    <n v="0"/>
    <n v="0"/>
    <n v="0"/>
    <n v="0"/>
    <n v="0"/>
    <n v="0"/>
    <n v="0.97375000000000012"/>
    <n v="0.82768750000000013"/>
    <n v="0"/>
    <n v="0"/>
    <n v="0"/>
    <n v="0"/>
    <n v="0"/>
    <n v="0"/>
  </r>
  <r>
    <x v="252"/>
    <x v="242"/>
    <m/>
    <x v="5"/>
    <s v="H21"/>
    <x v="1"/>
    <m/>
    <n v="2480"/>
    <m/>
    <s v="ARBE"/>
    <m/>
    <n v="0.75"/>
    <x v="8"/>
    <n v="-0.05"/>
    <n v="23"/>
    <n v="21.85"/>
    <n v="0.54625000000000001"/>
    <n v="0.85"/>
    <n v="0.46431250000000002"/>
    <n v="5740"/>
    <x v="7"/>
    <s v="TekNat"/>
    <x v="5"/>
    <n v="25235"/>
    <n v="27976"/>
    <n v="26774.22525"/>
    <n v="3600"/>
    <n v="1966.5"/>
    <n v="28740.72525"/>
    <n v="0"/>
    <n v="0"/>
    <n v="0"/>
    <n v="0"/>
    <n v="0"/>
    <n v="0"/>
    <n v="0"/>
    <n v="0"/>
    <n v="1"/>
    <n v="0"/>
    <n v="0"/>
    <n v="0"/>
    <s v="Prognostal"/>
    <m/>
    <n v="0"/>
    <n v="0"/>
    <n v="0"/>
    <n v="0"/>
    <n v="0"/>
    <n v="0"/>
    <n v="0"/>
    <n v="0"/>
    <n v="0"/>
    <n v="0"/>
    <n v="0"/>
    <n v="0"/>
    <n v="0"/>
    <n v="0"/>
    <n v="0"/>
    <n v="0"/>
    <n v="0.54625000000000001"/>
    <n v="0.46431250000000002"/>
    <n v="0"/>
    <n v="0"/>
    <n v="0"/>
    <n v="0"/>
    <n v="0"/>
    <n v="0"/>
  </r>
  <r>
    <x v="252"/>
    <x v="242"/>
    <m/>
    <x v="5"/>
    <s v="H21"/>
    <x v="1"/>
    <m/>
    <n v="2480"/>
    <m/>
    <m/>
    <m/>
    <m/>
    <x v="8"/>
    <n v="-0.05"/>
    <n v="43"/>
    <n v="40.85"/>
    <n v="1.02125"/>
    <n v="0.85"/>
    <n v="0.86806249999999996"/>
    <n v="5740"/>
    <x v="7"/>
    <s v="TekNat"/>
    <x v="5"/>
    <n v="25235"/>
    <n v="27976"/>
    <n v="50056.160250000001"/>
    <n v="3600"/>
    <n v="3676.5"/>
    <n v="53732.660250000001"/>
    <n v="0"/>
    <n v="0"/>
    <n v="0"/>
    <n v="0"/>
    <n v="0"/>
    <n v="0"/>
    <n v="0"/>
    <n v="0"/>
    <n v="1"/>
    <n v="0"/>
    <n v="0"/>
    <n v="0"/>
    <s v="Prognostal"/>
    <m/>
    <n v="0"/>
    <n v="0"/>
    <n v="0"/>
    <n v="0"/>
    <n v="0"/>
    <n v="0"/>
    <n v="0"/>
    <n v="0"/>
    <n v="0"/>
    <n v="0"/>
    <n v="0"/>
    <n v="0"/>
    <n v="0"/>
    <n v="0"/>
    <n v="0"/>
    <n v="0"/>
    <n v="1.02125"/>
    <n v="0.86806249999999996"/>
    <n v="0"/>
    <n v="0"/>
    <n v="0"/>
    <n v="0"/>
    <n v="0"/>
    <n v="0"/>
  </r>
  <r>
    <x v="253"/>
    <x v="243"/>
    <m/>
    <x v="0"/>
    <s v="H18"/>
    <x v="1"/>
    <s v="H2113-16"/>
    <s v="Umeå"/>
    <m/>
    <s v="BIOL"/>
    <m/>
    <n v="1"/>
    <x v="4"/>
    <m/>
    <m/>
    <n v="2"/>
    <n v="0.2"/>
    <n v="0.85"/>
    <n v="0.17"/>
    <n v="5740"/>
    <x v="7"/>
    <s v="TekNat"/>
    <x v="0"/>
    <n v="25235"/>
    <n v="27976"/>
    <n v="9802.92"/>
    <n v="3600"/>
    <n v="720"/>
    <n v="10522.92"/>
    <n v="0"/>
    <n v="0"/>
    <n v="0"/>
    <n v="0"/>
    <n v="0"/>
    <n v="0"/>
    <n v="0"/>
    <n v="0"/>
    <n v="1"/>
    <n v="0"/>
    <n v="0"/>
    <n v="0"/>
    <s v="SP 210924"/>
    <m/>
    <n v="0"/>
    <n v="0"/>
    <n v="0"/>
    <n v="0"/>
    <n v="0"/>
    <n v="0"/>
    <n v="0"/>
    <n v="0"/>
    <n v="0"/>
    <n v="0"/>
    <n v="0"/>
    <n v="0"/>
    <n v="0"/>
    <n v="0"/>
    <n v="0"/>
    <n v="0"/>
    <n v="0.2"/>
    <n v="0.17"/>
    <n v="0"/>
    <n v="0"/>
    <n v="0"/>
    <n v="0"/>
    <n v="0"/>
    <n v="0"/>
  </r>
  <r>
    <x v="253"/>
    <x v="243"/>
    <m/>
    <x v="0"/>
    <s v="H19"/>
    <x v="1"/>
    <s v="H2113-16"/>
    <s v="Umeå"/>
    <m/>
    <s v="BIOL"/>
    <m/>
    <n v="1"/>
    <x v="4"/>
    <m/>
    <m/>
    <n v="2"/>
    <n v="0.2"/>
    <n v="0.85"/>
    <n v="0.17"/>
    <n v="5740"/>
    <x v="7"/>
    <s v="TekNat"/>
    <x v="0"/>
    <n v="25235"/>
    <n v="27976"/>
    <n v="9802.92"/>
    <n v="3600"/>
    <n v="720"/>
    <n v="10522.92"/>
    <n v="0"/>
    <n v="0"/>
    <n v="0"/>
    <n v="0"/>
    <n v="0"/>
    <n v="0"/>
    <n v="0"/>
    <n v="0"/>
    <n v="1"/>
    <n v="0"/>
    <n v="0"/>
    <n v="0"/>
    <s v="SP 210924"/>
    <m/>
    <n v="0"/>
    <n v="0"/>
    <n v="0"/>
    <n v="0"/>
    <n v="0"/>
    <n v="0"/>
    <n v="0"/>
    <n v="0"/>
    <n v="0"/>
    <n v="0"/>
    <n v="0"/>
    <n v="0"/>
    <n v="0"/>
    <n v="0"/>
    <n v="0"/>
    <n v="0"/>
    <n v="0.2"/>
    <n v="0.17"/>
    <n v="0"/>
    <n v="0"/>
    <n v="0"/>
    <n v="0"/>
    <n v="0"/>
    <n v="0"/>
  </r>
  <r>
    <x v="254"/>
    <x v="244"/>
    <m/>
    <x v="0"/>
    <s v="H15"/>
    <x v="1"/>
    <s v="H2113-16"/>
    <s v="Umeå"/>
    <m/>
    <s v="IDRH"/>
    <m/>
    <n v="1"/>
    <x v="4"/>
    <m/>
    <m/>
    <n v="1"/>
    <n v="0.1"/>
    <n v="0.85"/>
    <n v="8.5000000000000006E-2"/>
    <n v="2180"/>
    <x v="12"/>
    <s v="Sa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254"/>
    <x v="244"/>
    <m/>
    <x v="0"/>
    <s v="H18"/>
    <x v="1"/>
    <s v="H2113-16"/>
    <s v="Umeå"/>
    <m/>
    <s v="IDRH"/>
    <m/>
    <n v="1"/>
    <x v="4"/>
    <m/>
    <m/>
    <n v="2"/>
    <n v="0.2"/>
    <n v="0.85"/>
    <n v="0.17"/>
    <n v="2180"/>
    <x v="12"/>
    <s v="Sam"/>
    <x v="0"/>
    <n v="25235"/>
    <n v="27976"/>
    <n v="9802.92"/>
    <n v="3600"/>
    <n v="720"/>
    <n v="10522.92"/>
    <n v="0"/>
    <n v="0"/>
    <n v="0"/>
    <n v="0"/>
    <n v="0"/>
    <n v="0"/>
    <n v="0"/>
    <n v="0"/>
    <n v="1"/>
    <n v="0"/>
    <n v="0"/>
    <n v="0"/>
    <s v="SP 210924"/>
    <m/>
    <n v="0"/>
    <n v="0"/>
    <n v="0"/>
    <n v="0"/>
    <n v="0"/>
    <n v="0"/>
    <n v="0"/>
    <n v="0"/>
    <n v="0"/>
    <n v="0"/>
    <n v="0"/>
    <n v="0"/>
    <n v="0"/>
    <n v="0"/>
    <n v="0"/>
    <n v="0"/>
    <n v="0.2"/>
    <n v="0.17"/>
    <n v="0"/>
    <n v="0"/>
    <n v="0"/>
    <n v="0"/>
    <n v="0"/>
    <n v="0"/>
  </r>
  <r>
    <x v="254"/>
    <x v="244"/>
    <m/>
    <x v="0"/>
    <s v="H19"/>
    <x v="1"/>
    <s v="H2113-16"/>
    <s v="Umeå"/>
    <m/>
    <s v="IDRH"/>
    <m/>
    <n v="1"/>
    <x v="4"/>
    <m/>
    <m/>
    <n v="17"/>
    <n v="1.7000000000000002"/>
    <n v="0.85"/>
    <n v="1.4450000000000001"/>
    <n v="2180"/>
    <x v="12"/>
    <s v="Sam"/>
    <x v="0"/>
    <n v="25235"/>
    <n v="27976"/>
    <n v="83324.820000000007"/>
    <n v="3600"/>
    <n v="6120.0000000000009"/>
    <n v="89444.82"/>
    <n v="0"/>
    <n v="0"/>
    <n v="0"/>
    <n v="0"/>
    <n v="0"/>
    <n v="0"/>
    <n v="0"/>
    <n v="0"/>
    <n v="1"/>
    <n v="0"/>
    <n v="0"/>
    <n v="0"/>
    <s v="SP 210924"/>
    <m/>
    <n v="0"/>
    <n v="0"/>
    <n v="0"/>
    <n v="0"/>
    <n v="0"/>
    <n v="0"/>
    <n v="0"/>
    <n v="0"/>
    <n v="0"/>
    <n v="0"/>
    <n v="0"/>
    <n v="0"/>
    <n v="0"/>
    <n v="0"/>
    <n v="0"/>
    <n v="0"/>
    <n v="1.7000000000000002"/>
    <n v="1.4450000000000001"/>
    <n v="0"/>
    <n v="0"/>
    <n v="0"/>
    <n v="0"/>
    <n v="0"/>
    <n v="0"/>
  </r>
  <r>
    <x v="255"/>
    <x v="245"/>
    <m/>
    <x v="0"/>
    <s v="H19"/>
    <x v="1"/>
    <s v="H2113-16"/>
    <s v="Umeå"/>
    <m/>
    <s v="IDRH"/>
    <m/>
    <n v="1"/>
    <x v="4"/>
    <m/>
    <m/>
    <n v="1"/>
    <n v="0.1"/>
    <n v="0.85"/>
    <n v="8.5000000000000006E-2"/>
    <n v="2180"/>
    <x v="12"/>
    <s v="Sa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255"/>
    <x v="245"/>
    <m/>
    <x v="0"/>
    <s v="H19"/>
    <x v="1"/>
    <s v="H2113-16"/>
    <s v="Umeå"/>
    <m/>
    <s v="SAMK"/>
    <m/>
    <n v="1"/>
    <x v="4"/>
    <m/>
    <m/>
    <n v="11"/>
    <n v="1.1000000000000001"/>
    <n v="0.85"/>
    <n v="0.93500000000000005"/>
    <n v="2180"/>
    <x v="12"/>
    <s v="Sam"/>
    <x v="0"/>
    <n v="25235"/>
    <n v="27976"/>
    <n v="53916.060000000005"/>
    <n v="3600"/>
    <n v="3960.0000000000005"/>
    <n v="57876.060000000005"/>
    <n v="0"/>
    <n v="0"/>
    <n v="0"/>
    <n v="0"/>
    <n v="0"/>
    <n v="0"/>
    <n v="0"/>
    <n v="0"/>
    <n v="1"/>
    <n v="0"/>
    <n v="0"/>
    <n v="0"/>
    <s v="SP 210924"/>
    <m/>
    <n v="0"/>
    <n v="0"/>
    <n v="0"/>
    <n v="0"/>
    <n v="0"/>
    <n v="0"/>
    <n v="0"/>
    <n v="0"/>
    <n v="0"/>
    <n v="0"/>
    <n v="0"/>
    <n v="0"/>
    <n v="0"/>
    <n v="0"/>
    <n v="0"/>
    <n v="0"/>
    <n v="1.1000000000000001"/>
    <n v="0.93500000000000005"/>
    <n v="0"/>
    <n v="0"/>
    <n v="0"/>
    <n v="0"/>
    <n v="0"/>
    <n v="0"/>
  </r>
  <r>
    <x v="256"/>
    <x v="246"/>
    <m/>
    <x v="3"/>
    <m/>
    <x v="2"/>
    <m/>
    <m/>
    <m/>
    <m/>
    <m/>
    <n v="0.5"/>
    <x v="0"/>
    <m/>
    <m/>
    <n v="30"/>
    <n v="3.75"/>
    <n v="0.8"/>
    <n v="3"/>
    <n v="2180"/>
    <x v="12"/>
    <s v="Sam"/>
    <x v="3"/>
    <n v="20766"/>
    <n v="17442"/>
    <n v="130198.5"/>
    <n v="6000"/>
    <n v="22500"/>
    <n v="152698.5"/>
    <n v="0"/>
    <n v="0"/>
    <n v="0"/>
    <n v="0"/>
    <n v="0"/>
    <n v="0"/>
    <n v="1"/>
    <n v="0"/>
    <n v="0"/>
    <n v="0"/>
    <n v="0"/>
    <n v="0"/>
    <s v="Äskat/Beslutat 200611 p.39"/>
    <m/>
    <n v="0"/>
    <n v="0"/>
    <n v="0"/>
    <n v="0"/>
    <n v="0"/>
    <n v="0"/>
    <n v="0"/>
    <n v="0"/>
    <n v="0"/>
    <n v="0"/>
    <n v="0"/>
    <n v="0"/>
    <n v="3.75"/>
    <n v="3"/>
    <n v="0"/>
    <n v="0"/>
    <n v="0"/>
    <n v="0"/>
    <n v="0"/>
    <n v="0"/>
    <n v="0"/>
    <n v="0"/>
    <n v="0"/>
    <n v="0"/>
  </r>
  <r>
    <x v="257"/>
    <x v="247"/>
    <n v="68701"/>
    <x v="3"/>
    <m/>
    <x v="0"/>
    <m/>
    <s v="Ortsoberoende"/>
    <s v="Distans"/>
    <m/>
    <m/>
    <m/>
    <x v="1"/>
    <m/>
    <m/>
    <n v="41"/>
    <n v="10.25"/>
    <n v="0.8"/>
    <n v="8.2000000000000011"/>
    <n v="2193"/>
    <x v="13"/>
    <s v="Sam"/>
    <x v="3"/>
    <n v="20766"/>
    <n v="17442"/>
    <n v="355875.9"/>
    <n v="6000"/>
    <n v="61500"/>
    <n v="417375.9"/>
    <n v="0"/>
    <n v="0"/>
    <n v="0"/>
    <n v="0"/>
    <n v="0"/>
    <n v="0"/>
    <n v="1"/>
    <n v="0"/>
    <n v="0"/>
    <n v="0"/>
    <n v="0"/>
    <n v="0"/>
    <s v="Enl Fokus-Ladok 210601"/>
    <m/>
    <n v="0"/>
    <n v="0"/>
    <n v="0"/>
    <n v="0"/>
    <n v="0"/>
    <n v="0"/>
    <n v="0"/>
    <n v="0"/>
    <n v="0"/>
    <n v="0"/>
    <n v="0"/>
    <n v="0"/>
    <n v="10.25"/>
    <n v="8.2000000000000011"/>
    <n v="0"/>
    <n v="0"/>
    <n v="0"/>
    <n v="0"/>
    <n v="0"/>
    <n v="0"/>
    <n v="0"/>
    <n v="0"/>
    <n v="0"/>
    <n v="0"/>
  </r>
  <r>
    <x v="257"/>
    <x v="247"/>
    <m/>
    <x v="3"/>
    <m/>
    <x v="1"/>
    <m/>
    <m/>
    <s v="Distans"/>
    <m/>
    <m/>
    <n v="0.5"/>
    <x v="1"/>
    <m/>
    <m/>
    <n v="50"/>
    <n v="12.5"/>
    <n v="0.8"/>
    <n v="10"/>
    <n v="2193"/>
    <x v="13"/>
    <s v="Sam"/>
    <x v="3"/>
    <n v="20766"/>
    <n v="17442"/>
    <n v="433995"/>
    <n v="6000"/>
    <n v="75000"/>
    <n v="508995"/>
    <n v="0"/>
    <n v="0"/>
    <n v="0"/>
    <n v="0"/>
    <n v="0"/>
    <n v="0"/>
    <n v="1"/>
    <n v="0"/>
    <n v="0"/>
    <n v="0"/>
    <n v="0"/>
    <n v="0"/>
    <s v="Äskat/Beslutat 200611 p.39"/>
    <m/>
    <n v="0"/>
    <n v="0"/>
    <n v="0"/>
    <n v="0"/>
    <n v="0"/>
    <n v="0"/>
    <n v="0"/>
    <n v="0"/>
    <n v="0"/>
    <n v="0"/>
    <n v="0"/>
    <n v="0"/>
    <n v="12.5"/>
    <n v="10"/>
    <n v="0"/>
    <n v="0"/>
    <n v="0"/>
    <n v="0"/>
    <n v="0"/>
    <n v="0"/>
    <n v="0"/>
    <n v="0"/>
    <n v="0"/>
    <n v="0"/>
  </r>
  <r>
    <x v="258"/>
    <x v="248"/>
    <n v="68703"/>
    <x v="3"/>
    <m/>
    <x v="0"/>
    <m/>
    <s v="Ortsoberoende"/>
    <s v="Distans"/>
    <m/>
    <m/>
    <m/>
    <x v="0"/>
    <m/>
    <m/>
    <n v="42"/>
    <n v="5.25"/>
    <n v="0.8"/>
    <n v="4.2"/>
    <n v="2193"/>
    <x v="13"/>
    <s v="Sam"/>
    <x v="3"/>
    <n v="20766"/>
    <n v="17442"/>
    <n v="182277.90000000002"/>
    <n v="6000"/>
    <n v="31500"/>
    <n v="213777.90000000002"/>
    <n v="0"/>
    <n v="0"/>
    <n v="0"/>
    <n v="0"/>
    <n v="0"/>
    <n v="0"/>
    <n v="1"/>
    <n v="0"/>
    <n v="0"/>
    <n v="0"/>
    <n v="0"/>
    <n v="0"/>
    <s v="Enl Fokus-Ladok 210601"/>
    <m/>
    <n v="0"/>
    <n v="0"/>
    <n v="0"/>
    <n v="0"/>
    <n v="0"/>
    <n v="0"/>
    <n v="0"/>
    <n v="0"/>
    <n v="0"/>
    <n v="0"/>
    <n v="0"/>
    <n v="0"/>
    <n v="5.25"/>
    <n v="4.2"/>
    <n v="0"/>
    <n v="0"/>
    <n v="0"/>
    <n v="0"/>
    <n v="0"/>
    <n v="0"/>
    <n v="0"/>
    <n v="0"/>
    <n v="0"/>
    <n v="0"/>
  </r>
  <r>
    <x v="258"/>
    <x v="248"/>
    <m/>
    <x v="3"/>
    <m/>
    <x v="1"/>
    <m/>
    <m/>
    <s v="Distans"/>
    <m/>
    <m/>
    <n v="0.25"/>
    <x v="0"/>
    <m/>
    <m/>
    <n v="50"/>
    <n v="6.25"/>
    <n v="0.8"/>
    <n v="5"/>
    <n v="2193"/>
    <x v="13"/>
    <s v="Sam"/>
    <x v="3"/>
    <n v="20766"/>
    <n v="17442"/>
    <n v="216997.5"/>
    <n v="6000"/>
    <n v="37500"/>
    <n v="254497.5"/>
    <n v="0"/>
    <n v="0"/>
    <n v="0"/>
    <n v="0"/>
    <n v="0"/>
    <n v="0"/>
    <n v="1"/>
    <n v="0"/>
    <n v="0"/>
    <n v="0"/>
    <n v="0"/>
    <n v="0"/>
    <s v="Äskat/Beslutat 200611 p.39"/>
    <m/>
    <n v="0"/>
    <n v="0"/>
    <n v="0"/>
    <n v="0"/>
    <n v="0"/>
    <n v="0"/>
    <n v="0"/>
    <n v="0"/>
    <n v="0"/>
    <n v="0"/>
    <n v="0"/>
    <n v="0"/>
    <n v="6.25"/>
    <n v="5"/>
    <n v="0"/>
    <n v="0"/>
    <n v="0"/>
    <n v="0"/>
    <n v="0"/>
    <n v="0"/>
    <n v="0"/>
    <n v="0"/>
    <n v="0"/>
    <n v="0"/>
  </r>
  <r>
    <x v="259"/>
    <x v="249"/>
    <m/>
    <x v="15"/>
    <s v="H20"/>
    <x v="1"/>
    <s v="H216-15"/>
    <s v="Umeå"/>
    <m/>
    <s v="MAGG"/>
    <m/>
    <n v="1"/>
    <x v="1"/>
    <m/>
    <m/>
    <n v="9"/>
    <n v="2.25"/>
    <n v="0.85"/>
    <n v="1.9124999999999999"/>
    <n v="5740"/>
    <x v="7"/>
    <s v="TekNat"/>
    <x v="14"/>
    <n v="20757"/>
    <n v="36082"/>
    <n v="115710.075"/>
    <n v="22600"/>
    <n v="50850"/>
    <n v="166560.07500000001"/>
    <n v="0"/>
    <n v="0"/>
    <n v="0"/>
    <n v="0"/>
    <n v="0"/>
    <n v="1"/>
    <n v="0"/>
    <n v="0"/>
    <n v="0"/>
    <n v="0"/>
    <n v="0"/>
    <n v="0"/>
    <s v="SP 210924"/>
    <m/>
    <n v="0"/>
    <n v="0"/>
    <n v="0"/>
    <n v="0"/>
    <n v="0"/>
    <n v="0"/>
    <n v="0"/>
    <n v="0"/>
    <n v="0"/>
    <n v="0"/>
    <n v="2.25"/>
    <n v="1.9124999999999999"/>
    <n v="0"/>
    <n v="0"/>
    <n v="0"/>
    <n v="0"/>
    <n v="0"/>
    <n v="0"/>
    <n v="0"/>
    <n v="0"/>
    <n v="0"/>
    <n v="0"/>
    <n v="0"/>
    <n v="0"/>
  </r>
  <r>
    <x v="260"/>
    <x v="250"/>
    <m/>
    <x v="3"/>
    <m/>
    <x v="1"/>
    <m/>
    <m/>
    <s v="Distans"/>
    <m/>
    <m/>
    <n v="0.5"/>
    <x v="1"/>
    <m/>
    <m/>
    <n v="30"/>
    <n v="7.5"/>
    <n v="0.8"/>
    <n v="6"/>
    <n v="2193"/>
    <x v="13"/>
    <s v="Sam"/>
    <x v="3"/>
    <n v="20766"/>
    <n v="17442"/>
    <n v="260397"/>
    <n v="6000"/>
    <n v="45000"/>
    <n v="305397"/>
    <n v="0"/>
    <n v="0"/>
    <n v="0"/>
    <n v="0"/>
    <n v="0"/>
    <n v="0"/>
    <n v="1"/>
    <n v="0"/>
    <n v="0"/>
    <n v="0"/>
    <n v="0"/>
    <n v="0"/>
    <s v="Äskat/Beslutat 200611 p.39"/>
    <m/>
    <n v="0"/>
    <n v="0"/>
    <n v="0"/>
    <n v="0"/>
    <n v="0"/>
    <n v="0"/>
    <n v="0"/>
    <n v="0"/>
    <n v="0"/>
    <n v="0"/>
    <n v="0"/>
    <n v="0"/>
    <n v="7.5"/>
    <n v="6"/>
    <n v="0"/>
    <n v="0"/>
    <n v="0"/>
    <n v="0"/>
    <n v="0"/>
    <n v="0"/>
    <n v="0"/>
    <n v="0"/>
    <n v="0"/>
    <n v="0"/>
  </r>
  <r>
    <x v="261"/>
    <x v="251"/>
    <m/>
    <x v="16"/>
    <s v="H19"/>
    <x v="1"/>
    <s v="H2116-20"/>
    <s v="Umeå"/>
    <m/>
    <s v="SVGG"/>
    <m/>
    <n v="1"/>
    <x v="0"/>
    <m/>
    <m/>
    <n v="1"/>
    <n v="0.125"/>
    <n v="0.85"/>
    <n v="0.10625"/>
    <n v="5740"/>
    <x v="7"/>
    <s v="TekNat"/>
    <x v="15"/>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261"/>
    <x v="251"/>
    <m/>
    <x v="16"/>
    <s v="H20"/>
    <x v="1"/>
    <s v="H2116-20"/>
    <s v="Umeå"/>
    <m/>
    <s v="ALLM"/>
    <m/>
    <n v="1"/>
    <x v="0"/>
    <m/>
    <m/>
    <n v="35"/>
    <n v="4.375"/>
    <n v="0.85"/>
    <n v="3.71875"/>
    <n v="5740"/>
    <x v="7"/>
    <s v="TekNat"/>
    <x v="15"/>
    <n v="20757"/>
    <n v="36082"/>
    <n v="224991.8125"/>
    <n v="22600"/>
    <n v="98875"/>
    <n v="323866.8125"/>
    <n v="0"/>
    <n v="0"/>
    <n v="0"/>
    <n v="0"/>
    <n v="0"/>
    <n v="1"/>
    <n v="0"/>
    <n v="0"/>
    <n v="0"/>
    <n v="0"/>
    <n v="0"/>
    <n v="0"/>
    <s v="SP 210924"/>
    <m/>
    <n v="0"/>
    <n v="0"/>
    <n v="0"/>
    <n v="0"/>
    <n v="0"/>
    <n v="0"/>
    <n v="0"/>
    <n v="0"/>
    <n v="0"/>
    <n v="0"/>
    <n v="4.375"/>
    <n v="3.71875"/>
    <n v="0"/>
    <n v="0"/>
    <n v="0"/>
    <n v="0"/>
    <n v="0"/>
    <n v="0"/>
    <n v="0"/>
    <n v="0"/>
    <n v="0"/>
    <n v="0"/>
    <n v="0"/>
    <n v="0"/>
  </r>
  <r>
    <x v="261"/>
    <x v="251"/>
    <m/>
    <x v="15"/>
    <s v="H19"/>
    <x v="1"/>
    <s v="H2116-20"/>
    <s v="Umeå"/>
    <m/>
    <s v="UTGG"/>
    <m/>
    <n v="1"/>
    <x v="0"/>
    <m/>
    <m/>
    <n v="1"/>
    <n v="0.125"/>
    <n v="0.85"/>
    <n v="0.10625"/>
    <n v="5740"/>
    <x v="7"/>
    <s v="TekNat"/>
    <x v="14"/>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261"/>
    <x v="251"/>
    <m/>
    <x v="15"/>
    <s v="H20"/>
    <x v="1"/>
    <s v="H2116-20"/>
    <s v="Umeå"/>
    <m/>
    <s v="UTGG"/>
    <m/>
    <n v="1"/>
    <x v="0"/>
    <m/>
    <m/>
    <n v="14"/>
    <n v="1.75"/>
    <n v="0.85"/>
    <n v="1.4875"/>
    <n v="5740"/>
    <x v="7"/>
    <s v="TekNat"/>
    <x v="14"/>
    <n v="20757"/>
    <n v="36082"/>
    <n v="89996.725000000006"/>
    <n v="22600"/>
    <n v="39550"/>
    <n v="129546.72500000001"/>
    <n v="0"/>
    <n v="0"/>
    <n v="0"/>
    <n v="0"/>
    <n v="0"/>
    <n v="1"/>
    <n v="0"/>
    <n v="0"/>
    <n v="0"/>
    <n v="0"/>
    <n v="0"/>
    <n v="0"/>
    <s v="SP 210924"/>
    <m/>
    <n v="0"/>
    <n v="0"/>
    <n v="0"/>
    <n v="0"/>
    <n v="0"/>
    <n v="0"/>
    <n v="0"/>
    <n v="0"/>
    <n v="0"/>
    <n v="0"/>
    <n v="1.75"/>
    <n v="1.4875"/>
    <n v="0"/>
    <n v="0"/>
    <n v="0"/>
    <n v="0"/>
    <n v="0"/>
    <n v="0"/>
    <n v="0"/>
    <n v="0"/>
    <n v="0"/>
    <n v="0"/>
    <n v="0"/>
    <n v="0"/>
  </r>
  <r>
    <x v="262"/>
    <x v="252"/>
    <m/>
    <x v="16"/>
    <s v="H19"/>
    <x v="1"/>
    <s v="H2116-20"/>
    <s v="Umeå"/>
    <m/>
    <s v="ALLM"/>
    <m/>
    <n v="1"/>
    <x v="0"/>
    <m/>
    <m/>
    <n v="1"/>
    <n v="0.125"/>
    <n v="0.85"/>
    <n v="0.10625"/>
    <n v="5740"/>
    <x v="7"/>
    <s v="TekNat"/>
    <x v="15"/>
    <n v="20757"/>
    <n v="36082"/>
    <n v="6428.3374999999996"/>
    <n v="22600"/>
    <n v="2825"/>
    <n v="9253.3374999999996"/>
    <n v="0"/>
    <n v="0"/>
    <n v="0"/>
    <n v="0"/>
    <n v="0"/>
    <n v="1"/>
    <n v="0"/>
    <n v="0"/>
    <n v="0"/>
    <n v="0"/>
    <n v="0"/>
    <n v="0"/>
    <s v="SP 210924"/>
    <m/>
    <n v="0"/>
    <n v="0"/>
    <n v="0"/>
    <n v="0"/>
    <n v="0"/>
    <n v="0"/>
    <n v="0"/>
    <n v="0"/>
    <n v="0"/>
    <n v="0"/>
    <n v="0.125"/>
    <n v="0.10625"/>
    <n v="0"/>
    <n v="0"/>
    <n v="0"/>
    <n v="0"/>
    <n v="0"/>
    <n v="0"/>
    <n v="0"/>
    <n v="0"/>
    <n v="0"/>
    <n v="0"/>
    <n v="0"/>
    <n v="0"/>
  </r>
  <r>
    <x v="262"/>
    <x v="252"/>
    <m/>
    <x v="15"/>
    <s v="H20"/>
    <x v="1"/>
    <s v="H2116-20"/>
    <s v="Umeå"/>
    <m/>
    <s v="SVGG"/>
    <m/>
    <n v="1"/>
    <x v="0"/>
    <m/>
    <m/>
    <n v="14"/>
    <n v="1.75"/>
    <n v="0.85"/>
    <n v="1.4875"/>
    <n v="5740"/>
    <x v="7"/>
    <s v="TekNat"/>
    <x v="14"/>
    <n v="20757"/>
    <n v="36082"/>
    <n v="89996.725000000006"/>
    <n v="22600"/>
    <n v="39550"/>
    <n v="129546.72500000001"/>
    <n v="0"/>
    <n v="0"/>
    <n v="0"/>
    <n v="0"/>
    <n v="0"/>
    <n v="1"/>
    <n v="0"/>
    <n v="0"/>
    <n v="0"/>
    <n v="0"/>
    <n v="0"/>
    <n v="0"/>
    <s v="SP 210924"/>
    <m/>
    <n v="0"/>
    <n v="0"/>
    <n v="0"/>
    <n v="0"/>
    <n v="0"/>
    <n v="0"/>
    <n v="0"/>
    <n v="0"/>
    <n v="0"/>
    <n v="0"/>
    <n v="1.75"/>
    <n v="1.4875"/>
    <n v="0"/>
    <n v="0"/>
    <n v="0"/>
    <n v="0"/>
    <n v="0"/>
    <n v="0"/>
    <n v="0"/>
    <n v="0"/>
    <n v="0"/>
    <n v="0"/>
    <n v="0"/>
    <n v="0"/>
  </r>
  <r>
    <x v="263"/>
    <x v="253"/>
    <n v="68729"/>
    <x v="14"/>
    <m/>
    <x v="0"/>
    <m/>
    <s v="Umeå"/>
    <s v="Distans"/>
    <m/>
    <m/>
    <m/>
    <x v="7"/>
    <m/>
    <m/>
    <n v="71"/>
    <n v="11.833"/>
    <n v="0.85"/>
    <n v="10.05805"/>
    <n v="2193"/>
    <x v="13"/>
    <s v="Sam"/>
    <x v="13"/>
    <n v="26554"/>
    <n v="33465"/>
    <n v="650806.12525000004"/>
    <n v="6000"/>
    <n v="70998"/>
    <n v="721804.12525000004"/>
    <n v="0"/>
    <n v="0"/>
    <n v="0"/>
    <n v="1"/>
    <n v="0"/>
    <n v="0"/>
    <n v="0"/>
    <n v="0"/>
    <n v="0"/>
    <n v="0"/>
    <n v="0"/>
    <n v="0"/>
    <s v="Enl Fokus-Ladok 210601"/>
    <m/>
    <n v="0"/>
    <n v="0"/>
    <n v="0"/>
    <n v="0"/>
    <n v="0"/>
    <n v="0"/>
    <n v="11.833"/>
    <n v="10.05805"/>
    <n v="0"/>
    <n v="0"/>
    <n v="0"/>
    <n v="0"/>
    <n v="0"/>
    <n v="0"/>
    <n v="0"/>
    <n v="0"/>
    <n v="0"/>
    <n v="0"/>
    <n v="0"/>
    <n v="0"/>
    <n v="0"/>
    <n v="0"/>
    <n v="0"/>
    <n v="0"/>
  </r>
  <r>
    <x v="264"/>
    <x v="254"/>
    <n v="68730"/>
    <x v="14"/>
    <m/>
    <x v="0"/>
    <m/>
    <s v="Umeå"/>
    <s v="Distans"/>
    <m/>
    <m/>
    <m/>
    <x v="6"/>
    <m/>
    <m/>
    <n v="69"/>
    <n v="5.75"/>
    <n v="0.85"/>
    <n v="4.8875000000000002"/>
    <n v="2193"/>
    <x v="13"/>
    <s v="Sam"/>
    <x v="13"/>
    <n v="26554"/>
    <n v="33465"/>
    <n v="316245.6875"/>
    <n v="6000"/>
    <n v="34500"/>
    <n v="350745.6875"/>
    <n v="0"/>
    <n v="0"/>
    <n v="0"/>
    <n v="1"/>
    <n v="0"/>
    <n v="0"/>
    <n v="0"/>
    <n v="0"/>
    <n v="0"/>
    <n v="0"/>
    <n v="0"/>
    <n v="0"/>
    <s v="Enl Fokus-Ladok 210601"/>
    <m/>
    <n v="0"/>
    <n v="0"/>
    <n v="0"/>
    <n v="0"/>
    <n v="0"/>
    <n v="0"/>
    <n v="5.75"/>
    <n v="4.8875000000000002"/>
    <n v="0"/>
    <n v="0"/>
    <n v="0"/>
    <n v="0"/>
    <n v="0"/>
    <n v="0"/>
    <n v="0"/>
    <n v="0"/>
    <n v="0"/>
    <n v="0"/>
    <n v="0"/>
    <n v="0"/>
    <n v="0"/>
    <n v="0"/>
    <n v="0"/>
    <n v="0"/>
  </r>
  <r>
    <x v="265"/>
    <x v="255"/>
    <m/>
    <x v="14"/>
    <s v="H19"/>
    <x v="1"/>
    <s v="H211-20"/>
    <s v="Umeå"/>
    <m/>
    <m/>
    <m/>
    <n v="0.5"/>
    <x v="1"/>
    <m/>
    <m/>
    <n v="1"/>
    <n v="0.25"/>
    <n v="0.85"/>
    <n v="0.21249999999999999"/>
    <n v="2180"/>
    <x v="12"/>
    <s v="Sam"/>
    <x v="13"/>
    <n v="26554"/>
    <n v="33465"/>
    <n v="13749.8125"/>
    <n v="6000"/>
    <n v="1500"/>
    <n v="15249.8125"/>
    <n v="0"/>
    <n v="0"/>
    <n v="0"/>
    <n v="1"/>
    <n v="0"/>
    <n v="0"/>
    <n v="0"/>
    <n v="0"/>
    <n v="0"/>
    <n v="0"/>
    <n v="0"/>
    <n v="0"/>
    <s v="SP 210928"/>
    <m/>
    <n v="0"/>
    <n v="0"/>
    <n v="0"/>
    <n v="0"/>
    <n v="0"/>
    <n v="0"/>
    <n v="0.25"/>
    <n v="0.21249999999999999"/>
    <n v="0"/>
    <n v="0"/>
    <n v="0"/>
    <n v="0"/>
    <n v="0"/>
    <n v="0"/>
    <n v="0"/>
    <n v="0"/>
    <n v="0"/>
    <n v="0"/>
    <n v="0"/>
    <n v="0"/>
    <n v="0"/>
    <n v="0"/>
    <n v="0"/>
    <n v="0"/>
  </r>
  <r>
    <x v="265"/>
    <x v="255"/>
    <m/>
    <x v="14"/>
    <s v="H20"/>
    <x v="1"/>
    <s v="H211-20"/>
    <s v="Umeå"/>
    <m/>
    <m/>
    <m/>
    <n v="0.5"/>
    <x v="1"/>
    <m/>
    <m/>
    <n v="43"/>
    <n v="10.75"/>
    <n v="0.85"/>
    <n v="9.1374999999999993"/>
    <n v="2180"/>
    <x v="12"/>
    <s v="Sam"/>
    <x v="13"/>
    <n v="26554"/>
    <n v="33465"/>
    <n v="591241.9375"/>
    <n v="6000"/>
    <n v="64500"/>
    <n v="655741.9375"/>
    <n v="0"/>
    <n v="0"/>
    <n v="0"/>
    <n v="1"/>
    <n v="0"/>
    <n v="0"/>
    <n v="0"/>
    <n v="0"/>
    <n v="0"/>
    <n v="0"/>
    <n v="0"/>
    <n v="0"/>
    <s v="SP 210928"/>
    <m/>
    <n v="0"/>
    <n v="0"/>
    <n v="0"/>
    <n v="0"/>
    <n v="0"/>
    <n v="0"/>
    <n v="10.75"/>
    <n v="9.1374999999999993"/>
    <n v="0"/>
    <n v="0"/>
    <n v="0"/>
    <n v="0"/>
    <n v="0"/>
    <n v="0"/>
    <n v="0"/>
    <n v="0"/>
    <n v="0"/>
    <n v="0"/>
    <n v="0"/>
    <n v="0"/>
    <n v="0"/>
    <n v="0"/>
    <n v="0"/>
    <n v="0"/>
  </r>
  <r>
    <x v="266"/>
    <x v="256"/>
    <n v="64504"/>
    <x v="14"/>
    <m/>
    <x v="0"/>
    <m/>
    <s v="Umeå"/>
    <s v="Distans"/>
    <m/>
    <m/>
    <m/>
    <x v="7"/>
    <m/>
    <m/>
    <n v="46"/>
    <n v="7.6669999999999998"/>
    <n v="0.85"/>
    <n v="6.5169499999999996"/>
    <n v="2180"/>
    <x v="12"/>
    <s v="Sam"/>
    <x v="13"/>
    <n v="26554"/>
    <n v="33465"/>
    <n v="421679.24974999996"/>
    <n v="6000"/>
    <n v="46002"/>
    <n v="467681.24974999996"/>
    <n v="0"/>
    <n v="0"/>
    <n v="0"/>
    <n v="1"/>
    <n v="0"/>
    <n v="0"/>
    <n v="0"/>
    <n v="0"/>
    <n v="0"/>
    <n v="0"/>
    <n v="0"/>
    <n v="0"/>
    <s v="Enl Fokus-Ladok 210601"/>
    <m/>
    <n v="0"/>
    <n v="0"/>
    <n v="0"/>
    <n v="0"/>
    <n v="0"/>
    <n v="0"/>
    <n v="7.6669999999999998"/>
    <n v="6.5169499999999996"/>
    <n v="0"/>
    <n v="0"/>
    <n v="0"/>
    <n v="0"/>
    <n v="0"/>
    <n v="0"/>
    <n v="0"/>
    <n v="0"/>
    <n v="0"/>
    <n v="0"/>
    <n v="0"/>
    <n v="0"/>
    <n v="0"/>
    <n v="0"/>
    <n v="0"/>
    <n v="0"/>
  </r>
  <r>
    <x v="267"/>
    <x v="257"/>
    <m/>
    <x v="14"/>
    <s v="H16"/>
    <x v="0"/>
    <s v="H201-20:V211-20"/>
    <s v="Umeå"/>
    <m/>
    <m/>
    <m/>
    <n v="0.5"/>
    <x v="1"/>
    <m/>
    <m/>
    <n v="1"/>
    <n v="0.25"/>
    <n v="0.85"/>
    <n v="0.21249999999999999"/>
    <n v="2180"/>
    <x v="12"/>
    <s v="Sam"/>
    <x v="13"/>
    <n v="25235"/>
    <n v="27976"/>
    <n v="12253.65"/>
    <n v="3600"/>
    <n v="900"/>
    <n v="13153.65"/>
    <n v="0"/>
    <n v="0"/>
    <n v="0"/>
    <n v="0"/>
    <n v="0"/>
    <n v="0"/>
    <n v="0"/>
    <n v="0"/>
    <n v="1"/>
    <n v="0"/>
    <n v="0"/>
    <n v="0"/>
    <s v="Enl SP 210218"/>
    <s v="Läser 15 av 30 hp denna termin"/>
    <n v="0"/>
    <n v="0"/>
    <n v="0"/>
    <n v="0"/>
    <n v="0"/>
    <n v="0"/>
    <n v="0"/>
    <n v="0"/>
    <n v="0"/>
    <n v="0"/>
    <n v="0"/>
    <n v="0"/>
    <n v="0"/>
    <n v="0"/>
    <n v="0"/>
    <n v="0"/>
    <n v="0.25"/>
    <n v="0.21249999999999999"/>
    <n v="0"/>
    <n v="0"/>
    <n v="0"/>
    <n v="0"/>
    <n v="0"/>
    <n v="0"/>
  </r>
  <r>
    <x v="267"/>
    <x v="257"/>
    <m/>
    <x v="14"/>
    <s v="H17"/>
    <x v="0"/>
    <s v="H201-20:V211-20"/>
    <s v="Umeå"/>
    <m/>
    <m/>
    <m/>
    <n v="0.5"/>
    <x v="1"/>
    <m/>
    <m/>
    <n v="2"/>
    <n v="0.5"/>
    <n v="0.85"/>
    <n v="0.42499999999999999"/>
    <n v="2180"/>
    <x v="12"/>
    <s v="Sam"/>
    <x v="13"/>
    <n v="25235"/>
    <n v="27976"/>
    <n v="24507.3"/>
    <n v="3600"/>
    <n v="1800"/>
    <n v="26307.3"/>
    <n v="0"/>
    <n v="0"/>
    <n v="0"/>
    <n v="0"/>
    <n v="0"/>
    <n v="0"/>
    <n v="0"/>
    <n v="0"/>
    <n v="1"/>
    <n v="0"/>
    <n v="0"/>
    <n v="0"/>
    <s v="Enl SP 210218"/>
    <s v="Läser 15 av 30 hp denna termin"/>
    <n v="0"/>
    <n v="0"/>
    <n v="0"/>
    <n v="0"/>
    <n v="0"/>
    <n v="0"/>
    <n v="0"/>
    <n v="0"/>
    <n v="0"/>
    <n v="0"/>
    <n v="0"/>
    <n v="0"/>
    <n v="0"/>
    <n v="0"/>
    <n v="0"/>
    <n v="0"/>
    <n v="0.5"/>
    <n v="0.42499999999999999"/>
    <n v="0"/>
    <n v="0"/>
    <n v="0"/>
    <n v="0"/>
    <n v="0"/>
    <n v="0"/>
  </r>
  <r>
    <x v="267"/>
    <x v="257"/>
    <m/>
    <x v="14"/>
    <s v="H17"/>
    <x v="1"/>
    <s v="H211-20:V221-20"/>
    <s v="Umeå"/>
    <m/>
    <m/>
    <m/>
    <n v="0.5"/>
    <x v="1"/>
    <m/>
    <m/>
    <n v="1"/>
    <n v="0.25"/>
    <n v="0.85"/>
    <n v="0.21249999999999999"/>
    <n v="2180"/>
    <x v="12"/>
    <s v="Sam"/>
    <x v="13"/>
    <n v="25235"/>
    <n v="27976"/>
    <n v="12253.65"/>
    <n v="3600"/>
    <n v="900"/>
    <n v="13153.65"/>
    <n v="0"/>
    <n v="0"/>
    <n v="0"/>
    <n v="0"/>
    <n v="0"/>
    <n v="0"/>
    <n v="0"/>
    <n v="0"/>
    <n v="1"/>
    <n v="0"/>
    <n v="0"/>
    <n v="0"/>
    <s v="SP 210928"/>
    <s v="Läser 15 av 30 hp denna termin"/>
    <n v="0"/>
    <n v="0"/>
    <n v="0"/>
    <n v="0"/>
    <n v="0"/>
    <n v="0"/>
    <n v="0"/>
    <n v="0"/>
    <n v="0"/>
    <n v="0"/>
    <n v="0"/>
    <n v="0"/>
    <n v="0"/>
    <n v="0"/>
    <n v="0"/>
    <n v="0"/>
    <n v="0.25"/>
    <n v="0.21249999999999999"/>
    <n v="0"/>
    <n v="0"/>
    <n v="0"/>
    <n v="0"/>
    <n v="0"/>
    <n v="0"/>
  </r>
  <r>
    <x v="267"/>
    <x v="257"/>
    <m/>
    <x v="14"/>
    <s v="H18"/>
    <x v="0"/>
    <s v="H201-20:V211-20"/>
    <s v="Umeå"/>
    <m/>
    <m/>
    <m/>
    <n v="0.5"/>
    <x v="1"/>
    <m/>
    <m/>
    <n v="37"/>
    <n v="9.25"/>
    <n v="0.85"/>
    <n v="7.8624999999999998"/>
    <n v="2180"/>
    <x v="12"/>
    <s v="Sam"/>
    <x v="13"/>
    <n v="25235"/>
    <n v="27976"/>
    <n v="453385.05"/>
    <n v="3600"/>
    <n v="33300"/>
    <n v="486685.05"/>
    <n v="0"/>
    <n v="0"/>
    <n v="0"/>
    <n v="0"/>
    <n v="0"/>
    <n v="0"/>
    <n v="0"/>
    <n v="0"/>
    <n v="1"/>
    <n v="0"/>
    <n v="0"/>
    <n v="0"/>
    <s v="Enl SP 210218"/>
    <s v="Läser 15 av 30 hp denna termin"/>
    <n v="0"/>
    <n v="0"/>
    <n v="0"/>
    <n v="0"/>
    <n v="0"/>
    <n v="0"/>
    <n v="0"/>
    <n v="0"/>
    <n v="0"/>
    <n v="0"/>
    <n v="0"/>
    <n v="0"/>
    <n v="0"/>
    <n v="0"/>
    <n v="0"/>
    <n v="0"/>
    <n v="9.25"/>
    <n v="7.8624999999999998"/>
    <n v="0"/>
    <n v="0"/>
    <n v="0"/>
    <n v="0"/>
    <n v="0"/>
    <n v="0"/>
  </r>
  <r>
    <x v="267"/>
    <x v="257"/>
    <m/>
    <x v="14"/>
    <s v="H18"/>
    <x v="1"/>
    <s v="H211-20:V221-20"/>
    <s v="Umeå"/>
    <m/>
    <m/>
    <m/>
    <n v="0.5"/>
    <x v="1"/>
    <m/>
    <m/>
    <n v="1"/>
    <n v="0.25"/>
    <n v="0.85"/>
    <n v="0.21249999999999999"/>
    <n v="2180"/>
    <x v="12"/>
    <s v="Sam"/>
    <x v="13"/>
    <n v="25235"/>
    <n v="27976"/>
    <n v="12253.65"/>
    <n v="3600"/>
    <n v="900"/>
    <n v="13153.65"/>
    <n v="0"/>
    <n v="0"/>
    <n v="0"/>
    <n v="0"/>
    <n v="0"/>
    <n v="0"/>
    <n v="0"/>
    <n v="0"/>
    <n v="1"/>
    <n v="0"/>
    <n v="0"/>
    <n v="0"/>
    <s v="SP 210928"/>
    <s v="Läser 15 av 30 hp denna termin"/>
    <n v="0"/>
    <n v="0"/>
    <n v="0"/>
    <n v="0"/>
    <n v="0"/>
    <n v="0"/>
    <n v="0"/>
    <n v="0"/>
    <n v="0"/>
    <n v="0"/>
    <n v="0"/>
    <n v="0"/>
    <n v="0"/>
    <n v="0"/>
    <n v="0"/>
    <n v="0"/>
    <n v="0.25"/>
    <n v="0.21249999999999999"/>
    <n v="0"/>
    <n v="0"/>
    <n v="0"/>
    <n v="0"/>
    <n v="0"/>
    <n v="0"/>
  </r>
  <r>
    <x v="267"/>
    <x v="257"/>
    <m/>
    <x v="14"/>
    <s v="H19"/>
    <x v="1"/>
    <s v="H211-20:V221-20"/>
    <s v="Umeå"/>
    <m/>
    <m/>
    <m/>
    <n v="0.5"/>
    <x v="1"/>
    <m/>
    <m/>
    <n v="66"/>
    <n v="16.5"/>
    <n v="0.85"/>
    <n v="14.025"/>
    <n v="2180"/>
    <x v="12"/>
    <s v="Sam"/>
    <x v="13"/>
    <n v="25235"/>
    <n v="27976"/>
    <n v="808740.9"/>
    <n v="3600"/>
    <n v="59400"/>
    <n v="868140.9"/>
    <n v="0"/>
    <n v="0"/>
    <n v="0"/>
    <n v="0"/>
    <n v="0"/>
    <n v="0"/>
    <n v="0"/>
    <n v="0"/>
    <n v="1"/>
    <n v="0"/>
    <n v="0"/>
    <n v="0"/>
    <s v="SP 210928"/>
    <s v="Läser 15 av 30 hp denna termin"/>
    <n v="0"/>
    <n v="0"/>
    <n v="0"/>
    <n v="0"/>
    <n v="0"/>
    <n v="0"/>
    <n v="0"/>
    <n v="0"/>
    <n v="0"/>
    <n v="0"/>
    <n v="0"/>
    <n v="0"/>
    <n v="0"/>
    <n v="0"/>
    <n v="0"/>
    <n v="0"/>
    <n v="16.5"/>
    <n v="14.025"/>
    <n v="0"/>
    <n v="0"/>
    <n v="0"/>
    <n v="0"/>
    <n v="0"/>
    <n v="0"/>
  </r>
  <r>
    <x v="268"/>
    <x v="258"/>
    <m/>
    <x v="11"/>
    <s v="H18"/>
    <x v="1"/>
    <s v="H211-5"/>
    <s v="Umeå"/>
    <s v="Campus"/>
    <m/>
    <m/>
    <n v="1"/>
    <x v="0"/>
    <m/>
    <m/>
    <n v="38"/>
    <n v="4.75"/>
    <n v="0.85"/>
    <n v="4.0374999999999996"/>
    <n v="2193"/>
    <x v="13"/>
    <s v="Sam"/>
    <x v="11"/>
    <n v="25235"/>
    <n v="27976"/>
    <n v="232819.34999999998"/>
    <n v="3600"/>
    <n v="17100"/>
    <n v="249919.34999999998"/>
    <n v="0"/>
    <n v="0"/>
    <n v="0"/>
    <n v="0"/>
    <n v="0"/>
    <n v="0"/>
    <n v="0"/>
    <n v="0"/>
    <n v="1"/>
    <n v="0"/>
    <n v="0"/>
    <n v="0"/>
    <s v="SP 210924"/>
    <m/>
    <n v="0"/>
    <n v="0"/>
    <n v="0"/>
    <n v="0"/>
    <n v="0"/>
    <n v="0"/>
    <n v="0"/>
    <n v="0"/>
    <n v="0"/>
    <n v="0"/>
    <n v="0"/>
    <n v="0"/>
    <n v="0"/>
    <n v="0"/>
    <n v="0"/>
    <n v="0"/>
    <n v="4.75"/>
    <n v="4.0374999999999996"/>
    <n v="0"/>
    <n v="0"/>
    <n v="0"/>
    <n v="0"/>
    <n v="0"/>
    <n v="0"/>
  </r>
  <r>
    <x v="268"/>
    <x v="258"/>
    <m/>
    <x v="11"/>
    <s v="V18"/>
    <x v="1"/>
    <s v="H211-5"/>
    <s v="Umeå"/>
    <s v="Campus"/>
    <m/>
    <m/>
    <n v="1"/>
    <x v="0"/>
    <m/>
    <m/>
    <n v="1"/>
    <n v="0.125"/>
    <n v="0.85"/>
    <n v="0.10625"/>
    <n v="2193"/>
    <x v="13"/>
    <s v="Sam"/>
    <x v="11"/>
    <n v="25235"/>
    <n v="27976"/>
    <n v="6126.8249999999998"/>
    <n v="3600"/>
    <n v="450"/>
    <n v="6576.8249999999998"/>
    <n v="0"/>
    <n v="0"/>
    <n v="0"/>
    <n v="0"/>
    <n v="0"/>
    <n v="0"/>
    <n v="0"/>
    <n v="0"/>
    <n v="1"/>
    <n v="0"/>
    <n v="0"/>
    <n v="0"/>
    <s v="SP 210924"/>
    <m/>
    <n v="0"/>
    <n v="0"/>
    <n v="0"/>
    <n v="0"/>
    <n v="0"/>
    <n v="0"/>
    <n v="0"/>
    <n v="0"/>
    <n v="0"/>
    <n v="0"/>
    <n v="0"/>
    <n v="0"/>
    <n v="0"/>
    <n v="0"/>
    <n v="0"/>
    <n v="0"/>
    <n v="0.125"/>
    <n v="0.10625"/>
    <n v="0"/>
    <n v="0"/>
    <n v="0"/>
    <n v="0"/>
    <n v="0"/>
    <n v="0"/>
  </r>
  <r>
    <x v="268"/>
    <x v="258"/>
    <m/>
    <x v="11"/>
    <s v="V19"/>
    <x v="1"/>
    <s v="H211-5"/>
    <s v="Umeå"/>
    <s v="Campus"/>
    <m/>
    <m/>
    <n v="1"/>
    <x v="0"/>
    <m/>
    <m/>
    <n v="1"/>
    <n v="0.125"/>
    <n v="0.85"/>
    <n v="0.10625"/>
    <n v="2193"/>
    <x v="13"/>
    <s v="Sam"/>
    <x v="11"/>
    <n v="25235"/>
    <n v="27976"/>
    <n v="6126.8249999999998"/>
    <n v="3600"/>
    <n v="450"/>
    <n v="6576.8249999999998"/>
    <n v="0"/>
    <n v="0"/>
    <n v="0"/>
    <n v="0"/>
    <n v="0"/>
    <n v="0"/>
    <n v="0"/>
    <n v="0"/>
    <n v="1"/>
    <n v="0"/>
    <n v="0"/>
    <n v="0"/>
    <s v="SP 210924"/>
    <m/>
    <n v="0"/>
    <n v="0"/>
    <n v="0"/>
    <n v="0"/>
    <n v="0"/>
    <n v="0"/>
    <n v="0"/>
    <n v="0"/>
    <n v="0"/>
    <n v="0"/>
    <n v="0"/>
    <n v="0"/>
    <n v="0"/>
    <n v="0"/>
    <n v="0"/>
    <n v="0"/>
    <n v="0.125"/>
    <n v="0.10625"/>
    <n v="0"/>
    <n v="0"/>
    <n v="0"/>
    <n v="0"/>
    <n v="0"/>
    <n v="0"/>
  </r>
  <r>
    <x v="268"/>
    <x v="258"/>
    <n v="68706"/>
    <x v="11"/>
    <m/>
    <x v="0"/>
    <m/>
    <s v="Umeå"/>
    <s v="Normal"/>
    <m/>
    <m/>
    <m/>
    <x v="0"/>
    <m/>
    <m/>
    <n v="17"/>
    <n v="2.125"/>
    <n v="0.85"/>
    <n v="1.8062499999999999"/>
    <n v="2193"/>
    <x v="13"/>
    <s v="Sam"/>
    <x v="11"/>
    <n v="25235"/>
    <n v="27976"/>
    <n v="104156.02499999999"/>
    <n v="3600"/>
    <n v="7650"/>
    <n v="111806.02499999999"/>
    <n v="0"/>
    <n v="0"/>
    <n v="0"/>
    <n v="0"/>
    <n v="0"/>
    <n v="0"/>
    <n v="0"/>
    <n v="0"/>
    <n v="1"/>
    <n v="0"/>
    <n v="0"/>
    <n v="0"/>
    <s v="Enl Fokus-Ladok 210601"/>
    <m/>
    <n v="0"/>
    <n v="0"/>
    <n v="0"/>
    <n v="0"/>
    <n v="0"/>
    <n v="0"/>
    <n v="0"/>
    <n v="0"/>
    <n v="0"/>
    <n v="0"/>
    <n v="0"/>
    <n v="0"/>
    <n v="0"/>
    <n v="0"/>
    <n v="0"/>
    <n v="0"/>
    <n v="2.125"/>
    <n v="1.8062499999999999"/>
    <n v="0"/>
    <n v="0"/>
    <n v="0"/>
    <n v="0"/>
    <n v="0"/>
    <n v="0"/>
  </r>
  <r>
    <x v="268"/>
    <x v="258"/>
    <n v="68719"/>
    <x v="11"/>
    <m/>
    <x v="0"/>
    <m/>
    <s v="Örnsköldsvik"/>
    <s v="Normal"/>
    <m/>
    <m/>
    <m/>
    <x v="0"/>
    <m/>
    <m/>
    <n v="16"/>
    <n v="2"/>
    <n v="0.85"/>
    <n v="1.7"/>
    <n v="2193"/>
    <x v="13"/>
    <s v="Sam"/>
    <x v="11"/>
    <n v="25235"/>
    <n v="27976"/>
    <n v="98029.2"/>
    <n v="3600"/>
    <n v="7200"/>
    <n v="105229.2"/>
    <n v="0"/>
    <n v="0"/>
    <n v="0"/>
    <n v="0"/>
    <n v="0"/>
    <n v="0"/>
    <n v="0"/>
    <n v="0"/>
    <n v="1"/>
    <n v="0"/>
    <n v="0"/>
    <n v="0"/>
    <s v="Enl Fokus-Ladok 210601"/>
    <m/>
    <n v="0"/>
    <n v="0"/>
    <n v="0"/>
    <n v="0"/>
    <n v="0"/>
    <n v="0"/>
    <n v="0"/>
    <n v="0"/>
    <n v="0"/>
    <n v="0"/>
    <n v="0"/>
    <n v="0"/>
    <n v="0"/>
    <n v="0"/>
    <n v="0"/>
    <n v="0"/>
    <n v="2"/>
    <n v="1.7"/>
    <n v="0"/>
    <n v="0"/>
    <n v="0"/>
    <n v="0"/>
    <n v="0"/>
    <n v="0"/>
  </r>
  <r>
    <x v="269"/>
    <x v="259"/>
    <m/>
    <x v="11"/>
    <s v="H18"/>
    <x v="1"/>
    <s v="H216-10"/>
    <s v="Umeå"/>
    <s v="Campus"/>
    <m/>
    <m/>
    <n v="1"/>
    <x v="0"/>
    <m/>
    <m/>
    <n v="38"/>
    <n v="4.75"/>
    <n v="0.85"/>
    <n v="4.0374999999999996"/>
    <n v="2193"/>
    <x v="13"/>
    <s v="Sam"/>
    <x v="11"/>
    <n v="26554"/>
    <n v="33465"/>
    <n v="261246.4375"/>
    <n v="6000"/>
    <n v="28500"/>
    <n v="289746.4375"/>
    <n v="0"/>
    <n v="0"/>
    <n v="0"/>
    <n v="1"/>
    <n v="0"/>
    <n v="0"/>
    <n v="0"/>
    <n v="0"/>
    <n v="0"/>
    <n v="0"/>
    <n v="0"/>
    <n v="0"/>
    <s v="SP 210924"/>
    <m/>
    <n v="0"/>
    <n v="0"/>
    <n v="0"/>
    <n v="0"/>
    <n v="0"/>
    <n v="0"/>
    <n v="4.75"/>
    <n v="4.0374999999999996"/>
    <n v="0"/>
    <n v="0"/>
    <n v="0"/>
    <n v="0"/>
    <n v="0"/>
    <n v="0"/>
    <n v="0"/>
    <n v="0"/>
    <n v="0"/>
    <n v="0"/>
    <n v="0"/>
    <n v="0"/>
    <n v="0"/>
    <n v="0"/>
    <n v="0"/>
    <n v="0"/>
  </r>
  <r>
    <x v="269"/>
    <x v="259"/>
    <m/>
    <x v="11"/>
    <s v="V18"/>
    <x v="1"/>
    <s v="H216-10"/>
    <s v="Umeå"/>
    <s v="Campus"/>
    <m/>
    <m/>
    <n v="1"/>
    <x v="0"/>
    <m/>
    <m/>
    <n v="1"/>
    <n v="0.125"/>
    <n v="0.85"/>
    <n v="0.10625"/>
    <n v="2193"/>
    <x v="13"/>
    <s v="Sam"/>
    <x v="11"/>
    <n v="26554"/>
    <n v="33465"/>
    <n v="6874.90625"/>
    <n v="6000"/>
    <n v="750"/>
    <n v="7624.90625"/>
    <n v="0"/>
    <n v="0"/>
    <n v="0"/>
    <n v="1"/>
    <n v="0"/>
    <n v="0"/>
    <n v="0"/>
    <n v="0"/>
    <n v="0"/>
    <n v="0"/>
    <n v="0"/>
    <n v="0"/>
    <s v="SP 210924"/>
    <m/>
    <n v="0"/>
    <n v="0"/>
    <n v="0"/>
    <n v="0"/>
    <n v="0"/>
    <n v="0"/>
    <n v="0.125"/>
    <n v="0.10625"/>
    <n v="0"/>
    <n v="0"/>
    <n v="0"/>
    <n v="0"/>
    <n v="0"/>
    <n v="0"/>
    <n v="0"/>
    <n v="0"/>
    <n v="0"/>
    <n v="0"/>
    <n v="0"/>
    <n v="0"/>
    <n v="0"/>
    <n v="0"/>
    <n v="0"/>
    <n v="0"/>
  </r>
  <r>
    <x v="269"/>
    <x v="259"/>
    <m/>
    <x v="11"/>
    <s v="V19"/>
    <x v="1"/>
    <s v="H216-10"/>
    <s v="Umeå"/>
    <s v="Campus"/>
    <m/>
    <m/>
    <n v="1"/>
    <x v="0"/>
    <m/>
    <m/>
    <n v="1"/>
    <n v="0.125"/>
    <n v="0.85"/>
    <n v="0.10625"/>
    <n v="2193"/>
    <x v="13"/>
    <s v="Sam"/>
    <x v="11"/>
    <n v="26554"/>
    <n v="33465"/>
    <n v="6874.90625"/>
    <n v="6000"/>
    <n v="750"/>
    <n v="7624.90625"/>
    <n v="0"/>
    <n v="0"/>
    <n v="0"/>
    <n v="1"/>
    <n v="0"/>
    <n v="0"/>
    <n v="0"/>
    <n v="0"/>
    <n v="0"/>
    <n v="0"/>
    <n v="0"/>
    <n v="0"/>
    <s v="SP 210924"/>
    <m/>
    <n v="0"/>
    <n v="0"/>
    <n v="0"/>
    <n v="0"/>
    <n v="0"/>
    <n v="0"/>
    <n v="0.125"/>
    <n v="0.10625"/>
    <n v="0"/>
    <n v="0"/>
    <n v="0"/>
    <n v="0"/>
    <n v="0"/>
    <n v="0"/>
    <n v="0"/>
    <n v="0"/>
    <n v="0"/>
    <n v="0"/>
    <n v="0"/>
    <n v="0"/>
    <n v="0"/>
    <n v="0"/>
    <n v="0"/>
    <n v="0"/>
  </r>
  <r>
    <x v="269"/>
    <x v="259"/>
    <n v="68707"/>
    <x v="11"/>
    <m/>
    <x v="0"/>
    <m/>
    <s v="Umeå"/>
    <s v="Normal"/>
    <m/>
    <m/>
    <m/>
    <x v="0"/>
    <m/>
    <m/>
    <n v="18"/>
    <n v="2.25"/>
    <n v="0.85"/>
    <n v="1.9124999999999999"/>
    <n v="2193"/>
    <x v="13"/>
    <s v="Sam"/>
    <x v="11"/>
    <n v="26554"/>
    <n v="33465"/>
    <n v="123748.3125"/>
    <n v="6000"/>
    <n v="13500"/>
    <n v="137248.3125"/>
    <n v="0"/>
    <n v="0"/>
    <n v="0"/>
    <n v="1"/>
    <n v="0"/>
    <n v="0"/>
    <n v="0"/>
    <n v="0"/>
    <n v="0"/>
    <n v="0"/>
    <n v="0"/>
    <n v="0"/>
    <s v="Enl Fokus-Ladok 210601"/>
    <m/>
    <n v="0"/>
    <n v="0"/>
    <n v="0"/>
    <n v="0"/>
    <n v="0"/>
    <n v="0"/>
    <n v="2.25"/>
    <n v="1.9124999999999999"/>
    <n v="0"/>
    <n v="0"/>
    <n v="0"/>
    <n v="0"/>
    <n v="0"/>
    <n v="0"/>
    <n v="0"/>
    <n v="0"/>
    <n v="0"/>
    <n v="0"/>
    <n v="0"/>
    <n v="0"/>
    <n v="0"/>
    <n v="0"/>
    <n v="0"/>
    <n v="0"/>
  </r>
  <r>
    <x v="269"/>
    <x v="259"/>
    <n v="68720"/>
    <x v="11"/>
    <m/>
    <x v="0"/>
    <m/>
    <s v="Örnsköldsvik"/>
    <s v="Normal"/>
    <m/>
    <m/>
    <m/>
    <x v="0"/>
    <m/>
    <m/>
    <n v="16"/>
    <n v="2"/>
    <n v="0.85"/>
    <n v="1.7"/>
    <n v="2193"/>
    <x v="13"/>
    <s v="Sam"/>
    <x v="11"/>
    <n v="26554"/>
    <n v="33465"/>
    <n v="109998.5"/>
    <n v="6000"/>
    <n v="12000"/>
    <n v="121998.5"/>
    <n v="0"/>
    <n v="0"/>
    <n v="0"/>
    <n v="1"/>
    <n v="0"/>
    <n v="0"/>
    <n v="0"/>
    <n v="0"/>
    <n v="0"/>
    <n v="0"/>
    <n v="0"/>
    <n v="0"/>
    <s v="Enl Fokus-Ladok 210601"/>
    <m/>
    <n v="0"/>
    <n v="0"/>
    <n v="0"/>
    <n v="0"/>
    <n v="0"/>
    <n v="0"/>
    <n v="2"/>
    <n v="1.7"/>
    <n v="0"/>
    <n v="0"/>
    <n v="0"/>
    <n v="0"/>
    <n v="0"/>
    <n v="0"/>
    <n v="0"/>
    <n v="0"/>
    <n v="0"/>
    <n v="0"/>
    <n v="0"/>
    <n v="0"/>
    <n v="0"/>
    <n v="0"/>
    <n v="0"/>
    <n v="0"/>
  </r>
  <r>
    <x v="270"/>
    <x v="260"/>
    <m/>
    <x v="11"/>
    <s v="H18"/>
    <x v="1"/>
    <s v="H2111-20"/>
    <s v="Umeå"/>
    <s v="Campus"/>
    <m/>
    <m/>
    <n v="1"/>
    <x v="1"/>
    <m/>
    <m/>
    <n v="38"/>
    <n v="9.5"/>
    <n v="0.85"/>
    <n v="8.0749999999999993"/>
    <n v="2193"/>
    <x v="13"/>
    <s v="Sam"/>
    <x v="11"/>
    <n v="20766"/>
    <n v="17442"/>
    <n v="338121.15"/>
    <n v="6000"/>
    <n v="57000"/>
    <n v="395121.15"/>
    <n v="0"/>
    <n v="0"/>
    <n v="0"/>
    <n v="0"/>
    <n v="0"/>
    <n v="0"/>
    <n v="1"/>
    <n v="0"/>
    <n v="0"/>
    <n v="0"/>
    <n v="0"/>
    <n v="0"/>
    <s v="SP 210924"/>
    <m/>
    <n v="0"/>
    <n v="0"/>
    <n v="0"/>
    <n v="0"/>
    <n v="0"/>
    <n v="0"/>
    <n v="0"/>
    <n v="0"/>
    <n v="0"/>
    <n v="0"/>
    <n v="0"/>
    <n v="0"/>
    <n v="9.5"/>
    <n v="8.0749999999999993"/>
    <n v="0"/>
    <n v="0"/>
    <n v="0"/>
    <n v="0"/>
    <n v="0"/>
    <n v="0"/>
    <n v="0"/>
    <n v="0"/>
    <n v="0"/>
    <n v="0"/>
  </r>
  <r>
    <x v="270"/>
    <x v="260"/>
    <m/>
    <x v="11"/>
    <s v="V18"/>
    <x v="1"/>
    <s v="H2111-20"/>
    <s v="Umeå"/>
    <s v="Campus"/>
    <m/>
    <m/>
    <n v="1"/>
    <x v="1"/>
    <m/>
    <m/>
    <n v="1"/>
    <n v="0.25"/>
    <n v="0.85"/>
    <n v="0.21249999999999999"/>
    <n v="2193"/>
    <x v="13"/>
    <s v="Sam"/>
    <x v="11"/>
    <n v="20766"/>
    <n v="17442"/>
    <n v="8897.9249999999993"/>
    <n v="6000"/>
    <n v="1500"/>
    <n v="10397.924999999999"/>
    <n v="0"/>
    <n v="0"/>
    <n v="0"/>
    <n v="0"/>
    <n v="0"/>
    <n v="0"/>
    <n v="1"/>
    <n v="0"/>
    <n v="0"/>
    <n v="0"/>
    <n v="0"/>
    <n v="0"/>
    <s v="SP 210924"/>
    <m/>
    <n v="0"/>
    <n v="0"/>
    <n v="0"/>
    <n v="0"/>
    <n v="0"/>
    <n v="0"/>
    <n v="0"/>
    <n v="0"/>
    <n v="0"/>
    <n v="0"/>
    <n v="0"/>
    <n v="0"/>
    <n v="0.25"/>
    <n v="0.21249999999999999"/>
    <n v="0"/>
    <n v="0"/>
    <n v="0"/>
    <n v="0"/>
    <n v="0"/>
    <n v="0"/>
    <n v="0"/>
    <n v="0"/>
    <n v="0"/>
    <n v="0"/>
  </r>
  <r>
    <x v="270"/>
    <x v="260"/>
    <m/>
    <x v="11"/>
    <s v="V19"/>
    <x v="1"/>
    <s v="H2111-20"/>
    <s v="Umeå"/>
    <s v="Campus"/>
    <m/>
    <m/>
    <n v="1"/>
    <x v="1"/>
    <m/>
    <m/>
    <n v="1"/>
    <n v="0.25"/>
    <n v="0.85"/>
    <n v="0.21249999999999999"/>
    <n v="2193"/>
    <x v="13"/>
    <s v="Sam"/>
    <x v="11"/>
    <n v="20766"/>
    <n v="17442"/>
    <n v="8897.9249999999993"/>
    <n v="6000"/>
    <n v="1500"/>
    <n v="10397.924999999999"/>
    <n v="0"/>
    <n v="0"/>
    <n v="0"/>
    <n v="0"/>
    <n v="0"/>
    <n v="0"/>
    <n v="1"/>
    <n v="0"/>
    <n v="0"/>
    <n v="0"/>
    <n v="0"/>
    <n v="0"/>
    <s v="SP 210924"/>
    <m/>
    <n v="0"/>
    <n v="0"/>
    <n v="0"/>
    <n v="0"/>
    <n v="0"/>
    <n v="0"/>
    <n v="0"/>
    <n v="0"/>
    <n v="0"/>
    <n v="0"/>
    <n v="0"/>
    <n v="0"/>
    <n v="0.25"/>
    <n v="0.21249999999999999"/>
    <n v="0"/>
    <n v="0"/>
    <n v="0"/>
    <n v="0"/>
    <n v="0"/>
    <n v="0"/>
    <n v="0"/>
    <n v="0"/>
    <n v="0"/>
    <n v="0"/>
  </r>
  <r>
    <x v="270"/>
    <x v="260"/>
    <n v="68712"/>
    <x v="11"/>
    <m/>
    <x v="0"/>
    <m/>
    <s v="Umeå"/>
    <s v="Normal"/>
    <m/>
    <m/>
    <m/>
    <x v="1"/>
    <m/>
    <m/>
    <n v="18"/>
    <n v="4.5"/>
    <n v="0.85"/>
    <n v="3.8249999999999997"/>
    <n v="2193"/>
    <x v="13"/>
    <s v="Sam"/>
    <x v="11"/>
    <n v="20766"/>
    <n v="17442"/>
    <n v="160162.65"/>
    <n v="6000"/>
    <n v="27000"/>
    <n v="187162.65"/>
    <n v="0"/>
    <n v="0"/>
    <n v="0"/>
    <n v="0"/>
    <n v="0"/>
    <n v="0"/>
    <n v="1"/>
    <n v="0"/>
    <n v="0"/>
    <n v="0"/>
    <n v="0"/>
    <n v="0"/>
    <s v="Enl Fokus-Ladok 210601"/>
    <m/>
    <n v="0"/>
    <n v="0"/>
    <n v="0"/>
    <n v="0"/>
    <n v="0"/>
    <n v="0"/>
    <n v="0"/>
    <n v="0"/>
    <n v="0"/>
    <n v="0"/>
    <n v="0"/>
    <n v="0"/>
    <n v="4.5"/>
    <n v="3.8249999999999997"/>
    <n v="0"/>
    <n v="0"/>
    <n v="0"/>
    <n v="0"/>
    <n v="0"/>
    <n v="0"/>
    <n v="0"/>
    <n v="0"/>
    <n v="0"/>
    <n v="0"/>
  </r>
  <r>
    <x v="270"/>
    <x v="260"/>
    <n v="68721"/>
    <x v="11"/>
    <m/>
    <x v="0"/>
    <m/>
    <s v="Örnsköldsvik"/>
    <s v="Normal"/>
    <m/>
    <m/>
    <m/>
    <x v="1"/>
    <m/>
    <m/>
    <n v="16"/>
    <n v="4"/>
    <n v="0.85"/>
    <n v="3.4"/>
    <n v="2193"/>
    <x v="13"/>
    <s v="Sam"/>
    <x v="11"/>
    <n v="20766"/>
    <n v="17442"/>
    <n v="142366.79999999999"/>
    <n v="6000"/>
    <n v="24000"/>
    <n v="166366.79999999999"/>
    <n v="0"/>
    <n v="0"/>
    <n v="0"/>
    <n v="0"/>
    <n v="0"/>
    <n v="0"/>
    <n v="1"/>
    <n v="0"/>
    <n v="0"/>
    <n v="0"/>
    <n v="0"/>
    <n v="0"/>
    <s v="Enl Fokus-Ladok 210601"/>
    <m/>
    <n v="0"/>
    <n v="0"/>
    <n v="0"/>
    <n v="0"/>
    <n v="0"/>
    <n v="0"/>
    <n v="0"/>
    <n v="0"/>
    <n v="0"/>
    <n v="0"/>
    <n v="0"/>
    <n v="0"/>
    <n v="4"/>
    <n v="3.4"/>
    <n v="0"/>
    <n v="0"/>
    <n v="0"/>
    <n v="0"/>
    <n v="0"/>
    <n v="0"/>
    <n v="0"/>
    <n v="0"/>
    <n v="0"/>
    <n v="0"/>
  </r>
  <r>
    <x v="271"/>
    <x v="261"/>
    <n v="68724"/>
    <x v="12"/>
    <m/>
    <x v="0"/>
    <m/>
    <s v="Umeå"/>
    <s v="Normal"/>
    <m/>
    <m/>
    <m/>
    <x v="9"/>
    <m/>
    <m/>
    <n v="15"/>
    <n v="2"/>
    <n v="0.85"/>
    <n v="1.7"/>
    <n v="2193"/>
    <x v="13"/>
    <s v="Sam"/>
    <x v="12"/>
    <n v="26554"/>
    <n v="33465"/>
    <n v="109998.5"/>
    <n v="6000"/>
    <n v="12000"/>
    <n v="121998.5"/>
    <n v="0"/>
    <n v="0"/>
    <n v="0"/>
    <n v="1"/>
    <n v="0"/>
    <n v="0"/>
    <n v="0"/>
    <n v="0"/>
    <n v="0"/>
    <n v="0"/>
    <n v="0"/>
    <n v="0"/>
    <s v="Enl Fokus-Ladok 210601"/>
    <m/>
    <n v="0"/>
    <n v="0"/>
    <n v="0"/>
    <n v="0"/>
    <n v="0"/>
    <n v="0"/>
    <n v="2"/>
    <n v="1.7"/>
    <n v="0"/>
    <n v="0"/>
    <n v="0"/>
    <n v="0"/>
    <n v="0"/>
    <n v="0"/>
    <n v="0"/>
    <n v="0"/>
    <n v="0"/>
    <n v="0"/>
    <n v="0"/>
    <n v="0"/>
    <n v="0"/>
    <n v="0"/>
    <n v="0"/>
    <n v="0"/>
  </r>
  <r>
    <x v="272"/>
    <x v="262"/>
    <m/>
    <x v="3"/>
    <m/>
    <x v="1"/>
    <m/>
    <m/>
    <s v="Distans"/>
    <m/>
    <m/>
    <n v="0.25"/>
    <x v="0"/>
    <m/>
    <m/>
    <n v="15"/>
    <n v="1.875"/>
    <n v="0.8"/>
    <n v="1.5"/>
    <n v="2180"/>
    <x v="12"/>
    <s v="Sam"/>
    <x v="3"/>
    <n v="26554"/>
    <n v="33465"/>
    <n v="99986.25"/>
    <n v="6000"/>
    <n v="11250"/>
    <n v="111236.25"/>
    <n v="0"/>
    <n v="0"/>
    <n v="0"/>
    <n v="1"/>
    <n v="0"/>
    <n v="0"/>
    <n v="0"/>
    <n v="0"/>
    <n v="0"/>
    <n v="0"/>
    <n v="0"/>
    <n v="0"/>
    <s v="Äskat/Beslutat 200611 p.39"/>
    <m/>
    <n v="0"/>
    <n v="0"/>
    <n v="0"/>
    <n v="0"/>
    <n v="0"/>
    <n v="0"/>
    <n v="1.875"/>
    <n v="1.5"/>
    <n v="0"/>
    <n v="0"/>
    <n v="0"/>
    <n v="0"/>
    <n v="0"/>
    <n v="0"/>
    <n v="0"/>
    <n v="0"/>
    <n v="0"/>
    <n v="0"/>
    <n v="0"/>
    <n v="0"/>
    <n v="0"/>
    <n v="0"/>
    <n v="0"/>
    <n v="0"/>
  </r>
  <r>
    <x v="273"/>
    <x v="230"/>
    <m/>
    <x v="11"/>
    <s v="H19"/>
    <x v="1"/>
    <s v="H2114-20"/>
    <s v="Umeå"/>
    <s v="Campus"/>
    <m/>
    <m/>
    <n v="1"/>
    <x v="7"/>
    <m/>
    <m/>
    <n v="1"/>
    <n v="0.16666666666666666"/>
    <n v="0.85"/>
    <n v="0.14166666666666666"/>
    <n v="2193"/>
    <x v="13"/>
    <s v="Sam"/>
    <x v="11"/>
    <n v="25235"/>
    <n v="27976"/>
    <n v="8169.0999999999995"/>
    <n v="3600"/>
    <n v="600"/>
    <n v="8769.0999999999985"/>
    <n v="0"/>
    <n v="0"/>
    <n v="0"/>
    <n v="0"/>
    <n v="0"/>
    <n v="0"/>
    <n v="0"/>
    <n v="0"/>
    <n v="1"/>
    <n v="0"/>
    <n v="0"/>
    <n v="0"/>
    <s v="SP 210924"/>
    <m/>
    <n v="0"/>
    <n v="0"/>
    <n v="0"/>
    <n v="0"/>
    <n v="0"/>
    <n v="0"/>
    <n v="0"/>
    <n v="0"/>
    <n v="0"/>
    <n v="0"/>
    <n v="0"/>
    <n v="0"/>
    <n v="0"/>
    <n v="0"/>
    <n v="0"/>
    <n v="0"/>
    <n v="0.16666666666666666"/>
    <n v="0.14166666666666666"/>
    <n v="0"/>
    <n v="0"/>
    <n v="0"/>
    <n v="0"/>
    <n v="0"/>
    <n v="0"/>
  </r>
  <r>
    <x v="273"/>
    <x v="230"/>
    <m/>
    <x v="11"/>
    <s v="V21"/>
    <x v="1"/>
    <s v="H2114-20"/>
    <s v="Umeå"/>
    <s v="Campus"/>
    <m/>
    <m/>
    <n v="1"/>
    <x v="7"/>
    <m/>
    <m/>
    <n v="25"/>
    <n v="4.1666666666666661"/>
    <n v="0.85"/>
    <n v="3.5416666666666661"/>
    <n v="2193"/>
    <x v="13"/>
    <s v="Sam"/>
    <x v="11"/>
    <n v="25235"/>
    <n v="27976"/>
    <n v="204227.49999999997"/>
    <n v="3600"/>
    <n v="14999.999999999998"/>
    <n v="219227.49999999997"/>
    <n v="0"/>
    <n v="0"/>
    <n v="0"/>
    <n v="0"/>
    <n v="0"/>
    <n v="0"/>
    <n v="0"/>
    <n v="0"/>
    <n v="1"/>
    <n v="0"/>
    <n v="0"/>
    <n v="0"/>
    <s v="SP 210924"/>
    <m/>
    <n v="0"/>
    <n v="0"/>
    <n v="0"/>
    <n v="0"/>
    <n v="0"/>
    <n v="0"/>
    <n v="0"/>
    <n v="0"/>
    <n v="0"/>
    <n v="0"/>
    <n v="0"/>
    <n v="0"/>
    <n v="0"/>
    <n v="0"/>
    <n v="0"/>
    <n v="0"/>
    <n v="4.1666666666666661"/>
    <n v="3.5416666666666661"/>
    <n v="0"/>
    <n v="0"/>
    <n v="0"/>
    <n v="0"/>
    <n v="0"/>
    <n v="0"/>
  </r>
  <r>
    <x v="274"/>
    <x v="232"/>
    <m/>
    <x v="11"/>
    <s v="H18"/>
    <x v="1"/>
    <s v="H214-10"/>
    <s v="Umeå"/>
    <s v="Campus"/>
    <m/>
    <m/>
    <n v="1"/>
    <x v="13"/>
    <m/>
    <m/>
    <n v="1"/>
    <n v="0.18333333333333332"/>
    <n v="0.85"/>
    <n v="0.15583333333333332"/>
    <n v="2193"/>
    <x v="13"/>
    <s v="Sam"/>
    <x v="11"/>
    <n v="25235"/>
    <n v="27976"/>
    <n v="8986.0099999999984"/>
    <n v="3600"/>
    <n v="660"/>
    <n v="9646.0099999999984"/>
    <n v="0"/>
    <n v="0"/>
    <n v="0"/>
    <n v="0"/>
    <n v="0"/>
    <n v="0"/>
    <n v="0"/>
    <n v="0"/>
    <n v="1"/>
    <n v="0"/>
    <n v="0"/>
    <n v="0"/>
    <s v="SP 210924"/>
    <m/>
    <n v="0"/>
    <n v="0"/>
    <n v="0"/>
    <n v="0"/>
    <n v="0"/>
    <n v="0"/>
    <n v="0"/>
    <n v="0"/>
    <n v="0"/>
    <n v="0"/>
    <n v="0"/>
    <n v="0"/>
    <n v="0"/>
    <n v="0"/>
    <n v="0"/>
    <n v="0"/>
    <n v="0.18333333333333332"/>
    <n v="0.15583333333333332"/>
    <n v="0"/>
    <n v="0"/>
    <n v="0"/>
    <n v="0"/>
    <n v="0"/>
    <n v="0"/>
  </r>
  <r>
    <x v="274"/>
    <x v="232"/>
    <m/>
    <x v="11"/>
    <s v="H19"/>
    <x v="1"/>
    <s v="H214-10"/>
    <s v="Umeå"/>
    <s v="Campus"/>
    <m/>
    <m/>
    <n v="1"/>
    <x v="13"/>
    <m/>
    <m/>
    <n v="38"/>
    <n v="6.9666666666666659"/>
    <n v="0.85"/>
    <n v="5.921666666666666"/>
    <n v="2193"/>
    <x v="13"/>
    <s v="Sam"/>
    <x v="11"/>
    <n v="25235"/>
    <n v="27976"/>
    <n v="341468.38"/>
    <n v="3600"/>
    <n v="25079.999999999996"/>
    <n v="366548.38"/>
    <n v="0"/>
    <n v="0"/>
    <n v="0"/>
    <n v="0"/>
    <n v="0"/>
    <n v="0"/>
    <n v="0"/>
    <n v="0"/>
    <n v="1"/>
    <n v="0"/>
    <n v="0"/>
    <n v="0"/>
    <s v="SP 210924"/>
    <m/>
    <n v="0"/>
    <n v="0"/>
    <n v="0"/>
    <n v="0"/>
    <n v="0"/>
    <n v="0"/>
    <n v="0"/>
    <n v="0"/>
    <n v="0"/>
    <n v="0"/>
    <n v="0"/>
    <n v="0"/>
    <n v="0"/>
    <n v="0"/>
    <n v="0"/>
    <n v="0"/>
    <n v="6.9666666666666659"/>
    <n v="5.921666666666666"/>
    <n v="0"/>
    <n v="0"/>
    <n v="0"/>
    <n v="0"/>
    <n v="0"/>
    <n v="0"/>
  </r>
  <r>
    <x v="275"/>
    <x v="263"/>
    <m/>
    <x v="0"/>
    <s v="H17"/>
    <x v="1"/>
    <s v="H2116-20:V221-15"/>
    <s v="Umeå"/>
    <m/>
    <s v="HIST"/>
    <m/>
    <n v="1"/>
    <x v="0"/>
    <m/>
    <m/>
    <n v="1"/>
    <n v="0.125"/>
    <n v="0.85"/>
    <n v="0.10625"/>
    <n v="1630"/>
    <x v="11"/>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275"/>
    <x v="263"/>
    <m/>
    <x v="0"/>
    <s v="H17"/>
    <x v="1"/>
    <s v="H2116-20:V221-15"/>
    <s v="Umeå"/>
    <m/>
    <s v="RELK"/>
    <m/>
    <n v="1"/>
    <x v="0"/>
    <m/>
    <m/>
    <n v="1"/>
    <n v="0.125"/>
    <n v="0.85"/>
    <n v="0.10625"/>
    <n v="1630"/>
    <x v="11"/>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275"/>
    <x v="263"/>
    <m/>
    <x v="0"/>
    <s v="H18"/>
    <x v="1"/>
    <s v="H2116-20:V221-15"/>
    <s v="Umeå"/>
    <m/>
    <s v="RELK"/>
    <m/>
    <n v="1"/>
    <x v="0"/>
    <m/>
    <m/>
    <n v="1"/>
    <n v="0.125"/>
    <n v="0.85"/>
    <n v="0.10625"/>
    <n v="1630"/>
    <x v="11"/>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276"/>
    <x v="264"/>
    <m/>
    <x v="0"/>
    <s v="H16"/>
    <x v="1"/>
    <s v="H211-15"/>
    <s v="Umeå"/>
    <m/>
    <s v="RELK"/>
    <m/>
    <n v="1"/>
    <x v="2"/>
    <m/>
    <m/>
    <n v="1"/>
    <n v="0.375"/>
    <n v="0.85"/>
    <n v="0.31874999999999998"/>
    <n v="1630"/>
    <x v="11"/>
    <s v="Hu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276"/>
    <x v="264"/>
    <m/>
    <x v="0"/>
    <s v="H17"/>
    <x v="1"/>
    <s v="H211-15"/>
    <s v="Umeå"/>
    <m/>
    <s v="RELK"/>
    <m/>
    <n v="1"/>
    <x v="2"/>
    <m/>
    <m/>
    <n v="2"/>
    <n v="0.75"/>
    <n v="0.85"/>
    <n v="0.63749999999999996"/>
    <n v="1630"/>
    <x v="11"/>
    <s v="Hum"/>
    <x v="0"/>
    <n v="25235"/>
    <n v="27976"/>
    <n v="36760.949999999997"/>
    <n v="3600"/>
    <n v="2700"/>
    <n v="39460.949999999997"/>
    <n v="0"/>
    <n v="0"/>
    <n v="0"/>
    <n v="0"/>
    <n v="0"/>
    <n v="0"/>
    <n v="0"/>
    <n v="0"/>
    <n v="1"/>
    <n v="0"/>
    <n v="0"/>
    <n v="0"/>
    <s v="SP 210924"/>
    <m/>
    <n v="0"/>
    <n v="0"/>
    <n v="0"/>
    <n v="0"/>
    <n v="0"/>
    <n v="0"/>
    <n v="0"/>
    <n v="0"/>
    <n v="0"/>
    <n v="0"/>
    <n v="0"/>
    <n v="0"/>
    <n v="0"/>
    <n v="0"/>
    <n v="0"/>
    <n v="0"/>
    <n v="0.75"/>
    <n v="0.63749999999999996"/>
    <n v="0"/>
    <n v="0"/>
    <n v="0"/>
    <n v="0"/>
    <n v="0"/>
    <n v="0"/>
  </r>
  <r>
    <x v="276"/>
    <x v="264"/>
    <m/>
    <x v="0"/>
    <s v="H18"/>
    <x v="1"/>
    <s v="H211-15"/>
    <s v="Umeå"/>
    <m/>
    <s v="RELK"/>
    <m/>
    <n v="1"/>
    <x v="2"/>
    <m/>
    <m/>
    <n v="1"/>
    <n v="0.375"/>
    <n v="0.85"/>
    <n v="0.31874999999999998"/>
    <n v="1630"/>
    <x v="11"/>
    <s v="Hum"/>
    <x v="0"/>
    <n v="25235"/>
    <n v="27976"/>
    <n v="18380.474999999999"/>
    <n v="3600"/>
    <n v="1350"/>
    <n v="19730.474999999999"/>
    <n v="0"/>
    <n v="0"/>
    <n v="0"/>
    <n v="0"/>
    <n v="0"/>
    <n v="0"/>
    <n v="0"/>
    <n v="0"/>
    <n v="1"/>
    <n v="0"/>
    <n v="0"/>
    <n v="0"/>
    <s v="SP 210924"/>
    <m/>
    <n v="0"/>
    <n v="0"/>
    <n v="0"/>
    <n v="0"/>
    <n v="0"/>
    <n v="0"/>
    <n v="0"/>
    <n v="0"/>
    <n v="0"/>
    <n v="0"/>
    <n v="0"/>
    <n v="0"/>
    <n v="0"/>
    <n v="0"/>
    <n v="0"/>
    <n v="0"/>
    <n v="0.375"/>
    <n v="0.31874999999999998"/>
    <n v="0"/>
    <n v="0"/>
    <n v="0"/>
    <n v="0"/>
    <n v="0"/>
    <n v="0"/>
  </r>
  <r>
    <x v="276"/>
    <x v="264"/>
    <n v="71242"/>
    <x v="0"/>
    <m/>
    <x v="0"/>
    <m/>
    <s v="Umeå"/>
    <s v="Normal"/>
    <s v="RELK"/>
    <m/>
    <m/>
    <x v="2"/>
    <m/>
    <m/>
    <n v="4"/>
    <n v="1.5"/>
    <n v="0.85"/>
    <n v="1.2749999999999999"/>
    <n v="1630"/>
    <x v="11"/>
    <s v="Hum"/>
    <x v="0"/>
    <n v="25235"/>
    <n v="27976"/>
    <n v="73521.899999999994"/>
    <n v="3600"/>
    <n v="5400"/>
    <n v="78921.899999999994"/>
    <n v="0"/>
    <n v="0"/>
    <n v="0"/>
    <n v="0"/>
    <n v="0"/>
    <n v="0"/>
    <n v="0"/>
    <n v="0"/>
    <n v="1"/>
    <n v="0"/>
    <n v="0"/>
    <n v="0"/>
    <s v="Enl Fokus-Ladok 210601"/>
    <m/>
    <n v="0"/>
    <n v="0"/>
    <n v="0"/>
    <n v="0"/>
    <n v="0"/>
    <n v="0"/>
    <n v="0"/>
    <n v="0"/>
    <n v="0"/>
    <n v="0"/>
    <n v="0"/>
    <n v="0"/>
    <n v="0"/>
    <n v="0"/>
    <n v="0"/>
    <n v="0"/>
    <n v="1.5"/>
    <n v="1.2749999999999999"/>
    <n v="0"/>
    <n v="0"/>
    <n v="0"/>
    <n v="0"/>
    <n v="0"/>
    <n v="0"/>
  </r>
  <r>
    <x v="277"/>
    <x v="265"/>
    <m/>
    <x v="0"/>
    <s v="H18"/>
    <x v="1"/>
    <s v="H2113-16"/>
    <s v="Umeå"/>
    <m/>
    <s v="RELK"/>
    <m/>
    <n v="1"/>
    <x v="4"/>
    <m/>
    <m/>
    <n v="1"/>
    <n v="0.1"/>
    <n v="0.85"/>
    <n v="8.5000000000000006E-2"/>
    <n v="1630"/>
    <x v="11"/>
    <s v="Hu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277"/>
    <x v="265"/>
    <m/>
    <x v="0"/>
    <s v="H19"/>
    <x v="1"/>
    <s v="H2113-16"/>
    <s v="Umeå"/>
    <m/>
    <s v="RELK"/>
    <m/>
    <n v="1"/>
    <x v="4"/>
    <m/>
    <m/>
    <n v="2"/>
    <n v="0.2"/>
    <n v="0.85"/>
    <n v="0.17"/>
    <n v="1630"/>
    <x v="11"/>
    <s v="Hum"/>
    <x v="0"/>
    <n v="25235"/>
    <n v="27976"/>
    <n v="9802.92"/>
    <n v="3600"/>
    <n v="720"/>
    <n v="10522.92"/>
    <n v="0"/>
    <n v="0"/>
    <n v="0"/>
    <n v="0"/>
    <n v="0"/>
    <n v="0"/>
    <n v="0"/>
    <n v="0"/>
    <n v="1"/>
    <n v="0"/>
    <n v="0"/>
    <n v="0"/>
    <s v="SP 210924"/>
    <m/>
    <n v="0"/>
    <n v="0"/>
    <n v="0"/>
    <n v="0"/>
    <n v="0"/>
    <n v="0"/>
    <n v="0"/>
    <n v="0"/>
    <n v="0"/>
    <n v="0"/>
    <n v="0"/>
    <n v="0"/>
    <n v="0"/>
    <n v="0"/>
    <n v="0"/>
    <n v="0"/>
    <n v="0.2"/>
    <n v="0.17"/>
    <n v="0"/>
    <n v="0"/>
    <n v="0"/>
    <n v="0"/>
    <n v="0"/>
    <n v="0"/>
  </r>
  <r>
    <x v="278"/>
    <x v="266"/>
    <m/>
    <x v="3"/>
    <m/>
    <x v="1"/>
    <m/>
    <m/>
    <s v="Campus"/>
    <m/>
    <m/>
    <n v="1"/>
    <x v="3"/>
    <m/>
    <m/>
    <n v="5"/>
    <n v="2.5"/>
    <n v="0.8"/>
    <n v="2"/>
    <n v="1630"/>
    <x v="11"/>
    <s v="Hum"/>
    <x v="3"/>
    <n v="20766"/>
    <n v="17442"/>
    <n v="86799"/>
    <n v="6000"/>
    <n v="15000"/>
    <n v="101799"/>
    <n v="0"/>
    <n v="1"/>
    <n v="0"/>
    <n v="0"/>
    <n v="0"/>
    <n v="0"/>
    <n v="0"/>
    <n v="0"/>
    <n v="0"/>
    <n v="0"/>
    <n v="0"/>
    <n v="0"/>
    <s v="Äskat/Beslutat 200611 p.39"/>
    <m/>
    <n v="0"/>
    <n v="0"/>
    <n v="2.5"/>
    <n v="2"/>
    <n v="0"/>
    <n v="0"/>
    <n v="0"/>
    <n v="0"/>
    <n v="0"/>
    <n v="0"/>
    <n v="0"/>
    <n v="0"/>
    <n v="0"/>
    <n v="0"/>
    <n v="0"/>
    <n v="0"/>
    <n v="0"/>
    <n v="0"/>
    <n v="0"/>
    <n v="0"/>
    <n v="0"/>
    <n v="0"/>
    <n v="0"/>
    <n v="0"/>
  </r>
  <r>
    <x v="278"/>
    <x v="266"/>
    <m/>
    <x v="0"/>
    <s v="H17"/>
    <x v="1"/>
    <s v="H211-20"/>
    <s v="Umeå"/>
    <m/>
    <s v="ENGS"/>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78"/>
    <x v="266"/>
    <m/>
    <x v="0"/>
    <s v="H17"/>
    <x v="1"/>
    <s v="H211-20"/>
    <s v="Umeå"/>
    <m/>
    <s v="HIST"/>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78"/>
    <x v="266"/>
    <m/>
    <x v="0"/>
    <s v="H18"/>
    <x v="1"/>
    <s v="H211-20"/>
    <s v="Umeå"/>
    <m/>
    <s v="ENGS"/>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78"/>
    <x v="266"/>
    <m/>
    <x v="0"/>
    <s v="H18"/>
    <x v="1"/>
    <s v="H211-20"/>
    <s v="Umeå"/>
    <m/>
    <s v="HIST"/>
    <m/>
    <n v="1"/>
    <x v="3"/>
    <m/>
    <m/>
    <n v="3"/>
    <n v="1.5"/>
    <n v="0.85"/>
    <n v="1.2749999999999999"/>
    <n v="1630"/>
    <x v="11"/>
    <s v="Hum"/>
    <x v="0"/>
    <n v="20766"/>
    <n v="17442"/>
    <n v="53387.55"/>
    <n v="6000"/>
    <n v="9000"/>
    <n v="62387.55"/>
    <n v="0"/>
    <n v="1"/>
    <n v="0"/>
    <n v="0"/>
    <n v="0"/>
    <n v="0"/>
    <n v="0"/>
    <n v="0"/>
    <n v="0"/>
    <n v="0"/>
    <n v="0"/>
    <n v="0"/>
    <s v="SP 210924"/>
    <m/>
    <n v="0"/>
    <n v="0"/>
    <n v="1.5"/>
    <n v="1.2749999999999999"/>
    <n v="0"/>
    <n v="0"/>
    <n v="0"/>
    <n v="0"/>
    <n v="0"/>
    <n v="0"/>
    <n v="0"/>
    <n v="0"/>
    <n v="0"/>
    <n v="0"/>
    <n v="0"/>
    <n v="0"/>
    <n v="0"/>
    <n v="0"/>
    <n v="0"/>
    <n v="0"/>
    <n v="0"/>
    <n v="0"/>
    <n v="0"/>
    <n v="0"/>
  </r>
  <r>
    <x v="278"/>
    <x v="266"/>
    <m/>
    <x v="0"/>
    <s v="H18"/>
    <x v="1"/>
    <s v="H211-20"/>
    <s v="Umeå"/>
    <m/>
    <s v="IDRH"/>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78"/>
    <x v="266"/>
    <m/>
    <x v="0"/>
    <s v="H18"/>
    <x v="1"/>
    <s v="H211-20"/>
    <s v="Umeå"/>
    <m/>
    <s v="MATT"/>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78"/>
    <x v="266"/>
    <m/>
    <x v="0"/>
    <s v="H18"/>
    <x v="1"/>
    <s v="H211-20"/>
    <s v="Umeå"/>
    <m/>
    <s v="SVAA"/>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78"/>
    <x v="266"/>
    <m/>
    <x v="0"/>
    <s v="H19"/>
    <x v="1"/>
    <s v="H211-20"/>
    <s v="Umeå"/>
    <m/>
    <s v="RELK"/>
    <m/>
    <n v="1"/>
    <x v="3"/>
    <m/>
    <m/>
    <n v="2"/>
    <n v="1"/>
    <n v="0.85"/>
    <n v="0.85"/>
    <n v="1630"/>
    <x v="11"/>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278"/>
    <x v="266"/>
    <m/>
    <x v="0"/>
    <s v="H20"/>
    <x v="1"/>
    <s v="H211-20"/>
    <s v="Umeå"/>
    <m/>
    <s v="RELK"/>
    <m/>
    <n v="1"/>
    <x v="3"/>
    <m/>
    <m/>
    <n v="2"/>
    <n v="1"/>
    <n v="0.85"/>
    <n v="0.85"/>
    <n v="1630"/>
    <x v="11"/>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278"/>
    <x v="266"/>
    <m/>
    <x v="0"/>
    <s v="V19"/>
    <x v="1"/>
    <s v="H211-20"/>
    <s v="Umeå"/>
    <m/>
    <s v="RELK"/>
    <m/>
    <n v="1"/>
    <x v="3"/>
    <m/>
    <m/>
    <n v="1"/>
    <n v="0.5"/>
    <n v="0.85"/>
    <n v="0.42499999999999999"/>
    <n v="1630"/>
    <x v="11"/>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79"/>
    <x v="267"/>
    <n v="71258"/>
    <x v="3"/>
    <m/>
    <x v="0"/>
    <m/>
    <s v="Umeå"/>
    <s v="Normal"/>
    <m/>
    <m/>
    <m/>
    <x v="3"/>
    <m/>
    <m/>
    <n v="8"/>
    <n v="4"/>
    <n v="0.8"/>
    <n v="3.2"/>
    <n v="1630"/>
    <x v="11"/>
    <s v="Hum"/>
    <x v="3"/>
    <n v="20766"/>
    <n v="17442"/>
    <n v="138878.39999999999"/>
    <n v="6000"/>
    <n v="24000"/>
    <n v="162878.39999999999"/>
    <n v="0"/>
    <n v="1"/>
    <n v="0"/>
    <n v="0"/>
    <n v="0"/>
    <n v="0"/>
    <n v="0"/>
    <n v="0"/>
    <n v="0"/>
    <n v="0"/>
    <n v="0"/>
    <n v="0"/>
    <s v="Enl Fokus-Ladok 210601"/>
    <m/>
    <n v="0"/>
    <n v="0"/>
    <n v="4"/>
    <n v="3.2"/>
    <n v="0"/>
    <n v="0"/>
    <n v="0"/>
    <n v="0"/>
    <n v="0"/>
    <n v="0"/>
    <n v="0"/>
    <n v="0"/>
    <n v="0"/>
    <n v="0"/>
    <n v="0"/>
    <n v="0"/>
    <n v="0"/>
    <n v="0"/>
    <n v="0"/>
    <n v="0"/>
    <n v="0"/>
    <n v="0"/>
    <n v="0"/>
    <n v="0"/>
  </r>
  <r>
    <x v="279"/>
    <x v="267"/>
    <n v="71258"/>
    <x v="0"/>
    <m/>
    <x v="0"/>
    <m/>
    <s v="Umeå"/>
    <s v="Normal"/>
    <s v="ENGS"/>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79"/>
    <x v="267"/>
    <n v="71275"/>
    <x v="0"/>
    <m/>
    <x v="0"/>
    <m/>
    <s v="Umeå"/>
    <s v="Normal"/>
    <s v="ENGS"/>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79"/>
    <x v="267"/>
    <n v="71275"/>
    <x v="0"/>
    <m/>
    <x v="0"/>
    <m/>
    <s v="Umeå"/>
    <s v="Normal"/>
    <s v="HIST"/>
    <m/>
    <m/>
    <x v="3"/>
    <m/>
    <m/>
    <n v="4"/>
    <n v="2"/>
    <n v="0.85"/>
    <n v="1.7"/>
    <n v="1630"/>
    <x v="11"/>
    <s v="Hum"/>
    <x v="0"/>
    <n v="20766"/>
    <n v="17442"/>
    <n v="71183.399999999994"/>
    <n v="6000"/>
    <n v="12000"/>
    <n v="83183.399999999994"/>
    <n v="0"/>
    <n v="1"/>
    <n v="0"/>
    <n v="0"/>
    <n v="0"/>
    <n v="0"/>
    <n v="0"/>
    <n v="0"/>
    <n v="0"/>
    <n v="0"/>
    <n v="0"/>
    <n v="0"/>
    <s v="Enl Fokus-Ladok 210601"/>
    <m/>
    <n v="0"/>
    <n v="0"/>
    <n v="2"/>
    <n v="1.7"/>
    <n v="0"/>
    <n v="0"/>
    <n v="0"/>
    <n v="0"/>
    <n v="0"/>
    <n v="0"/>
    <n v="0"/>
    <n v="0"/>
    <n v="0"/>
    <n v="0"/>
    <n v="0"/>
    <n v="0"/>
    <n v="0"/>
    <n v="0"/>
    <n v="0"/>
    <n v="0"/>
    <n v="0"/>
    <n v="0"/>
    <n v="0"/>
    <n v="0"/>
  </r>
  <r>
    <x v="279"/>
    <x v="267"/>
    <n v="71275"/>
    <x v="0"/>
    <m/>
    <x v="0"/>
    <m/>
    <s v="Umeå"/>
    <s v="Normal"/>
    <s v="IDRH"/>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79"/>
    <x v="267"/>
    <n v="71275"/>
    <x v="0"/>
    <m/>
    <x v="0"/>
    <m/>
    <s v="Umeå"/>
    <s v="Normal"/>
    <s v="MATT"/>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79"/>
    <x v="267"/>
    <n v="71275"/>
    <x v="0"/>
    <m/>
    <x v="0"/>
    <m/>
    <s v="Umeå"/>
    <s v="Normal"/>
    <s v="RELK"/>
    <m/>
    <m/>
    <x v="3"/>
    <m/>
    <m/>
    <n v="6"/>
    <n v="3"/>
    <n v="0.85"/>
    <n v="2.5499999999999998"/>
    <n v="1630"/>
    <x v="11"/>
    <s v="Hum"/>
    <x v="0"/>
    <n v="20766"/>
    <n v="17442"/>
    <n v="106775.1"/>
    <n v="6000"/>
    <n v="18000"/>
    <n v="124775.1"/>
    <n v="0"/>
    <n v="1"/>
    <n v="0"/>
    <n v="0"/>
    <n v="0"/>
    <n v="0"/>
    <n v="0"/>
    <n v="0"/>
    <n v="0"/>
    <n v="0"/>
    <n v="0"/>
    <n v="0"/>
    <s v="Enl Fokus-Ladok 210601"/>
    <m/>
    <n v="0"/>
    <n v="0"/>
    <n v="3"/>
    <n v="2.5499999999999998"/>
    <n v="0"/>
    <n v="0"/>
    <n v="0"/>
    <n v="0"/>
    <n v="0"/>
    <n v="0"/>
    <n v="0"/>
    <n v="0"/>
    <n v="0"/>
    <n v="0"/>
    <n v="0"/>
    <n v="0"/>
    <n v="0"/>
    <n v="0"/>
    <n v="0"/>
    <n v="0"/>
    <n v="0"/>
    <n v="0"/>
    <n v="0"/>
    <n v="0"/>
  </r>
  <r>
    <x v="279"/>
    <x v="267"/>
    <n v="71275"/>
    <x v="0"/>
    <m/>
    <x v="0"/>
    <m/>
    <s v="Umeå"/>
    <s v="Normal"/>
    <s v="SVAA"/>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79"/>
    <x v="267"/>
    <n v="71258"/>
    <x v="0"/>
    <m/>
    <x v="0"/>
    <m/>
    <s v="Umeå"/>
    <s v="Normal"/>
    <m/>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79"/>
    <x v="267"/>
    <n v="71275"/>
    <x v="0"/>
    <m/>
    <x v="0"/>
    <m/>
    <s v="Umeå"/>
    <s v="Normal"/>
    <m/>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80"/>
    <x v="268"/>
    <n v="71283"/>
    <x v="0"/>
    <m/>
    <x v="0"/>
    <m/>
    <s v="Umeå"/>
    <s v="Normal"/>
    <s v="ENGS"/>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80"/>
    <x v="268"/>
    <n v="71283"/>
    <x v="0"/>
    <m/>
    <x v="0"/>
    <m/>
    <s v="Umeå"/>
    <s v="Normal"/>
    <s v="HIST"/>
    <m/>
    <m/>
    <x v="3"/>
    <m/>
    <m/>
    <n v="6"/>
    <n v="3"/>
    <n v="0.85"/>
    <n v="2.5499999999999998"/>
    <n v="1630"/>
    <x v="11"/>
    <s v="Hum"/>
    <x v="0"/>
    <n v="20766"/>
    <n v="17442"/>
    <n v="106775.1"/>
    <n v="6000"/>
    <n v="18000"/>
    <n v="124775.1"/>
    <n v="0"/>
    <n v="1"/>
    <n v="0"/>
    <n v="0"/>
    <n v="0"/>
    <n v="0"/>
    <n v="0"/>
    <n v="0"/>
    <n v="0"/>
    <n v="0"/>
    <n v="0"/>
    <n v="0"/>
    <s v="Enl Fokus-Ladok 210601"/>
    <m/>
    <n v="0"/>
    <n v="0"/>
    <n v="3"/>
    <n v="2.5499999999999998"/>
    <n v="0"/>
    <n v="0"/>
    <n v="0"/>
    <n v="0"/>
    <n v="0"/>
    <n v="0"/>
    <n v="0"/>
    <n v="0"/>
    <n v="0"/>
    <n v="0"/>
    <n v="0"/>
    <n v="0"/>
    <n v="0"/>
    <n v="0"/>
    <n v="0"/>
    <n v="0"/>
    <n v="0"/>
    <n v="0"/>
    <n v="0"/>
    <n v="0"/>
  </r>
  <r>
    <x v="280"/>
    <x v="268"/>
    <n v="71283"/>
    <x v="0"/>
    <m/>
    <x v="0"/>
    <m/>
    <s v="Umeå"/>
    <s v="Normal"/>
    <s v="MATT"/>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80"/>
    <x v="268"/>
    <n v="71283"/>
    <x v="0"/>
    <m/>
    <x v="0"/>
    <m/>
    <s v="Umeå"/>
    <s v="Normal"/>
    <s v="RELK"/>
    <m/>
    <m/>
    <x v="3"/>
    <m/>
    <m/>
    <n v="3"/>
    <n v="1.5"/>
    <n v="0.85"/>
    <n v="1.2749999999999999"/>
    <n v="1630"/>
    <x v="11"/>
    <s v="Hum"/>
    <x v="0"/>
    <n v="20766"/>
    <n v="17442"/>
    <n v="53387.55"/>
    <n v="6000"/>
    <n v="9000"/>
    <n v="62387.55"/>
    <n v="0"/>
    <n v="1"/>
    <n v="0"/>
    <n v="0"/>
    <n v="0"/>
    <n v="0"/>
    <n v="0"/>
    <n v="0"/>
    <n v="0"/>
    <n v="0"/>
    <n v="0"/>
    <n v="0"/>
    <s v="Enl Fokus-Ladok 210601"/>
    <m/>
    <n v="0"/>
    <n v="0"/>
    <n v="1.5"/>
    <n v="1.2749999999999999"/>
    <n v="0"/>
    <n v="0"/>
    <n v="0"/>
    <n v="0"/>
    <n v="0"/>
    <n v="0"/>
    <n v="0"/>
    <n v="0"/>
    <n v="0"/>
    <n v="0"/>
    <n v="0"/>
    <n v="0"/>
    <n v="0"/>
    <n v="0"/>
    <n v="0"/>
    <n v="0"/>
    <n v="0"/>
    <n v="0"/>
    <n v="0"/>
    <n v="0"/>
  </r>
  <r>
    <x v="280"/>
    <x v="268"/>
    <n v="71283"/>
    <x v="0"/>
    <m/>
    <x v="0"/>
    <m/>
    <s v="Umeå"/>
    <s v="Normal"/>
    <s v="SVAA"/>
    <m/>
    <m/>
    <x v="3"/>
    <m/>
    <m/>
    <n v="2"/>
    <n v="1"/>
    <n v="0.85"/>
    <n v="0.85"/>
    <n v="1630"/>
    <x v="11"/>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280"/>
    <x v="268"/>
    <n v="71283"/>
    <x v="0"/>
    <m/>
    <x v="0"/>
    <m/>
    <s v="Umeå"/>
    <s v="Normal"/>
    <m/>
    <m/>
    <m/>
    <x v="3"/>
    <m/>
    <m/>
    <n v="1"/>
    <n v="0.5"/>
    <n v="0.85"/>
    <n v="0.42499999999999999"/>
    <n v="1630"/>
    <x v="11"/>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81"/>
    <x v="269"/>
    <n v="71410"/>
    <x v="3"/>
    <m/>
    <x v="0"/>
    <m/>
    <s v="Umeå"/>
    <s v="Normal"/>
    <m/>
    <m/>
    <m/>
    <x v="3"/>
    <m/>
    <m/>
    <n v="4"/>
    <n v="2"/>
    <n v="0.8"/>
    <n v="1.6"/>
    <n v="1620"/>
    <x v="0"/>
    <s v="Hum"/>
    <x v="3"/>
    <n v="20766"/>
    <n v="17442"/>
    <n v="69439.199999999997"/>
    <n v="6000"/>
    <n v="12000"/>
    <n v="81439.199999999997"/>
    <n v="0"/>
    <n v="1"/>
    <n v="0"/>
    <n v="0"/>
    <n v="0"/>
    <n v="0"/>
    <n v="0"/>
    <n v="0"/>
    <n v="0"/>
    <n v="0"/>
    <n v="0"/>
    <n v="0"/>
    <s v="Enl Fokus-Ladok 210601"/>
    <m/>
    <n v="0"/>
    <n v="0"/>
    <n v="2"/>
    <n v="1.6"/>
    <n v="0"/>
    <n v="0"/>
    <n v="0"/>
    <n v="0"/>
    <n v="0"/>
    <n v="0"/>
    <n v="0"/>
    <n v="0"/>
    <n v="0"/>
    <n v="0"/>
    <n v="0"/>
    <n v="0"/>
    <n v="0"/>
    <n v="0"/>
    <n v="0"/>
    <n v="0"/>
    <n v="0"/>
    <n v="0"/>
    <n v="0"/>
    <n v="0"/>
  </r>
  <r>
    <x v="281"/>
    <x v="269"/>
    <n v="71410"/>
    <x v="0"/>
    <m/>
    <x v="0"/>
    <m/>
    <s v="Umeå"/>
    <s v="Normal"/>
    <s v="ENGS"/>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281"/>
    <x v="269"/>
    <n v="71410"/>
    <x v="0"/>
    <m/>
    <x v="0"/>
    <m/>
    <s v="Umeå"/>
    <s v="Normal"/>
    <s v="SPAN"/>
    <m/>
    <m/>
    <x v="3"/>
    <m/>
    <m/>
    <n v="3"/>
    <n v="1.5"/>
    <n v="0.85"/>
    <n v="1.2749999999999999"/>
    <n v="1620"/>
    <x v="0"/>
    <s v="Hum"/>
    <x v="0"/>
    <n v="20766"/>
    <n v="17442"/>
    <n v="53387.55"/>
    <n v="6000"/>
    <n v="9000"/>
    <n v="62387.55"/>
    <n v="0"/>
    <n v="1"/>
    <n v="0"/>
    <n v="0"/>
    <n v="0"/>
    <n v="0"/>
    <n v="0"/>
    <n v="0"/>
    <n v="0"/>
    <n v="0"/>
    <n v="0"/>
    <n v="0"/>
    <s v="Enl Fokus-Ladok 210601"/>
    <m/>
    <n v="0"/>
    <n v="0"/>
    <n v="1.5"/>
    <n v="1.2749999999999999"/>
    <n v="0"/>
    <n v="0"/>
    <n v="0"/>
    <n v="0"/>
    <n v="0"/>
    <n v="0"/>
    <n v="0"/>
    <n v="0"/>
    <n v="0"/>
    <n v="0"/>
    <n v="0"/>
    <n v="0"/>
    <n v="0"/>
    <n v="0"/>
    <n v="0"/>
    <n v="0"/>
    <n v="0"/>
    <n v="0"/>
    <n v="0"/>
    <n v="0"/>
  </r>
  <r>
    <x v="282"/>
    <x v="270"/>
    <n v="71413"/>
    <x v="0"/>
    <m/>
    <x v="0"/>
    <m/>
    <s v="Umeå"/>
    <s v="Normal"/>
    <s v="SPAN"/>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82"/>
    <x v="270"/>
    <n v="71413"/>
    <x v="0"/>
    <m/>
    <x v="0"/>
    <m/>
    <s v="Umeå"/>
    <s v="Normal"/>
    <s v="SVAA"/>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83"/>
    <x v="271"/>
    <m/>
    <x v="3"/>
    <m/>
    <x v="1"/>
    <m/>
    <m/>
    <s v="Campus"/>
    <m/>
    <m/>
    <n v="1"/>
    <x v="3"/>
    <m/>
    <m/>
    <n v="2"/>
    <n v="1"/>
    <n v="0.8"/>
    <n v="0.8"/>
    <n v="1620"/>
    <x v="0"/>
    <s v="Hum"/>
    <x v="3"/>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n v="0"/>
  </r>
  <r>
    <x v="283"/>
    <x v="271"/>
    <m/>
    <x v="0"/>
    <s v="H17"/>
    <x v="1"/>
    <s v="H211-20"/>
    <s v="Umeå"/>
    <m/>
    <s v="ENGS"/>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83"/>
    <x v="271"/>
    <m/>
    <x v="0"/>
    <s v="H18"/>
    <x v="1"/>
    <s v="H211-20"/>
    <s v="Umeå"/>
    <m/>
    <s v="ENGS"/>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283"/>
    <x v="271"/>
    <m/>
    <x v="0"/>
    <s v="H20"/>
    <x v="1"/>
    <s v="H211-20"/>
    <s v="Umeå"/>
    <m/>
    <s v="SPAN"/>
    <m/>
    <n v="1"/>
    <x v="3"/>
    <m/>
    <m/>
    <n v="2"/>
    <n v="1"/>
    <n v="0.85"/>
    <n v="0.85"/>
    <n v="1620"/>
    <x v="0"/>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284"/>
    <x v="272"/>
    <m/>
    <x v="0"/>
    <s v="H16"/>
    <x v="1"/>
    <s v="H2116-20:V221-15"/>
    <s v="Umeå"/>
    <m/>
    <s v="RELK"/>
    <m/>
    <n v="1"/>
    <x v="0"/>
    <m/>
    <m/>
    <n v="1"/>
    <n v="0.125"/>
    <n v="0.85"/>
    <n v="0.10625"/>
    <n v="1620"/>
    <x v="0"/>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284"/>
    <x v="272"/>
    <m/>
    <x v="0"/>
    <s v="H16"/>
    <x v="1"/>
    <s v="H2116-20:V221-15"/>
    <s v="Umeå"/>
    <m/>
    <s v="SVAA"/>
    <m/>
    <n v="1"/>
    <x v="0"/>
    <m/>
    <m/>
    <n v="2"/>
    <n v="0.25"/>
    <n v="0.85"/>
    <n v="0.21249999999999999"/>
    <n v="1620"/>
    <x v="0"/>
    <s v="Hum"/>
    <x v="0"/>
    <n v="20766"/>
    <n v="17442"/>
    <n v="8897.9249999999993"/>
    <n v="6000"/>
    <n v="1500"/>
    <n v="10397.924999999999"/>
    <n v="0"/>
    <n v="1"/>
    <n v="0"/>
    <n v="0"/>
    <n v="0"/>
    <n v="0"/>
    <n v="0"/>
    <n v="0"/>
    <n v="0"/>
    <n v="0"/>
    <n v="0"/>
    <n v="0"/>
    <s v="SP 210924"/>
    <s v="Läser 7,5 av 30 hp denna termin"/>
    <n v="0"/>
    <n v="0"/>
    <n v="0.25"/>
    <n v="0.21249999999999999"/>
    <n v="0"/>
    <n v="0"/>
    <n v="0"/>
    <n v="0"/>
    <n v="0"/>
    <n v="0"/>
    <n v="0"/>
    <n v="0"/>
    <n v="0"/>
    <n v="0"/>
    <n v="0"/>
    <n v="0"/>
    <n v="0"/>
    <n v="0"/>
    <n v="0"/>
    <n v="0"/>
    <n v="0"/>
    <n v="0"/>
    <n v="0"/>
    <n v="0"/>
  </r>
  <r>
    <x v="284"/>
    <x v="272"/>
    <m/>
    <x v="0"/>
    <s v="H17"/>
    <x v="1"/>
    <s v="H2116-20:V221-15"/>
    <s v="Umeå"/>
    <m/>
    <s v="ENGS"/>
    <m/>
    <n v="1"/>
    <x v="0"/>
    <m/>
    <m/>
    <n v="2"/>
    <n v="0.25"/>
    <n v="0.85"/>
    <n v="0.21249999999999999"/>
    <n v="1620"/>
    <x v="0"/>
    <s v="Hum"/>
    <x v="0"/>
    <n v="20766"/>
    <n v="17442"/>
    <n v="8897.9249999999993"/>
    <n v="6000"/>
    <n v="1500"/>
    <n v="10397.924999999999"/>
    <n v="0"/>
    <n v="1"/>
    <n v="0"/>
    <n v="0"/>
    <n v="0"/>
    <n v="0"/>
    <n v="0"/>
    <n v="0"/>
    <n v="0"/>
    <n v="0"/>
    <n v="0"/>
    <n v="0"/>
    <s v="SP 210924"/>
    <s v="Läser 7,5 av 30 hp denna termin"/>
    <n v="0"/>
    <n v="0"/>
    <n v="0.25"/>
    <n v="0.21249999999999999"/>
    <n v="0"/>
    <n v="0"/>
    <n v="0"/>
    <n v="0"/>
    <n v="0"/>
    <n v="0"/>
    <n v="0"/>
    <n v="0"/>
    <n v="0"/>
    <n v="0"/>
    <n v="0"/>
    <n v="0"/>
    <n v="0"/>
    <n v="0"/>
    <n v="0"/>
    <n v="0"/>
    <n v="0"/>
    <n v="0"/>
    <n v="0"/>
    <n v="0"/>
  </r>
  <r>
    <x v="284"/>
    <x v="272"/>
    <m/>
    <x v="0"/>
    <s v="H17"/>
    <x v="1"/>
    <s v="H2116-20:V221-15"/>
    <s v="Umeå"/>
    <m/>
    <s v="SVAA"/>
    <m/>
    <n v="1"/>
    <x v="0"/>
    <m/>
    <m/>
    <n v="8"/>
    <n v="1"/>
    <n v="0.85"/>
    <n v="0.85"/>
    <n v="1620"/>
    <x v="0"/>
    <s v="Hum"/>
    <x v="0"/>
    <n v="20766"/>
    <n v="17442"/>
    <n v="35591.699999999997"/>
    <n v="6000"/>
    <n v="6000"/>
    <n v="41591.699999999997"/>
    <n v="0"/>
    <n v="1"/>
    <n v="0"/>
    <n v="0"/>
    <n v="0"/>
    <n v="0"/>
    <n v="0"/>
    <n v="0"/>
    <n v="0"/>
    <n v="0"/>
    <n v="0"/>
    <n v="0"/>
    <s v="SP 210924"/>
    <s v="Läser 7,5 av 30 hp denna termin"/>
    <n v="0"/>
    <n v="0"/>
    <n v="1"/>
    <n v="0.85"/>
    <n v="0"/>
    <n v="0"/>
    <n v="0"/>
    <n v="0"/>
    <n v="0"/>
    <n v="0"/>
    <n v="0"/>
    <n v="0"/>
    <n v="0"/>
    <n v="0"/>
    <n v="0"/>
    <n v="0"/>
    <n v="0"/>
    <n v="0"/>
    <n v="0"/>
    <n v="0"/>
    <n v="0"/>
    <n v="0"/>
    <n v="0"/>
    <n v="0"/>
  </r>
  <r>
    <x v="284"/>
    <x v="272"/>
    <m/>
    <x v="0"/>
    <s v="H17"/>
    <x v="1"/>
    <s v="H2116-20:V221-15"/>
    <s v="Umeå"/>
    <m/>
    <s v="TYSK"/>
    <m/>
    <n v="1"/>
    <x v="0"/>
    <m/>
    <m/>
    <n v="1"/>
    <n v="0.125"/>
    <n v="0.85"/>
    <n v="0.10625"/>
    <n v="1620"/>
    <x v="0"/>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284"/>
    <x v="272"/>
    <m/>
    <x v="0"/>
    <s v="H20"/>
    <x v="1"/>
    <s v="H2116-20:V221-15"/>
    <s v="Umeå"/>
    <m/>
    <s v="SVAA"/>
    <m/>
    <n v="1"/>
    <x v="0"/>
    <m/>
    <m/>
    <n v="1"/>
    <n v="0.125"/>
    <n v="0.85"/>
    <n v="0.10625"/>
    <n v="1620"/>
    <x v="0"/>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285"/>
    <x v="273"/>
    <m/>
    <x v="3"/>
    <m/>
    <x v="1"/>
    <m/>
    <m/>
    <s v="Distans"/>
    <m/>
    <m/>
    <n v="1"/>
    <x v="0"/>
    <m/>
    <m/>
    <n v="2"/>
    <n v="0.25"/>
    <n v="0.8"/>
    <n v="0.2"/>
    <n v="1620"/>
    <x v="0"/>
    <s v="Hum"/>
    <x v="3"/>
    <n v="20766"/>
    <n v="17442"/>
    <n v="8679.9"/>
    <n v="6000"/>
    <n v="1500"/>
    <n v="10179.9"/>
    <n v="0"/>
    <n v="1"/>
    <n v="0"/>
    <n v="0"/>
    <n v="0"/>
    <n v="0"/>
    <n v="0"/>
    <n v="0"/>
    <n v="0"/>
    <n v="0"/>
    <n v="0"/>
    <n v="0"/>
    <s v="Äskat/Beslutat 200611 p.39"/>
    <m/>
    <n v="0"/>
    <n v="0"/>
    <n v="0.25"/>
    <n v="0.2"/>
    <n v="0"/>
    <n v="0"/>
    <n v="0"/>
    <n v="0"/>
    <n v="0"/>
    <n v="0"/>
    <n v="0"/>
    <n v="0"/>
    <n v="0"/>
    <n v="0"/>
    <n v="0"/>
    <n v="0"/>
    <n v="0"/>
    <n v="0"/>
    <n v="0"/>
    <n v="0"/>
    <n v="0"/>
    <n v="0"/>
    <n v="0"/>
    <n v="0"/>
  </r>
  <r>
    <x v="285"/>
    <x v="273"/>
    <m/>
    <x v="0"/>
    <s v="H16"/>
    <x v="1"/>
    <s v="H2116-20:V221-15"/>
    <s v="Umeå"/>
    <m/>
    <s v="ENGS"/>
    <m/>
    <n v="1"/>
    <x v="0"/>
    <m/>
    <m/>
    <n v="2"/>
    <n v="0.25"/>
    <n v="0.85"/>
    <n v="0.21249999999999999"/>
    <n v="1620"/>
    <x v="0"/>
    <s v="Hum"/>
    <x v="0"/>
    <n v="20766"/>
    <n v="17442"/>
    <n v="8897.9249999999993"/>
    <n v="6000"/>
    <n v="1500"/>
    <n v="10397.924999999999"/>
    <n v="0"/>
    <n v="1"/>
    <n v="0"/>
    <n v="0"/>
    <n v="0"/>
    <n v="0"/>
    <n v="0"/>
    <n v="0"/>
    <n v="0"/>
    <n v="0"/>
    <n v="0"/>
    <n v="0"/>
    <s v="SP 210924"/>
    <s v="Läser 7,5 av 30 hp denna termin"/>
    <n v="0"/>
    <n v="0"/>
    <n v="0.25"/>
    <n v="0.21249999999999999"/>
    <n v="0"/>
    <n v="0"/>
    <n v="0"/>
    <n v="0"/>
    <n v="0"/>
    <n v="0"/>
    <n v="0"/>
    <n v="0"/>
    <n v="0"/>
    <n v="0"/>
    <n v="0"/>
    <n v="0"/>
    <n v="0"/>
    <n v="0"/>
    <n v="0"/>
    <n v="0"/>
    <n v="0"/>
    <n v="0"/>
    <n v="0"/>
    <n v="0"/>
  </r>
  <r>
    <x v="285"/>
    <x v="273"/>
    <m/>
    <x v="0"/>
    <s v="H17"/>
    <x v="1"/>
    <s v="H2116-20:V221-15"/>
    <s v="Umeå"/>
    <m/>
    <s v="ENGS"/>
    <m/>
    <n v="1"/>
    <x v="0"/>
    <m/>
    <m/>
    <n v="8"/>
    <n v="1"/>
    <n v="0.85"/>
    <n v="0.85"/>
    <n v="1620"/>
    <x v="0"/>
    <s v="Hum"/>
    <x v="0"/>
    <n v="20766"/>
    <n v="17442"/>
    <n v="35591.699999999997"/>
    <n v="6000"/>
    <n v="6000"/>
    <n v="41591.699999999997"/>
    <n v="0"/>
    <n v="1"/>
    <n v="0"/>
    <n v="0"/>
    <n v="0"/>
    <n v="0"/>
    <n v="0"/>
    <n v="0"/>
    <n v="0"/>
    <n v="0"/>
    <n v="0"/>
    <n v="0"/>
    <s v="SP 210924"/>
    <s v="Läser 7,5 av 30 hp denna termin"/>
    <n v="0"/>
    <n v="0"/>
    <n v="1"/>
    <n v="0.85"/>
    <n v="0"/>
    <n v="0"/>
    <n v="0"/>
    <n v="0"/>
    <n v="0"/>
    <n v="0"/>
    <n v="0"/>
    <n v="0"/>
    <n v="0"/>
    <n v="0"/>
    <n v="0"/>
    <n v="0"/>
    <n v="0"/>
    <n v="0"/>
    <n v="0"/>
    <n v="0"/>
    <n v="0"/>
    <n v="0"/>
    <n v="0"/>
    <n v="0"/>
  </r>
  <r>
    <x v="285"/>
    <x v="273"/>
    <m/>
    <x v="0"/>
    <s v="H17"/>
    <x v="1"/>
    <s v="H2116-20:V221-15"/>
    <s v="Umeå"/>
    <m/>
    <s v="MATT"/>
    <m/>
    <n v="1"/>
    <x v="0"/>
    <m/>
    <m/>
    <n v="1"/>
    <n v="0.125"/>
    <n v="0.85"/>
    <n v="0.10625"/>
    <n v="1620"/>
    <x v="0"/>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285"/>
    <x v="273"/>
    <m/>
    <x v="0"/>
    <s v="H17"/>
    <x v="1"/>
    <s v="H2116-20:V221-15"/>
    <s v="Umeå"/>
    <m/>
    <s v="RELK"/>
    <m/>
    <n v="1"/>
    <x v="0"/>
    <m/>
    <m/>
    <n v="1"/>
    <n v="0.125"/>
    <n v="0.85"/>
    <n v="0.10625"/>
    <n v="1620"/>
    <x v="0"/>
    <s v="Hum"/>
    <x v="0"/>
    <n v="20766"/>
    <n v="17442"/>
    <n v="4448.9624999999996"/>
    <n v="6000"/>
    <n v="750"/>
    <n v="5198.9624999999996"/>
    <n v="0"/>
    <n v="1"/>
    <n v="0"/>
    <n v="0"/>
    <n v="0"/>
    <n v="0"/>
    <n v="0"/>
    <n v="0"/>
    <n v="0"/>
    <n v="0"/>
    <n v="0"/>
    <n v="0"/>
    <s v="SP 210924"/>
    <s v="Läser 7,5 av 30 hp denna termin"/>
    <n v="0"/>
    <n v="0"/>
    <n v="0.125"/>
    <n v="0.10625"/>
    <n v="0"/>
    <n v="0"/>
    <n v="0"/>
    <n v="0"/>
    <n v="0"/>
    <n v="0"/>
    <n v="0"/>
    <n v="0"/>
    <n v="0"/>
    <n v="0"/>
    <n v="0"/>
    <n v="0"/>
    <n v="0"/>
    <n v="0"/>
    <n v="0"/>
    <n v="0"/>
    <n v="0"/>
    <n v="0"/>
    <n v="0"/>
    <n v="0"/>
  </r>
  <r>
    <x v="286"/>
    <x v="274"/>
    <m/>
    <x v="3"/>
    <m/>
    <x v="1"/>
    <m/>
    <m/>
    <s v="Distans"/>
    <m/>
    <m/>
    <n v="0.25"/>
    <x v="0"/>
    <m/>
    <m/>
    <n v="10"/>
    <n v="1.25"/>
    <n v="0.8"/>
    <n v="1"/>
    <n v="1620"/>
    <x v="0"/>
    <s v="Hum"/>
    <x v="3"/>
    <n v="20766"/>
    <n v="17442"/>
    <n v="43399.5"/>
    <n v="6000"/>
    <n v="7500"/>
    <n v="50899.5"/>
    <n v="0"/>
    <n v="1"/>
    <n v="0"/>
    <n v="0"/>
    <n v="0"/>
    <n v="0"/>
    <n v="0"/>
    <n v="0"/>
    <n v="0"/>
    <n v="0"/>
    <n v="0"/>
    <n v="0"/>
    <s v="Äskat/Beslutat 200611 p.39"/>
    <m/>
    <n v="0"/>
    <n v="0"/>
    <n v="1.25"/>
    <n v="1"/>
    <n v="0"/>
    <n v="0"/>
    <n v="0"/>
    <n v="0"/>
    <n v="0"/>
    <n v="0"/>
    <n v="0"/>
    <n v="0"/>
    <n v="0"/>
    <n v="0"/>
    <n v="0"/>
    <n v="0"/>
    <n v="0"/>
    <n v="0"/>
    <n v="0"/>
    <n v="0"/>
    <n v="0"/>
    <n v="0"/>
    <n v="0"/>
    <n v="0"/>
  </r>
  <r>
    <x v="287"/>
    <x v="275"/>
    <n v="61330"/>
    <x v="15"/>
    <m/>
    <x v="0"/>
    <m/>
    <s v="Umeå"/>
    <s v="Distans"/>
    <s v="SVGG"/>
    <m/>
    <m/>
    <x v="3"/>
    <m/>
    <m/>
    <n v="15"/>
    <n v="7.5"/>
    <n v="0.85"/>
    <n v="6.375"/>
    <n v="1620"/>
    <x v="0"/>
    <s v="Hum"/>
    <x v="14"/>
    <n v="20766"/>
    <n v="17442"/>
    <n v="266937.75"/>
    <n v="6000"/>
    <n v="45000"/>
    <n v="311937.75"/>
    <n v="0"/>
    <n v="1"/>
    <n v="0"/>
    <n v="0"/>
    <n v="0"/>
    <n v="0"/>
    <n v="0"/>
    <n v="0"/>
    <n v="0"/>
    <n v="0"/>
    <n v="0"/>
    <n v="0"/>
    <s v="Enl Fokus-Ladok 210601"/>
    <m/>
    <n v="0"/>
    <n v="0"/>
    <n v="7.5"/>
    <n v="6.375"/>
    <n v="0"/>
    <n v="0"/>
    <n v="0"/>
    <n v="0"/>
    <n v="0"/>
    <n v="0"/>
    <n v="0"/>
    <n v="0"/>
    <n v="0"/>
    <n v="0"/>
    <n v="0"/>
    <n v="0"/>
    <n v="0"/>
    <n v="0"/>
    <n v="0"/>
    <n v="0"/>
    <n v="0"/>
    <n v="0"/>
    <n v="0"/>
    <n v="0"/>
  </r>
  <r>
    <x v="288"/>
    <x v="276"/>
    <m/>
    <x v="16"/>
    <s v="H19"/>
    <x v="1"/>
    <s v="H216-15"/>
    <s v="Umeå"/>
    <m/>
    <s v="ALLM"/>
    <m/>
    <n v="1"/>
    <x v="1"/>
    <m/>
    <m/>
    <n v="1"/>
    <n v="0.25"/>
    <n v="0.85"/>
    <n v="0.21249999999999999"/>
    <n v="1620"/>
    <x v="0"/>
    <s v="Hum"/>
    <x v="15"/>
    <n v="20766"/>
    <n v="17442"/>
    <n v="8897.9249999999993"/>
    <n v="6000"/>
    <n v="1500"/>
    <n v="10397.924999999999"/>
    <n v="0"/>
    <n v="0"/>
    <n v="0"/>
    <n v="0"/>
    <n v="0"/>
    <n v="0"/>
    <n v="1"/>
    <n v="0"/>
    <n v="0"/>
    <n v="0"/>
    <n v="0"/>
    <n v="0"/>
    <s v="SP 210924"/>
    <m/>
    <n v="0"/>
    <n v="0"/>
    <n v="0"/>
    <n v="0"/>
    <n v="0"/>
    <n v="0"/>
    <n v="0"/>
    <n v="0"/>
    <n v="0"/>
    <n v="0"/>
    <n v="0"/>
    <n v="0"/>
    <n v="0.25"/>
    <n v="0.21249999999999999"/>
    <n v="0"/>
    <n v="0"/>
    <n v="0"/>
    <n v="0"/>
    <n v="0"/>
    <n v="0"/>
    <n v="0"/>
    <n v="0"/>
    <n v="0"/>
    <n v="0"/>
  </r>
  <r>
    <x v="288"/>
    <x v="276"/>
    <m/>
    <x v="15"/>
    <s v="H20"/>
    <x v="1"/>
    <s v="H216-15"/>
    <s v="Umeå"/>
    <m/>
    <s v="SVGG"/>
    <m/>
    <n v="1"/>
    <x v="1"/>
    <m/>
    <m/>
    <n v="14"/>
    <n v="3.5"/>
    <n v="0.85"/>
    <n v="2.9750000000000001"/>
    <n v="1620"/>
    <x v="0"/>
    <s v="Hum"/>
    <x v="14"/>
    <n v="20766"/>
    <n v="17442"/>
    <n v="124570.95000000001"/>
    <n v="6000"/>
    <n v="21000"/>
    <n v="145570.95000000001"/>
    <n v="0"/>
    <n v="0"/>
    <n v="0"/>
    <n v="0"/>
    <n v="0"/>
    <n v="0"/>
    <n v="1"/>
    <n v="0"/>
    <n v="0"/>
    <n v="0"/>
    <n v="0"/>
    <n v="0"/>
    <s v="SP 210924"/>
    <m/>
    <n v="0"/>
    <n v="0"/>
    <n v="0"/>
    <n v="0"/>
    <n v="0"/>
    <n v="0"/>
    <n v="0"/>
    <n v="0"/>
    <n v="0"/>
    <n v="0"/>
    <n v="0"/>
    <n v="0"/>
    <n v="3.5"/>
    <n v="2.9750000000000001"/>
    <n v="0"/>
    <n v="0"/>
    <n v="0"/>
    <n v="0"/>
    <n v="0"/>
    <n v="0"/>
    <n v="0"/>
    <n v="0"/>
    <n v="0"/>
    <n v="0"/>
  </r>
  <r>
    <x v="289"/>
    <x v="277"/>
    <m/>
    <x v="15"/>
    <s v="H20"/>
    <x v="1"/>
    <s v="H2116-20"/>
    <s v="Umeå"/>
    <m/>
    <s v="MAGG"/>
    <m/>
    <n v="1"/>
    <x v="0"/>
    <m/>
    <m/>
    <n v="9"/>
    <n v="1.125"/>
    <n v="0.85"/>
    <n v="0.95624999999999993"/>
    <n v="1620"/>
    <x v="0"/>
    <s v="Hum"/>
    <x v="14"/>
    <n v="20766"/>
    <n v="17442"/>
    <n v="40040.662499999999"/>
    <n v="6000"/>
    <n v="6750"/>
    <n v="46790.662499999999"/>
    <n v="0"/>
    <n v="1"/>
    <n v="0"/>
    <n v="0"/>
    <n v="0"/>
    <n v="0"/>
    <n v="0"/>
    <n v="0"/>
    <n v="0"/>
    <n v="0"/>
    <n v="0"/>
    <n v="0"/>
    <s v="SP 210924"/>
    <m/>
    <n v="0"/>
    <n v="0"/>
    <n v="1.125"/>
    <n v="0.95624999999999993"/>
    <n v="0"/>
    <n v="0"/>
    <n v="0"/>
    <n v="0"/>
    <n v="0"/>
    <n v="0"/>
    <n v="0"/>
    <n v="0"/>
    <n v="0"/>
    <n v="0"/>
    <n v="0"/>
    <n v="0"/>
    <n v="0"/>
    <n v="0"/>
    <n v="0"/>
    <n v="0"/>
    <n v="0"/>
    <n v="0"/>
    <n v="0"/>
    <n v="0"/>
  </r>
  <r>
    <x v="290"/>
    <x v="278"/>
    <n v="61331"/>
    <x v="3"/>
    <m/>
    <x v="0"/>
    <m/>
    <s v="Ortsoberoende"/>
    <s v="Distans"/>
    <m/>
    <m/>
    <m/>
    <x v="0"/>
    <m/>
    <m/>
    <n v="16"/>
    <n v="2"/>
    <n v="0.8"/>
    <n v="1.6"/>
    <n v="1620"/>
    <x v="0"/>
    <s v="Hum"/>
    <x v="3"/>
    <n v="20766"/>
    <n v="17442"/>
    <n v="69439.199999999997"/>
    <n v="6000"/>
    <n v="12000"/>
    <n v="81439.199999999997"/>
    <n v="0"/>
    <n v="1"/>
    <n v="0"/>
    <n v="0"/>
    <n v="0"/>
    <n v="0"/>
    <n v="0"/>
    <n v="0"/>
    <n v="0"/>
    <n v="0"/>
    <n v="0"/>
    <n v="0"/>
    <s v="Enl Fokus-Ladok 210601"/>
    <m/>
    <n v="0"/>
    <n v="0"/>
    <n v="2"/>
    <n v="1.6"/>
    <n v="0"/>
    <n v="0"/>
    <n v="0"/>
    <n v="0"/>
    <n v="0"/>
    <n v="0"/>
    <n v="0"/>
    <n v="0"/>
    <n v="0"/>
    <n v="0"/>
    <n v="0"/>
    <n v="0"/>
    <n v="0"/>
    <n v="0"/>
    <n v="0"/>
    <n v="0"/>
    <n v="0"/>
    <n v="0"/>
    <n v="0"/>
    <n v="0"/>
  </r>
  <r>
    <x v="291"/>
    <x v="279"/>
    <n v="64903"/>
    <x v="0"/>
    <m/>
    <x v="0"/>
    <m/>
    <s v="Umeå"/>
    <s v="Normal"/>
    <s v="ENGS"/>
    <m/>
    <m/>
    <x v="3"/>
    <m/>
    <m/>
    <n v="1"/>
    <n v="0.5"/>
    <n v="0.85"/>
    <n v="0.42499999999999999"/>
    <n v="2340"/>
    <x v="16"/>
    <s v="Sa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91"/>
    <x v="279"/>
    <n v="64903"/>
    <x v="0"/>
    <m/>
    <x v="0"/>
    <m/>
    <s v="Umeå"/>
    <s v="Normal"/>
    <s v="HIST"/>
    <m/>
    <m/>
    <x v="3"/>
    <m/>
    <m/>
    <n v="5"/>
    <n v="2.5"/>
    <n v="0.85"/>
    <n v="2.125"/>
    <n v="2340"/>
    <x v="16"/>
    <s v="Sam"/>
    <x v="0"/>
    <n v="20766"/>
    <n v="17442"/>
    <n v="88979.25"/>
    <n v="6000"/>
    <n v="15000"/>
    <n v="103979.25"/>
    <n v="0"/>
    <n v="1"/>
    <n v="0"/>
    <n v="0"/>
    <n v="0"/>
    <n v="0"/>
    <n v="0"/>
    <n v="0"/>
    <n v="0"/>
    <n v="0"/>
    <n v="0"/>
    <n v="0"/>
    <s v="Enl Fokus-Ladok 210601"/>
    <m/>
    <n v="0"/>
    <n v="0"/>
    <n v="2.5"/>
    <n v="2.125"/>
    <n v="0"/>
    <n v="0"/>
    <n v="0"/>
    <n v="0"/>
    <n v="0"/>
    <n v="0"/>
    <n v="0"/>
    <n v="0"/>
    <n v="0"/>
    <n v="0"/>
    <n v="0"/>
    <n v="0"/>
    <n v="0"/>
    <n v="0"/>
    <n v="0"/>
    <n v="0"/>
    <n v="0"/>
    <n v="0"/>
    <n v="0"/>
    <n v="0"/>
  </r>
  <r>
    <x v="291"/>
    <x v="279"/>
    <n v="64903"/>
    <x v="0"/>
    <m/>
    <x v="0"/>
    <m/>
    <s v="Umeå"/>
    <s v="Normal"/>
    <s v="RELK"/>
    <m/>
    <m/>
    <x v="3"/>
    <m/>
    <m/>
    <n v="1"/>
    <n v="0.5"/>
    <n v="0.85"/>
    <n v="0.42499999999999999"/>
    <n v="2340"/>
    <x v="16"/>
    <s v="Sa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91"/>
    <x v="279"/>
    <n v="64903"/>
    <x v="0"/>
    <m/>
    <x v="0"/>
    <m/>
    <s v="Umeå"/>
    <s v="Normal"/>
    <s v="SAMK"/>
    <m/>
    <m/>
    <x v="3"/>
    <m/>
    <m/>
    <n v="15"/>
    <n v="7.5"/>
    <n v="0.85"/>
    <n v="6.375"/>
    <n v="2340"/>
    <x v="16"/>
    <s v="Sam"/>
    <x v="0"/>
    <n v="20766"/>
    <n v="17442"/>
    <n v="266937.75"/>
    <n v="6000"/>
    <n v="45000"/>
    <n v="311937.75"/>
    <n v="0"/>
    <n v="1"/>
    <n v="0"/>
    <n v="0"/>
    <n v="0"/>
    <n v="0"/>
    <n v="0"/>
    <n v="0"/>
    <n v="0"/>
    <n v="0"/>
    <n v="0"/>
    <n v="0"/>
    <s v="Enl Fokus-Ladok 210601"/>
    <m/>
    <n v="0"/>
    <n v="0"/>
    <n v="7.5"/>
    <n v="6.375"/>
    <n v="0"/>
    <n v="0"/>
    <n v="0"/>
    <n v="0"/>
    <n v="0"/>
    <n v="0"/>
    <n v="0"/>
    <n v="0"/>
    <n v="0"/>
    <n v="0"/>
    <n v="0"/>
    <n v="0"/>
    <n v="0"/>
    <n v="0"/>
    <n v="0"/>
    <n v="0"/>
    <n v="0"/>
    <n v="0"/>
    <n v="0"/>
    <n v="0"/>
  </r>
  <r>
    <x v="291"/>
    <x v="279"/>
    <n v="64903"/>
    <x v="0"/>
    <m/>
    <x v="0"/>
    <m/>
    <s v="Umeå"/>
    <s v="Normal"/>
    <s v="SVAA"/>
    <m/>
    <m/>
    <x v="3"/>
    <m/>
    <m/>
    <n v="2"/>
    <n v="1"/>
    <n v="0.85"/>
    <n v="0.85"/>
    <n v="2340"/>
    <x v="16"/>
    <s v="Sa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292"/>
    <x v="280"/>
    <m/>
    <x v="0"/>
    <s v="H17"/>
    <x v="1"/>
    <s v="H211-20"/>
    <s v="Umeå"/>
    <m/>
    <s v="HIST"/>
    <m/>
    <n v="1"/>
    <x v="3"/>
    <m/>
    <m/>
    <n v="1"/>
    <n v="0.5"/>
    <n v="0.85"/>
    <n v="0.42499999999999999"/>
    <n v="2340"/>
    <x v="16"/>
    <s v="Sam"/>
    <x v="0"/>
    <n v="20766"/>
    <n v="17442"/>
    <n v="17795.849999999999"/>
    <n v="6000"/>
    <n v="3000"/>
    <n v="20795.849999999999"/>
    <n v="0"/>
    <n v="0"/>
    <n v="0"/>
    <n v="0"/>
    <n v="0"/>
    <n v="0"/>
    <n v="1"/>
    <n v="0"/>
    <n v="0"/>
    <n v="0"/>
    <n v="0"/>
    <n v="0"/>
    <s v="SP 210924"/>
    <m/>
    <n v="0"/>
    <n v="0"/>
    <n v="0"/>
    <n v="0"/>
    <n v="0"/>
    <n v="0"/>
    <n v="0"/>
    <n v="0"/>
    <n v="0"/>
    <n v="0"/>
    <n v="0"/>
    <n v="0"/>
    <n v="0.5"/>
    <n v="0.42499999999999999"/>
    <n v="0"/>
    <n v="0"/>
    <n v="0"/>
    <n v="0"/>
    <n v="0"/>
    <n v="0"/>
    <n v="0"/>
    <n v="0"/>
    <n v="0"/>
    <n v="0"/>
  </r>
  <r>
    <x v="292"/>
    <x v="280"/>
    <m/>
    <x v="0"/>
    <s v="H18"/>
    <x v="1"/>
    <s v="H211-20"/>
    <s v="Umeå"/>
    <m/>
    <s v="ENGS"/>
    <m/>
    <n v="1"/>
    <x v="3"/>
    <m/>
    <m/>
    <n v="1"/>
    <n v="0.5"/>
    <n v="0.85"/>
    <n v="0.42499999999999999"/>
    <n v="2340"/>
    <x v="16"/>
    <s v="Sam"/>
    <x v="0"/>
    <n v="20766"/>
    <n v="17442"/>
    <n v="17795.849999999999"/>
    <n v="6000"/>
    <n v="3000"/>
    <n v="20795.849999999999"/>
    <n v="0"/>
    <n v="0"/>
    <n v="0"/>
    <n v="0"/>
    <n v="0"/>
    <n v="0"/>
    <n v="1"/>
    <n v="0"/>
    <n v="0"/>
    <n v="0"/>
    <n v="0"/>
    <n v="0"/>
    <s v="SP 210924"/>
    <m/>
    <n v="0"/>
    <n v="0"/>
    <n v="0"/>
    <n v="0"/>
    <n v="0"/>
    <n v="0"/>
    <n v="0"/>
    <n v="0"/>
    <n v="0"/>
    <n v="0"/>
    <n v="0"/>
    <n v="0"/>
    <n v="0.5"/>
    <n v="0.42499999999999999"/>
    <n v="0"/>
    <n v="0"/>
    <n v="0"/>
    <n v="0"/>
    <n v="0"/>
    <n v="0"/>
    <n v="0"/>
    <n v="0"/>
    <n v="0"/>
    <n v="0"/>
  </r>
  <r>
    <x v="292"/>
    <x v="280"/>
    <m/>
    <x v="0"/>
    <s v="H18"/>
    <x v="1"/>
    <s v="H211-20"/>
    <s v="Umeå"/>
    <m/>
    <s v="HIST"/>
    <m/>
    <n v="1"/>
    <x v="3"/>
    <m/>
    <m/>
    <n v="2"/>
    <n v="1"/>
    <n v="0.85"/>
    <n v="0.85"/>
    <n v="2340"/>
    <x v="16"/>
    <s v="Sam"/>
    <x v="0"/>
    <n v="20766"/>
    <n v="17442"/>
    <n v="35591.699999999997"/>
    <n v="6000"/>
    <n v="6000"/>
    <n v="41591.699999999997"/>
    <n v="0"/>
    <n v="0"/>
    <n v="0"/>
    <n v="0"/>
    <n v="0"/>
    <n v="0"/>
    <n v="1"/>
    <n v="0"/>
    <n v="0"/>
    <n v="0"/>
    <n v="0"/>
    <n v="0"/>
    <s v="SP 210924"/>
    <m/>
    <n v="0"/>
    <n v="0"/>
    <n v="0"/>
    <n v="0"/>
    <n v="0"/>
    <n v="0"/>
    <n v="0"/>
    <n v="0"/>
    <n v="0"/>
    <n v="0"/>
    <n v="0"/>
    <n v="0"/>
    <n v="1"/>
    <n v="0.85"/>
    <n v="0"/>
    <n v="0"/>
    <n v="0"/>
    <n v="0"/>
    <n v="0"/>
    <n v="0"/>
    <n v="0"/>
    <n v="0"/>
    <n v="0"/>
    <n v="0"/>
  </r>
  <r>
    <x v="292"/>
    <x v="280"/>
    <m/>
    <x v="0"/>
    <s v="H18"/>
    <x v="1"/>
    <s v="H211-20"/>
    <s v="Umeå"/>
    <m/>
    <s v="RELK"/>
    <m/>
    <n v="1"/>
    <x v="3"/>
    <m/>
    <m/>
    <n v="1"/>
    <n v="0.5"/>
    <n v="0.85"/>
    <n v="0.42499999999999999"/>
    <n v="2340"/>
    <x v="16"/>
    <s v="Sam"/>
    <x v="0"/>
    <n v="20766"/>
    <n v="17442"/>
    <n v="17795.849999999999"/>
    <n v="6000"/>
    <n v="3000"/>
    <n v="20795.849999999999"/>
    <n v="0"/>
    <n v="0"/>
    <n v="0"/>
    <n v="0"/>
    <n v="0"/>
    <n v="0"/>
    <n v="1"/>
    <n v="0"/>
    <n v="0"/>
    <n v="0"/>
    <n v="0"/>
    <n v="0"/>
    <s v="SP 210924"/>
    <m/>
    <n v="0"/>
    <n v="0"/>
    <n v="0"/>
    <n v="0"/>
    <n v="0"/>
    <n v="0"/>
    <n v="0"/>
    <n v="0"/>
    <n v="0"/>
    <n v="0"/>
    <n v="0"/>
    <n v="0"/>
    <n v="0.5"/>
    <n v="0.42499999999999999"/>
    <n v="0"/>
    <n v="0"/>
    <n v="0"/>
    <n v="0"/>
    <n v="0"/>
    <n v="0"/>
    <n v="0"/>
    <n v="0"/>
    <n v="0"/>
    <n v="0"/>
  </r>
  <r>
    <x v="292"/>
    <x v="280"/>
    <m/>
    <x v="0"/>
    <s v="H18"/>
    <x v="1"/>
    <s v="H211-20"/>
    <s v="Umeå"/>
    <m/>
    <s v="SVAA"/>
    <m/>
    <n v="1"/>
    <x v="3"/>
    <m/>
    <m/>
    <n v="2"/>
    <n v="1"/>
    <n v="0.85"/>
    <n v="0.85"/>
    <n v="2340"/>
    <x v="16"/>
    <s v="Sam"/>
    <x v="0"/>
    <n v="20766"/>
    <n v="17442"/>
    <n v="35591.699999999997"/>
    <n v="6000"/>
    <n v="6000"/>
    <n v="41591.699999999997"/>
    <n v="0"/>
    <n v="0"/>
    <n v="0"/>
    <n v="0"/>
    <n v="0"/>
    <n v="0"/>
    <n v="1"/>
    <n v="0"/>
    <n v="0"/>
    <n v="0"/>
    <n v="0"/>
    <n v="0"/>
    <s v="SP 210924"/>
    <m/>
    <n v="0"/>
    <n v="0"/>
    <n v="0"/>
    <n v="0"/>
    <n v="0"/>
    <n v="0"/>
    <n v="0"/>
    <n v="0"/>
    <n v="0"/>
    <n v="0"/>
    <n v="0"/>
    <n v="0"/>
    <n v="1"/>
    <n v="0.85"/>
    <n v="0"/>
    <n v="0"/>
    <n v="0"/>
    <n v="0"/>
    <n v="0"/>
    <n v="0"/>
    <n v="0"/>
    <n v="0"/>
    <n v="0"/>
    <n v="0"/>
  </r>
  <r>
    <x v="292"/>
    <x v="280"/>
    <m/>
    <x v="0"/>
    <s v="H19"/>
    <x v="1"/>
    <s v="H211-20"/>
    <s v="Umeå"/>
    <m/>
    <s v="SAMK"/>
    <m/>
    <n v="1"/>
    <x v="3"/>
    <m/>
    <m/>
    <n v="1"/>
    <n v="0.5"/>
    <n v="0.85"/>
    <n v="0.42499999999999999"/>
    <n v="2340"/>
    <x v="16"/>
    <s v="Sam"/>
    <x v="0"/>
    <n v="20766"/>
    <n v="17442"/>
    <n v="17795.849999999999"/>
    <n v="6000"/>
    <n v="3000"/>
    <n v="20795.849999999999"/>
    <n v="0"/>
    <n v="0"/>
    <n v="0"/>
    <n v="0"/>
    <n v="0"/>
    <n v="0"/>
    <n v="1"/>
    <n v="0"/>
    <n v="0"/>
    <n v="0"/>
    <n v="0"/>
    <n v="0"/>
    <s v="SP 210924"/>
    <m/>
    <n v="0"/>
    <n v="0"/>
    <n v="0"/>
    <n v="0"/>
    <n v="0"/>
    <n v="0"/>
    <n v="0"/>
    <n v="0"/>
    <n v="0"/>
    <n v="0"/>
    <n v="0"/>
    <n v="0"/>
    <n v="0.5"/>
    <n v="0.42499999999999999"/>
    <n v="0"/>
    <n v="0"/>
    <n v="0"/>
    <n v="0"/>
    <n v="0"/>
    <n v="0"/>
    <n v="0"/>
    <n v="0"/>
    <n v="0"/>
    <n v="0"/>
  </r>
  <r>
    <x v="292"/>
    <x v="280"/>
    <m/>
    <x v="0"/>
    <s v="H20"/>
    <x v="1"/>
    <s v="H211-20"/>
    <s v="Umeå"/>
    <m/>
    <s v="SAMK"/>
    <m/>
    <n v="1"/>
    <x v="3"/>
    <m/>
    <m/>
    <n v="11"/>
    <n v="5.5"/>
    <n v="0.85"/>
    <n v="4.6749999999999998"/>
    <n v="2340"/>
    <x v="16"/>
    <s v="Sam"/>
    <x v="0"/>
    <n v="20766"/>
    <n v="17442"/>
    <n v="195754.34999999998"/>
    <n v="6000"/>
    <n v="33000"/>
    <n v="228754.34999999998"/>
    <n v="0"/>
    <n v="0"/>
    <n v="0"/>
    <n v="0"/>
    <n v="0"/>
    <n v="0"/>
    <n v="1"/>
    <n v="0"/>
    <n v="0"/>
    <n v="0"/>
    <n v="0"/>
    <n v="0"/>
    <s v="SP 210924"/>
    <m/>
    <n v="0"/>
    <n v="0"/>
    <n v="0"/>
    <n v="0"/>
    <n v="0"/>
    <n v="0"/>
    <n v="0"/>
    <n v="0"/>
    <n v="0"/>
    <n v="0"/>
    <n v="0"/>
    <n v="0"/>
    <n v="5.5"/>
    <n v="4.6749999999999998"/>
    <n v="0"/>
    <n v="0"/>
    <n v="0"/>
    <n v="0"/>
    <n v="0"/>
    <n v="0"/>
    <n v="0"/>
    <n v="0"/>
    <n v="0"/>
    <n v="0"/>
  </r>
  <r>
    <x v="293"/>
    <x v="281"/>
    <n v="64906"/>
    <x v="0"/>
    <m/>
    <x v="0"/>
    <m/>
    <s v="Umeå"/>
    <s v="Normal"/>
    <s v="ENGS"/>
    <m/>
    <m/>
    <x v="3"/>
    <m/>
    <m/>
    <n v="2"/>
    <n v="1"/>
    <n v="0.85"/>
    <n v="0.85"/>
    <n v="2340"/>
    <x v="16"/>
    <s v="Sa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293"/>
    <x v="281"/>
    <n v="64906"/>
    <x v="0"/>
    <m/>
    <x v="0"/>
    <m/>
    <s v="Umeå"/>
    <s v="Normal"/>
    <s v="HIST"/>
    <m/>
    <m/>
    <x v="3"/>
    <m/>
    <m/>
    <n v="1"/>
    <n v="0.5"/>
    <n v="0.85"/>
    <n v="0.42499999999999999"/>
    <n v="2340"/>
    <x v="16"/>
    <s v="Sa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93"/>
    <x v="281"/>
    <n v="64906"/>
    <x v="0"/>
    <m/>
    <x v="0"/>
    <m/>
    <s v="Umeå"/>
    <s v="Normal"/>
    <s v="IDRH"/>
    <m/>
    <m/>
    <x v="3"/>
    <m/>
    <m/>
    <n v="4"/>
    <n v="2"/>
    <n v="0.85"/>
    <n v="1.7"/>
    <n v="2340"/>
    <x v="16"/>
    <s v="Sam"/>
    <x v="0"/>
    <n v="20766"/>
    <n v="17442"/>
    <n v="71183.399999999994"/>
    <n v="6000"/>
    <n v="12000"/>
    <n v="83183.399999999994"/>
    <n v="0"/>
    <n v="1"/>
    <n v="0"/>
    <n v="0"/>
    <n v="0"/>
    <n v="0"/>
    <n v="0"/>
    <n v="0"/>
    <n v="0"/>
    <n v="0"/>
    <n v="0"/>
    <n v="0"/>
    <s v="Enl Fokus-Ladok 210601"/>
    <m/>
    <n v="0"/>
    <n v="0"/>
    <n v="2"/>
    <n v="1.7"/>
    <n v="0"/>
    <n v="0"/>
    <n v="0"/>
    <n v="0"/>
    <n v="0"/>
    <n v="0"/>
    <n v="0"/>
    <n v="0"/>
    <n v="0"/>
    <n v="0"/>
    <n v="0"/>
    <n v="0"/>
    <n v="0"/>
    <n v="0"/>
    <n v="0"/>
    <n v="0"/>
    <n v="0"/>
    <n v="0"/>
    <n v="0"/>
    <n v="0"/>
  </r>
  <r>
    <x v="293"/>
    <x v="281"/>
    <n v="64906"/>
    <x v="0"/>
    <m/>
    <x v="0"/>
    <m/>
    <s v="Umeå"/>
    <s v="Normal"/>
    <s v="RELK"/>
    <m/>
    <m/>
    <x v="3"/>
    <m/>
    <m/>
    <n v="1"/>
    <n v="0.5"/>
    <n v="0.85"/>
    <n v="0.42499999999999999"/>
    <n v="2340"/>
    <x v="16"/>
    <s v="Sa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293"/>
    <x v="281"/>
    <n v="64906"/>
    <x v="0"/>
    <m/>
    <x v="0"/>
    <m/>
    <s v="Umeå"/>
    <s v="Normal"/>
    <s v="SAMK"/>
    <m/>
    <m/>
    <x v="3"/>
    <m/>
    <m/>
    <n v="11"/>
    <n v="5.5"/>
    <n v="0.85"/>
    <n v="4.6749999999999998"/>
    <n v="2340"/>
    <x v="16"/>
    <s v="Sam"/>
    <x v="0"/>
    <n v="20766"/>
    <n v="17442"/>
    <n v="195754.34999999998"/>
    <n v="6000"/>
    <n v="33000"/>
    <n v="228754.34999999998"/>
    <n v="0"/>
    <n v="1"/>
    <n v="0"/>
    <n v="0"/>
    <n v="0"/>
    <n v="0"/>
    <n v="0"/>
    <n v="0"/>
    <n v="0"/>
    <n v="0"/>
    <n v="0"/>
    <n v="0"/>
    <s v="Enl Fokus-Ladok 210601"/>
    <m/>
    <n v="0"/>
    <n v="0"/>
    <n v="5.5"/>
    <n v="4.6749999999999998"/>
    <n v="0"/>
    <n v="0"/>
    <n v="0"/>
    <n v="0"/>
    <n v="0"/>
    <n v="0"/>
    <n v="0"/>
    <n v="0"/>
    <n v="0"/>
    <n v="0"/>
    <n v="0"/>
    <n v="0"/>
    <n v="0"/>
    <n v="0"/>
    <n v="0"/>
    <n v="0"/>
    <n v="0"/>
    <n v="0"/>
    <n v="0"/>
    <n v="0"/>
  </r>
  <r>
    <x v="294"/>
    <x v="282"/>
    <m/>
    <x v="0"/>
    <s v="H16"/>
    <x v="1"/>
    <s v="H2116-20:V221-15"/>
    <s v="Umeå"/>
    <m/>
    <s v="HIST"/>
    <m/>
    <n v="1"/>
    <x v="0"/>
    <m/>
    <m/>
    <n v="1"/>
    <n v="0.125"/>
    <n v="0.85"/>
    <n v="0.10625"/>
    <n v="2340"/>
    <x v="16"/>
    <s v="Sam"/>
    <x v="0"/>
    <n v="20766"/>
    <n v="17442"/>
    <n v="4448.9624999999996"/>
    <n v="6000"/>
    <n v="750"/>
    <n v="5198.9624999999996"/>
    <n v="0"/>
    <n v="0"/>
    <n v="0"/>
    <n v="0"/>
    <n v="0"/>
    <n v="0"/>
    <n v="1"/>
    <n v="0"/>
    <n v="0"/>
    <n v="0"/>
    <n v="0"/>
    <n v="0"/>
    <s v="SP 210924"/>
    <s v="Läser 7,5 av 30 hp denna termin"/>
    <n v="0"/>
    <n v="0"/>
    <n v="0"/>
    <n v="0"/>
    <n v="0"/>
    <n v="0"/>
    <n v="0"/>
    <n v="0"/>
    <n v="0"/>
    <n v="0"/>
    <n v="0"/>
    <n v="0"/>
    <n v="0.125"/>
    <n v="0.10625"/>
    <n v="0"/>
    <n v="0"/>
    <n v="0"/>
    <n v="0"/>
    <n v="0"/>
    <n v="0"/>
    <n v="0"/>
    <n v="0"/>
    <n v="0"/>
    <n v="0"/>
  </r>
  <r>
    <x v="294"/>
    <x v="282"/>
    <m/>
    <x v="0"/>
    <s v="H16"/>
    <x v="1"/>
    <s v="H2116-20:V221-15"/>
    <s v="Umeå"/>
    <m/>
    <s v="SAMK"/>
    <m/>
    <n v="1"/>
    <x v="0"/>
    <m/>
    <m/>
    <n v="2"/>
    <n v="0.25"/>
    <n v="0.85"/>
    <n v="0.21249999999999999"/>
    <n v="2340"/>
    <x v="16"/>
    <s v="Sam"/>
    <x v="0"/>
    <n v="20766"/>
    <n v="17442"/>
    <n v="8897.9249999999993"/>
    <n v="6000"/>
    <n v="1500"/>
    <n v="10397.924999999999"/>
    <n v="0"/>
    <n v="0"/>
    <n v="0"/>
    <n v="0"/>
    <n v="0"/>
    <n v="0"/>
    <n v="1"/>
    <n v="0"/>
    <n v="0"/>
    <n v="0"/>
    <n v="0"/>
    <n v="0"/>
    <s v="SP 210924"/>
    <s v="Läser 7,5 av 30 hp denna termin"/>
    <n v="0"/>
    <n v="0"/>
    <n v="0"/>
    <n v="0"/>
    <n v="0"/>
    <n v="0"/>
    <n v="0"/>
    <n v="0"/>
    <n v="0"/>
    <n v="0"/>
    <n v="0"/>
    <n v="0"/>
    <n v="0.25"/>
    <n v="0.21249999999999999"/>
    <n v="0"/>
    <n v="0"/>
    <n v="0"/>
    <n v="0"/>
    <n v="0"/>
    <n v="0"/>
    <n v="0"/>
    <n v="0"/>
    <n v="0"/>
    <n v="0"/>
  </r>
  <r>
    <x v="294"/>
    <x v="282"/>
    <m/>
    <x v="0"/>
    <s v="H17"/>
    <x v="1"/>
    <s v="H2116-20:V221-15"/>
    <s v="Umeå"/>
    <m/>
    <s v="HIST"/>
    <m/>
    <n v="1"/>
    <x v="0"/>
    <m/>
    <m/>
    <n v="1"/>
    <n v="0.125"/>
    <n v="0.85"/>
    <n v="0.10625"/>
    <n v="2340"/>
    <x v="16"/>
    <s v="Sam"/>
    <x v="0"/>
    <n v="20766"/>
    <n v="17442"/>
    <n v="4448.9624999999996"/>
    <n v="6000"/>
    <n v="750"/>
    <n v="5198.9624999999996"/>
    <n v="0"/>
    <n v="0"/>
    <n v="0"/>
    <n v="0"/>
    <n v="0"/>
    <n v="0"/>
    <n v="1"/>
    <n v="0"/>
    <n v="0"/>
    <n v="0"/>
    <n v="0"/>
    <n v="0"/>
    <s v="SP 210924"/>
    <s v="Läser 7,5 av 30 hp denna termin"/>
    <n v="0"/>
    <n v="0"/>
    <n v="0"/>
    <n v="0"/>
    <n v="0"/>
    <n v="0"/>
    <n v="0"/>
    <n v="0"/>
    <n v="0"/>
    <n v="0"/>
    <n v="0"/>
    <n v="0"/>
    <n v="0.125"/>
    <n v="0.10625"/>
    <n v="0"/>
    <n v="0"/>
    <n v="0"/>
    <n v="0"/>
    <n v="0"/>
    <n v="0"/>
    <n v="0"/>
    <n v="0"/>
    <n v="0"/>
    <n v="0"/>
  </r>
  <r>
    <x v="294"/>
    <x v="282"/>
    <m/>
    <x v="0"/>
    <s v="H17"/>
    <x v="1"/>
    <s v="H2116-20:V221-15"/>
    <s v="Umeå"/>
    <m/>
    <s v="IDRH"/>
    <m/>
    <n v="1"/>
    <x v="0"/>
    <m/>
    <m/>
    <n v="3"/>
    <n v="0.375"/>
    <n v="0.85"/>
    <n v="0.31874999999999998"/>
    <n v="2340"/>
    <x v="16"/>
    <s v="Sam"/>
    <x v="0"/>
    <n v="20766"/>
    <n v="17442"/>
    <n v="13346.887500000001"/>
    <n v="6000"/>
    <n v="2250"/>
    <n v="15596.887500000001"/>
    <n v="0"/>
    <n v="0"/>
    <n v="0"/>
    <n v="0"/>
    <n v="0"/>
    <n v="0"/>
    <n v="1"/>
    <n v="0"/>
    <n v="0"/>
    <n v="0"/>
    <n v="0"/>
    <n v="0"/>
    <s v="SP 210924"/>
    <s v="Läser 7,5 av 30 hp denna termin"/>
    <n v="0"/>
    <n v="0"/>
    <n v="0"/>
    <n v="0"/>
    <n v="0"/>
    <n v="0"/>
    <n v="0"/>
    <n v="0"/>
    <n v="0"/>
    <n v="0"/>
    <n v="0"/>
    <n v="0"/>
    <n v="0.375"/>
    <n v="0.31874999999999998"/>
    <n v="0"/>
    <n v="0"/>
    <n v="0"/>
    <n v="0"/>
    <n v="0"/>
    <n v="0"/>
    <n v="0"/>
    <n v="0"/>
    <n v="0"/>
    <n v="0"/>
  </r>
  <r>
    <x v="294"/>
    <x v="282"/>
    <m/>
    <x v="0"/>
    <s v="H17"/>
    <x v="1"/>
    <s v="H2116-20:V221-15"/>
    <s v="Umeå"/>
    <m/>
    <s v="SAMK"/>
    <m/>
    <n v="1"/>
    <x v="0"/>
    <m/>
    <m/>
    <n v="6"/>
    <n v="0.75"/>
    <n v="0.85"/>
    <n v="0.63749999999999996"/>
    <n v="2340"/>
    <x v="16"/>
    <s v="Sam"/>
    <x v="0"/>
    <n v="20766"/>
    <n v="17442"/>
    <n v="26693.775000000001"/>
    <n v="6000"/>
    <n v="4500"/>
    <n v="31193.775000000001"/>
    <n v="0"/>
    <n v="0"/>
    <n v="0"/>
    <n v="0"/>
    <n v="0"/>
    <n v="0"/>
    <n v="1"/>
    <n v="0"/>
    <n v="0"/>
    <n v="0"/>
    <n v="0"/>
    <n v="0"/>
    <s v="SP 210924"/>
    <s v="Läser 7,5 av 30 hp denna termin"/>
    <n v="0"/>
    <n v="0"/>
    <n v="0"/>
    <n v="0"/>
    <n v="0"/>
    <n v="0"/>
    <n v="0"/>
    <n v="0"/>
    <n v="0"/>
    <n v="0"/>
    <n v="0"/>
    <n v="0"/>
    <n v="0.75"/>
    <n v="0.63749999999999996"/>
    <n v="0"/>
    <n v="0"/>
    <n v="0"/>
    <n v="0"/>
    <n v="0"/>
    <n v="0"/>
    <n v="0"/>
    <n v="0"/>
    <n v="0"/>
    <n v="0"/>
  </r>
  <r>
    <x v="294"/>
    <x v="282"/>
    <m/>
    <x v="0"/>
    <s v="H18"/>
    <x v="1"/>
    <s v="H2116-20:V221-15"/>
    <s v="Umeå"/>
    <m/>
    <s v="ENGS"/>
    <m/>
    <n v="1"/>
    <x v="0"/>
    <m/>
    <m/>
    <n v="1"/>
    <n v="0.125"/>
    <n v="0.85"/>
    <n v="0.10625"/>
    <n v="2340"/>
    <x v="16"/>
    <s v="Sam"/>
    <x v="0"/>
    <n v="20766"/>
    <n v="17442"/>
    <n v="4448.9624999999996"/>
    <n v="6000"/>
    <n v="750"/>
    <n v="5198.9624999999996"/>
    <n v="0"/>
    <n v="0"/>
    <n v="0"/>
    <n v="0"/>
    <n v="0"/>
    <n v="0"/>
    <n v="1"/>
    <n v="0"/>
    <n v="0"/>
    <n v="0"/>
    <n v="0"/>
    <n v="0"/>
    <s v="SP 210924"/>
    <s v="Läser 7,5 av 30 hp denna termin"/>
    <n v="0"/>
    <n v="0"/>
    <n v="0"/>
    <n v="0"/>
    <n v="0"/>
    <n v="0"/>
    <n v="0"/>
    <n v="0"/>
    <n v="0"/>
    <n v="0"/>
    <n v="0"/>
    <n v="0"/>
    <n v="0.125"/>
    <n v="0.10625"/>
    <n v="0"/>
    <n v="0"/>
    <n v="0"/>
    <n v="0"/>
    <n v="0"/>
    <n v="0"/>
    <n v="0"/>
    <n v="0"/>
    <n v="0"/>
    <n v="0"/>
  </r>
  <r>
    <x v="294"/>
    <x v="282"/>
    <m/>
    <x v="0"/>
    <s v="H19"/>
    <x v="1"/>
    <s v="H2116-20:V221-15"/>
    <s v="Umeå"/>
    <m/>
    <s v="SAMK"/>
    <m/>
    <n v="1"/>
    <x v="0"/>
    <m/>
    <m/>
    <n v="1"/>
    <n v="0.125"/>
    <n v="0.85"/>
    <n v="0.10625"/>
    <n v="2340"/>
    <x v="16"/>
    <s v="Sam"/>
    <x v="0"/>
    <n v="20766"/>
    <n v="17442"/>
    <n v="4448.9624999999996"/>
    <n v="6000"/>
    <n v="750"/>
    <n v="5198.9624999999996"/>
    <n v="0"/>
    <n v="0"/>
    <n v="0"/>
    <n v="0"/>
    <n v="0"/>
    <n v="0"/>
    <n v="1"/>
    <n v="0"/>
    <n v="0"/>
    <n v="0"/>
    <n v="0"/>
    <n v="0"/>
    <s v="SP 210924"/>
    <s v="Läser 7,5 av 30 hp denna termin"/>
    <n v="0"/>
    <n v="0"/>
    <n v="0"/>
    <n v="0"/>
    <n v="0"/>
    <n v="0"/>
    <n v="0"/>
    <n v="0"/>
    <n v="0"/>
    <n v="0"/>
    <n v="0"/>
    <n v="0"/>
    <n v="0.125"/>
    <n v="0.10625"/>
    <n v="0"/>
    <n v="0"/>
    <n v="0"/>
    <n v="0"/>
    <n v="0"/>
    <n v="0"/>
    <n v="0"/>
    <n v="0"/>
    <n v="0"/>
    <n v="0"/>
  </r>
  <r>
    <x v="295"/>
    <x v="283"/>
    <m/>
    <x v="6"/>
    <s v="H17"/>
    <x v="1"/>
    <s v="H2116-20"/>
    <s v="Umeå"/>
    <m/>
    <s v="TXBI"/>
    <m/>
    <n v="1"/>
    <x v="0"/>
    <m/>
    <m/>
    <n v="2"/>
    <n v="0.25"/>
    <n v="0.85"/>
    <n v="0.21249999999999999"/>
    <n v="2340"/>
    <x v="16"/>
    <s v="Sam"/>
    <x v="6"/>
    <n v="26554"/>
    <n v="33465"/>
    <n v="13749.8125"/>
    <n v="6000"/>
    <n v="1500"/>
    <n v="15249.8125"/>
    <n v="0"/>
    <n v="0"/>
    <n v="0"/>
    <n v="1"/>
    <n v="0"/>
    <n v="0"/>
    <n v="0"/>
    <n v="0"/>
    <n v="0"/>
    <n v="0"/>
    <n v="0"/>
    <n v="0"/>
    <s v="SP 210924"/>
    <m/>
    <n v="0"/>
    <n v="0"/>
    <n v="0"/>
    <n v="0"/>
    <n v="0"/>
    <n v="0"/>
    <n v="0.25"/>
    <n v="0.21249999999999999"/>
    <n v="0"/>
    <n v="0"/>
    <n v="0"/>
    <n v="0"/>
    <n v="0"/>
    <n v="0"/>
    <n v="0"/>
    <n v="0"/>
    <n v="0"/>
    <n v="0"/>
    <n v="0"/>
    <n v="0"/>
    <n v="0"/>
    <n v="0"/>
    <n v="0"/>
    <n v="0"/>
  </r>
  <r>
    <x v="295"/>
    <x v="283"/>
    <m/>
    <x v="0"/>
    <s v="H16"/>
    <x v="1"/>
    <s v="H2116-20"/>
    <s v="Umeå"/>
    <m/>
    <s v="ENGS"/>
    <m/>
    <n v="1"/>
    <x v="0"/>
    <m/>
    <m/>
    <n v="1"/>
    <n v="0.125"/>
    <n v="0.85"/>
    <n v="0.10625"/>
    <n v="2340"/>
    <x v="16"/>
    <s v="Sam"/>
    <x v="0"/>
    <n v="26554"/>
    <n v="33465"/>
    <n v="6874.90625"/>
    <n v="6000"/>
    <n v="750"/>
    <n v="7624.90625"/>
    <n v="0"/>
    <n v="0"/>
    <n v="0"/>
    <n v="1"/>
    <n v="0"/>
    <n v="0"/>
    <n v="0"/>
    <n v="0"/>
    <n v="0"/>
    <n v="0"/>
    <n v="0"/>
    <n v="0"/>
    <s v="SP 210924"/>
    <m/>
    <n v="0"/>
    <n v="0"/>
    <n v="0"/>
    <n v="0"/>
    <n v="0"/>
    <n v="0"/>
    <n v="0.125"/>
    <n v="0.10625"/>
    <n v="0"/>
    <n v="0"/>
    <n v="0"/>
    <n v="0"/>
    <n v="0"/>
    <n v="0"/>
    <n v="0"/>
    <n v="0"/>
    <n v="0"/>
    <n v="0"/>
    <n v="0"/>
    <n v="0"/>
    <n v="0"/>
    <n v="0"/>
    <n v="0"/>
    <n v="0"/>
  </r>
  <r>
    <x v="295"/>
    <x v="283"/>
    <n v="64901"/>
    <x v="0"/>
    <m/>
    <x v="0"/>
    <m/>
    <s v="Umeå"/>
    <s v="Normal"/>
    <s v="BILÄ"/>
    <m/>
    <m/>
    <x v="0"/>
    <m/>
    <m/>
    <n v="2"/>
    <n v="0.25"/>
    <n v="0.85"/>
    <n v="0.21249999999999999"/>
    <n v="2340"/>
    <x v="16"/>
    <s v="Sam"/>
    <x v="0"/>
    <n v="26554"/>
    <n v="33465"/>
    <n v="13749.8125"/>
    <n v="6000"/>
    <n v="1500"/>
    <n v="15249.8125"/>
    <n v="0"/>
    <n v="0"/>
    <n v="0"/>
    <n v="1"/>
    <n v="0"/>
    <n v="0"/>
    <n v="0"/>
    <n v="0"/>
    <n v="0"/>
    <n v="0"/>
    <n v="0"/>
    <n v="0"/>
    <s v="Enl Fokus-Ladok 210601"/>
    <m/>
    <n v="0"/>
    <n v="0"/>
    <n v="0"/>
    <n v="0"/>
    <n v="0"/>
    <n v="0"/>
    <n v="0.25"/>
    <n v="0.21249999999999999"/>
    <n v="0"/>
    <n v="0"/>
    <n v="0"/>
    <n v="0"/>
    <n v="0"/>
    <n v="0"/>
    <n v="0"/>
    <n v="0"/>
    <n v="0"/>
    <n v="0"/>
    <n v="0"/>
    <n v="0"/>
    <n v="0"/>
    <n v="0"/>
    <n v="0"/>
    <n v="0"/>
  </r>
  <r>
    <x v="295"/>
    <x v="283"/>
    <n v="64901"/>
    <x v="0"/>
    <m/>
    <x v="0"/>
    <m/>
    <s v="Umeå"/>
    <s v="Normal"/>
    <s v="BIOL"/>
    <m/>
    <m/>
    <x v="0"/>
    <m/>
    <m/>
    <n v="3"/>
    <n v="0.375"/>
    <n v="0.85"/>
    <n v="0.31874999999999998"/>
    <n v="2340"/>
    <x v="16"/>
    <s v="Sam"/>
    <x v="0"/>
    <n v="26554"/>
    <n v="33465"/>
    <n v="20624.71875"/>
    <n v="6000"/>
    <n v="2250"/>
    <n v="22874.71875"/>
    <n v="0"/>
    <n v="0"/>
    <n v="0"/>
    <n v="1"/>
    <n v="0"/>
    <n v="0"/>
    <n v="0"/>
    <n v="0"/>
    <n v="0"/>
    <n v="0"/>
    <n v="0"/>
    <n v="0"/>
    <s v="Enl Fokus-Ladok 210601"/>
    <m/>
    <n v="0"/>
    <n v="0"/>
    <n v="0"/>
    <n v="0"/>
    <n v="0"/>
    <n v="0"/>
    <n v="0.375"/>
    <n v="0.31874999999999998"/>
    <n v="0"/>
    <n v="0"/>
    <n v="0"/>
    <n v="0"/>
    <n v="0"/>
    <n v="0"/>
    <n v="0"/>
    <n v="0"/>
    <n v="0"/>
    <n v="0"/>
    <n v="0"/>
    <n v="0"/>
    <n v="0"/>
    <n v="0"/>
    <n v="0"/>
    <n v="0"/>
  </r>
  <r>
    <x v="295"/>
    <x v="283"/>
    <n v="64901"/>
    <x v="0"/>
    <m/>
    <x v="0"/>
    <m/>
    <s v="Umeå"/>
    <s v="Normal"/>
    <s v="ENGS"/>
    <m/>
    <m/>
    <x v="0"/>
    <m/>
    <m/>
    <n v="17"/>
    <n v="2.125"/>
    <n v="0.85"/>
    <n v="1.8062499999999999"/>
    <n v="2340"/>
    <x v="16"/>
    <s v="Sam"/>
    <x v="0"/>
    <n v="26554"/>
    <n v="33465"/>
    <n v="116873.40625"/>
    <n v="6000"/>
    <n v="12750"/>
    <n v="129623.40625"/>
    <n v="0"/>
    <n v="0"/>
    <n v="0"/>
    <n v="1"/>
    <n v="0"/>
    <n v="0"/>
    <n v="0"/>
    <n v="0"/>
    <n v="0"/>
    <n v="0"/>
    <n v="0"/>
    <n v="0"/>
    <s v="Enl Fokus-Ladok 210601"/>
    <m/>
    <n v="0"/>
    <n v="0"/>
    <n v="0"/>
    <n v="0"/>
    <n v="0"/>
    <n v="0"/>
    <n v="2.125"/>
    <n v="1.8062499999999999"/>
    <n v="0"/>
    <n v="0"/>
    <n v="0"/>
    <n v="0"/>
    <n v="0"/>
    <n v="0"/>
    <n v="0"/>
    <n v="0"/>
    <n v="0"/>
    <n v="0"/>
    <n v="0"/>
    <n v="0"/>
    <n v="0"/>
    <n v="0"/>
    <n v="0"/>
    <n v="0"/>
  </r>
  <r>
    <x v="295"/>
    <x v="283"/>
    <n v="64901"/>
    <x v="0"/>
    <m/>
    <x v="0"/>
    <m/>
    <s v="Umeå"/>
    <s v="Normal"/>
    <s v="HIST"/>
    <m/>
    <m/>
    <x v="0"/>
    <m/>
    <m/>
    <n v="4"/>
    <n v="0.5"/>
    <n v="0.85"/>
    <n v="0.42499999999999999"/>
    <n v="2340"/>
    <x v="16"/>
    <s v="Sam"/>
    <x v="0"/>
    <n v="26554"/>
    <n v="33465"/>
    <n v="27499.625"/>
    <n v="6000"/>
    <n v="3000"/>
    <n v="30499.625"/>
    <n v="0"/>
    <n v="0"/>
    <n v="0"/>
    <n v="1"/>
    <n v="0"/>
    <n v="0"/>
    <n v="0"/>
    <n v="0"/>
    <n v="0"/>
    <n v="0"/>
    <n v="0"/>
    <n v="0"/>
    <s v="Enl Fokus-Ladok 210601"/>
    <m/>
    <n v="0"/>
    <n v="0"/>
    <n v="0"/>
    <n v="0"/>
    <n v="0"/>
    <n v="0"/>
    <n v="0.5"/>
    <n v="0.42499999999999999"/>
    <n v="0"/>
    <n v="0"/>
    <n v="0"/>
    <n v="0"/>
    <n v="0"/>
    <n v="0"/>
    <n v="0"/>
    <n v="0"/>
    <n v="0"/>
    <n v="0"/>
    <n v="0"/>
    <n v="0"/>
    <n v="0"/>
    <n v="0"/>
    <n v="0"/>
    <n v="0"/>
  </r>
  <r>
    <x v="295"/>
    <x v="283"/>
    <n v="64901"/>
    <x v="0"/>
    <m/>
    <x v="0"/>
    <m/>
    <s v="Umeå"/>
    <s v="Normal"/>
    <s v="IDMA"/>
    <m/>
    <m/>
    <x v="0"/>
    <m/>
    <m/>
    <n v="1"/>
    <n v="0.125"/>
    <n v="0.85"/>
    <n v="0.10625"/>
    <n v="2340"/>
    <x v="16"/>
    <s v="Sam"/>
    <x v="0"/>
    <n v="26554"/>
    <n v="33465"/>
    <n v="6874.90625"/>
    <n v="6000"/>
    <n v="750"/>
    <n v="7624.90625"/>
    <n v="0"/>
    <n v="0"/>
    <n v="0"/>
    <n v="1"/>
    <n v="0"/>
    <n v="0"/>
    <n v="0"/>
    <n v="0"/>
    <n v="0"/>
    <n v="0"/>
    <n v="0"/>
    <n v="0"/>
    <s v="Enl Fokus-Ladok 210601"/>
    <m/>
    <n v="0"/>
    <n v="0"/>
    <n v="0"/>
    <n v="0"/>
    <n v="0"/>
    <n v="0"/>
    <n v="0.125"/>
    <n v="0.10625"/>
    <n v="0"/>
    <n v="0"/>
    <n v="0"/>
    <n v="0"/>
    <n v="0"/>
    <n v="0"/>
    <n v="0"/>
    <n v="0"/>
    <n v="0"/>
    <n v="0"/>
    <n v="0"/>
    <n v="0"/>
    <n v="0"/>
    <n v="0"/>
    <n v="0"/>
    <n v="0"/>
  </r>
  <r>
    <x v="295"/>
    <x v="283"/>
    <n v="64901"/>
    <x v="0"/>
    <m/>
    <x v="0"/>
    <m/>
    <s v="Umeå"/>
    <s v="Normal"/>
    <s v="IDRH"/>
    <m/>
    <m/>
    <x v="0"/>
    <m/>
    <m/>
    <n v="14"/>
    <n v="1.75"/>
    <n v="0.85"/>
    <n v="1.4875"/>
    <n v="2340"/>
    <x v="16"/>
    <s v="Sam"/>
    <x v="0"/>
    <n v="26554"/>
    <n v="33465"/>
    <n v="96248.6875"/>
    <n v="6000"/>
    <n v="10500"/>
    <n v="106748.6875"/>
    <n v="0"/>
    <n v="0"/>
    <n v="0"/>
    <n v="1"/>
    <n v="0"/>
    <n v="0"/>
    <n v="0"/>
    <n v="0"/>
    <n v="0"/>
    <n v="0"/>
    <n v="0"/>
    <n v="0"/>
    <s v="Enl Fokus-Ladok 210601"/>
    <m/>
    <n v="0"/>
    <n v="0"/>
    <n v="0"/>
    <n v="0"/>
    <n v="0"/>
    <n v="0"/>
    <n v="1.75"/>
    <n v="1.4875"/>
    <n v="0"/>
    <n v="0"/>
    <n v="0"/>
    <n v="0"/>
    <n v="0"/>
    <n v="0"/>
    <n v="0"/>
    <n v="0"/>
    <n v="0"/>
    <n v="0"/>
    <n v="0"/>
    <n v="0"/>
    <n v="0"/>
    <n v="0"/>
    <n v="0"/>
    <n v="0"/>
  </r>
  <r>
    <x v="295"/>
    <x v="283"/>
    <n v="64901"/>
    <x v="0"/>
    <m/>
    <x v="0"/>
    <m/>
    <s v="Umeå"/>
    <s v="Normal"/>
    <s v="MATT"/>
    <m/>
    <m/>
    <x v="0"/>
    <m/>
    <m/>
    <n v="8"/>
    <n v="1"/>
    <n v="0.85"/>
    <n v="0.85"/>
    <n v="2340"/>
    <x v="16"/>
    <s v="Sam"/>
    <x v="0"/>
    <n v="26554"/>
    <n v="33465"/>
    <n v="54999.25"/>
    <n v="6000"/>
    <n v="6000"/>
    <n v="60999.25"/>
    <n v="0"/>
    <n v="0"/>
    <n v="0"/>
    <n v="1"/>
    <n v="0"/>
    <n v="0"/>
    <n v="0"/>
    <n v="0"/>
    <n v="0"/>
    <n v="0"/>
    <n v="0"/>
    <n v="0"/>
    <s v="Enl Fokus-Ladok 210601"/>
    <m/>
    <n v="0"/>
    <n v="0"/>
    <n v="0"/>
    <n v="0"/>
    <n v="0"/>
    <n v="0"/>
    <n v="1"/>
    <n v="0.85"/>
    <n v="0"/>
    <n v="0"/>
    <n v="0"/>
    <n v="0"/>
    <n v="0"/>
    <n v="0"/>
    <n v="0"/>
    <n v="0"/>
    <n v="0"/>
    <n v="0"/>
    <n v="0"/>
    <n v="0"/>
    <n v="0"/>
    <n v="0"/>
    <n v="0"/>
    <n v="0"/>
  </r>
  <r>
    <x v="295"/>
    <x v="283"/>
    <n v="64901"/>
    <x v="0"/>
    <m/>
    <x v="0"/>
    <m/>
    <s v="Umeå"/>
    <s v="Normal"/>
    <s v="MUSI"/>
    <m/>
    <m/>
    <x v="0"/>
    <m/>
    <m/>
    <n v="3"/>
    <n v="0.375"/>
    <n v="0.85"/>
    <n v="0.31874999999999998"/>
    <n v="2340"/>
    <x v="16"/>
    <s v="Sam"/>
    <x v="0"/>
    <n v="26554"/>
    <n v="33465"/>
    <n v="20624.71875"/>
    <n v="6000"/>
    <n v="2250"/>
    <n v="22874.71875"/>
    <n v="0"/>
    <n v="0"/>
    <n v="0"/>
    <n v="1"/>
    <n v="0"/>
    <n v="0"/>
    <n v="0"/>
    <n v="0"/>
    <n v="0"/>
    <n v="0"/>
    <n v="0"/>
    <n v="0"/>
    <s v="Enl Fokus-Ladok 210601"/>
    <m/>
    <n v="0"/>
    <n v="0"/>
    <n v="0"/>
    <n v="0"/>
    <n v="0"/>
    <n v="0"/>
    <n v="0.375"/>
    <n v="0.31874999999999998"/>
    <n v="0"/>
    <n v="0"/>
    <n v="0"/>
    <n v="0"/>
    <n v="0"/>
    <n v="0"/>
    <n v="0"/>
    <n v="0"/>
    <n v="0"/>
    <n v="0"/>
    <n v="0"/>
    <n v="0"/>
    <n v="0"/>
    <n v="0"/>
    <n v="0"/>
    <n v="0"/>
  </r>
  <r>
    <x v="295"/>
    <x v="283"/>
    <n v="64901"/>
    <x v="0"/>
    <m/>
    <x v="0"/>
    <m/>
    <s v="Umeå"/>
    <s v="Normal"/>
    <s v="RELK"/>
    <m/>
    <m/>
    <x v="0"/>
    <m/>
    <m/>
    <n v="3"/>
    <n v="0.375"/>
    <n v="0.85"/>
    <n v="0.31874999999999998"/>
    <n v="2340"/>
    <x v="16"/>
    <s v="Sam"/>
    <x v="0"/>
    <n v="26554"/>
    <n v="33465"/>
    <n v="20624.71875"/>
    <n v="6000"/>
    <n v="2250"/>
    <n v="22874.71875"/>
    <n v="0"/>
    <n v="0"/>
    <n v="0"/>
    <n v="1"/>
    <n v="0"/>
    <n v="0"/>
    <n v="0"/>
    <n v="0"/>
    <n v="0"/>
    <n v="0"/>
    <n v="0"/>
    <n v="0"/>
    <s v="Enl Fokus-Ladok 210601"/>
    <m/>
    <n v="0"/>
    <n v="0"/>
    <n v="0"/>
    <n v="0"/>
    <n v="0"/>
    <n v="0"/>
    <n v="0.375"/>
    <n v="0.31874999999999998"/>
    <n v="0"/>
    <n v="0"/>
    <n v="0"/>
    <n v="0"/>
    <n v="0"/>
    <n v="0"/>
    <n v="0"/>
    <n v="0"/>
    <n v="0"/>
    <n v="0"/>
    <n v="0"/>
    <n v="0"/>
    <n v="0"/>
    <n v="0"/>
    <n v="0"/>
    <n v="0"/>
  </r>
  <r>
    <x v="295"/>
    <x v="283"/>
    <n v="64901"/>
    <x v="0"/>
    <m/>
    <x v="0"/>
    <m/>
    <s v="Umeå"/>
    <s v="Normal"/>
    <s v="SAMK"/>
    <m/>
    <m/>
    <x v="0"/>
    <m/>
    <m/>
    <n v="3"/>
    <n v="0.375"/>
    <n v="0.85"/>
    <n v="0.31874999999999998"/>
    <n v="2340"/>
    <x v="16"/>
    <s v="Sam"/>
    <x v="0"/>
    <n v="26554"/>
    <n v="33465"/>
    <n v="20624.71875"/>
    <n v="6000"/>
    <n v="2250"/>
    <n v="22874.71875"/>
    <n v="0"/>
    <n v="0"/>
    <n v="0"/>
    <n v="1"/>
    <n v="0"/>
    <n v="0"/>
    <n v="0"/>
    <n v="0"/>
    <n v="0"/>
    <n v="0"/>
    <n v="0"/>
    <n v="0"/>
    <s v="Enl Fokus-Ladok 210601"/>
    <m/>
    <n v="0"/>
    <n v="0"/>
    <n v="0"/>
    <n v="0"/>
    <n v="0"/>
    <n v="0"/>
    <n v="0.375"/>
    <n v="0.31874999999999998"/>
    <n v="0"/>
    <n v="0"/>
    <n v="0"/>
    <n v="0"/>
    <n v="0"/>
    <n v="0"/>
    <n v="0"/>
    <n v="0"/>
    <n v="0"/>
    <n v="0"/>
    <n v="0"/>
    <n v="0"/>
    <n v="0"/>
    <n v="0"/>
    <n v="0"/>
    <n v="0"/>
  </r>
  <r>
    <x v="295"/>
    <x v="283"/>
    <n v="64901"/>
    <x v="0"/>
    <m/>
    <x v="0"/>
    <m/>
    <s v="Umeå"/>
    <s v="Normal"/>
    <s v="SPAN"/>
    <m/>
    <m/>
    <x v="0"/>
    <m/>
    <m/>
    <n v="1"/>
    <n v="0.125"/>
    <n v="0.85"/>
    <n v="0.10625"/>
    <n v="2340"/>
    <x v="16"/>
    <s v="Sam"/>
    <x v="0"/>
    <n v="26554"/>
    <n v="33465"/>
    <n v="6874.90625"/>
    <n v="6000"/>
    <n v="750"/>
    <n v="7624.90625"/>
    <n v="0"/>
    <n v="0"/>
    <n v="0"/>
    <n v="1"/>
    <n v="0"/>
    <n v="0"/>
    <n v="0"/>
    <n v="0"/>
    <n v="0"/>
    <n v="0"/>
    <n v="0"/>
    <n v="0"/>
    <s v="Enl Fokus-Ladok 210601"/>
    <m/>
    <n v="0"/>
    <n v="0"/>
    <n v="0"/>
    <n v="0"/>
    <n v="0"/>
    <n v="0"/>
    <n v="0.125"/>
    <n v="0.10625"/>
    <n v="0"/>
    <n v="0"/>
    <n v="0"/>
    <n v="0"/>
    <n v="0"/>
    <n v="0"/>
    <n v="0"/>
    <n v="0"/>
    <n v="0"/>
    <n v="0"/>
    <n v="0"/>
    <n v="0"/>
    <n v="0"/>
    <n v="0"/>
    <n v="0"/>
    <n v="0"/>
  </r>
  <r>
    <x v="295"/>
    <x v="283"/>
    <n v="64901"/>
    <x v="0"/>
    <m/>
    <x v="0"/>
    <m/>
    <s v="Umeå"/>
    <s v="Normal"/>
    <s v="SVAA"/>
    <m/>
    <m/>
    <x v="0"/>
    <m/>
    <m/>
    <n v="10"/>
    <n v="1.25"/>
    <n v="0.85"/>
    <n v="1.0625"/>
    <n v="2340"/>
    <x v="16"/>
    <s v="Sam"/>
    <x v="0"/>
    <n v="26554"/>
    <n v="33465"/>
    <n v="68749.0625"/>
    <n v="6000"/>
    <n v="7500"/>
    <n v="76249.0625"/>
    <n v="0"/>
    <n v="0"/>
    <n v="0"/>
    <n v="1"/>
    <n v="0"/>
    <n v="0"/>
    <n v="0"/>
    <n v="0"/>
    <n v="0"/>
    <n v="0"/>
    <n v="0"/>
    <n v="0"/>
    <s v="Enl Fokus-Ladok 210601"/>
    <m/>
    <n v="0"/>
    <n v="0"/>
    <n v="0"/>
    <n v="0"/>
    <n v="0"/>
    <n v="0"/>
    <n v="1.25"/>
    <n v="1.0625"/>
    <n v="0"/>
    <n v="0"/>
    <n v="0"/>
    <n v="0"/>
    <n v="0"/>
    <n v="0"/>
    <n v="0"/>
    <n v="0"/>
    <n v="0"/>
    <n v="0"/>
    <n v="0"/>
    <n v="0"/>
    <n v="0"/>
    <n v="0"/>
    <n v="0"/>
    <n v="0"/>
  </r>
  <r>
    <x v="295"/>
    <x v="283"/>
    <n v="64901"/>
    <x v="0"/>
    <m/>
    <x v="0"/>
    <m/>
    <s v="Umeå"/>
    <s v="Normal"/>
    <s v="SVAN"/>
    <m/>
    <m/>
    <x v="0"/>
    <m/>
    <m/>
    <n v="2"/>
    <n v="0.25"/>
    <n v="0.85"/>
    <n v="0.21249999999999999"/>
    <n v="2340"/>
    <x v="16"/>
    <s v="Sam"/>
    <x v="0"/>
    <n v="26554"/>
    <n v="33465"/>
    <n v="13749.8125"/>
    <n v="6000"/>
    <n v="1500"/>
    <n v="15249.8125"/>
    <n v="0"/>
    <n v="0"/>
    <n v="0"/>
    <n v="1"/>
    <n v="0"/>
    <n v="0"/>
    <n v="0"/>
    <n v="0"/>
    <n v="0"/>
    <n v="0"/>
    <n v="0"/>
    <n v="0"/>
    <s v="Enl Fokus-Ladok 210601"/>
    <m/>
    <n v="0"/>
    <n v="0"/>
    <n v="0"/>
    <n v="0"/>
    <n v="0"/>
    <n v="0"/>
    <n v="0.25"/>
    <n v="0.21249999999999999"/>
    <n v="0"/>
    <n v="0"/>
    <n v="0"/>
    <n v="0"/>
    <n v="0"/>
    <n v="0"/>
    <n v="0"/>
    <n v="0"/>
    <n v="0"/>
    <n v="0"/>
    <n v="0"/>
    <n v="0"/>
    <n v="0"/>
    <n v="0"/>
    <n v="0"/>
    <n v="0"/>
  </r>
  <r>
    <x v="295"/>
    <x v="283"/>
    <n v="64901"/>
    <x v="0"/>
    <m/>
    <x v="0"/>
    <m/>
    <s v="Umeå"/>
    <s v="Normal"/>
    <s v="TYSK"/>
    <m/>
    <m/>
    <x v="0"/>
    <m/>
    <m/>
    <n v="1"/>
    <n v="0.125"/>
    <n v="0.85"/>
    <n v="0.10625"/>
    <n v="2340"/>
    <x v="16"/>
    <s v="Sam"/>
    <x v="0"/>
    <n v="26554"/>
    <n v="33465"/>
    <n v="6874.90625"/>
    <n v="6000"/>
    <n v="750"/>
    <n v="7624.90625"/>
    <n v="0"/>
    <n v="0"/>
    <n v="0"/>
    <n v="1"/>
    <n v="0"/>
    <n v="0"/>
    <n v="0"/>
    <n v="0"/>
    <n v="0"/>
    <n v="0"/>
    <n v="0"/>
    <n v="0"/>
    <s v="Enl Fokus-Ladok 210601"/>
    <m/>
    <n v="0"/>
    <n v="0"/>
    <n v="0"/>
    <n v="0"/>
    <n v="0"/>
    <n v="0"/>
    <n v="0.125"/>
    <n v="0.10625"/>
    <n v="0"/>
    <n v="0"/>
    <n v="0"/>
    <n v="0"/>
    <n v="0"/>
    <n v="0"/>
    <n v="0"/>
    <n v="0"/>
    <n v="0"/>
    <n v="0"/>
    <n v="0"/>
    <n v="0"/>
    <n v="0"/>
    <n v="0"/>
    <n v="0"/>
    <n v="0"/>
  </r>
  <r>
    <x v="296"/>
    <x v="284"/>
    <m/>
    <x v="3"/>
    <m/>
    <x v="1"/>
    <m/>
    <m/>
    <s v="Distans"/>
    <m/>
    <m/>
    <n v="0.5"/>
    <x v="1"/>
    <m/>
    <m/>
    <n v="25"/>
    <n v="6.25"/>
    <n v="0.8"/>
    <n v="5"/>
    <n v="1650"/>
    <x v="9"/>
    <s v="Hum"/>
    <x v="3"/>
    <n v="20757"/>
    <n v="36082"/>
    <n v="310141.25"/>
    <n v="22600"/>
    <n v="141250"/>
    <n v="451391.25"/>
    <n v="0"/>
    <n v="0"/>
    <n v="0"/>
    <n v="0"/>
    <n v="0"/>
    <n v="0"/>
    <n v="0"/>
    <n v="1"/>
    <n v="0"/>
    <n v="0"/>
    <n v="0"/>
    <n v="0"/>
    <s v="Äskat/Beslutat 200611 p.39"/>
    <m/>
    <n v="0"/>
    <n v="0"/>
    <n v="0"/>
    <n v="0"/>
    <n v="0"/>
    <n v="0"/>
    <n v="0"/>
    <n v="0"/>
    <n v="0"/>
    <n v="0"/>
    <n v="0"/>
    <n v="0"/>
    <n v="0"/>
    <n v="0"/>
    <n v="6.25"/>
    <n v="5"/>
    <n v="0"/>
    <n v="0"/>
    <n v="0"/>
    <n v="0"/>
    <n v="0"/>
    <n v="0"/>
    <n v="0"/>
    <n v="0"/>
  </r>
  <r>
    <x v="297"/>
    <x v="285"/>
    <n v="67103"/>
    <x v="3"/>
    <m/>
    <x v="0"/>
    <m/>
    <s v="Umeå"/>
    <s v="Distans"/>
    <m/>
    <m/>
    <m/>
    <x v="1"/>
    <m/>
    <m/>
    <n v="17"/>
    <n v="4.25"/>
    <n v="0.8"/>
    <n v="3.4000000000000004"/>
    <n v="1650"/>
    <x v="9"/>
    <s v="Hum"/>
    <x v="3"/>
    <n v="20757"/>
    <n v="36082"/>
    <n v="210896.05000000002"/>
    <n v="22600"/>
    <n v="96050"/>
    <n v="306946.05000000005"/>
    <n v="0"/>
    <n v="0"/>
    <n v="0"/>
    <n v="0"/>
    <n v="0"/>
    <n v="0"/>
    <n v="0"/>
    <n v="1"/>
    <n v="0"/>
    <n v="0"/>
    <n v="0"/>
    <n v="0"/>
    <s v="Enl Fokus-Ladok 210601"/>
    <m/>
    <n v="0"/>
    <n v="0"/>
    <n v="0"/>
    <n v="0"/>
    <n v="0"/>
    <n v="0"/>
    <n v="0"/>
    <n v="0"/>
    <n v="0"/>
    <n v="0"/>
    <n v="0"/>
    <n v="0"/>
    <n v="0"/>
    <n v="0"/>
    <n v="4.25"/>
    <n v="3.4000000000000004"/>
    <n v="0"/>
    <n v="0"/>
    <n v="0"/>
    <n v="0"/>
    <n v="0"/>
    <n v="0"/>
    <n v="0"/>
    <n v="0"/>
  </r>
  <r>
    <x v="298"/>
    <x v="286"/>
    <n v="67001"/>
    <x v="3"/>
    <m/>
    <x v="0"/>
    <m/>
    <s v="Umeå"/>
    <s v="Distans"/>
    <m/>
    <m/>
    <m/>
    <x v="3"/>
    <m/>
    <m/>
    <n v="25"/>
    <n v="6.25"/>
    <n v="0.8"/>
    <n v="5"/>
    <n v="1650"/>
    <x v="9"/>
    <s v="Hum"/>
    <x v="3"/>
    <n v="20757"/>
    <n v="36082"/>
    <n v="310141.25"/>
    <n v="22600"/>
    <n v="141250"/>
    <n v="451391.25"/>
    <n v="0"/>
    <n v="0"/>
    <n v="0"/>
    <n v="0"/>
    <n v="0"/>
    <n v="0"/>
    <n v="0"/>
    <n v="1"/>
    <n v="0"/>
    <n v="0"/>
    <n v="0"/>
    <n v="0"/>
    <s v="Enl Fokus-Ladok 210601"/>
    <m/>
    <n v="0"/>
    <n v="0"/>
    <n v="0"/>
    <n v="0"/>
    <n v="0"/>
    <n v="0"/>
    <n v="0"/>
    <n v="0"/>
    <n v="0"/>
    <n v="0"/>
    <n v="0"/>
    <n v="0"/>
    <n v="0"/>
    <n v="0"/>
    <n v="6.25"/>
    <n v="5"/>
    <n v="0"/>
    <n v="0"/>
    <n v="0"/>
    <n v="0"/>
    <n v="0"/>
    <n v="0"/>
    <n v="0"/>
    <n v="0"/>
  </r>
  <r>
    <x v="298"/>
    <x v="286"/>
    <n v="67100"/>
    <x v="3"/>
    <m/>
    <x v="0"/>
    <m/>
    <s v="Umeå"/>
    <s v="Distans"/>
    <m/>
    <m/>
    <m/>
    <x v="3"/>
    <m/>
    <m/>
    <n v="12"/>
    <n v="6"/>
    <n v="0.8"/>
    <n v="4.8000000000000007"/>
    <n v="1650"/>
    <x v="9"/>
    <s v="Hum"/>
    <x v="3"/>
    <n v="20757"/>
    <n v="36082"/>
    <n v="297735.60000000003"/>
    <n v="22600"/>
    <n v="135600"/>
    <n v="433335.60000000003"/>
    <n v="0"/>
    <n v="0"/>
    <n v="0"/>
    <n v="0"/>
    <n v="0"/>
    <n v="0"/>
    <n v="0"/>
    <n v="1"/>
    <n v="0"/>
    <n v="0"/>
    <n v="0"/>
    <n v="0"/>
    <s v="Enl Fokus-Ladok 210601"/>
    <m/>
    <n v="0"/>
    <n v="0"/>
    <n v="0"/>
    <n v="0"/>
    <n v="0"/>
    <n v="0"/>
    <n v="0"/>
    <n v="0"/>
    <n v="0"/>
    <n v="0"/>
    <n v="0"/>
    <n v="0"/>
    <n v="0"/>
    <n v="0"/>
    <n v="6"/>
    <n v="4.8000000000000007"/>
    <n v="0"/>
    <n v="0"/>
    <n v="0"/>
    <n v="0"/>
    <n v="0"/>
    <n v="0"/>
    <n v="0"/>
    <n v="0"/>
  </r>
  <r>
    <x v="298"/>
    <x v="286"/>
    <m/>
    <x v="3"/>
    <m/>
    <x v="1"/>
    <m/>
    <m/>
    <s v="Distans"/>
    <m/>
    <m/>
    <n v="0.5"/>
    <x v="1"/>
    <m/>
    <m/>
    <n v="25"/>
    <n v="6.25"/>
    <n v="0.8"/>
    <n v="5"/>
    <n v="1650"/>
    <x v="9"/>
    <s v="Hum"/>
    <x v="3"/>
    <n v="20757"/>
    <n v="36082"/>
    <n v="310141.25"/>
    <n v="22600"/>
    <n v="141250"/>
    <n v="451391.25"/>
    <n v="0"/>
    <n v="0"/>
    <n v="0"/>
    <n v="0"/>
    <n v="0"/>
    <n v="0"/>
    <n v="0"/>
    <n v="1"/>
    <n v="0"/>
    <n v="0"/>
    <n v="0"/>
    <n v="0"/>
    <s v="Äskat/Beslutat 200611 p.39"/>
    <s v="Läser 15 av 30 hp denna termin"/>
    <n v="0"/>
    <n v="0"/>
    <n v="0"/>
    <n v="0"/>
    <n v="0"/>
    <n v="0"/>
    <n v="0"/>
    <n v="0"/>
    <n v="0"/>
    <n v="0"/>
    <n v="0"/>
    <n v="0"/>
    <n v="0"/>
    <n v="0"/>
    <n v="6.25"/>
    <n v="5"/>
    <n v="0"/>
    <n v="0"/>
    <n v="0"/>
    <n v="0"/>
    <n v="0"/>
    <n v="0"/>
    <n v="0"/>
    <n v="0"/>
  </r>
  <r>
    <x v="299"/>
    <x v="287"/>
    <m/>
    <x v="3"/>
    <m/>
    <x v="1"/>
    <m/>
    <m/>
    <s v="Distans"/>
    <m/>
    <m/>
    <n v="0.5"/>
    <x v="1"/>
    <m/>
    <m/>
    <n v="8"/>
    <n v="2"/>
    <n v="0.8"/>
    <n v="1.6"/>
    <n v="1650"/>
    <x v="9"/>
    <s v="Hum"/>
    <x v="3"/>
    <n v="20757"/>
    <n v="36082"/>
    <n v="99245.200000000012"/>
    <n v="22600"/>
    <n v="45200"/>
    <n v="144445.20000000001"/>
    <n v="0"/>
    <n v="0"/>
    <n v="0"/>
    <n v="0"/>
    <n v="0"/>
    <n v="0"/>
    <n v="0"/>
    <n v="1"/>
    <n v="0"/>
    <n v="0"/>
    <n v="0"/>
    <n v="0"/>
    <s v="Äskat/Beslutat 200611 p.39"/>
    <m/>
    <n v="0"/>
    <n v="0"/>
    <n v="0"/>
    <n v="0"/>
    <n v="0"/>
    <n v="0"/>
    <n v="0"/>
    <n v="0"/>
    <n v="0"/>
    <n v="0"/>
    <n v="0"/>
    <n v="0"/>
    <n v="0"/>
    <n v="0"/>
    <n v="2"/>
    <n v="1.6"/>
    <n v="0"/>
    <n v="0"/>
    <n v="0"/>
    <n v="0"/>
    <n v="0"/>
    <n v="0"/>
    <n v="0"/>
    <n v="0"/>
  </r>
  <r>
    <x v="300"/>
    <x v="288"/>
    <n v="67104"/>
    <x v="3"/>
    <m/>
    <x v="0"/>
    <m/>
    <s v="Umeå"/>
    <s v="Distans"/>
    <m/>
    <m/>
    <m/>
    <x v="1"/>
    <m/>
    <m/>
    <n v="10"/>
    <n v="2.5"/>
    <n v="0.8"/>
    <n v="2"/>
    <n v="1650"/>
    <x v="9"/>
    <s v="Hum"/>
    <x v="3"/>
    <n v="20757"/>
    <n v="36082"/>
    <n v="124056.5"/>
    <n v="22600"/>
    <n v="56500"/>
    <n v="180556.5"/>
    <n v="0"/>
    <n v="0"/>
    <n v="0"/>
    <n v="0"/>
    <n v="0"/>
    <n v="0"/>
    <n v="0"/>
    <n v="1"/>
    <n v="0"/>
    <n v="0"/>
    <n v="0"/>
    <n v="0"/>
    <s v="Enl Fokus-Ladok 210601"/>
    <m/>
    <n v="0"/>
    <n v="0"/>
    <n v="0"/>
    <n v="0"/>
    <n v="0"/>
    <n v="0"/>
    <n v="0"/>
    <n v="0"/>
    <n v="0"/>
    <n v="0"/>
    <n v="0"/>
    <n v="0"/>
    <n v="0"/>
    <n v="0"/>
    <n v="2.5"/>
    <n v="2"/>
    <n v="0"/>
    <n v="0"/>
    <n v="0"/>
    <n v="0"/>
    <n v="0"/>
    <n v="0"/>
    <n v="0"/>
    <n v="0"/>
  </r>
  <r>
    <x v="301"/>
    <x v="289"/>
    <m/>
    <x v="16"/>
    <s v="H14"/>
    <x v="1"/>
    <s v="H211-5"/>
    <s v="Umeå"/>
    <m/>
    <s v="ALLM"/>
    <m/>
    <n v="1"/>
    <x v="0"/>
    <m/>
    <m/>
    <n v="1"/>
    <n v="0.125"/>
    <n v="0.85"/>
    <n v="0.10625"/>
    <n v="2180"/>
    <x v="12"/>
    <s v="Sam"/>
    <x v="15"/>
    <n v="20766"/>
    <n v="17442"/>
    <n v="4448.9624999999996"/>
    <n v="6000"/>
    <n v="750"/>
    <n v="5198.9624999999996"/>
    <n v="0"/>
    <n v="0"/>
    <n v="0"/>
    <n v="0"/>
    <n v="0"/>
    <n v="0"/>
    <n v="1"/>
    <n v="0"/>
    <n v="0"/>
    <n v="0"/>
    <n v="0"/>
    <n v="0"/>
    <s v="SP 210924"/>
    <m/>
    <n v="0"/>
    <n v="0"/>
    <n v="0"/>
    <n v="0"/>
    <n v="0"/>
    <n v="0"/>
    <n v="0"/>
    <n v="0"/>
    <n v="0"/>
    <n v="0"/>
    <n v="0"/>
    <n v="0"/>
    <n v="0.125"/>
    <n v="0.10625"/>
    <n v="0"/>
    <n v="0"/>
    <n v="0"/>
    <n v="0"/>
    <n v="0"/>
    <n v="0"/>
    <n v="0"/>
    <n v="0"/>
    <n v="0"/>
    <n v="0"/>
  </r>
  <r>
    <x v="301"/>
    <x v="289"/>
    <m/>
    <x v="16"/>
    <s v="H21"/>
    <x v="1"/>
    <m/>
    <n v="2480"/>
    <m/>
    <m/>
    <m/>
    <m/>
    <x v="0"/>
    <m/>
    <m/>
    <n v="46"/>
    <n v="5.75"/>
    <n v="0.85"/>
    <n v="4.8875000000000002"/>
    <n v="2180"/>
    <x v="12"/>
    <s v="Sam"/>
    <x v="15"/>
    <n v="20766"/>
    <n v="17442"/>
    <n v="204652.27500000002"/>
    <n v="6000"/>
    <n v="34500"/>
    <n v="239152.27500000002"/>
    <n v="0"/>
    <n v="0"/>
    <n v="0"/>
    <n v="0"/>
    <n v="0"/>
    <n v="0"/>
    <n v="1"/>
    <n v="0"/>
    <n v="0"/>
    <n v="0"/>
    <n v="0"/>
    <n v="0"/>
    <s v="Reg i Ladok 210907"/>
    <m/>
    <n v="0"/>
    <n v="0"/>
    <n v="0"/>
    <n v="0"/>
    <n v="0"/>
    <n v="0"/>
    <n v="0"/>
    <n v="0"/>
    <n v="0"/>
    <n v="0"/>
    <n v="0"/>
    <n v="0"/>
    <n v="5.75"/>
    <n v="4.8875000000000002"/>
    <n v="0"/>
    <n v="0"/>
    <n v="0"/>
    <n v="0"/>
    <n v="0"/>
    <n v="0"/>
    <n v="0"/>
    <n v="0"/>
    <n v="0"/>
    <n v="0"/>
  </r>
  <r>
    <x v="301"/>
    <x v="289"/>
    <m/>
    <x v="15"/>
    <s v="H21"/>
    <x v="1"/>
    <m/>
    <n v="2480"/>
    <m/>
    <s v="SV+MA+UTGG"/>
    <m/>
    <m/>
    <x v="0"/>
    <m/>
    <m/>
    <n v="48"/>
    <n v="6"/>
    <n v="0.85"/>
    <n v="5.0999999999999996"/>
    <n v="2180"/>
    <x v="12"/>
    <s v="Sam"/>
    <x v="14"/>
    <n v="20766"/>
    <n v="17442"/>
    <n v="213550.2"/>
    <n v="6000"/>
    <n v="36000"/>
    <n v="249550.2"/>
    <n v="0"/>
    <n v="0"/>
    <n v="0"/>
    <n v="0"/>
    <n v="0"/>
    <n v="0"/>
    <n v="1"/>
    <n v="0"/>
    <n v="0"/>
    <n v="0"/>
    <n v="0"/>
    <n v="0"/>
    <s v="Reg i Ladok 210907"/>
    <m/>
    <n v="0"/>
    <n v="0"/>
    <n v="0"/>
    <n v="0"/>
    <n v="0"/>
    <n v="0"/>
    <n v="0"/>
    <n v="0"/>
    <n v="0"/>
    <n v="0"/>
    <n v="0"/>
    <n v="0"/>
    <n v="6"/>
    <n v="5.0999999999999996"/>
    <n v="0"/>
    <n v="0"/>
    <n v="0"/>
    <n v="0"/>
    <n v="0"/>
    <n v="0"/>
    <n v="0"/>
    <n v="0"/>
    <n v="0"/>
    <n v="0"/>
  </r>
  <r>
    <x v="302"/>
    <x v="290"/>
    <m/>
    <x v="16"/>
    <s v="H14"/>
    <x v="1"/>
    <s v="H2116-20"/>
    <s v="Umeå"/>
    <m/>
    <s v="ALLM"/>
    <m/>
    <n v="1"/>
    <x v="0"/>
    <m/>
    <m/>
    <n v="1"/>
    <n v="0.125"/>
    <n v="0.85"/>
    <n v="0.10625"/>
    <n v="2180"/>
    <x v="12"/>
    <s v="Sam"/>
    <x v="15"/>
    <n v="20766"/>
    <n v="17442"/>
    <n v="4448.9624999999996"/>
    <n v="6000"/>
    <n v="750"/>
    <n v="5198.9624999999996"/>
    <n v="0"/>
    <n v="0"/>
    <n v="0"/>
    <n v="0"/>
    <n v="0"/>
    <n v="0"/>
    <n v="1"/>
    <n v="0"/>
    <n v="0"/>
    <n v="0"/>
    <n v="0"/>
    <n v="0"/>
    <s v="SP 210924"/>
    <m/>
    <n v="0"/>
    <n v="0"/>
    <n v="0"/>
    <n v="0"/>
    <n v="0"/>
    <n v="0"/>
    <n v="0"/>
    <n v="0"/>
    <n v="0"/>
    <n v="0"/>
    <n v="0"/>
    <n v="0"/>
    <n v="0.125"/>
    <n v="0.10625"/>
    <n v="0"/>
    <n v="0"/>
    <n v="0"/>
    <n v="0"/>
    <n v="0"/>
    <n v="0"/>
    <n v="0"/>
    <n v="0"/>
    <n v="0"/>
    <n v="0"/>
  </r>
  <r>
    <x v="302"/>
    <x v="290"/>
    <m/>
    <x v="16"/>
    <s v="H21"/>
    <x v="1"/>
    <m/>
    <n v="2480"/>
    <m/>
    <m/>
    <m/>
    <m/>
    <x v="0"/>
    <n v="-0.1"/>
    <n v="46"/>
    <n v="41.4"/>
    <n v="5.1749999999999998"/>
    <n v="0.85"/>
    <n v="4.3987499999999997"/>
    <n v="2180"/>
    <x v="12"/>
    <s v="Sam"/>
    <x v="15"/>
    <n v="20766"/>
    <n v="17442"/>
    <n v="184187.04749999999"/>
    <n v="6000"/>
    <n v="31050"/>
    <n v="215237.04749999999"/>
    <n v="0"/>
    <n v="0"/>
    <n v="0"/>
    <n v="0"/>
    <n v="0"/>
    <n v="0"/>
    <n v="1"/>
    <n v="0"/>
    <n v="0"/>
    <n v="0"/>
    <n v="0"/>
    <n v="0"/>
    <s v="Prognostal"/>
    <m/>
    <n v="0"/>
    <n v="0"/>
    <n v="0"/>
    <n v="0"/>
    <n v="0"/>
    <n v="0"/>
    <n v="0"/>
    <n v="0"/>
    <n v="0"/>
    <n v="0"/>
    <n v="0"/>
    <n v="0"/>
    <n v="5.1749999999999998"/>
    <n v="4.3987499999999997"/>
    <n v="0"/>
    <n v="0"/>
    <n v="0"/>
    <n v="0"/>
    <n v="0"/>
    <n v="0"/>
    <n v="0"/>
    <n v="0"/>
    <n v="0"/>
    <n v="0"/>
  </r>
  <r>
    <x v="302"/>
    <x v="290"/>
    <m/>
    <x v="15"/>
    <s v="H21"/>
    <x v="1"/>
    <m/>
    <n v="2480"/>
    <m/>
    <s v="SV+MA+UTGG"/>
    <m/>
    <m/>
    <x v="0"/>
    <n v="-0.1"/>
    <n v="48"/>
    <n v="43.2"/>
    <n v="5.4"/>
    <n v="0.85"/>
    <n v="4.59"/>
    <n v="2180"/>
    <x v="12"/>
    <s v="Sam"/>
    <x v="14"/>
    <n v="20766"/>
    <n v="17442"/>
    <n v="192195.18"/>
    <n v="6000"/>
    <n v="32400.000000000004"/>
    <n v="224595.18"/>
    <n v="0"/>
    <n v="0"/>
    <n v="0"/>
    <n v="0"/>
    <n v="0"/>
    <n v="0"/>
    <n v="1"/>
    <n v="0"/>
    <n v="0"/>
    <n v="0"/>
    <n v="0"/>
    <n v="0"/>
    <s v="Prognostal"/>
    <m/>
    <n v="0"/>
    <n v="0"/>
    <n v="0"/>
    <n v="0"/>
    <n v="0"/>
    <n v="0"/>
    <n v="0"/>
    <n v="0"/>
    <n v="0"/>
    <n v="0"/>
    <n v="0"/>
    <n v="0"/>
    <n v="5.4"/>
    <n v="4.59"/>
    <n v="0"/>
    <n v="0"/>
    <n v="0"/>
    <n v="0"/>
    <n v="0"/>
    <n v="0"/>
    <n v="0"/>
    <n v="0"/>
    <n v="0"/>
    <n v="0"/>
  </r>
  <r>
    <x v="303"/>
    <x v="291"/>
    <m/>
    <x v="16"/>
    <s v="H14"/>
    <x v="1"/>
    <s v="H216-15"/>
    <s v="Umeå"/>
    <m/>
    <s v="ALLM"/>
    <m/>
    <n v="1"/>
    <x v="1"/>
    <m/>
    <m/>
    <n v="1"/>
    <n v="0.25"/>
    <n v="0.85"/>
    <n v="0.21249999999999999"/>
    <n v="2193"/>
    <x v="13"/>
    <s v="Sam"/>
    <x v="15"/>
    <n v="36229.199999999997"/>
    <n v="35006.800000000003"/>
    <n v="16496.244999999999"/>
    <n v="6000"/>
    <n v="1500"/>
    <n v="17996.244999999999"/>
    <n v="0"/>
    <n v="0"/>
    <n v="0"/>
    <n v="0"/>
    <n v="0"/>
    <n v="0"/>
    <n v="0.2"/>
    <n v="0"/>
    <n v="0"/>
    <n v="0"/>
    <n v="0"/>
    <n v="0.8"/>
    <s v="SP 210924"/>
    <m/>
    <n v="0"/>
    <n v="0"/>
    <n v="0"/>
    <n v="0"/>
    <n v="0"/>
    <n v="0"/>
    <n v="0"/>
    <n v="0"/>
    <n v="0"/>
    <n v="0"/>
    <n v="0"/>
    <n v="0"/>
    <n v="0.05"/>
    <n v="4.2500000000000003E-2"/>
    <n v="0"/>
    <n v="0"/>
    <n v="0"/>
    <n v="0"/>
    <n v="0"/>
    <n v="0"/>
    <n v="0"/>
    <n v="0"/>
    <n v="0.2"/>
    <n v="0.17"/>
  </r>
  <r>
    <x v="303"/>
    <x v="291"/>
    <m/>
    <x v="16"/>
    <s v="H21"/>
    <x v="1"/>
    <m/>
    <n v="2480"/>
    <m/>
    <m/>
    <m/>
    <m/>
    <x v="1"/>
    <n v="-0.05"/>
    <n v="46"/>
    <n v="43.7"/>
    <n v="10.925000000000001"/>
    <n v="0.85"/>
    <n v="9.2862500000000008"/>
    <n v="2193"/>
    <x v="13"/>
    <s v="Sam"/>
    <x v="15"/>
    <n v="36229.199999999997"/>
    <n v="35006.800000000003"/>
    <n v="720885.90650000004"/>
    <n v="6000"/>
    <n v="65550"/>
    <n v="786435.90650000004"/>
    <n v="0"/>
    <n v="0"/>
    <n v="0"/>
    <n v="0"/>
    <n v="0"/>
    <n v="0"/>
    <n v="0.2"/>
    <n v="0"/>
    <n v="0"/>
    <n v="0"/>
    <n v="0"/>
    <n v="0.8"/>
    <s v="Prognostal"/>
    <m/>
    <n v="0"/>
    <n v="0"/>
    <n v="0"/>
    <n v="0"/>
    <n v="0"/>
    <n v="0"/>
    <n v="0"/>
    <n v="0"/>
    <n v="0"/>
    <n v="0"/>
    <n v="0"/>
    <n v="0"/>
    <n v="2.1850000000000001"/>
    <n v="1.8572500000000003"/>
    <n v="0"/>
    <n v="0"/>
    <n v="0"/>
    <n v="0"/>
    <n v="0"/>
    <n v="0"/>
    <n v="0"/>
    <n v="0"/>
    <n v="8.74"/>
    <n v="7.4290000000000012"/>
  </r>
  <r>
    <x v="303"/>
    <x v="291"/>
    <m/>
    <x v="15"/>
    <s v="H21"/>
    <x v="1"/>
    <m/>
    <n v="2480"/>
    <m/>
    <s v="SV+MA+UTGG"/>
    <m/>
    <m/>
    <x v="1"/>
    <n v="-0.05"/>
    <n v="48"/>
    <n v="45.6"/>
    <n v="11.4"/>
    <n v="0.85"/>
    <n v="9.69"/>
    <n v="2193"/>
    <x v="13"/>
    <s v="Sam"/>
    <x v="14"/>
    <n v="36229.199999999997"/>
    <n v="35006.800000000003"/>
    <n v="752228.772"/>
    <n v="6000"/>
    <n v="68400"/>
    <n v="820628.772"/>
    <n v="0"/>
    <n v="0"/>
    <n v="0"/>
    <n v="0"/>
    <n v="0"/>
    <n v="0"/>
    <n v="0.2"/>
    <n v="0"/>
    <n v="0"/>
    <n v="0"/>
    <n v="0"/>
    <n v="0.8"/>
    <s v="Prognostal"/>
    <m/>
    <n v="0"/>
    <n v="0"/>
    <n v="0"/>
    <n v="0"/>
    <n v="0"/>
    <n v="0"/>
    <n v="0"/>
    <n v="0"/>
    <n v="0"/>
    <n v="0"/>
    <n v="0"/>
    <n v="0"/>
    <n v="2.2800000000000002"/>
    <n v="1.9379999999999999"/>
    <n v="0"/>
    <n v="0"/>
    <n v="0"/>
    <n v="0"/>
    <n v="0"/>
    <n v="0"/>
    <n v="0"/>
    <n v="0"/>
    <n v="9.120000000000001"/>
    <n v="7.7519999999999998"/>
  </r>
  <r>
    <x v="304"/>
    <x v="292"/>
    <n v="68900"/>
    <x v="3"/>
    <m/>
    <x v="0"/>
    <m/>
    <s v="Umeå"/>
    <s v="Distans"/>
    <m/>
    <m/>
    <m/>
    <x v="1"/>
    <m/>
    <m/>
    <n v="44"/>
    <n v="11"/>
    <n v="0.8"/>
    <n v="8.8000000000000007"/>
    <n v="2193"/>
    <x v="13"/>
    <s v="Sam"/>
    <x v="3"/>
    <n v="20766"/>
    <n v="17442"/>
    <n v="381915.6"/>
    <n v="6000"/>
    <n v="66000"/>
    <n v="447915.6"/>
    <n v="0"/>
    <n v="0"/>
    <n v="0"/>
    <n v="0"/>
    <n v="0"/>
    <n v="0"/>
    <n v="1"/>
    <n v="0"/>
    <n v="0"/>
    <n v="0"/>
    <n v="0"/>
    <n v="0"/>
    <s v="Enl Fokus-Ladok 210601"/>
    <m/>
    <n v="0"/>
    <n v="0"/>
    <n v="0"/>
    <n v="0"/>
    <n v="0"/>
    <n v="0"/>
    <n v="0"/>
    <n v="0"/>
    <n v="0"/>
    <n v="0"/>
    <n v="0"/>
    <n v="0"/>
    <n v="11"/>
    <n v="8.8000000000000007"/>
    <n v="0"/>
    <n v="0"/>
    <n v="0"/>
    <n v="0"/>
    <n v="0"/>
    <n v="0"/>
    <n v="0"/>
    <n v="0"/>
    <n v="0"/>
    <n v="0"/>
  </r>
  <r>
    <x v="305"/>
    <x v="293"/>
    <n v="68901"/>
    <x v="16"/>
    <m/>
    <x v="0"/>
    <m/>
    <s v="Umeå"/>
    <s v="Distans"/>
    <s v="ALLM"/>
    <m/>
    <m/>
    <x v="0"/>
    <m/>
    <m/>
    <n v="38"/>
    <n v="4.75"/>
    <n v="0.85"/>
    <n v="4.0374999999999996"/>
    <n v="2193"/>
    <x v="13"/>
    <s v="Sam"/>
    <x v="15"/>
    <n v="20766"/>
    <n v="17442"/>
    <n v="169060.57500000001"/>
    <n v="6000"/>
    <n v="28500"/>
    <n v="197560.57500000001"/>
    <n v="0"/>
    <n v="0"/>
    <n v="0"/>
    <n v="0"/>
    <n v="0"/>
    <n v="0"/>
    <n v="1"/>
    <n v="0"/>
    <n v="0"/>
    <n v="0"/>
    <n v="0"/>
    <n v="0"/>
    <s v="Enl Fokus-Ladok 210601"/>
    <m/>
    <n v="0"/>
    <n v="0"/>
    <n v="0"/>
    <n v="0"/>
    <n v="0"/>
    <n v="0"/>
    <n v="0"/>
    <n v="0"/>
    <n v="0"/>
    <n v="0"/>
    <n v="0"/>
    <n v="0"/>
    <n v="4.75"/>
    <n v="4.0374999999999996"/>
    <n v="0"/>
    <n v="0"/>
    <n v="0"/>
    <n v="0"/>
    <n v="0"/>
    <n v="0"/>
    <n v="0"/>
    <n v="0"/>
    <n v="0"/>
    <n v="0"/>
  </r>
  <r>
    <x v="305"/>
    <x v="293"/>
    <n v="68901"/>
    <x v="16"/>
    <m/>
    <x v="0"/>
    <m/>
    <s v="Umeå"/>
    <s v="Distans"/>
    <m/>
    <m/>
    <m/>
    <x v="0"/>
    <m/>
    <m/>
    <n v="1"/>
    <n v="0.125"/>
    <n v="0.85"/>
    <n v="0.10625"/>
    <n v="2193"/>
    <x v="13"/>
    <s v="Sam"/>
    <x v="15"/>
    <n v="20766"/>
    <n v="17442"/>
    <n v="4448.9624999999996"/>
    <n v="6000"/>
    <n v="750"/>
    <n v="5198.9624999999996"/>
    <n v="0"/>
    <n v="0"/>
    <n v="0"/>
    <n v="0"/>
    <n v="0"/>
    <n v="0"/>
    <n v="1"/>
    <n v="0"/>
    <n v="0"/>
    <n v="0"/>
    <n v="0"/>
    <n v="0"/>
    <s v="Enl Fokus-Ladok 210601"/>
    <m/>
    <n v="0"/>
    <n v="0"/>
    <n v="0"/>
    <n v="0"/>
    <n v="0"/>
    <n v="0"/>
    <n v="0"/>
    <n v="0"/>
    <n v="0"/>
    <n v="0"/>
    <n v="0"/>
    <n v="0"/>
    <n v="0.125"/>
    <n v="0.10625"/>
    <n v="0"/>
    <n v="0"/>
    <n v="0"/>
    <n v="0"/>
    <n v="0"/>
    <n v="0"/>
    <n v="0"/>
    <n v="0"/>
    <n v="0"/>
    <n v="0"/>
  </r>
  <r>
    <x v="306"/>
    <x v="294"/>
    <m/>
    <x v="15"/>
    <s v="H19"/>
    <x v="1"/>
    <s v="H216-15"/>
    <s v="Umeå"/>
    <m/>
    <s v="UTGG"/>
    <m/>
    <n v="1"/>
    <x v="1"/>
    <m/>
    <m/>
    <n v="1"/>
    <n v="0.25"/>
    <n v="0.85"/>
    <n v="0.21249999999999999"/>
    <n v="2180"/>
    <x v="12"/>
    <s v="Sam"/>
    <x v="14"/>
    <n v="20766"/>
    <n v="17442"/>
    <n v="8897.9249999999993"/>
    <n v="6000"/>
    <n v="1500"/>
    <n v="10397.924999999999"/>
    <n v="0"/>
    <n v="0"/>
    <n v="0"/>
    <n v="0"/>
    <n v="0"/>
    <n v="0"/>
    <n v="1"/>
    <n v="0"/>
    <n v="0"/>
    <n v="0"/>
    <n v="0"/>
    <n v="0"/>
    <s v="SP 210924"/>
    <m/>
    <n v="0"/>
    <n v="0"/>
    <n v="0"/>
    <n v="0"/>
    <n v="0"/>
    <n v="0"/>
    <n v="0"/>
    <n v="0"/>
    <n v="0"/>
    <n v="0"/>
    <n v="0"/>
    <n v="0"/>
    <n v="0.25"/>
    <n v="0.21249999999999999"/>
    <n v="0"/>
    <n v="0"/>
    <n v="0"/>
    <n v="0"/>
    <n v="0"/>
    <n v="0"/>
    <n v="0"/>
    <n v="0"/>
    <n v="0"/>
    <n v="0"/>
  </r>
  <r>
    <x v="306"/>
    <x v="294"/>
    <m/>
    <x v="15"/>
    <s v="H20"/>
    <x v="1"/>
    <s v="H216-15"/>
    <s v="Umeå"/>
    <m/>
    <s v="UTGG"/>
    <m/>
    <n v="1"/>
    <x v="1"/>
    <m/>
    <m/>
    <n v="15"/>
    <n v="3.75"/>
    <n v="0.85"/>
    <n v="3.1875"/>
    <n v="2180"/>
    <x v="12"/>
    <s v="Sam"/>
    <x v="14"/>
    <n v="20766"/>
    <n v="17442"/>
    <n v="133468.875"/>
    <n v="6000"/>
    <n v="22500"/>
    <n v="155968.875"/>
    <n v="0"/>
    <n v="0"/>
    <n v="0"/>
    <n v="0"/>
    <n v="0"/>
    <n v="0"/>
    <n v="1"/>
    <n v="0"/>
    <n v="0"/>
    <n v="0"/>
    <n v="0"/>
    <n v="0"/>
    <s v="SP 210924"/>
    <m/>
    <n v="0"/>
    <n v="0"/>
    <n v="0"/>
    <n v="0"/>
    <n v="0"/>
    <n v="0"/>
    <n v="0"/>
    <n v="0"/>
    <n v="0"/>
    <n v="0"/>
    <n v="0"/>
    <n v="0"/>
    <n v="3.75"/>
    <n v="3.1875"/>
    <n v="0"/>
    <n v="0"/>
    <n v="0"/>
    <n v="0"/>
    <n v="0"/>
    <n v="0"/>
    <n v="0"/>
    <n v="0"/>
    <n v="0"/>
    <n v="0"/>
  </r>
  <r>
    <x v="307"/>
    <x v="295"/>
    <m/>
    <x v="16"/>
    <s v="H19"/>
    <x v="1"/>
    <s v="H216-15"/>
    <s v="Umeå"/>
    <m/>
    <s v="SVGG"/>
    <m/>
    <n v="1"/>
    <x v="1"/>
    <m/>
    <m/>
    <n v="1"/>
    <n v="0.25"/>
    <n v="0.85"/>
    <n v="0.21249999999999999"/>
    <n v="2180"/>
    <x v="12"/>
    <s v="Sam"/>
    <x v="15"/>
    <n v="20766"/>
    <n v="17442"/>
    <n v="8897.9249999999993"/>
    <n v="6000"/>
    <n v="1500"/>
    <n v="10397.924999999999"/>
    <n v="0"/>
    <n v="0"/>
    <n v="0"/>
    <n v="0"/>
    <n v="0"/>
    <n v="0"/>
    <n v="1"/>
    <n v="0"/>
    <n v="0"/>
    <n v="0"/>
    <n v="0"/>
    <n v="0"/>
    <s v="SP 210924"/>
    <m/>
    <n v="0"/>
    <n v="0"/>
    <n v="0"/>
    <n v="0"/>
    <n v="0"/>
    <n v="0"/>
    <n v="0"/>
    <n v="0"/>
    <n v="0"/>
    <n v="0"/>
    <n v="0"/>
    <n v="0"/>
    <n v="0.25"/>
    <n v="0.21249999999999999"/>
    <n v="0"/>
    <n v="0"/>
    <n v="0"/>
    <n v="0"/>
    <n v="0"/>
    <n v="0"/>
    <n v="0"/>
    <n v="0"/>
    <n v="0"/>
    <n v="0"/>
  </r>
  <r>
    <x v="307"/>
    <x v="295"/>
    <m/>
    <x v="16"/>
    <s v="H20"/>
    <x v="1"/>
    <s v="H216-15"/>
    <s v="Umeå"/>
    <m/>
    <s v="ALLM"/>
    <m/>
    <n v="1"/>
    <x v="1"/>
    <m/>
    <m/>
    <n v="36"/>
    <n v="9"/>
    <n v="0.85"/>
    <n v="7.6499999999999995"/>
    <n v="2180"/>
    <x v="12"/>
    <s v="Sam"/>
    <x v="15"/>
    <n v="20766"/>
    <n v="17442"/>
    <n v="320325.3"/>
    <n v="6000"/>
    <n v="54000"/>
    <n v="374325.3"/>
    <n v="0"/>
    <n v="0"/>
    <n v="0"/>
    <n v="0"/>
    <n v="0"/>
    <n v="0"/>
    <n v="1"/>
    <n v="0"/>
    <n v="0"/>
    <n v="0"/>
    <n v="0"/>
    <n v="0"/>
    <s v="SP 210924"/>
    <m/>
    <n v="0"/>
    <n v="0"/>
    <n v="0"/>
    <n v="0"/>
    <n v="0"/>
    <n v="0"/>
    <n v="0"/>
    <n v="0"/>
    <n v="0"/>
    <n v="0"/>
    <n v="0"/>
    <n v="0"/>
    <n v="9"/>
    <n v="7.6499999999999995"/>
    <n v="0"/>
    <n v="0"/>
    <n v="0"/>
    <n v="0"/>
    <n v="0"/>
    <n v="0"/>
    <n v="0"/>
    <n v="0"/>
    <n v="0"/>
    <n v="0"/>
  </r>
  <r>
    <x v="308"/>
    <x v="296"/>
    <n v="72007"/>
    <x v="16"/>
    <m/>
    <x v="0"/>
    <m/>
    <s v="Umeå"/>
    <s v="Distans"/>
    <s v="ALLM"/>
    <m/>
    <m/>
    <x v="2"/>
    <m/>
    <m/>
    <n v="36"/>
    <n v="13.5"/>
    <n v="0.85"/>
    <n v="11.475"/>
    <n v="2180"/>
    <x v="12"/>
    <s v="Sam"/>
    <x v="15"/>
    <n v="20766"/>
    <n v="17442"/>
    <n v="480487.94999999995"/>
    <n v="6000"/>
    <n v="81000"/>
    <n v="561487.94999999995"/>
    <n v="0"/>
    <n v="0"/>
    <n v="0"/>
    <n v="0"/>
    <n v="0"/>
    <n v="0"/>
    <n v="1"/>
    <n v="0"/>
    <n v="0"/>
    <n v="0"/>
    <n v="0"/>
    <n v="0"/>
    <s v="Enl Fokus-Ladok 210601"/>
    <m/>
    <n v="0"/>
    <n v="0"/>
    <n v="0"/>
    <n v="0"/>
    <n v="0"/>
    <n v="0"/>
    <n v="0"/>
    <n v="0"/>
    <n v="0"/>
    <n v="0"/>
    <n v="0"/>
    <n v="0"/>
    <n v="13.5"/>
    <n v="11.475"/>
    <n v="0"/>
    <n v="0"/>
    <n v="0"/>
    <n v="0"/>
    <n v="0"/>
    <n v="0"/>
    <n v="0"/>
    <n v="0"/>
    <n v="0"/>
    <n v="0"/>
  </r>
  <r>
    <x v="308"/>
    <x v="296"/>
    <n v="72007"/>
    <x v="16"/>
    <m/>
    <x v="0"/>
    <m/>
    <s v="Umeå"/>
    <s v="Distans"/>
    <m/>
    <m/>
    <m/>
    <x v="2"/>
    <m/>
    <m/>
    <n v="1"/>
    <n v="0.375"/>
    <n v="0.85"/>
    <n v="0.31874999999999998"/>
    <n v="2180"/>
    <x v="12"/>
    <s v="Sam"/>
    <x v="15"/>
    <n v="20766"/>
    <n v="17442"/>
    <n v="13346.887500000001"/>
    <n v="6000"/>
    <n v="2250"/>
    <n v="15596.887500000001"/>
    <n v="0"/>
    <n v="0"/>
    <n v="0"/>
    <n v="0"/>
    <n v="0"/>
    <n v="0"/>
    <n v="1"/>
    <n v="0"/>
    <n v="0"/>
    <n v="0"/>
    <n v="0"/>
    <n v="0"/>
    <s v="Enl Fokus-Ladok 210601"/>
    <m/>
    <n v="0"/>
    <n v="0"/>
    <n v="0"/>
    <n v="0"/>
    <n v="0"/>
    <n v="0"/>
    <n v="0"/>
    <n v="0"/>
    <n v="0"/>
    <n v="0"/>
    <n v="0"/>
    <n v="0"/>
    <n v="0.375"/>
    <n v="0.31874999999999998"/>
    <n v="0"/>
    <n v="0"/>
    <n v="0"/>
    <n v="0"/>
    <n v="0"/>
    <n v="0"/>
    <n v="0"/>
    <n v="0"/>
    <n v="0"/>
    <n v="0"/>
  </r>
  <r>
    <x v="309"/>
    <x v="297"/>
    <n v="72011"/>
    <x v="15"/>
    <m/>
    <x v="0"/>
    <m/>
    <s v="Umeå"/>
    <s v="Distans"/>
    <s v="UTGG"/>
    <m/>
    <m/>
    <x v="1"/>
    <m/>
    <m/>
    <n v="15"/>
    <n v="3.75"/>
    <n v="0.85"/>
    <n v="3.1875"/>
    <n v="2180"/>
    <x v="12"/>
    <s v="Sam"/>
    <x v="14"/>
    <n v="20766"/>
    <n v="17442"/>
    <n v="133468.875"/>
    <n v="6000"/>
    <n v="22500"/>
    <n v="155968.875"/>
    <n v="0"/>
    <n v="0"/>
    <n v="0"/>
    <n v="0"/>
    <n v="0"/>
    <n v="0"/>
    <n v="1"/>
    <n v="0"/>
    <n v="0"/>
    <n v="0"/>
    <n v="0"/>
    <n v="0"/>
    <s v="Enl Fokus-Ladok 210601"/>
    <m/>
    <n v="0"/>
    <n v="0"/>
    <n v="0"/>
    <n v="0"/>
    <n v="0"/>
    <n v="0"/>
    <n v="0"/>
    <n v="0"/>
    <n v="0"/>
    <n v="0"/>
    <n v="0"/>
    <n v="0"/>
    <n v="3.75"/>
    <n v="3.1875"/>
    <n v="0"/>
    <n v="0"/>
    <n v="0"/>
    <n v="0"/>
    <n v="0"/>
    <n v="0"/>
    <n v="0"/>
    <n v="0"/>
    <n v="0"/>
    <n v="0"/>
  </r>
  <r>
    <x v="309"/>
    <x v="297"/>
    <n v="72011"/>
    <x v="15"/>
    <m/>
    <x v="0"/>
    <m/>
    <s v="Umeå"/>
    <s v="Distans"/>
    <m/>
    <m/>
    <m/>
    <x v="1"/>
    <m/>
    <m/>
    <n v="1"/>
    <n v="0.25"/>
    <n v="0.85"/>
    <n v="0.21249999999999999"/>
    <n v="2180"/>
    <x v="12"/>
    <s v="Sam"/>
    <x v="14"/>
    <n v="20766"/>
    <n v="17442"/>
    <n v="8897.9249999999993"/>
    <n v="6000"/>
    <n v="1500"/>
    <n v="10397.924999999999"/>
    <n v="0"/>
    <n v="0"/>
    <n v="0"/>
    <n v="0"/>
    <n v="0"/>
    <n v="0"/>
    <n v="1"/>
    <n v="0"/>
    <n v="0"/>
    <n v="0"/>
    <n v="0"/>
    <n v="0"/>
    <s v="Enl Fokus-Ladok 210601"/>
    <m/>
    <n v="0"/>
    <n v="0"/>
    <n v="0"/>
    <n v="0"/>
    <n v="0"/>
    <n v="0"/>
    <n v="0"/>
    <n v="0"/>
    <n v="0"/>
    <n v="0"/>
    <n v="0"/>
    <n v="0"/>
    <n v="0.25"/>
    <n v="0.21249999999999999"/>
    <n v="0"/>
    <n v="0"/>
    <n v="0"/>
    <n v="0"/>
    <n v="0"/>
    <n v="0"/>
    <n v="0"/>
    <n v="0"/>
    <n v="0"/>
    <n v="0"/>
  </r>
  <r>
    <x v="310"/>
    <x v="298"/>
    <n v="72013"/>
    <x v="15"/>
    <m/>
    <x v="0"/>
    <m/>
    <s v="Umeå"/>
    <s v="Distans"/>
    <s v="UTGG"/>
    <m/>
    <m/>
    <x v="1"/>
    <m/>
    <m/>
    <n v="15"/>
    <n v="3.75"/>
    <n v="0.85"/>
    <n v="3.1875"/>
    <n v="2180"/>
    <x v="12"/>
    <s v="Sam"/>
    <x v="14"/>
    <n v="20766"/>
    <n v="17442"/>
    <n v="133468.875"/>
    <n v="6000"/>
    <n v="22500"/>
    <n v="155968.875"/>
    <n v="0"/>
    <n v="0"/>
    <n v="0"/>
    <n v="0"/>
    <n v="0"/>
    <n v="0"/>
    <n v="1"/>
    <n v="0"/>
    <n v="0"/>
    <n v="0"/>
    <n v="0"/>
    <n v="0"/>
    <s v="Enl Fokus-Ladok 210601"/>
    <m/>
    <n v="0"/>
    <n v="0"/>
    <n v="0"/>
    <n v="0"/>
    <n v="0"/>
    <n v="0"/>
    <n v="0"/>
    <n v="0"/>
    <n v="0"/>
    <n v="0"/>
    <n v="0"/>
    <n v="0"/>
    <n v="3.75"/>
    <n v="3.1875"/>
    <n v="0"/>
    <n v="0"/>
    <n v="0"/>
    <n v="0"/>
    <n v="0"/>
    <n v="0"/>
    <n v="0"/>
    <n v="0"/>
    <n v="0"/>
    <n v="0"/>
  </r>
  <r>
    <x v="310"/>
    <x v="298"/>
    <n v="72013"/>
    <x v="15"/>
    <m/>
    <x v="0"/>
    <m/>
    <s v="Umeå"/>
    <s v="Distans"/>
    <m/>
    <m/>
    <m/>
    <x v="1"/>
    <m/>
    <m/>
    <n v="2"/>
    <n v="0.5"/>
    <n v="0.85"/>
    <n v="0.42499999999999999"/>
    <n v="2180"/>
    <x v="12"/>
    <s v="Sam"/>
    <x v="14"/>
    <n v="20766"/>
    <n v="17442"/>
    <n v="17795.849999999999"/>
    <n v="6000"/>
    <n v="3000"/>
    <n v="20795.849999999999"/>
    <n v="0"/>
    <n v="0"/>
    <n v="0"/>
    <n v="0"/>
    <n v="0"/>
    <n v="0"/>
    <n v="1"/>
    <n v="0"/>
    <n v="0"/>
    <n v="0"/>
    <n v="0"/>
    <n v="0"/>
    <s v="Enl Fokus-Ladok 210601"/>
    <m/>
    <n v="0"/>
    <n v="0"/>
    <n v="0"/>
    <n v="0"/>
    <n v="0"/>
    <n v="0"/>
    <n v="0"/>
    <n v="0"/>
    <n v="0"/>
    <n v="0"/>
    <n v="0"/>
    <n v="0"/>
    <n v="0.5"/>
    <n v="0.42499999999999999"/>
    <n v="0"/>
    <n v="0"/>
    <n v="0"/>
    <n v="0"/>
    <n v="0"/>
    <n v="0"/>
    <n v="0"/>
    <n v="0"/>
    <n v="0"/>
    <n v="0"/>
  </r>
  <r>
    <x v="311"/>
    <x v="299"/>
    <m/>
    <x v="16"/>
    <s v="H20"/>
    <x v="1"/>
    <s v="H211-5"/>
    <s v="Umeå"/>
    <m/>
    <s v="ALLM"/>
    <m/>
    <n v="1"/>
    <x v="0"/>
    <m/>
    <m/>
    <n v="33"/>
    <n v="4.125"/>
    <n v="0.85"/>
    <n v="3.5062500000000001"/>
    <n v="2180"/>
    <x v="12"/>
    <s v="Sam"/>
    <x v="15"/>
    <n v="20766"/>
    <n v="17442"/>
    <n v="146815.76250000001"/>
    <n v="6000"/>
    <n v="24750"/>
    <n v="171565.76250000001"/>
    <n v="0"/>
    <n v="0"/>
    <n v="0"/>
    <n v="0"/>
    <n v="0"/>
    <n v="0"/>
    <n v="1"/>
    <n v="0"/>
    <n v="0"/>
    <n v="0"/>
    <n v="0"/>
    <n v="0"/>
    <s v="SP 210924"/>
    <m/>
    <n v="0"/>
    <n v="0"/>
    <n v="0"/>
    <n v="0"/>
    <n v="0"/>
    <n v="0"/>
    <n v="0"/>
    <n v="0"/>
    <n v="0"/>
    <n v="0"/>
    <n v="0"/>
    <n v="0"/>
    <n v="4.125"/>
    <n v="3.5062500000000001"/>
    <n v="0"/>
    <n v="0"/>
    <n v="0"/>
    <n v="0"/>
    <n v="0"/>
    <n v="0"/>
    <n v="0"/>
    <n v="0"/>
    <n v="0"/>
    <n v="0"/>
  </r>
  <r>
    <x v="311"/>
    <x v="299"/>
    <m/>
    <x v="15"/>
    <s v="H19"/>
    <x v="1"/>
    <s v="H211-5"/>
    <s v="Umeå"/>
    <m/>
    <s v="UTGG"/>
    <m/>
    <n v="1"/>
    <x v="0"/>
    <m/>
    <m/>
    <n v="1"/>
    <n v="0.125"/>
    <n v="0.85"/>
    <n v="0.10625"/>
    <n v="2180"/>
    <x v="12"/>
    <s v="Sam"/>
    <x v="14"/>
    <n v="20766"/>
    <n v="17442"/>
    <n v="4448.9624999999996"/>
    <n v="6000"/>
    <n v="750"/>
    <n v="5198.9624999999996"/>
    <n v="0"/>
    <n v="0"/>
    <n v="0"/>
    <n v="0"/>
    <n v="0"/>
    <n v="0"/>
    <n v="1"/>
    <n v="0"/>
    <n v="0"/>
    <n v="0"/>
    <n v="0"/>
    <n v="0"/>
    <s v="SP 210924"/>
    <m/>
    <n v="0"/>
    <n v="0"/>
    <n v="0"/>
    <n v="0"/>
    <n v="0"/>
    <n v="0"/>
    <n v="0"/>
    <n v="0"/>
    <n v="0"/>
    <n v="0"/>
    <n v="0"/>
    <n v="0"/>
    <n v="0.125"/>
    <n v="0.10625"/>
    <n v="0"/>
    <n v="0"/>
    <n v="0"/>
    <n v="0"/>
    <n v="0"/>
    <n v="0"/>
    <n v="0"/>
    <n v="0"/>
    <n v="0"/>
    <n v="0"/>
  </r>
  <r>
    <x v="311"/>
    <x v="299"/>
    <m/>
    <x v="15"/>
    <s v="H20"/>
    <x v="1"/>
    <s v="H211-5"/>
    <s v="Umeå"/>
    <m/>
    <s v="MAGG"/>
    <m/>
    <n v="1"/>
    <x v="0"/>
    <m/>
    <m/>
    <n v="8"/>
    <n v="1"/>
    <n v="0.85"/>
    <n v="0.85"/>
    <n v="2180"/>
    <x v="12"/>
    <s v="Sam"/>
    <x v="14"/>
    <n v="20766"/>
    <n v="17442"/>
    <n v="35591.699999999997"/>
    <n v="6000"/>
    <n v="6000"/>
    <n v="41591.699999999997"/>
    <n v="0"/>
    <n v="0"/>
    <n v="0"/>
    <n v="0"/>
    <n v="0"/>
    <n v="0"/>
    <n v="1"/>
    <n v="0"/>
    <n v="0"/>
    <n v="0"/>
    <n v="0"/>
    <n v="0"/>
    <s v="SP 210924"/>
    <m/>
    <n v="0"/>
    <n v="0"/>
    <n v="0"/>
    <n v="0"/>
    <n v="0"/>
    <n v="0"/>
    <n v="0"/>
    <n v="0"/>
    <n v="0"/>
    <n v="0"/>
    <n v="0"/>
    <n v="0"/>
    <n v="1"/>
    <n v="0.85"/>
    <n v="0"/>
    <n v="0"/>
    <n v="0"/>
    <n v="0"/>
    <n v="0"/>
    <n v="0"/>
    <n v="0"/>
    <n v="0"/>
    <n v="0"/>
    <n v="0"/>
  </r>
  <r>
    <x v="311"/>
    <x v="299"/>
    <m/>
    <x v="15"/>
    <s v="H20"/>
    <x v="1"/>
    <s v="H211-5"/>
    <s v="Umeå"/>
    <m/>
    <s v="SVGG"/>
    <m/>
    <n v="1"/>
    <x v="0"/>
    <m/>
    <m/>
    <n v="13"/>
    <n v="1.625"/>
    <n v="0.85"/>
    <n v="1.3812499999999999"/>
    <n v="2180"/>
    <x v="12"/>
    <s v="Sam"/>
    <x v="14"/>
    <n v="20766"/>
    <n v="17442"/>
    <n v="57836.512499999997"/>
    <n v="6000"/>
    <n v="9750"/>
    <n v="67586.512499999997"/>
    <n v="0"/>
    <n v="0"/>
    <n v="0"/>
    <n v="0"/>
    <n v="0"/>
    <n v="0"/>
    <n v="1"/>
    <n v="0"/>
    <n v="0"/>
    <n v="0"/>
    <n v="0"/>
    <n v="0"/>
    <s v="SP 210924"/>
    <m/>
    <n v="0"/>
    <n v="0"/>
    <n v="0"/>
    <n v="0"/>
    <n v="0"/>
    <n v="0"/>
    <n v="0"/>
    <n v="0"/>
    <n v="0"/>
    <n v="0"/>
    <n v="0"/>
    <n v="0"/>
    <n v="1.625"/>
    <n v="1.3812499999999999"/>
    <n v="0"/>
    <n v="0"/>
    <n v="0"/>
    <n v="0"/>
    <n v="0"/>
    <n v="0"/>
    <n v="0"/>
    <n v="0"/>
    <n v="0"/>
    <n v="0"/>
  </r>
  <r>
    <x v="311"/>
    <x v="299"/>
    <m/>
    <x v="15"/>
    <s v="H20"/>
    <x v="1"/>
    <s v="H211-5"/>
    <s v="Umeå"/>
    <m/>
    <s v="UTGG"/>
    <m/>
    <n v="1"/>
    <x v="0"/>
    <m/>
    <m/>
    <n v="14"/>
    <n v="1.75"/>
    <n v="0.85"/>
    <n v="1.4875"/>
    <n v="2180"/>
    <x v="12"/>
    <s v="Sam"/>
    <x v="14"/>
    <n v="20766"/>
    <n v="17442"/>
    <n v="62285.475000000006"/>
    <n v="6000"/>
    <n v="10500"/>
    <n v="72785.475000000006"/>
    <n v="0"/>
    <n v="0"/>
    <n v="0"/>
    <n v="0"/>
    <n v="0"/>
    <n v="0"/>
    <n v="1"/>
    <n v="0"/>
    <n v="0"/>
    <n v="0"/>
    <n v="0"/>
    <n v="0"/>
    <s v="SP 210924"/>
    <m/>
    <n v="0"/>
    <n v="0"/>
    <n v="0"/>
    <n v="0"/>
    <n v="0"/>
    <n v="0"/>
    <n v="0"/>
    <n v="0"/>
    <n v="0"/>
    <n v="0"/>
    <n v="0"/>
    <n v="0"/>
    <n v="1.75"/>
    <n v="1.4875"/>
    <n v="0"/>
    <n v="0"/>
    <n v="0"/>
    <n v="0"/>
    <n v="0"/>
    <n v="0"/>
    <n v="0"/>
    <n v="0"/>
    <n v="0"/>
    <n v="0"/>
  </r>
  <r>
    <x v="312"/>
    <x v="300"/>
    <m/>
    <x v="1"/>
    <s v="H19"/>
    <x v="1"/>
    <s v="H2111-20"/>
    <s v="Umeå"/>
    <s v="DIST"/>
    <m/>
    <m/>
    <n v="1"/>
    <x v="1"/>
    <m/>
    <m/>
    <n v="1"/>
    <n v="0.25"/>
    <n v="0.85"/>
    <n v="0.21249999999999999"/>
    <n v="2340"/>
    <x v="16"/>
    <s v="Sam"/>
    <x v="1"/>
    <n v="20766"/>
    <n v="17442"/>
    <n v="8897.9249999999993"/>
    <n v="6000"/>
    <n v="1500"/>
    <n v="10397.924999999999"/>
    <n v="0"/>
    <n v="0"/>
    <n v="0"/>
    <n v="0"/>
    <n v="0"/>
    <n v="0"/>
    <n v="1"/>
    <n v="0"/>
    <n v="0"/>
    <n v="0"/>
    <n v="0"/>
    <n v="0"/>
    <s v="SP 210924"/>
    <m/>
    <n v="0"/>
    <n v="0"/>
    <n v="0"/>
    <n v="0"/>
    <n v="0"/>
    <n v="0"/>
    <n v="0"/>
    <n v="0"/>
    <n v="0"/>
    <n v="0"/>
    <n v="0"/>
    <n v="0"/>
    <n v="0.25"/>
    <n v="0.21249999999999999"/>
    <n v="0"/>
    <n v="0"/>
    <n v="0"/>
    <n v="0"/>
    <n v="0"/>
    <n v="0"/>
    <n v="0"/>
    <n v="0"/>
    <n v="0"/>
    <n v="0"/>
  </r>
  <r>
    <x v="312"/>
    <x v="300"/>
    <m/>
    <x v="1"/>
    <s v="H21"/>
    <x v="1"/>
    <m/>
    <n v="2480"/>
    <s v="DIST"/>
    <m/>
    <m/>
    <m/>
    <x v="1"/>
    <m/>
    <m/>
    <n v="38"/>
    <n v="9.5"/>
    <n v="0.85"/>
    <n v="8.0749999999999993"/>
    <n v="2340"/>
    <x v="16"/>
    <s v="Sam"/>
    <x v="1"/>
    <n v="20766"/>
    <n v="17442"/>
    <n v="338121.15"/>
    <n v="6000"/>
    <n v="57000"/>
    <n v="395121.15"/>
    <n v="0"/>
    <n v="0"/>
    <n v="0"/>
    <n v="0"/>
    <n v="0"/>
    <n v="0"/>
    <n v="1"/>
    <n v="0"/>
    <n v="0"/>
    <n v="0"/>
    <n v="0"/>
    <n v="0"/>
    <s v="Prognostal"/>
    <m/>
    <n v="0"/>
    <n v="0"/>
    <n v="0"/>
    <n v="0"/>
    <n v="0"/>
    <n v="0"/>
    <n v="0"/>
    <n v="0"/>
    <n v="0"/>
    <n v="0"/>
    <n v="0"/>
    <n v="0"/>
    <n v="9.5"/>
    <n v="8.0749999999999993"/>
    <n v="0"/>
    <n v="0"/>
    <n v="0"/>
    <n v="0"/>
    <n v="0"/>
    <n v="0"/>
    <n v="0"/>
    <n v="0"/>
    <n v="0"/>
    <n v="0"/>
  </r>
  <r>
    <x v="312"/>
    <x v="300"/>
    <m/>
    <x v="1"/>
    <s v="H21"/>
    <x v="1"/>
    <m/>
    <n v="2480"/>
    <s v="REGU"/>
    <m/>
    <m/>
    <m/>
    <x v="1"/>
    <m/>
    <m/>
    <n v="34"/>
    <n v="8.5"/>
    <n v="0.85"/>
    <n v="7.2249999999999996"/>
    <n v="2340"/>
    <x v="16"/>
    <s v="Sam"/>
    <x v="1"/>
    <n v="20766"/>
    <n v="17442"/>
    <n v="302529.45"/>
    <n v="6000"/>
    <n v="51000"/>
    <n v="353529.45"/>
    <n v="0"/>
    <n v="0"/>
    <n v="0"/>
    <n v="0"/>
    <n v="0"/>
    <n v="0"/>
    <n v="1"/>
    <n v="0"/>
    <n v="0"/>
    <n v="0"/>
    <n v="0"/>
    <n v="0"/>
    <s v="Prognostal"/>
    <m/>
    <n v="0"/>
    <n v="0"/>
    <n v="0"/>
    <n v="0"/>
    <n v="0"/>
    <n v="0"/>
    <n v="0"/>
    <n v="0"/>
    <n v="0"/>
    <n v="0"/>
    <n v="0"/>
    <n v="0"/>
    <n v="8.5"/>
    <n v="7.2249999999999996"/>
    <n v="0"/>
    <n v="0"/>
    <n v="0"/>
    <n v="0"/>
    <n v="0"/>
    <n v="0"/>
    <n v="0"/>
    <n v="0"/>
    <n v="0"/>
    <n v="0"/>
  </r>
  <r>
    <x v="313"/>
    <x v="301"/>
    <n v="72603"/>
    <x v="1"/>
    <m/>
    <x v="0"/>
    <m/>
    <s v="Umeå"/>
    <s v="Distans"/>
    <s v="DIST"/>
    <m/>
    <m/>
    <x v="0"/>
    <m/>
    <m/>
    <n v="21"/>
    <n v="2.625"/>
    <n v="0.85"/>
    <n v="2.2312499999999997"/>
    <n v="2340"/>
    <x v="16"/>
    <s v="Sam"/>
    <x v="1"/>
    <n v="20766"/>
    <n v="17442"/>
    <n v="93428.212499999994"/>
    <n v="6000"/>
    <n v="15750"/>
    <n v="109178.21249999999"/>
    <n v="0"/>
    <n v="0"/>
    <n v="0"/>
    <n v="0"/>
    <n v="0"/>
    <n v="0"/>
    <n v="1"/>
    <n v="0"/>
    <n v="0"/>
    <n v="0"/>
    <n v="0"/>
    <n v="0"/>
    <s v="Enl Fokus-Ladok 210601"/>
    <m/>
    <n v="0"/>
    <n v="0"/>
    <n v="0"/>
    <n v="0"/>
    <n v="0"/>
    <n v="0"/>
    <n v="0"/>
    <n v="0"/>
    <n v="0"/>
    <n v="0"/>
    <n v="0"/>
    <n v="0"/>
    <n v="2.625"/>
    <n v="2.2312499999999997"/>
    <n v="0"/>
    <n v="0"/>
    <n v="0"/>
    <n v="0"/>
    <n v="0"/>
    <n v="0"/>
    <n v="0"/>
    <n v="0"/>
    <n v="0"/>
    <n v="0"/>
  </r>
  <r>
    <x v="313"/>
    <x v="301"/>
    <n v="72602"/>
    <x v="1"/>
    <m/>
    <x v="0"/>
    <m/>
    <s v="Umeå"/>
    <s v="Normal"/>
    <s v="REGU"/>
    <m/>
    <m/>
    <x v="0"/>
    <m/>
    <m/>
    <n v="25"/>
    <n v="3.125"/>
    <n v="0.85"/>
    <n v="2.65625"/>
    <n v="2340"/>
    <x v="16"/>
    <s v="Sam"/>
    <x v="1"/>
    <n v="20766"/>
    <n v="17442"/>
    <n v="111224.0625"/>
    <n v="6000"/>
    <n v="18750"/>
    <n v="129974.0625"/>
    <n v="0"/>
    <n v="0"/>
    <n v="0"/>
    <n v="0"/>
    <n v="0"/>
    <n v="0"/>
    <n v="1"/>
    <n v="0"/>
    <n v="0"/>
    <n v="0"/>
    <n v="0"/>
    <n v="0"/>
    <s v="Enl Fokus-Ladok 210601"/>
    <m/>
    <n v="0"/>
    <n v="0"/>
    <n v="0"/>
    <n v="0"/>
    <n v="0"/>
    <n v="0"/>
    <n v="0"/>
    <n v="0"/>
    <n v="0"/>
    <n v="0"/>
    <n v="0"/>
    <n v="0"/>
    <n v="3.125"/>
    <n v="2.65625"/>
    <n v="0"/>
    <n v="0"/>
    <n v="0"/>
    <n v="0"/>
    <n v="0"/>
    <n v="0"/>
    <n v="0"/>
    <n v="0"/>
    <n v="0"/>
    <n v="0"/>
  </r>
  <r>
    <x v="314"/>
    <x v="302"/>
    <m/>
    <x v="3"/>
    <m/>
    <x v="1"/>
    <m/>
    <m/>
    <s v="Distans"/>
    <m/>
    <m/>
    <n v="0.25"/>
    <x v="0"/>
    <m/>
    <m/>
    <n v="20"/>
    <n v="2.5"/>
    <n v="0.8"/>
    <n v="2"/>
    <n v="2340"/>
    <x v="16"/>
    <s v="Sam"/>
    <x v="3"/>
    <n v="20766"/>
    <n v="17442"/>
    <n v="86799"/>
    <n v="6000"/>
    <n v="15000"/>
    <n v="101799"/>
    <n v="0"/>
    <n v="0"/>
    <n v="0"/>
    <n v="0"/>
    <n v="0"/>
    <n v="0"/>
    <n v="1"/>
    <n v="0"/>
    <n v="0"/>
    <n v="0"/>
    <n v="0"/>
    <n v="0"/>
    <s v="Äskat/Beslutat 200611 p.39"/>
    <m/>
    <n v="0"/>
    <n v="0"/>
    <n v="0"/>
    <n v="0"/>
    <n v="0"/>
    <n v="0"/>
    <n v="0"/>
    <n v="0"/>
    <n v="0"/>
    <n v="0"/>
    <n v="0"/>
    <n v="0"/>
    <n v="2.5"/>
    <n v="2"/>
    <n v="0"/>
    <n v="0"/>
    <n v="0"/>
    <n v="0"/>
    <n v="0"/>
    <n v="0"/>
    <n v="0"/>
    <n v="0"/>
    <n v="0"/>
    <n v="0"/>
  </r>
  <r>
    <x v="315"/>
    <x v="303"/>
    <n v="72604"/>
    <x v="3"/>
    <m/>
    <x v="0"/>
    <m/>
    <s v="Ortsoberoende"/>
    <s v="Distans"/>
    <m/>
    <m/>
    <m/>
    <x v="0"/>
    <m/>
    <m/>
    <n v="7"/>
    <n v="0.875"/>
    <n v="0.8"/>
    <n v="0.70000000000000007"/>
    <n v="2340"/>
    <x v="16"/>
    <s v="Sam"/>
    <x v="3"/>
    <n v="20766"/>
    <n v="17442"/>
    <n v="30379.65"/>
    <n v="6000"/>
    <n v="5250"/>
    <n v="35629.65"/>
    <n v="0"/>
    <n v="0"/>
    <n v="0"/>
    <n v="0"/>
    <n v="0"/>
    <n v="0"/>
    <n v="1"/>
    <n v="0"/>
    <n v="0"/>
    <n v="0"/>
    <n v="0"/>
    <n v="0"/>
    <s v="Enl Fokus-Ladok 210601"/>
    <m/>
    <n v="0"/>
    <n v="0"/>
    <n v="0"/>
    <n v="0"/>
    <n v="0"/>
    <n v="0"/>
    <n v="0"/>
    <n v="0"/>
    <n v="0"/>
    <n v="0"/>
    <n v="0"/>
    <n v="0"/>
    <n v="0.875"/>
    <n v="0.70000000000000007"/>
    <n v="0"/>
    <n v="0"/>
    <n v="0"/>
    <n v="0"/>
    <n v="0"/>
    <n v="0"/>
    <n v="0"/>
    <n v="0"/>
    <n v="0"/>
    <n v="0"/>
  </r>
  <r>
    <x v="316"/>
    <x v="304"/>
    <m/>
    <x v="3"/>
    <m/>
    <x v="1"/>
    <m/>
    <m/>
    <s v="Distans"/>
    <m/>
    <m/>
    <n v="0.25"/>
    <x v="0"/>
    <m/>
    <m/>
    <n v="20"/>
    <n v="2.5"/>
    <n v="0.8"/>
    <n v="2"/>
    <n v="2340"/>
    <x v="16"/>
    <s v="Sam"/>
    <x v="3"/>
    <n v="20766"/>
    <n v="17442"/>
    <n v="86799"/>
    <n v="6000"/>
    <n v="15000"/>
    <n v="101799"/>
    <n v="0"/>
    <n v="0"/>
    <n v="0"/>
    <n v="0"/>
    <n v="0"/>
    <n v="0"/>
    <n v="1"/>
    <n v="0"/>
    <n v="0"/>
    <n v="0"/>
    <n v="0"/>
    <n v="0"/>
    <s v="Äskat/Beslutat 200611 p.39"/>
    <s v="Läser 7,5 av 15hp denna termin"/>
    <n v="0"/>
    <n v="0"/>
    <n v="0"/>
    <n v="0"/>
    <n v="0"/>
    <n v="0"/>
    <n v="0"/>
    <n v="0"/>
    <n v="0"/>
    <n v="0"/>
    <n v="0"/>
    <n v="0"/>
    <n v="2.5"/>
    <n v="2"/>
    <n v="0"/>
    <n v="0"/>
    <n v="0"/>
    <n v="0"/>
    <n v="0"/>
    <n v="0"/>
    <n v="0"/>
    <n v="0"/>
    <n v="0"/>
    <n v="0"/>
  </r>
  <r>
    <x v="317"/>
    <x v="305"/>
    <n v="71806"/>
    <x v="4"/>
    <m/>
    <x v="0"/>
    <m/>
    <s v="Umeå"/>
    <s v="Normal"/>
    <m/>
    <m/>
    <m/>
    <x v="1"/>
    <m/>
    <m/>
    <n v="50"/>
    <n v="12.5"/>
    <n v="0.85"/>
    <n v="10.625"/>
    <n v="1620"/>
    <x v="0"/>
    <s v="Hum"/>
    <x v="4"/>
    <n v="20766"/>
    <n v="17442"/>
    <n v="444896.25"/>
    <n v="6000"/>
    <n v="75000"/>
    <n v="519896.25"/>
    <n v="0"/>
    <n v="1"/>
    <n v="0"/>
    <n v="0"/>
    <n v="0"/>
    <n v="0"/>
    <n v="0"/>
    <n v="0"/>
    <n v="0"/>
    <n v="0"/>
    <n v="0"/>
    <n v="0"/>
    <s v="Enl Fokus-Ladok 210601"/>
    <m/>
    <n v="0"/>
    <n v="0"/>
    <n v="12.5"/>
    <n v="10.625"/>
    <n v="0"/>
    <n v="0"/>
    <n v="0"/>
    <n v="0"/>
    <n v="0"/>
    <n v="0"/>
    <n v="0"/>
    <n v="0"/>
    <n v="0"/>
    <n v="0"/>
    <n v="0"/>
    <n v="0"/>
    <n v="0"/>
    <n v="0"/>
    <n v="0"/>
    <n v="0"/>
    <n v="0"/>
    <n v="0"/>
    <n v="0"/>
    <n v="0"/>
  </r>
  <r>
    <x v="318"/>
    <x v="306"/>
    <m/>
    <x v="4"/>
    <s v="H20"/>
    <x v="1"/>
    <s v="H2116-20"/>
    <s v="Umeå"/>
    <s v="Campus"/>
    <m/>
    <m/>
    <n v="1"/>
    <x v="0"/>
    <m/>
    <m/>
    <n v="45"/>
    <n v="5.625"/>
    <n v="0.85"/>
    <n v="4.78125"/>
    <n v="1620"/>
    <x v="0"/>
    <s v="Hum"/>
    <x v="4"/>
    <n v="20766"/>
    <n v="17442"/>
    <n v="200203.3125"/>
    <n v="6000"/>
    <n v="33750"/>
    <n v="233953.3125"/>
    <n v="0"/>
    <n v="1"/>
    <n v="0"/>
    <n v="0"/>
    <n v="0"/>
    <n v="0"/>
    <n v="0"/>
    <n v="0"/>
    <n v="0"/>
    <n v="0"/>
    <n v="0"/>
    <n v="0"/>
    <s v="SP 210923"/>
    <m/>
    <n v="0"/>
    <n v="0"/>
    <n v="5.625"/>
    <n v="4.78125"/>
    <n v="0"/>
    <n v="0"/>
    <n v="0"/>
    <n v="0"/>
    <n v="0"/>
    <n v="0"/>
    <n v="0"/>
    <n v="0"/>
    <n v="0"/>
    <n v="0"/>
    <n v="0"/>
    <n v="0"/>
    <n v="0"/>
    <n v="0"/>
    <n v="0"/>
    <n v="0"/>
    <n v="0"/>
    <n v="0"/>
    <n v="0"/>
    <n v="0"/>
  </r>
  <r>
    <x v="318"/>
    <x v="306"/>
    <m/>
    <x v="4"/>
    <s v="V18"/>
    <x v="1"/>
    <s v="H2116-20"/>
    <s v="Umeå"/>
    <s v="Campus"/>
    <m/>
    <m/>
    <n v="1"/>
    <x v="0"/>
    <m/>
    <m/>
    <n v="1"/>
    <n v="0.125"/>
    <n v="0.85"/>
    <n v="0.10625"/>
    <n v="1620"/>
    <x v="0"/>
    <s v="Hum"/>
    <x v="4"/>
    <n v="20766"/>
    <n v="17442"/>
    <n v="4448.9624999999996"/>
    <n v="6000"/>
    <n v="750"/>
    <n v="5198.9624999999996"/>
    <n v="0"/>
    <n v="1"/>
    <n v="0"/>
    <n v="0"/>
    <n v="0"/>
    <n v="0"/>
    <n v="0"/>
    <n v="0"/>
    <n v="0"/>
    <n v="0"/>
    <n v="0"/>
    <n v="0"/>
    <s v="SP 210923"/>
    <m/>
    <n v="0"/>
    <n v="0"/>
    <n v="0.125"/>
    <n v="0.10625"/>
    <n v="0"/>
    <n v="0"/>
    <n v="0"/>
    <n v="0"/>
    <n v="0"/>
    <n v="0"/>
    <n v="0"/>
    <n v="0"/>
    <n v="0"/>
    <n v="0"/>
    <n v="0"/>
    <n v="0"/>
    <n v="0"/>
    <n v="0"/>
    <n v="0"/>
    <n v="0"/>
    <n v="0"/>
    <n v="0"/>
    <n v="0"/>
    <n v="0"/>
  </r>
  <r>
    <x v="319"/>
    <x v="307"/>
    <m/>
    <x v="4"/>
    <s v="H17"/>
    <x v="1"/>
    <s v="H2111-15"/>
    <s v="Umeå"/>
    <s v="Campus"/>
    <m/>
    <m/>
    <n v="1"/>
    <x v="0"/>
    <m/>
    <m/>
    <n v="1"/>
    <n v="0.125"/>
    <n v="0.85"/>
    <n v="0.10625"/>
    <n v="1620"/>
    <x v="0"/>
    <s v="Hum"/>
    <x v="4"/>
    <n v="20766"/>
    <n v="17442"/>
    <n v="4448.9624999999996"/>
    <n v="6000"/>
    <n v="750"/>
    <n v="5198.9624999999996"/>
    <n v="0"/>
    <n v="1"/>
    <n v="0"/>
    <n v="0"/>
    <n v="0"/>
    <n v="0"/>
    <n v="0"/>
    <n v="0"/>
    <n v="0"/>
    <n v="0"/>
    <n v="0"/>
    <n v="0"/>
    <s v="SP 210923"/>
    <m/>
    <n v="0"/>
    <n v="0"/>
    <n v="0.125"/>
    <n v="0.10625"/>
    <n v="0"/>
    <n v="0"/>
    <n v="0"/>
    <n v="0"/>
    <n v="0"/>
    <n v="0"/>
    <n v="0"/>
    <n v="0"/>
    <n v="0"/>
    <n v="0"/>
    <n v="0"/>
    <n v="0"/>
    <n v="0"/>
    <n v="0"/>
    <n v="0"/>
    <n v="0"/>
    <n v="0"/>
    <n v="0"/>
    <n v="0"/>
    <n v="0"/>
  </r>
  <r>
    <x v="319"/>
    <x v="307"/>
    <m/>
    <x v="4"/>
    <s v="H18"/>
    <x v="1"/>
    <s v="H2111-15"/>
    <s v="Umeå"/>
    <s v="Campus"/>
    <m/>
    <m/>
    <n v="1"/>
    <x v="0"/>
    <m/>
    <m/>
    <n v="3"/>
    <n v="0.375"/>
    <n v="0.85"/>
    <n v="0.31874999999999998"/>
    <n v="1620"/>
    <x v="0"/>
    <s v="Hum"/>
    <x v="4"/>
    <n v="20766"/>
    <n v="17442"/>
    <n v="13346.887500000001"/>
    <n v="6000"/>
    <n v="2250"/>
    <n v="15596.887500000001"/>
    <n v="0"/>
    <n v="1"/>
    <n v="0"/>
    <n v="0"/>
    <n v="0"/>
    <n v="0"/>
    <n v="0"/>
    <n v="0"/>
    <n v="0"/>
    <n v="0"/>
    <n v="0"/>
    <n v="0"/>
    <s v="SP 210923"/>
    <m/>
    <n v="0"/>
    <n v="0"/>
    <n v="0.375"/>
    <n v="0.31874999999999998"/>
    <n v="0"/>
    <n v="0"/>
    <n v="0"/>
    <n v="0"/>
    <n v="0"/>
    <n v="0"/>
    <n v="0"/>
    <n v="0"/>
    <n v="0"/>
    <n v="0"/>
    <n v="0"/>
    <n v="0"/>
    <n v="0"/>
    <n v="0"/>
    <n v="0"/>
    <n v="0"/>
    <n v="0"/>
    <n v="0"/>
    <n v="0"/>
    <n v="0"/>
  </r>
  <r>
    <x v="319"/>
    <x v="307"/>
    <m/>
    <x v="4"/>
    <s v="H19"/>
    <x v="1"/>
    <s v="H2111-15"/>
    <s v="Umeå"/>
    <s v="Campus"/>
    <m/>
    <m/>
    <n v="1"/>
    <x v="0"/>
    <m/>
    <m/>
    <n v="33"/>
    <n v="4.125"/>
    <n v="0.85"/>
    <n v="3.5062500000000001"/>
    <n v="1620"/>
    <x v="0"/>
    <s v="Hum"/>
    <x v="4"/>
    <n v="20766"/>
    <n v="17442"/>
    <n v="146815.76250000001"/>
    <n v="6000"/>
    <n v="24750"/>
    <n v="171565.76250000001"/>
    <n v="0"/>
    <n v="1"/>
    <n v="0"/>
    <n v="0"/>
    <n v="0"/>
    <n v="0"/>
    <n v="0"/>
    <n v="0"/>
    <n v="0"/>
    <n v="0"/>
    <n v="0"/>
    <n v="0"/>
    <s v="SP 210923"/>
    <m/>
    <n v="0"/>
    <n v="0"/>
    <n v="4.125"/>
    <n v="3.5062500000000001"/>
    <n v="0"/>
    <n v="0"/>
    <n v="0"/>
    <n v="0"/>
    <n v="0"/>
    <n v="0"/>
    <n v="0"/>
    <n v="0"/>
    <n v="0"/>
    <n v="0"/>
    <n v="0"/>
    <n v="0"/>
    <n v="0"/>
    <n v="0"/>
    <n v="0"/>
    <n v="0"/>
    <n v="0"/>
    <n v="0"/>
    <n v="0"/>
    <n v="0"/>
  </r>
  <r>
    <x v="319"/>
    <x v="307"/>
    <m/>
    <x v="4"/>
    <s v="H20"/>
    <x v="1"/>
    <s v="H2111-15"/>
    <s v="Umeå"/>
    <s v="Campus"/>
    <m/>
    <m/>
    <n v="1"/>
    <x v="0"/>
    <m/>
    <m/>
    <n v="1"/>
    <n v="0.125"/>
    <n v="0.85"/>
    <n v="0.10625"/>
    <n v="1620"/>
    <x v="0"/>
    <s v="Hum"/>
    <x v="4"/>
    <n v="20766"/>
    <n v="17442"/>
    <n v="4448.9624999999996"/>
    <n v="6000"/>
    <n v="750"/>
    <n v="5198.9624999999996"/>
    <n v="0"/>
    <n v="1"/>
    <n v="0"/>
    <n v="0"/>
    <n v="0"/>
    <n v="0"/>
    <n v="0"/>
    <n v="0"/>
    <n v="0"/>
    <n v="0"/>
    <n v="0"/>
    <n v="0"/>
    <s v="SP 210923"/>
    <m/>
    <n v="0"/>
    <n v="0"/>
    <n v="0.125"/>
    <n v="0.10625"/>
    <n v="0"/>
    <n v="0"/>
    <n v="0"/>
    <n v="0"/>
    <n v="0"/>
    <n v="0"/>
    <n v="0"/>
    <n v="0"/>
    <n v="0"/>
    <n v="0"/>
    <n v="0"/>
    <n v="0"/>
    <n v="0"/>
    <n v="0"/>
    <n v="0"/>
    <n v="0"/>
    <n v="0"/>
    <n v="0"/>
    <n v="0"/>
    <n v="0"/>
  </r>
  <r>
    <x v="320"/>
    <x v="308"/>
    <n v="71810"/>
    <x v="5"/>
    <m/>
    <x v="0"/>
    <m/>
    <s v="Umeå"/>
    <s v="Normal"/>
    <m/>
    <m/>
    <m/>
    <x v="1"/>
    <m/>
    <m/>
    <n v="50"/>
    <n v="12.5"/>
    <n v="0.85"/>
    <n v="10.625"/>
    <n v="1620"/>
    <x v="0"/>
    <s v="Hum"/>
    <x v="5"/>
    <n v="20766"/>
    <n v="17442"/>
    <n v="444896.25"/>
    <n v="6000"/>
    <n v="75000"/>
    <n v="519896.25"/>
    <n v="0"/>
    <n v="1"/>
    <n v="0"/>
    <n v="0"/>
    <n v="0"/>
    <n v="0"/>
    <n v="0"/>
    <n v="0"/>
    <n v="0"/>
    <n v="0"/>
    <n v="0"/>
    <n v="0"/>
    <s v="Enl Fokus-Ladok 210601"/>
    <m/>
    <n v="0"/>
    <n v="0"/>
    <n v="12.5"/>
    <n v="10.625"/>
    <n v="0"/>
    <n v="0"/>
    <n v="0"/>
    <n v="0"/>
    <n v="0"/>
    <n v="0"/>
    <n v="0"/>
    <n v="0"/>
    <n v="0"/>
    <n v="0"/>
    <n v="0"/>
    <n v="0"/>
    <n v="0"/>
    <n v="0"/>
    <n v="0"/>
    <n v="0"/>
    <n v="0"/>
    <n v="0"/>
    <n v="0"/>
    <n v="0"/>
  </r>
  <r>
    <x v="321"/>
    <x v="309"/>
    <m/>
    <x v="5"/>
    <s v="H20"/>
    <x v="1"/>
    <s v="H2116-20"/>
    <s v="Umeå"/>
    <s v="Campus"/>
    <m/>
    <m/>
    <n v="1"/>
    <x v="0"/>
    <m/>
    <m/>
    <n v="41"/>
    <n v="5.125"/>
    <n v="0.85"/>
    <n v="4.3562500000000002"/>
    <n v="1620"/>
    <x v="0"/>
    <s v="Hum"/>
    <x v="5"/>
    <n v="20766"/>
    <n v="17442"/>
    <n v="182407.46250000002"/>
    <n v="6000"/>
    <n v="30750"/>
    <n v="213157.46250000002"/>
    <n v="0"/>
    <n v="1"/>
    <n v="0"/>
    <n v="0"/>
    <n v="0"/>
    <n v="0"/>
    <n v="0"/>
    <n v="0"/>
    <n v="0"/>
    <n v="0"/>
    <n v="0"/>
    <n v="0"/>
    <s v="SP 210923"/>
    <m/>
    <n v="0"/>
    <n v="0"/>
    <n v="5.125"/>
    <n v="4.3562500000000002"/>
    <n v="0"/>
    <n v="0"/>
    <n v="0"/>
    <n v="0"/>
    <n v="0"/>
    <n v="0"/>
    <n v="0"/>
    <n v="0"/>
    <n v="0"/>
    <n v="0"/>
    <n v="0"/>
    <n v="0"/>
    <n v="0"/>
    <n v="0"/>
    <n v="0"/>
    <n v="0"/>
    <n v="0"/>
    <n v="0"/>
    <n v="0"/>
    <n v="0"/>
  </r>
  <r>
    <x v="322"/>
    <x v="310"/>
    <m/>
    <x v="5"/>
    <s v="H17"/>
    <x v="1"/>
    <s v="H2111-15"/>
    <s v="Umeå"/>
    <s v="Campus"/>
    <m/>
    <m/>
    <n v="1"/>
    <x v="0"/>
    <m/>
    <m/>
    <n v="1"/>
    <n v="0.125"/>
    <n v="0.85"/>
    <n v="0.10625"/>
    <n v="1620"/>
    <x v="0"/>
    <s v="Hum"/>
    <x v="5"/>
    <n v="20766"/>
    <n v="17442"/>
    <n v="4448.9624999999996"/>
    <n v="6000"/>
    <n v="750"/>
    <n v="5198.9624999999996"/>
    <n v="0"/>
    <n v="1"/>
    <n v="0"/>
    <n v="0"/>
    <n v="0"/>
    <n v="0"/>
    <n v="0"/>
    <n v="0"/>
    <n v="0"/>
    <n v="0"/>
    <n v="0"/>
    <n v="0"/>
    <s v="SP 210923"/>
    <m/>
    <n v="0"/>
    <n v="0"/>
    <n v="0.125"/>
    <n v="0.10625"/>
    <n v="0"/>
    <n v="0"/>
    <n v="0"/>
    <n v="0"/>
    <n v="0"/>
    <n v="0"/>
    <n v="0"/>
    <n v="0"/>
    <n v="0"/>
    <n v="0"/>
    <n v="0"/>
    <n v="0"/>
    <n v="0"/>
    <n v="0"/>
    <n v="0"/>
    <n v="0"/>
    <n v="0"/>
    <n v="0"/>
    <n v="0"/>
    <n v="0"/>
  </r>
  <r>
    <x v="322"/>
    <x v="310"/>
    <m/>
    <x v="5"/>
    <s v="H19"/>
    <x v="1"/>
    <s v="H2111-15"/>
    <s v="Umeå"/>
    <s v="Campus"/>
    <m/>
    <m/>
    <n v="1"/>
    <x v="0"/>
    <m/>
    <m/>
    <n v="21"/>
    <n v="2.625"/>
    <n v="0.85"/>
    <n v="2.2312499999999997"/>
    <n v="1620"/>
    <x v="0"/>
    <s v="Hum"/>
    <x v="5"/>
    <n v="20766"/>
    <n v="17442"/>
    <n v="93428.212499999994"/>
    <n v="6000"/>
    <n v="15750"/>
    <n v="109178.21249999999"/>
    <n v="0"/>
    <n v="1"/>
    <n v="0"/>
    <n v="0"/>
    <n v="0"/>
    <n v="0"/>
    <n v="0"/>
    <n v="0"/>
    <n v="0"/>
    <n v="0"/>
    <n v="0"/>
    <n v="0"/>
    <s v="SP 210923"/>
    <m/>
    <n v="0"/>
    <n v="0"/>
    <n v="2.625"/>
    <n v="2.2312499999999997"/>
    <n v="0"/>
    <n v="0"/>
    <n v="0"/>
    <n v="0"/>
    <n v="0"/>
    <n v="0"/>
    <n v="0"/>
    <n v="0"/>
    <n v="0"/>
    <n v="0"/>
    <n v="0"/>
    <n v="0"/>
    <n v="0"/>
    <n v="0"/>
    <n v="0"/>
    <n v="0"/>
    <n v="0"/>
    <n v="0"/>
    <n v="0"/>
    <n v="0"/>
  </r>
  <r>
    <x v="323"/>
    <x v="311"/>
    <m/>
    <x v="0"/>
    <s v="H19"/>
    <x v="1"/>
    <s v="H2113-16"/>
    <s v="Umeå"/>
    <m/>
    <s v="SVAN"/>
    <m/>
    <n v="1"/>
    <x v="4"/>
    <m/>
    <m/>
    <n v="2"/>
    <n v="0.2"/>
    <n v="0.85"/>
    <n v="0.17"/>
    <n v="1620"/>
    <x v="0"/>
    <s v="Hum"/>
    <x v="0"/>
    <n v="25235"/>
    <n v="27976"/>
    <n v="9802.92"/>
    <n v="3600"/>
    <n v="720"/>
    <n v="10522.92"/>
    <n v="0"/>
    <n v="0"/>
    <n v="0"/>
    <n v="0"/>
    <n v="0"/>
    <n v="0"/>
    <n v="0"/>
    <n v="0"/>
    <n v="1"/>
    <n v="0"/>
    <n v="0"/>
    <n v="0"/>
    <s v="SP 210924"/>
    <m/>
    <n v="0"/>
    <n v="0"/>
    <n v="0"/>
    <n v="0"/>
    <n v="0"/>
    <n v="0"/>
    <n v="0"/>
    <n v="0"/>
    <n v="0"/>
    <n v="0"/>
    <n v="0"/>
    <n v="0"/>
    <n v="0"/>
    <n v="0"/>
    <n v="0"/>
    <n v="0"/>
    <n v="0.2"/>
    <n v="0.17"/>
    <n v="0"/>
    <n v="0"/>
    <n v="0"/>
    <n v="0"/>
    <n v="0"/>
    <n v="0"/>
  </r>
  <r>
    <x v="324"/>
    <x v="312"/>
    <m/>
    <x v="0"/>
    <s v="H19"/>
    <x v="1"/>
    <s v="H2113-16"/>
    <s v="Umeå"/>
    <m/>
    <s v="SAMK"/>
    <m/>
    <n v="1"/>
    <x v="4"/>
    <m/>
    <m/>
    <n v="1"/>
    <n v="0.1"/>
    <n v="0.85"/>
    <n v="8.5000000000000006E-2"/>
    <n v="1620"/>
    <x v="0"/>
    <s v="Hu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324"/>
    <x v="312"/>
    <m/>
    <x v="0"/>
    <s v="H19"/>
    <x v="1"/>
    <s v="H2113-16"/>
    <s v="Umeå"/>
    <m/>
    <s v="SVAA"/>
    <m/>
    <n v="1"/>
    <x v="4"/>
    <m/>
    <m/>
    <n v="8"/>
    <n v="0.8"/>
    <n v="0.85"/>
    <n v="0.68"/>
    <n v="1620"/>
    <x v="0"/>
    <s v="Hum"/>
    <x v="0"/>
    <n v="25235"/>
    <n v="27976"/>
    <n v="39211.68"/>
    <n v="3600"/>
    <n v="2880"/>
    <n v="42091.68"/>
    <n v="0"/>
    <n v="0"/>
    <n v="0"/>
    <n v="0"/>
    <n v="0"/>
    <n v="0"/>
    <n v="0"/>
    <n v="0"/>
    <n v="1"/>
    <n v="0"/>
    <n v="0"/>
    <n v="0"/>
    <s v="SP 210924"/>
    <m/>
    <n v="0"/>
    <n v="0"/>
    <n v="0"/>
    <n v="0"/>
    <n v="0"/>
    <n v="0"/>
    <n v="0"/>
    <n v="0"/>
    <n v="0"/>
    <n v="0"/>
    <n v="0"/>
    <n v="0"/>
    <n v="0"/>
    <n v="0"/>
    <n v="0"/>
    <n v="0"/>
    <n v="0.8"/>
    <n v="0.68"/>
    <n v="0"/>
    <n v="0"/>
    <n v="0"/>
    <n v="0"/>
    <n v="0"/>
    <n v="0"/>
  </r>
  <r>
    <x v="325"/>
    <x v="313"/>
    <n v="71812"/>
    <x v="3"/>
    <m/>
    <x v="0"/>
    <m/>
    <s v="Umeå"/>
    <s v="Normal"/>
    <m/>
    <m/>
    <m/>
    <x v="3"/>
    <m/>
    <m/>
    <n v="15"/>
    <n v="7.5"/>
    <n v="0.8"/>
    <n v="6"/>
    <n v="1620"/>
    <x v="0"/>
    <s v="Hum"/>
    <x v="3"/>
    <n v="20766"/>
    <n v="17442"/>
    <n v="260397"/>
    <n v="6000"/>
    <n v="45000"/>
    <n v="305397"/>
    <n v="0"/>
    <n v="1"/>
    <n v="0"/>
    <n v="0"/>
    <n v="0"/>
    <n v="0"/>
    <n v="0"/>
    <n v="0"/>
    <n v="0"/>
    <n v="0"/>
    <n v="0"/>
    <n v="0"/>
    <s v="Enl Fokus-Ladok 210601"/>
    <m/>
    <n v="0"/>
    <n v="0"/>
    <n v="7.5"/>
    <n v="6"/>
    <n v="0"/>
    <n v="0"/>
    <n v="0"/>
    <n v="0"/>
    <n v="0"/>
    <n v="0"/>
    <n v="0"/>
    <n v="0"/>
    <n v="0"/>
    <n v="0"/>
    <n v="0"/>
    <n v="0"/>
    <n v="0"/>
    <n v="0"/>
    <n v="0"/>
    <n v="0"/>
    <n v="0"/>
    <n v="0"/>
    <n v="0"/>
    <n v="0"/>
  </r>
  <r>
    <x v="326"/>
    <x v="314"/>
    <n v="71816"/>
    <x v="3"/>
    <m/>
    <x v="0"/>
    <m/>
    <s v="Umeå"/>
    <s v="Distans"/>
    <m/>
    <m/>
    <m/>
    <x v="1"/>
    <m/>
    <m/>
    <n v="12"/>
    <n v="1.5"/>
    <n v="0.8"/>
    <n v="1.2000000000000002"/>
    <n v="1620"/>
    <x v="0"/>
    <s v="Hum"/>
    <x v="3"/>
    <n v="20766"/>
    <n v="17442"/>
    <n v="52079.4"/>
    <n v="6000"/>
    <n v="9000"/>
    <n v="61079.4"/>
    <n v="0"/>
    <n v="1"/>
    <n v="0"/>
    <n v="0"/>
    <n v="0"/>
    <n v="0"/>
    <n v="0"/>
    <n v="0"/>
    <n v="0"/>
    <n v="0"/>
    <n v="0"/>
    <n v="0"/>
    <s v="Enl Fokus-Ladok 210601"/>
    <m/>
    <n v="0"/>
    <n v="0"/>
    <n v="1.5"/>
    <n v="1.2000000000000002"/>
    <n v="0"/>
    <n v="0"/>
    <n v="0"/>
    <n v="0"/>
    <n v="0"/>
    <n v="0"/>
    <n v="0"/>
    <n v="0"/>
    <n v="0"/>
    <n v="0"/>
    <n v="0"/>
    <n v="0"/>
    <n v="0"/>
    <n v="0"/>
    <n v="0"/>
    <n v="0"/>
    <n v="0"/>
    <n v="0"/>
    <n v="0"/>
    <n v="0"/>
  </r>
  <r>
    <x v="327"/>
    <x v="315"/>
    <n v="71817"/>
    <x v="3"/>
    <m/>
    <x v="0"/>
    <m/>
    <s v="Umeå"/>
    <s v="Distans"/>
    <m/>
    <m/>
    <m/>
    <x v="0"/>
    <m/>
    <m/>
    <n v="8"/>
    <n v="1"/>
    <n v="0.8"/>
    <n v="0.8"/>
    <n v="1620"/>
    <x v="0"/>
    <s v="Hum"/>
    <x v="3"/>
    <n v="20766"/>
    <n v="17442"/>
    <n v="34719.599999999999"/>
    <n v="6000"/>
    <n v="6000"/>
    <n v="40719.599999999999"/>
    <n v="0"/>
    <n v="1"/>
    <n v="0"/>
    <n v="0"/>
    <n v="0"/>
    <n v="0"/>
    <n v="0"/>
    <n v="0"/>
    <n v="0"/>
    <n v="0"/>
    <n v="0"/>
    <n v="0"/>
    <s v="Enl Fokus-Ladok 210601"/>
    <s v="Läser 7,5 av 15 denna termin"/>
    <n v="0"/>
    <n v="0"/>
    <n v="1"/>
    <n v="0.8"/>
    <n v="0"/>
    <n v="0"/>
    <n v="0"/>
    <n v="0"/>
    <n v="0"/>
    <n v="0"/>
    <n v="0"/>
    <n v="0"/>
    <n v="0"/>
    <n v="0"/>
    <n v="0"/>
    <n v="0"/>
    <n v="0"/>
    <n v="0"/>
    <n v="0"/>
    <n v="0"/>
    <n v="0"/>
    <n v="0"/>
    <n v="0"/>
    <n v="0"/>
  </r>
  <r>
    <x v="328"/>
    <x v="316"/>
    <m/>
    <x v="3"/>
    <m/>
    <x v="1"/>
    <m/>
    <m/>
    <s v="Campus"/>
    <m/>
    <m/>
    <n v="1"/>
    <x v="3"/>
    <m/>
    <m/>
    <n v="8"/>
    <n v="4"/>
    <n v="0.8"/>
    <n v="3.2"/>
    <n v="1620"/>
    <x v="0"/>
    <s v="Hum"/>
    <x v="3"/>
    <n v="20766"/>
    <n v="17442"/>
    <n v="138878.39999999999"/>
    <n v="6000"/>
    <n v="24000"/>
    <n v="162878.39999999999"/>
    <n v="0"/>
    <n v="1"/>
    <n v="0"/>
    <n v="0"/>
    <n v="0"/>
    <n v="0"/>
    <n v="0"/>
    <n v="0"/>
    <n v="0"/>
    <n v="0"/>
    <n v="0"/>
    <n v="0"/>
    <s v="Äskat/Beslutat 200611 p.39"/>
    <m/>
    <n v="0"/>
    <n v="0"/>
    <n v="4"/>
    <n v="3.2"/>
    <n v="0"/>
    <n v="0"/>
    <n v="0"/>
    <n v="0"/>
    <n v="0"/>
    <n v="0"/>
    <n v="0"/>
    <n v="0"/>
    <n v="0"/>
    <n v="0"/>
    <n v="0"/>
    <n v="0"/>
    <n v="0"/>
    <n v="0"/>
    <n v="0"/>
    <n v="0"/>
    <n v="0"/>
    <n v="0"/>
    <n v="0"/>
    <n v="0"/>
  </r>
  <r>
    <x v="329"/>
    <x v="317"/>
    <n v="71821"/>
    <x v="3"/>
    <m/>
    <x v="0"/>
    <m/>
    <s v="Umeå"/>
    <s v="Distans"/>
    <m/>
    <m/>
    <m/>
    <x v="0"/>
    <m/>
    <m/>
    <n v="2"/>
    <n v="0.25"/>
    <n v="0.8"/>
    <n v="0.2"/>
    <n v="1620"/>
    <x v="0"/>
    <s v="Hum"/>
    <x v="3"/>
    <n v="20766"/>
    <n v="17442"/>
    <n v="8679.9"/>
    <n v="6000"/>
    <n v="1500"/>
    <n v="10179.9"/>
    <n v="0"/>
    <n v="1"/>
    <n v="0"/>
    <n v="0"/>
    <n v="0"/>
    <n v="0"/>
    <n v="0"/>
    <n v="0"/>
    <n v="0"/>
    <n v="0"/>
    <n v="0"/>
    <n v="0"/>
    <s v="Enl Fokus-Ladok 210601"/>
    <s v="Läser 7,5 av 15 denna termin"/>
    <n v="0"/>
    <n v="0"/>
    <n v="0.25"/>
    <n v="0.2"/>
    <n v="0"/>
    <n v="0"/>
    <n v="0"/>
    <n v="0"/>
    <n v="0"/>
    <n v="0"/>
    <n v="0"/>
    <n v="0"/>
    <n v="0"/>
    <n v="0"/>
    <n v="0"/>
    <n v="0"/>
    <n v="0"/>
    <n v="0"/>
    <n v="0"/>
    <n v="0"/>
    <n v="0"/>
    <n v="0"/>
    <n v="0"/>
    <n v="0"/>
  </r>
  <r>
    <x v="330"/>
    <x v="318"/>
    <n v="71809"/>
    <x v="3"/>
    <m/>
    <x v="0"/>
    <m/>
    <s v="Umeå"/>
    <s v="Distans"/>
    <m/>
    <m/>
    <m/>
    <x v="1"/>
    <m/>
    <m/>
    <n v="8"/>
    <n v="2"/>
    <n v="0.8"/>
    <n v="1.6"/>
    <n v="1620"/>
    <x v="0"/>
    <s v="Hum"/>
    <x v="3"/>
    <n v="20766"/>
    <n v="17442"/>
    <n v="69439.199999999997"/>
    <n v="6000"/>
    <n v="12000"/>
    <n v="81439.199999999997"/>
    <n v="0"/>
    <n v="1"/>
    <n v="0"/>
    <n v="0"/>
    <n v="0"/>
    <n v="0"/>
    <n v="0"/>
    <n v="0"/>
    <n v="0"/>
    <n v="0"/>
    <n v="0"/>
    <n v="0"/>
    <s v="Enl Fokus-Ladok 210601"/>
    <m/>
    <n v="0"/>
    <n v="0"/>
    <n v="2"/>
    <n v="1.6"/>
    <n v="0"/>
    <n v="0"/>
    <n v="0"/>
    <n v="0"/>
    <n v="0"/>
    <n v="0"/>
    <n v="0"/>
    <n v="0"/>
    <n v="0"/>
    <n v="0"/>
    <n v="0"/>
    <n v="0"/>
    <n v="0"/>
    <n v="0"/>
    <n v="0"/>
    <n v="0"/>
    <n v="0"/>
    <n v="0"/>
    <n v="0"/>
    <n v="0"/>
  </r>
  <r>
    <x v="331"/>
    <x v="319"/>
    <n v="71808"/>
    <x v="3"/>
    <m/>
    <x v="0"/>
    <m/>
    <s v="Umeå"/>
    <s v="Distans"/>
    <m/>
    <m/>
    <m/>
    <x v="1"/>
    <m/>
    <m/>
    <n v="1"/>
    <n v="0.25"/>
    <n v="0.8"/>
    <n v="0.2"/>
    <n v="1620"/>
    <x v="0"/>
    <s v="Hum"/>
    <x v="3"/>
    <n v="20766"/>
    <n v="17442"/>
    <n v="8679.9"/>
    <n v="6000"/>
    <n v="1500"/>
    <n v="10179.9"/>
    <n v="0"/>
    <n v="1"/>
    <n v="0"/>
    <n v="0"/>
    <n v="0"/>
    <n v="0"/>
    <n v="0"/>
    <n v="0"/>
    <n v="0"/>
    <n v="0"/>
    <n v="0"/>
    <n v="0"/>
    <s v="Enl Fokus-Ladok 210601"/>
    <m/>
    <n v="0"/>
    <n v="0"/>
    <n v="0.25"/>
    <n v="0.2"/>
    <n v="0"/>
    <n v="0"/>
    <n v="0"/>
    <n v="0"/>
    <n v="0"/>
    <n v="0"/>
    <n v="0"/>
    <n v="0"/>
    <n v="0"/>
    <n v="0"/>
    <n v="0"/>
    <n v="0"/>
    <n v="0"/>
    <n v="0"/>
    <n v="0"/>
    <n v="0"/>
    <n v="0"/>
    <n v="0"/>
    <n v="0"/>
    <n v="0"/>
  </r>
  <r>
    <x v="331"/>
    <x v="319"/>
    <m/>
    <x v="3"/>
    <m/>
    <x v="1"/>
    <m/>
    <m/>
    <s v="Distans"/>
    <m/>
    <m/>
    <n v="0.5"/>
    <x v="1"/>
    <m/>
    <m/>
    <n v="6"/>
    <n v="1.5"/>
    <n v="0.8"/>
    <n v="1.2000000000000002"/>
    <n v="1620"/>
    <x v="0"/>
    <s v="Hum"/>
    <x v="3"/>
    <n v="20766"/>
    <n v="17442"/>
    <n v="52079.4"/>
    <n v="6000"/>
    <n v="9000"/>
    <n v="61079.4"/>
    <n v="0"/>
    <n v="1"/>
    <n v="0"/>
    <n v="0"/>
    <n v="0"/>
    <n v="0"/>
    <n v="0"/>
    <n v="0"/>
    <n v="0"/>
    <n v="0"/>
    <n v="0"/>
    <n v="0"/>
    <s v="Äskat/Beslutat 200611 p.39"/>
    <m/>
    <n v="0"/>
    <n v="0"/>
    <n v="1.5"/>
    <n v="1.2000000000000002"/>
    <n v="0"/>
    <n v="0"/>
    <n v="0"/>
    <n v="0"/>
    <n v="0"/>
    <n v="0"/>
    <n v="0"/>
    <n v="0"/>
    <n v="0"/>
    <n v="0"/>
    <n v="0"/>
    <n v="0"/>
    <n v="0"/>
    <n v="0"/>
    <n v="0"/>
    <n v="0"/>
    <n v="0"/>
    <n v="0"/>
    <n v="0"/>
    <n v="0"/>
  </r>
  <r>
    <x v="332"/>
    <x v="320"/>
    <n v="71805"/>
    <x v="6"/>
    <m/>
    <x v="0"/>
    <m/>
    <s v="Umeå"/>
    <s v="Normal"/>
    <s v="TMAL"/>
    <m/>
    <m/>
    <x v="3"/>
    <m/>
    <m/>
    <n v="1"/>
    <n v="0.5"/>
    <n v="0.85"/>
    <n v="0.42499999999999999"/>
    <n v="1620"/>
    <x v="0"/>
    <s v="Hum"/>
    <x v="6"/>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32"/>
    <x v="320"/>
    <n v="71805"/>
    <x v="0"/>
    <m/>
    <x v="0"/>
    <m/>
    <s v="Umeå"/>
    <s v="Normal"/>
    <s v="ENGS"/>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32"/>
    <x v="320"/>
    <n v="71805"/>
    <x v="0"/>
    <m/>
    <x v="0"/>
    <m/>
    <s v="Umeå"/>
    <s v="Normal"/>
    <s v="IDRH"/>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32"/>
    <x v="320"/>
    <n v="71805"/>
    <x v="0"/>
    <m/>
    <x v="0"/>
    <m/>
    <s v="Umeå"/>
    <s v="Normal"/>
    <s v="SVAA"/>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32"/>
    <x v="320"/>
    <n v="71805"/>
    <x v="0"/>
    <m/>
    <x v="0"/>
    <m/>
    <s v="Umeå"/>
    <s v="Normal"/>
    <s v="SVAN"/>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32"/>
    <x v="320"/>
    <n v="71805"/>
    <x v="0"/>
    <m/>
    <x v="0"/>
    <m/>
    <s v="Umeå"/>
    <s v="Normal"/>
    <m/>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33"/>
    <x v="321"/>
    <m/>
    <x v="3"/>
    <m/>
    <x v="1"/>
    <m/>
    <m/>
    <s v="Campus"/>
    <m/>
    <m/>
    <n v="1"/>
    <x v="3"/>
    <m/>
    <m/>
    <n v="2"/>
    <n v="1"/>
    <n v="0.8"/>
    <n v="0.8"/>
    <n v="1620"/>
    <x v="0"/>
    <s v="Hum"/>
    <x v="3"/>
    <n v="20766"/>
    <n v="17442"/>
    <n v="34719.599999999999"/>
    <n v="6000"/>
    <n v="6000"/>
    <n v="40719.599999999999"/>
    <n v="0"/>
    <n v="1"/>
    <n v="0"/>
    <n v="0"/>
    <n v="0"/>
    <n v="0"/>
    <n v="0"/>
    <n v="0"/>
    <n v="0"/>
    <n v="0"/>
    <n v="0"/>
    <n v="0"/>
    <s v="Äskat/Beslutat 200611 p.39"/>
    <m/>
    <n v="0"/>
    <n v="0"/>
    <n v="1"/>
    <n v="0.8"/>
    <n v="0"/>
    <n v="0"/>
    <n v="0"/>
    <n v="0"/>
    <n v="0"/>
    <n v="0"/>
    <n v="0"/>
    <n v="0"/>
    <n v="0"/>
    <n v="0"/>
    <n v="0"/>
    <n v="0"/>
    <n v="0"/>
    <n v="0"/>
    <n v="0"/>
    <n v="0"/>
    <n v="0"/>
    <n v="0"/>
    <n v="0"/>
    <n v="0"/>
  </r>
  <r>
    <x v="333"/>
    <x v="321"/>
    <m/>
    <x v="6"/>
    <s v="H18"/>
    <x v="1"/>
    <s v="H211-20"/>
    <s v="Umeå"/>
    <m/>
    <s v="TMAL"/>
    <m/>
    <n v="1"/>
    <x v="3"/>
    <m/>
    <m/>
    <n v="1"/>
    <n v="0.5"/>
    <n v="0.85"/>
    <n v="0.42499999999999999"/>
    <n v="1620"/>
    <x v="0"/>
    <s v="Hum"/>
    <x v="6"/>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333"/>
    <x v="321"/>
    <m/>
    <x v="0"/>
    <s v="H17"/>
    <x v="1"/>
    <s v="H211-20"/>
    <s v="Umeå"/>
    <m/>
    <s v="IDRH"/>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333"/>
    <x v="321"/>
    <m/>
    <x v="0"/>
    <s v="H18"/>
    <x v="1"/>
    <s v="H211-20"/>
    <s v="Umeå"/>
    <m/>
    <s v="ENGS"/>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333"/>
    <x v="321"/>
    <m/>
    <x v="0"/>
    <s v="H18"/>
    <x v="1"/>
    <s v="H211-20"/>
    <s v="Umeå"/>
    <m/>
    <s v="IDRH"/>
    <m/>
    <n v="1"/>
    <x v="3"/>
    <m/>
    <m/>
    <n v="2"/>
    <n v="1"/>
    <n v="0.85"/>
    <n v="0.85"/>
    <n v="1620"/>
    <x v="0"/>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333"/>
    <x v="321"/>
    <m/>
    <x v="0"/>
    <s v="H18"/>
    <x v="1"/>
    <s v="H211-20"/>
    <s v="Umeå"/>
    <m/>
    <s v="SVAA"/>
    <m/>
    <n v="1"/>
    <x v="3"/>
    <m/>
    <m/>
    <n v="2"/>
    <n v="1"/>
    <n v="0.85"/>
    <n v="0.85"/>
    <n v="1620"/>
    <x v="0"/>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334"/>
    <x v="322"/>
    <n v="71807"/>
    <x v="0"/>
    <m/>
    <x v="0"/>
    <m/>
    <s v="Umeå"/>
    <s v="Normal"/>
    <s v="ENGS"/>
    <m/>
    <m/>
    <x v="3"/>
    <m/>
    <m/>
    <n v="4"/>
    <n v="2"/>
    <n v="0.85"/>
    <n v="1.7"/>
    <n v="1620"/>
    <x v="0"/>
    <s v="Hum"/>
    <x v="0"/>
    <n v="20766"/>
    <n v="17442"/>
    <n v="71183.399999999994"/>
    <n v="6000"/>
    <n v="12000"/>
    <n v="83183.399999999994"/>
    <n v="0"/>
    <n v="1"/>
    <n v="0"/>
    <n v="0"/>
    <n v="0"/>
    <n v="0"/>
    <n v="0"/>
    <n v="0"/>
    <n v="0"/>
    <n v="0"/>
    <n v="0"/>
    <n v="0"/>
    <s v="Enl Fokus-Ladok 210601"/>
    <m/>
    <n v="0"/>
    <n v="0"/>
    <n v="2"/>
    <n v="1.7"/>
    <n v="0"/>
    <n v="0"/>
    <n v="0"/>
    <n v="0"/>
    <n v="0"/>
    <n v="0"/>
    <n v="0"/>
    <n v="0"/>
    <n v="0"/>
    <n v="0"/>
    <n v="0"/>
    <n v="0"/>
    <n v="0"/>
    <n v="0"/>
    <n v="0"/>
    <n v="0"/>
    <n v="0"/>
    <n v="0"/>
    <n v="0"/>
    <n v="0"/>
  </r>
  <r>
    <x v="334"/>
    <x v="322"/>
    <n v="71807"/>
    <x v="0"/>
    <m/>
    <x v="0"/>
    <m/>
    <s v="Umeå"/>
    <s v="Normal"/>
    <s v="IDRH"/>
    <m/>
    <m/>
    <x v="3"/>
    <m/>
    <m/>
    <n v="5"/>
    <n v="2.5"/>
    <n v="0.85"/>
    <n v="2.125"/>
    <n v="1620"/>
    <x v="0"/>
    <s v="Hum"/>
    <x v="0"/>
    <n v="20766"/>
    <n v="17442"/>
    <n v="88979.25"/>
    <n v="6000"/>
    <n v="15000"/>
    <n v="103979.25"/>
    <n v="0"/>
    <n v="1"/>
    <n v="0"/>
    <n v="0"/>
    <n v="0"/>
    <n v="0"/>
    <n v="0"/>
    <n v="0"/>
    <n v="0"/>
    <n v="0"/>
    <n v="0"/>
    <n v="0"/>
    <s v="Enl Fokus-Ladok 210601"/>
    <m/>
    <n v="0"/>
    <n v="0"/>
    <n v="2.5"/>
    <n v="2.125"/>
    <n v="0"/>
    <n v="0"/>
    <n v="0"/>
    <n v="0"/>
    <n v="0"/>
    <n v="0"/>
    <n v="0"/>
    <n v="0"/>
    <n v="0"/>
    <n v="0"/>
    <n v="0"/>
    <n v="0"/>
    <n v="0"/>
    <n v="0"/>
    <n v="0"/>
    <n v="0"/>
    <n v="0"/>
    <n v="0"/>
    <n v="0"/>
    <n v="0"/>
  </r>
  <r>
    <x v="334"/>
    <x v="322"/>
    <n v="71807"/>
    <x v="0"/>
    <m/>
    <x v="0"/>
    <m/>
    <s v="Umeå"/>
    <s v="Normal"/>
    <s v="MATT"/>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34"/>
    <x v="322"/>
    <n v="71807"/>
    <x v="0"/>
    <m/>
    <x v="0"/>
    <m/>
    <s v="Umeå"/>
    <s v="Normal"/>
    <s v="RELK"/>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34"/>
    <x v="322"/>
    <n v="71807"/>
    <x v="0"/>
    <m/>
    <x v="0"/>
    <m/>
    <s v="Umeå"/>
    <s v="Normal"/>
    <s v="SVAA"/>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34"/>
    <x v="322"/>
    <n v="71807"/>
    <x v="0"/>
    <m/>
    <x v="0"/>
    <m/>
    <s v="Umeå"/>
    <s v="Normal"/>
    <s v="SVAN"/>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34"/>
    <x v="322"/>
    <n v="71807"/>
    <x v="0"/>
    <m/>
    <x v="0"/>
    <m/>
    <s v="Umeå"/>
    <s v="Normal"/>
    <m/>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35"/>
    <x v="323"/>
    <m/>
    <x v="3"/>
    <m/>
    <x v="2"/>
    <m/>
    <m/>
    <s v="Distans"/>
    <m/>
    <m/>
    <n v="0.5"/>
    <x v="0"/>
    <m/>
    <m/>
    <n v="20"/>
    <n v="2.5"/>
    <n v="0.8"/>
    <n v="2"/>
    <n v="1620"/>
    <x v="0"/>
    <s v="Hum"/>
    <x v="3"/>
    <n v="20766"/>
    <n v="17442"/>
    <n v="86799"/>
    <n v="6000"/>
    <n v="15000"/>
    <n v="101799"/>
    <n v="0"/>
    <n v="1"/>
    <n v="0"/>
    <n v="0"/>
    <n v="0"/>
    <n v="0"/>
    <n v="0"/>
    <n v="0"/>
    <n v="0"/>
    <n v="0"/>
    <n v="0"/>
    <n v="0"/>
    <s v="Äskat/Beslutat 200611 p.39"/>
    <m/>
    <n v="0"/>
    <n v="0"/>
    <n v="2.5"/>
    <n v="2"/>
    <n v="0"/>
    <n v="0"/>
    <n v="0"/>
    <n v="0"/>
    <n v="0"/>
    <n v="0"/>
    <n v="0"/>
    <n v="0"/>
    <n v="0"/>
    <n v="0"/>
    <n v="0"/>
    <n v="0"/>
    <n v="0"/>
    <n v="0"/>
    <n v="0"/>
    <n v="0"/>
    <n v="0"/>
    <n v="0"/>
    <n v="0"/>
    <n v="0"/>
  </r>
  <r>
    <x v="336"/>
    <x v="324"/>
    <m/>
    <x v="3"/>
    <m/>
    <x v="2"/>
    <m/>
    <m/>
    <s v="Distans"/>
    <m/>
    <m/>
    <n v="0.5"/>
    <x v="0"/>
    <m/>
    <m/>
    <n v="20"/>
    <n v="2.5"/>
    <n v="0.8"/>
    <n v="2"/>
    <n v="1620"/>
    <x v="0"/>
    <s v="Hum"/>
    <x v="3"/>
    <n v="20766"/>
    <n v="17442"/>
    <n v="86799"/>
    <n v="6000"/>
    <n v="15000"/>
    <n v="101799"/>
    <n v="0"/>
    <n v="1"/>
    <n v="0"/>
    <n v="0"/>
    <n v="0"/>
    <n v="0"/>
    <n v="0"/>
    <n v="0"/>
    <n v="0"/>
    <n v="0"/>
    <n v="0"/>
    <n v="0"/>
    <s v="Äskat/Beslutat 200611 p.39"/>
    <m/>
    <n v="0"/>
    <n v="0"/>
    <n v="2.5"/>
    <n v="2"/>
    <n v="0"/>
    <n v="0"/>
    <n v="0"/>
    <n v="0"/>
    <n v="0"/>
    <n v="0"/>
    <n v="0"/>
    <n v="0"/>
    <n v="0"/>
    <n v="0"/>
    <n v="0"/>
    <n v="0"/>
    <n v="0"/>
    <n v="0"/>
    <n v="0"/>
    <n v="0"/>
    <n v="0"/>
    <n v="0"/>
    <n v="0"/>
    <n v="0"/>
  </r>
  <r>
    <x v="337"/>
    <x v="325"/>
    <m/>
    <x v="3"/>
    <m/>
    <x v="2"/>
    <m/>
    <m/>
    <s v="Distans"/>
    <m/>
    <m/>
    <n v="0.5"/>
    <x v="0"/>
    <m/>
    <m/>
    <n v="30"/>
    <n v="3.75"/>
    <n v="0.8"/>
    <n v="3"/>
    <n v="1620"/>
    <x v="0"/>
    <s v="Hum"/>
    <x v="3"/>
    <n v="20766"/>
    <n v="17442"/>
    <n v="130198.5"/>
    <n v="6000"/>
    <n v="22500"/>
    <n v="152698.5"/>
    <n v="0"/>
    <n v="1"/>
    <n v="0"/>
    <n v="0"/>
    <n v="0"/>
    <n v="0"/>
    <n v="0"/>
    <n v="0"/>
    <n v="0"/>
    <n v="0"/>
    <n v="0"/>
    <n v="0"/>
    <s v="Äskat/Beslutat 200611 p.39"/>
    <m/>
    <n v="0"/>
    <n v="0"/>
    <n v="3.75"/>
    <n v="3"/>
    <n v="0"/>
    <n v="0"/>
    <n v="0"/>
    <n v="0"/>
    <n v="0"/>
    <n v="0"/>
    <n v="0"/>
    <n v="0"/>
    <n v="0"/>
    <n v="0"/>
    <n v="0"/>
    <n v="0"/>
    <n v="0"/>
    <n v="0"/>
    <n v="0"/>
    <n v="0"/>
    <n v="0"/>
    <n v="0"/>
    <n v="0"/>
    <n v="0"/>
  </r>
  <r>
    <x v="338"/>
    <x v="326"/>
    <n v="71800"/>
    <x v="0"/>
    <m/>
    <x v="0"/>
    <m/>
    <s v="Umeå"/>
    <s v="Normal"/>
    <s v="BILÄ"/>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38"/>
    <x v="326"/>
    <n v="71800"/>
    <x v="0"/>
    <m/>
    <x v="0"/>
    <m/>
    <s v="Umeå"/>
    <s v="Normal"/>
    <s v="BIOL"/>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38"/>
    <x v="326"/>
    <n v="71800"/>
    <x v="0"/>
    <m/>
    <x v="0"/>
    <m/>
    <s v="Umeå"/>
    <s v="Normal"/>
    <s v="ENGS"/>
    <m/>
    <m/>
    <x v="3"/>
    <m/>
    <m/>
    <n v="7"/>
    <n v="3.5"/>
    <n v="0.85"/>
    <n v="2.9750000000000001"/>
    <n v="1620"/>
    <x v="0"/>
    <s v="Hum"/>
    <x v="0"/>
    <n v="20766"/>
    <n v="17442"/>
    <n v="124570.95000000001"/>
    <n v="6000"/>
    <n v="21000"/>
    <n v="145570.95000000001"/>
    <n v="0"/>
    <n v="1"/>
    <n v="0"/>
    <n v="0"/>
    <n v="0"/>
    <n v="0"/>
    <n v="0"/>
    <n v="0"/>
    <n v="0"/>
    <n v="0"/>
    <n v="0"/>
    <n v="0"/>
    <s v="Enl Fokus-Ladok 210601"/>
    <m/>
    <n v="0"/>
    <n v="0"/>
    <n v="3.5"/>
    <n v="2.9750000000000001"/>
    <n v="0"/>
    <n v="0"/>
    <n v="0"/>
    <n v="0"/>
    <n v="0"/>
    <n v="0"/>
    <n v="0"/>
    <n v="0"/>
    <n v="0"/>
    <n v="0"/>
    <n v="0"/>
    <n v="0"/>
    <n v="0"/>
    <n v="0"/>
    <n v="0"/>
    <n v="0"/>
    <n v="0"/>
    <n v="0"/>
    <n v="0"/>
    <n v="0"/>
  </r>
  <r>
    <x v="338"/>
    <x v="326"/>
    <n v="71800"/>
    <x v="0"/>
    <m/>
    <x v="0"/>
    <m/>
    <s v="Umeå"/>
    <s v="Normal"/>
    <s v="HIST"/>
    <m/>
    <m/>
    <x v="3"/>
    <m/>
    <m/>
    <n v="4"/>
    <n v="2"/>
    <n v="0.85"/>
    <n v="1.7"/>
    <n v="1620"/>
    <x v="0"/>
    <s v="Hum"/>
    <x v="0"/>
    <n v="20766"/>
    <n v="17442"/>
    <n v="71183.399999999994"/>
    <n v="6000"/>
    <n v="12000"/>
    <n v="83183.399999999994"/>
    <n v="0"/>
    <n v="1"/>
    <n v="0"/>
    <n v="0"/>
    <n v="0"/>
    <n v="0"/>
    <n v="0"/>
    <n v="0"/>
    <n v="0"/>
    <n v="0"/>
    <n v="0"/>
    <n v="0"/>
    <s v="Enl Fokus-Ladok 210601"/>
    <m/>
    <n v="0"/>
    <n v="0"/>
    <n v="2"/>
    <n v="1.7"/>
    <n v="0"/>
    <n v="0"/>
    <n v="0"/>
    <n v="0"/>
    <n v="0"/>
    <n v="0"/>
    <n v="0"/>
    <n v="0"/>
    <n v="0"/>
    <n v="0"/>
    <n v="0"/>
    <n v="0"/>
    <n v="0"/>
    <n v="0"/>
    <n v="0"/>
    <n v="0"/>
    <n v="0"/>
    <n v="0"/>
    <n v="0"/>
    <n v="0"/>
  </r>
  <r>
    <x v="338"/>
    <x v="326"/>
    <n v="71800"/>
    <x v="0"/>
    <m/>
    <x v="0"/>
    <m/>
    <s v="Umeå"/>
    <s v="Normal"/>
    <s v="SAMK"/>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38"/>
    <x v="326"/>
    <n v="71800"/>
    <x v="0"/>
    <m/>
    <x v="0"/>
    <m/>
    <s v="Umeå"/>
    <s v="Normal"/>
    <s v="SVAA"/>
    <m/>
    <m/>
    <x v="3"/>
    <m/>
    <m/>
    <n v="25"/>
    <n v="12.5"/>
    <n v="0.85"/>
    <n v="10.625"/>
    <n v="1620"/>
    <x v="0"/>
    <s v="Hum"/>
    <x v="0"/>
    <n v="20766"/>
    <n v="17442"/>
    <n v="444896.25"/>
    <n v="6000"/>
    <n v="75000"/>
    <n v="519896.25"/>
    <n v="0"/>
    <n v="1"/>
    <n v="0"/>
    <n v="0"/>
    <n v="0"/>
    <n v="0"/>
    <n v="0"/>
    <n v="0"/>
    <n v="0"/>
    <n v="0"/>
    <n v="0"/>
    <n v="0"/>
    <s v="Enl Fokus-Ladok 210601"/>
    <m/>
    <n v="0"/>
    <n v="0"/>
    <n v="12.5"/>
    <n v="10.625"/>
    <n v="0"/>
    <n v="0"/>
    <n v="0"/>
    <n v="0"/>
    <n v="0"/>
    <n v="0"/>
    <n v="0"/>
    <n v="0"/>
    <n v="0"/>
    <n v="0"/>
    <n v="0"/>
    <n v="0"/>
    <n v="0"/>
    <n v="0"/>
    <n v="0"/>
    <n v="0"/>
    <n v="0"/>
    <n v="0"/>
    <n v="0"/>
    <n v="0"/>
  </r>
  <r>
    <x v="339"/>
    <x v="327"/>
    <m/>
    <x v="0"/>
    <s v="H17"/>
    <x v="1"/>
    <s v="H211-20"/>
    <s v="Umeå"/>
    <m/>
    <s v="HIST"/>
    <m/>
    <n v="1"/>
    <x v="3"/>
    <m/>
    <m/>
    <n v="2"/>
    <n v="1"/>
    <n v="0.85"/>
    <n v="0.85"/>
    <n v="1620"/>
    <x v="0"/>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339"/>
    <x v="327"/>
    <m/>
    <x v="0"/>
    <s v="H17"/>
    <x v="1"/>
    <s v="H211-20"/>
    <s v="Umeå"/>
    <m/>
    <s v="SVAA"/>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339"/>
    <x v="327"/>
    <m/>
    <x v="0"/>
    <s v="H18"/>
    <x v="1"/>
    <s v="H211-20"/>
    <s v="Umeå"/>
    <m/>
    <s v="BIOL"/>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339"/>
    <x v="327"/>
    <m/>
    <x v="0"/>
    <s v="H18"/>
    <x v="1"/>
    <s v="H211-20"/>
    <s v="Umeå"/>
    <m/>
    <s v="ENGS"/>
    <m/>
    <n v="1"/>
    <x v="3"/>
    <m/>
    <m/>
    <n v="6"/>
    <n v="3"/>
    <n v="0.85"/>
    <n v="2.5499999999999998"/>
    <n v="1620"/>
    <x v="0"/>
    <s v="Hum"/>
    <x v="0"/>
    <n v="20766"/>
    <n v="17442"/>
    <n v="106775.1"/>
    <n v="6000"/>
    <n v="18000"/>
    <n v="124775.1"/>
    <n v="0"/>
    <n v="1"/>
    <n v="0"/>
    <n v="0"/>
    <n v="0"/>
    <n v="0"/>
    <n v="0"/>
    <n v="0"/>
    <n v="0"/>
    <n v="0"/>
    <n v="0"/>
    <n v="0"/>
    <s v="SP 210924"/>
    <m/>
    <n v="0"/>
    <n v="0"/>
    <n v="3"/>
    <n v="2.5499999999999998"/>
    <n v="0"/>
    <n v="0"/>
    <n v="0"/>
    <n v="0"/>
    <n v="0"/>
    <n v="0"/>
    <n v="0"/>
    <n v="0"/>
    <n v="0"/>
    <n v="0"/>
    <n v="0"/>
    <n v="0"/>
    <n v="0"/>
    <n v="0"/>
    <n v="0"/>
    <n v="0"/>
    <n v="0"/>
    <n v="0"/>
    <n v="0"/>
    <n v="0"/>
  </r>
  <r>
    <x v="339"/>
    <x v="327"/>
    <m/>
    <x v="0"/>
    <s v="H18"/>
    <x v="1"/>
    <s v="H211-20"/>
    <s v="Umeå"/>
    <m/>
    <s v="HIST"/>
    <m/>
    <n v="1"/>
    <x v="3"/>
    <m/>
    <m/>
    <n v="2"/>
    <n v="1"/>
    <n v="0.85"/>
    <n v="0.85"/>
    <n v="1620"/>
    <x v="0"/>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339"/>
    <x v="327"/>
    <m/>
    <x v="0"/>
    <s v="H18"/>
    <x v="1"/>
    <s v="H211-20"/>
    <s v="Umeå"/>
    <m/>
    <s v="SAMK"/>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339"/>
    <x v="327"/>
    <m/>
    <x v="0"/>
    <s v="H19"/>
    <x v="1"/>
    <s v="H211-20"/>
    <s v="Umeå"/>
    <m/>
    <s v="SVAA"/>
    <m/>
    <n v="1"/>
    <x v="3"/>
    <m/>
    <m/>
    <n v="2"/>
    <n v="1"/>
    <n v="0.85"/>
    <n v="0.85"/>
    <n v="1620"/>
    <x v="0"/>
    <s v="Hum"/>
    <x v="0"/>
    <n v="20766"/>
    <n v="17442"/>
    <n v="35591.699999999997"/>
    <n v="6000"/>
    <n v="6000"/>
    <n v="41591.699999999997"/>
    <n v="0"/>
    <n v="1"/>
    <n v="0"/>
    <n v="0"/>
    <n v="0"/>
    <n v="0"/>
    <n v="0"/>
    <n v="0"/>
    <n v="0"/>
    <n v="0"/>
    <n v="0"/>
    <n v="0"/>
    <s v="SP 210924"/>
    <m/>
    <n v="0"/>
    <n v="0"/>
    <n v="1"/>
    <n v="0.85"/>
    <n v="0"/>
    <n v="0"/>
    <n v="0"/>
    <n v="0"/>
    <n v="0"/>
    <n v="0"/>
    <n v="0"/>
    <n v="0"/>
    <n v="0"/>
    <n v="0"/>
    <n v="0"/>
    <n v="0"/>
    <n v="0"/>
    <n v="0"/>
    <n v="0"/>
    <n v="0"/>
    <n v="0"/>
    <n v="0"/>
    <n v="0"/>
    <n v="0"/>
  </r>
  <r>
    <x v="339"/>
    <x v="327"/>
    <m/>
    <x v="0"/>
    <s v="H20"/>
    <x v="1"/>
    <s v="H211-20"/>
    <s v="Umeå"/>
    <m/>
    <s v="SVAA"/>
    <m/>
    <n v="1"/>
    <x v="3"/>
    <m/>
    <m/>
    <n v="16"/>
    <n v="8"/>
    <n v="0.85"/>
    <n v="6.8"/>
    <n v="1620"/>
    <x v="0"/>
    <s v="Hum"/>
    <x v="0"/>
    <n v="20766"/>
    <n v="17442"/>
    <n v="284733.59999999998"/>
    <n v="6000"/>
    <n v="48000"/>
    <n v="332733.59999999998"/>
    <n v="0"/>
    <n v="1"/>
    <n v="0"/>
    <n v="0"/>
    <n v="0"/>
    <n v="0"/>
    <n v="0"/>
    <n v="0"/>
    <n v="0"/>
    <n v="0"/>
    <n v="0"/>
    <n v="0"/>
    <s v="SP 210924"/>
    <m/>
    <n v="0"/>
    <n v="0"/>
    <n v="8"/>
    <n v="6.8"/>
    <n v="0"/>
    <n v="0"/>
    <n v="0"/>
    <n v="0"/>
    <n v="0"/>
    <n v="0"/>
    <n v="0"/>
    <n v="0"/>
    <n v="0"/>
    <n v="0"/>
    <n v="0"/>
    <n v="0"/>
    <n v="0"/>
    <n v="0"/>
    <n v="0"/>
    <n v="0"/>
    <n v="0"/>
    <n v="0"/>
    <n v="0"/>
    <n v="0"/>
  </r>
  <r>
    <x v="340"/>
    <x v="328"/>
    <n v="71813"/>
    <x v="0"/>
    <m/>
    <x v="0"/>
    <m/>
    <s v="Umeå"/>
    <s v="Normal"/>
    <s v="ENGS"/>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40"/>
    <x v="328"/>
    <n v="71813"/>
    <x v="0"/>
    <m/>
    <x v="0"/>
    <m/>
    <s v="Umeå"/>
    <s v="Normal"/>
    <s v="RELK"/>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40"/>
    <x v="328"/>
    <n v="71813"/>
    <x v="0"/>
    <m/>
    <x v="0"/>
    <m/>
    <s v="Umeå"/>
    <s v="Normal"/>
    <s v="SAMK"/>
    <m/>
    <m/>
    <x v="3"/>
    <m/>
    <m/>
    <n v="2"/>
    <n v="1"/>
    <n v="0.85"/>
    <n v="0.85"/>
    <n v="1620"/>
    <x v="0"/>
    <s v="Hum"/>
    <x v="0"/>
    <n v="20766"/>
    <n v="17442"/>
    <n v="35591.699999999997"/>
    <n v="6000"/>
    <n v="6000"/>
    <n v="41591.699999999997"/>
    <n v="0"/>
    <n v="1"/>
    <n v="0"/>
    <n v="0"/>
    <n v="0"/>
    <n v="0"/>
    <n v="0"/>
    <n v="0"/>
    <n v="0"/>
    <n v="0"/>
    <n v="0"/>
    <n v="0"/>
    <s v="Enl Fokus-Ladok 210601"/>
    <m/>
    <n v="0"/>
    <n v="0"/>
    <n v="1"/>
    <n v="0.85"/>
    <n v="0"/>
    <n v="0"/>
    <n v="0"/>
    <n v="0"/>
    <n v="0"/>
    <n v="0"/>
    <n v="0"/>
    <n v="0"/>
    <n v="0"/>
    <n v="0"/>
    <n v="0"/>
    <n v="0"/>
    <n v="0"/>
    <n v="0"/>
    <n v="0"/>
    <n v="0"/>
    <n v="0"/>
    <n v="0"/>
    <n v="0"/>
    <n v="0"/>
  </r>
  <r>
    <x v="340"/>
    <x v="328"/>
    <n v="71813"/>
    <x v="0"/>
    <m/>
    <x v="0"/>
    <m/>
    <s v="Umeå"/>
    <s v="Normal"/>
    <s v="SVAA"/>
    <m/>
    <m/>
    <x v="3"/>
    <m/>
    <m/>
    <n v="8"/>
    <n v="4"/>
    <n v="0.85"/>
    <n v="3.4"/>
    <n v="1620"/>
    <x v="0"/>
    <s v="Hum"/>
    <x v="0"/>
    <n v="20766"/>
    <n v="17442"/>
    <n v="142366.79999999999"/>
    <n v="6000"/>
    <n v="24000"/>
    <n v="166366.79999999999"/>
    <n v="0"/>
    <n v="1"/>
    <n v="0"/>
    <n v="0"/>
    <n v="0"/>
    <n v="0"/>
    <n v="0"/>
    <n v="0"/>
    <n v="0"/>
    <n v="0"/>
    <n v="0"/>
    <n v="0"/>
    <s v="Enl Fokus-Ladok 210601"/>
    <m/>
    <n v="0"/>
    <n v="0"/>
    <n v="4"/>
    <n v="3.4"/>
    <n v="0"/>
    <n v="0"/>
    <n v="0"/>
    <n v="0"/>
    <n v="0"/>
    <n v="0"/>
    <n v="0"/>
    <n v="0"/>
    <n v="0"/>
    <n v="0"/>
    <n v="0"/>
    <n v="0"/>
    <n v="0"/>
    <n v="0"/>
    <n v="0"/>
    <n v="0"/>
    <n v="0"/>
    <n v="0"/>
    <n v="0"/>
    <n v="0"/>
  </r>
  <r>
    <x v="340"/>
    <x v="328"/>
    <n v="71813"/>
    <x v="0"/>
    <m/>
    <x v="0"/>
    <m/>
    <s v="Umeå"/>
    <s v="Normal"/>
    <s v="TYSK"/>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41"/>
    <x v="329"/>
    <m/>
    <x v="3"/>
    <m/>
    <x v="2"/>
    <m/>
    <m/>
    <s v="Distans"/>
    <m/>
    <m/>
    <m/>
    <x v="0"/>
    <m/>
    <m/>
    <n v="30"/>
    <n v="3.75"/>
    <n v="0.8"/>
    <n v="3"/>
    <n v="1620"/>
    <x v="0"/>
    <s v="Hum"/>
    <x v="3"/>
    <n v="20766"/>
    <n v="17442"/>
    <n v="130198.5"/>
    <n v="6000"/>
    <n v="22500"/>
    <n v="152698.5"/>
    <n v="0"/>
    <n v="1"/>
    <n v="0"/>
    <n v="0"/>
    <n v="0"/>
    <n v="0"/>
    <n v="0"/>
    <n v="0"/>
    <n v="0"/>
    <n v="0"/>
    <n v="0"/>
    <n v="0"/>
    <s v="Äskat/Beslutat 200611 p.39"/>
    <m/>
    <n v="0"/>
    <n v="0"/>
    <n v="3.75"/>
    <n v="3"/>
    <n v="0"/>
    <n v="0"/>
    <n v="0"/>
    <n v="0"/>
    <n v="0"/>
    <n v="0"/>
    <n v="0"/>
    <n v="0"/>
    <n v="0"/>
    <n v="0"/>
    <n v="0"/>
    <n v="0"/>
    <n v="0"/>
    <n v="0"/>
    <n v="0"/>
    <n v="0"/>
    <n v="0"/>
    <n v="0"/>
    <n v="0"/>
    <n v="0"/>
  </r>
  <r>
    <x v="342"/>
    <x v="330"/>
    <m/>
    <x v="1"/>
    <s v="H21"/>
    <x v="1"/>
    <m/>
    <n v="2480"/>
    <s v="DIST"/>
    <m/>
    <m/>
    <m/>
    <x v="1"/>
    <m/>
    <m/>
    <n v="38"/>
    <n v="9.5"/>
    <n v="0.85"/>
    <n v="8.0749999999999993"/>
    <n v="2193"/>
    <x v="13"/>
    <s v="Sam"/>
    <x v="1"/>
    <n v="24631.8"/>
    <n v="21833.200000000001"/>
    <n v="410305.19"/>
    <n v="6000"/>
    <n v="57000"/>
    <n v="467305.19"/>
    <n v="0"/>
    <n v="0"/>
    <n v="0"/>
    <n v="0"/>
    <n v="0"/>
    <n v="0"/>
    <n v="0.8"/>
    <n v="0"/>
    <n v="0"/>
    <n v="0"/>
    <n v="0"/>
    <n v="0.2"/>
    <s v="Reg i Ladok 210907"/>
    <m/>
    <n v="0"/>
    <n v="0"/>
    <n v="0"/>
    <n v="0"/>
    <n v="0"/>
    <n v="0"/>
    <n v="0"/>
    <n v="0"/>
    <n v="0"/>
    <n v="0"/>
    <n v="0"/>
    <n v="0"/>
    <n v="7.6000000000000005"/>
    <n v="6.46"/>
    <n v="0"/>
    <n v="0"/>
    <n v="0"/>
    <n v="0"/>
    <n v="0"/>
    <n v="0"/>
    <n v="0"/>
    <n v="0"/>
    <n v="1.9000000000000001"/>
    <n v="1.615"/>
  </r>
  <r>
    <x v="342"/>
    <x v="330"/>
    <m/>
    <x v="1"/>
    <s v="H21"/>
    <x v="1"/>
    <m/>
    <n v="2480"/>
    <s v="REGU"/>
    <m/>
    <m/>
    <m/>
    <x v="1"/>
    <m/>
    <m/>
    <n v="34"/>
    <n v="8.5"/>
    <n v="0.85"/>
    <n v="7.2249999999999996"/>
    <n v="2193"/>
    <x v="13"/>
    <s v="Sam"/>
    <x v="1"/>
    <n v="24631.8"/>
    <n v="21833.200000000001"/>
    <n v="367115.17"/>
    <n v="6000"/>
    <n v="51000"/>
    <n v="418115.17"/>
    <n v="0"/>
    <n v="0"/>
    <n v="0"/>
    <n v="0"/>
    <n v="0"/>
    <n v="0"/>
    <n v="0.8"/>
    <n v="0"/>
    <n v="0"/>
    <n v="0"/>
    <n v="0"/>
    <n v="0.2"/>
    <s v="Reg i Ladok 210907"/>
    <m/>
    <n v="0"/>
    <n v="0"/>
    <n v="0"/>
    <n v="0"/>
    <n v="0"/>
    <n v="0"/>
    <n v="0"/>
    <n v="0"/>
    <n v="0"/>
    <n v="0"/>
    <n v="0"/>
    <n v="0"/>
    <n v="6.8000000000000007"/>
    <n v="5.78"/>
    <n v="0"/>
    <n v="0"/>
    <n v="0"/>
    <n v="0"/>
    <n v="0"/>
    <n v="0"/>
    <n v="0"/>
    <n v="0"/>
    <n v="1.7000000000000002"/>
    <n v="1.4450000000000001"/>
  </r>
  <r>
    <x v="343"/>
    <x v="331"/>
    <n v="69102"/>
    <x v="1"/>
    <m/>
    <x v="0"/>
    <m/>
    <s v="Umeå"/>
    <s v="Distans"/>
    <s v="DIST"/>
    <m/>
    <m/>
    <x v="0"/>
    <m/>
    <m/>
    <n v="21"/>
    <n v="2.625"/>
    <n v="0.85"/>
    <n v="2.2312499999999997"/>
    <n v="2193"/>
    <x v="13"/>
    <s v="Sam"/>
    <x v="1"/>
    <n v="20766"/>
    <n v="17442"/>
    <n v="93428.212499999994"/>
    <n v="6000"/>
    <n v="15750"/>
    <n v="109178.21249999999"/>
    <n v="0"/>
    <n v="0"/>
    <n v="0"/>
    <n v="0"/>
    <n v="0"/>
    <n v="0"/>
    <n v="1"/>
    <n v="0"/>
    <n v="0"/>
    <n v="0"/>
    <n v="0"/>
    <n v="0"/>
    <s v="Enl Fokus-Ladok 210601"/>
    <m/>
    <n v="0"/>
    <n v="0"/>
    <n v="0"/>
    <n v="0"/>
    <n v="0"/>
    <n v="0"/>
    <n v="0"/>
    <n v="0"/>
    <n v="0"/>
    <n v="0"/>
    <n v="0"/>
    <n v="0"/>
    <n v="2.625"/>
    <n v="2.2312499999999997"/>
    <n v="0"/>
    <n v="0"/>
    <n v="0"/>
    <n v="0"/>
    <n v="0"/>
    <n v="0"/>
    <n v="0"/>
    <n v="0"/>
    <n v="0"/>
    <n v="0"/>
  </r>
  <r>
    <x v="343"/>
    <x v="331"/>
    <n v="69102"/>
    <x v="1"/>
    <m/>
    <x v="0"/>
    <m/>
    <s v="Umeå"/>
    <s v="Distans"/>
    <s v="REGU"/>
    <m/>
    <m/>
    <x v="0"/>
    <m/>
    <m/>
    <n v="1"/>
    <n v="0.125"/>
    <n v="0.85"/>
    <n v="0.10625"/>
    <n v="2193"/>
    <x v="13"/>
    <s v="Sam"/>
    <x v="1"/>
    <n v="20766"/>
    <n v="17442"/>
    <n v="4448.9624999999996"/>
    <n v="6000"/>
    <n v="750"/>
    <n v="5198.9624999999996"/>
    <n v="0"/>
    <n v="0"/>
    <n v="0"/>
    <n v="0"/>
    <n v="0"/>
    <n v="0"/>
    <n v="1"/>
    <n v="0"/>
    <n v="0"/>
    <n v="0"/>
    <n v="0"/>
    <n v="0"/>
    <s v="Enl Fokus-Ladok 210601"/>
    <m/>
    <n v="0"/>
    <n v="0"/>
    <n v="0"/>
    <n v="0"/>
    <n v="0"/>
    <n v="0"/>
    <n v="0"/>
    <n v="0"/>
    <n v="0"/>
    <n v="0"/>
    <n v="0"/>
    <n v="0"/>
    <n v="0.125"/>
    <n v="0.10625"/>
    <n v="0"/>
    <n v="0"/>
    <n v="0"/>
    <n v="0"/>
    <n v="0"/>
    <n v="0"/>
    <n v="0"/>
    <n v="0"/>
    <n v="0"/>
    <n v="0"/>
  </r>
  <r>
    <x v="343"/>
    <x v="331"/>
    <n v="69103"/>
    <x v="1"/>
    <m/>
    <x v="0"/>
    <m/>
    <s v="Umeå"/>
    <s v="Normal"/>
    <s v="REGU"/>
    <m/>
    <m/>
    <x v="0"/>
    <m/>
    <m/>
    <n v="26"/>
    <n v="3.25"/>
    <n v="0.85"/>
    <n v="2.7624999999999997"/>
    <n v="2193"/>
    <x v="13"/>
    <s v="Sam"/>
    <x v="1"/>
    <n v="20766"/>
    <n v="17442"/>
    <n v="115673.02499999999"/>
    <n v="6000"/>
    <n v="19500"/>
    <n v="135173.02499999999"/>
    <n v="0"/>
    <n v="0"/>
    <n v="0"/>
    <n v="0"/>
    <n v="0"/>
    <n v="0"/>
    <n v="1"/>
    <n v="0"/>
    <n v="0"/>
    <n v="0"/>
    <n v="0"/>
    <n v="0"/>
    <s v="Enl Fokus-Ladok 210601"/>
    <m/>
    <n v="0"/>
    <n v="0"/>
    <n v="0"/>
    <n v="0"/>
    <n v="0"/>
    <n v="0"/>
    <n v="0"/>
    <n v="0"/>
    <n v="0"/>
    <n v="0"/>
    <n v="0"/>
    <n v="0"/>
    <n v="3.25"/>
    <n v="2.7624999999999997"/>
    <n v="0"/>
    <n v="0"/>
    <n v="0"/>
    <n v="0"/>
    <n v="0"/>
    <n v="0"/>
    <n v="0"/>
    <n v="0"/>
    <n v="0"/>
    <n v="0"/>
  </r>
  <r>
    <x v="344"/>
    <x v="332"/>
    <n v="69107"/>
    <x v="1"/>
    <m/>
    <x v="0"/>
    <m/>
    <s v="Umeå"/>
    <s v="Distans"/>
    <s v="DIOB"/>
    <m/>
    <m/>
    <x v="1"/>
    <m/>
    <m/>
    <n v="27"/>
    <n v="6.75"/>
    <n v="0.85"/>
    <n v="5.7374999999999998"/>
    <n v="2193"/>
    <x v="13"/>
    <s v="Sam"/>
    <x v="1"/>
    <n v="26564.699999999997"/>
    <n v="24028.799999999999"/>
    <n v="317176.96499999997"/>
    <n v="6000"/>
    <n v="40500"/>
    <n v="357676.96499999997"/>
    <n v="0"/>
    <n v="0"/>
    <n v="0"/>
    <n v="0"/>
    <n v="0"/>
    <n v="0"/>
    <n v="0.7"/>
    <n v="0"/>
    <n v="0"/>
    <n v="0"/>
    <n v="0"/>
    <n v="0.3"/>
    <s v="Enl Fokus-Ladok 210601"/>
    <m/>
    <n v="0"/>
    <n v="0"/>
    <n v="0"/>
    <n v="0"/>
    <n v="0"/>
    <n v="0"/>
    <n v="0"/>
    <n v="0"/>
    <n v="0"/>
    <n v="0"/>
    <n v="0"/>
    <n v="0"/>
    <n v="4.7249999999999996"/>
    <n v="4.0162499999999994"/>
    <n v="0"/>
    <n v="0"/>
    <n v="0"/>
    <n v="0"/>
    <n v="0"/>
    <n v="0"/>
    <n v="0"/>
    <n v="0"/>
    <n v="2.0249999999999999"/>
    <n v="1.7212499999999999"/>
  </r>
  <r>
    <x v="344"/>
    <x v="332"/>
    <s v="0079I"/>
    <x v="1"/>
    <m/>
    <x v="0"/>
    <m/>
    <s v="Umeå"/>
    <s v="Distans"/>
    <s v="DIOB"/>
    <m/>
    <m/>
    <x v="1"/>
    <m/>
    <m/>
    <n v="1"/>
    <n v="0.25"/>
    <n v="0.85"/>
    <n v="0.21249999999999999"/>
    <n v="2193"/>
    <x v="13"/>
    <s v="Sam"/>
    <x v="1"/>
    <n v="26564.699999999997"/>
    <n v="24028.799999999999"/>
    <n v="11747.294999999998"/>
    <n v="6000"/>
    <n v="1500"/>
    <n v="13247.294999999998"/>
    <n v="0"/>
    <n v="0"/>
    <n v="0"/>
    <n v="0"/>
    <n v="0"/>
    <n v="0"/>
    <n v="0.7"/>
    <n v="0"/>
    <n v="0"/>
    <n v="0"/>
    <n v="0"/>
    <n v="0.3"/>
    <s v="Enl Fokus-Ladok 210601"/>
    <m/>
    <n v="0"/>
    <n v="0"/>
    <n v="0"/>
    <n v="0"/>
    <n v="0"/>
    <n v="0"/>
    <n v="0"/>
    <n v="0"/>
    <n v="0"/>
    <n v="0"/>
    <n v="0"/>
    <n v="0"/>
    <n v="0.17499999999999999"/>
    <n v="0.14874999999999999"/>
    <n v="0"/>
    <n v="0"/>
    <n v="0"/>
    <n v="0"/>
    <n v="0"/>
    <n v="0"/>
    <n v="0"/>
    <n v="0"/>
    <n v="7.4999999999999997E-2"/>
    <n v="6.3750000000000001E-2"/>
  </r>
  <r>
    <x v="344"/>
    <x v="332"/>
    <n v="69107"/>
    <x v="1"/>
    <m/>
    <x v="0"/>
    <m/>
    <s v="Umeå"/>
    <s v="Distans"/>
    <s v="DIST"/>
    <m/>
    <m/>
    <x v="1"/>
    <m/>
    <m/>
    <n v="20"/>
    <n v="5"/>
    <n v="0.85"/>
    <n v="4.25"/>
    <n v="2193"/>
    <x v="13"/>
    <s v="Sam"/>
    <x v="1"/>
    <n v="26564.699999999997"/>
    <n v="24028.799999999999"/>
    <n v="234945.9"/>
    <n v="6000"/>
    <n v="30000"/>
    <n v="264945.90000000002"/>
    <n v="0"/>
    <n v="0"/>
    <n v="0"/>
    <n v="0"/>
    <n v="0"/>
    <n v="0"/>
    <n v="0.7"/>
    <n v="0"/>
    <n v="0"/>
    <n v="0"/>
    <n v="0"/>
    <n v="0.3"/>
    <s v="Enl Fokus-Ladok 210601"/>
    <m/>
    <n v="0"/>
    <n v="0"/>
    <n v="0"/>
    <n v="0"/>
    <n v="0"/>
    <n v="0"/>
    <n v="0"/>
    <n v="0"/>
    <n v="0"/>
    <n v="0"/>
    <n v="0"/>
    <n v="0"/>
    <n v="3.5"/>
    <n v="2.9749999999999996"/>
    <n v="0"/>
    <n v="0"/>
    <n v="0"/>
    <n v="0"/>
    <n v="0"/>
    <n v="0"/>
    <n v="0"/>
    <n v="0"/>
    <n v="1.5"/>
    <n v="1.2749999999999999"/>
  </r>
  <r>
    <x v="344"/>
    <x v="332"/>
    <s v="0074I"/>
    <x v="1"/>
    <m/>
    <x v="0"/>
    <m/>
    <s v="Umeå"/>
    <s v="Distans"/>
    <s v="DIST"/>
    <m/>
    <m/>
    <x v="1"/>
    <m/>
    <m/>
    <n v="1"/>
    <n v="0.25"/>
    <n v="0.85"/>
    <n v="0.21249999999999999"/>
    <n v="2193"/>
    <x v="13"/>
    <s v="Sam"/>
    <x v="1"/>
    <n v="26564.699999999997"/>
    <n v="24028.799999999999"/>
    <n v="11747.294999999998"/>
    <n v="6000"/>
    <n v="1500"/>
    <n v="13247.294999999998"/>
    <n v="0"/>
    <n v="0"/>
    <n v="0"/>
    <n v="0"/>
    <n v="0"/>
    <n v="0"/>
    <n v="0.7"/>
    <n v="0"/>
    <n v="0"/>
    <n v="0"/>
    <n v="0"/>
    <n v="0.3"/>
    <s v="Enl Fokus-Ladok 210601"/>
    <m/>
    <n v="0"/>
    <n v="0"/>
    <n v="0"/>
    <n v="0"/>
    <n v="0"/>
    <n v="0"/>
    <n v="0"/>
    <n v="0"/>
    <n v="0"/>
    <n v="0"/>
    <n v="0"/>
    <n v="0"/>
    <n v="0.17499999999999999"/>
    <n v="0.14874999999999999"/>
    <n v="0"/>
    <n v="0"/>
    <n v="0"/>
    <n v="0"/>
    <n v="0"/>
    <n v="0"/>
    <n v="0"/>
    <n v="0"/>
    <n v="7.4999999999999997E-2"/>
    <n v="6.3750000000000001E-2"/>
  </r>
  <r>
    <x v="344"/>
    <x v="332"/>
    <n v="69108"/>
    <x v="1"/>
    <m/>
    <x v="0"/>
    <m/>
    <s v="Umeå"/>
    <s v="Normal"/>
    <s v="REGU"/>
    <m/>
    <m/>
    <x v="1"/>
    <m/>
    <m/>
    <n v="19"/>
    <n v="4.75"/>
    <n v="0.85"/>
    <n v="4.0374999999999996"/>
    <n v="2193"/>
    <x v="13"/>
    <s v="Sam"/>
    <x v="1"/>
    <n v="26564.699999999997"/>
    <n v="24028.799999999999"/>
    <n v="223198.60499999998"/>
    <n v="6000"/>
    <n v="28500"/>
    <n v="251698.60499999998"/>
    <n v="0"/>
    <n v="0"/>
    <n v="0"/>
    <n v="0"/>
    <n v="0"/>
    <n v="0"/>
    <n v="0.7"/>
    <n v="0"/>
    <n v="0"/>
    <n v="0"/>
    <n v="0"/>
    <n v="0.3"/>
    <s v="Enl Fokus-Ladok 210601"/>
    <m/>
    <n v="0"/>
    <n v="0"/>
    <n v="0"/>
    <n v="0"/>
    <n v="0"/>
    <n v="0"/>
    <n v="0"/>
    <n v="0"/>
    <n v="0"/>
    <n v="0"/>
    <n v="0"/>
    <n v="0"/>
    <n v="3.3249999999999997"/>
    <n v="2.8262499999999995"/>
    <n v="0"/>
    <n v="0"/>
    <n v="0"/>
    <n v="0"/>
    <n v="0"/>
    <n v="0"/>
    <n v="0"/>
    <n v="0"/>
    <n v="1.425"/>
    <n v="1.2112499999999999"/>
  </r>
  <r>
    <x v="344"/>
    <x v="332"/>
    <n v="69107"/>
    <x v="1"/>
    <m/>
    <x v="0"/>
    <m/>
    <s v="Umeå"/>
    <s v="Distans"/>
    <m/>
    <m/>
    <m/>
    <x v="1"/>
    <m/>
    <m/>
    <n v="1"/>
    <n v="0.25"/>
    <n v="0.85"/>
    <n v="0.21249999999999999"/>
    <n v="2193"/>
    <x v="13"/>
    <s v="Sam"/>
    <x v="1"/>
    <n v="26564.699999999997"/>
    <n v="24028.799999999999"/>
    <n v="11747.294999999998"/>
    <n v="6000"/>
    <n v="1500"/>
    <n v="13247.294999999998"/>
    <n v="0"/>
    <n v="0"/>
    <n v="0"/>
    <n v="0"/>
    <n v="0"/>
    <n v="0"/>
    <n v="0.7"/>
    <n v="0"/>
    <n v="0"/>
    <n v="0"/>
    <n v="0"/>
    <n v="0.3"/>
    <s v="Enl Fokus-Ladok 210601"/>
    <m/>
    <n v="0"/>
    <n v="0"/>
    <n v="0"/>
    <n v="0"/>
    <n v="0"/>
    <n v="0"/>
    <n v="0"/>
    <n v="0"/>
    <n v="0"/>
    <n v="0"/>
    <n v="0"/>
    <n v="0"/>
    <n v="0.17499999999999999"/>
    <n v="0.14874999999999999"/>
    <n v="0"/>
    <n v="0"/>
    <n v="0"/>
    <n v="0"/>
    <n v="0"/>
    <n v="0"/>
    <n v="0"/>
    <n v="0"/>
    <n v="7.4999999999999997E-2"/>
    <n v="6.3750000000000001E-2"/>
  </r>
  <r>
    <x v="345"/>
    <x v="333"/>
    <n v="69104"/>
    <x v="1"/>
    <m/>
    <x v="0"/>
    <m/>
    <s v="Umeå"/>
    <s v="Distans"/>
    <s v="DIST"/>
    <m/>
    <m/>
    <x v="1"/>
    <m/>
    <m/>
    <n v="18"/>
    <n v="4.5"/>
    <n v="0.85"/>
    <n v="3.8249999999999997"/>
    <n v="2193"/>
    <x v="13"/>
    <s v="Sam"/>
    <x v="1"/>
    <n v="20766"/>
    <n v="17442"/>
    <n v="160162.65"/>
    <n v="6000"/>
    <n v="27000"/>
    <n v="187162.65"/>
    <n v="0"/>
    <n v="0"/>
    <n v="0"/>
    <n v="0"/>
    <n v="0"/>
    <n v="0"/>
    <n v="1"/>
    <n v="0"/>
    <n v="0"/>
    <n v="0"/>
    <n v="0"/>
    <n v="0"/>
    <s v="Enl Fokus-Ladok 210601"/>
    <m/>
    <n v="0"/>
    <n v="0"/>
    <n v="0"/>
    <n v="0"/>
    <n v="0"/>
    <n v="0"/>
    <n v="0"/>
    <n v="0"/>
    <n v="0"/>
    <n v="0"/>
    <n v="0"/>
    <n v="0"/>
    <n v="4.5"/>
    <n v="3.8249999999999997"/>
    <n v="0"/>
    <n v="0"/>
    <n v="0"/>
    <n v="0"/>
    <n v="0"/>
    <n v="0"/>
    <n v="0"/>
    <n v="0"/>
    <n v="0"/>
    <n v="0"/>
  </r>
  <r>
    <x v="345"/>
    <x v="333"/>
    <n v="69106"/>
    <x v="1"/>
    <m/>
    <x v="0"/>
    <m/>
    <s v="Umeå"/>
    <s v="Normal"/>
    <s v="REGU"/>
    <m/>
    <m/>
    <x v="1"/>
    <m/>
    <m/>
    <n v="30"/>
    <n v="7.5"/>
    <n v="0.85"/>
    <n v="6.375"/>
    <n v="2193"/>
    <x v="13"/>
    <s v="Sam"/>
    <x v="1"/>
    <n v="20766"/>
    <n v="17442"/>
    <n v="266937.75"/>
    <n v="6000"/>
    <n v="45000"/>
    <n v="311937.75"/>
    <n v="0"/>
    <n v="0"/>
    <n v="0"/>
    <n v="0"/>
    <n v="0"/>
    <n v="0"/>
    <n v="1"/>
    <n v="0"/>
    <n v="0"/>
    <n v="0"/>
    <n v="0"/>
    <n v="0"/>
    <s v="Enl Fokus-Ladok 210601"/>
    <m/>
    <n v="0"/>
    <n v="0"/>
    <n v="0"/>
    <n v="0"/>
    <n v="0"/>
    <n v="0"/>
    <n v="0"/>
    <n v="0"/>
    <n v="0"/>
    <n v="0"/>
    <n v="0"/>
    <n v="0"/>
    <n v="7.5"/>
    <n v="6.375"/>
    <n v="0"/>
    <n v="0"/>
    <n v="0"/>
    <n v="0"/>
    <n v="0"/>
    <n v="0"/>
    <n v="0"/>
    <n v="0"/>
    <n v="0"/>
    <n v="0"/>
  </r>
  <r>
    <x v="346"/>
    <x v="334"/>
    <m/>
    <x v="1"/>
    <s v="H16"/>
    <x v="1"/>
    <s v="H211-10"/>
    <s v="Umeå"/>
    <s v="REGU"/>
    <m/>
    <m/>
    <n v="1"/>
    <x v="7"/>
    <m/>
    <m/>
    <n v="1"/>
    <n v="0.16666666666666666"/>
    <n v="0.85"/>
    <n v="0.14166666666666666"/>
    <n v="2193"/>
    <x v="13"/>
    <s v="Sam"/>
    <x v="1"/>
    <n v="24631.8"/>
    <n v="21833.200000000001"/>
    <n v="7198.3366666666661"/>
    <n v="6000"/>
    <n v="1000"/>
    <n v="8198.3366666666661"/>
    <n v="0"/>
    <n v="0"/>
    <n v="0"/>
    <n v="0"/>
    <n v="0"/>
    <n v="0"/>
    <n v="0.8"/>
    <n v="0"/>
    <n v="0"/>
    <n v="0"/>
    <n v="0"/>
    <n v="0.2"/>
    <s v="SP 210924"/>
    <m/>
    <n v="0"/>
    <n v="0"/>
    <n v="0"/>
    <n v="0"/>
    <n v="0"/>
    <n v="0"/>
    <n v="0"/>
    <n v="0"/>
    <n v="0"/>
    <n v="0"/>
    <n v="0"/>
    <n v="0"/>
    <n v="0.13333333333333333"/>
    <n v="0.11333333333333334"/>
    <n v="0"/>
    <n v="0"/>
    <n v="0"/>
    <n v="0"/>
    <n v="0"/>
    <n v="0"/>
    <n v="0"/>
    <n v="0"/>
    <n v="3.3333333333333333E-2"/>
    <n v="2.8333333333333335E-2"/>
  </r>
  <r>
    <x v="346"/>
    <x v="334"/>
    <m/>
    <x v="1"/>
    <s v="H18"/>
    <x v="1"/>
    <s v="H211-10"/>
    <s v="Umeå"/>
    <s v="REGU"/>
    <m/>
    <m/>
    <n v="1"/>
    <x v="7"/>
    <m/>
    <m/>
    <n v="1"/>
    <n v="0.16666666666666666"/>
    <n v="0.85"/>
    <n v="0.14166666666666666"/>
    <n v="2193"/>
    <x v="13"/>
    <s v="Sam"/>
    <x v="1"/>
    <n v="24631.8"/>
    <n v="21833.200000000001"/>
    <n v="7198.3366666666661"/>
    <n v="6000"/>
    <n v="1000"/>
    <n v="8198.3366666666661"/>
    <n v="0"/>
    <n v="0"/>
    <n v="0"/>
    <n v="0"/>
    <n v="0"/>
    <n v="0"/>
    <n v="0.8"/>
    <n v="0"/>
    <n v="0"/>
    <n v="0"/>
    <n v="0"/>
    <n v="0.2"/>
    <s v="SP 210924"/>
    <m/>
    <n v="0"/>
    <n v="0"/>
    <n v="0"/>
    <n v="0"/>
    <n v="0"/>
    <n v="0"/>
    <n v="0"/>
    <n v="0"/>
    <n v="0"/>
    <n v="0"/>
    <n v="0"/>
    <n v="0"/>
    <n v="0.13333333333333333"/>
    <n v="0.11333333333333334"/>
    <n v="0"/>
    <n v="0"/>
    <n v="0"/>
    <n v="0"/>
    <n v="0"/>
    <n v="0"/>
    <n v="0"/>
    <n v="0"/>
    <n v="3.3333333333333333E-2"/>
    <n v="2.8333333333333335E-2"/>
  </r>
  <r>
    <x v="346"/>
    <x v="334"/>
    <m/>
    <x v="1"/>
    <s v="H19"/>
    <x v="1"/>
    <s v="H211-10"/>
    <s v="Umeå"/>
    <s v="DIST"/>
    <m/>
    <m/>
    <n v="1"/>
    <x v="7"/>
    <m/>
    <m/>
    <n v="19"/>
    <n v="3.1666666666666665"/>
    <n v="0.85"/>
    <n v="2.6916666666666664"/>
    <n v="2193"/>
    <x v="13"/>
    <s v="Sam"/>
    <x v="1"/>
    <n v="24631.8"/>
    <n v="21833.200000000001"/>
    <n v="136768.39666666667"/>
    <n v="6000"/>
    <n v="19000"/>
    <n v="155768.39666666667"/>
    <n v="0"/>
    <n v="0"/>
    <n v="0"/>
    <n v="0"/>
    <n v="0"/>
    <n v="0"/>
    <n v="0.8"/>
    <n v="0"/>
    <n v="0"/>
    <n v="0"/>
    <n v="0"/>
    <n v="0.2"/>
    <s v="SP 210924"/>
    <m/>
    <n v="0"/>
    <n v="0"/>
    <n v="0"/>
    <n v="0"/>
    <n v="0"/>
    <n v="0"/>
    <n v="0"/>
    <n v="0"/>
    <n v="0"/>
    <n v="0"/>
    <n v="0"/>
    <n v="0"/>
    <n v="2.5333333333333332"/>
    <n v="2.1533333333333333"/>
    <n v="0"/>
    <n v="0"/>
    <n v="0"/>
    <n v="0"/>
    <n v="0"/>
    <n v="0"/>
    <n v="0"/>
    <n v="0"/>
    <n v="0.6333333333333333"/>
    <n v="0.53833333333333333"/>
  </r>
  <r>
    <x v="346"/>
    <x v="334"/>
    <m/>
    <x v="1"/>
    <s v="H19"/>
    <x v="1"/>
    <s v="H211-10"/>
    <s v="Umeå"/>
    <s v="REGU"/>
    <m/>
    <m/>
    <n v="1"/>
    <x v="7"/>
    <m/>
    <m/>
    <n v="29"/>
    <n v="4.833333333333333"/>
    <n v="0.85"/>
    <n v="4.1083333333333334"/>
    <n v="2193"/>
    <x v="13"/>
    <s v="Sam"/>
    <x v="1"/>
    <n v="24631.8"/>
    <n v="21833.200000000001"/>
    <n v="208751.76333333331"/>
    <n v="6000"/>
    <n v="29000"/>
    <n v="237751.76333333331"/>
    <n v="0"/>
    <n v="0"/>
    <n v="0"/>
    <n v="0"/>
    <n v="0"/>
    <n v="0"/>
    <n v="0.8"/>
    <n v="0"/>
    <n v="0"/>
    <n v="0"/>
    <n v="0"/>
    <n v="0.2"/>
    <s v="SP 210924"/>
    <m/>
    <n v="0"/>
    <n v="0"/>
    <n v="0"/>
    <n v="0"/>
    <n v="0"/>
    <n v="0"/>
    <n v="0"/>
    <n v="0"/>
    <n v="0"/>
    <n v="0"/>
    <n v="0"/>
    <n v="0"/>
    <n v="3.8666666666666667"/>
    <n v="3.2866666666666671"/>
    <n v="0"/>
    <n v="0"/>
    <n v="0"/>
    <n v="0"/>
    <n v="0"/>
    <n v="0"/>
    <n v="0"/>
    <n v="0"/>
    <n v="0.96666666666666667"/>
    <n v="0.82166666666666677"/>
  </r>
  <r>
    <x v="346"/>
    <x v="334"/>
    <m/>
    <x v="1"/>
    <s v="H21"/>
    <x v="1"/>
    <m/>
    <n v="2480"/>
    <s v="DIST"/>
    <s v="DIOB"/>
    <m/>
    <m/>
    <x v="7"/>
    <m/>
    <m/>
    <n v="27"/>
    <n v="4.5"/>
    <n v="0.85"/>
    <n v="3.8249999999999997"/>
    <n v="2193"/>
    <x v="13"/>
    <s v="Sam"/>
    <x v="1"/>
    <n v="24631.8"/>
    <n v="21833.200000000001"/>
    <n v="194355.08999999997"/>
    <n v="6000"/>
    <n v="27000"/>
    <n v="221355.08999999997"/>
    <n v="0"/>
    <n v="0"/>
    <n v="0"/>
    <n v="0"/>
    <n v="0"/>
    <n v="0"/>
    <n v="0.8"/>
    <n v="0"/>
    <n v="0"/>
    <n v="0"/>
    <n v="0"/>
    <n v="0.2"/>
    <s v="Reg i Ladok 210907"/>
    <m/>
    <n v="0"/>
    <n v="0"/>
    <n v="0"/>
    <n v="0"/>
    <n v="0"/>
    <n v="0"/>
    <n v="0"/>
    <n v="0"/>
    <n v="0"/>
    <n v="0"/>
    <n v="0"/>
    <n v="0"/>
    <n v="3.6"/>
    <n v="3.06"/>
    <n v="0"/>
    <n v="0"/>
    <n v="0"/>
    <n v="0"/>
    <n v="0"/>
    <n v="0"/>
    <n v="0"/>
    <n v="0"/>
    <n v="0.9"/>
    <n v="0.76500000000000001"/>
  </r>
  <r>
    <x v="347"/>
    <x v="335"/>
    <m/>
    <x v="1"/>
    <s v="H16"/>
    <x v="1"/>
    <s v="H2116-20"/>
    <s v="Umeå"/>
    <s v="REGU"/>
    <m/>
    <m/>
    <n v="1"/>
    <x v="14"/>
    <m/>
    <m/>
    <n v="1"/>
    <n v="0.20833333333333334"/>
    <n v="0.85"/>
    <n v="0.17708333333333334"/>
    <n v="2193"/>
    <x v="13"/>
    <s v="Sam"/>
    <x v="1"/>
    <n v="20766"/>
    <n v="17442"/>
    <n v="7414.9375"/>
    <n v="6000"/>
    <n v="1250"/>
    <n v="8664.9375"/>
    <n v="0"/>
    <n v="0"/>
    <n v="0"/>
    <n v="0"/>
    <n v="0"/>
    <n v="0"/>
    <n v="1"/>
    <n v="0"/>
    <n v="0"/>
    <n v="0"/>
    <n v="0"/>
    <n v="0"/>
    <s v="SP 210924"/>
    <m/>
    <n v="0"/>
    <n v="0"/>
    <n v="0"/>
    <n v="0"/>
    <n v="0"/>
    <n v="0"/>
    <n v="0"/>
    <n v="0"/>
    <n v="0"/>
    <n v="0"/>
    <n v="0"/>
    <n v="0"/>
    <n v="0.20833333333333334"/>
    <n v="0.17708333333333334"/>
    <n v="0"/>
    <n v="0"/>
    <n v="0"/>
    <n v="0"/>
    <n v="0"/>
    <n v="0"/>
    <n v="0"/>
    <n v="0"/>
    <n v="0"/>
    <n v="0"/>
  </r>
  <r>
    <x v="347"/>
    <x v="335"/>
    <m/>
    <x v="1"/>
    <s v="H18"/>
    <x v="1"/>
    <s v="H2116-20"/>
    <s v="Umeå"/>
    <s v="REGU"/>
    <m/>
    <m/>
    <n v="1"/>
    <x v="14"/>
    <m/>
    <m/>
    <n v="1"/>
    <n v="0.20833333333333334"/>
    <n v="0.85"/>
    <n v="0.17708333333333334"/>
    <n v="2193"/>
    <x v="13"/>
    <s v="Sam"/>
    <x v="1"/>
    <n v="20766"/>
    <n v="17442"/>
    <n v="7414.9375"/>
    <n v="6000"/>
    <n v="1250"/>
    <n v="8664.9375"/>
    <n v="0"/>
    <n v="0"/>
    <n v="0"/>
    <n v="0"/>
    <n v="0"/>
    <n v="0"/>
    <n v="1"/>
    <n v="0"/>
    <n v="0"/>
    <n v="0"/>
    <n v="0"/>
    <n v="0"/>
    <s v="SP 210924"/>
    <m/>
    <n v="0"/>
    <n v="0"/>
    <n v="0"/>
    <n v="0"/>
    <n v="0"/>
    <n v="0"/>
    <n v="0"/>
    <n v="0"/>
    <n v="0"/>
    <n v="0"/>
    <n v="0"/>
    <n v="0"/>
    <n v="0.20833333333333334"/>
    <n v="0.17708333333333334"/>
    <n v="0"/>
    <n v="0"/>
    <n v="0"/>
    <n v="0"/>
    <n v="0"/>
    <n v="0"/>
    <n v="0"/>
    <n v="0"/>
    <n v="0"/>
    <n v="0"/>
  </r>
  <r>
    <x v="347"/>
    <x v="335"/>
    <m/>
    <x v="1"/>
    <s v="H19"/>
    <x v="1"/>
    <s v="H2116-20"/>
    <s v="Umeå"/>
    <s v="DIST"/>
    <m/>
    <m/>
    <n v="1"/>
    <x v="14"/>
    <m/>
    <m/>
    <n v="19"/>
    <n v="3.9583333333333335"/>
    <n v="0.85"/>
    <n v="3.3645833333333335"/>
    <n v="2193"/>
    <x v="13"/>
    <s v="Sam"/>
    <x v="1"/>
    <n v="20766"/>
    <n v="17442"/>
    <n v="140883.8125"/>
    <n v="6000"/>
    <n v="23750"/>
    <n v="164633.8125"/>
    <n v="0"/>
    <n v="0"/>
    <n v="0"/>
    <n v="0"/>
    <n v="0"/>
    <n v="0"/>
    <n v="1"/>
    <n v="0"/>
    <n v="0"/>
    <n v="0"/>
    <n v="0"/>
    <n v="0"/>
    <s v="SP 210924"/>
    <m/>
    <n v="0"/>
    <n v="0"/>
    <n v="0"/>
    <n v="0"/>
    <n v="0"/>
    <n v="0"/>
    <n v="0"/>
    <n v="0"/>
    <n v="0"/>
    <n v="0"/>
    <n v="0"/>
    <n v="0"/>
    <n v="3.9583333333333335"/>
    <n v="3.3645833333333335"/>
    <n v="0"/>
    <n v="0"/>
    <n v="0"/>
    <n v="0"/>
    <n v="0"/>
    <n v="0"/>
    <n v="0"/>
    <n v="0"/>
    <n v="0"/>
    <n v="0"/>
  </r>
  <r>
    <x v="347"/>
    <x v="335"/>
    <m/>
    <x v="1"/>
    <s v="H19"/>
    <x v="1"/>
    <s v="H2116-20"/>
    <s v="Umeå"/>
    <s v="REGU"/>
    <m/>
    <m/>
    <n v="1"/>
    <x v="14"/>
    <m/>
    <m/>
    <n v="29"/>
    <n v="6.041666666666667"/>
    <n v="0.85"/>
    <n v="5.135416666666667"/>
    <n v="2193"/>
    <x v="13"/>
    <s v="Sam"/>
    <x v="1"/>
    <n v="20766"/>
    <n v="17442"/>
    <n v="215033.1875"/>
    <n v="6000"/>
    <n v="36250"/>
    <n v="251283.1875"/>
    <n v="0"/>
    <n v="0"/>
    <n v="0"/>
    <n v="0"/>
    <n v="0"/>
    <n v="0"/>
    <n v="1"/>
    <n v="0"/>
    <n v="0"/>
    <n v="0"/>
    <n v="0"/>
    <n v="0"/>
    <s v="SP 210924"/>
    <m/>
    <n v="0"/>
    <n v="0"/>
    <n v="0"/>
    <n v="0"/>
    <n v="0"/>
    <n v="0"/>
    <n v="0"/>
    <n v="0"/>
    <n v="0"/>
    <n v="0"/>
    <n v="0"/>
    <n v="0"/>
    <n v="6.041666666666667"/>
    <n v="5.135416666666667"/>
    <n v="0"/>
    <n v="0"/>
    <n v="0"/>
    <n v="0"/>
    <n v="0"/>
    <n v="0"/>
    <n v="0"/>
    <n v="0"/>
    <n v="0"/>
    <n v="0"/>
  </r>
  <r>
    <x v="347"/>
    <x v="335"/>
    <m/>
    <x v="1"/>
    <s v="H21"/>
    <x v="1"/>
    <m/>
    <n v="2480"/>
    <s v="DIST"/>
    <s v="DIOB"/>
    <m/>
    <m/>
    <x v="14"/>
    <n v="-0.05"/>
    <n v="27"/>
    <n v="25.65"/>
    <n v="5.34375"/>
    <n v="0.85"/>
    <n v="4.5421874999999998"/>
    <n v="2193"/>
    <x v="13"/>
    <s v="Sam"/>
    <x v="1"/>
    <n v="20766"/>
    <n v="17442"/>
    <n v="190193.14687499998"/>
    <n v="6000"/>
    <n v="32062.5"/>
    <n v="222255.64687499998"/>
    <n v="0"/>
    <n v="0"/>
    <n v="0"/>
    <n v="0"/>
    <n v="0"/>
    <n v="0"/>
    <n v="1"/>
    <n v="0"/>
    <n v="0"/>
    <n v="0"/>
    <n v="0"/>
    <n v="0"/>
    <s v="Prognostal"/>
    <m/>
    <n v="0"/>
    <n v="0"/>
    <n v="0"/>
    <n v="0"/>
    <n v="0"/>
    <n v="0"/>
    <n v="0"/>
    <n v="0"/>
    <n v="0"/>
    <n v="0"/>
    <n v="0"/>
    <n v="0"/>
    <n v="5.34375"/>
    <n v="4.5421874999999998"/>
    <n v="0"/>
    <n v="0"/>
    <n v="0"/>
    <n v="0"/>
    <n v="0"/>
    <n v="0"/>
    <n v="0"/>
    <n v="0"/>
    <n v="0"/>
    <n v="0"/>
  </r>
  <r>
    <x v="348"/>
    <x v="336"/>
    <m/>
    <x v="1"/>
    <s v="H16"/>
    <x v="1"/>
    <s v="H2111-15"/>
    <s v="Umeå"/>
    <s v="REGU"/>
    <m/>
    <m/>
    <n v="1"/>
    <x v="0"/>
    <m/>
    <m/>
    <n v="1"/>
    <n v="0.125"/>
    <n v="0.85"/>
    <n v="0.10625"/>
    <n v="2193"/>
    <x v="13"/>
    <s v="Sam"/>
    <x v="1"/>
    <n v="36229.199999999997"/>
    <n v="35006.800000000003"/>
    <n v="8248.1224999999995"/>
    <n v="6000"/>
    <n v="750"/>
    <n v="8998.1224999999995"/>
    <n v="0"/>
    <n v="0"/>
    <n v="0"/>
    <n v="0"/>
    <n v="0"/>
    <n v="0"/>
    <n v="0.2"/>
    <n v="0"/>
    <n v="0"/>
    <n v="0"/>
    <n v="0"/>
    <n v="0.8"/>
    <s v="SP 210924"/>
    <m/>
    <n v="0"/>
    <n v="0"/>
    <n v="0"/>
    <n v="0"/>
    <n v="0"/>
    <n v="0"/>
    <n v="0"/>
    <n v="0"/>
    <n v="0"/>
    <n v="0"/>
    <n v="0"/>
    <n v="0"/>
    <n v="2.5000000000000001E-2"/>
    <n v="2.1250000000000002E-2"/>
    <n v="0"/>
    <n v="0"/>
    <n v="0"/>
    <n v="0"/>
    <n v="0"/>
    <n v="0"/>
    <n v="0"/>
    <n v="0"/>
    <n v="0.1"/>
    <n v="8.5000000000000006E-2"/>
  </r>
  <r>
    <x v="348"/>
    <x v="336"/>
    <m/>
    <x v="1"/>
    <s v="H18"/>
    <x v="1"/>
    <s v="H2111-15"/>
    <s v="Umeå"/>
    <s v="REGU"/>
    <m/>
    <m/>
    <n v="1"/>
    <x v="0"/>
    <m/>
    <m/>
    <n v="1"/>
    <n v="0.125"/>
    <n v="0.85"/>
    <n v="0.10625"/>
    <n v="2193"/>
    <x v="13"/>
    <s v="Sam"/>
    <x v="1"/>
    <n v="36229.199999999997"/>
    <n v="35006.800000000003"/>
    <n v="8248.1224999999995"/>
    <n v="6000"/>
    <n v="750"/>
    <n v="8998.1224999999995"/>
    <n v="0"/>
    <n v="0"/>
    <n v="0"/>
    <n v="0"/>
    <n v="0"/>
    <n v="0"/>
    <n v="0.2"/>
    <n v="0"/>
    <n v="0"/>
    <n v="0"/>
    <n v="0"/>
    <n v="0.8"/>
    <s v="SP 210924"/>
    <m/>
    <n v="0"/>
    <n v="0"/>
    <n v="0"/>
    <n v="0"/>
    <n v="0"/>
    <n v="0"/>
    <n v="0"/>
    <n v="0"/>
    <n v="0"/>
    <n v="0"/>
    <n v="0"/>
    <n v="0"/>
    <n v="2.5000000000000001E-2"/>
    <n v="2.1250000000000002E-2"/>
    <n v="0"/>
    <n v="0"/>
    <n v="0"/>
    <n v="0"/>
    <n v="0"/>
    <n v="0"/>
    <n v="0"/>
    <n v="0"/>
    <n v="0.1"/>
    <n v="8.5000000000000006E-2"/>
  </r>
  <r>
    <x v="348"/>
    <x v="336"/>
    <m/>
    <x v="1"/>
    <s v="H19"/>
    <x v="1"/>
    <s v="H2111-15"/>
    <s v="Umeå"/>
    <s v="DIST"/>
    <s v="DIOB"/>
    <m/>
    <n v="1"/>
    <x v="0"/>
    <m/>
    <m/>
    <n v="1"/>
    <n v="0.125"/>
    <n v="0.85"/>
    <n v="0.10625"/>
    <n v="2193"/>
    <x v="13"/>
    <s v="Sam"/>
    <x v="1"/>
    <n v="36229.199999999997"/>
    <n v="35006.800000000003"/>
    <n v="8248.1224999999995"/>
    <n v="6000"/>
    <n v="750"/>
    <n v="8998.1224999999995"/>
    <n v="0"/>
    <n v="0"/>
    <n v="0"/>
    <n v="0"/>
    <n v="0"/>
    <n v="0"/>
    <n v="0.2"/>
    <n v="0"/>
    <n v="0"/>
    <n v="0"/>
    <n v="0"/>
    <n v="0.8"/>
    <s v="SP 210924"/>
    <m/>
    <n v="0"/>
    <n v="0"/>
    <n v="0"/>
    <n v="0"/>
    <n v="0"/>
    <n v="0"/>
    <n v="0"/>
    <n v="0"/>
    <n v="0"/>
    <n v="0"/>
    <n v="0"/>
    <n v="0"/>
    <n v="2.5000000000000001E-2"/>
    <n v="2.1250000000000002E-2"/>
    <n v="0"/>
    <n v="0"/>
    <n v="0"/>
    <n v="0"/>
    <n v="0"/>
    <n v="0"/>
    <n v="0"/>
    <n v="0"/>
    <n v="0.1"/>
    <n v="8.5000000000000006E-2"/>
  </r>
  <r>
    <x v="348"/>
    <x v="336"/>
    <m/>
    <x v="1"/>
    <s v="H19"/>
    <x v="1"/>
    <s v="H2111-15"/>
    <s v="Umeå"/>
    <s v="DIST"/>
    <m/>
    <m/>
    <n v="1"/>
    <x v="0"/>
    <m/>
    <m/>
    <n v="19"/>
    <n v="2.375"/>
    <n v="0.85"/>
    <n v="2.0187499999999998"/>
    <n v="2193"/>
    <x v="13"/>
    <s v="Sam"/>
    <x v="1"/>
    <n v="36229.199999999997"/>
    <n v="35006.800000000003"/>
    <n v="156714.32749999998"/>
    <n v="6000"/>
    <n v="14250"/>
    <n v="170964.32749999998"/>
    <n v="0"/>
    <n v="0"/>
    <n v="0"/>
    <n v="0"/>
    <n v="0"/>
    <n v="0"/>
    <n v="0.2"/>
    <n v="0"/>
    <n v="0"/>
    <n v="0"/>
    <n v="0"/>
    <n v="0.8"/>
    <s v="SP 210924"/>
    <m/>
    <n v="0"/>
    <n v="0"/>
    <n v="0"/>
    <n v="0"/>
    <n v="0"/>
    <n v="0"/>
    <n v="0"/>
    <n v="0"/>
    <n v="0"/>
    <n v="0"/>
    <n v="0"/>
    <n v="0"/>
    <n v="0.47500000000000003"/>
    <n v="0.40375"/>
    <n v="0"/>
    <n v="0"/>
    <n v="0"/>
    <n v="0"/>
    <n v="0"/>
    <n v="0"/>
    <n v="0"/>
    <n v="0"/>
    <n v="1.9000000000000001"/>
    <n v="1.615"/>
  </r>
  <r>
    <x v="348"/>
    <x v="336"/>
    <m/>
    <x v="1"/>
    <s v="H19"/>
    <x v="1"/>
    <s v="H2111-15"/>
    <s v="Umeå"/>
    <s v="REGU"/>
    <m/>
    <m/>
    <n v="1"/>
    <x v="0"/>
    <m/>
    <m/>
    <n v="28"/>
    <n v="3.5"/>
    <n v="0.85"/>
    <n v="2.9750000000000001"/>
    <n v="2193"/>
    <x v="13"/>
    <s v="Sam"/>
    <x v="1"/>
    <n v="36229.199999999997"/>
    <n v="35006.800000000003"/>
    <n v="230947.43"/>
    <n v="6000"/>
    <n v="21000"/>
    <n v="251947.43"/>
    <n v="0"/>
    <n v="0"/>
    <n v="0"/>
    <n v="0"/>
    <n v="0"/>
    <n v="0"/>
    <n v="0.2"/>
    <n v="0"/>
    <n v="0"/>
    <n v="0"/>
    <n v="0"/>
    <n v="0.8"/>
    <s v="SP 210924"/>
    <m/>
    <n v="0"/>
    <n v="0"/>
    <n v="0"/>
    <n v="0"/>
    <n v="0"/>
    <n v="0"/>
    <n v="0"/>
    <n v="0"/>
    <n v="0"/>
    <n v="0"/>
    <n v="0"/>
    <n v="0"/>
    <n v="0.70000000000000007"/>
    <n v="0.59500000000000008"/>
    <n v="0"/>
    <n v="0"/>
    <n v="0"/>
    <n v="0"/>
    <n v="0"/>
    <n v="0"/>
    <n v="0"/>
    <n v="0"/>
    <n v="2.8000000000000003"/>
    <n v="2.3800000000000003"/>
  </r>
  <r>
    <x v="348"/>
    <x v="336"/>
    <m/>
    <x v="1"/>
    <s v="H21"/>
    <x v="1"/>
    <m/>
    <n v="2480"/>
    <s v="DIST"/>
    <s v="DIOB"/>
    <m/>
    <m/>
    <x v="0"/>
    <n v="-0.05"/>
    <n v="27"/>
    <n v="25.65"/>
    <n v="3.2062499999999998"/>
    <n v="0.85"/>
    <n v="2.7253124999999998"/>
    <n v="2193"/>
    <x v="13"/>
    <s v="Sam"/>
    <x v="1"/>
    <n v="36229.199999999997"/>
    <n v="35006.800000000003"/>
    <n v="211564.34212499997"/>
    <n v="6000"/>
    <n v="19237.5"/>
    <n v="230801.84212499997"/>
    <n v="0"/>
    <n v="0"/>
    <n v="0"/>
    <n v="0"/>
    <n v="0"/>
    <n v="0"/>
    <n v="0.2"/>
    <n v="0"/>
    <n v="0"/>
    <n v="0"/>
    <n v="0"/>
    <n v="0.8"/>
    <s v="Prognostal"/>
    <m/>
    <n v="0"/>
    <n v="0"/>
    <n v="0"/>
    <n v="0"/>
    <n v="0"/>
    <n v="0"/>
    <n v="0"/>
    <n v="0"/>
    <n v="0"/>
    <n v="0"/>
    <n v="0"/>
    <n v="0"/>
    <n v="0.64124999999999999"/>
    <n v="0.54506250000000001"/>
    <n v="0"/>
    <n v="0"/>
    <n v="0"/>
    <n v="0"/>
    <n v="0"/>
    <n v="0"/>
    <n v="0"/>
    <n v="0"/>
    <n v="2.5649999999999999"/>
    <n v="2.18025"/>
  </r>
  <r>
    <x v="349"/>
    <x v="337"/>
    <n v="64703"/>
    <x v="1"/>
    <m/>
    <x v="0"/>
    <m/>
    <s v="Umeå"/>
    <s v="Distans"/>
    <s v="DIST"/>
    <m/>
    <m/>
    <x v="0"/>
    <m/>
    <m/>
    <n v="22"/>
    <n v="2.75"/>
    <n v="0.85"/>
    <n v="2.3374999999999999"/>
    <n v="2180"/>
    <x v="12"/>
    <s v="Sam"/>
    <x v="1"/>
    <n v="20766"/>
    <n v="17442"/>
    <n v="97877.174999999988"/>
    <n v="6000"/>
    <n v="16500"/>
    <n v="114377.17499999999"/>
    <n v="0"/>
    <n v="0"/>
    <n v="0"/>
    <n v="0"/>
    <n v="0"/>
    <n v="0"/>
    <n v="1"/>
    <n v="0"/>
    <n v="0"/>
    <n v="0"/>
    <n v="0"/>
    <n v="0"/>
    <s v="Enl Fokus-Ladok 210601"/>
    <m/>
    <n v="0"/>
    <n v="0"/>
    <n v="0"/>
    <n v="0"/>
    <n v="0"/>
    <n v="0"/>
    <n v="0"/>
    <n v="0"/>
    <n v="0"/>
    <n v="0"/>
    <n v="0"/>
    <n v="0"/>
    <n v="2.75"/>
    <n v="2.3374999999999999"/>
    <n v="0"/>
    <n v="0"/>
    <n v="0"/>
    <n v="0"/>
    <n v="0"/>
    <n v="0"/>
    <n v="0"/>
    <n v="0"/>
    <n v="0"/>
    <n v="0"/>
  </r>
  <r>
    <x v="349"/>
    <x v="337"/>
    <n v="64700"/>
    <x v="1"/>
    <m/>
    <x v="0"/>
    <m/>
    <s v="Umeå"/>
    <s v="Normal"/>
    <s v="REGU"/>
    <m/>
    <m/>
    <x v="0"/>
    <m/>
    <m/>
    <n v="26"/>
    <n v="3.25"/>
    <n v="0.85"/>
    <n v="2.7624999999999997"/>
    <n v="2180"/>
    <x v="12"/>
    <s v="Sam"/>
    <x v="1"/>
    <n v="20766"/>
    <n v="17442"/>
    <n v="115673.02499999999"/>
    <n v="6000"/>
    <n v="19500"/>
    <n v="135173.02499999999"/>
    <n v="0"/>
    <n v="0"/>
    <n v="0"/>
    <n v="0"/>
    <n v="0"/>
    <n v="0"/>
    <n v="1"/>
    <n v="0"/>
    <n v="0"/>
    <n v="0"/>
    <n v="0"/>
    <n v="0"/>
    <s v="Enl Fokus-Ladok 210601"/>
    <m/>
    <n v="0"/>
    <n v="0"/>
    <n v="0"/>
    <n v="0"/>
    <n v="0"/>
    <n v="0"/>
    <n v="0"/>
    <n v="0"/>
    <n v="0"/>
    <n v="0"/>
    <n v="0"/>
    <n v="0"/>
    <n v="3.25"/>
    <n v="2.7624999999999997"/>
    <n v="0"/>
    <n v="0"/>
    <n v="0"/>
    <n v="0"/>
    <n v="0"/>
    <n v="0"/>
    <n v="0"/>
    <n v="0"/>
    <n v="0"/>
    <n v="0"/>
  </r>
  <r>
    <x v="350"/>
    <x v="338"/>
    <n v="69100"/>
    <x v="3"/>
    <m/>
    <x v="0"/>
    <m/>
    <s v="Umeå"/>
    <s v="Distans"/>
    <s v="DIOB"/>
    <m/>
    <m/>
    <x v="14"/>
    <m/>
    <m/>
    <n v="34"/>
    <n v="7.0830000000000002"/>
    <n v="0.85"/>
    <n v="6.0205500000000001"/>
    <n v="2193"/>
    <x v="13"/>
    <s v="Sam"/>
    <x v="3"/>
    <n v="20766"/>
    <n v="17442"/>
    <n v="252096.0111"/>
    <n v="6000"/>
    <n v="42498"/>
    <n v="294594.0111"/>
    <n v="0"/>
    <n v="0"/>
    <n v="0"/>
    <n v="0"/>
    <n v="0"/>
    <n v="0"/>
    <n v="1"/>
    <n v="0"/>
    <n v="0"/>
    <n v="0"/>
    <n v="0"/>
    <n v="0"/>
    <s v="Enl Fokus-Ladok 210601"/>
    <m/>
    <n v="0"/>
    <n v="0"/>
    <n v="0"/>
    <n v="0"/>
    <n v="0"/>
    <n v="0"/>
    <n v="0"/>
    <n v="0"/>
    <n v="0"/>
    <n v="0"/>
    <n v="0"/>
    <n v="0"/>
    <n v="7.0830000000000002"/>
    <n v="6.0205500000000001"/>
    <n v="0"/>
    <n v="0"/>
    <n v="0"/>
    <n v="0"/>
    <n v="0"/>
    <n v="0"/>
    <n v="0"/>
    <n v="0"/>
    <n v="0"/>
    <n v="0"/>
  </r>
  <r>
    <x v="351"/>
    <x v="339"/>
    <n v="69101"/>
    <x v="3"/>
    <m/>
    <x v="0"/>
    <m/>
    <s v="Umeå"/>
    <s v="Distans"/>
    <s v="DIOB"/>
    <m/>
    <m/>
    <x v="0"/>
    <m/>
    <m/>
    <n v="32"/>
    <n v="4"/>
    <n v="0.85"/>
    <n v="3.4"/>
    <n v="2193"/>
    <x v="13"/>
    <s v="Sam"/>
    <x v="3"/>
    <n v="20766"/>
    <n v="17442"/>
    <n v="142366.79999999999"/>
    <n v="6000"/>
    <n v="24000"/>
    <n v="166366.79999999999"/>
    <n v="0"/>
    <n v="0"/>
    <n v="0"/>
    <n v="0"/>
    <n v="0"/>
    <n v="0"/>
    <n v="1"/>
    <n v="0"/>
    <n v="0"/>
    <n v="0"/>
    <n v="0"/>
    <n v="0"/>
    <s v="Enl Fokus-Ladok 210601"/>
    <m/>
    <n v="0"/>
    <n v="0"/>
    <n v="0"/>
    <n v="0"/>
    <n v="0"/>
    <n v="0"/>
    <n v="0"/>
    <n v="0"/>
    <n v="0"/>
    <n v="0"/>
    <n v="0"/>
    <n v="0"/>
    <n v="4"/>
    <n v="3.4"/>
    <n v="0"/>
    <n v="0"/>
    <n v="0"/>
    <n v="0"/>
    <n v="0"/>
    <n v="0"/>
    <n v="0"/>
    <n v="0"/>
    <n v="0"/>
    <n v="0"/>
  </r>
  <r>
    <x v="352"/>
    <x v="340"/>
    <n v="69105"/>
    <x v="3"/>
    <m/>
    <x v="0"/>
    <m/>
    <s v="Umeå"/>
    <s v="Distans"/>
    <s v="DIOB"/>
    <m/>
    <m/>
    <x v="7"/>
    <m/>
    <m/>
    <n v="31"/>
    <n v="5.1669999999999998"/>
    <n v="0.85"/>
    <n v="4.3919499999999996"/>
    <n v="2193"/>
    <x v="13"/>
    <s v="Sam"/>
    <x v="3"/>
    <n v="20766"/>
    <n v="17442"/>
    <n v="183902.31389999998"/>
    <n v="6000"/>
    <n v="31002"/>
    <n v="214904.31389999998"/>
    <n v="0"/>
    <n v="0"/>
    <n v="0"/>
    <n v="0"/>
    <n v="0"/>
    <n v="0"/>
    <n v="1"/>
    <n v="0"/>
    <n v="0"/>
    <n v="0"/>
    <n v="0"/>
    <n v="0"/>
    <s v="Enl Fokus-Ladok 210601"/>
    <m/>
    <n v="0"/>
    <n v="0"/>
    <n v="0"/>
    <n v="0"/>
    <n v="0"/>
    <n v="0"/>
    <n v="0"/>
    <n v="0"/>
    <n v="0"/>
    <n v="0"/>
    <n v="0"/>
    <n v="0"/>
    <n v="5.1669999999999998"/>
    <n v="4.3919499999999996"/>
    <n v="0"/>
    <n v="0"/>
    <n v="0"/>
    <n v="0"/>
    <n v="0"/>
    <n v="0"/>
    <n v="0"/>
    <n v="0"/>
    <n v="0"/>
    <n v="0"/>
  </r>
  <r>
    <x v="353"/>
    <x v="341"/>
    <n v="64705"/>
    <x v="1"/>
    <m/>
    <x v="0"/>
    <m/>
    <s v="Umeå"/>
    <s v="Distans"/>
    <s v="DIST"/>
    <m/>
    <m/>
    <x v="0"/>
    <m/>
    <m/>
    <n v="18"/>
    <n v="2.25"/>
    <n v="0.85"/>
    <n v="1.9124999999999999"/>
    <n v="2180"/>
    <x v="12"/>
    <s v="Sam"/>
    <x v="1"/>
    <n v="20766"/>
    <n v="17442"/>
    <n v="80081.324999999997"/>
    <n v="6000"/>
    <n v="13500"/>
    <n v="93581.324999999997"/>
    <n v="0"/>
    <n v="0"/>
    <n v="0"/>
    <n v="0"/>
    <n v="0"/>
    <n v="0"/>
    <n v="1"/>
    <n v="0"/>
    <n v="0"/>
    <n v="0"/>
    <n v="0"/>
    <n v="0"/>
    <s v="Enl Fokus-Ladok 210601"/>
    <m/>
    <n v="0"/>
    <n v="0"/>
    <n v="0"/>
    <n v="0"/>
    <n v="0"/>
    <n v="0"/>
    <n v="0"/>
    <n v="0"/>
    <n v="0"/>
    <n v="0"/>
    <n v="0"/>
    <n v="0"/>
    <n v="2.25"/>
    <n v="1.9124999999999999"/>
    <n v="0"/>
    <n v="0"/>
    <n v="0"/>
    <n v="0"/>
    <n v="0"/>
    <n v="0"/>
    <n v="0"/>
    <n v="0"/>
    <n v="0"/>
    <n v="0"/>
  </r>
  <r>
    <x v="353"/>
    <x v="341"/>
    <n v="64701"/>
    <x v="1"/>
    <m/>
    <x v="0"/>
    <m/>
    <s v="Umeå"/>
    <s v="Normal"/>
    <s v="REGU"/>
    <m/>
    <m/>
    <x v="0"/>
    <m/>
    <m/>
    <n v="30"/>
    <n v="3.75"/>
    <n v="0.85"/>
    <n v="3.1875"/>
    <n v="2180"/>
    <x v="12"/>
    <s v="Sam"/>
    <x v="1"/>
    <n v="20766"/>
    <n v="17442"/>
    <n v="133468.875"/>
    <n v="6000"/>
    <n v="22500"/>
    <n v="155968.875"/>
    <n v="0"/>
    <n v="0"/>
    <n v="0"/>
    <n v="0"/>
    <n v="0"/>
    <n v="0"/>
    <n v="1"/>
    <n v="0"/>
    <n v="0"/>
    <n v="0"/>
    <n v="0"/>
    <n v="0"/>
    <s v="Enl Fokus-Ladok 210601"/>
    <m/>
    <n v="0"/>
    <n v="0"/>
    <n v="0"/>
    <n v="0"/>
    <n v="0"/>
    <n v="0"/>
    <n v="0"/>
    <n v="0"/>
    <n v="0"/>
    <n v="0"/>
    <n v="0"/>
    <n v="0"/>
    <n v="3.75"/>
    <n v="3.1875"/>
    <n v="0"/>
    <n v="0"/>
    <n v="0"/>
    <n v="0"/>
    <n v="0"/>
    <n v="0"/>
    <n v="0"/>
    <n v="0"/>
    <n v="0"/>
    <n v="0"/>
  </r>
  <r>
    <x v="354"/>
    <x v="342"/>
    <m/>
    <x v="1"/>
    <s v="H19"/>
    <x v="1"/>
    <s v="H219-20"/>
    <s v="Umeå"/>
    <s v="DIST"/>
    <m/>
    <m/>
    <n v="1"/>
    <x v="15"/>
    <m/>
    <m/>
    <n v="1"/>
    <n v="0.33333333333333331"/>
    <n v="0.85"/>
    <n v="0.28333333333333333"/>
    <n v="2193"/>
    <x v="13"/>
    <s v="Sam"/>
    <x v="1"/>
    <n v="29464.050000000003"/>
    <n v="27322.200000000004"/>
    <n v="17562.64"/>
    <n v="6000"/>
    <n v="2000"/>
    <n v="19562.64"/>
    <n v="0"/>
    <n v="0"/>
    <n v="0"/>
    <n v="0"/>
    <n v="0"/>
    <n v="0"/>
    <n v="0.55000000000000004"/>
    <n v="0"/>
    <n v="0"/>
    <n v="0"/>
    <n v="0"/>
    <n v="0.45"/>
    <s v="SP 210924"/>
    <m/>
    <n v="0"/>
    <n v="0"/>
    <n v="0"/>
    <n v="0"/>
    <n v="0"/>
    <n v="0"/>
    <n v="0"/>
    <n v="0"/>
    <n v="0"/>
    <n v="0"/>
    <n v="0"/>
    <n v="0"/>
    <n v="0.18333333333333335"/>
    <n v="0.15583333333333335"/>
    <n v="0"/>
    <n v="0"/>
    <n v="0"/>
    <n v="0"/>
    <n v="0"/>
    <n v="0"/>
    <n v="0"/>
    <n v="0"/>
    <n v="0.15"/>
    <n v="0.1275"/>
  </r>
  <r>
    <x v="354"/>
    <x v="342"/>
    <m/>
    <x v="1"/>
    <s v="H20"/>
    <x v="1"/>
    <s v="H219-20"/>
    <s v="Umeå"/>
    <s v="DIST"/>
    <m/>
    <m/>
    <n v="1"/>
    <x v="15"/>
    <m/>
    <m/>
    <n v="21"/>
    <n v="7"/>
    <n v="0.85"/>
    <n v="5.95"/>
    <n v="2193"/>
    <x v="13"/>
    <s v="Sam"/>
    <x v="1"/>
    <n v="29464.050000000003"/>
    <n v="27322.200000000004"/>
    <n v="368815.44000000006"/>
    <n v="6000"/>
    <n v="42000"/>
    <n v="410815.44000000006"/>
    <n v="0"/>
    <n v="0"/>
    <n v="0"/>
    <n v="0"/>
    <n v="0"/>
    <n v="0"/>
    <n v="0.55000000000000004"/>
    <n v="0"/>
    <n v="0"/>
    <n v="0"/>
    <n v="0"/>
    <n v="0.45"/>
    <s v="SP 210924"/>
    <m/>
    <n v="0"/>
    <n v="0"/>
    <n v="0"/>
    <n v="0"/>
    <n v="0"/>
    <n v="0"/>
    <n v="0"/>
    <n v="0"/>
    <n v="0"/>
    <n v="0"/>
    <n v="0"/>
    <n v="0"/>
    <n v="3.8500000000000005"/>
    <n v="3.2725000000000004"/>
    <n v="0"/>
    <n v="0"/>
    <n v="0"/>
    <n v="0"/>
    <n v="0"/>
    <n v="0"/>
    <n v="0"/>
    <n v="0"/>
    <n v="3.15"/>
    <n v="2.6775000000000002"/>
  </r>
  <r>
    <x v="354"/>
    <x v="342"/>
    <m/>
    <x v="1"/>
    <s v="H20"/>
    <x v="1"/>
    <s v="H219-20"/>
    <s v="Umeå"/>
    <s v="REGU"/>
    <m/>
    <m/>
    <n v="1"/>
    <x v="15"/>
    <m/>
    <m/>
    <n v="21"/>
    <n v="7"/>
    <n v="0.85"/>
    <n v="5.95"/>
    <n v="2193"/>
    <x v="13"/>
    <s v="Sam"/>
    <x v="1"/>
    <n v="29464.050000000003"/>
    <n v="27322.200000000004"/>
    <n v="368815.44000000006"/>
    <n v="6000"/>
    <n v="42000"/>
    <n v="410815.44000000006"/>
    <n v="0"/>
    <n v="0"/>
    <n v="0"/>
    <n v="0"/>
    <n v="0"/>
    <n v="0"/>
    <n v="0.55000000000000004"/>
    <n v="0"/>
    <n v="0"/>
    <n v="0"/>
    <n v="0"/>
    <n v="0.45"/>
    <s v="SP 210924"/>
    <m/>
    <n v="0"/>
    <n v="0"/>
    <n v="0"/>
    <n v="0"/>
    <n v="0"/>
    <n v="0"/>
    <n v="0"/>
    <n v="0"/>
    <n v="0"/>
    <n v="0"/>
    <n v="0"/>
    <n v="0"/>
    <n v="3.8500000000000005"/>
    <n v="3.2725000000000004"/>
    <n v="0"/>
    <n v="0"/>
    <n v="0"/>
    <n v="0"/>
    <n v="0"/>
    <n v="0"/>
    <n v="0"/>
    <n v="0"/>
    <n v="3.15"/>
    <n v="2.6775000000000002"/>
  </r>
  <r>
    <x v="354"/>
    <x v="342"/>
    <m/>
    <x v="1"/>
    <s v="V20"/>
    <x v="1"/>
    <s v="H219-20"/>
    <s v="Umeå"/>
    <s v="REGU"/>
    <m/>
    <m/>
    <n v="1"/>
    <x v="15"/>
    <m/>
    <m/>
    <n v="1"/>
    <n v="0.33333333333333331"/>
    <n v="0.85"/>
    <n v="0.28333333333333333"/>
    <n v="2193"/>
    <x v="13"/>
    <s v="Sam"/>
    <x v="1"/>
    <n v="29464.050000000003"/>
    <n v="27322.200000000004"/>
    <n v="17562.64"/>
    <n v="6000"/>
    <n v="2000"/>
    <n v="19562.64"/>
    <n v="0"/>
    <n v="0"/>
    <n v="0"/>
    <n v="0"/>
    <n v="0"/>
    <n v="0"/>
    <n v="0.55000000000000004"/>
    <n v="0"/>
    <n v="0"/>
    <n v="0"/>
    <n v="0"/>
    <n v="0.45"/>
    <s v="SP 210924"/>
    <m/>
    <n v="0"/>
    <n v="0"/>
    <n v="0"/>
    <n v="0"/>
    <n v="0"/>
    <n v="0"/>
    <n v="0"/>
    <n v="0"/>
    <n v="0"/>
    <n v="0"/>
    <n v="0"/>
    <n v="0"/>
    <n v="0.18333333333333335"/>
    <n v="0.15583333333333335"/>
    <n v="0"/>
    <n v="0"/>
    <n v="0"/>
    <n v="0"/>
    <n v="0"/>
    <n v="0"/>
    <n v="0"/>
    <n v="0"/>
    <n v="0.15"/>
    <n v="0.1275"/>
  </r>
  <r>
    <x v="355"/>
    <x v="343"/>
    <m/>
    <x v="1"/>
    <s v="H20"/>
    <x v="1"/>
    <s v="H211-5"/>
    <s v="Umeå"/>
    <s v="DIST"/>
    <m/>
    <m/>
    <n v="1"/>
    <x v="6"/>
    <m/>
    <m/>
    <n v="21"/>
    <n v="1.75"/>
    <n v="0.85"/>
    <n v="1.4875"/>
    <n v="2193"/>
    <x v="13"/>
    <s v="Sam"/>
    <x v="1"/>
    <n v="20766"/>
    <n v="17442"/>
    <n v="62285.475000000006"/>
    <n v="6000"/>
    <n v="10500"/>
    <n v="72785.475000000006"/>
    <n v="0"/>
    <n v="0"/>
    <n v="0"/>
    <n v="0"/>
    <n v="0"/>
    <n v="0"/>
    <n v="1"/>
    <n v="0"/>
    <n v="0"/>
    <n v="0"/>
    <n v="0"/>
    <n v="0"/>
    <s v="SP 210924"/>
    <m/>
    <n v="0"/>
    <n v="0"/>
    <n v="0"/>
    <n v="0"/>
    <n v="0"/>
    <n v="0"/>
    <n v="0"/>
    <n v="0"/>
    <n v="0"/>
    <n v="0"/>
    <n v="0"/>
    <n v="0"/>
    <n v="1.75"/>
    <n v="1.4875"/>
    <n v="0"/>
    <n v="0"/>
    <n v="0"/>
    <n v="0"/>
    <n v="0"/>
    <n v="0"/>
    <n v="0"/>
    <n v="0"/>
    <n v="0"/>
    <n v="0"/>
  </r>
  <r>
    <x v="355"/>
    <x v="343"/>
    <m/>
    <x v="1"/>
    <s v="H20"/>
    <x v="1"/>
    <s v="H211-5"/>
    <s v="Umeå"/>
    <s v="REGU"/>
    <m/>
    <m/>
    <n v="1"/>
    <x v="6"/>
    <m/>
    <m/>
    <n v="21"/>
    <n v="1.75"/>
    <n v="0.85"/>
    <n v="1.4875"/>
    <n v="2193"/>
    <x v="13"/>
    <s v="Sam"/>
    <x v="1"/>
    <n v="20766"/>
    <n v="17442"/>
    <n v="62285.475000000006"/>
    <n v="6000"/>
    <n v="10500"/>
    <n v="72785.475000000006"/>
    <n v="0"/>
    <n v="0"/>
    <n v="0"/>
    <n v="0"/>
    <n v="0"/>
    <n v="0"/>
    <n v="1"/>
    <n v="0"/>
    <n v="0"/>
    <n v="0"/>
    <n v="0"/>
    <n v="0"/>
    <s v="SP 210924"/>
    <m/>
    <n v="0"/>
    <n v="0"/>
    <n v="0"/>
    <n v="0"/>
    <n v="0"/>
    <n v="0"/>
    <n v="0"/>
    <n v="0"/>
    <n v="0"/>
    <n v="0"/>
    <n v="0"/>
    <n v="0"/>
    <n v="1.75"/>
    <n v="1.4875"/>
    <n v="0"/>
    <n v="0"/>
    <n v="0"/>
    <n v="0"/>
    <n v="0"/>
    <n v="0"/>
    <n v="0"/>
    <n v="0"/>
    <n v="0"/>
    <n v="0"/>
  </r>
  <r>
    <x v="355"/>
    <x v="343"/>
    <m/>
    <x v="1"/>
    <s v="V20"/>
    <x v="1"/>
    <s v="H211-5"/>
    <s v="Umeå"/>
    <s v="REGU"/>
    <m/>
    <m/>
    <n v="1"/>
    <x v="6"/>
    <m/>
    <m/>
    <n v="1"/>
    <n v="8.3333333333333329E-2"/>
    <n v="0.85"/>
    <n v="7.0833333333333331E-2"/>
    <n v="2193"/>
    <x v="13"/>
    <s v="Sam"/>
    <x v="1"/>
    <n v="20766"/>
    <n v="17442"/>
    <n v="2965.9749999999999"/>
    <n v="6000"/>
    <n v="500"/>
    <n v="3465.9749999999999"/>
    <n v="0"/>
    <n v="0"/>
    <n v="0"/>
    <n v="0"/>
    <n v="0"/>
    <n v="0"/>
    <n v="1"/>
    <n v="0"/>
    <n v="0"/>
    <n v="0"/>
    <n v="0"/>
    <n v="0"/>
    <s v="SP 210924"/>
    <m/>
    <n v="0"/>
    <n v="0"/>
    <n v="0"/>
    <n v="0"/>
    <n v="0"/>
    <n v="0"/>
    <n v="0"/>
    <n v="0"/>
    <n v="0"/>
    <n v="0"/>
    <n v="0"/>
    <n v="0"/>
    <n v="8.3333333333333329E-2"/>
    <n v="7.0833333333333331E-2"/>
    <n v="0"/>
    <n v="0"/>
    <n v="0"/>
    <n v="0"/>
    <n v="0"/>
    <n v="0"/>
    <n v="0"/>
    <n v="0"/>
    <n v="0"/>
    <n v="0"/>
  </r>
  <r>
    <x v="356"/>
    <x v="344"/>
    <m/>
    <x v="1"/>
    <s v="H20"/>
    <x v="1"/>
    <s v="H216-10"/>
    <s v="Umeå"/>
    <s v="DIST"/>
    <m/>
    <m/>
    <n v="1"/>
    <x v="6"/>
    <m/>
    <m/>
    <n v="20"/>
    <n v="1.6666666666666665"/>
    <n v="0.85"/>
    <n v="1.4166666666666665"/>
    <n v="2193"/>
    <x v="13"/>
    <s v="Sam"/>
    <x v="1"/>
    <n v="20766"/>
    <n v="17442"/>
    <n v="59319.5"/>
    <n v="6000"/>
    <n v="10000"/>
    <n v="69319.5"/>
    <n v="0"/>
    <n v="0"/>
    <n v="0"/>
    <n v="0"/>
    <n v="0"/>
    <n v="0"/>
    <n v="1"/>
    <n v="0"/>
    <n v="0"/>
    <n v="0"/>
    <n v="0"/>
    <n v="0"/>
    <s v="SP 210924"/>
    <m/>
    <n v="0"/>
    <n v="0"/>
    <n v="0"/>
    <n v="0"/>
    <n v="0"/>
    <n v="0"/>
    <n v="0"/>
    <n v="0"/>
    <n v="0"/>
    <n v="0"/>
    <n v="0"/>
    <n v="0"/>
    <n v="1.6666666666666665"/>
    <n v="1.4166666666666665"/>
    <n v="0"/>
    <n v="0"/>
    <n v="0"/>
    <n v="0"/>
    <n v="0"/>
    <n v="0"/>
    <n v="0"/>
    <n v="0"/>
    <n v="0"/>
    <n v="0"/>
  </r>
  <r>
    <x v="356"/>
    <x v="344"/>
    <m/>
    <x v="1"/>
    <s v="H20"/>
    <x v="1"/>
    <s v="H216-10"/>
    <s v="Umeå"/>
    <s v="REGU"/>
    <m/>
    <m/>
    <n v="1"/>
    <x v="6"/>
    <m/>
    <m/>
    <n v="21"/>
    <n v="1.75"/>
    <n v="0.85"/>
    <n v="1.4875"/>
    <n v="2193"/>
    <x v="13"/>
    <s v="Sam"/>
    <x v="1"/>
    <n v="20766"/>
    <n v="17442"/>
    <n v="62285.475000000006"/>
    <n v="6000"/>
    <n v="10500"/>
    <n v="72785.475000000006"/>
    <n v="0"/>
    <n v="0"/>
    <n v="0"/>
    <n v="0"/>
    <n v="0"/>
    <n v="0"/>
    <n v="1"/>
    <n v="0"/>
    <n v="0"/>
    <n v="0"/>
    <n v="0"/>
    <n v="0"/>
    <s v="SP 210924"/>
    <m/>
    <n v="0"/>
    <n v="0"/>
    <n v="0"/>
    <n v="0"/>
    <n v="0"/>
    <n v="0"/>
    <n v="0"/>
    <n v="0"/>
    <n v="0"/>
    <n v="0"/>
    <n v="0"/>
    <n v="0"/>
    <n v="1.75"/>
    <n v="1.4875"/>
    <n v="0"/>
    <n v="0"/>
    <n v="0"/>
    <n v="0"/>
    <n v="0"/>
    <n v="0"/>
    <n v="0"/>
    <n v="0"/>
    <n v="0"/>
    <n v="0"/>
  </r>
  <r>
    <x v="356"/>
    <x v="344"/>
    <m/>
    <x v="1"/>
    <s v="V20"/>
    <x v="1"/>
    <s v="H216-10"/>
    <s v="Umeå"/>
    <s v="REGU"/>
    <m/>
    <m/>
    <n v="1"/>
    <x v="6"/>
    <m/>
    <m/>
    <n v="1"/>
    <n v="8.3333333333333329E-2"/>
    <n v="0.85"/>
    <n v="7.0833333333333331E-2"/>
    <n v="2193"/>
    <x v="13"/>
    <s v="Sam"/>
    <x v="1"/>
    <n v="20766"/>
    <n v="17442"/>
    <n v="2965.9749999999999"/>
    <n v="6000"/>
    <n v="500"/>
    <n v="3465.9749999999999"/>
    <n v="0"/>
    <n v="0"/>
    <n v="0"/>
    <n v="0"/>
    <n v="0"/>
    <n v="0"/>
    <n v="1"/>
    <n v="0"/>
    <n v="0"/>
    <n v="0"/>
    <n v="0"/>
    <n v="0"/>
    <s v="SP 210924"/>
    <m/>
    <n v="0"/>
    <n v="0"/>
    <n v="0"/>
    <n v="0"/>
    <n v="0"/>
    <n v="0"/>
    <n v="0"/>
    <n v="0"/>
    <n v="0"/>
    <n v="0"/>
    <n v="0"/>
    <n v="0"/>
    <n v="8.3333333333333329E-2"/>
    <n v="7.0833333333333331E-2"/>
    <n v="0"/>
    <n v="0"/>
    <n v="0"/>
    <n v="0"/>
    <n v="0"/>
    <n v="0"/>
    <n v="0"/>
    <n v="0"/>
    <n v="0"/>
    <n v="0"/>
  </r>
  <r>
    <x v="357"/>
    <x v="345"/>
    <m/>
    <x v="3"/>
    <m/>
    <x v="1"/>
    <m/>
    <m/>
    <s v="Distans"/>
    <m/>
    <m/>
    <n v="0.5"/>
    <x v="1"/>
    <m/>
    <m/>
    <n v="32"/>
    <n v="8"/>
    <n v="0.8"/>
    <n v="6.4"/>
    <n v="1650"/>
    <x v="9"/>
    <s v="Hum"/>
    <x v="3"/>
    <n v="20757"/>
    <n v="36082"/>
    <n v="396980.80000000005"/>
    <n v="22600"/>
    <n v="180800"/>
    <n v="577780.80000000005"/>
    <n v="0"/>
    <n v="0"/>
    <n v="0"/>
    <n v="0"/>
    <n v="0"/>
    <n v="0"/>
    <n v="0"/>
    <n v="1"/>
    <n v="0"/>
    <n v="0"/>
    <n v="0"/>
    <n v="0"/>
    <s v="Äskat/Beslutat 200611 p.39"/>
    <m/>
    <n v="0"/>
    <n v="0"/>
    <n v="0"/>
    <n v="0"/>
    <n v="0"/>
    <n v="0"/>
    <n v="0"/>
    <n v="0"/>
    <n v="0"/>
    <n v="0"/>
    <n v="0"/>
    <n v="0"/>
    <n v="0"/>
    <n v="0"/>
    <n v="8"/>
    <n v="6.4"/>
    <n v="0"/>
    <n v="0"/>
    <n v="0"/>
    <n v="0"/>
    <n v="0"/>
    <n v="0"/>
    <n v="0"/>
    <n v="0"/>
  </r>
  <r>
    <x v="358"/>
    <x v="346"/>
    <n v="67304"/>
    <x v="3"/>
    <m/>
    <x v="0"/>
    <m/>
    <s v="Umeå"/>
    <s v="Distans"/>
    <m/>
    <m/>
    <m/>
    <x v="1"/>
    <m/>
    <m/>
    <n v="15"/>
    <n v="3.75"/>
    <n v="0.8"/>
    <n v="3"/>
    <n v="1650"/>
    <x v="9"/>
    <s v="Hum"/>
    <x v="3"/>
    <n v="20757"/>
    <n v="36082"/>
    <n v="186084.75"/>
    <n v="22600"/>
    <n v="84750"/>
    <n v="270834.75"/>
    <n v="0"/>
    <n v="0"/>
    <n v="0"/>
    <n v="0"/>
    <n v="0"/>
    <n v="0"/>
    <n v="0"/>
    <n v="1"/>
    <n v="0"/>
    <n v="0"/>
    <n v="0"/>
    <n v="0"/>
    <s v="Enl Fokus-Ladok 210601"/>
    <m/>
    <n v="0"/>
    <n v="0"/>
    <n v="0"/>
    <n v="0"/>
    <n v="0"/>
    <n v="0"/>
    <n v="0"/>
    <n v="0"/>
    <n v="0"/>
    <n v="0"/>
    <n v="0"/>
    <n v="0"/>
    <n v="0"/>
    <n v="0"/>
    <n v="3.75"/>
    <n v="3"/>
    <n v="0"/>
    <n v="0"/>
    <n v="0"/>
    <n v="0"/>
    <n v="0"/>
    <n v="0"/>
    <n v="0"/>
    <n v="0"/>
  </r>
  <r>
    <x v="359"/>
    <x v="347"/>
    <n v="67201"/>
    <x v="3"/>
    <m/>
    <x v="0"/>
    <m/>
    <s v="Umeå"/>
    <s v="Distans"/>
    <m/>
    <m/>
    <m/>
    <x v="1"/>
    <m/>
    <m/>
    <n v="16"/>
    <n v="4"/>
    <n v="0.8"/>
    <n v="3.2"/>
    <n v="1650"/>
    <x v="9"/>
    <s v="Hum"/>
    <x v="3"/>
    <n v="20757"/>
    <n v="36082"/>
    <n v="198490.40000000002"/>
    <n v="22600"/>
    <n v="90400"/>
    <n v="288890.40000000002"/>
    <n v="0"/>
    <n v="0"/>
    <n v="0"/>
    <n v="0"/>
    <n v="0"/>
    <n v="0"/>
    <n v="0"/>
    <n v="1"/>
    <n v="0"/>
    <n v="0"/>
    <n v="0"/>
    <n v="0"/>
    <s v="Enl Fokus-Ladok 210601"/>
    <s v="Läser 15 av 30 hp denna termin"/>
    <n v="0"/>
    <n v="0"/>
    <n v="0"/>
    <n v="0"/>
    <n v="0"/>
    <n v="0"/>
    <n v="0"/>
    <n v="0"/>
    <n v="0"/>
    <n v="0"/>
    <n v="0"/>
    <n v="0"/>
    <n v="0"/>
    <n v="0"/>
    <n v="4"/>
    <n v="3.2"/>
    <n v="0"/>
    <n v="0"/>
    <n v="0"/>
    <n v="0"/>
    <n v="0"/>
    <n v="0"/>
    <n v="0"/>
    <n v="0"/>
  </r>
  <r>
    <x v="359"/>
    <x v="347"/>
    <m/>
    <x v="3"/>
    <m/>
    <x v="1"/>
    <m/>
    <m/>
    <s v="Distans"/>
    <m/>
    <m/>
    <n v="0.5"/>
    <x v="1"/>
    <m/>
    <m/>
    <n v="16"/>
    <n v="4"/>
    <n v="0.8"/>
    <n v="3.2"/>
    <n v="1650"/>
    <x v="9"/>
    <s v="Hum"/>
    <x v="3"/>
    <n v="20757"/>
    <n v="36082"/>
    <n v="198490.40000000002"/>
    <n v="22600"/>
    <n v="90400"/>
    <n v="288890.40000000002"/>
    <n v="0"/>
    <n v="0"/>
    <n v="0"/>
    <n v="0"/>
    <n v="0"/>
    <n v="0"/>
    <n v="0"/>
    <n v="1"/>
    <n v="0"/>
    <n v="0"/>
    <n v="0"/>
    <n v="0"/>
    <s v="Äskat/Beslutat 200611 p.39"/>
    <s v="Läser 15 av 30 hp denna termin"/>
    <n v="0"/>
    <n v="0"/>
    <n v="0"/>
    <n v="0"/>
    <n v="0"/>
    <n v="0"/>
    <n v="0"/>
    <n v="0"/>
    <n v="0"/>
    <n v="0"/>
    <n v="0"/>
    <n v="0"/>
    <n v="0"/>
    <n v="0"/>
    <n v="4"/>
    <n v="3.2"/>
    <n v="0"/>
    <n v="0"/>
    <n v="0"/>
    <n v="0"/>
    <n v="0"/>
    <n v="0"/>
    <n v="0"/>
    <n v="0"/>
  </r>
  <r>
    <x v="360"/>
    <x v="348"/>
    <n v="67204"/>
    <x v="3"/>
    <m/>
    <x v="0"/>
    <m/>
    <s v="Umeå"/>
    <s v="Distans"/>
    <m/>
    <m/>
    <m/>
    <x v="1"/>
    <m/>
    <m/>
    <n v="31"/>
    <n v="7.75"/>
    <n v="0.8"/>
    <n v="6.2"/>
    <n v="1650"/>
    <x v="9"/>
    <s v="Hum"/>
    <x v="3"/>
    <n v="20757"/>
    <n v="36082"/>
    <n v="384575.15"/>
    <n v="22600"/>
    <n v="175150"/>
    <n v="559725.15"/>
    <n v="0"/>
    <n v="0"/>
    <n v="0"/>
    <n v="0"/>
    <n v="0"/>
    <n v="0"/>
    <n v="0"/>
    <n v="1"/>
    <n v="0"/>
    <n v="0"/>
    <n v="0"/>
    <n v="0"/>
    <s v="Enl Fokus-Ladok 210601"/>
    <s v="Läser 15 av 30 hp denna termin"/>
    <n v="0"/>
    <n v="0"/>
    <n v="0"/>
    <n v="0"/>
    <n v="0"/>
    <n v="0"/>
    <n v="0"/>
    <n v="0"/>
    <n v="0"/>
    <n v="0"/>
    <n v="0"/>
    <n v="0"/>
    <n v="0"/>
    <n v="0"/>
    <n v="7.75"/>
    <n v="6.2"/>
    <n v="0"/>
    <n v="0"/>
    <n v="0"/>
    <n v="0"/>
    <n v="0"/>
    <n v="0"/>
    <n v="0"/>
    <n v="0"/>
  </r>
  <r>
    <x v="360"/>
    <x v="348"/>
    <n v="67301"/>
    <x v="3"/>
    <m/>
    <x v="0"/>
    <m/>
    <s v="Umeå"/>
    <s v="Distans"/>
    <m/>
    <m/>
    <m/>
    <x v="3"/>
    <m/>
    <m/>
    <n v="17"/>
    <n v="8.5"/>
    <n v="0.8"/>
    <n v="6.8000000000000007"/>
    <n v="1650"/>
    <x v="9"/>
    <s v="Hum"/>
    <x v="3"/>
    <n v="20757"/>
    <n v="36082"/>
    <n v="421792.10000000003"/>
    <n v="22600"/>
    <n v="192100"/>
    <n v="613892.10000000009"/>
    <n v="0"/>
    <n v="0"/>
    <n v="0"/>
    <n v="0"/>
    <n v="0"/>
    <n v="0"/>
    <n v="0"/>
    <n v="1"/>
    <n v="0"/>
    <n v="0"/>
    <n v="0"/>
    <n v="0"/>
    <s v="Enl Fokus-Ladok 210601"/>
    <m/>
    <n v="0"/>
    <n v="0"/>
    <n v="0"/>
    <n v="0"/>
    <n v="0"/>
    <n v="0"/>
    <n v="0"/>
    <n v="0"/>
    <n v="0"/>
    <n v="0"/>
    <n v="0"/>
    <n v="0"/>
    <n v="0"/>
    <n v="0"/>
    <n v="8.5"/>
    <n v="6.8000000000000007"/>
    <n v="0"/>
    <n v="0"/>
    <n v="0"/>
    <n v="0"/>
    <n v="0"/>
    <n v="0"/>
    <n v="0"/>
    <n v="0"/>
  </r>
  <r>
    <x v="360"/>
    <x v="348"/>
    <m/>
    <x v="3"/>
    <m/>
    <x v="1"/>
    <m/>
    <m/>
    <s v="Distans"/>
    <m/>
    <m/>
    <n v="0.5"/>
    <x v="1"/>
    <m/>
    <m/>
    <n v="34"/>
    <n v="8.5"/>
    <n v="0.8"/>
    <n v="6.8000000000000007"/>
    <n v="1650"/>
    <x v="9"/>
    <s v="Hum"/>
    <x v="3"/>
    <n v="20757"/>
    <n v="36082"/>
    <n v="421792.10000000003"/>
    <n v="22600"/>
    <n v="192100"/>
    <n v="613892.10000000009"/>
    <n v="0"/>
    <n v="0"/>
    <n v="0"/>
    <n v="0"/>
    <n v="0"/>
    <n v="0"/>
    <n v="0"/>
    <n v="1"/>
    <n v="0"/>
    <n v="0"/>
    <n v="0"/>
    <n v="0"/>
    <s v="Äskat/Beslutat 200611 p.39"/>
    <s v="Läser 15 av 30 hp denna termin"/>
    <n v="0"/>
    <n v="0"/>
    <n v="0"/>
    <n v="0"/>
    <n v="0"/>
    <n v="0"/>
    <n v="0"/>
    <n v="0"/>
    <n v="0"/>
    <n v="0"/>
    <n v="0"/>
    <n v="0"/>
    <n v="0"/>
    <n v="0"/>
    <n v="8.5"/>
    <n v="6.8000000000000007"/>
    <n v="0"/>
    <n v="0"/>
    <n v="0"/>
    <n v="0"/>
    <n v="0"/>
    <n v="0"/>
    <n v="0"/>
    <n v="0"/>
  </r>
  <r>
    <x v="360"/>
    <x v="348"/>
    <n v="67204"/>
    <x v="9"/>
    <m/>
    <x v="0"/>
    <m/>
    <s v="Umeå"/>
    <s v="Distans"/>
    <s v="UVV3"/>
    <m/>
    <m/>
    <x v="1"/>
    <m/>
    <m/>
    <n v="1"/>
    <n v="0.25"/>
    <n v="0.85"/>
    <n v="0.21249999999999999"/>
    <n v="1650"/>
    <x v="9"/>
    <s v="Hum"/>
    <x v="9"/>
    <n v="20757"/>
    <n v="36082"/>
    <n v="12856.674999999999"/>
    <n v="22600"/>
    <n v="5650"/>
    <n v="18506.674999999999"/>
    <n v="0"/>
    <n v="0"/>
    <n v="0"/>
    <n v="0"/>
    <n v="0"/>
    <n v="0"/>
    <n v="0"/>
    <n v="1"/>
    <n v="0"/>
    <n v="0"/>
    <n v="0"/>
    <n v="0"/>
    <s v="Enl Fokus-Ladok 210601"/>
    <s v="Läser 15 av 30 hp denna termin"/>
    <n v="0"/>
    <n v="0"/>
    <n v="0"/>
    <n v="0"/>
    <n v="0"/>
    <n v="0"/>
    <n v="0"/>
    <n v="0"/>
    <n v="0"/>
    <n v="0"/>
    <n v="0"/>
    <n v="0"/>
    <n v="0"/>
    <n v="0"/>
    <n v="0.25"/>
    <n v="0.21249999999999999"/>
    <n v="0"/>
    <n v="0"/>
    <n v="0"/>
    <n v="0"/>
    <n v="0"/>
    <n v="0"/>
    <n v="0"/>
    <n v="0"/>
  </r>
  <r>
    <x v="361"/>
    <x v="349"/>
    <n v="67300"/>
    <x v="3"/>
    <m/>
    <x v="0"/>
    <m/>
    <s v="Umeå"/>
    <s v="Distans"/>
    <m/>
    <m/>
    <m/>
    <x v="1"/>
    <m/>
    <m/>
    <n v="10"/>
    <n v="2.5"/>
    <n v="0.8"/>
    <n v="2"/>
    <n v="1650"/>
    <x v="9"/>
    <s v="Hum"/>
    <x v="3"/>
    <n v="20766"/>
    <n v="17442"/>
    <n v="86799"/>
    <n v="6000"/>
    <n v="15000"/>
    <n v="101799"/>
    <n v="0"/>
    <n v="1"/>
    <n v="0"/>
    <n v="0"/>
    <n v="0"/>
    <n v="0"/>
    <n v="0"/>
    <n v="0"/>
    <n v="0"/>
    <n v="0"/>
    <n v="0"/>
    <n v="0"/>
    <s v="Enl Fokus-Ladok 210601"/>
    <m/>
    <n v="0"/>
    <n v="0"/>
    <n v="2.5"/>
    <n v="2"/>
    <n v="0"/>
    <n v="0"/>
    <n v="0"/>
    <n v="0"/>
    <n v="0"/>
    <n v="0"/>
    <n v="0"/>
    <n v="0"/>
    <n v="0"/>
    <n v="0"/>
    <n v="0"/>
    <n v="0"/>
    <n v="0"/>
    <n v="0"/>
    <n v="0"/>
    <n v="0"/>
    <n v="0"/>
    <n v="0"/>
    <n v="0"/>
    <n v="0"/>
  </r>
  <r>
    <x v="362"/>
    <x v="350"/>
    <m/>
    <x v="3"/>
    <m/>
    <x v="1"/>
    <m/>
    <m/>
    <s v="Distans"/>
    <m/>
    <m/>
    <n v="0.5"/>
    <x v="1"/>
    <m/>
    <m/>
    <n v="16"/>
    <n v="4"/>
    <n v="0.8"/>
    <n v="3.2"/>
    <n v="1650"/>
    <x v="9"/>
    <s v="Hum"/>
    <x v="3"/>
    <n v="20757"/>
    <n v="36082"/>
    <n v="198490.40000000002"/>
    <n v="22600"/>
    <n v="90400"/>
    <n v="288890.40000000002"/>
    <n v="0"/>
    <n v="0"/>
    <n v="0"/>
    <n v="0"/>
    <n v="0"/>
    <n v="0"/>
    <n v="0"/>
    <n v="1"/>
    <n v="0"/>
    <n v="0"/>
    <n v="0"/>
    <n v="0"/>
    <s v="Äskat/Beslutat 200611 p.39"/>
    <m/>
    <n v="0"/>
    <n v="0"/>
    <n v="0"/>
    <n v="0"/>
    <n v="0"/>
    <n v="0"/>
    <n v="0"/>
    <n v="0"/>
    <n v="0"/>
    <n v="0"/>
    <n v="0"/>
    <n v="0"/>
    <n v="0"/>
    <n v="0"/>
    <n v="4"/>
    <n v="3.2"/>
    <n v="0"/>
    <n v="0"/>
    <n v="0"/>
    <n v="0"/>
    <n v="0"/>
    <n v="0"/>
    <n v="0"/>
    <n v="0"/>
  </r>
  <r>
    <x v="363"/>
    <x v="351"/>
    <m/>
    <x v="3"/>
    <m/>
    <x v="1"/>
    <m/>
    <m/>
    <s v="Distans"/>
    <m/>
    <m/>
    <n v="0.5"/>
    <x v="1"/>
    <m/>
    <m/>
    <n v="8"/>
    <n v="2"/>
    <n v="0.8"/>
    <n v="1.6"/>
    <n v="1650"/>
    <x v="9"/>
    <s v="Hum"/>
    <x v="3"/>
    <n v="20757"/>
    <n v="36082"/>
    <n v="99245.200000000012"/>
    <n v="22600"/>
    <n v="45200"/>
    <n v="144445.20000000001"/>
    <n v="0"/>
    <n v="0"/>
    <n v="0"/>
    <n v="0"/>
    <n v="0"/>
    <n v="0"/>
    <n v="0"/>
    <n v="1"/>
    <n v="0"/>
    <n v="0"/>
    <n v="0"/>
    <n v="0"/>
    <s v="Äskat/Beslutat 200611 p.39"/>
    <m/>
    <n v="0"/>
    <n v="0"/>
    <n v="0"/>
    <n v="0"/>
    <n v="0"/>
    <n v="0"/>
    <n v="0"/>
    <n v="0"/>
    <n v="0"/>
    <n v="0"/>
    <n v="0"/>
    <n v="0"/>
    <n v="0"/>
    <n v="0"/>
    <n v="2"/>
    <n v="1.6"/>
    <n v="0"/>
    <n v="0"/>
    <n v="0"/>
    <n v="0"/>
    <n v="0"/>
    <n v="0"/>
    <n v="0"/>
    <n v="0"/>
  </r>
  <r>
    <x v="364"/>
    <x v="352"/>
    <m/>
    <x v="3"/>
    <m/>
    <x v="1"/>
    <m/>
    <m/>
    <s v="Distans"/>
    <m/>
    <m/>
    <n v="0.5"/>
    <x v="1"/>
    <m/>
    <m/>
    <n v="16"/>
    <n v="4"/>
    <n v="0.8"/>
    <n v="3.2"/>
    <n v="1650"/>
    <x v="9"/>
    <s v="Hum"/>
    <x v="3"/>
    <n v="20757"/>
    <n v="36082"/>
    <n v="198490.40000000002"/>
    <n v="22600"/>
    <n v="90400"/>
    <n v="288890.40000000002"/>
    <n v="0"/>
    <n v="0"/>
    <n v="0"/>
    <n v="0"/>
    <n v="0"/>
    <n v="0"/>
    <n v="0"/>
    <n v="1"/>
    <n v="0"/>
    <n v="0"/>
    <n v="0"/>
    <n v="0"/>
    <s v="Äskat/Beslutat 200611 p.39"/>
    <m/>
    <n v="0"/>
    <n v="0"/>
    <n v="0"/>
    <n v="0"/>
    <n v="0"/>
    <n v="0"/>
    <n v="0"/>
    <n v="0"/>
    <n v="0"/>
    <n v="0"/>
    <n v="0"/>
    <n v="0"/>
    <n v="0"/>
    <n v="0"/>
    <n v="4"/>
    <n v="3.2"/>
    <n v="0"/>
    <n v="0"/>
    <n v="0"/>
    <n v="0"/>
    <n v="0"/>
    <n v="0"/>
    <n v="0"/>
    <n v="0"/>
  </r>
  <r>
    <x v="365"/>
    <x v="353"/>
    <n v="71404"/>
    <x v="3"/>
    <m/>
    <x v="0"/>
    <m/>
    <s v="Umeå"/>
    <s v="Normal"/>
    <m/>
    <m/>
    <m/>
    <x v="3"/>
    <m/>
    <m/>
    <n v="3"/>
    <n v="1.5"/>
    <n v="0.8"/>
    <n v="1.2000000000000002"/>
    <n v="1620"/>
    <x v="0"/>
    <s v="Hum"/>
    <x v="3"/>
    <n v="20766"/>
    <n v="17442"/>
    <n v="52079.4"/>
    <n v="6000"/>
    <n v="9000"/>
    <n v="61079.4"/>
    <n v="0"/>
    <n v="1"/>
    <n v="0"/>
    <n v="0"/>
    <n v="0"/>
    <n v="0"/>
    <n v="0"/>
    <n v="0"/>
    <n v="0"/>
    <n v="0"/>
    <n v="0"/>
    <n v="0"/>
    <s v="Enl Fokus-Ladok 210601"/>
    <m/>
    <n v="0"/>
    <n v="0"/>
    <n v="1.5"/>
    <n v="1.2000000000000002"/>
    <n v="0"/>
    <n v="0"/>
    <n v="0"/>
    <n v="0"/>
    <n v="0"/>
    <n v="0"/>
    <n v="0"/>
    <n v="0"/>
    <n v="0"/>
    <n v="0"/>
    <n v="0"/>
    <n v="0"/>
    <n v="0"/>
    <n v="0"/>
    <n v="0"/>
    <n v="0"/>
    <n v="0"/>
    <n v="0"/>
    <n v="0"/>
    <n v="0"/>
  </r>
  <r>
    <x v="365"/>
    <x v="353"/>
    <n v="71404"/>
    <x v="0"/>
    <m/>
    <x v="0"/>
    <m/>
    <s v="Umeå"/>
    <s v="Normal"/>
    <s v="ENGS"/>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66"/>
    <x v="354"/>
    <m/>
    <x v="0"/>
    <s v="H19"/>
    <x v="1"/>
    <s v="H2113-16"/>
    <s v="Umeå"/>
    <m/>
    <s v="TYSK"/>
    <m/>
    <n v="1"/>
    <x v="4"/>
    <m/>
    <m/>
    <n v="1"/>
    <n v="0.1"/>
    <n v="0.85"/>
    <n v="8.5000000000000006E-2"/>
    <n v="1620"/>
    <x v="0"/>
    <s v="Hum"/>
    <x v="0"/>
    <n v="25235"/>
    <n v="27976"/>
    <n v="4901.46"/>
    <n v="3600"/>
    <n v="360"/>
    <n v="5261.46"/>
    <n v="0"/>
    <n v="0"/>
    <n v="0"/>
    <n v="0"/>
    <n v="0"/>
    <n v="0"/>
    <n v="0"/>
    <n v="0"/>
    <n v="1"/>
    <n v="0"/>
    <n v="0"/>
    <n v="0"/>
    <s v="SP 210924"/>
    <m/>
    <n v="0"/>
    <n v="0"/>
    <n v="0"/>
    <n v="0"/>
    <n v="0"/>
    <n v="0"/>
    <n v="0"/>
    <n v="0"/>
    <n v="0"/>
    <n v="0"/>
    <n v="0"/>
    <n v="0"/>
    <n v="0"/>
    <n v="0"/>
    <n v="0"/>
    <n v="0"/>
    <n v="0.1"/>
    <n v="8.5000000000000006E-2"/>
    <n v="0"/>
    <n v="0"/>
    <n v="0"/>
    <n v="0"/>
    <n v="0"/>
    <n v="0"/>
  </r>
  <r>
    <x v="367"/>
    <x v="355"/>
    <n v="71414"/>
    <x v="3"/>
    <m/>
    <x v="0"/>
    <m/>
    <s v="Umeå"/>
    <s v="Normal"/>
    <m/>
    <m/>
    <m/>
    <x v="3"/>
    <m/>
    <m/>
    <n v="2"/>
    <n v="1"/>
    <n v="0.8"/>
    <n v="0.8"/>
    <n v="1620"/>
    <x v="0"/>
    <s v="Hum"/>
    <x v="3"/>
    <n v="20766"/>
    <n v="17442"/>
    <n v="34719.599999999999"/>
    <n v="6000"/>
    <n v="6000"/>
    <n v="40719.599999999999"/>
    <n v="0"/>
    <n v="1"/>
    <n v="0"/>
    <n v="0"/>
    <n v="0"/>
    <n v="0"/>
    <n v="0"/>
    <n v="0"/>
    <n v="0"/>
    <n v="0"/>
    <n v="0"/>
    <n v="0"/>
    <s v="Enl Fokus-Ladok 210601"/>
    <m/>
    <n v="0"/>
    <n v="0"/>
    <n v="1"/>
    <n v="0.8"/>
    <n v="0"/>
    <n v="0"/>
    <n v="0"/>
    <n v="0"/>
    <n v="0"/>
    <n v="0"/>
    <n v="0"/>
    <n v="0"/>
    <n v="0"/>
    <n v="0"/>
    <n v="0"/>
    <n v="0"/>
    <n v="0"/>
    <n v="0"/>
    <n v="0"/>
    <n v="0"/>
    <n v="0"/>
    <n v="0"/>
    <n v="0"/>
    <n v="0"/>
  </r>
  <r>
    <x v="367"/>
    <x v="355"/>
    <n v="71414"/>
    <x v="0"/>
    <m/>
    <x v="0"/>
    <m/>
    <s v="Umeå"/>
    <s v="Normal"/>
    <s v="SVAA"/>
    <m/>
    <m/>
    <x v="3"/>
    <m/>
    <m/>
    <n v="1"/>
    <n v="0.5"/>
    <n v="0.85"/>
    <n v="0.42499999999999999"/>
    <n v="1620"/>
    <x v="0"/>
    <s v="Hum"/>
    <x v="0"/>
    <n v="20766"/>
    <n v="17442"/>
    <n v="17795.849999999999"/>
    <n v="6000"/>
    <n v="3000"/>
    <n v="20795.849999999999"/>
    <n v="0"/>
    <n v="1"/>
    <n v="0"/>
    <n v="0"/>
    <n v="0"/>
    <n v="0"/>
    <n v="0"/>
    <n v="0"/>
    <n v="0"/>
    <n v="0"/>
    <n v="0"/>
    <n v="0"/>
    <s v="Enl Fokus-Ladok 210601"/>
    <m/>
    <n v="0"/>
    <n v="0"/>
    <n v="0.5"/>
    <n v="0.42499999999999999"/>
    <n v="0"/>
    <n v="0"/>
    <n v="0"/>
    <n v="0"/>
    <n v="0"/>
    <n v="0"/>
    <n v="0"/>
    <n v="0"/>
    <n v="0"/>
    <n v="0"/>
    <n v="0"/>
    <n v="0"/>
    <n v="0"/>
    <n v="0"/>
    <n v="0"/>
    <n v="0"/>
    <n v="0"/>
    <n v="0"/>
    <n v="0"/>
    <n v="0"/>
  </r>
  <r>
    <x v="368"/>
    <x v="356"/>
    <m/>
    <x v="3"/>
    <m/>
    <x v="1"/>
    <m/>
    <m/>
    <s v="Campus"/>
    <m/>
    <m/>
    <n v="1"/>
    <x v="3"/>
    <m/>
    <m/>
    <n v="1"/>
    <n v="0.5"/>
    <n v="0.8"/>
    <n v="0.4"/>
    <n v="1620"/>
    <x v="0"/>
    <s v="Hum"/>
    <x v="3"/>
    <n v="20766"/>
    <n v="17442"/>
    <n v="17359.8"/>
    <n v="6000"/>
    <n v="3000"/>
    <n v="20359.8"/>
    <n v="0"/>
    <n v="1"/>
    <n v="0"/>
    <n v="0"/>
    <n v="0"/>
    <n v="0"/>
    <n v="0"/>
    <n v="0"/>
    <n v="0"/>
    <n v="0"/>
    <n v="0"/>
    <n v="0"/>
    <s v="Äskat/Beslutat 200611 p.39"/>
    <m/>
    <n v="0"/>
    <n v="0"/>
    <n v="0.5"/>
    <n v="0.4"/>
    <n v="0"/>
    <n v="0"/>
    <n v="0"/>
    <n v="0"/>
    <n v="0"/>
    <n v="0"/>
    <n v="0"/>
    <n v="0"/>
    <n v="0"/>
    <n v="0"/>
    <n v="0"/>
    <n v="0"/>
    <n v="0"/>
    <n v="0"/>
    <n v="0"/>
    <n v="0"/>
    <n v="0"/>
    <n v="0"/>
    <n v="0"/>
    <n v="0"/>
  </r>
  <r>
    <x v="368"/>
    <x v="356"/>
    <m/>
    <x v="0"/>
    <s v="H18"/>
    <x v="1"/>
    <s v="H211-20"/>
    <s v="Umeå"/>
    <m/>
    <s v="SVAA"/>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368"/>
    <x v="356"/>
    <m/>
    <x v="0"/>
    <s v="H20"/>
    <x v="1"/>
    <s v="H211-20"/>
    <s v="Umeå"/>
    <m/>
    <s v="TYSK"/>
    <m/>
    <n v="1"/>
    <x v="3"/>
    <m/>
    <m/>
    <n v="1"/>
    <n v="0.5"/>
    <n v="0.85"/>
    <n v="0.42499999999999999"/>
    <n v="1620"/>
    <x v="0"/>
    <s v="Hum"/>
    <x v="0"/>
    <n v="20766"/>
    <n v="17442"/>
    <n v="17795.849999999999"/>
    <n v="6000"/>
    <n v="3000"/>
    <n v="20795.849999999999"/>
    <n v="0"/>
    <n v="1"/>
    <n v="0"/>
    <n v="0"/>
    <n v="0"/>
    <n v="0"/>
    <n v="0"/>
    <n v="0"/>
    <n v="0"/>
    <n v="0"/>
    <n v="0"/>
    <n v="0"/>
    <s v="SP 210924"/>
    <m/>
    <n v="0"/>
    <n v="0"/>
    <n v="0.5"/>
    <n v="0.42499999999999999"/>
    <n v="0"/>
    <n v="0"/>
    <n v="0"/>
    <n v="0"/>
    <n v="0"/>
    <n v="0"/>
    <n v="0"/>
    <n v="0"/>
    <n v="0"/>
    <n v="0"/>
    <n v="0"/>
    <n v="0"/>
    <n v="0"/>
    <n v="0"/>
    <n v="0"/>
    <n v="0"/>
    <n v="0"/>
    <n v="0"/>
    <n v="0"/>
    <n v="0"/>
  </r>
  <r>
    <x v="369"/>
    <x v="282"/>
    <s v="ÖÄ003"/>
    <x v="17"/>
    <m/>
    <x v="0"/>
    <m/>
    <s v="Umeå"/>
    <s v="Distans"/>
    <s v="SVEN"/>
    <m/>
    <m/>
    <x v="1"/>
    <m/>
    <m/>
    <n v="1"/>
    <n v="0.25"/>
    <n v="0.85"/>
    <n v="0.21249999999999999"/>
    <n v="2193"/>
    <x v="13"/>
    <s v="Sam"/>
    <x v="3"/>
    <n v="26554"/>
    <n v="33465"/>
    <n v="13749.8125"/>
    <n v="6000"/>
    <n v="1500"/>
    <n v="15249.8125"/>
    <n v="0"/>
    <n v="0"/>
    <n v="0"/>
    <n v="1"/>
    <n v="0"/>
    <n v="0"/>
    <n v="0"/>
    <n v="0"/>
    <n v="0"/>
    <n v="0"/>
    <n v="0"/>
    <n v="0"/>
    <s v="Enl Fokus-Ladok 210601"/>
    <m/>
    <n v="0"/>
    <n v="0"/>
    <n v="0"/>
    <n v="0"/>
    <n v="0"/>
    <n v="0"/>
    <n v="0.25"/>
    <n v="0.21249999999999999"/>
    <n v="0"/>
    <n v="0"/>
    <n v="0"/>
    <n v="0"/>
    <n v="0"/>
    <n v="0"/>
    <n v="0"/>
    <n v="0"/>
    <n v="0"/>
    <n v="0"/>
    <n v="0"/>
    <n v="0"/>
    <n v="0"/>
    <n v="0"/>
    <n v="0"/>
    <n v="0"/>
  </r>
  <r>
    <x v="369"/>
    <x v="282"/>
    <s v="ÖÄ003"/>
    <x v="18"/>
    <m/>
    <x v="0"/>
    <m/>
    <s v="Umeå"/>
    <s v="Distans"/>
    <s v="TIDA"/>
    <m/>
    <m/>
    <x v="1"/>
    <m/>
    <m/>
    <n v="1"/>
    <n v="0.25"/>
    <n v="0.85"/>
    <n v="0.21249999999999999"/>
    <n v="2193"/>
    <x v="13"/>
    <s v="Sam"/>
    <x v="16"/>
    <n v="26554"/>
    <n v="33465"/>
    <n v="13749.8125"/>
    <n v="6000"/>
    <n v="1500"/>
    <n v="15249.8125"/>
    <n v="0"/>
    <n v="0"/>
    <n v="0"/>
    <n v="1"/>
    <n v="0"/>
    <n v="0"/>
    <n v="0"/>
    <n v="0"/>
    <n v="0"/>
    <n v="0"/>
    <n v="0"/>
    <n v="0"/>
    <s v="Enl Fokus-Ladok 210601"/>
    <m/>
    <n v="0"/>
    <n v="0"/>
    <n v="0"/>
    <n v="0"/>
    <n v="0"/>
    <n v="0"/>
    <n v="0.25"/>
    <n v="0.21249999999999999"/>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19">
  <r>
    <x v="0"/>
    <x v="0"/>
    <x v="0"/>
    <x v="0"/>
    <x v="0"/>
    <x v="0"/>
    <x v="0"/>
    <x v="0"/>
    <s v="Hum"/>
    <n v="2.75"/>
    <n v="0.55000000000000004"/>
    <n v="2.3374999999999999"/>
    <n v="0.46750000000000003"/>
    <n v="16920"/>
    <n v="27913"/>
    <n v="17900"/>
    <n v="22355.327499999999"/>
    <n v="-1564.8729250000001"/>
    <n v="20790.454575"/>
    <n v="9845"/>
  </r>
  <r>
    <x v="0"/>
    <x v="0"/>
    <x v="1"/>
    <x v="1"/>
    <x v="0"/>
    <x v="0"/>
    <x v="0"/>
    <x v="0"/>
    <s v="Hum"/>
    <n v="2.75"/>
    <n v="0.55000000000000004"/>
    <n v="2.3374999999999999"/>
    <n v="0.46750000000000003"/>
    <n v="16920"/>
    <n v="27913"/>
    <n v="17900"/>
    <n v="22355.327499999999"/>
    <n v="-1564.8729250000001"/>
    <n v="20790.454575"/>
    <n v="9845"/>
  </r>
  <r>
    <x v="1"/>
    <x v="1"/>
    <x v="0"/>
    <x v="0"/>
    <x v="0"/>
    <x v="1"/>
    <x v="0"/>
    <x v="0"/>
    <s v="Hum"/>
    <n v="9.5"/>
    <n v="0.95000000000000007"/>
    <n v="8.0749999999999993"/>
    <n v="0.8075"/>
    <n v="16920"/>
    <n v="27913"/>
    <n v="17900"/>
    <n v="38613.747500000005"/>
    <n v="-2702.9623250000004"/>
    <n v="35910.785175000005"/>
    <n v="17005"/>
  </r>
  <r>
    <x v="1"/>
    <x v="1"/>
    <x v="1"/>
    <x v="1"/>
    <x v="0"/>
    <x v="1"/>
    <x v="0"/>
    <x v="0"/>
    <s v="Hum"/>
    <n v="9.5"/>
    <n v="0.95000000000000007"/>
    <n v="8.0749999999999993"/>
    <n v="0.8075"/>
    <n v="16920"/>
    <n v="27913"/>
    <n v="17900"/>
    <n v="38613.747500000005"/>
    <n v="-2702.9623250000004"/>
    <n v="35910.785175000005"/>
    <n v="17005"/>
  </r>
  <r>
    <x v="2"/>
    <x v="2"/>
    <x v="0"/>
    <x v="0"/>
    <x v="0"/>
    <x v="0"/>
    <x v="0"/>
    <x v="0"/>
    <s v="Hum"/>
    <n v="3.5"/>
    <n v="0.70000000000000007"/>
    <n v="2.9749999999999996"/>
    <n v="0.59499999999999997"/>
    <n v="16920"/>
    <n v="27913"/>
    <n v="17900"/>
    <n v="28452.235000000001"/>
    <n v="-1991.6564500000002"/>
    <n v="26460.578550000002"/>
    <n v="12530.000000000002"/>
  </r>
  <r>
    <x v="2"/>
    <x v="2"/>
    <x v="1"/>
    <x v="1"/>
    <x v="0"/>
    <x v="0"/>
    <x v="0"/>
    <x v="0"/>
    <s v="Hum"/>
    <n v="3.5"/>
    <n v="0.70000000000000007"/>
    <n v="2.9749999999999996"/>
    <n v="0.59499999999999997"/>
    <n v="16920"/>
    <n v="27913"/>
    <n v="17900"/>
    <n v="28452.235000000001"/>
    <n v="-1991.6564500000002"/>
    <n v="26460.578550000002"/>
    <n v="12530.000000000002"/>
  </r>
  <r>
    <x v="3"/>
    <x v="0"/>
    <x v="0"/>
    <x v="0"/>
    <x v="0"/>
    <x v="1"/>
    <x v="0"/>
    <x v="0"/>
    <s v="Hum"/>
    <n v="4.625"/>
    <n v="0.46250000000000002"/>
    <n v="3.9312499999999999"/>
    <n v="0.393125"/>
    <n v="16920"/>
    <n v="27913"/>
    <n v="17900"/>
    <n v="18798.798125000001"/>
    <n v="-1315.9158687500003"/>
    <n v="17482.882256249999"/>
    <n v="8278.75"/>
  </r>
  <r>
    <x v="3"/>
    <x v="0"/>
    <x v="1"/>
    <x v="1"/>
    <x v="0"/>
    <x v="1"/>
    <x v="0"/>
    <x v="0"/>
    <s v="Hum"/>
    <n v="4.625"/>
    <n v="0.46250000000000002"/>
    <n v="3.9312499999999999"/>
    <n v="0.393125"/>
    <n v="16920"/>
    <n v="27913"/>
    <n v="17900"/>
    <n v="18798.798125000001"/>
    <n v="-1315.9158687500003"/>
    <n v="17482.882256249999"/>
    <n v="8278.75"/>
  </r>
  <r>
    <x v="4"/>
    <x v="3"/>
    <x v="2"/>
    <x v="2"/>
    <x v="0"/>
    <x v="2"/>
    <x v="1"/>
    <x v="1"/>
    <s v="Hum"/>
    <n v="17.5"/>
    <n v="4.375"/>
    <n v="14.875"/>
    <n v="3.71875"/>
    <n v="20766"/>
    <n v="17442"/>
    <n v="6000"/>
    <n v="155713.6875"/>
    <n v="-10899.958125000001"/>
    <n v="144813.729375"/>
    <n v="26250"/>
  </r>
  <r>
    <x v="5"/>
    <x v="4"/>
    <x v="3"/>
    <x v="3"/>
    <x v="1"/>
    <x v="2"/>
    <x v="2"/>
    <x v="2"/>
    <s v="Sam"/>
    <n v="25.5"/>
    <n v="6.375"/>
    <n v="21.425000000000001"/>
    <n v="5.3562500000000002"/>
    <n v="47928"/>
    <n v="35430"/>
    <n v="35700"/>
    <n v="495312.9375"/>
    <n v="-34671.905625000007"/>
    <n v="460641.03187499999"/>
    <n v="227587.5"/>
  </r>
  <r>
    <x v="5"/>
    <x v="4"/>
    <x v="4"/>
    <x v="4"/>
    <x v="0"/>
    <x v="3"/>
    <x v="2"/>
    <x v="2"/>
    <s v="Sam"/>
    <n v="25.5"/>
    <n v="3.8249999999999997"/>
    <n v="21.425000000000001"/>
    <n v="3.2137500000000001"/>
    <n v="47928"/>
    <n v="35430"/>
    <n v="35700"/>
    <n v="297187.76249999995"/>
    <n v="-20803.143375"/>
    <n v="276384.61912499997"/>
    <n v="136552.5"/>
  </r>
  <r>
    <x v="6"/>
    <x v="5"/>
    <x v="5"/>
    <x v="5"/>
    <x v="1"/>
    <x v="4"/>
    <x v="2"/>
    <x v="2"/>
    <s v="Sam"/>
    <n v="13.5"/>
    <n v="2.25"/>
    <n v="11.425000000000001"/>
    <n v="1.9041666666666668"/>
    <n v="47928"/>
    <n v="35430"/>
    <n v="35700"/>
    <n v="175302.625"/>
    <n v="-12271.183750000002"/>
    <n v="163031.44125"/>
    <n v="80325"/>
  </r>
  <r>
    <x v="7"/>
    <x v="6"/>
    <x v="3"/>
    <x v="3"/>
    <x v="1"/>
    <x v="2"/>
    <x v="2"/>
    <x v="2"/>
    <s v="Sam"/>
    <n v="21"/>
    <n v="5.25"/>
    <n v="17.724999999999998"/>
    <n v="4.4312499999999995"/>
    <n v="47928"/>
    <n v="35430"/>
    <n v="35700"/>
    <n v="408621.1875"/>
    <n v="-28603.483125000002"/>
    <n v="380017.70437499997"/>
    <n v="187425"/>
  </r>
  <r>
    <x v="8"/>
    <x v="7"/>
    <x v="6"/>
    <x v="6"/>
    <x v="2"/>
    <x v="5"/>
    <x v="3"/>
    <x v="3"/>
    <s v="Sam"/>
    <n v="0"/>
    <n v="0"/>
    <n v="0"/>
    <n v="0"/>
    <n v="20766"/>
    <n v="17442"/>
    <n v="6000"/>
    <n v="0"/>
    <n v="0"/>
    <n v="0"/>
    <n v="0"/>
  </r>
  <r>
    <x v="9"/>
    <x v="8"/>
    <x v="1"/>
    <x v="1"/>
    <x v="0"/>
    <x v="0"/>
    <x v="2"/>
    <x v="2"/>
    <s v="Sam"/>
    <n v="21.5"/>
    <n v="4.3"/>
    <n v="18.274999999999999"/>
    <n v="3.6549999999999998"/>
    <n v="26554"/>
    <n v="33465"/>
    <n v="6000"/>
    <n v="236496.77499999999"/>
    <n v="-16554.774250000002"/>
    <n v="219942.00075000001"/>
    <n v="25800"/>
  </r>
  <r>
    <x v="10"/>
    <x v="9"/>
    <x v="7"/>
    <x v="7"/>
    <x v="3"/>
    <x v="0"/>
    <x v="1"/>
    <x v="1"/>
    <s v="Hum"/>
    <n v="25.25"/>
    <n v="5.0500000000000007"/>
    <n v="21.462499999999999"/>
    <n v="4.2924999999999995"/>
    <n v="26554"/>
    <n v="33465"/>
    <n v="6000"/>
    <n v="277746.21250000002"/>
    <n v="-19442.234875000002"/>
    <n v="258303.97762500003"/>
    <n v="30300.000000000004"/>
  </r>
  <r>
    <x v="10"/>
    <x v="9"/>
    <x v="8"/>
    <x v="8"/>
    <x v="3"/>
    <x v="6"/>
    <x v="1"/>
    <x v="1"/>
    <s v="Hum"/>
    <n v="25.25"/>
    <n v="3.3666666666666667"/>
    <n v="21.462499999999999"/>
    <n v="2.8616666666666664"/>
    <n v="26554"/>
    <n v="33465"/>
    <n v="6000"/>
    <n v="185164.14166666666"/>
    <n v="-12961.489916666667"/>
    <n v="172202.65174999999"/>
    <n v="20200"/>
  </r>
  <r>
    <x v="10"/>
    <x v="9"/>
    <x v="9"/>
    <x v="9"/>
    <x v="0"/>
    <x v="7"/>
    <x v="1"/>
    <x v="1"/>
    <s v="Hum"/>
    <n v="25.25"/>
    <n v="1.6833333333333333"/>
    <n v="21.462499999999999"/>
    <n v="1.4308333333333332"/>
    <n v="26554"/>
    <n v="33465"/>
    <n v="6000"/>
    <n v="92582.070833333331"/>
    <n v="-6480.7449583333337"/>
    <n v="86101.325874999995"/>
    <n v="10100"/>
  </r>
  <r>
    <x v="11"/>
    <x v="10"/>
    <x v="1"/>
    <x v="1"/>
    <x v="0"/>
    <x v="0"/>
    <x v="4"/>
    <x v="4"/>
    <s v="TekNat"/>
    <n v="11.5"/>
    <n v="2.3000000000000003"/>
    <n v="9.7750000000000004"/>
    <n v="1.9550000000000001"/>
    <n v="26554"/>
    <n v="33465"/>
    <n v="6000"/>
    <n v="126498.27500000001"/>
    <n v="-8854.8792500000018"/>
    <n v="117643.39575000001"/>
    <n v="13800.000000000002"/>
  </r>
  <r>
    <x v="11"/>
    <x v="10"/>
    <x v="0"/>
    <x v="0"/>
    <x v="0"/>
    <x v="0"/>
    <x v="4"/>
    <x v="4"/>
    <s v="TekNat"/>
    <n v="11.5"/>
    <n v="2.3000000000000003"/>
    <n v="9.7750000000000004"/>
    <n v="1.9550000000000001"/>
    <n v="26554"/>
    <n v="33465"/>
    <n v="6000"/>
    <n v="126498.27500000001"/>
    <n v="-8854.8792500000018"/>
    <n v="117643.39575000001"/>
    <n v="13800.000000000002"/>
  </r>
  <r>
    <x v="12"/>
    <x v="11"/>
    <x v="10"/>
    <x v="10"/>
    <x v="2"/>
    <x v="5"/>
    <x v="5"/>
    <x v="5"/>
    <s v="Hum"/>
    <n v="8.5"/>
    <n v="4.25"/>
    <n v="7.2249999999999996"/>
    <n v="3.6124999999999998"/>
    <n v="20766"/>
    <n v="17442"/>
    <n v="6000"/>
    <n v="151264.72500000001"/>
    <n v="-10588.530750000002"/>
    <n v="140676.19425"/>
    <n v="25500"/>
  </r>
  <r>
    <x v="13"/>
    <x v="12"/>
    <x v="8"/>
    <x v="8"/>
    <x v="3"/>
    <x v="5"/>
    <x v="1"/>
    <x v="1"/>
    <s v="Hum"/>
    <n v="0"/>
    <n v="0"/>
    <n v="0"/>
    <n v="0"/>
    <n v="26554"/>
    <n v="33465"/>
    <n v="6000"/>
    <n v="0"/>
    <n v="0"/>
    <n v="0"/>
    <n v="0"/>
  </r>
  <r>
    <x v="14"/>
    <x v="13"/>
    <x v="11"/>
    <x v="11"/>
    <x v="0"/>
    <x v="0"/>
    <x v="1"/>
    <x v="1"/>
    <s v="Hum"/>
    <n v="7.5"/>
    <n v="1.5"/>
    <n v="6.375"/>
    <n v="1.2750000000000001"/>
    <n v="26554"/>
    <n v="33465"/>
    <n v="6000"/>
    <n v="82498.875"/>
    <n v="-5774.9212500000003"/>
    <n v="76723.953750000001"/>
    <n v="9000"/>
  </r>
  <r>
    <x v="15"/>
    <x v="14"/>
    <x v="12"/>
    <x v="12"/>
    <x v="0"/>
    <x v="4"/>
    <x v="1"/>
    <x v="1"/>
    <s v="Hum"/>
    <n v="6.5"/>
    <n v="1.0833333333333333"/>
    <n v="5.4749999999999996"/>
    <n v="0.91249999999999987"/>
    <n v="20766"/>
    <n v="17442"/>
    <n v="6000"/>
    <n v="38412.324999999997"/>
    <n v="-2688.8627500000002"/>
    <n v="35723.462249999997"/>
    <n v="6500"/>
  </r>
  <r>
    <x v="15"/>
    <x v="14"/>
    <x v="0"/>
    <x v="0"/>
    <x v="0"/>
    <x v="5"/>
    <x v="1"/>
    <x v="1"/>
    <s v="Hum"/>
    <n v="6.5"/>
    <n v="3.25"/>
    <n v="5.4749999999999996"/>
    <n v="2.7374999999999998"/>
    <n v="20766"/>
    <n v="17442"/>
    <n v="6000"/>
    <n v="115236.97500000001"/>
    <n v="-8066.5882500000016"/>
    <n v="107170.38675000001"/>
    <n v="19500"/>
  </r>
  <r>
    <x v="16"/>
    <x v="15"/>
    <x v="13"/>
    <x v="13"/>
    <x v="0"/>
    <x v="0"/>
    <x v="1"/>
    <x v="1"/>
    <s v="Hum"/>
    <n v="43.11"/>
    <n v="8.6219999999999999"/>
    <n v="36.643499999999996"/>
    <n v="7.3286999999999995"/>
    <n v="26554"/>
    <n v="33465"/>
    <n v="6000"/>
    <n v="474203.53349999996"/>
    <n v="-33194.247345000003"/>
    <n v="441009.28615499998"/>
    <n v="51732"/>
  </r>
  <r>
    <x v="16"/>
    <x v="15"/>
    <x v="0"/>
    <x v="0"/>
    <x v="0"/>
    <x v="6"/>
    <x v="1"/>
    <x v="1"/>
    <s v="Hum"/>
    <n v="43.11"/>
    <n v="5.7480000000000002"/>
    <n v="36.643499999999996"/>
    <n v="4.8857999999999997"/>
    <n v="26554"/>
    <n v="33465"/>
    <n v="6000"/>
    <n v="316135.68900000001"/>
    <n v="-22129.498230000005"/>
    <n v="294006.19076999999"/>
    <n v="34488"/>
  </r>
  <r>
    <x v="17"/>
    <x v="16"/>
    <x v="8"/>
    <x v="8"/>
    <x v="3"/>
    <x v="8"/>
    <x v="1"/>
    <x v="1"/>
    <s v="Hum"/>
    <n v="40.232500000000002"/>
    <n v="18.775166666666667"/>
    <n v="34.197625000000002"/>
    <n v="15.958891666666668"/>
    <n v="26554"/>
    <n v="33465"/>
    <n v="6000"/>
    <n v="1032620.0852916667"/>
    <n v="-72283.405970416672"/>
    <n v="960336.67932124995"/>
    <n v="112651"/>
  </r>
  <r>
    <x v="18"/>
    <x v="17"/>
    <x v="8"/>
    <x v="8"/>
    <x v="3"/>
    <x v="9"/>
    <x v="1"/>
    <x v="1"/>
    <s v="Hum"/>
    <n v="7.0419999999999998"/>
    <n v="2.4646999999999997"/>
    <n v="5.9856999999999996"/>
    <n v="2.0949949999999999"/>
    <n v="26554"/>
    <n v="33465"/>
    <n v="6000"/>
    <n v="135556.65147499999"/>
    <n v="-9488.9656032500006"/>
    <n v="126067.68587174999"/>
    <n v="14788.199999999999"/>
  </r>
  <r>
    <x v="19"/>
    <x v="18"/>
    <x v="10"/>
    <x v="10"/>
    <x v="2"/>
    <x v="10"/>
    <x v="5"/>
    <x v="5"/>
    <s v="Hum"/>
    <n v="1.9"/>
    <n v="0.6333333333333333"/>
    <n v="1.615"/>
    <n v="0.53833333333333333"/>
    <n v="25235"/>
    <n v="27976"/>
    <n v="3600"/>
    <n v="31042.58"/>
    <n v="-2172.9806000000003"/>
    <n v="28869.599400000003"/>
    <n v="2280"/>
  </r>
  <r>
    <x v="20"/>
    <x v="19"/>
    <x v="10"/>
    <x v="10"/>
    <x v="2"/>
    <x v="10"/>
    <x v="5"/>
    <x v="5"/>
    <s v="Hum"/>
    <n v="3.8"/>
    <n v="1.2666666666666666"/>
    <n v="3.23"/>
    <n v="1.0766666666666667"/>
    <n v="25235"/>
    <n v="27976"/>
    <n v="3600"/>
    <n v="62085.16"/>
    <n v="-4345.9612000000006"/>
    <n v="57739.198800000006"/>
    <n v="4560"/>
  </r>
  <r>
    <x v="21"/>
    <x v="20"/>
    <x v="1"/>
    <x v="1"/>
    <x v="0"/>
    <x v="10"/>
    <x v="5"/>
    <x v="5"/>
    <s v="Hum"/>
    <n v="2.625"/>
    <n v="0.875"/>
    <n v="2.2312499999999997"/>
    <n v="0.74374999999999991"/>
    <n v="20766"/>
    <n v="17442"/>
    <n v="6000"/>
    <n v="31142.737499999999"/>
    <n v="-2179.9916250000001"/>
    <n v="28962.745875000001"/>
    <n v="5250"/>
  </r>
  <r>
    <x v="22"/>
    <x v="21"/>
    <x v="8"/>
    <x v="8"/>
    <x v="3"/>
    <x v="4"/>
    <x v="5"/>
    <x v="5"/>
    <s v="Hum"/>
    <n v="15.5"/>
    <n v="2.583333333333333"/>
    <n v="13.175000000000001"/>
    <n v="2.1958333333333333"/>
    <n v="20766"/>
    <n v="17442"/>
    <n v="6000"/>
    <n v="91945.224999999991"/>
    <n v="-6436.1657500000001"/>
    <n v="85509.059249999991"/>
    <n v="15499.999999999998"/>
  </r>
  <r>
    <x v="23"/>
    <x v="22"/>
    <x v="14"/>
    <x v="14"/>
    <x v="2"/>
    <x v="10"/>
    <x v="4"/>
    <x v="4"/>
    <s v="TekNat"/>
    <n v="4.75"/>
    <n v="1.5833333333333333"/>
    <n v="4.0375000000000005"/>
    <n v="1.3458333333333334"/>
    <n v="20757"/>
    <n v="36082"/>
    <n v="22600"/>
    <n v="81425.608333333337"/>
    <n v="-5699.7925833333338"/>
    <n v="75725.815750000009"/>
    <n v="35783.333333333328"/>
  </r>
  <r>
    <x v="24"/>
    <x v="23"/>
    <x v="14"/>
    <x v="14"/>
    <x v="2"/>
    <x v="10"/>
    <x v="4"/>
    <x v="4"/>
    <s v="TekNat"/>
    <n v="5.125"/>
    <n v="1.7083333333333333"/>
    <n v="4.3562500000000002"/>
    <n v="1.4520833333333334"/>
    <n v="20757"/>
    <n v="36082"/>
    <n v="22600"/>
    <n v="87853.945833333331"/>
    <n v="-6149.7762083333337"/>
    <n v="81704.169624999995"/>
    <n v="38608.333333333328"/>
  </r>
  <r>
    <x v="25"/>
    <x v="24"/>
    <x v="14"/>
    <x v="14"/>
    <x v="2"/>
    <x v="10"/>
    <x v="4"/>
    <x v="4"/>
    <s v="TekNat"/>
    <n v="2.875"/>
    <n v="0.95833333333333326"/>
    <n v="2.4437500000000001"/>
    <n v="0.81458333333333333"/>
    <n v="20757"/>
    <n v="36082"/>
    <n v="22600"/>
    <n v="49283.920833333337"/>
    <n v="-3449.8744583333341"/>
    <n v="45834.046375000005"/>
    <n v="21658.333333333332"/>
  </r>
  <r>
    <x v="26"/>
    <x v="25"/>
    <x v="1"/>
    <x v="1"/>
    <x v="0"/>
    <x v="11"/>
    <x v="4"/>
    <x v="4"/>
    <s v="TekNat"/>
    <n v="7.125"/>
    <n v="1.9"/>
    <n v="6.0562499999999995"/>
    <n v="1.6149999999999998"/>
    <n v="20757"/>
    <n v="36082"/>
    <n v="22600"/>
    <n v="97710.729999999981"/>
    <n v="-6839.7510999999995"/>
    <n v="90870.978899999987"/>
    <n v="42940"/>
  </r>
  <r>
    <x v="27"/>
    <x v="26"/>
    <x v="1"/>
    <x v="1"/>
    <x v="0"/>
    <x v="0"/>
    <x v="4"/>
    <x v="4"/>
    <s v="TekNat"/>
    <n v="13.25"/>
    <n v="2.6500000000000004"/>
    <n v="11.262499999999999"/>
    <n v="2.2524999999999999"/>
    <n v="20757"/>
    <n v="36082"/>
    <n v="22600"/>
    <n v="136280.755"/>
    <n v="-9539.6528500000004"/>
    <n v="126741.10215000001"/>
    <n v="59890.000000000007"/>
  </r>
  <r>
    <x v="28"/>
    <x v="27"/>
    <x v="15"/>
    <x v="15"/>
    <x v="3"/>
    <x v="12"/>
    <x v="6"/>
    <x v="6"/>
    <s v="Sam"/>
    <n v="2.25"/>
    <n v="0.9"/>
    <n v="1.9124999999999999"/>
    <n v="0.76500000000000001"/>
    <n v="20766"/>
    <n v="17442"/>
    <n v="6000"/>
    <n v="32032.530000000002"/>
    <n v="-2242.2771000000002"/>
    <n v="29790.252900000003"/>
    <n v="5400"/>
  </r>
  <r>
    <x v="29"/>
    <x v="28"/>
    <x v="9"/>
    <x v="9"/>
    <x v="0"/>
    <x v="2"/>
    <x v="6"/>
    <x v="6"/>
    <s v="Sam"/>
    <n v="8.8000000000000007"/>
    <n v="2.2000000000000002"/>
    <n v="7.48"/>
    <n v="1.87"/>
    <n v="26554"/>
    <n v="33465"/>
    <n v="6000"/>
    <n v="120998.35"/>
    <n v="-8469.8845000000019"/>
    <n v="112528.46550000001"/>
    <n v="13200.000000000002"/>
  </r>
  <r>
    <x v="30"/>
    <x v="29"/>
    <x v="9"/>
    <x v="9"/>
    <x v="0"/>
    <x v="2"/>
    <x v="2"/>
    <x v="2"/>
    <s v="Sam"/>
    <n v="15"/>
    <n v="3.75"/>
    <n v="12.75"/>
    <n v="3.1875"/>
    <n v="26554"/>
    <n v="33465"/>
    <n v="6000"/>
    <n v="206247.1875"/>
    <n v="-14437.303125000002"/>
    <n v="191809.88437499999"/>
    <n v="22500"/>
  </r>
  <r>
    <x v="31"/>
    <x v="30"/>
    <x v="11"/>
    <x v="11"/>
    <x v="0"/>
    <x v="12"/>
    <x v="2"/>
    <x v="2"/>
    <s v="Sam"/>
    <n v="43.524999999999999"/>
    <n v="17.41"/>
    <n v="36.996249999999996"/>
    <n v="14.798499999999999"/>
    <n v="26554"/>
    <n v="33465"/>
    <n v="6000"/>
    <n v="957536.9425"/>
    <n v="-67027.585975000009"/>
    <n v="890509.35652499995"/>
    <n v="104460"/>
  </r>
  <r>
    <x v="32"/>
    <x v="31"/>
    <x v="0"/>
    <x v="0"/>
    <x v="0"/>
    <x v="0"/>
    <x v="6"/>
    <x v="6"/>
    <s v="Sam"/>
    <n v="17.75"/>
    <n v="3.5500000000000003"/>
    <n v="15.087499999999999"/>
    <n v="3.0175000000000001"/>
    <n v="20766"/>
    <n v="17442"/>
    <n v="6000"/>
    <n v="126350.535"/>
    <n v="-8844.5374500000016"/>
    <n v="117505.99755"/>
    <n v="21300"/>
  </r>
  <r>
    <x v="33"/>
    <x v="32"/>
    <x v="1"/>
    <x v="1"/>
    <x v="0"/>
    <x v="5"/>
    <x v="2"/>
    <x v="2"/>
    <s v="Sam"/>
    <n v="0"/>
    <n v="0"/>
    <n v="0"/>
    <n v="0"/>
    <n v="25235"/>
    <n v="27976"/>
    <n v="3600"/>
    <n v="0"/>
    <n v="0"/>
    <n v="0"/>
    <n v="0"/>
  </r>
  <r>
    <x v="34"/>
    <x v="33"/>
    <x v="1"/>
    <x v="1"/>
    <x v="0"/>
    <x v="11"/>
    <x v="4"/>
    <x v="4"/>
    <s v="TekNat"/>
    <n v="0"/>
    <n v="0"/>
    <n v="0"/>
    <n v="0"/>
    <n v="26554"/>
    <n v="33465"/>
    <n v="6000"/>
    <n v="0"/>
    <n v="0"/>
    <n v="0"/>
    <n v="0"/>
  </r>
  <r>
    <x v="34"/>
    <x v="33"/>
    <x v="0"/>
    <x v="0"/>
    <x v="0"/>
    <x v="11"/>
    <x v="4"/>
    <x v="4"/>
    <s v="TekNat"/>
    <n v="0"/>
    <n v="0"/>
    <n v="0"/>
    <n v="0"/>
    <n v="26554"/>
    <n v="33465"/>
    <n v="6000"/>
    <n v="0"/>
    <n v="0"/>
    <n v="0"/>
    <n v="0"/>
  </r>
  <r>
    <x v="35"/>
    <x v="34"/>
    <x v="16"/>
    <x v="16"/>
    <x v="0"/>
    <x v="0"/>
    <x v="6"/>
    <x v="6"/>
    <s v="Sam"/>
    <n v="0"/>
    <n v="0"/>
    <n v="0"/>
    <n v="0"/>
    <n v="26554"/>
    <n v="33465"/>
    <n v="6000"/>
    <n v="0"/>
    <n v="0"/>
    <n v="0"/>
    <n v="0"/>
  </r>
  <r>
    <x v="36"/>
    <x v="35"/>
    <x v="0"/>
    <x v="0"/>
    <x v="0"/>
    <x v="11"/>
    <x v="6"/>
    <x v="6"/>
    <s v="Sam"/>
    <n v="0"/>
    <n v="0"/>
    <n v="0"/>
    <n v="0"/>
    <n v="26554"/>
    <n v="33465"/>
    <n v="6000"/>
    <n v="0"/>
    <n v="0"/>
    <n v="0"/>
    <n v="0"/>
  </r>
  <r>
    <x v="37"/>
    <x v="36"/>
    <x v="0"/>
    <x v="0"/>
    <x v="0"/>
    <x v="13"/>
    <x v="6"/>
    <x v="6"/>
    <s v="Sam"/>
    <n v="7.8663333333333334"/>
    <n v="0.98329166666666667"/>
    <n v="6.6863833333333327"/>
    <n v="0.83579791666666658"/>
    <n v="26554"/>
    <n v="33465"/>
    <n v="6000"/>
    <n v="54080.304197916666"/>
    <n v="-3785.6212938541671"/>
    <n v="50294.682904062502"/>
    <n v="5899.75"/>
  </r>
  <r>
    <x v="37"/>
    <x v="36"/>
    <x v="11"/>
    <x v="11"/>
    <x v="0"/>
    <x v="2"/>
    <x v="6"/>
    <x v="6"/>
    <s v="Sam"/>
    <n v="7.8663333333333334"/>
    <n v="1.9665833333333333"/>
    <n v="6.6863833333333327"/>
    <n v="1.6715958333333332"/>
    <n v="26554"/>
    <n v="33465"/>
    <n v="6000"/>
    <n v="108160.60839583333"/>
    <n v="-7571.2425877083342"/>
    <n v="100589.365808125"/>
    <n v="11799.5"/>
  </r>
  <r>
    <x v="38"/>
    <x v="37"/>
    <x v="0"/>
    <x v="0"/>
    <x v="0"/>
    <x v="14"/>
    <x v="6"/>
    <x v="6"/>
    <s v="Sam"/>
    <n v="6.2"/>
    <n v="2.5833333333333335"/>
    <n v="5.27"/>
    <n v="2.1958333333333333"/>
    <n v="26554"/>
    <n v="33465"/>
    <n v="6000"/>
    <n v="142081.39583333334"/>
    <n v="-9945.697708333335"/>
    <n v="132135.698125"/>
    <n v="15500"/>
  </r>
  <r>
    <x v="38"/>
    <x v="37"/>
    <x v="11"/>
    <x v="11"/>
    <x v="0"/>
    <x v="15"/>
    <x v="6"/>
    <x v="6"/>
    <s v="Sam"/>
    <n v="6.2"/>
    <n v="0.51666666666666661"/>
    <n v="5.27"/>
    <n v="0.43916666666666659"/>
    <n v="26554"/>
    <n v="33465"/>
    <n v="6000"/>
    <n v="28416.279166666664"/>
    <n v="-1989.1395416666667"/>
    <n v="26427.139624999996"/>
    <n v="3099.9999999999995"/>
  </r>
  <r>
    <x v="39"/>
    <x v="38"/>
    <x v="1"/>
    <x v="1"/>
    <x v="0"/>
    <x v="12"/>
    <x v="2"/>
    <x v="2"/>
    <s v="Sam"/>
    <n v="6.7493333333333334"/>
    <n v="2.6997333333333335"/>
    <n v="5.736933333333333"/>
    <n v="2.2947733333333331"/>
    <n v="26554"/>
    <n v="33465"/>
    <n v="6000"/>
    <n v="148483.30853333333"/>
    <n v="-10393.831597333334"/>
    <n v="138089.47693599999"/>
    <n v="16198.400000000001"/>
  </r>
  <r>
    <x v="39"/>
    <x v="38"/>
    <x v="11"/>
    <x v="11"/>
    <x v="0"/>
    <x v="1"/>
    <x v="2"/>
    <x v="2"/>
    <s v="Sam"/>
    <n v="6.7493333333333334"/>
    <n v="0.67493333333333339"/>
    <n v="5.736933333333333"/>
    <n v="0.57369333333333328"/>
    <n v="26554"/>
    <n v="33465"/>
    <n v="6000"/>
    <n v="37120.827133333332"/>
    <n v="-2598.4578993333334"/>
    <n v="34522.369233999998"/>
    <n v="4049.6000000000004"/>
  </r>
  <r>
    <x v="40"/>
    <x v="39"/>
    <x v="1"/>
    <x v="1"/>
    <x v="0"/>
    <x v="12"/>
    <x v="2"/>
    <x v="2"/>
    <s v="Sam"/>
    <n v="8.4166666666666679"/>
    <n v="3.3666666666666671"/>
    <n v="7.1541666666666668"/>
    <n v="2.8616666666666668"/>
    <n v="26554"/>
    <n v="33465"/>
    <n v="6000"/>
    <n v="185164.14166666666"/>
    <n v="-12961.489916666667"/>
    <n v="172202.65174999999"/>
    <n v="20200.000000000004"/>
  </r>
  <r>
    <x v="40"/>
    <x v="39"/>
    <x v="11"/>
    <x v="11"/>
    <x v="0"/>
    <x v="1"/>
    <x v="2"/>
    <x v="2"/>
    <s v="Sam"/>
    <n v="8.4166666666666679"/>
    <n v="0.84166666666666679"/>
    <n v="7.1541666666666668"/>
    <n v="0.7154166666666667"/>
    <n v="26554"/>
    <n v="33465"/>
    <n v="6000"/>
    <n v="46291.035416666666"/>
    <n v="-3240.3724791666668"/>
    <n v="43050.662937499997"/>
    <n v="5050.0000000000009"/>
  </r>
  <r>
    <x v="41"/>
    <x v="40"/>
    <x v="1"/>
    <x v="1"/>
    <x v="0"/>
    <x v="16"/>
    <x v="2"/>
    <x v="2"/>
    <s v="Sam"/>
    <n v="0"/>
    <n v="0"/>
    <n v="0"/>
    <n v="0"/>
    <n v="26554"/>
    <n v="33465"/>
    <n v="6000"/>
    <n v="0"/>
    <n v="0"/>
    <n v="0"/>
    <n v="0"/>
  </r>
  <r>
    <x v="41"/>
    <x v="40"/>
    <x v="11"/>
    <x v="11"/>
    <x v="0"/>
    <x v="2"/>
    <x v="2"/>
    <x v="2"/>
    <s v="Sam"/>
    <n v="0"/>
    <n v="0"/>
    <n v="0"/>
    <n v="0"/>
    <n v="26554"/>
    <n v="33465"/>
    <n v="6000"/>
    <n v="0"/>
    <n v="0"/>
    <n v="0"/>
    <n v="0"/>
  </r>
  <r>
    <x v="42"/>
    <x v="41"/>
    <x v="10"/>
    <x v="10"/>
    <x v="2"/>
    <x v="16"/>
    <x v="2"/>
    <x v="2"/>
    <s v="Sam"/>
    <n v="8.8000000000000007"/>
    <n v="3.3000000000000003"/>
    <n v="7.48"/>
    <n v="2.8050000000000002"/>
    <n v="26554"/>
    <n v="33465"/>
    <n v="6000"/>
    <n v="181497.52500000002"/>
    <n v="-12704.826750000002"/>
    <n v="168792.69825000002"/>
    <n v="19800"/>
  </r>
  <r>
    <x v="42"/>
    <x v="41"/>
    <x v="11"/>
    <x v="11"/>
    <x v="0"/>
    <x v="2"/>
    <x v="2"/>
    <x v="2"/>
    <s v="Sam"/>
    <n v="8.8000000000000007"/>
    <n v="2.2000000000000002"/>
    <n v="7.48"/>
    <n v="1.87"/>
    <n v="26554"/>
    <n v="33465"/>
    <n v="6000"/>
    <n v="120998.35"/>
    <n v="-8469.8845000000019"/>
    <n v="112528.46550000001"/>
    <n v="13200.000000000002"/>
  </r>
  <r>
    <x v="43"/>
    <x v="42"/>
    <x v="11"/>
    <x v="11"/>
    <x v="0"/>
    <x v="2"/>
    <x v="2"/>
    <x v="2"/>
    <s v="Sam"/>
    <n v="13.333333333333332"/>
    <n v="3.333333333333333"/>
    <n v="11.333333333333332"/>
    <n v="2.833333333333333"/>
    <n v="26554"/>
    <n v="33465"/>
    <n v="6000"/>
    <n v="183330.83333333331"/>
    <n v="-12833.158333333333"/>
    <n v="170497.67499999999"/>
    <n v="20000"/>
  </r>
  <r>
    <x v="43"/>
    <x v="42"/>
    <x v="10"/>
    <x v="10"/>
    <x v="2"/>
    <x v="13"/>
    <x v="2"/>
    <x v="2"/>
    <s v="Sam"/>
    <n v="13.333333333333332"/>
    <n v="1.6666666666666665"/>
    <n v="11.333333333333332"/>
    <n v="1.4166666666666665"/>
    <n v="26554"/>
    <n v="33465"/>
    <n v="6000"/>
    <n v="91665.416666666657"/>
    <n v="-6416.5791666666664"/>
    <n v="85248.837499999994"/>
    <n v="10000"/>
  </r>
  <r>
    <x v="44"/>
    <x v="43"/>
    <x v="1"/>
    <x v="1"/>
    <x v="0"/>
    <x v="11"/>
    <x v="2"/>
    <x v="2"/>
    <s v="Sam"/>
    <n v="0"/>
    <n v="0"/>
    <n v="0"/>
    <n v="0"/>
    <n v="26554"/>
    <n v="33465"/>
    <n v="6000"/>
    <n v="0"/>
    <n v="0"/>
    <n v="0"/>
    <n v="0"/>
  </r>
  <r>
    <x v="45"/>
    <x v="44"/>
    <x v="0"/>
    <x v="0"/>
    <x v="0"/>
    <x v="0"/>
    <x v="6"/>
    <x v="6"/>
    <s v="Sam"/>
    <n v="6"/>
    <n v="1.2000000000000002"/>
    <n v="5.0999999999999996"/>
    <n v="1.02"/>
    <n v="20766"/>
    <n v="17442"/>
    <n v="6000"/>
    <n v="42710.040000000008"/>
    <n v="-2989.7028000000009"/>
    <n v="39720.337200000009"/>
    <n v="7200.0000000000009"/>
  </r>
  <r>
    <x v="46"/>
    <x v="45"/>
    <x v="0"/>
    <x v="0"/>
    <x v="0"/>
    <x v="17"/>
    <x v="4"/>
    <x v="4"/>
    <s v="TekNat"/>
    <n v="15.032999999999999"/>
    <n v="3.416590909090909"/>
    <n v="12.77805"/>
    <n v="2.9041022727272727"/>
    <n v="26554"/>
    <n v="33465"/>
    <n v="6000"/>
    <n v="187909.93755681819"/>
    <n v="-13153.695628977273"/>
    <n v="174756.24192784092"/>
    <n v="20499.545454545456"/>
  </r>
  <r>
    <x v="46"/>
    <x v="45"/>
    <x v="1"/>
    <x v="1"/>
    <x v="0"/>
    <x v="17"/>
    <x v="4"/>
    <x v="4"/>
    <s v="TekNat"/>
    <n v="15.032999999999999"/>
    <n v="3.416590909090909"/>
    <n v="12.77805"/>
    <n v="2.9041022727272727"/>
    <n v="26554"/>
    <n v="33465"/>
    <n v="6000"/>
    <n v="187909.93755681819"/>
    <n v="-13153.695628977273"/>
    <n v="174756.24192784092"/>
    <n v="20499.545454545456"/>
  </r>
  <r>
    <x v="46"/>
    <x v="45"/>
    <x v="9"/>
    <x v="9"/>
    <x v="0"/>
    <x v="18"/>
    <x v="4"/>
    <x v="4"/>
    <s v="TekNat"/>
    <n v="15.032999999999999"/>
    <n v="1.3666363636363636"/>
    <n v="12.77805"/>
    <n v="1.1616409090909092"/>
    <n v="26554"/>
    <n v="33465"/>
    <n v="6000"/>
    <n v="75163.975022727274"/>
    <n v="-5261.4782515909101"/>
    <n v="69902.496771136357"/>
    <n v="8199.818181818182"/>
  </r>
  <r>
    <x v="47"/>
    <x v="46"/>
    <x v="1"/>
    <x v="1"/>
    <x v="0"/>
    <x v="19"/>
    <x v="4"/>
    <x v="4"/>
    <s v="TekNat"/>
    <n v="9.8003333333333327"/>
    <n v="2.9400999999999997"/>
    <n v="8.3302833333333339"/>
    <n v="2.499085"/>
    <n v="26554"/>
    <n v="33465"/>
    <n v="6000"/>
    <n v="161703.29492499999"/>
    <n v="-11319.230644750001"/>
    <n v="150384.06428024999"/>
    <n v="17640.599999999999"/>
  </r>
  <r>
    <x v="47"/>
    <x v="46"/>
    <x v="9"/>
    <x v="9"/>
    <x v="0"/>
    <x v="1"/>
    <x v="4"/>
    <x v="4"/>
    <s v="TekNat"/>
    <n v="9.8003333333333327"/>
    <n v="0.98003333333333331"/>
    <n v="8.3302833333333339"/>
    <n v="0.83302833333333348"/>
    <n v="26554"/>
    <n v="33465"/>
    <n v="6000"/>
    <n v="53901.098308333341"/>
    <n v="-3773.0768815833344"/>
    <n v="50128.021426750005"/>
    <n v="5880.2"/>
  </r>
  <r>
    <x v="48"/>
    <x v="47"/>
    <x v="0"/>
    <x v="0"/>
    <x v="0"/>
    <x v="17"/>
    <x v="4"/>
    <x v="4"/>
    <s v="TekNat"/>
    <n v="18.516666666666666"/>
    <n v="4.208333333333333"/>
    <n v="15.739166666666666"/>
    <n v="3.5770833333333329"/>
    <n v="26554"/>
    <n v="33465"/>
    <n v="6000"/>
    <n v="231455.17708333331"/>
    <n v="-16201.862395833334"/>
    <n v="215253.31468749998"/>
    <n v="25250"/>
  </r>
  <r>
    <x v="48"/>
    <x v="47"/>
    <x v="1"/>
    <x v="1"/>
    <x v="0"/>
    <x v="17"/>
    <x v="4"/>
    <x v="4"/>
    <s v="TekNat"/>
    <n v="18.516666666666666"/>
    <n v="4.208333333333333"/>
    <n v="15.739166666666666"/>
    <n v="3.5770833333333329"/>
    <n v="26554"/>
    <n v="33465"/>
    <n v="6000"/>
    <n v="231455.17708333331"/>
    <n v="-16201.862395833334"/>
    <n v="215253.31468749998"/>
    <n v="25250"/>
  </r>
  <r>
    <x v="48"/>
    <x v="47"/>
    <x v="9"/>
    <x v="9"/>
    <x v="0"/>
    <x v="18"/>
    <x v="4"/>
    <x v="4"/>
    <s v="TekNat"/>
    <n v="18.516666666666666"/>
    <n v="1.6833333333333333"/>
    <n v="15.739166666666666"/>
    <n v="1.4308333333333334"/>
    <n v="26554"/>
    <n v="33465"/>
    <n v="6000"/>
    <n v="92582.070833333331"/>
    <n v="-6480.7449583333337"/>
    <n v="86101.325874999995"/>
    <n v="10100"/>
  </r>
  <r>
    <x v="49"/>
    <x v="48"/>
    <x v="15"/>
    <x v="15"/>
    <x v="3"/>
    <x v="11"/>
    <x v="4"/>
    <x v="4"/>
    <s v="TekNat"/>
    <n v="0.5"/>
    <n v="0.13333333333333333"/>
    <n v="0.42499999999999999"/>
    <n v="0.11333333333333333"/>
    <n v="26554"/>
    <n v="33465"/>
    <n v="6000"/>
    <n v="7333.2333333333336"/>
    <n v="-513.32633333333342"/>
    <n v="6819.9070000000002"/>
    <n v="800"/>
  </r>
  <r>
    <x v="49"/>
    <x v="48"/>
    <x v="1"/>
    <x v="1"/>
    <x v="0"/>
    <x v="0"/>
    <x v="4"/>
    <x v="4"/>
    <s v="TekNat"/>
    <n v="0.5"/>
    <n v="0.1"/>
    <n v="0.42499999999999999"/>
    <n v="8.5000000000000006E-2"/>
    <n v="26554"/>
    <n v="33465"/>
    <n v="6000"/>
    <n v="5499.9250000000002"/>
    <n v="-384.99475000000007"/>
    <n v="5114.9302500000003"/>
    <n v="600"/>
  </r>
  <r>
    <x v="49"/>
    <x v="48"/>
    <x v="0"/>
    <x v="0"/>
    <x v="0"/>
    <x v="0"/>
    <x v="4"/>
    <x v="4"/>
    <s v="TekNat"/>
    <n v="0.5"/>
    <n v="0.1"/>
    <n v="0.42499999999999999"/>
    <n v="8.5000000000000006E-2"/>
    <n v="26554"/>
    <n v="33465"/>
    <n v="6000"/>
    <n v="5499.9250000000002"/>
    <n v="-384.99475000000007"/>
    <n v="5114.9302500000003"/>
    <n v="600"/>
  </r>
  <r>
    <x v="50"/>
    <x v="49"/>
    <x v="7"/>
    <x v="7"/>
    <x v="3"/>
    <x v="20"/>
    <x v="4"/>
    <x v="4"/>
    <s v="TekNat"/>
    <n v="15.75"/>
    <n v="5.6000000000000005"/>
    <n v="13.387499999999999"/>
    <n v="4.76"/>
    <n v="25235"/>
    <n v="27976"/>
    <n v="3600"/>
    <n v="274481.76"/>
    <n v="-19213.723200000004"/>
    <n v="255268.0368"/>
    <n v="20160.000000000004"/>
  </r>
  <r>
    <x v="50"/>
    <x v="49"/>
    <x v="0"/>
    <x v="0"/>
    <x v="0"/>
    <x v="6"/>
    <x v="4"/>
    <x v="4"/>
    <s v="TekNat"/>
    <n v="15.75"/>
    <n v="2.1"/>
    <n v="13.387499999999999"/>
    <n v="1.7849999999999999"/>
    <n v="25235"/>
    <n v="27976"/>
    <n v="3600"/>
    <n v="102930.66"/>
    <n v="-7205.146200000001"/>
    <n v="95725.513800000001"/>
    <n v="7560"/>
  </r>
  <r>
    <x v="51"/>
    <x v="50"/>
    <x v="7"/>
    <x v="7"/>
    <x v="3"/>
    <x v="12"/>
    <x v="4"/>
    <x v="4"/>
    <s v="TekNat"/>
    <n v="7.125"/>
    <n v="2.85"/>
    <n v="6.0562499999999995"/>
    <n v="2.4224999999999999"/>
    <n v="25235"/>
    <n v="27976"/>
    <n v="3600"/>
    <n v="139691.60999999999"/>
    <n v="-9778.4127000000008"/>
    <n v="129913.19729999999"/>
    <n v="10260"/>
  </r>
  <r>
    <x v="52"/>
    <x v="51"/>
    <x v="0"/>
    <x v="0"/>
    <x v="0"/>
    <x v="19"/>
    <x v="6"/>
    <x v="6"/>
    <s v="Sam"/>
    <n v="13.5"/>
    <n v="4.05"/>
    <n v="11.475"/>
    <n v="3.4424999999999999"/>
    <n v="20766"/>
    <n v="17442"/>
    <n v="6000"/>
    <n v="144146.38500000001"/>
    <n v="-10090.246950000002"/>
    <n v="134056.13805000001"/>
    <n v="24300"/>
  </r>
  <r>
    <x v="52"/>
    <x v="51"/>
    <x v="10"/>
    <x v="10"/>
    <x v="2"/>
    <x v="6"/>
    <x v="6"/>
    <x v="6"/>
    <s v="Sam"/>
    <n v="13.5"/>
    <n v="1.8"/>
    <n v="11.475"/>
    <n v="1.53"/>
    <n v="20766"/>
    <n v="17442"/>
    <n v="6000"/>
    <n v="64065.060000000005"/>
    <n v="-4484.5542000000005"/>
    <n v="59580.505800000006"/>
    <n v="10800"/>
  </r>
  <r>
    <x v="53"/>
    <x v="52"/>
    <x v="0"/>
    <x v="0"/>
    <x v="0"/>
    <x v="8"/>
    <x v="6"/>
    <x v="6"/>
    <s v="Sam"/>
    <n v="0"/>
    <n v="0"/>
    <n v="0"/>
    <n v="0"/>
    <n v="26554"/>
    <n v="33465"/>
    <n v="6000"/>
    <n v="0"/>
    <n v="0"/>
    <n v="0"/>
    <n v="0"/>
  </r>
  <r>
    <x v="54"/>
    <x v="53"/>
    <x v="0"/>
    <x v="0"/>
    <x v="0"/>
    <x v="8"/>
    <x v="6"/>
    <x v="6"/>
    <s v="Sam"/>
    <n v="2.625"/>
    <n v="1.2250000000000001"/>
    <n v="2.2312499999999997"/>
    <n v="1.0412499999999998"/>
    <n v="26554"/>
    <n v="33465"/>
    <n v="6000"/>
    <n v="67374.081249999988"/>
    <n v="-4716.1856874999994"/>
    <n v="62657.895562499987"/>
    <n v="7350.0000000000009"/>
  </r>
  <r>
    <x v="55"/>
    <x v="54"/>
    <x v="7"/>
    <x v="7"/>
    <x v="3"/>
    <x v="14"/>
    <x v="4"/>
    <x v="4"/>
    <s v="TekNat"/>
    <n v="13.2"/>
    <n v="5.5"/>
    <n v="11.22"/>
    <n v="4.6750000000000007"/>
    <n v="26554"/>
    <n v="33465"/>
    <n v="6000"/>
    <n v="302495.875"/>
    <n v="-21174.71125"/>
    <n v="281321.16375000001"/>
    <n v="33000"/>
  </r>
  <r>
    <x v="55"/>
    <x v="54"/>
    <x v="15"/>
    <x v="15"/>
    <x v="3"/>
    <x v="4"/>
    <x v="4"/>
    <x v="4"/>
    <s v="TekNat"/>
    <n v="13.2"/>
    <n v="2.1999999999999997"/>
    <n v="11.22"/>
    <n v="1.87"/>
    <n v="26554"/>
    <n v="33465"/>
    <n v="6000"/>
    <n v="120998.35"/>
    <n v="-8469.8845000000019"/>
    <n v="112528.46550000001"/>
    <n v="13199.999999999998"/>
  </r>
  <r>
    <x v="56"/>
    <x v="55"/>
    <x v="7"/>
    <x v="7"/>
    <x v="3"/>
    <x v="12"/>
    <x v="4"/>
    <x v="4"/>
    <s v="TekNat"/>
    <n v="3.25"/>
    <n v="1.3"/>
    <n v="2.7624999999999997"/>
    <n v="1.105"/>
    <n v="26554"/>
    <n v="33465"/>
    <n v="6000"/>
    <n v="71499.024999999994"/>
    <n v="-5004.9317499999997"/>
    <n v="66494.093249999991"/>
    <n v="7800"/>
  </r>
  <r>
    <x v="57"/>
    <x v="56"/>
    <x v="7"/>
    <x v="7"/>
    <x v="3"/>
    <x v="12"/>
    <x v="4"/>
    <x v="4"/>
    <s v="TekNat"/>
    <n v="3.375"/>
    <n v="1.35"/>
    <n v="2.8687499999999999"/>
    <n v="1.1475"/>
    <n v="26554"/>
    <n v="33465"/>
    <n v="6000"/>
    <n v="74248.987500000003"/>
    <n v="-5197.4291250000006"/>
    <n v="69051.558375000008"/>
    <n v="8100.0000000000009"/>
  </r>
  <r>
    <x v="58"/>
    <x v="57"/>
    <x v="7"/>
    <x v="7"/>
    <x v="3"/>
    <x v="10"/>
    <x v="4"/>
    <x v="4"/>
    <s v="TekNat"/>
    <n v="3.1112500000000001"/>
    <n v="1.0370833333333334"/>
    <n v="2.6445625000000001"/>
    <n v="0.88152083333333331"/>
    <n v="25235"/>
    <n v="27976"/>
    <n v="3600"/>
    <n v="50832.224749999994"/>
    <n v="-3558.2557324999998"/>
    <n v="47273.969017499992"/>
    <n v="3733.5"/>
  </r>
  <r>
    <x v="58"/>
    <x v="57"/>
    <x v="15"/>
    <x v="15"/>
    <x v="3"/>
    <x v="10"/>
    <x v="4"/>
    <x v="4"/>
    <s v="TekNat"/>
    <n v="3.1112500000000001"/>
    <n v="1.0370833333333334"/>
    <n v="2.6445625000000001"/>
    <n v="0.88152083333333331"/>
    <n v="25235"/>
    <n v="27976"/>
    <n v="3600"/>
    <n v="50832.224749999994"/>
    <n v="-3558.2557324999998"/>
    <n v="47273.969017499992"/>
    <n v="3733.5"/>
  </r>
  <r>
    <x v="59"/>
    <x v="58"/>
    <x v="7"/>
    <x v="7"/>
    <x v="3"/>
    <x v="8"/>
    <x v="4"/>
    <x v="4"/>
    <s v="TekNat"/>
    <n v="6.375"/>
    <n v="2.9750000000000001"/>
    <n v="5.4187500000000002"/>
    <n v="2.5287500000000001"/>
    <n v="20757"/>
    <n v="36082"/>
    <n v="22600"/>
    <n v="152994.4325"/>
    <n v="-10709.610275000001"/>
    <n v="142284.82222499998"/>
    <n v="67235"/>
  </r>
  <r>
    <x v="60"/>
    <x v="59"/>
    <x v="0"/>
    <x v="0"/>
    <x v="0"/>
    <x v="12"/>
    <x v="6"/>
    <x v="6"/>
    <s v="Sam"/>
    <n v="11.833"/>
    <n v="4.7332000000000001"/>
    <n v="10.05805"/>
    <n v="4.0232200000000002"/>
    <n v="26554"/>
    <n v="33465"/>
    <n v="6000"/>
    <n v="260322.45010000002"/>
    <n v="-18222.571507000004"/>
    <n v="242099.878593"/>
    <n v="28399.200000000001"/>
  </r>
  <r>
    <x v="61"/>
    <x v="60"/>
    <x v="1"/>
    <x v="1"/>
    <x v="0"/>
    <x v="12"/>
    <x v="2"/>
    <x v="2"/>
    <s v="Sam"/>
    <n v="11"/>
    <n v="4.4000000000000004"/>
    <n v="9.35"/>
    <n v="3.74"/>
    <n v="26554"/>
    <n v="33465"/>
    <n v="6000"/>
    <n v="241996.7"/>
    <n v="-16939.769000000004"/>
    <n v="225056.93100000001"/>
    <n v="26400.000000000004"/>
  </r>
  <r>
    <x v="62"/>
    <x v="32"/>
    <x v="1"/>
    <x v="1"/>
    <x v="0"/>
    <x v="5"/>
    <x v="2"/>
    <x v="2"/>
    <s v="Sam"/>
    <n v="27"/>
    <n v="13.5"/>
    <n v="22.950000000000003"/>
    <n v="11.475000000000001"/>
    <n v="25235"/>
    <n v="27976"/>
    <n v="3600"/>
    <n v="661697.10000000009"/>
    <n v="-46318.797000000013"/>
    <n v="615378.30300000007"/>
    <n v="48600"/>
  </r>
  <r>
    <x v="63"/>
    <x v="61"/>
    <x v="0"/>
    <x v="0"/>
    <x v="0"/>
    <x v="8"/>
    <x v="6"/>
    <x v="6"/>
    <s v="Sam"/>
    <n v="9.25"/>
    <n v="4.3166666666666664"/>
    <n v="7.8624999999999998"/>
    <n v="3.6691666666666665"/>
    <n v="26554"/>
    <n v="33465"/>
    <n v="6000"/>
    <n v="237413.42916666664"/>
    <n v="-16618.940041666665"/>
    <n v="220794.48912499996"/>
    <n v="25900"/>
  </r>
  <r>
    <x v="64"/>
    <x v="40"/>
    <x v="0"/>
    <x v="0"/>
    <x v="0"/>
    <x v="16"/>
    <x v="6"/>
    <x v="6"/>
    <s v="Sam"/>
    <n v="2"/>
    <n v="0.75"/>
    <n v="1.7"/>
    <n v="0.63749999999999996"/>
    <n v="26554"/>
    <n v="33465"/>
    <n v="6000"/>
    <n v="41249.4375"/>
    <n v="-2887.4606250000002"/>
    <n v="38361.976875"/>
    <n v="4500"/>
  </r>
  <r>
    <x v="65"/>
    <x v="62"/>
    <x v="1"/>
    <x v="1"/>
    <x v="0"/>
    <x v="12"/>
    <x v="2"/>
    <x v="2"/>
    <s v="Sam"/>
    <n v="7.6669999999999998"/>
    <n v="3.0668000000000002"/>
    <n v="6.5169499999999996"/>
    <n v="2.6067800000000001"/>
    <n v="26554"/>
    <n v="33465"/>
    <n v="6000"/>
    <n v="168671.69990000001"/>
    <n v="-11807.018993000002"/>
    <n v="156864.680907"/>
    <n v="18400.800000000003"/>
  </r>
  <r>
    <x v="66"/>
    <x v="63"/>
    <x v="8"/>
    <x v="8"/>
    <x v="3"/>
    <x v="5"/>
    <x v="5"/>
    <x v="5"/>
    <s v="Hum"/>
    <n v="1.875"/>
    <n v="0.9375"/>
    <n v="1.59375"/>
    <n v="0.796875"/>
    <n v="20766"/>
    <n v="17442"/>
    <n v="6000"/>
    <n v="33367.21875"/>
    <n v="-2335.7053125000002"/>
    <n v="31031.513437499998"/>
    <n v="5625"/>
  </r>
  <r>
    <x v="67"/>
    <x v="64"/>
    <x v="2"/>
    <x v="2"/>
    <x v="0"/>
    <x v="21"/>
    <x v="7"/>
    <x v="7"/>
    <s v="Sam"/>
    <n v="12"/>
    <n v="1.92"/>
    <n v="10.199999999999999"/>
    <n v="1.6319999999999999"/>
    <n v="20766"/>
    <n v="17442"/>
    <n v="6000"/>
    <n v="68336.063999999998"/>
    <n v="-4783.52448"/>
    <n v="63552.539519999998"/>
    <n v="11520"/>
  </r>
  <r>
    <x v="67"/>
    <x v="64"/>
    <x v="17"/>
    <x v="17"/>
    <x v="0"/>
    <x v="22"/>
    <x v="7"/>
    <x v="7"/>
    <s v="Sam"/>
    <n v="12"/>
    <n v="2.8800000000000003"/>
    <n v="10.199999999999999"/>
    <n v="2.448"/>
    <n v="20766"/>
    <n v="17442"/>
    <n v="6000"/>
    <n v="102504.09600000001"/>
    <n v="-7175.286720000001"/>
    <n v="95328.809280000001"/>
    <n v="17280.000000000004"/>
  </r>
  <r>
    <x v="67"/>
    <x v="64"/>
    <x v="0"/>
    <x v="0"/>
    <x v="0"/>
    <x v="0"/>
    <x v="7"/>
    <x v="7"/>
    <s v="Sam"/>
    <n v="12"/>
    <n v="2.4000000000000004"/>
    <n v="10.199999999999999"/>
    <n v="2.04"/>
    <n v="20766"/>
    <n v="17442"/>
    <n v="6000"/>
    <n v="85420.080000000016"/>
    <n v="-5979.4056000000019"/>
    <n v="79440.674400000018"/>
    <n v="14400.000000000002"/>
  </r>
  <r>
    <x v="68"/>
    <x v="65"/>
    <x v="18"/>
    <x v="18"/>
    <x v="0"/>
    <x v="12"/>
    <x v="7"/>
    <x v="7"/>
    <s v="Sam"/>
    <n v="9.5"/>
    <n v="3.8000000000000003"/>
    <n v="8.0749999999999993"/>
    <n v="3.23"/>
    <n v="20766"/>
    <n v="17442"/>
    <n v="6000"/>
    <n v="135248.46"/>
    <n v="-9467.3922000000002"/>
    <n v="125781.06779999999"/>
    <n v="22800"/>
  </r>
  <r>
    <x v="68"/>
    <x v="65"/>
    <x v="0"/>
    <x v="0"/>
    <x v="0"/>
    <x v="0"/>
    <x v="7"/>
    <x v="7"/>
    <s v="Sam"/>
    <n v="9.5"/>
    <n v="1.9000000000000001"/>
    <n v="8.0749999999999993"/>
    <n v="1.615"/>
    <n v="20766"/>
    <n v="17442"/>
    <n v="6000"/>
    <n v="67624.23"/>
    <n v="-4733.6961000000001"/>
    <n v="62890.533899999995"/>
    <n v="11400"/>
  </r>
  <r>
    <x v="69"/>
    <x v="66"/>
    <x v="2"/>
    <x v="2"/>
    <x v="0"/>
    <x v="23"/>
    <x v="7"/>
    <x v="7"/>
    <s v="Sam"/>
    <n v="9.5"/>
    <n v="1.7100000000000002"/>
    <n v="8.0749999999999993"/>
    <n v="1.4535"/>
    <n v="20766"/>
    <n v="17442"/>
    <n v="6000"/>
    <n v="60861.807000000001"/>
    <n v="-4260.3264900000004"/>
    <n v="56601.480510000001"/>
    <n v="10260.000000000002"/>
  </r>
  <r>
    <x v="69"/>
    <x v="66"/>
    <x v="17"/>
    <x v="17"/>
    <x v="0"/>
    <x v="24"/>
    <x v="7"/>
    <x v="7"/>
    <s v="Sam"/>
    <n v="9.5"/>
    <n v="2.5649999999999995"/>
    <n v="8.0749999999999993"/>
    <n v="2.1802499999999996"/>
    <n v="20766"/>
    <n v="17442"/>
    <n v="6000"/>
    <n v="91292.710499999986"/>
    <n v="-6390.4897350000001"/>
    <n v="84902.220764999991"/>
    <n v="15389.999999999996"/>
  </r>
  <r>
    <x v="69"/>
    <x v="66"/>
    <x v="0"/>
    <x v="0"/>
    <x v="0"/>
    <x v="25"/>
    <x v="7"/>
    <x v="7"/>
    <s v="Sam"/>
    <n v="9.5"/>
    <n v="0.47500000000000003"/>
    <n v="8.0749999999999993"/>
    <n v="0.40375"/>
    <n v="20766"/>
    <n v="17442"/>
    <n v="6000"/>
    <n v="16906.057499999999"/>
    <n v="-1183.424025"/>
    <n v="15722.633474999999"/>
    <n v="2850"/>
  </r>
  <r>
    <x v="70"/>
    <x v="67"/>
    <x v="9"/>
    <x v="9"/>
    <x v="0"/>
    <x v="5"/>
    <x v="7"/>
    <x v="7"/>
    <s v="Sam"/>
    <n v="0"/>
    <n v="0"/>
    <n v="0"/>
    <n v="0"/>
    <n v="26554"/>
    <n v="33465"/>
    <n v="6000"/>
    <n v="0"/>
    <n v="0"/>
    <n v="0"/>
    <n v="0"/>
  </r>
  <r>
    <x v="71"/>
    <x v="68"/>
    <x v="7"/>
    <x v="7"/>
    <x v="3"/>
    <x v="0"/>
    <x v="2"/>
    <x v="2"/>
    <s v="Sam"/>
    <n v="11.875"/>
    <n v="2.375"/>
    <n v="10.09375"/>
    <n v="2.0187500000000003"/>
    <n v="20766"/>
    <n v="17442"/>
    <n v="6000"/>
    <n v="84530.287500000006"/>
    <n v="-5917.1201250000013"/>
    <n v="78613.167375000005"/>
    <n v="14250"/>
  </r>
  <r>
    <x v="71"/>
    <x v="68"/>
    <x v="11"/>
    <x v="11"/>
    <x v="0"/>
    <x v="0"/>
    <x v="2"/>
    <x v="2"/>
    <s v="Sam"/>
    <n v="11.875"/>
    <n v="2.375"/>
    <n v="10.09375"/>
    <n v="2.0187500000000003"/>
    <n v="20766"/>
    <n v="17442"/>
    <n v="6000"/>
    <n v="84530.287500000006"/>
    <n v="-5917.1201250000013"/>
    <n v="78613.167375000005"/>
    <n v="14250"/>
  </r>
  <r>
    <x v="72"/>
    <x v="69"/>
    <x v="1"/>
    <x v="1"/>
    <x v="0"/>
    <x v="11"/>
    <x v="2"/>
    <x v="2"/>
    <s v="Sam"/>
    <n v="10.7"/>
    <n v="2.8533333333333331"/>
    <n v="9.0949999999999989"/>
    <n v="2.4253333333333331"/>
    <n v="20766"/>
    <n v="17442"/>
    <n v="6000"/>
    <n v="101554.984"/>
    <n v="-7108.8488800000005"/>
    <n v="94446.135119999992"/>
    <n v="17120"/>
  </r>
  <r>
    <x v="72"/>
    <x v="69"/>
    <x v="11"/>
    <x v="11"/>
    <x v="0"/>
    <x v="11"/>
    <x v="2"/>
    <x v="2"/>
    <s v="Sam"/>
    <n v="10.7"/>
    <n v="2.8533333333333331"/>
    <n v="9.0949999999999989"/>
    <n v="2.4253333333333331"/>
    <n v="20766"/>
    <n v="17442"/>
    <n v="6000"/>
    <n v="101554.984"/>
    <n v="-7108.8488800000005"/>
    <n v="94446.135119999992"/>
    <n v="17120"/>
  </r>
  <r>
    <x v="73"/>
    <x v="70"/>
    <x v="0"/>
    <x v="0"/>
    <x v="0"/>
    <x v="10"/>
    <x v="6"/>
    <x v="6"/>
    <s v="Sam"/>
    <n v="22.575000000000003"/>
    <n v="7.5250000000000004"/>
    <n v="19.188749999999999"/>
    <n v="6.3962499999999993"/>
    <n v="36229.199999999997"/>
    <n v="35006.800000000003"/>
    <n v="6000"/>
    <n v="496536.97450000001"/>
    <n v="-34757.588215000003"/>
    <n v="461779.38628500002"/>
    <n v="45150"/>
  </r>
  <r>
    <x v="74"/>
    <x v="71"/>
    <x v="11"/>
    <x v="11"/>
    <x v="0"/>
    <x v="5"/>
    <x v="2"/>
    <x v="2"/>
    <s v="Sam"/>
    <n v="13.875"/>
    <n v="6.9375"/>
    <n v="11.793749999999999"/>
    <n v="5.8968749999999996"/>
    <n v="20766"/>
    <n v="17442"/>
    <n v="6000"/>
    <n v="246917.41875000001"/>
    <n v="-17284.219312500001"/>
    <n v="229633.19943750001"/>
    <n v="41625"/>
  </r>
  <r>
    <x v="75"/>
    <x v="72"/>
    <x v="8"/>
    <x v="8"/>
    <x v="3"/>
    <x v="5"/>
    <x v="5"/>
    <x v="5"/>
    <s v="Hum"/>
    <n v="20"/>
    <n v="10"/>
    <n v="17"/>
    <n v="8.5"/>
    <n v="20766"/>
    <n v="17442"/>
    <n v="6000"/>
    <n v="355917"/>
    <n v="-24914.190000000002"/>
    <n v="331002.81"/>
    <n v="60000"/>
  </r>
  <r>
    <x v="76"/>
    <x v="73"/>
    <x v="8"/>
    <x v="8"/>
    <x v="3"/>
    <x v="5"/>
    <x v="5"/>
    <x v="5"/>
    <s v="Hum"/>
    <n v="15.5"/>
    <n v="7.75"/>
    <n v="13.174999999999999"/>
    <n v="6.5874999999999995"/>
    <n v="20766"/>
    <n v="17442"/>
    <n v="6000"/>
    <n v="275835.67499999999"/>
    <n v="-19308.49725"/>
    <n v="256527.17774999997"/>
    <n v="46500"/>
  </r>
  <r>
    <x v="77"/>
    <x v="74"/>
    <x v="8"/>
    <x v="8"/>
    <x v="3"/>
    <x v="5"/>
    <x v="5"/>
    <x v="5"/>
    <s v="Hum"/>
    <n v="7"/>
    <n v="3.5"/>
    <n v="5.95"/>
    <n v="2.9750000000000001"/>
    <n v="20766"/>
    <n v="17442"/>
    <n v="6000"/>
    <n v="124570.95000000001"/>
    <n v="-8719.9665000000023"/>
    <n v="115850.9835"/>
    <n v="21000"/>
  </r>
  <r>
    <x v="78"/>
    <x v="75"/>
    <x v="16"/>
    <x v="16"/>
    <x v="0"/>
    <x v="26"/>
    <x v="6"/>
    <x v="6"/>
    <s v="Sam"/>
    <n v="5.1669999999999998"/>
    <n v="3.6168999999999998"/>
    <n v="4.3919499999999996"/>
    <n v="3.0743649999999993"/>
    <n v="20766"/>
    <n v="17442"/>
    <n v="6000"/>
    <n v="128731.61972999999"/>
    <n v="-9011.2133811000003"/>
    <n v="119720.4063489"/>
    <n v="21701.399999999998"/>
  </r>
  <r>
    <x v="78"/>
    <x v="75"/>
    <x v="0"/>
    <x v="0"/>
    <x v="0"/>
    <x v="19"/>
    <x v="6"/>
    <x v="6"/>
    <s v="Sam"/>
    <n v="5.1669999999999998"/>
    <n v="1.5500999999999998"/>
    <n v="4.3919499999999996"/>
    <n v="1.3175849999999998"/>
    <n v="20766"/>
    <n v="17442"/>
    <n v="6000"/>
    <n v="55170.694169999988"/>
    <n v="-3861.9485918999994"/>
    <n v="51308.745578099988"/>
    <n v="9300.5999999999985"/>
  </r>
  <r>
    <x v="79"/>
    <x v="76"/>
    <x v="0"/>
    <x v="0"/>
    <x v="0"/>
    <x v="27"/>
    <x v="6"/>
    <x v="6"/>
    <s v="Sam"/>
    <n v="0"/>
    <n v="0"/>
    <n v="0"/>
    <n v="0"/>
    <n v="20766"/>
    <n v="17442"/>
    <n v="6000"/>
    <n v="0"/>
    <n v="0"/>
    <n v="0"/>
    <n v="0"/>
  </r>
  <r>
    <x v="80"/>
    <x v="77"/>
    <x v="0"/>
    <x v="0"/>
    <x v="0"/>
    <x v="12"/>
    <x v="6"/>
    <x v="6"/>
    <s v="Sam"/>
    <n v="3.5833333333333335"/>
    <n v="1.4333333333333336"/>
    <n v="3.0458333333333334"/>
    <n v="1.2183333333333335"/>
    <n v="20766"/>
    <n v="17442"/>
    <n v="6000"/>
    <n v="51014.770000000004"/>
    <n v="-3571.0339000000008"/>
    <n v="47443.736100000002"/>
    <n v="8600.0000000000018"/>
  </r>
  <r>
    <x v="81"/>
    <x v="78"/>
    <x v="19"/>
    <x v="19"/>
    <x v="4"/>
    <x v="28"/>
    <x v="8"/>
    <x v="8"/>
    <m/>
    <m/>
    <m/>
    <m/>
    <m/>
    <m/>
    <m/>
    <m/>
    <m/>
    <m/>
    <m/>
    <m/>
  </r>
</pivotCacheRecords>
</file>

<file path=xl/pivotCache/pivotCacheRecords4.xml><?xml version="1.0" encoding="utf-8"?>
<pivotCacheRecords xmlns="http://schemas.openxmlformats.org/spreadsheetml/2006/main" xmlns:r="http://schemas.openxmlformats.org/officeDocument/2006/relationships" count="1041">
  <r>
    <s v="1FR001"/>
    <s v="Franska, Kvalifikationskurs"/>
    <n v="14200"/>
    <s v="LYAGY"/>
    <m/>
    <s v="vt"/>
    <m/>
    <s v="Umeå"/>
    <s v="Normal"/>
    <s v="MATT"/>
    <m/>
    <m/>
    <n v="7.5"/>
    <m/>
    <m/>
    <n v="1"/>
    <n v="0.125"/>
    <n v="0.85"/>
    <n v="0.10625"/>
    <x v="0"/>
    <s v="Inst för språkstudier"/>
    <s v="Hum"/>
    <s v="Ämneslärarprogrammet - Gy"/>
    <n v="20766"/>
    <n v="17442"/>
    <n v="4448.9624999999996"/>
    <n v="6000"/>
    <n v="750"/>
    <n v="5198.9624999999996"/>
    <n v="0"/>
    <n v="1"/>
    <n v="0"/>
    <n v="0"/>
    <n v="0"/>
    <n v="0"/>
    <n v="0"/>
    <n v="0"/>
    <n v="0"/>
    <n v="0"/>
    <n v="0"/>
    <n v="0"/>
  </r>
  <r>
    <s v="1FR002"/>
    <s v="Franska, Påfartskurs"/>
    <n v="14209"/>
    <s v="LYAGY"/>
    <m/>
    <s v="vt"/>
    <m/>
    <s v="Umeå"/>
    <s v="Normal"/>
    <s v="MATT"/>
    <m/>
    <m/>
    <n v="7.5"/>
    <m/>
    <m/>
    <n v="1"/>
    <n v="0.125"/>
    <n v="0.85"/>
    <n v="0.10625"/>
    <x v="0"/>
    <s v="Inst för språkstudier"/>
    <s v="Hum"/>
    <s v="Ämneslärarprogrammet - Gy"/>
    <n v="20766"/>
    <n v="17442"/>
    <n v="4448.9624999999996"/>
    <n v="6000"/>
    <n v="750"/>
    <n v="5198.9624999999996"/>
    <n v="0"/>
    <n v="1"/>
    <n v="0"/>
    <n v="0"/>
    <n v="0"/>
    <n v="0"/>
    <n v="0"/>
    <n v="0"/>
    <n v="0"/>
    <n v="0"/>
    <n v="0"/>
    <n v="0"/>
  </r>
  <r>
    <s v="2NE086"/>
    <s v="Introduktion till samhällsekonomi"/>
    <n v="23116"/>
    <s v="LYSYV"/>
    <m/>
    <s v="vt"/>
    <m/>
    <s v="Umeå"/>
    <s v="Normal"/>
    <s v="REGU"/>
    <m/>
    <m/>
    <n v="7.5"/>
    <m/>
    <m/>
    <n v="1"/>
    <n v="0.125"/>
    <n v="0.85"/>
    <n v="0.10625"/>
    <x v="1"/>
    <s v="Nationalekonomi               "/>
    <s v="Sam"/>
    <s v="Studie- och yrkesvägledarprogram"/>
    <n v="20766"/>
    <n v="17442"/>
    <n v="4448.9624999999996"/>
    <n v="6000"/>
    <n v="750"/>
    <n v="5198.9624999999996"/>
    <n v="0"/>
    <n v="0"/>
    <n v="0"/>
    <n v="0"/>
    <n v="0"/>
    <n v="0"/>
    <n v="1"/>
    <n v="0"/>
    <n v="0"/>
    <n v="0"/>
    <n v="0"/>
    <n v="0"/>
  </r>
  <r>
    <s v="5BI137"/>
    <s v="Fysiologi och cellbiologi"/>
    <n v="50917"/>
    <s v="LYAGY"/>
    <m/>
    <s v="vt"/>
    <m/>
    <s v="Umeå"/>
    <s v="Normal"/>
    <s v="BIOL"/>
    <m/>
    <m/>
    <n v="15"/>
    <m/>
    <m/>
    <n v="2"/>
    <n v="0.5"/>
    <n v="0.85"/>
    <n v="0.42499999999999999"/>
    <x v="2"/>
    <s v="Inst för Fysiologisk botanik  "/>
    <s v="TekNat"/>
    <s v="Ämneslärarprogrammet - Gy"/>
    <n v="20757"/>
    <n v="36082"/>
    <n v="25713.35"/>
    <n v="22600"/>
    <n v="11300"/>
    <n v="37013.35"/>
    <n v="0"/>
    <n v="0"/>
    <n v="0"/>
    <n v="0"/>
    <n v="0"/>
    <n v="1"/>
    <n v="0"/>
    <n v="0"/>
    <n v="0"/>
    <n v="0"/>
    <n v="0"/>
    <n v="0"/>
  </r>
  <r>
    <s v="5BI137"/>
    <s v="Fysiologi och cellbiologi"/>
    <n v="50917"/>
    <s v="LYAGY"/>
    <m/>
    <s v="vt"/>
    <m/>
    <s v="Umeå"/>
    <s v="Normal"/>
    <s v="ENGS"/>
    <m/>
    <m/>
    <n v="15"/>
    <m/>
    <m/>
    <n v="1"/>
    <n v="0.25"/>
    <n v="0.85"/>
    <n v="0.21249999999999999"/>
    <x v="2"/>
    <s v="Inst för Fysiologisk botanik  "/>
    <s v="TekNat"/>
    <s v="Ämneslärarprogrammet - Gy"/>
    <n v="20757"/>
    <n v="36082"/>
    <n v="12856.674999999999"/>
    <n v="22600"/>
    <n v="5650"/>
    <n v="18506.674999999999"/>
    <n v="0"/>
    <n v="0"/>
    <n v="0"/>
    <n v="0"/>
    <n v="0"/>
    <n v="1"/>
    <n v="0"/>
    <n v="0"/>
    <n v="0"/>
    <n v="0"/>
    <n v="0"/>
    <n v="0"/>
  </r>
  <r>
    <s v="5BI137"/>
    <s v="Fysiologi och cellbiologi"/>
    <n v="50917"/>
    <s v="LYAGY"/>
    <m/>
    <s v="vt"/>
    <m/>
    <s v="Umeå"/>
    <s v="Normal"/>
    <s v="IDRH"/>
    <m/>
    <m/>
    <n v="15"/>
    <m/>
    <m/>
    <n v="2"/>
    <n v="0.5"/>
    <n v="0.85"/>
    <n v="0.42499999999999999"/>
    <x v="2"/>
    <s v="Inst för Fysiologisk botanik  "/>
    <s v="TekNat"/>
    <s v="Ämneslärarprogrammet - Gy"/>
    <n v="20757"/>
    <n v="36082"/>
    <n v="25713.35"/>
    <n v="22600"/>
    <n v="11300"/>
    <n v="37013.35"/>
    <n v="0"/>
    <n v="0"/>
    <n v="0"/>
    <n v="0"/>
    <n v="0"/>
    <n v="1"/>
    <n v="0"/>
    <n v="0"/>
    <n v="0"/>
    <n v="0"/>
    <n v="0"/>
    <n v="0"/>
  </r>
  <r>
    <s v="5BI137"/>
    <s v="Fysiologi och cellbiologi"/>
    <n v="50917"/>
    <s v="LYAGY"/>
    <m/>
    <s v="vt"/>
    <m/>
    <s v="Umeå"/>
    <s v="Normal"/>
    <s v="MATT"/>
    <m/>
    <m/>
    <n v="15"/>
    <m/>
    <m/>
    <n v="2"/>
    <n v="0.5"/>
    <n v="0.85"/>
    <n v="0.42499999999999999"/>
    <x v="2"/>
    <s v="Inst för Fysiologisk botanik  "/>
    <s v="TekNat"/>
    <s v="Ämneslärarprogrammet - Gy"/>
    <n v="20757"/>
    <n v="36082"/>
    <n v="25713.35"/>
    <n v="22600"/>
    <n v="11300"/>
    <n v="37013.35"/>
    <n v="0"/>
    <n v="0"/>
    <n v="0"/>
    <n v="0"/>
    <n v="0"/>
    <n v="1"/>
    <n v="0"/>
    <n v="0"/>
    <n v="0"/>
    <n v="0"/>
    <n v="0"/>
    <n v="0"/>
  </r>
  <r>
    <s v="5BI137"/>
    <s v="Fysiologi och cellbiologi"/>
    <n v="50917"/>
    <s v="LYAGY"/>
    <m/>
    <s v="vt"/>
    <m/>
    <s v="Umeå"/>
    <s v="Normal"/>
    <m/>
    <m/>
    <m/>
    <n v="15"/>
    <m/>
    <m/>
    <n v="1"/>
    <n v="0.25"/>
    <n v="0.85"/>
    <n v="0.21249999999999999"/>
    <x v="2"/>
    <s v="Inst för Fysiologisk botanik  "/>
    <s v="TekNat"/>
    <s v="Ämneslärarprogrammet - Gy"/>
    <n v="20757"/>
    <n v="36082"/>
    <n v="12856.674999999999"/>
    <n v="22600"/>
    <n v="5650"/>
    <n v="18506.674999999999"/>
    <n v="0"/>
    <n v="0"/>
    <n v="0"/>
    <n v="0"/>
    <n v="0"/>
    <n v="1"/>
    <n v="0"/>
    <n v="0"/>
    <n v="0"/>
    <n v="0"/>
    <n v="0"/>
    <n v="0"/>
  </r>
  <r>
    <s v="5BI234"/>
    <s v="Ekologi"/>
    <n v="50205"/>
    <s v="LYAGY"/>
    <m/>
    <s v="vt"/>
    <m/>
    <s v="Umeå"/>
    <s v="Normal"/>
    <s v="BIOL"/>
    <m/>
    <m/>
    <n v="15"/>
    <m/>
    <m/>
    <n v="4"/>
    <n v="1"/>
    <n v="0.85"/>
    <n v="0.85"/>
    <x v="3"/>
    <s v="EMG"/>
    <s v="TekNat"/>
    <s v="Ämneslärarprogrammet - Gy"/>
    <n v="20757"/>
    <n v="36082"/>
    <n v="51426.7"/>
    <n v="22600"/>
    <n v="22600"/>
    <n v="74026.7"/>
    <n v="0"/>
    <n v="0"/>
    <n v="0"/>
    <n v="0"/>
    <n v="0"/>
    <n v="1"/>
    <n v="0"/>
    <n v="0"/>
    <n v="0"/>
    <n v="0"/>
    <n v="0"/>
    <n v="0"/>
  </r>
  <r>
    <s v="5BI234"/>
    <s v="Ekologi"/>
    <n v="50205"/>
    <s v="LYAGY"/>
    <m/>
    <s v="vt"/>
    <m/>
    <s v="Umeå"/>
    <s v="Normal"/>
    <s v="ENGS"/>
    <m/>
    <m/>
    <n v="15"/>
    <m/>
    <m/>
    <n v="1"/>
    <n v="0.25"/>
    <n v="0.85"/>
    <n v="0.21249999999999999"/>
    <x v="3"/>
    <s v="EMG"/>
    <s v="TekNat"/>
    <s v="Ämneslärarprogrammet - Gy"/>
    <n v="20757"/>
    <n v="36082"/>
    <n v="12856.674999999999"/>
    <n v="22600"/>
    <n v="5650"/>
    <n v="18506.674999999999"/>
    <n v="0"/>
    <n v="0"/>
    <n v="0"/>
    <n v="0"/>
    <n v="0"/>
    <n v="1"/>
    <n v="0"/>
    <n v="0"/>
    <n v="0"/>
    <n v="0"/>
    <n v="0"/>
    <n v="0"/>
  </r>
  <r>
    <s v="5BI234"/>
    <s v="Ekologi"/>
    <n v="50205"/>
    <s v="LYAGY"/>
    <m/>
    <s v="vt"/>
    <m/>
    <s v="Umeå"/>
    <s v="Normal"/>
    <s v="IDRH"/>
    <m/>
    <m/>
    <n v="15"/>
    <m/>
    <m/>
    <n v="1"/>
    <n v="0.25"/>
    <n v="0.85"/>
    <n v="0.21249999999999999"/>
    <x v="3"/>
    <s v="EMG"/>
    <s v="TekNat"/>
    <s v="Ämneslärarprogrammet - Gy"/>
    <n v="20757"/>
    <n v="36082"/>
    <n v="12856.674999999999"/>
    <n v="22600"/>
    <n v="5650"/>
    <n v="18506.674999999999"/>
    <n v="0"/>
    <n v="0"/>
    <n v="0"/>
    <n v="0"/>
    <n v="0"/>
    <n v="1"/>
    <n v="0"/>
    <n v="0"/>
    <n v="0"/>
    <n v="0"/>
    <n v="0"/>
    <n v="0"/>
  </r>
  <r>
    <s v="5BI235"/>
    <s v="Ekologi A"/>
    <n v="50208"/>
    <s v="LYAGY"/>
    <m/>
    <s v="vt"/>
    <m/>
    <s v="Umeå"/>
    <s v="Distans"/>
    <s v="BIOL"/>
    <m/>
    <m/>
    <n v="15"/>
    <m/>
    <m/>
    <n v="4"/>
    <n v="1"/>
    <n v="0.85"/>
    <n v="0.85"/>
    <x v="3"/>
    <s v="EMG"/>
    <s v="TekNat"/>
    <s v="Ämneslärarprogrammet - Gy"/>
    <n v="20757"/>
    <n v="36082"/>
    <n v="51426.7"/>
    <n v="22600"/>
    <n v="22600"/>
    <n v="74026.7"/>
    <n v="0"/>
    <n v="0"/>
    <n v="0"/>
    <n v="0"/>
    <n v="0"/>
    <n v="1"/>
    <n v="0"/>
    <n v="0"/>
    <n v="0"/>
    <n v="0"/>
    <n v="0"/>
    <n v="0"/>
  </r>
  <r>
    <s v="5BI235"/>
    <s v="Ekologi A"/>
    <n v="50208"/>
    <s v="LYAGY"/>
    <m/>
    <s v="vt"/>
    <m/>
    <s v="Umeå"/>
    <s v="Distans"/>
    <s v="IDRH"/>
    <m/>
    <m/>
    <n v="15"/>
    <m/>
    <m/>
    <n v="2"/>
    <n v="0.5"/>
    <n v="0.85"/>
    <n v="0.42499999999999999"/>
    <x v="3"/>
    <s v="EMG"/>
    <s v="TekNat"/>
    <s v="Ämneslärarprogrammet - Gy"/>
    <n v="20757"/>
    <n v="36082"/>
    <n v="25713.35"/>
    <n v="22600"/>
    <n v="11300"/>
    <n v="37013.35"/>
    <n v="0"/>
    <n v="0"/>
    <n v="0"/>
    <n v="0"/>
    <n v="0"/>
    <n v="1"/>
    <n v="0"/>
    <n v="0"/>
    <n v="0"/>
    <n v="0"/>
    <n v="0"/>
    <n v="0"/>
  </r>
  <r>
    <s v="5BI235"/>
    <s v="Ekologi A"/>
    <n v="50208"/>
    <s v="LYAGY"/>
    <m/>
    <s v="vt"/>
    <m/>
    <s v="Umeå"/>
    <s v="Distans"/>
    <s v="MATT"/>
    <m/>
    <m/>
    <n v="15"/>
    <m/>
    <m/>
    <n v="1"/>
    <n v="0.25"/>
    <n v="0.85"/>
    <n v="0.21249999999999999"/>
    <x v="3"/>
    <s v="EMG"/>
    <s v="TekNat"/>
    <s v="Ämneslärarprogrammet - Gy"/>
    <n v="20757"/>
    <n v="36082"/>
    <n v="12856.674999999999"/>
    <n v="22600"/>
    <n v="5650"/>
    <n v="18506.674999999999"/>
    <n v="0"/>
    <n v="0"/>
    <n v="0"/>
    <n v="0"/>
    <n v="0"/>
    <n v="1"/>
    <n v="0"/>
    <n v="0"/>
    <n v="0"/>
    <n v="0"/>
    <n v="0"/>
    <n v="0"/>
  </r>
  <r>
    <s v="5BI235"/>
    <s v="Ekologi A"/>
    <n v="50208"/>
    <s v="LYAGY"/>
    <m/>
    <s v="vt"/>
    <m/>
    <s v="Umeå"/>
    <s v="Distans"/>
    <m/>
    <m/>
    <m/>
    <n v="15"/>
    <m/>
    <m/>
    <n v="1"/>
    <n v="0.25"/>
    <n v="0.85"/>
    <n v="0.21249999999999999"/>
    <x v="3"/>
    <s v="EMG"/>
    <s v="TekNat"/>
    <s v="Ämneslärarprogrammet - Gy"/>
    <n v="20757"/>
    <n v="36082"/>
    <n v="12856.674999999999"/>
    <n v="22600"/>
    <n v="5650"/>
    <n v="18506.674999999999"/>
    <n v="0"/>
    <n v="0"/>
    <n v="0"/>
    <n v="0"/>
    <n v="0"/>
    <n v="1"/>
    <n v="0"/>
    <n v="0"/>
    <n v="0"/>
    <n v="0"/>
    <n v="0"/>
    <n v="0"/>
  </r>
  <r>
    <s v="5FY040"/>
    <s v="Klassisk mekanik A"/>
    <n v="53164"/>
    <s v="LYAGY"/>
    <m/>
    <s v="vt"/>
    <m/>
    <s v="Umeå"/>
    <s v="Normal"/>
    <s v="MATT"/>
    <m/>
    <m/>
    <n v="7.5"/>
    <m/>
    <m/>
    <n v="1"/>
    <n v="0.125"/>
    <n v="0.85"/>
    <n v="0.10625"/>
    <x v="4"/>
    <s v="Inst för Fysik                "/>
    <s v="TekNat"/>
    <s v="Ämneslärarprogrammet - Gy"/>
    <n v="20757"/>
    <n v="36082"/>
    <n v="6428.3374999999996"/>
    <n v="22600"/>
    <n v="2825"/>
    <n v="9253.3374999999996"/>
    <n v="0"/>
    <n v="0"/>
    <n v="0"/>
    <n v="0"/>
    <n v="0"/>
    <n v="0"/>
    <n v="0"/>
    <n v="1"/>
    <n v="0"/>
    <n v="0"/>
    <n v="0"/>
    <n v="0"/>
  </r>
  <r>
    <s v="5FY185"/>
    <s v="Solceller, 7,5 hp"/>
    <n v="53137"/>
    <s v="LYAGY"/>
    <m/>
    <s v="vt"/>
    <m/>
    <s v="Umeå"/>
    <s v="Normal"/>
    <s v="MATT"/>
    <m/>
    <m/>
    <n v="7.5"/>
    <m/>
    <m/>
    <n v="1"/>
    <n v="0.125"/>
    <n v="0.85"/>
    <n v="0.10625"/>
    <x v="4"/>
    <s v="Inst för Fysik                "/>
    <s v="TekNat"/>
    <s v="Ämneslärarprogrammet - Gy"/>
    <n v="20757"/>
    <n v="36082"/>
    <n v="6428.3374999999996"/>
    <n v="22600"/>
    <n v="2825"/>
    <n v="9253.3374999999996"/>
    <n v="0"/>
    <n v="0"/>
    <n v="0"/>
    <n v="0"/>
    <n v="0"/>
    <n v="0.5"/>
    <n v="0"/>
    <n v="0.5"/>
    <n v="0"/>
    <n v="0"/>
    <n v="0"/>
    <n v="0"/>
  </r>
  <r>
    <s v="5FY210"/>
    <s v="Introduktion till fasta tillståndets fysik"/>
    <n v="53112"/>
    <s v="LYAGY"/>
    <m/>
    <s v="vt"/>
    <m/>
    <s v="Umeå"/>
    <s v="Normal"/>
    <s v="MATT"/>
    <m/>
    <m/>
    <n v="7.5"/>
    <m/>
    <m/>
    <n v="1"/>
    <n v="0.125"/>
    <n v="0.85"/>
    <n v="0.10625"/>
    <x v="4"/>
    <s v="Inst för Fysik                "/>
    <s v="TekNat"/>
    <s v="Ämneslärarprogrammet - Gy"/>
    <n v="20757"/>
    <n v="36082"/>
    <n v="6428.3374999999996"/>
    <n v="22600"/>
    <n v="2825"/>
    <n v="9253.3374999999996"/>
    <n v="0"/>
    <n v="0"/>
    <n v="0"/>
    <n v="0"/>
    <n v="0"/>
    <n v="0.5"/>
    <n v="0"/>
    <n v="0.5"/>
    <n v="0"/>
    <n v="0"/>
    <n v="0"/>
    <n v="0"/>
  </r>
  <r>
    <s v="5KE020"/>
    <s v="Biokemi 15 hp"/>
    <n v="56132"/>
    <s v="LYAGY"/>
    <m/>
    <s v="vt"/>
    <m/>
    <s v="Umeå"/>
    <s v="Normal"/>
    <s v="MATT"/>
    <m/>
    <m/>
    <n v="15"/>
    <m/>
    <m/>
    <n v="1"/>
    <n v="0.25"/>
    <n v="0.85"/>
    <n v="0.21249999999999999"/>
    <x v="5"/>
    <s v="Kemiska institutionen         "/>
    <s v="TekNat"/>
    <s v="Ämneslärarprogrammet - Gy"/>
    <n v="20757"/>
    <n v="36082"/>
    <n v="12856.674999999999"/>
    <n v="22600"/>
    <n v="5650"/>
    <n v="18506.674999999999"/>
    <n v="0"/>
    <n v="0"/>
    <n v="0"/>
    <n v="0"/>
    <n v="0"/>
    <n v="0"/>
    <n v="0"/>
    <n v="1"/>
    <n v="0"/>
    <n v="0"/>
    <n v="0"/>
    <n v="0"/>
  </r>
  <r>
    <s v="5KE081"/>
    <s v="Analytisk kemi"/>
    <n v="56103"/>
    <s v="LYKPU"/>
    <m/>
    <s v="vt"/>
    <m/>
    <s v="Umeå"/>
    <s v="Normal"/>
    <m/>
    <m/>
    <m/>
    <n v="15"/>
    <m/>
    <m/>
    <n v="1"/>
    <n v="0.25"/>
    <n v="0.85"/>
    <n v="0.21249999999999999"/>
    <x v="5"/>
    <s v="Kemiska institutionen         "/>
    <s v="TekNat"/>
    <s v="KPU - åk 7-9 och Gy"/>
    <n v="20757"/>
    <n v="36082"/>
    <n v="12856.674999999999"/>
    <n v="22600"/>
    <n v="5650"/>
    <n v="18506.674999999999"/>
    <n v="0"/>
    <n v="0"/>
    <n v="0"/>
    <n v="0"/>
    <n v="0"/>
    <n v="0"/>
    <n v="0"/>
    <n v="1"/>
    <n v="0"/>
    <n v="0"/>
    <n v="0"/>
    <n v="0"/>
  </r>
  <r>
    <s v="5KE165"/>
    <s v="Kemins grunder"/>
    <n v="56113"/>
    <s v="LYAGY"/>
    <m/>
    <s v="vt"/>
    <m/>
    <s v="Umeå"/>
    <s v="Normal"/>
    <s v="BIOL"/>
    <m/>
    <m/>
    <n v="15"/>
    <m/>
    <m/>
    <n v="1"/>
    <n v="0.25"/>
    <n v="0.85"/>
    <n v="0.21249999999999999"/>
    <x v="5"/>
    <s v="Kemiska institutionen         "/>
    <s v="TekNat"/>
    <s v="Ämneslärarprogrammet - Gy"/>
    <n v="20757"/>
    <n v="36082"/>
    <n v="12856.674999999999"/>
    <n v="22600"/>
    <n v="5650"/>
    <n v="18506.674999999999"/>
    <n v="0"/>
    <n v="0"/>
    <n v="0"/>
    <n v="0"/>
    <n v="0"/>
    <n v="0.5"/>
    <n v="0"/>
    <n v="0.5"/>
    <n v="0"/>
    <n v="0"/>
    <n v="0"/>
    <n v="0"/>
  </r>
  <r>
    <s v="5KE165"/>
    <s v="Kemins grunder"/>
    <n v="56113"/>
    <s v="LYAGY"/>
    <m/>
    <s v="vt"/>
    <m/>
    <s v="Umeå"/>
    <s v="Normal"/>
    <s v="MATT"/>
    <m/>
    <m/>
    <n v="15"/>
    <m/>
    <m/>
    <n v="5"/>
    <n v="1.25"/>
    <n v="0.85"/>
    <n v="1.0625"/>
    <x v="5"/>
    <s v="Kemiska institutionen         "/>
    <s v="TekNat"/>
    <s v="Ämneslärarprogrammet - Gy"/>
    <n v="20757"/>
    <n v="36082"/>
    <n v="64283.375"/>
    <n v="22600"/>
    <n v="28250"/>
    <n v="92533.375"/>
    <n v="0"/>
    <n v="0"/>
    <n v="0"/>
    <n v="0"/>
    <n v="0"/>
    <n v="0.5"/>
    <n v="0"/>
    <n v="0.5"/>
    <n v="0"/>
    <n v="0"/>
    <n v="0"/>
    <n v="0"/>
  </r>
  <r>
    <s v="5KE165"/>
    <s v="Kemins grunder"/>
    <n v="56113"/>
    <s v="LYAGY"/>
    <m/>
    <s v="vt"/>
    <m/>
    <s v="Umeå"/>
    <s v="Normal"/>
    <s v="NATU"/>
    <m/>
    <m/>
    <n v="15"/>
    <m/>
    <m/>
    <n v="1"/>
    <n v="0.25"/>
    <n v="0.85"/>
    <n v="0.21249999999999999"/>
    <x v="5"/>
    <s v="Kemiska institutionen         "/>
    <s v="TekNat"/>
    <s v="Ämneslärarprogrammet - Gy"/>
    <n v="20757"/>
    <n v="36082"/>
    <n v="12856.674999999999"/>
    <n v="22600"/>
    <n v="5650"/>
    <n v="18506.674999999999"/>
    <n v="0"/>
    <n v="0"/>
    <n v="0"/>
    <n v="0"/>
    <n v="0"/>
    <n v="0.5"/>
    <n v="0"/>
    <n v="0.5"/>
    <n v="0"/>
    <n v="0"/>
    <n v="0"/>
    <n v="0"/>
  </r>
  <r>
    <s v="5KE180"/>
    <s v="Organisk kemi"/>
    <n v="56112"/>
    <s v="LYAGY"/>
    <m/>
    <s v="vt"/>
    <m/>
    <s v="Umeå"/>
    <s v="Normal"/>
    <s v="BIOL"/>
    <m/>
    <m/>
    <n v="15"/>
    <m/>
    <m/>
    <n v="1"/>
    <n v="0.25"/>
    <n v="0.85"/>
    <n v="0.21249999999999999"/>
    <x v="5"/>
    <s v="Kemiska institutionen         "/>
    <s v="TekNat"/>
    <s v="Ämneslärarprogrammet - Gy"/>
    <n v="20757"/>
    <n v="36082"/>
    <n v="12856.674999999999"/>
    <n v="22600"/>
    <n v="5650"/>
    <n v="18506.674999999999"/>
    <n v="0"/>
    <n v="0"/>
    <n v="0"/>
    <n v="0"/>
    <n v="0"/>
    <n v="1"/>
    <n v="0"/>
    <n v="0"/>
    <n v="0"/>
    <n v="0"/>
    <n v="0"/>
    <n v="0"/>
  </r>
  <r>
    <s v="5KE195"/>
    <s v="Molekylär spektroskopi och diffraktion"/>
    <m/>
    <s v="LYAGY"/>
    <s v="H18"/>
    <s v="ht"/>
    <s v="H211-5"/>
    <s v="Umeå"/>
    <m/>
    <s v="BIOL"/>
    <m/>
    <n v="1"/>
    <n v="7.5"/>
    <m/>
    <m/>
    <n v="1"/>
    <n v="0.125"/>
    <n v="0.85"/>
    <n v="0.10625"/>
    <x v="5"/>
    <s v="Kemiska institutionen         "/>
    <s v="TekNat"/>
    <s v="Ämneslärarprogrammet - Gy"/>
    <n v="20757"/>
    <n v="36082"/>
    <n v="6428.3374999999996"/>
    <n v="22600"/>
    <n v="2825"/>
    <n v="9253.3374999999996"/>
    <n v="0"/>
    <n v="0"/>
    <n v="0"/>
    <n v="0"/>
    <n v="0"/>
    <n v="0.5"/>
    <n v="0"/>
    <n v="0.5"/>
    <n v="0"/>
    <n v="0"/>
    <n v="0"/>
    <n v="0"/>
  </r>
  <r>
    <s v="5KE196"/>
    <s v="Kemisk och molekylär termodynamik"/>
    <m/>
    <s v="LYAGY"/>
    <s v="H18"/>
    <s v="ht"/>
    <s v="H216-10"/>
    <s v="Umeå"/>
    <m/>
    <s v="BIOL"/>
    <m/>
    <n v="1"/>
    <n v="7.5"/>
    <m/>
    <m/>
    <n v="1"/>
    <n v="0.125"/>
    <n v="0.85"/>
    <n v="0.10625"/>
    <x v="5"/>
    <s v="Kemiska institutionen         "/>
    <s v="TekNat"/>
    <s v="Ämneslärarprogrammet - Gy"/>
    <n v="20757"/>
    <n v="36082"/>
    <n v="6428.3374999999996"/>
    <n v="22600"/>
    <n v="2825"/>
    <n v="9253.3374999999996"/>
    <n v="0"/>
    <n v="0"/>
    <n v="0"/>
    <n v="0"/>
    <n v="0"/>
    <n v="0.5"/>
    <n v="0"/>
    <n v="0.5"/>
    <n v="0"/>
    <n v="0"/>
    <n v="0"/>
    <n v="0"/>
  </r>
  <r>
    <s v="5MA160"/>
    <s v="Linjär algebra"/>
    <n v="58106"/>
    <s v="LYAGY"/>
    <m/>
    <s v="vt"/>
    <m/>
    <s v="Umeå"/>
    <s v="Normal"/>
    <s v="MATT"/>
    <m/>
    <m/>
    <n v="7.5"/>
    <m/>
    <m/>
    <n v="1"/>
    <n v="0.125"/>
    <n v="0.85"/>
    <n v="0.10625"/>
    <x v="6"/>
    <s v="Inst för MA och MA statistik"/>
    <s v="TekNat"/>
    <s v="Ämneslärarprogrammet - Gy"/>
    <n v="20757"/>
    <n v="36082"/>
    <n v="6428.3374999999996"/>
    <n v="22600"/>
    <n v="2825"/>
    <n v="9253.3374999999996"/>
    <n v="0"/>
    <n v="0"/>
    <n v="0"/>
    <n v="0"/>
    <n v="0"/>
    <n v="0.5"/>
    <n v="0"/>
    <n v="0.5"/>
    <n v="0"/>
    <n v="0"/>
    <n v="0"/>
    <n v="0"/>
  </r>
  <r>
    <s v="6BI020"/>
    <s v="Läraryrkets dimensioner - ingångsämne biologi (VFU)"/>
    <m/>
    <s v="LYAGY"/>
    <s v="H18"/>
    <s v="ht"/>
    <s v="H211-15"/>
    <s v="Umeå"/>
    <m/>
    <s v="BIOL"/>
    <m/>
    <n v="1"/>
    <n v="22.5"/>
    <m/>
    <m/>
    <n v="1"/>
    <n v="0.375"/>
    <n v="0.85"/>
    <n v="0.31874999999999998"/>
    <x v="7"/>
    <s v="NMD"/>
    <s v="TekNat"/>
    <s v="Ämneslärarprogrammet - Gy"/>
    <n v="25235"/>
    <n v="27976"/>
    <n v="18380.474999999999"/>
    <n v="3600"/>
    <n v="1350"/>
    <n v="19730.474999999999"/>
    <n v="0"/>
    <n v="0"/>
    <n v="0"/>
    <n v="0"/>
    <n v="0"/>
    <n v="0"/>
    <n v="0"/>
    <n v="0"/>
    <n v="1"/>
    <n v="0"/>
    <n v="0"/>
    <n v="0"/>
  </r>
  <r>
    <s v="6BI020"/>
    <s v="Läraryrkets dimensioner - ingångsämne biologi (VFU)"/>
    <n v="62303"/>
    <s v="LYAGY"/>
    <m/>
    <s v="vt"/>
    <m/>
    <s v="Umeå"/>
    <s v="Normal"/>
    <s v="BIOL"/>
    <m/>
    <m/>
    <n v="22.5"/>
    <m/>
    <m/>
    <n v="4"/>
    <n v="1.5"/>
    <n v="0.85"/>
    <n v="1.2749999999999999"/>
    <x v="7"/>
    <s v="NMD"/>
    <s v="TekNat"/>
    <s v="Ämneslärarprogrammet - Gy"/>
    <n v="25235"/>
    <n v="27976"/>
    <n v="73521.899999999994"/>
    <n v="3600"/>
    <n v="5400"/>
    <n v="78921.899999999994"/>
    <n v="0"/>
    <n v="0"/>
    <n v="0"/>
    <n v="0"/>
    <n v="0"/>
    <n v="0"/>
    <n v="0"/>
    <n v="0"/>
    <n v="1"/>
    <n v="0"/>
    <n v="0"/>
    <n v="0"/>
  </r>
  <r>
    <s v="6BI022"/>
    <s v="Naturens mångfald för naturkunskapslärare"/>
    <m/>
    <s v="LYAGY"/>
    <s v="H20"/>
    <s v="ht"/>
    <s v="H211-15"/>
    <s v="Umeå"/>
    <m/>
    <s v="NATU"/>
    <m/>
    <n v="1"/>
    <n v="15"/>
    <m/>
    <m/>
    <n v="1"/>
    <n v="0.25"/>
    <n v="0.85"/>
    <n v="0.21249999999999999"/>
    <x v="3"/>
    <s v="EMG"/>
    <s v="TekNat"/>
    <s v="Ämneslärarprogrammet - Gy"/>
    <n v="20757"/>
    <n v="36082"/>
    <n v="12856.674999999999"/>
    <n v="22600"/>
    <n v="5650"/>
    <n v="18506.674999999999"/>
    <n v="0"/>
    <n v="0"/>
    <n v="0"/>
    <n v="0"/>
    <n v="0"/>
    <n v="1"/>
    <n v="0"/>
    <n v="0"/>
    <n v="0"/>
    <n v="0"/>
    <n v="0"/>
    <n v="0"/>
  </r>
  <r>
    <s v="6BI024"/>
    <s v="Artkunskap och systematik för biologilärare"/>
    <m/>
    <s v="LYAGY"/>
    <s v="H18"/>
    <s v="ht"/>
    <s v="H211-10"/>
    <s v="Umeå"/>
    <m/>
    <s v="IDRH"/>
    <m/>
    <n v="1"/>
    <n v="15"/>
    <m/>
    <m/>
    <n v="1"/>
    <n v="0.25"/>
    <n v="0.85"/>
    <n v="0.21249999999999999"/>
    <x v="3"/>
    <s v="EMG"/>
    <s v="TekNat"/>
    <s v="Ämneslärarprogrammet - Gy"/>
    <n v="20757"/>
    <n v="36082"/>
    <n v="12856.674999999999"/>
    <n v="22600"/>
    <n v="5650"/>
    <n v="18506.674999999999"/>
    <n v="0"/>
    <n v="0"/>
    <n v="0"/>
    <n v="0"/>
    <n v="0"/>
    <n v="1"/>
    <n v="0"/>
    <n v="0"/>
    <n v="0"/>
    <n v="0"/>
    <n v="0"/>
    <n v="0"/>
  </r>
  <r>
    <s v="6BI024"/>
    <s v="Artkunskap och systematik för biologilärare"/>
    <m/>
    <s v="LYAGY"/>
    <s v="H19"/>
    <s v="ht"/>
    <s v="H211-10"/>
    <s v="Umeå"/>
    <m/>
    <s v="MATT"/>
    <m/>
    <n v="1"/>
    <n v="15"/>
    <m/>
    <m/>
    <n v="1"/>
    <n v="0.25"/>
    <n v="0.85"/>
    <n v="0.21249999999999999"/>
    <x v="3"/>
    <s v="EMG"/>
    <s v="TekNat"/>
    <s v="Ämneslärarprogrammet - Gy"/>
    <n v="20757"/>
    <n v="36082"/>
    <n v="12856.674999999999"/>
    <n v="22600"/>
    <n v="5650"/>
    <n v="18506.674999999999"/>
    <n v="0"/>
    <n v="0"/>
    <n v="0"/>
    <n v="0"/>
    <n v="0"/>
    <n v="1"/>
    <n v="0"/>
    <n v="0"/>
    <n v="0"/>
    <n v="0"/>
    <n v="0"/>
    <n v="0"/>
  </r>
  <r>
    <s v="6BI024"/>
    <s v="Artkunskap och systematik för biologilärare"/>
    <m/>
    <s v="LYAGY"/>
    <s v="H20"/>
    <s v="ht"/>
    <s v="H211-10"/>
    <s v="Umeå"/>
    <m/>
    <s v="BIOL"/>
    <m/>
    <n v="1"/>
    <n v="15"/>
    <m/>
    <m/>
    <n v="3"/>
    <n v="0.75"/>
    <n v="0.85"/>
    <n v="0.63749999999999996"/>
    <x v="3"/>
    <s v="EMG"/>
    <s v="TekNat"/>
    <s v="Ämneslärarprogrammet - Gy"/>
    <n v="20757"/>
    <n v="36082"/>
    <n v="38570.024999999994"/>
    <n v="22600"/>
    <n v="16950"/>
    <n v="55520.024999999994"/>
    <n v="0"/>
    <n v="0"/>
    <n v="0"/>
    <n v="0"/>
    <n v="0"/>
    <n v="1"/>
    <n v="0"/>
    <n v="0"/>
    <n v="0"/>
    <n v="0"/>
    <n v="0"/>
    <n v="0"/>
  </r>
  <r>
    <s v="6BI025"/>
    <s v="Genetik och evolution"/>
    <m/>
    <s v="LYAGY"/>
    <s v="H18"/>
    <s v="ht"/>
    <s v="H2111-20"/>
    <s v="Umeå"/>
    <m/>
    <s v="IDRH"/>
    <m/>
    <n v="1"/>
    <n v="15"/>
    <m/>
    <m/>
    <n v="1"/>
    <n v="0.25"/>
    <n v="0.85"/>
    <n v="0.21249999999999999"/>
    <x v="3"/>
    <s v="EMG"/>
    <s v="TekNat"/>
    <s v="Ämneslärarprogrammet - Gy"/>
    <n v="20757"/>
    <n v="36082"/>
    <n v="12856.674999999999"/>
    <n v="22600"/>
    <n v="5650"/>
    <n v="18506.674999999999"/>
    <n v="0"/>
    <n v="0"/>
    <n v="0"/>
    <n v="0"/>
    <n v="0"/>
    <n v="0.5"/>
    <n v="0"/>
    <n v="0.5"/>
    <n v="0"/>
    <n v="0"/>
    <n v="0"/>
    <n v="0"/>
  </r>
  <r>
    <s v="6BI025"/>
    <s v="Genetik och evolution"/>
    <m/>
    <s v="LYAGY"/>
    <s v="H19"/>
    <s v="ht"/>
    <s v="H2111-20"/>
    <s v="Umeå"/>
    <m/>
    <s v="MATT"/>
    <m/>
    <n v="1"/>
    <n v="15"/>
    <m/>
    <m/>
    <n v="1"/>
    <n v="0.25"/>
    <n v="0.85"/>
    <n v="0.21249999999999999"/>
    <x v="3"/>
    <s v="EMG"/>
    <s v="TekNat"/>
    <s v="Ämneslärarprogrammet - Gy"/>
    <n v="20757"/>
    <n v="36082"/>
    <n v="12856.674999999999"/>
    <n v="22600"/>
    <n v="5650"/>
    <n v="18506.674999999999"/>
    <n v="0"/>
    <n v="0"/>
    <n v="0"/>
    <n v="0"/>
    <n v="0"/>
    <n v="0.5"/>
    <n v="0"/>
    <n v="0.5"/>
    <n v="0"/>
    <n v="0"/>
    <n v="0"/>
    <n v="0"/>
  </r>
  <r>
    <s v="6BI025"/>
    <s v="Genetik och evolution"/>
    <m/>
    <s v="LYAGY"/>
    <s v="H20"/>
    <s v="ht"/>
    <s v="H2111-20"/>
    <s v="Umeå"/>
    <m/>
    <s v="BIOL"/>
    <m/>
    <n v="1"/>
    <n v="15"/>
    <m/>
    <m/>
    <n v="3"/>
    <n v="0.75"/>
    <n v="0.85"/>
    <n v="0.63749999999999996"/>
    <x v="3"/>
    <s v="EMG"/>
    <s v="TekNat"/>
    <s v="Ämneslärarprogrammet - Gy"/>
    <n v="20757"/>
    <n v="36082"/>
    <n v="38570.024999999994"/>
    <n v="22600"/>
    <n v="16950"/>
    <n v="55520.024999999994"/>
    <n v="0"/>
    <n v="0"/>
    <n v="0"/>
    <n v="0"/>
    <n v="0"/>
    <n v="0.5"/>
    <n v="0"/>
    <n v="0.5"/>
    <n v="0"/>
    <n v="0"/>
    <n v="0"/>
    <n v="0"/>
  </r>
  <r>
    <s v="6BI101"/>
    <s v="Biologididaktik 1 för ämneslärare för gymnasium"/>
    <n v="62301"/>
    <s v="FRIST"/>
    <m/>
    <s v="vt"/>
    <m/>
    <s v="Umeå"/>
    <s v="Normal"/>
    <m/>
    <m/>
    <m/>
    <n v="7.5"/>
    <m/>
    <m/>
    <n v="1"/>
    <n v="0.125"/>
    <n v="0.8"/>
    <n v="0.1"/>
    <x v="7"/>
    <s v="NMD"/>
    <s v="TekNat"/>
    <s v="Fristående och övriga kurser"/>
    <n v="20757"/>
    <n v="36082"/>
    <n v="6202.8250000000007"/>
    <n v="22600"/>
    <n v="2825"/>
    <n v="9027.8250000000007"/>
    <n v="0"/>
    <n v="0"/>
    <n v="0"/>
    <n v="0"/>
    <n v="0"/>
    <n v="1"/>
    <n v="0"/>
    <n v="0"/>
    <n v="0"/>
    <n v="0"/>
    <n v="0"/>
    <n v="0"/>
  </r>
  <r>
    <s v="6BI101"/>
    <s v="Biologididaktik 1 för ämneslärare för gymnasium"/>
    <n v="62301"/>
    <s v="LYAGY"/>
    <m/>
    <s v="vt"/>
    <m/>
    <s v="Umeå"/>
    <s v="Normal"/>
    <s v="BIOL"/>
    <m/>
    <m/>
    <n v="7.5"/>
    <m/>
    <m/>
    <n v="3"/>
    <n v="0.375"/>
    <n v="0.85"/>
    <n v="0.31874999999999998"/>
    <x v="7"/>
    <s v="NMD"/>
    <s v="TekNat"/>
    <s v="Ämneslärarprogrammet - Gy"/>
    <n v="20757"/>
    <n v="36082"/>
    <n v="19285.012499999997"/>
    <n v="22600"/>
    <n v="8475"/>
    <n v="27760.012499999997"/>
    <n v="0"/>
    <n v="0"/>
    <n v="0"/>
    <n v="0"/>
    <n v="0"/>
    <n v="1"/>
    <n v="0"/>
    <n v="0"/>
    <n v="0"/>
    <n v="0"/>
    <n v="0"/>
    <n v="0"/>
  </r>
  <r>
    <s v="6BI101"/>
    <s v="Biologididaktik 1 för ämneslärare för gymnasium"/>
    <n v="62301"/>
    <s v="LYAGY"/>
    <m/>
    <s v="vt"/>
    <m/>
    <s v="Umeå"/>
    <s v="Normal"/>
    <s v="ENGS"/>
    <m/>
    <m/>
    <n v="7.5"/>
    <m/>
    <m/>
    <n v="1"/>
    <n v="0.125"/>
    <n v="0.85"/>
    <n v="0.10625"/>
    <x v="7"/>
    <s v="NMD"/>
    <s v="TekNat"/>
    <s v="Ämneslärarprogrammet - Gy"/>
    <n v="20757"/>
    <n v="36082"/>
    <n v="6428.3374999999996"/>
    <n v="22600"/>
    <n v="2825"/>
    <n v="9253.3374999999996"/>
    <n v="0"/>
    <n v="0"/>
    <n v="0"/>
    <n v="0"/>
    <n v="0"/>
    <n v="1"/>
    <n v="0"/>
    <n v="0"/>
    <n v="0"/>
    <n v="0"/>
    <n v="0"/>
    <n v="0"/>
  </r>
  <r>
    <s v="6BI101"/>
    <s v="Biologididaktik 1 för ämneslärare för gymnasium"/>
    <n v="62301"/>
    <s v="LYAGY"/>
    <m/>
    <s v="vt"/>
    <m/>
    <s v="Umeå"/>
    <s v="Normal"/>
    <s v="IDRH"/>
    <m/>
    <m/>
    <n v="7.5"/>
    <m/>
    <m/>
    <n v="2"/>
    <n v="0.25"/>
    <n v="0.85"/>
    <n v="0.21249999999999999"/>
    <x v="7"/>
    <s v="NMD"/>
    <s v="TekNat"/>
    <s v="Ämneslärarprogrammet - Gy"/>
    <n v="20757"/>
    <n v="36082"/>
    <n v="12856.674999999999"/>
    <n v="22600"/>
    <n v="5650"/>
    <n v="18506.674999999999"/>
    <n v="0"/>
    <n v="0"/>
    <n v="0"/>
    <n v="0"/>
    <n v="0"/>
    <n v="1"/>
    <n v="0"/>
    <n v="0"/>
    <n v="0"/>
    <n v="0"/>
    <n v="0"/>
    <n v="0"/>
  </r>
  <r>
    <s v="6BI101"/>
    <s v="Biologididaktik 1 för ämneslärare för gymnasium"/>
    <n v="62301"/>
    <s v="LYAGY"/>
    <m/>
    <s v="vt"/>
    <m/>
    <s v="Umeå"/>
    <s v="Normal"/>
    <s v="MATT"/>
    <m/>
    <m/>
    <n v="7.5"/>
    <m/>
    <m/>
    <n v="3"/>
    <n v="0.375"/>
    <n v="0.85"/>
    <n v="0.31874999999999998"/>
    <x v="7"/>
    <s v="NMD"/>
    <s v="TekNat"/>
    <s v="Ämneslärarprogrammet - Gy"/>
    <n v="20757"/>
    <n v="36082"/>
    <n v="19285.012499999997"/>
    <n v="22600"/>
    <n v="8475"/>
    <n v="27760.012499999997"/>
    <n v="0"/>
    <n v="0"/>
    <n v="0"/>
    <n v="0"/>
    <n v="0"/>
    <n v="1"/>
    <n v="0"/>
    <n v="0"/>
    <n v="0"/>
    <n v="0"/>
    <n v="0"/>
    <n v="0"/>
  </r>
  <r>
    <s v="6BI102"/>
    <s v="Biologididaktik 2 för ämneslärare för gymnasium"/>
    <n v="62302"/>
    <s v="FRIST"/>
    <m/>
    <s v="vt"/>
    <m/>
    <s v="Umeå"/>
    <s v="Normal"/>
    <m/>
    <m/>
    <m/>
    <n v="7.5"/>
    <m/>
    <m/>
    <n v="1"/>
    <n v="0.125"/>
    <n v="0.8"/>
    <n v="0.1"/>
    <x v="7"/>
    <s v="NMD"/>
    <s v="TekNat"/>
    <s v="Fristående och övriga kurser"/>
    <n v="20757"/>
    <n v="36082"/>
    <n v="6202.8250000000007"/>
    <n v="22600"/>
    <n v="2825"/>
    <n v="9027.8250000000007"/>
    <n v="0"/>
    <n v="0"/>
    <n v="0"/>
    <n v="0"/>
    <n v="0"/>
    <n v="1"/>
    <n v="0"/>
    <n v="0"/>
    <n v="0"/>
    <n v="0"/>
    <n v="0"/>
    <n v="0"/>
  </r>
  <r>
    <s v="6BI102"/>
    <s v="Biologididaktik 2 för ämneslärare för gymnasium"/>
    <n v="62302"/>
    <s v="LYAGY"/>
    <m/>
    <s v="vt"/>
    <m/>
    <s v="Umeå"/>
    <s v="Normal"/>
    <s v="BIOL"/>
    <m/>
    <m/>
    <n v="7.5"/>
    <m/>
    <m/>
    <n v="2"/>
    <n v="0.25"/>
    <n v="0.85"/>
    <n v="0.21249999999999999"/>
    <x v="7"/>
    <s v="NMD"/>
    <s v="TekNat"/>
    <s v="Ämneslärarprogrammet - Gy"/>
    <n v="20757"/>
    <n v="36082"/>
    <n v="12856.674999999999"/>
    <n v="22600"/>
    <n v="5650"/>
    <n v="18506.674999999999"/>
    <n v="0"/>
    <n v="0"/>
    <n v="0"/>
    <n v="0"/>
    <n v="0"/>
    <n v="1"/>
    <n v="0"/>
    <n v="0"/>
    <n v="0"/>
    <n v="0"/>
    <n v="0"/>
    <n v="0"/>
  </r>
  <r>
    <s v="6BI102"/>
    <s v="Biologididaktik 2 för ämneslärare för gymnasium"/>
    <n v="62302"/>
    <s v="LYAGY"/>
    <m/>
    <s v="vt"/>
    <m/>
    <s v="Umeå"/>
    <s v="Normal"/>
    <s v="ENGS"/>
    <m/>
    <m/>
    <n v="7.5"/>
    <m/>
    <m/>
    <n v="1"/>
    <n v="0.125"/>
    <n v="0.85"/>
    <n v="0.10625"/>
    <x v="7"/>
    <s v="NMD"/>
    <s v="TekNat"/>
    <s v="Ämneslärarprogrammet - Gy"/>
    <n v="20757"/>
    <n v="36082"/>
    <n v="6428.3374999999996"/>
    <n v="22600"/>
    <n v="2825"/>
    <n v="9253.3374999999996"/>
    <n v="0"/>
    <n v="0"/>
    <n v="0"/>
    <n v="0"/>
    <n v="0"/>
    <n v="1"/>
    <n v="0"/>
    <n v="0"/>
    <n v="0"/>
    <n v="0"/>
    <n v="0"/>
    <n v="0"/>
  </r>
  <r>
    <s v="6BI102"/>
    <s v="Biologididaktik 2 för ämneslärare för gymnasium"/>
    <n v="62302"/>
    <s v="LYAGY"/>
    <m/>
    <s v="vt"/>
    <m/>
    <s v="Umeå"/>
    <s v="Normal"/>
    <s v="IDRH"/>
    <m/>
    <m/>
    <n v="7.5"/>
    <m/>
    <m/>
    <n v="2"/>
    <n v="0.25"/>
    <n v="0.85"/>
    <n v="0.21249999999999999"/>
    <x v="7"/>
    <s v="NMD"/>
    <s v="TekNat"/>
    <s v="Ämneslärarprogrammet - Gy"/>
    <n v="20757"/>
    <n v="36082"/>
    <n v="12856.674999999999"/>
    <n v="22600"/>
    <n v="5650"/>
    <n v="18506.674999999999"/>
    <n v="0"/>
    <n v="0"/>
    <n v="0"/>
    <n v="0"/>
    <n v="0"/>
    <n v="1"/>
    <n v="0"/>
    <n v="0"/>
    <n v="0"/>
    <n v="0"/>
    <n v="0"/>
    <n v="0"/>
  </r>
  <r>
    <s v="6BI102"/>
    <s v="Biologididaktik 2 för ämneslärare för gymnasium"/>
    <n v="62302"/>
    <s v="LYAGY"/>
    <m/>
    <s v="vt"/>
    <m/>
    <s v="Umeå"/>
    <s v="Normal"/>
    <s v="MATT"/>
    <m/>
    <m/>
    <n v="7.5"/>
    <m/>
    <m/>
    <n v="3"/>
    <n v="0.375"/>
    <n v="0.85"/>
    <n v="0.31874999999999998"/>
    <x v="7"/>
    <s v="NMD"/>
    <s v="TekNat"/>
    <s v="Ämneslärarprogrammet - Gy"/>
    <n v="20757"/>
    <n v="36082"/>
    <n v="19285.012499999997"/>
    <n v="22600"/>
    <n v="8475"/>
    <n v="27760.012499999997"/>
    <n v="0"/>
    <n v="0"/>
    <n v="0"/>
    <n v="0"/>
    <n v="0"/>
    <n v="1"/>
    <n v="0"/>
    <n v="0"/>
    <n v="0"/>
    <n v="0"/>
    <n v="0"/>
    <n v="0"/>
  </r>
  <r>
    <s v="6DV000"/>
    <s v="Programmeringsteknik med C och Matlab"/>
    <m/>
    <s v="LYAGY"/>
    <s v="H19"/>
    <s v="ht"/>
    <s v="H2111-15"/>
    <s v="Umeå"/>
    <m/>
    <s v="MATT"/>
    <m/>
    <n v="1"/>
    <n v="7.5"/>
    <m/>
    <m/>
    <n v="1"/>
    <n v="0.125"/>
    <n v="0.85"/>
    <n v="0.10625"/>
    <x v="8"/>
    <s v="Inst för datavetenskap        "/>
    <s v="TekNat"/>
    <s v="Ämneslärarprogrammet - Gy"/>
    <n v="20757"/>
    <n v="36082"/>
    <n v="6428.3374999999996"/>
    <n v="22600"/>
    <n v="2825"/>
    <n v="9253.3374999999996"/>
    <n v="0"/>
    <n v="0"/>
    <n v="0"/>
    <n v="0"/>
    <n v="0"/>
    <n v="0.5"/>
    <n v="0"/>
    <n v="0.5"/>
    <n v="0"/>
    <n v="0"/>
    <n v="0"/>
    <n v="0"/>
  </r>
  <r>
    <s v="6DV000"/>
    <s v="Programmeringsteknik med C och Matlab"/>
    <m/>
    <s v="LYAGY"/>
    <s v="V21"/>
    <s v="ht"/>
    <s v="H2111-15"/>
    <s v="Umeå"/>
    <m/>
    <s v="MATT"/>
    <m/>
    <n v="1"/>
    <n v="7.5"/>
    <m/>
    <m/>
    <n v="1"/>
    <n v="0.125"/>
    <n v="0.85"/>
    <n v="0.10625"/>
    <x v="8"/>
    <s v="Inst för datavetenskap        "/>
    <s v="TekNat"/>
    <s v="Ämneslärarprogrammet - Gy"/>
    <n v="20757"/>
    <n v="36082"/>
    <n v="6428.3374999999996"/>
    <n v="22600"/>
    <n v="2825"/>
    <n v="9253.3374999999996"/>
    <n v="0"/>
    <n v="0"/>
    <n v="0"/>
    <n v="0"/>
    <n v="0"/>
    <n v="0.5"/>
    <n v="0"/>
    <n v="0.5"/>
    <n v="0"/>
    <n v="0"/>
    <n v="0"/>
    <n v="0"/>
  </r>
  <r>
    <s v="6EN036"/>
    <s v="Engelska 2 för ämneslärare med inriktning mot gymnasiet"/>
    <m/>
    <s v="FRIST"/>
    <m/>
    <s v="ht"/>
    <m/>
    <m/>
    <s v="Campus"/>
    <m/>
    <m/>
    <n v="1"/>
    <n v="30"/>
    <m/>
    <m/>
    <n v="2"/>
    <n v="1"/>
    <n v="0.8"/>
    <n v="0.8"/>
    <x v="0"/>
    <s v="Inst för språkstudier"/>
    <s v="Hum"/>
    <s v="Fristående och övriga kurser"/>
    <n v="20766"/>
    <n v="17442"/>
    <n v="34719.599999999999"/>
    <n v="6000"/>
    <n v="6000"/>
    <n v="40719.599999999999"/>
    <n v="0"/>
    <n v="1"/>
    <n v="0"/>
    <n v="0"/>
    <n v="0"/>
    <n v="0"/>
    <n v="0"/>
    <n v="0"/>
    <n v="0"/>
    <n v="0"/>
    <n v="0"/>
    <n v="0"/>
  </r>
  <r>
    <s v="6EN036"/>
    <s v="Engelska 2 för ämneslärare med inriktning mot gymnasiet"/>
    <m/>
    <s v="LYAGY"/>
    <s v="H15"/>
    <s v="ht"/>
    <s v="H211-20"/>
    <s v="Umeå"/>
    <m/>
    <s v="MUSI"/>
    <m/>
    <n v="1"/>
    <n v="30"/>
    <m/>
    <m/>
    <n v="1"/>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s v="Umeå"/>
    <m/>
    <s v="BILÄ"/>
    <m/>
    <n v="1"/>
    <n v="30"/>
    <m/>
    <m/>
    <n v="1"/>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s v="Umeå"/>
    <m/>
    <s v="ENGS"/>
    <m/>
    <n v="1"/>
    <n v="30"/>
    <m/>
    <m/>
    <n v="1"/>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s v="Umeå"/>
    <m/>
    <s v="GEOG"/>
    <m/>
    <n v="1"/>
    <n v="30"/>
    <m/>
    <m/>
    <n v="1"/>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s v="Umeå"/>
    <m/>
    <s v="IDRH"/>
    <m/>
    <n v="1"/>
    <n v="30"/>
    <m/>
    <m/>
    <n v="3"/>
    <n v="1.5"/>
    <n v="0.85"/>
    <n v="1.2749999999999999"/>
    <x v="0"/>
    <s v="Inst för språkstudier"/>
    <s v="Hum"/>
    <s v="Ämneslärarprogrammet - Gy"/>
    <n v="20766"/>
    <n v="17442"/>
    <n v="53387.55"/>
    <n v="6000"/>
    <n v="9000"/>
    <n v="62387.55"/>
    <n v="0"/>
    <n v="1"/>
    <n v="0"/>
    <n v="0"/>
    <n v="0"/>
    <n v="0"/>
    <n v="0"/>
    <n v="0"/>
    <n v="0"/>
    <n v="0"/>
    <n v="0"/>
    <n v="0"/>
  </r>
  <r>
    <s v="6EN036"/>
    <s v="Engelska 2 för ämneslärare med inriktning mot gymnasiet"/>
    <m/>
    <s v="LYAGY"/>
    <s v="H18"/>
    <s v="ht"/>
    <s v="H211-20"/>
    <s v="Umeå"/>
    <m/>
    <s v="MATT"/>
    <m/>
    <n v="1"/>
    <n v="30"/>
    <m/>
    <m/>
    <n v="1"/>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s v="Umeå"/>
    <m/>
    <s v="RELK"/>
    <m/>
    <n v="1"/>
    <n v="30"/>
    <m/>
    <m/>
    <n v="1"/>
    <n v="0.5"/>
    <n v="0.85"/>
    <n v="0.42499999999999999"/>
    <x v="0"/>
    <s v="Inst för språkstudier"/>
    <s v="Hum"/>
    <s v="Ämneslärarprogrammet - Gy"/>
    <n v="20766"/>
    <n v="17442"/>
    <n v="17795.849999999999"/>
    <n v="6000"/>
    <n v="3000"/>
    <n v="20795.849999999999"/>
    <n v="0"/>
    <n v="1"/>
    <n v="0"/>
    <n v="0"/>
    <n v="0"/>
    <n v="0"/>
    <n v="0"/>
    <n v="0"/>
    <n v="0"/>
    <n v="0"/>
    <n v="0"/>
    <n v="0"/>
  </r>
  <r>
    <s v="6EN036"/>
    <s v="Engelska 2 för ämneslärare med inriktning mot gymnasiet"/>
    <m/>
    <s v="LYAGY"/>
    <s v="H18"/>
    <s v="ht"/>
    <s v="H211-20"/>
    <s v="Umeå"/>
    <m/>
    <s v="SVAA"/>
    <m/>
    <n v="1"/>
    <n v="30"/>
    <m/>
    <m/>
    <n v="7"/>
    <n v="3.5"/>
    <n v="0.85"/>
    <n v="2.9750000000000001"/>
    <x v="0"/>
    <s v="Inst för språkstudier"/>
    <s v="Hum"/>
    <s v="Ämneslärarprogrammet - Gy"/>
    <n v="20766"/>
    <n v="17442"/>
    <n v="124570.95000000001"/>
    <n v="6000"/>
    <n v="21000"/>
    <n v="145570.95000000001"/>
    <n v="0"/>
    <n v="1"/>
    <n v="0"/>
    <n v="0"/>
    <n v="0"/>
    <n v="0"/>
    <n v="0"/>
    <n v="0"/>
    <n v="0"/>
    <n v="0"/>
    <n v="0"/>
    <n v="0"/>
  </r>
  <r>
    <s v="6EN036"/>
    <s v="Engelska 2 för ämneslärare med inriktning mot gymnasiet"/>
    <m/>
    <s v="LYAGY"/>
    <s v="H19"/>
    <s v="ht"/>
    <s v="H211-20"/>
    <s v="Umeå"/>
    <m/>
    <s v="ENGS"/>
    <m/>
    <n v="1"/>
    <n v="30"/>
    <m/>
    <m/>
    <n v="3"/>
    <n v="1.5"/>
    <n v="0.85"/>
    <n v="1.2749999999999999"/>
    <x v="0"/>
    <s v="Inst för språkstudier"/>
    <s v="Hum"/>
    <s v="Ämneslärarprogrammet - Gy"/>
    <n v="20766"/>
    <n v="17442"/>
    <n v="53387.55"/>
    <n v="6000"/>
    <n v="9000"/>
    <n v="62387.55"/>
    <n v="0"/>
    <n v="1"/>
    <n v="0"/>
    <n v="0"/>
    <n v="0"/>
    <n v="0"/>
    <n v="0"/>
    <n v="0"/>
    <n v="0"/>
    <n v="0"/>
    <n v="0"/>
    <n v="0"/>
  </r>
  <r>
    <s v="6EN036"/>
    <s v="Engelska 2 för ämneslärare med inriktning mot gymnasiet"/>
    <m/>
    <s v="LYAGY"/>
    <s v="H20"/>
    <s v="ht"/>
    <s v="H211-20"/>
    <s v="Umeå"/>
    <m/>
    <s v="ENGS"/>
    <m/>
    <n v="1"/>
    <n v="30"/>
    <m/>
    <m/>
    <n v="18"/>
    <n v="9"/>
    <n v="0.85"/>
    <n v="7.6499999999999995"/>
    <x v="0"/>
    <s v="Inst för språkstudier"/>
    <s v="Hum"/>
    <s v="Ämneslärarprogrammet - Gy"/>
    <n v="20766"/>
    <n v="17442"/>
    <n v="320325.3"/>
    <n v="6000"/>
    <n v="54000"/>
    <n v="374325.3"/>
    <n v="0"/>
    <n v="1"/>
    <n v="0"/>
    <n v="0"/>
    <n v="0"/>
    <n v="0"/>
    <n v="0"/>
    <n v="0"/>
    <n v="0"/>
    <n v="0"/>
    <n v="0"/>
    <n v="0"/>
  </r>
  <r>
    <s v="6EN038"/>
    <s v="Att undervisa i engelska (VFU)"/>
    <m/>
    <s v="LYAGY"/>
    <s v="H18"/>
    <s v="ht"/>
    <s v="H2113-16"/>
    <s v="Umeå"/>
    <m/>
    <s v="ENGS"/>
    <m/>
    <n v="1"/>
    <n v="6"/>
    <m/>
    <m/>
    <n v="1"/>
    <n v="0.1"/>
    <n v="0.85"/>
    <n v="8.5000000000000006E-2"/>
    <x v="0"/>
    <s v="Inst för språkstudier"/>
    <s v="Hum"/>
    <s v="Ämneslärarprogrammet - Gy"/>
    <n v="25235"/>
    <n v="27976"/>
    <n v="4901.46"/>
    <n v="3600"/>
    <n v="360"/>
    <n v="5261.46"/>
    <n v="0"/>
    <n v="0"/>
    <n v="0"/>
    <n v="0"/>
    <n v="0"/>
    <n v="0"/>
    <n v="0"/>
    <n v="0"/>
    <n v="1"/>
    <n v="0"/>
    <n v="0"/>
    <n v="0"/>
  </r>
  <r>
    <s v="6EN038"/>
    <s v="Att undervisa i engelska (VFU)"/>
    <m/>
    <s v="LYAGY"/>
    <s v="H19"/>
    <s v="ht"/>
    <s v="H2113-16"/>
    <s v="Umeå"/>
    <m/>
    <s v="ENGS"/>
    <m/>
    <n v="1"/>
    <n v="6"/>
    <m/>
    <m/>
    <n v="10"/>
    <n v="1"/>
    <n v="0.85"/>
    <n v="0.85"/>
    <x v="0"/>
    <s v="Inst för språkstudier"/>
    <s v="Hum"/>
    <s v="Ämneslärarprogrammet - Gy"/>
    <n v="25235"/>
    <n v="27976"/>
    <n v="49014.6"/>
    <n v="3600"/>
    <n v="3600"/>
    <n v="52614.6"/>
    <n v="0"/>
    <n v="0"/>
    <n v="0"/>
    <n v="0"/>
    <n v="0"/>
    <n v="0"/>
    <n v="0"/>
    <n v="0"/>
    <n v="1"/>
    <n v="0"/>
    <n v="0"/>
    <n v="0"/>
  </r>
  <r>
    <s v="6EN038"/>
    <s v="Att undervisa i engelska (VFU)"/>
    <m/>
    <s v="LYKPU"/>
    <s v="H19"/>
    <s v="ht"/>
    <s v="H2113-16"/>
    <s v="Umeå"/>
    <s v="Campus"/>
    <m/>
    <m/>
    <n v="1"/>
    <n v="6"/>
    <m/>
    <m/>
    <n v="1"/>
    <n v="0.1"/>
    <n v="0.85"/>
    <n v="8.5000000000000006E-2"/>
    <x v="0"/>
    <s v="Inst för språkstudier"/>
    <s v="Hum"/>
    <s v="KPU - åk 7-9 och Gy"/>
    <n v="25235"/>
    <n v="27976"/>
    <n v="4901.46"/>
    <n v="3600"/>
    <n v="360"/>
    <n v="5261.46"/>
    <n v="0"/>
    <n v="0"/>
    <n v="0"/>
    <n v="0"/>
    <n v="0"/>
    <n v="0"/>
    <n v="0"/>
    <n v="0"/>
    <n v="1"/>
    <n v="0"/>
    <n v="0"/>
    <n v="0"/>
  </r>
  <r>
    <s v="6EN039"/>
    <s v="Engelska för F-3, kurs 1"/>
    <n v="71403"/>
    <s v="LYGFT"/>
    <m/>
    <s v="vt"/>
    <m/>
    <s v="Umeå"/>
    <s v="Normal"/>
    <m/>
    <m/>
    <m/>
    <n v="7.5"/>
    <m/>
    <m/>
    <n v="53"/>
    <n v="6.625"/>
    <n v="0.85"/>
    <n v="5.6312499999999996"/>
    <x v="0"/>
    <s v="Inst för språkstudier"/>
    <s v="Hum"/>
    <s v="Grundlärarprogrammet - förskoleklass och åk 1-3"/>
    <n v="20766"/>
    <n v="17442"/>
    <n v="235795.01250000001"/>
    <n v="6000"/>
    <n v="39750"/>
    <n v="275545.01250000001"/>
    <n v="0"/>
    <n v="1"/>
    <n v="0"/>
    <n v="0"/>
    <n v="0"/>
    <n v="0"/>
    <n v="0"/>
    <n v="0"/>
    <n v="0"/>
    <n v="0"/>
    <n v="0"/>
    <n v="0"/>
  </r>
  <r>
    <s v="6EN040"/>
    <s v="Engelska för åk 4-6, kurs 1"/>
    <n v="71405"/>
    <s v="LYGRM"/>
    <m/>
    <s v="vt"/>
    <m/>
    <s v="Umeå"/>
    <s v="Normal"/>
    <m/>
    <m/>
    <m/>
    <n v="7.5"/>
    <m/>
    <m/>
    <n v="48"/>
    <n v="6"/>
    <n v="0.85"/>
    <n v="5.0999999999999996"/>
    <x v="0"/>
    <s v="Inst för språkstudier"/>
    <s v="Hum"/>
    <s v="Grundlärarprogrammet - grundskolans åk 4-6"/>
    <n v="20766"/>
    <n v="17442"/>
    <n v="213550.2"/>
    <n v="6000"/>
    <n v="36000"/>
    <n v="249550.2"/>
    <n v="0"/>
    <n v="1"/>
    <n v="0"/>
    <n v="0"/>
    <n v="0"/>
    <n v="0"/>
    <n v="0"/>
    <n v="0"/>
    <n v="0"/>
    <n v="0"/>
    <n v="0"/>
    <n v="0"/>
  </r>
  <r>
    <s v="6EN041"/>
    <s v="Engelska för F-3, kurs 2"/>
    <m/>
    <s v="LYGFT"/>
    <s v="H20"/>
    <s v="ht"/>
    <s v="H2111-15"/>
    <s v="Umeå"/>
    <s v="Campus"/>
    <m/>
    <m/>
    <n v="1"/>
    <n v="7.5"/>
    <m/>
    <m/>
    <n v="46"/>
    <n v="5.75"/>
    <n v="0.85"/>
    <n v="4.8875000000000002"/>
    <x v="0"/>
    <s v="Inst för språkstudier"/>
    <s v="Hum"/>
    <s v="Grundlärarprogrammet - förskoleklass och åk 1-3"/>
    <n v="20766"/>
    <n v="17442"/>
    <n v="204652.27500000002"/>
    <n v="6000"/>
    <n v="34500"/>
    <n v="239152.27500000002"/>
    <n v="0"/>
    <n v="1"/>
    <n v="0"/>
    <n v="0"/>
    <n v="0"/>
    <n v="0"/>
    <n v="0"/>
    <n v="0"/>
    <n v="0"/>
    <n v="0"/>
    <n v="0"/>
    <n v="0"/>
  </r>
  <r>
    <s v="6EN042"/>
    <s v="Engelska för åk 4-6, kurs 2"/>
    <m/>
    <s v="LYGRM"/>
    <s v="H20"/>
    <s v="ht"/>
    <s v="H2111-15"/>
    <s v="Umeå"/>
    <s v="Campus"/>
    <m/>
    <m/>
    <n v="1"/>
    <n v="7.5"/>
    <m/>
    <m/>
    <n v="42"/>
    <n v="5.25"/>
    <n v="0.85"/>
    <n v="4.4624999999999995"/>
    <x v="0"/>
    <s v="Inst för språkstudier"/>
    <s v="Hum"/>
    <s v="Grundlärarprogrammet - grundskolans åk 4-6"/>
    <n v="20766"/>
    <n v="17442"/>
    <n v="186856.42499999999"/>
    <n v="6000"/>
    <n v="31500"/>
    <n v="218356.42499999999"/>
    <n v="0"/>
    <n v="1"/>
    <n v="0"/>
    <n v="0"/>
    <n v="0"/>
    <n v="0"/>
    <n v="0"/>
    <n v="0"/>
    <n v="0"/>
    <n v="0"/>
    <n v="0"/>
    <n v="0"/>
  </r>
  <r>
    <s v="6EN043"/>
    <s v="Engelska för åk 4-6, kurs 3"/>
    <m/>
    <s v="LYGRM"/>
    <s v="H17"/>
    <s v="ht"/>
    <s v="H211-10"/>
    <s v="Umeå"/>
    <s v="Campus"/>
    <m/>
    <m/>
    <n v="1"/>
    <n v="15"/>
    <m/>
    <m/>
    <n v="1"/>
    <n v="0.25"/>
    <n v="0.85"/>
    <n v="0.21249999999999999"/>
    <x v="0"/>
    <s v="Inst för språkstudier"/>
    <s v="Hum"/>
    <s v="Grundlärarprogrammet - grundskolans åk 4-6"/>
    <n v="20766"/>
    <n v="17442"/>
    <n v="8897.9249999999993"/>
    <n v="6000"/>
    <n v="1500"/>
    <n v="10397.924999999999"/>
    <n v="0"/>
    <n v="1"/>
    <n v="0"/>
    <n v="0"/>
    <n v="0"/>
    <n v="0"/>
    <n v="0"/>
    <n v="0"/>
    <n v="0"/>
    <n v="0"/>
    <n v="0"/>
    <n v="0"/>
  </r>
  <r>
    <s v="6EN043"/>
    <s v="Engelska för åk 4-6, kurs 3"/>
    <m/>
    <s v="LYGRM"/>
    <s v="H19"/>
    <s v="ht"/>
    <s v="H211-10"/>
    <s v="Umeå"/>
    <s v="Campus"/>
    <m/>
    <m/>
    <n v="1"/>
    <n v="15"/>
    <m/>
    <m/>
    <n v="21"/>
    <n v="5.25"/>
    <n v="0.85"/>
    <n v="4.4624999999999995"/>
    <x v="0"/>
    <s v="Inst för språkstudier"/>
    <s v="Hum"/>
    <s v="Grundlärarprogrammet - grundskolans åk 4-6"/>
    <n v="20766"/>
    <n v="17442"/>
    <n v="186856.42499999999"/>
    <n v="6000"/>
    <n v="31500"/>
    <n v="218356.42499999999"/>
    <n v="0"/>
    <n v="1"/>
    <n v="0"/>
    <n v="0"/>
    <n v="0"/>
    <n v="0"/>
    <n v="0"/>
    <n v="0"/>
    <n v="0"/>
    <n v="0"/>
    <n v="0"/>
    <n v="0"/>
  </r>
  <r>
    <s v="6EN044"/>
    <s v="Kommunikativ kompetens i engelska för grundlärare"/>
    <m/>
    <s v="FRIST"/>
    <m/>
    <s v="sommar"/>
    <m/>
    <m/>
    <s v="Distans"/>
    <m/>
    <m/>
    <n v="0.5"/>
    <n v="7.5"/>
    <m/>
    <m/>
    <n v="41"/>
    <n v="5.125"/>
    <n v="0.8"/>
    <n v="4.1000000000000005"/>
    <x v="0"/>
    <s v="Inst för språkstudier"/>
    <s v="Hum"/>
    <s v="Fristående och övriga kurser"/>
    <n v="20766"/>
    <n v="17442"/>
    <n v="177937.95"/>
    <n v="6000"/>
    <n v="30750"/>
    <n v="208687.95"/>
    <n v="0"/>
    <n v="1"/>
    <n v="0"/>
    <n v="0"/>
    <n v="0"/>
    <n v="0"/>
    <n v="0"/>
    <n v="0"/>
    <n v="0"/>
    <n v="0"/>
    <n v="0"/>
    <n v="0"/>
  </r>
  <r>
    <s v="6EN045"/>
    <s v="Engelska 1 för ämneslärare"/>
    <n v="71411"/>
    <s v="FRIST"/>
    <m/>
    <s v="vt"/>
    <m/>
    <s v="Umeå"/>
    <s v="Normal"/>
    <m/>
    <m/>
    <m/>
    <n v="30"/>
    <m/>
    <m/>
    <n v="7"/>
    <n v="3.5"/>
    <n v="0.8"/>
    <n v="2.8000000000000003"/>
    <x v="0"/>
    <s v="Inst för språkstudier"/>
    <s v="Hum"/>
    <s v="Fristående och övriga kurser"/>
    <n v="20766"/>
    <n v="17442"/>
    <n v="121518.6"/>
    <n v="6000"/>
    <n v="21000"/>
    <n v="142518.6"/>
    <n v="0"/>
    <n v="1"/>
    <n v="0"/>
    <n v="0"/>
    <n v="0"/>
    <n v="0"/>
    <n v="0"/>
    <n v="0"/>
    <n v="0"/>
    <n v="0"/>
    <n v="0"/>
    <n v="0"/>
  </r>
  <r>
    <s v="6EN045"/>
    <s v="Engelska 1 för ämneslärare"/>
    <n v="71411"/>
    <s v="LYAGY"/>
    <m/>
    <s v="vt"/>
    <m/>
    <s v="Umeå"/>
    <s v="Normal"/>
    <s v="BILÄ"/>
    <m/>
    <m/>
    <n v="30"/>
    <m/>
    <m/>
    <n v="2"/>
    <n v="1"/>
    <n v="0.85"/>
    <n v="0.85"/>
    <x v="0"/>
    <s v="Inst för språkstudier"/>
    <s v="Hum"/>
    <s v="Ämneslärarprogrammet - Gy"/>
    <n v="20766"/>
    <n v="17442"/>
    <n v="35591.699999999997"/>
    <n v="6000"/>
    <n v="6000"/>
    <n v="41591.699999999997"/>
    <n v="0"/>
    <n v="1"/>
    <n v="0"/>
    <n v="0"/>
    <n v="0"/>
    <n v="0"/>
    <n v="0"/>
    <n v="0"/>
    <n v="0"/>
    <n v="0"/>
    <n v="0"/>
    <n v="0"/>
  </r>
  <r>
    <s v="6EN045"/>
    <s v="Engelska 1 för ämneslärare"/>
    <n v="71411"/>
    <s v="LYAGY"/>
    <m/>
    <s v="vt"/>
    <m/>
    <s v="Umeå"/>
    <s v="Normal"/>
    <s v="ENGS"/>
    <m/>
    <m/>
    <n v="30"/>
    <m/>
    <m/>
    <n v="28"/>
    <n v="14"/>
    <n v="0.85"/>
    <n v="11.9"/>
    <x v="0"/>
    <s v="Inst för språkstudier"/>
    <s v="Hum"/>
    <s v="Ämneslärarprogrammet - Gy"/>
    <n v="20766"/>
    <n v="17442"/>
    <n v="498283.80000000005"/>
    <n v="6000"/>
    <n v="84000"/>
    <n v="582283.80000000005"/>
    <n v="0"/>
    <n v="1"/>
    <n v="0"/>
    <n v="0"/>
    <n v="0"/>
    <n v="0"/>
    <n v="0"/>
    <n v="0"/>
    <n v="0"/>
    <n v="0"/>
    <n v="0"/>
    <n v="0"/>
  </r>
  <r>
    <s v="6EN045"/>
    <s v="Engelska 1 för ämneslärare"/>
    <n v="71411"/>
    <s v="LYAGY"/>
    <m/>
    <s v="vt"/>
    <m/>
    <s v="Umeå"/>
    <s v="Normal"/>
    <s v="GEOG"/>
    <m/>
    <m/>
    <n v="30"/>
    <m/>
    <m/>
    <n v="1"/>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
    <m/>
    <s v="Umeå"/>
    <s v="Normal"/>
    <s v="HIST"/>
    <m/>
    <m/>
    <n v="30"/>
    <m/>
    <m/>
    <n v="1"/>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
    <m/>
    <s v="Umeå"/>
    <s v="Normal"/>
    <s v="IDRH"/>
    <m/>
    <m/>
    <n v="30"/>
    <m/>
    <m/>
    <n v="5"/>
    <n v="2.5"/>
    <n v="0.85"/>
    <n v="2.125"/>
    <x v="0"/>
    <s v="Inst för språkstudier"/>
    <s v="Hum"/>
    <s v="Ämneslärarprogrammet - Gy"/>
    <n v="20766"/>
    <n v="17442"/>
    <n v="88979.25"/>
    <n v="6000"/>
    <n v="15000"/>
    <n v="103979.25"/>
    <n v="0"/>
    <n v="1"/>
    <n v="0"/>
    <n v="0"/>
    <n v="0"/>
    <n v="0"/>
    <n v="0"/>
    <n v="0"/>
    <n v="0"/>
    <n v="0"/>
    <n v="0"/>
    <n v="0"/>
  </r>
  <r>
    <s v="6EN045"/>
    <s v="Engelska 1 för ämneslärare"/>
    <n v="71411"/>
    <s v="LYAGY"/>
    <m/>
    <s v="vt"/>
    <m/>
    <s v="Umeå"/>
    <s v="Normal"/>
    <s v="MATT"/>
    <m/>
    <m/>
    <n v="30"/>
    <m/>
    <m/>
    <n v="1"/>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
    <m/>
    <s v="Umeå"/>
    <s v="Normal"/>
    <s v="MUSI"/>
    <m/>
    <m/>
    <n v="30"/>
    <m/>
    <m/>
    <n v="1"/>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
    <m/>
    <s v="Umeå"/>
    <s v="Normal"/>
    <s v="RELK"/>
    <m/>
    <m/>
    <n v="30"/>
    <m/>
    <m/>
    <n v="1"/>
    <n v="0.5"/>
    <n v="0.85"/>
    <n v="0.42499999999999999"/>
    <x v="0"/>
    <s v="Inst för språkstudier"/>
    <s v="Hum"/>
    <s v="Ämneslärarprogrammet - Gy"/>
    <n v="20766"/>
    <n v="17442"/>
    <n v="17795.849999999999"/>
    <n v="6000"/>
    <n v="3000"/>
    <n v="20795.849999999999"/>
    <n v="0"/>
    <n v="1"/>
    <n v="0"/>
    <n v="0"/>
    <n v="0"/>
    <n v="0"/>
    <n v="0"/>
    <n v="0"/>
    <n v="0"/>
    <n v="0"/>
    <n v="0"/>
    <n v="0"/>
  </r>
  <r>
    <s v="6EN045"/>
    <s v="Engelska 1 för ämneslärare"/>
    <n v="71411"/>
    <s v="LYAGY"/>
    <m/>
    <s v="vt"/>
    <m/>
    <s v="Umeå"/>
    <s v="Normal"/>
    <s v="SVAA"/>
    <m/>
    <m/>
    <n v="30"/>
    <m/>
    <m/>
    <n v="6"/>
    <n v="3"/>
    <n v="0.85"/>
    <n v="2.5499999999999998"/>
    <x v="0"/>
    <s v="Inst för språkstudier"/>
    <s v="Hum"/>
    <s v="Ämneslärarprogrammet - Gy"/>
    <n v="20766"/>
    <n v="17442"/>
    <n v="106775.1"/>
    <n v="6000"/>
    <n v="18000"/>
    <n v="124775.1"/>
    <n v="0"/>
    <n v="1"/>
    <n v="0"/>
    <n v="0"/>
    <n v="0"/>
    <n v="0"/>
    <n v="0"/>
    <n v="0"/>
    <n v="0"/>
    <n v="0"/>
    <n v="0"/>
    <n v="0"/>
  </r>
  <r>
    <s v="6EN045"/>
    <s v="Engelska 1 för ämneslärare"/>
    <n v="71411"/>
    <s v="LYAGY"/>
    <m/>
    <s v="vt"/>
    <m/>
    <s v="Umeå"/>
    <s v="Normal"/>
    <m/>
    <m/>
    <m/>
    <n v="30"/>
    <m/>
    <m/>
    <n v="1"/>
    <n v="0.5"/>
    <n v="0.85"/>
    <n v="0.42499999999999999"/>
    <x v="0"/>
    <s v="Inst för språkstudier"/>
    <s v="Hum"/>
    <s v="Ämneslärarprogrammet - Gy"/>
    <n v="20766"/>
    <n v="17442"/>
    <n v="17795.849999999999"/>
    <n v="6000"/>
    <n v="3000"/>
    <n v="20795.849999999999"/>
    <n v="0"/>
    <n v="1"/>
    <n v="0"/>
    <n v="0"/>
    <n v="0"/>
    <n v="0"/>
    <n v="0"/>
    <n v="0"/>
    <n v="0"/>
    <n v="0"/>
    <n v="0"/>
    <n v="0"/>
  </r>
  <r>
    <s v="6EN046"/>
    <s v="Engelska för ämneslärare, kurs 3"/>
    <n v="71409"/>
    <s v="LYAGY"/>
    <m/>
    <s v="vt"/>
    <m/>
    <s v="Umeå"/>
    <s v="Normal"/>
    <s v="ENGS"/>
    <m/>
    <m/>
    <n v="30"/>
    <m/>
    <m/>
    <n v="10"/>
    <n v="5"/>
    <n v="0.85"/>
    <n v="4.25"/>
    <x v="0"/>
    <s v="Inst för språkstudier"/>
    <s v="Hum"/>
    <s v="Ämneslärarprogrammet - Gy"/>
    <n v="20766"/>
    <n v="17442"/>
    <n v="177958.5"/>
    <n v="6000"/>
    <n v="30000"/>
    <n v="207958.5"/>
    <n v="0"/>
    <n v="1"/>
    <n v="0"/>
    <n v="0"/>
    <n v="0"/>
    <n v="0"/>
    <n v="0"/>
    <n v="0"/>
    <n v="0"/>
    <n v="0"/>
    <n v="0"/>
    <n v="0"/>
  </r>
  <r>
    <s v="6EN046"/>
    <s v="Engelska för ämneslärare, kurs 3"/>
    <n v="71409"/>
    <s v="LYAGY"/>
    <m/>
    <s v="vt"/>
    <m/>
    <s v="Umeå"/>
    <s v="Normal"/>
    <s v="HIST"/>
    <m/>
    <m/>
    <n v="30"/>
    <m/>
    <m/>
    <n v="2"/>
    <n v="1"/>
    <n v="0.85"/>
    <n v="0.85"/>
    <x v="0"/>
    <s v="Inst för språkstudier"/>
    <s v="Hum"/>
    <s v="Ämneslärarprogrammet - Gy"/>
    <n v="20766"/>
    <n v="17442"/>
    <n v="35591.699999999997"/>
    <n v="6000"/>
    <n v="6000"/>
    <n v="41591.699999999997"/>
    <n v="0"/>
    <n v="1"/>
    <n v="0"/>
    <n v="0"/>
    <n v="0"/>
    <n v="0"/>
    <n v="0"/>
    <n v="0"/>
    <n v="0"/>
    <n v="0"/>
    <n v="0"/>
    <n v="0"/>
  </r>
  <r>
    <s v="6EN046"/>
    <s v="Engelska för ämneslärare, kurs 3"/>
    <n v="71409"/>
    <s v="LYAGY"/>
    <m/>
    <s v="vt"/>
    <m/>
    <s v="Umeå"/>
    <s v="Normal"/>
    <s v="IDRH"/>
    <m/>
    <m/>
    <n v="30"/>
    <m/>
    <m/>
    <n v="6"/>
    <n v="3"/>
    <n v="0.85"/>
    <n v="2.5499999999999998"/>
    <x v="0"/>
    <s v="Inst för språkstudier"/>
    <s v="Hum"/>
    <s v="Ämneslärarprogrammet - Gy"/>
    <n v="20766"/>
    <n v="17442"/>
    <n v="106775.1"/>
    <n v="6000"/>
    <n v="18000"/>
    <n v="124775.1"/>
    <n v="0"/>
    <n v="1"/>
    <n v="0"/>
    <n v="0"/>
    <n v="0"/>
    <n v="0"/>
    <n v="0"/>
    <n v="0"/>
    <n v="0"/>
    <n v="0"/>
    <n v="0"/>
    <n v="0"/>
  </r>
  <r>
    <s v="6EN046"/>
    <s v="Engelska för ämneslärare, kurs 3"/>
    <n v="71409"/>
    <s v="LYAGY"/>
    <m/>
    <s v="vt"/>
    <m/>
    <s v="Umeå"/>
    <s v="Normal"/>
    <s v="MATT"/>
    <m/>
    <m/>
    <n v="30"/>
    <m/>
    <m/>
    <n v="4"/>
    <n v="2"/>
    <n v="0.85"/>
    <n v="1.7"/>
    <x v="0"/>
    <s v="Inst för språkstudier"/>
    <s v="Hum"/>
    <s v="Ämneslärarprogrammet - Gy"/>
    <n v="20766"/>
    <n v="17442"/>
    <n v="71183.399999999994"/>
    <n v="6000"/>
    <n v="12000"/>
    <n v="83183.399999999994"/>
    <n v="0"/>
    <n v="1"/>
    <n v="0"/>
    <n v="0"/>
    <n v="0"/>
    <n v="0"/>
    <n v="0"/>
    <n v="0"/>
    <n v="0"/>
    <n v="0"/>
    <n v="0"/>
    <n v="0"/>
  </r>
  <r>
    <s v="6EN046"/>
    <s v="Engelska för ämneslärare, kurs 3"/>
    <n v="71409"/>
    <s v="LYAGY"/>
    <m/>
    <s v="vt"/>
    <m/>
    <s v="Umeå"/>
    <s v="Normal"/>
    <s v="SAMK"/>
    <m/>
    <m/>
    <n v="30"/>
    <m/>
    <m/>
    <n v="2"/>
    <n v="1"/>
    <n v="0.85"/>
    <n v="0.85"/>
    <x v="0"/>
    <s v="Inst för språkstudier"/>
    <s v="Hum"/>
    <s v="Ämneslärarprogrammet - Gy"/>
    <n v="20766"/>
    <n v="17442"/>
    <n v="35591.699999999997"/>
    <n v="6000"/>
    <n v="6000"/>
    <n v="41591.699999999997"/>
    <n v="0"/>
    <n v="1"/>
    <n v="0"/>
    <n v="0"/>
    <n v="0"/>
    <n v="0"/>
    <n v="0"/>
    <n v="0"/>
    <n v="0"/>
    <n v="0"/>
    <n v="0"/>
    <n v="0"/>
  </r>
  <r>
    <s v="6ES037"/>
    <s v="Läraryrkets dimensioner (Estetiska ämnen)"/>
    <n v="66309"/>
    <s v="LYAGR"/>
    <m/>
    <s v="vt"/>
    <m/>
    <s v="Umeå"/>
    <s v="Normal"/>
    <s v="TXBI"/>
    <m/>
    <m/>
    <n v="22.5"/>
    <m/>
    <m/>
    <n v="2"/>
    <n v="0.75"/>
    <n v="0.85"/>
    <n v="0.63749999999999996"/>
    <x v="9"/>
    <s v="Estetiska ämnen               "/>
    <s v="Hum"/>
    <s v="Ämneslärarprogrammet - åk 7-9"/>
    <n v="25235"/>
    <n v="27976"/>
    <n v="36760.949999999997"/>
    <n v="3600"/>
    <n v="2700"/>
    <n v="39460.949999999997"/>
    <n v="0"/>
    <n v="0"/>
    <n v="0"/>
    <n v="0"/>
    <n v="0"/>
    <n v="0"/>
    <n v="0"/>
    <n v="0"/>
    <n v="1"/>
    <n v="0"/>
    <n v="0"/>
    <n v="0"/>
  </r>
  <r>
    <s v="6ES037"/>
    <s v="Läraryrkets dimensioner (Estetiska ämnen)"/>
    <m/>
    <s v="LYAGY"/>
    <s v="H15"/>
    <s v="ht"/>
    <s v="H211-15"/>
    <s v="Umeå"/>
    <m/>
    <s v="MUSI"/>
    <m/>
    <n v="1"/>
    <n v="22.5"/>
    <m/>
    <m/>
    <n v="1"/>
    <n v="0.375"/>
    <n v="0.85"/>
    <n v="0.31874999999999998"/>
    <x v="9"/>
    <s v="Estetiska ämnen               "/>
    <s v="Hum"/>
    <s v="Ämneslärarprogrammet - Gy"/>
    <n v="25235"/>
    <n v="27976"/>
    <n v="18380.474999999999"/>
    <n v="3600"/>
    <n v="1350"/>
    <n v="19730.474999999999"/>
    <n v="0"/>
    <n v="0"/>
    <n v="0"/>
    <n v="0"/>
    <n v="0"/>
    <n v="0"/>
    <n v="0"/>
    <n v="0"/>
    <n v="1"/>
    <n v="0"/>
    <n v="0"/>
    <n v="0"/>
  </r>
  <r>
    <s v="6ES037"/>
    <s v="Läraryrkets dimensioner (Estetiska ämnen)"/>
    <m/>
    <s v="LYAGY"/>
    <s v="H16"/>
    <s v="ht"/>
    <s v="H211-15"/>
    <s v="Umeå"/>
    <m/>
    <s v="BILÄ"/>
    <m/>
    <n v="1"/>
    <n v="22.5"/>
    <m/>
    <m/>
    <n v="1"/>
    <n v="0.375"/>
    <n v="0.85"/>
    <n v="0.31874999999999998"/>
    <x v="9"/>
    <s v="Estetiska ämnen               "/>
    <s v="Hum"/>
    <s v="Ämneslärarprogrammet - Gy"/>
    <n v="25235"/>
    <n v="27976"/>
    <n v="18380.474999999999"/>
    <n v="3600"/>
    <n v="1350"/>
    <n v="19730.474999999999"/>
    <n v="0"/>
    <n v="0"/>
    <n v="0"/>
    <n v="0"/>
    <n v="0"/>
    <n v="0"/>
    <n v="0"/>
    <n v="0"/>
    <n v="1"/>
    <n v="0"/>
    <n v="0"/>
    <n v="0"/>
  </r>
  <r>
    <s v="6ES037"/>
    <s v="Läraryrkets dimensioner (Estetiska ämnen)"/>
    <n v="66309"/>
    <s v="LYAGY"/>
    <m/>
    <s v="vt"/>
    <m/>
    <s v="Umeå"/>
    <s v="Normal"/>
    <s v="BILÄ"/>
    <m/>
    <m/>
    <n v="22.5"/>
    <m/>
    <m/>
    <n v="3"/>
    <n v="1.125"/>
    <n v="0.85"/>
    <n v="0.95624999999999993"/>
    <x v="9"/>
    <s v="Estetiska ämnen               "/>
    <s v="Hum"/>
    <s v="Ämneslärarprogrammet - Gy"/>
    <n v="25235"/>
    <n v="27976"/>
    <n v="55141.425000000003"/>
    <n v="3600"/>
    <n v="4050"/>
    <n v="59191.425000000003"/>
    <n v="0"/>
    <n v="0"/>
    <n v="0"/>
    <n v="0"/>
    <n v="0"/>
    <n v="0"/>
    <n v="0"/>
    <n v="0"/>
    <n v="1"/>
    <n v="0"/>
    <n v="0"/>
    <n v="0"/>
  </r>
  <r>
    <s v="6ES037"/>
    <s v="Läraryrkets dimensioner (Estetiska ämnen)"/>
    <n v="66309"/>
    <s v="LYAGY"/>
    <m/>
    <s v="vt"/>
    <m/>
    <s v="Umeå"/>
    <s v="Normal"/>
    <s v="MUSI"/>
    <m/>
    <m/>
    <n v="22.5"/>
    <m/>
    <m/>
    <n v="3"/>
    <n v="1.125"/>
    <n v="0.85"/>
    <n v="0.95624999999999993"/>
    <x v="9"/>
    <s v="Estetiska ämnen               "/>
    <s v="Hum"/>
    <s v="Ämneslärarprogrammet - Gy"/>
    <n v="25235"/>
    <n v="27976"/>
    <n v="55141.425000000003"/>
    <n v="3600"/>
    <n v="4050"/>
    <n v="59191.425000000003"/>
    <n v="0"/>
    <n v="0"/>
    <n v="0"/>
    <n v="0"/>
    <n v="0"/>
    <n v="0"/>
    <n v="0"/>
    <n v="0"/>
    <n v="1"/>
    <n v="0"/>
    <n v="0"/>
    <n v="0"/>
  </r>
  <r>
    <s v="6ES038"/>
    <s v="Examensarbete - estetiska ämnen"/>
    <m/>
    <s v="LYAGR"/>
    <s v="H17"/>
    <s v="ht"/>
    <s v="V2116-20:H211-15"/>
    <s v="Umeå"/>
    <m/>
    <s v="TXBI"/>
    <m/>
    <n v="1"/>
    <n v="22.5"/>
    <m/>
    <m/>
    <n v="2"/>
    <n v="0.75"/>
    <n v="0.85"/>
    <n v="0.63749999999999996"/>
    <x v="9"/>
    <s v="Estetiska ämnen               "/>
    <s v="Hum"/>
    <s v="Ämneslärarprogrammet - åk 7-9"/>
    <n v="20766"/>
    <n v="17442"/>
    <n v="26693.775000000001"/>
    <n v="6000"/>
    <n v="4500"/>
    <n v="31193.775000000001"/>
    <n v="0"/>
    <n v="1"/>
    <n v="0"/>
    <n v="0"/>
    <n v="0"/>
    <n v="0"/>
    <n v="0"/>
    <n v="0"/>
    <n v="0"/>
    <n v="0"/>
    <n v="0"/>
    <n v="0"/>
  </r>
  <r>
    <s v="6ES038"/>
    <s v="Examensarbete - estetiska ämnen"/>
    <m/>
    <s v="LYAGR"/>
    <s v="H18"/>
    <s v="ht"/>
    <s v="H2116-20:V221-15"/>
    <s v="Umeå"/>
    <m/>
    <s v="TXAL"/>
    <m/>
    <n v="1"/>
    <n v="7.5"/>
    <m/>
    <m/>
    <n v="1"/>
    <n v="0.125"/>
    <n v="0.85"/>
    <n v="0.10625"/>
    <x v="9"/>
    <s v="Estetiska ämnen               "/>
    <s v="Hum"/>
    <s v="Ämneslärarprogrammet - åk 7-9"/>
    <n v="20766"/>
    <n v="17442"/>
    <n v="4448.9624999999996"/>
    <n v="6000"/>
    <n v="750"/>
    <n v="5198.9624999999996"/>
    <n v="0"/>
    <n v="1"/>
    <n v="0"/>
    <n v="0"/>
    <n v="0"/>
    <n v="0"/>
    <n v="0"/>
    <n v="0"/>
    <n v="0"/>
    <n v="0"/>
    <n v="0"/>
    <n v="0"/>
  </r>
  <r>
    <s v="6ES038"/>
    <s v="Examensarbete - estetiska ämnen"/>
    <n v="66308"/>
    <s v="LYAGR"/>
    <m/>
    <s v="vt"/>
    <m/>
    <s v="Umeå"/>
    <s v="Normal"/>
    <s v="TXBI"/>
    <m/>
    <m/>
    <n v="7.5"/>
    <m/>
    <m/>
    <n v="2"/>
    <n v="0.25"/>
    <n v="0.85"/>
    <n v="0.21249999999999999"/>
    <x v="9"/>
    <s v="Estetiska ämnen               "/>
    <s v="Hum"/>
    <s v="Ämneslärarprogrammet - åk 7-9"/>
    <n v="20766"/>
    <n v="17442"/>
    <n v="8897.9249999999993"/>
    <n v="6000"/>
    <n v="1500"/>
    <n v="10397.924999999999"/>
    <n v="0"/>
    <n v="1"/>
    <n v="0"/>
    <n v="0"/>
    <n v="0"/>
    <n v="0"/>
    <n v="0"/>
    <n v="0"/>
    <n v="0"/>
    <n v="0"/>
    <n v="0"/>
    <n v="0"/>
  </r>
  <r>
    <s v="6ES038"/>
    <s v="Examensarbete - estetiska ämnen"/>
    <m/>
    <s v="LYAGY"/>
    <s v="H15"/>
    <s v="ht"/>
    <s v="H2116-20:V221-15"/>
    <s v="Umeå"/>
    <m/>
    <s v="MUSI"/>
    <m/>
    <n v="1"/>
    <n v="7.5"/>
    <m/>
    <m/>
    <n v="1"/>
    <n v="0.125"/>
    <n v="0.85"/>
    <n v="0.10625"/>
    <x v="9"/>
    <s v="Estetiska ämnen               "/>
    <s v="Hum"/>
    <s v="Ämneslärarprogrammet - Gy"/>
    <n v="20766"/>
    <n v="17442"/>
    <n v="4448.9624999999996"/>
    <n v="6000"/>
    <n v="750"/>
    <n v="5198.9624999999996"/>
    <n v="0"/>
    <n v="1"/>
    <n v="0"/>
    <n v="0"/>
    <n v="0"/>
    <n v="0"/>
    <n v="0"/>
    <n v="0"/>
    <n v="0"/>
    <n v="0"/>
    <n v="0"/>
    <n v="0"/>
  </r>
  <r>
    <s v="6ES038"/>
    <s v="Examensarbete - estetiska ämnen"/>
    <m/>
    <s v="LYAGY"/>
    <s v="H16"/>
    <s v="ht"/>
    <s v="H2116-20:V221-15"/>
    <s v="Umeå"/>
    <m/>
    <s v="BILÄ"/>
    <m/>
    <n v="1"/>
    <n v="7.5"/>
    <m/>
    <m/>
    <n v="1"/>
    <n v="0.125"/>
    <n v="0.85"/>
    <n v="0.10625"/>
    <x v="9"/>
    <s v="Estetiska ämnen               "/>
    <s v="Hum"/>
    <s v="Ämneslärarprogrammet - Gy"/>
    <n v="20766"/>
    <n v="17442"/>
    <n v="4448.9624999999996"/>
    <n v="6000"/>
    <n v="750"/>
    <n v="5198.9624999999996"/>
    <n v="0"/>
    <n v="1"/>
    <n v="0"/>
    <n v="0"/>
    <n v="0"/>
    <n v="0"/>
    <n v="0"/>
    <n v="0"/>
    <n v="0"/>
    <n v="0"/>
    <n v="0"/>
    <n v="0"/>
  </r>
  <r>
    <s v="6ES038"/>
    <s v="Examensarbete - estetiska ämnen"/>
    <m/>
    <s v="LYAGY"/>
    <s v="H17"/>
    <s v="ht"/>
    <s v="H2116-20:V221-15"/>
    <s v="Umeå"/>
    <m/>
    <s v="ENGS"/>
    <m/>
    <n v="1"/>
    <n v="7.5"/>
    <m/>
    <m/>
    <n v="2"/>
    <n v="0.25"/>
    <n v="0.85"/>
    <n v="0.21249999999999999"/>
    <x v="9"/>
    <s v="Estetiska ämnen               "/>
    <s v="Hum"/>
    <s v="Ämneslärarprogrammet - Gy"/>
    <n v="20766"/>
    <n v="17442"/>
    <n v="8897.9249999999993"/>
    <n v="6000"/>
    <n v="1500"/>
    <n v="10397.924999999999"/>
    <n v="0"/>
    <n v="1"/>
    <n v="0"/>
    <n v="0"/>
    <n v="0"/>
    <n v="0"/>
    <n v="0"/>
    <n v="0"/>
    <n v="0"/>
    <n v="0"/>
    <n v="0"/>
    <n v="0"/>
  </r>
  <r>
    <s v="6ES038"/>
    <s v="Examensarbete - estetiska ämnen"/>
    <m/>
    <s v="LYAGY"/>
    <s v="H17"/>
    <s v="ht"/>
    <s v="H2116-20:V221-15"/>
    <s v="Umeå"/>
    <m/>
    <s v="MUSI"/>
    <m/>
    <n v="1"/>
    <n v="7.5"/>
    <m/>
    <m/>
    <n v="2"/>
    <n v="0.25"/>
    <n v="0.85"/>
    <n v="0.21249999999999999"/>
    <x v="9"/>
    <s v="Estetiska ämnen               "/>
    <s v="Hum"/>
    <s v="Ämneslärarprogrammet - Gy"/>
    <n v="20766"/>
    <n v="17442"/>
    <n v="8897.9249999999993"/>
    <n v="6000"/>
    <n v="1500"/>
    <n v="10397.924999999999"/>
    <n v="0"/>
    <n v="1"/>
    <n v="0"/>
    <n v="0"/>
    <n v="0"/>
    <n v="0"/>
    <n v="0"/>
    <n v="0"/>
    <n v="0"/>
    <n v="0"/>
    <n v="0"/>
    <n v="0"/>
  </r>
  <r>
    <s v="6ES051"/>
    <s v="Bild 2a, distans"/>
    <m/>
    <s v="FRIST"/>
    <m/>
    <s v="ht"/>
    <m/>
    <m/>
    <s v="Distans"/>
    <m/>
    <m/>
    <n v="0.5"/>
    <n v="15"/>
    <m/>
    <m/>
    <n v="12"/>
    <n v="3"/>
    <n v="0.8"/>
    <n v="2.4000000000000004"/>
    <x v="9"/>
    <s v="Estetiska ämnen               "/>
    <s v="Hum"/>
    <s v="Fristående och övriga kurser"/>
    <n v="51362"/>
    <n v="59096"/>
    <n v="295916.40000000002"/>
    <n v="71500"/>
    <n v="214500"/>
    <n v="510416.4"/>
    <n v="1"/>
    <n v="0"/>
    <n v="0"/>
    <n v="0"/>
    <n v="0"/>
    <n v="0"/>
    <n v="0"/>
    <n v="0"/>
    <n v="0"/>
    <n v="0"/>
    <n v="0"/>
    <n v="0"/>
  </r>
  <r>
    <s v="6ES066"/>
    <s v="Ämnesdidaktik i skolpraktiken, del 1"/>
    <n v="66310"/>
    <s v="LYKGR"/>
    <m/>
    <s v="vt"/>
    <m/>
    <s v="Umeå"/>
    <s v="Normal"/>
    <s v="GRHF"/>
    <m/>
    <m/>
    <n v="15"/>
    <m/>
    <m/>
    <n v="12"/>
    <n v="3"/>
    <n v="0.85"/>
    <n v="2.5499999999999998"/>
    <x v="9"/>
    <s v="Estetiska ämnen               "/>
    <s v="Hum"/>
    <s v="KPU - åk 7-9"/>
    <n v="25235"/>
    <n v="27976"/>
    <n v="147043.79999999999"/>
    <n v="3600"/>
    <n v="10800"/>
    <n v="157843.79999999999"/>
    <n v="0"/>
    <n v="0"/>
    <n v="0"/>
    <n v="0"/>
    <n v="0"/>
    <n v="0"/>
    <n v="0"/>
    <n v="0"/>
    <n v="1"/>
    <n v="0"/>
    <n v="0"/>
    <n v="0"/>
  </r>
  <r>
    <s v="6ES066"/>
    <s v="Ämnesdidaktik i skolpraktiken, del 1"/>
    <n v="66310"/>
    <s v="LYKGR"/>
    <m/>
    <s v="vt"/>
    <m/>
    <s v="Umeå"/>
    <s v="Normal"/>
    <m/>
    <m/>
    <m/>
    <n v="15"/>
    <m/>
    <m/>
    <n v="1"/>
    <n v="0.25"/>
    <n v="0.85"/>
    <n v="0.21249999999999999"/>
    <x v="9"/>
    <s v="Estetiska ämnen               "/>
    <s v="Hum"/>
    <s v="KPU - åk 7-9"/>
    <n v="25235"/>
    <n v="27976"/>
    <n v="12253.65"/>
    <n v="3600"/>
    <n v="900"/>
    <n v="13153.65"/>
    <n v="0"/>
    <n v="0"/>
    <n v="0"/>
    <n v="0"/>
    <n v="0"/>
    <n v="0"/>
    <n v="0"/>
    <n v="0"/>
    <n v="1"/>
    <n v="0"/>
    <n v="0"/>
    <n v="0"/>
  </r>
  <r>
    <s v="6ES066"/>
    <s v="Ämnesdidaktik i skolpraktiken, del 1"/>
    <n v="66310"/>
    <s v="LYKGY"/>
    <m/>
    <s v="vt"/>
    <m/>
    <s v="Umeå"/>
    <s v="Normal"/>
    <s v="GYHF"/>
    <m/>
    <m/>
    <n v="15"/>
    <m/>
    <m/>
    <n v="4"/>
    <n v="1"/>
    <n v="0.85"/>
    <n v="0.85"/>
    <x v="9"/>
    <s v="Estetiska ämnen               "/>
    <s v="Hum"/>
    <s v="KPU - Gy"/>
    <n v="25235"/>
    <n v="27976"/>
    <n v="49014.6"/>
    <n v="3600"/>
    <n v="3600"/>
    <n v="52614.6"/>
    <n v="0"/>
    <n v="0"/>
    <n v="0"/>
    <n v="0"/>
    <n v="0"/>
    <n v="0"/>
    <n v="0"/>
    <n v="0"/>
    <n v="1"/>
    <n v="0"/>
    <n v="0"/>
    <n v="0"/>
  </r>
  <r>
    <s v="6ES066"/>
    <s v="Ämnesdidaktik i skolpraktiken, del 1"/>
    <n v="66310"/>
    <s v="LYLÄP"/>
    <m/>
    <s v="vt"/>
    <m/>
    <s v="Umeå"/>
    <s v="Normal"/>
    <m/>
    <m/>
    <m/>
    <n v="15"/>
    <m/>
    <m/>
    <n v="1"/>
    <n v="0.25"/>
    <n v="0.85"/>
    <n v="0.21249999999999999"/>
    <x v="9"/>
    <s v="Estetiska ämnen               "/>
    <s v="Hum"/>
    <s v="VAL-projektet"/>
    <n v="25235"/>
    <n v="27976"/>
    <n v="12253.65"/>
    <n v="3600"/>
    <n v="900"/>
    <n v="13153.65"/>
    <n v="0"/>
    <n v="0"/>
    <n v="0"/>
    <n v="0"/>
    <n v="0"/>
    <n v="0"/>
    <n v="0"/>
    <n v="0"/>
    <n v="1"/>
    <n v="0"/>
    <n v="0"/>
    <n v="0"/>
  </r>
  <r>
    <s v="6ES067"/>
    <s v="Ämnesdidaktik i skolpraktiken, del 2"/>
    <m/>
    <s v="LYAGY"/>
    <s v="H19"/>
    <s v="ht"/>
    <s v="H211-20"/>
    <s v="Umeå"/>
    <m/>
    <s v="MASH"/>
    <m/>
    <n v="0.5"/>
    <n v="15"/>
    <m/>
    <m/>
    <n v="1"/>
    <n v="0.25"/>
    <n v="0.85"/>
    <n v="0.21249999999999999"/>
    <x v="9"/>
    <s v="Estetiska ämnen               "/>
    <s v="Hum"/>
    <s v="Ämneslärarprogrammet - Gy"/>
    <n v="25235"/>
    <n v="27976"/>
    <n v="12253.65"/>
    <n v="3600"/>
    <n v="900"/>
    <n v="13153.65"/>
    <n v="0"/>
    <n v="0"/>
    <n v="0"/>
    <n v="0"/>
    <n v="0"/>
    <n v="0"/>
    <n v="0"/>
    <n v="0"/>
    <n v="1"/>
    <n v="0"/>
    <n v="0"/>
    <n v="0"/>
  </r>
  <r>
    <s v="6ES067"/>
    <s v="Ämnesdidaktik i skolpraktiken, del 2"/>
    <m/>
    <s v="LYKGR"/>
    <s v="H18"/>
    <s v="ht"/>
    <s v="H211-20"/>
    <s v="Umeå"/>
    <s v="Campus"/>
    <s v="GRHF"/>
    <m/>
    <n v="0.5"/>
    <n v="15"/>
    <m/>
    <m/>
    <n v="1"/>
    <n v="0.25"/>
    <n v="0.85"/>
    <n v="0.21249999999999999"/>
    <x v="9"/>
    <s v="Estetiska ämnen               "/>
    <s v="Hum"/>
    <s v="KPU - åk 7-9"/>
    <n v="25235"/>
    <n v="27976"/>
    <n v="12253.65"/>
    <n v="3600"/>
    <n v="900"/>
    <n v="13153.65"/>
    <n v="0"/>
    <n v="0"/>
    <n v="0"/>
    <n v="0"/>
    <n v="0"/>
    <n v="0"/>
    <n v="0"/>
    <n v="0"/>
    <n v="1"/>
    <n v="0"/>
    <n v="0"/>
    <n v="0"/>
  </r>
  <r>
    <s v="6ES067"/>
    <s v="Ämnesdidaktik i skolpraktiken, del 2"/>
    <m/>
    <s v="LYKGR"/>
    <s v="H19"/>
    <s v="ht"/>
    <s v="H211-20"/>
    <s v="Umeå"/>
    <s v="Campus"/>
    <s v="GRHF"/>
    <m/>
    <n v="0.5"/>
    <n v="15"/>
    <m/>
    <m/>
    <n v="12"/>
    <n v="3"/>
    <n v="0.85"/>
    <n v="2.5499999999999998"/>
    <x v="9"/>
    <s v="Estetiska ämnen               "/>
    <s v="Hum"/>
    <s v="KPU - åk 7-9"/>
    <n v="25235"/>
    <n v="27976"/>
    <n v="147043.79999999999"/>
    <n v="3600"/>
    <n v="10800"/>
    <n v="157843.79999999999"/>
    <n v="0"/>
    <n v="0"/>
    <n v="0"/>
    <n v="0"/>
    <n v="0"/>
    <n v="0"/>
    <n v="0"/>
    <n v="0"/>
    <n v="1"/>
    <n v="0"/>
    <n v="0"/>
    <n v="0"/>
  </r>
  <r>
    <s v="6ES067"/>
    <s v="Ämnesdidaktik i skolpraktiken, del 2"/>
    <m/>
    <s v="LYKGY"/>
    <s v="H17"/>
    <s v="ht"/>
    <s v="H211-20"/>
    <s v="Umeå"/>
    <s v="Campus"/>
    <s v="GYHF"/>
    <m/>
    <n v="0.5"/>
    <n v="15"/>
    <m/>
    <m/>
    <n v="1"/>
    <n v="0.25"/>
    <n v="0.85"/>
    <n v="0.21249999999999999"/>
    <x v="9"/>
    <s v="Estetiska ämnen               "/>
    <s v="Hum"/>
    <s v="KPU - Gy"/>
    <n v="25235"/>
    <n v="27976"/>
    <n v="12253.65"/>
    <n v="3600"/>
    <n v="900"/>
    <n v="13153.65"/>
    <n v="0"/>
    <n v="0"/>
    <n v="0"/>
    <n v="0"/>
    <n v="0"/>
    <n v="0"/>
    <n v="0"/>
    <n v="0"/>
    <n v="1"/>
    <n v="0"/>
    <n v="0"/>
    <n v="0"/>
  </r>
  <r>
    <s v="6ES067"/>
    <s v="Ämnesdidaktik i skolpraktiken, del 2"/>
    <m/>
    <s v="LYKGY"/>
    <s v="H19"/>
    <s v="ht"/>
    <s v="H211-20"/>
    <s v="Umeå"/>
    <s v="Campus"/>
    <s v="GYHF"/>
    <m/>
    <n v="0.5"/>
    <n v="15"/>
    <m/>
    <m/>
    <n v="3"/>
    <n v="0.75"/>
    <n v="0.85"/>
    <n v="0.63749999999999996"/>
    <x v="9"/>
    <s v="Estetiska ämnen               "/>
    <s v="Hum"/>
    <s v="KPU - Gy"/>
    <n v="25235"/>
    <n v="27976"/>
    <n v="36760.949999999997"/>
    <n v="3600"/>
    <n v="2700"/>
    <n v="39460.949999999997"/>
    <n v="0"/>
    <n v="0"/>
    <n v="0"/>
    <n v="0"/>
    <n v="0"/>
    <n v="0"/>
    <n v="0"/>
    <n v="0"/>
    <n v="1"/>
    <n v="0"/>
    <n v="0"/>
    <n v="0"/>
  </r>
  <r>
    <s v="6ES068"/>
    <s v="Examensarbete med ämnesdidaktisk inriktning"/>
    <n v="66312"/>
    <s v="LYKFO"/>
    <m/>
    <s v="vt"/>
    <m/>
    <s v="Umeå"/>
    <s v="Normal"/>
    <m/>
    <m/>
    <m/>
    <n v="15"/>
    <m/>
    <m/>
    <n v="1"/>
    <n v="0.25"/>
    <n v="0.85"/>
    <n v="0.21249999999999999"/>
    <x v="9"/>
    <s v="Estetiska ämnen               "/>
    <s v="Hum"/>
    <s v="KPU - Förhöjd studietakt - utbildningsbidrag"/>
    <n v="26554"/>
    <n v="33465"/>
    <n v="13749.8125"/>
    <n v="6000"/>
    <n v="1500"/>
    <n v="15249.8125"/>
    <n v="0"/>
    <n v="0"/>
    <n v="0"/>
    <n v="1"/>
    <n v="0"/>
    <n v="0"/>
    <n v="0"/>
    <n v="0"/>
    <n v="0"/>
    <n v="0"/>
    <n v="0"/>
    <n v="0"/>
  </r>
  <r>
    <s v="6ES068"/>
    <s v="Examensarbete med ämnesdidaktisk inriktning"/>
    <n v="66312"/>
    <s v="LYKGR"/>
    <m/>
    <s v="vt"/>
    <m/>
    <s v="Umeå"/>
    <s v="Normal"/>
    <s v="GRHF"/>
    <m/>
    <m/>
    <n v="15"/>
    <m/>
    <m/>
    <n v="13"/>
    <n v="3.25"/>
    <n v="0.85"/>
    <n v="2.7624999999999997"/>
    <x v="9"/>
    <s v="Estetiska ämnen               "/>
    <s v="Hum"/>
    <s v="KPU - åk 7-9"/>
    <n v="26554"/>
    <n v="33465"/>
    <n v="178747.5625"/>
    <n v="6000"/>
    <n v="19500"/>
    <n v="198247.5625"/>
    <n v="0"/>
    <n v="0"/>
    <n v="0"/>
    <n v="1"/>
    <n v="0"/>
    <n v="0"/>
    <n v="0"/>
    <n v="0"/>
    <n v="0"/>
    <n v="0"/>
    <n v="0"/>
    <n v="0"/>
  </r>
  <r>
    <s v="6ES068"/>
    <s v="Examensarbete med ämnesdidaktisk inriktning"/>
    <n v="66312"/>
    <s v="LYKGY"/>
    <m/>
    <s v="vt"/>
    <m/>
    <s v="Umeå"/>
    <s v="Normal"/>
    <s v="GYHF"/>
    <m/>
    <m/>
    <n v="15"/>
    <m/>
    <m/>
    <n v="8"/>
    <n v="2"/>
    <n v="0.85"/>
    <n v="1.7"/>
    <x v="9"/>
    <s v="Estetiska ämnen               "/>
    <s v="Hum"/>
    <s v="KPU - Gy"/>
    <n v="26554"/>
    <n v="33465"/>
    <n v="109998.5"/>
    <n v="6000"/>
    <n v="12000"/>
    <n v="121998.5"/>
    <n v="0"/>
    <n v="0"/>
    <n v="0"/>
    <n v="1"/>
    <n v="0"/>
    <n v="0"/>
    <n v="0"/>
    <n v="0"/>
    <n v="0"/>
    <n v="0"/>
    <n v="0"/>
    <n v="0"/>
  </r>
  <r>
    <s v="6ES068"/>
    <s v="Examensarbete med ämnesdidaktisk inriktning"/>
    <n v="66312"/>
    <s v="LYKGY"/>
    <m/>
    <s v="vt"/>
    <m/>
    <s v="Umeå"/>
    <s v="Normal"/>
    <m/>
    <m/>
    <m/>
    <n v="15"/>
    <m/>
    <m/>
    <n v="1"/>
    <n v="0.25"/>
    <n v="0.85"/>
    <n v="0.21249999999999999"/>
    <x v="9"/>
    <s v="Estetiska ämnen               "/>
    <s v="Hum"/>
    <s v="KPU - Gy"/>
    <n v="26554"/>
    <n v="33465"/>
    <n v="13749.8125"/>
    <n v="6000"/>
    <n v="1500"/>
    <n v="15249.8125"/>
    <n v="0"/>
    <n v="0"/>
    <n v="0"/>
    <n v="1"/>
    <n v="0"/>
    <n v="0"/>
    <n v="0"/>
    <n v="0"/>
    <n v="0"/>
    <n v="0"/>
    <n v="0"/>
    <n v="0"/>
  </r>
  <r>
    <s v="6ES070"/>
    <s v="Bild 2, fristående "/>
    <m/>
    <s v="FRIST"/>
    <m/>
    <s v="ht"/>
    <m/>
    <m/>
    <s v="Campus"/>
    <m/>
    <m/>
    <n v="1"/>
    <n v="30"/>
    <m/>
    <m/>
    <n v="3"/>
    <n v="1.5"/>
    <n v="0.8"/>
    <n v="1.2000000000000002"/>
    <x v="9"/>
    <s v="Estetiska ämnen               "/>
    <s v="Hum"/>
    <s v="Fristående och övriga kurser"/>
    <n v="51362"/>
    <n v="59096"/>
    <n v="147958.20000000001"/>
    <n v="71500"/>
    <n v="107250"/>
    <n v="255208.2"/>
    <n v="1"/>
    <n v="0"/>
    <n v="0"/>
    <n v="0"/>
    <n v="0"/>
    <n v="0"/>
    <n v="0"/>
    <n v="0"/>
    <n v="0"/>
    <n v="0"/>
    <n v="0"/>
    <n v="0"/>
  </r>
  <r>
    <s v="6ES071"/>
    <s v="Forskning och utvecklingsarbete i skolan 1"/>
    <m/>
    <s v="FRIST"/>
    <m/>
    <s v="ht"/>
    <m/>
    <m/>
    <s v="Distans"/>
    <m/>
    <m/>
    <n v="0.25"/>
    <n v="7.5"/>
    <m/>
    <m/>
    <n v="5"/>
    <n v="0.625"/>
    <n v="0.8"/>
    <n v="0.5"/>
    <x v="9"/>
    <s v="Estetiska ämnen               "/>
    <s v="Hum"/>
    <s v="Fristående och övriga kurser"/>
    <n v="20766"/>
    <n v="17442"/>
    <n v="21699.75"/>
    <n v="6000"/>
    <n v="3750"/>
    <n v="25449.75"/>
    <n v="0"/>
    <n v="1"/>
    <n v="0"/>
    <n v="0"/>
    <n v="0"/>
    <n v="0"/>
    <n v="0"/>
    <n v="0"/>
    <n v="0"/>
    <n v="0"/>
    <n v="0"/>
    <n v="0"/>
  </r>
  <r>
    <s v="6ES072"/>
    <s v="Skapande lek i förskolan 1"/>
    <n v="66311"/>
    <s v="LYFSK"/>
    <m/>
    <s v="vt"/>
    <m/>
    <s v="Umeå"/>
    <s v="Normal"/>
    <m/>
    <m/>
    <m/>
    <n v="7.5"/>
    <m/>
    <m/>
    <n v="22"/>
    <n v="2.75"/>
    <n v="0.85"/>
    <n v="2.3374999999999999"/>
    <x v="9"/>
    <s v="Estetiska ämnen               "/>
    <s v="Hum"/>
    <s v="Förskollärarprogrammet"/>
    <n v="16920"/>
    <n v="27913"/>
    <n v="111776.6375"/>
    <n v="17900"/>
    <n v="49225"/>
    <n v="161001.63750000001"/>
    <n v="0"/>
    <n v="0"/>
    <n v="0"/>
    <n v="0"/>
    <n v="0"/>
    <n v="0"/>
    <n v="0"/>
    <n v="0"/>
    <n v="0"/>
    <n v="0"/>
    <n v="1"/>
    <n v="0"/>
  </r>
  <r>
    <s v="6ES075"/>
    <s v="Praktiskt estetiskt ämne - Bild 1"/>
    <m/>
    <s v="LYGFR"/>
    <s v="H20"/>
    <s v="ht"/>
    <s v="H2111-20"/>
    <s v="Umeå"/>
    <s v="Campus"/>
    <m/>
    <m/>
    <n v="1"/>
    <n v="15"/>
    <m/>
    <m/>
    <n v="11"/>
    <n v="2.75"/>
    <n v="0.85"/>
    <n v="2.3374999999999999"/>
    <x v="9"/>
    <s v="Estetiska ämnen               "/>
    <s v="Hum"/>
    <s v="Grundlärarprogrammet - fritidshem"/>
    <n v="16920"/>
    <n v="27913"/>
    <n v="111776.6375"/>
    <n v="17900"/>
    <n v="49225"/>
    <n v="161001.63750000001"/>
    <n v="0"/>
    <n v="0"/>
    <n v="0"/>
    <n v="0"/>
    <n v="0"/>
    <n v="0"/>
    <n v="0"/>
    <n v="0"/>
    <n v="0"/>
    <n v="0"/>
    <n v="1"/>
    <n v="0"/>
  </r>
  <r>
    <s v="6ES077"/>
    <s v="Praktiskt estetiskt ämne - Bild 2"/>
    <m/>
    <s v="LYGFR"/>
    <s v="H19"/>
    <s v="ht"/>
    <s v="H211-10"/>
    <s v="Umeå"/>
    <s v="Campus"/>
    <m/>
    <m/>
    <n v="1"/>
    <n v="15"/>
    <m/>
    <m/>
    <n v="5"/>
    <n v="1.25"/>
    <n v="0.85"/>
    <n v="1.0625"/>
    <x v="9"/>
    <s v="Estetiska ämnen               "/>
    <s v="Hum"/>
    <s v="Grundlärarprogrammet - fritidshem"/>
    <n v="16920"/>
    <n v="27913"/>
    <n v="50807.5625"/>
    <n v="17900"/>
    <n v="22375"/>
    <n v="73182.5625"/>
    <n v="0"/>
    <n v="0"/>
    <n v="0"/>
    <n v="0"/>
    <n v="0"/>
    <n v="0"/>
    <n v="0"/>
    <n v="0"/>
    <n v="0"/>
    <n v="0"/>
    <n v="1"/>
    <n v="0"/>
  </r>
  <r>
    <s v="6ES080"/>
    <s v="Läraryrkets dimensioner för fritidshem 2 (VFU)"/>
    <m/>
    <s v="LYGFR"/>
    <s v="H19"/>
    <s v="ht"/>
    <s v="H2111-12"/>
    <s v="Umeå"/>
    <s v="Campus"/>
    <m/>
    <m/>
    <n v="1"/>
    <n v="2.5"/>
    <m/>
    <m/>
    <n v="5"/>
    <n v="0.20833333333333331"/>
    <n v="0.85"/>
    <n v="0.17708333333333331"/>
    <x v="9"/>
    <s v="Estetiska ämnen               "/>
    <s v="Hum"/>
    <s v="Grundlärarprogrammet - fritidshem"/>
    <n v="25235"/>
    <n v="27976"/>
    <n v="10211.375"/>
    <n v="3600"/>
    <n v="749.99999999999989"/>
    <n v="10961.375"/>
    <n v="0"/>
    <n v="0"/>
    <n v="0"/>
    <n v="0"/>
    <n v="0"/>
    <n v="0"/>
    <n v="0"/>
    <n v="0"/>
    <n v="1"/>
    <n v="0"/>
    <n v="0"/>
    <n v="0"/>
  </r>
  <r>
    <s v="6ES082"/>
    <s v="Bild 1, distans"/>
    <n v="66221"/>
    <s v="FRIST"/>
    <m/>
    <s v="vt"/>
    <m/>
    <s v="Umeå"/>
    <s v="Distans"/>
    <m/>
    <m/>
    <m/>
    <n v="15"/>
    <m/>
    <m/>
    <n v="19"/>
    <n v="4.75"/>
    <n v="0.8"/>
    <n v="3.8000000000000003"/>
    <x v="9"/>
    <s v="Estetiska ämnen               "/>
    <s v="Hum"/>
    <s v="Fristående och övriga kurser"/>
    <n v="51362"/>
    <n v="59096"/>
    <n v="468534.30000000005"/>
    <n v="71500"/>
    <n v="339625"/>
    <n v="808159.3"/>
    <n v="1"/>
    <n v="0"/>
    <n v="0"/>
    <n v="0"/>
    <n v="0"/>
    <n v="0"/>
    <n v="0"/>
    <n v="0"/>
    <n v="0"/>
    <n v="0"/>
    <n v="0"/>
    <n v="0"/>
  </r>
  <r>
    <s v="6ES082"/>
    <s v="Bild 1, distans"/>
    <m/>
    <s v="FRIST"/>
    <m/>
    <s v="ht"/>
    <m/>
    <m/>
    <s v="Distans"/>
    <m/>
    <m/>
    <n v="0.5"/>
    <n v="15"/>
    <m/>
    <m/>
    <n v="15"/>
    <n v="3.75"/>
    <n v="0.8"/>
    <n v="3"/>
    <x v="9"/>
    <s v="Estetiska ämnen               "/>
    <s v="Hum"/>
    <s v="Fristående och övriga kurser"/>
    <n v="51362"/>
    <n v="59096"/>
    <n v="369895.5"/>
    <n v="71500"/>
    <n v="268125"/>
    <n v="638020.5"/>
    <n v="1"/>
    <n v="0"/>
    <n v="0"/>
    <n v="0"/>
    <n v="0"/>
    <n v="0"/>
    <n v="0"/>
    <n v="0"/>
    <n v="0"/>
    <n v="0"/>
    <n v="0"/>
    <n v="0"/>
  </r>
  <r>
    <s v="6ES091"/>
    <s v="Bild 2b, distans"/>
    <n v="66319"/>
    <s v="FRIST"/>
    <m/>
    <s v="vt"/>
    <m/>
    <s v="Umeå"/>
    <s v="Distans"/>
    <m/>
    <m/>
    <m/>
    <n v="15"/>
    <m/>
    <m/>
    <n v="6"/>
    <n v="1.5"/>
    <n v="0.8"/>
    <n v="1.2000000000000002"/>
    <x v="9"/>
    <s v="Estetiska ämnen               "/>
    <s v="Hum"/>
    <s v="Fristående och övriga kurser"/>
    <n v="51362"/>
    <n v="59096"/>
    <n v="147958.20000000001"/>
    <n v="71500"/>
    <n v="107250"/>
    <n v="255208.2"/>
    <n v="1"/>
    <n v="0"/>
    <n v="0"/>
    <n v="0"/>
    <n v="0"/>
    <n v="0"/>
    <n v="0"/>
    <n v="0"/>
    <n v="0"/>
    <n v="0"/>
    <n v="0"/>
    <n v="0"/>
  </r>
  <r>
    <s v="6ES092"/>
    <s v="Bild 2a"/>
    <m/>
    <s v="LYAGY"/>
    <s v="H17"/>
    <s v="ht"/>
    <s v="H211-10"/>
    <s v="Umeå"/>
    <m/>
    <s v="ENGS"/>
    <m/>
    <n v="1"/>
    <n v="15"/>
    <m/>
    <m/>
    <n v="1"/>
    <n v="0.25"/>
    <n v="0.85"/>
    <n v="0.21249999999999999"/>
    <x v="9"/>
    <s v="Estetiska ämnen               "/>
    <s v="Hum"/>
    <s v="Ämneslärarprogrammet - Gy"/>
    <n v="51362"/>
    <n v="59096"/>
    <n v="25398.400000000001"/>
    <n v="71500"/>
    <n v="17875"/>
    <n v="43273.4"/>
    <n v="1"/>
    <n v="0"/>
    <n v="0"/>
    <n v="0"/>
    <n v="0"/>
    <n v="0"/>
    <n v="0"/>
    <n v="0"/>
    <n v="0"/>
    <n v="0"/>
    <n v="0"/>
    <n v="0"/>
  </r>
  <r>
    <s v="6ES092"/>
    <s v="Bild 2a"/>
    <m/>
    <s v="LYAGY"/>
    <s v="H18"/>
    <s v="ht"/>
    <s v="H211-10"/>
    <s v="Umeå"/>
    <m/>
    <s v="ENGS"/>
    <m/>
    <n v="1"/>
    <n v="15"/>
    <m/>
    <m/>
    <n v="1"/>
    <n v="0.25"/>
    <n v="0.85"/>
    <n v="0.21249999999999999"/>
    <x v="9"/>
    <s v="Estetiska ämnen               "/>
    <s v="Hum"/>
    <s v="Ämneslärarprogrammet - Gy"/>
    <n v="51362"/>
    <n v="59096"/>
    <n v="25398.400000000001"/>
    <n v="71500"/>
    <n v="17875"/>
    <n v="43273.4"/>
    <n v="1"/>
    <n v="0"/>
    <n v="0"/>
    <n v="0"/>
    <n v="0"/>
    <n v="0"/>
    <n v="0"/>
    <n v="0"/>
    <n v="0"/>
    <n v="0"/>
    <n v="0"/>
    <n v="0"/>
  </r>
  <r>
    <s v="6ES092"/>
    <s v="Bild 2a"/>
    <m/>
    <s v="LYAGY"/>
    <s v="H18"/>
    <s v="ht"/>
    <s v="H211-10"/>
    <s v="Umeå"/>
    <m/>
    <s v="HIST"/>
    <m/>
    <n v="1"/>
    <n v="15"/>
    <m/>
    <m/>
    <n v="1"/>
    <n v="0.25"/>
    <n v="0.85"/>
    <n v="0.21249999999999999"/>
    <x v="9"/>
    <s v="Estetiska ämnen               "/>
    <s v="Hum"/>
    <s v="Ämneslärarprogrammet - Gy"/>
    <n v="51362"/>
    <n v="59096"/>
    <n v="25398.400000000001"/>
    <n v="71500"/>
    <n v="17875"/>
    <n v="43273.4"/>
    <n v="1"/>
    <n v="0"/>
    <n v="0"/>
    <n v="0"/>
    <n v="0"/>
    <n v="0"/>
    <n v="0"/>
    <n v="0"/>
    <n v="0"/>
    <n v="0"/>
    <n v="0"/>
    <n v="0"/>
  </r>
  <r>
    <s v="6ES092"/>
    <s v="Bild 2a"/>
    <m/>
    <s v="LYAGY"/>
    <s v="H18"/>
    <s v="ht"/>
    <s v="H211-10"/>
    <s v="Umeå"/>
    <m/>
    <s v="RELK"/>
    <m/>
    <n v="1"/>
    <n v="15"/>
    <m/>
    <m/>
    <n v="1"/>
    <n v="0.25"/>
    <n v="0.85"/>
    <n v="0.21249999999999999"/>
    <x v="9"/>
    <s v="Estetiska ämnen               "/>
    <s v="Hum"/>
    <s v="Ämneslärarprogrammet - Gy"/>
    <n v="51362"/>
    <n v="59096"/>
    <n v="25398.400000000001"/>
    <n v="71500"/>
    <n v="17875"/>
    <n v="43273.4"/>
    <n v="1"/>
    <n v="0"/>
    <n v="0"/>
    <n v="0"/>
    <n v="0"/>
    <n v="0"/>
    <n v="0"/>
    <n v="0"/>
    <n v="0"/>
    <n v="0"/>
    <n v="0"/>
    <n v="0"/>
  </r>
  <r>
    <s v="6ES092"/>
    <s v="Bild 2a"/>
    <m/>
    <s v="LYAGY"/>
    <s v="H20"/>
    <s v="ht"/>
    <s v="H211-10"/>
    <s v="Umeå"/>
    <m/>
    <s v="BILÄ"/>
    <m/>
    <n v="1"/>
    <n v="15"/>
    <m/>
    <m/>
    <n v="6"/>
    <n v="1.5"/>
    <n v="0.85"/>
    <n v="1.2749999999999999"/>
    <x v="9"/>
    <s v="Estetiska ämnen               "/>
    <s v="Hum"/>
    <s v="Ämneslärarprogrammet - Gy"/>
    <n v="51362"/>
    <n v="59096"/>
    <n v="152390.39999999999"/>
    <n v="71500"/>
    <n v="107250"/>
    <n v="259640.4"/>
    <n v="1"/>
    <n v="0"/>
    <n v="0"/>
    <n v="0"/>
    <n v="0"/>
    <n v="0"/>
    <n v="0"/>
    <n v="0"/>
    <n v="0"/>
    <n v="0"/>
    <n v="0"/>
    <n v="0"/>
  </r>
  <r>
    <s v="6ES093"/>
    <s v="Bild 2b"/>
    <m/>
    <s v="LYAGY"/>
    <s v="H17"/>
    <s v="ht"/>
    <s v="H2111-20"/>
    <s v="Umeå"/>
    <m/>
    <s v="ENGS"/>
    <m/>
    <n v="1"/>
    <n v="15"/>
    <m/>
    <m/>
    <n v="1"/>
    <n v="0.25"/>
    <n v="0.85"/>
    <n v="0.21249999999999999"/>
    <x v="9"/>
    <s v="Estetiska ämnen               "/>
    <s v="Hum"/>
    <s v="Ämneslärarprogrammet - Gy"/>
    <n v="51362"/>
    <n v="59096"/>
    <n v="25398.400000000001"/>
    <n v="71500"/>
    <n v="17875"/>
    <n v="43273.4"/>
    <n v="1"/>
    <n v="0"/>
    <n v="0"/>
    <n v="0"/>
    <n v="0"/>
    <n v="0"/>
    <n v="0"/>
    <n v="0"/>
    <n v="0"/>
    <n v="0"/>
    <n v="0"/>
    <n v="0"/>
  </r>
  <r>
    <s v="6ES093"/>
    <s v="Bild 2b"/>
    <m/>
    <s v="LYAGY"/>
    <s v="H18"/>
    <s v="ht"/>
    <s v="H2111-20"/>
    <s v="Umeå"/>
    <m/>
    <s v="ENGS"/>
    <m/>
    <n v="1"/>
    <n v="15"/>
    <m/>
    <m/>
    <n v="1"/>
    <n v="0.25"/>
    <n v="0.85"/>
    <n v="0.21249999999999999"/>
    <x v="9"/>
    <s v="Estetiska ämnen               "/>
    <s v="Hum"/>
    <s v="Ämneslärarprogrammet - Gy"/>
    <n v="51362"/>
    <n v="59096"/>
    <n v="25398.400000000001"/>
    <n v="71500"/>
    <n v="17875"/>
    <n v="43273.4"/>
    <n v="1"/>
    <n v="0"/>
    <n v="0"/>
    <n v="0"/>
    <n v="0"/>
    <n v="0"/>
    <n v="0"/>
    <n v="0"/>
    <n v="0"/>
    <n v="0"/>
    <n v="0"/>
    <n v="0"/>
  </r>
  <r>
    <s v="6ES093"/>
    <s v="Bild 2b"/>
    <m/>
    <s v="LYAGY"/>
    <s v="H18"/>
    <s v="ht"/>
    <s v="H2111-20"/>
    <s v="Umeå"/>
    <m/>
    <s v="HIST"/>
    <m/>
    <n v="1"/>
    <n v="15"/>
    <m/>
    <m/>
    <n v="1"/>
    <n v="0.25"/>
    <n v="0.85"/>
    <n v="0.21249999999999999"/>
    <x v="9"/>
    <s v="Estetiska ämnen               "/>
    <s v="Hum"/>
    <s v="Ämneslärarprogrammet - Gy"/>
    <n v="51362"/>
    <n v="59096"/>
    <n v="25398.400000000001"/>
    <n v="71500"/>
    <n v="17875"/>
    <n v="43273.4"/>
    <n v="1"/>
    <n v="0"/>
    <n v="0"/>
    <n v="0"/>
    <n v="0"/>
    <n v="0"/>
    <n v="0"/>
    <n v="0"/>
    <n v="0"/>
    <n v="0"/>
    <n v="0"/>
    <n v="0"/>
  </r>
  <r>
    <s v="6ES093"/>
    <s v="Bild 2b"/>
    <m/>
    <s v="LYAGY"/>
    <s v="H18"/>
    <s v="ht"/>
    <s v="H2111-20"/>
    <s v="Umeå"/>
    <m/>
    <s v="RELK"/>
    <m/>
    <n v="1"/>
    <n v="15"/>
    <m/>
    <m/>
    <n v="1"/>
    <n v="0.25"/>
    <n v="0.85"/>
    <n v="0.21249999999999999"/>
    <x v="9"/>
    <s v="Estetiska ämnen               "/>
    <s v="Hum"/>
    <s v="Ämneslärarprogrammet - Gy"/>
    <n v="51362"/>
    <n v="59096"/>
    <n v="25398.400000000001"/>
    <n v="71500"/>
    <n v="17875"/>
    <n v="43273.4"/>
    <n v="1"/>
    <n v="0"/>
    <n v="0"/>
    <n v="0"/>
    <n v="0"/>
    <n v="0"/>
    <n v="0"/>
    <n v="0"/>
    <n v="0"/>
    <n v="0"/>
    <n v="0"/>
    <n v="0"/>
  </r>
  <r>
    <s v="6ES093"/>
    <s v="Bild 2b"/>
    <m/>
    <s v="LYAGY"/>
    <s v="H20"/>
    <s v="ht"/>
    <s v="H2111-20"/>
    <s v="Umeå"/>
    <m/>
    <s v="BILÄ"/>
    <m/>
    <n v="1"/>
    <n v="15"/>
    <m/>
    <m/>
    <n v="6"/>
    <n v="1.5"/>
    <n v="0.85"/>
    <n v="1.2749999999999999"/>
    <x v="9"/>
    <s v="Estetiska ämnen               "/>
    <s v="Hum"/>
    <s v="Ämneslärarprogrammet - Gy"/>
    <n v="51362"/>
    <n v="59096"/>
    <n v="152390.39999999999"/>
    <n v="71500"/>
    <n v="107250"/>
    <n v="259640.4"/>
    <n v="1"/>
    <n v="0"/>
    <n v="0"/>
    <n v="0"/>
    <n v="0"/>
    <n v="0"/>
    <n v="0"/>
    <n v="0"/>
    <n v="0"/>
    <n v="0"/>
    <n v="0"/>
    <n v="0"/>
  </r>
  <r>
    <s v="6ES094"/>
    <s v="Skapande och lek för förskolan 2"/>
    <n v="66318"/>
    <s v="LYFSK"/>
    <m/>
    <s v="vt"/>
    <m/>
    <s v="Umeå"/>
    <s v="Normal"/>
    <m/>
    <m/>
    <m/>
    <n v="15"/>
    <m/>
    <m/>
    <n v="38"/>
    <n v="9.5"/>
    <n v="0.85"/>
    <n v="8.0749999999999993"/>
    <x v="9"/>
    <s v="Estetiska ämnen               "/>
    <s v="Hum"/>
    <s v="Förskollärarprogrammet"/>
    <n v="16920"/>
    <n v="27913"/>
    <n v="386137.47499999998"/>
    <n v="17900"/>
    <n v="170050"/>
    <n v="556187.47499999998"/>
    <n v="0"/>
    <n v="0"/>
    <n v="0"/>
    <n v="0"/>
    <n v="0"/>
    <n v="0"/>
    <n v="0"/>
    <n v="0"/>
    <n v="0"/>
    <n v="0"/>
    <n v="1"/>
    <n v="0"/>
  </r>
  <r>
    <s v="6ES096"/>
    <s v="Att undervisa i bild"/>
    <m/>
    <s v="LYAGY"/>
    <s v="H18"/>
    <s v="ht"/>
    <s v="H2113-16"/>
    <s v="Umeå"/>
    <m/>
    <s v="BILÄ"/>
    <m/>
    <n v="1"/>
    <n v="6"/>
    <m/>
    <m/>
    <n v="1"/>
    <n v="0.1"/>
    <n v="0.85"/>
    <n v="8.5000000000000006E-2"/>
    <x v="9"/>
    <s v="Estetiska ämnen               "/>
    <s v="Hum"/>
    <s v="Ämneslärarprogrammet - Gy"/>
    <n v="25235"/>
    <n v="27976"/>
    <n v="4901.46"/>
    <n v="3600"/>
    <n v="360"/>
    <n v="5261.46"/>
    <n v="0"/>
    <n v="0"/>
    <n v="0"/>
    <n v="0"/>
    <n v="0"/>
    <n v="0"/>
    <n v="0"/>
    <n v="0"/>
    <n v="1"/>
    <n v="0"/>
    <n v="0"/>
    <n v="0"/>
  </r>
  <r>
    <s v="6ES096"/>
    <s v="Att undervisa i bild"/>
    <m/>
    <s v="LYAGY"/>
    <s v="H19"/>
    <s v="ht"/>
    <s v="H2113-16"/>
    <s v="Umeå"/>
    <m/>
    <s v="BILÄ"/>
    <m/>
    <n v="1"/>
    <n v="6"/>
    <m/>
    <m/>
    <n v="2"/>
    <n v="0.2"/>
    <n v="0.85"/>
    <n v="0.17"/>
    <x v="9"/>
    <s v="Estetiska ämnen               "/>
    <s v="Hum"/>
    <s v="Ämneslärarprogrammet - Gy"/>
    <n v="25235"/>
    <n v="27976"/>
    <n v="9802.92"/>
    <n v="3600"/>
    <n v="720"/>
    <n v="10522.92"/>
    <n v="0"/>
    <n v="0"/>
    <n v="0"/>
    <n v="0"/>
    <n v="0"/>
    <n v="0"/>
    <n v="0"/>
    <n v="0"/>
    <n v="1"/>
    <n v="0"/>
    <n v="0"/>
    <n v="0"/>
  </r>
  <r>
    <s v="6ES096"/>
    <s v="Att undervisa i bild"/>
    <m/>
    <s v="LYAGY"/>
    <s v="H20"/>
    <s v="ht"/>
    <s v="H2113-16"/>
    <s v="Umeå"/>
    <m/>
    <s v="BILÄ"/>
    <m/>
    <n v="1"/>
    <n v="6"/>
    <m/>
    <m/>
    <n v="1"/>
    <n v="0.1"/>
    <n v="0.85"/>
    <n v="8.5000000000000006E-2"/>
    <x v="9"/>
    <s v="Estetiska ämnen               "/>
    <s v="Hum"/>
    <s v="Ämneslärarprogrammet - Gy"/>
    <n v="25235"/>
    <n v="27976"/>
    <n v="4901.46"/>
    <n v="3600"/>
    <n v="360"/>
    <n v="5261.46"/>
    <n v="0"/>
    <n v="0"/>
    <n v="0"/>
    <n v="0"/>
    <n v="0"/>
    <n v="0"/>
    <n v="0"/>
    <n v="0"/>
    <n v="1"/>
    <n v="0"/>
    <n v="0"/>
    <n v="0"/>
  </r>
  <r>
    <s v="6ES096"/>
    <s v="Att undervisa i bild"/>
    <m/>
    <s v="LYKPU"/>
    <s v="H18"/>
    <s v="ht"/>
    <s v="H2113-16"/>
    <s v="Umeå"/>
    <s v="Campus"/>
    <m/>
    <m/>
    <n v="1"/>
    <n v="6"/>
    <m/>
    <m/>
    <n v="1"/>
    <n v="0.1"/>
    <n v="0.85"/>
    <n v="8.5000000000000006E-2"/>
    <x v="9"/>
    <s v="Estetiska ämnen               "/>
    <s v="Hum"/>
    <s v="KPU - åk 7-9 och Gy"/>
    <n v="25235"/>
    <n v="27976"/>
    <n v="4901.46"/>
    <n v="3600"/>
    <n v="360"/>
    <n v="5261.46"/>
    <n v="0"/>
    <n v="0"/>
    <n v="0"/>
    <n v="0"/>
    <n v="0"/>
    <n v="0"/>
    <n v="0"/>
    <n v="0"/>
    <n v="1"/>
    <n v="0"/>
    <n v="0"/>
    <n v="0"/>
  </r>
  <r>
    <s v="6ES097"/>
    <s v="Att undervisa i slöjd - textil"/>
    <m/>
    <s v="LYAGR"/>
    <s v="H16"/>
    <s v="ht"/>
    <s v="H2113-16"/>
    <s v="Umeå"/>
    <m/>
    <s v="TXBI"/>
    <m/>
    <n v="1"/>
    <n v="6"/>
    <m/>
    <m/>
    <n v="1"/>
    <n v="0.1"/>
    <n v="0.85"/>
    <n v="8.5000000000000006E-2"/>
    <x v="9"/>
    <s v="Estetiska ämnen               "/>
    <s v="Hum"/>
    <s v="Ämneslärarprogrammet - åk 7-9"/>
    <n v="25235"/>
    <n v="27976"/>
    <n v="4901.46"/>
    <n v="3600"/>
    <n v="360"/>
    <n v="5261.46"/>
    <n v="0"/>
    <n v="0"/>
    <n v="0"/>
    <n v="0"/>
    <n v="0"/>
    <n v="0"/>
    <n v="0"/>
    <n v="0"/>
    <n v="1"/>
    <n v="0"/>
    <n v="0"/>
    <n v="0"/>
  </r>
  <r>
    <s v="6ES097"/>
    <s v="Att undervisa i slöjd - textil"/>
    <s v="ES097"/>
    <s v="LYAGR"/>
    <m/>
    <s v="vt"/>
    <m/>
    <s v="Umeå"/>
    <s v="Normal"/>
    <s v="TXAL"/>
    <m/>
    <m/>
    <n v="6"/>
    <m/>
    <m/>
    <n v="1"/>
    <n v="0.1"/>
    <n v="0.85"/>
    <n v="8.5000000000000006E-2"/>
    <x v="9"/>
    <s v="Estetiska ämnen               "/>
    <s v="Hum"/>
    <s v="Ämneslärarprogrammet - åk 7-9"/>
    <n v="25235"/>
    <n v="27976"/>
    <n v="4901.46"/>
    <n v="3600"/>
    <n v="360"/>
    <n v="5261.46"/>
    <n v="0"/>
    <n v="0"/>
    <n v="0"/>
    <n v="0"/>
    <n v="0"/>
    <n v="0"/>
    <n v="0"/>
    <n v="0"/>
    <n v="1"/>
    <n v="0"/>
    <n v="0"/>
    <n v="0"/>
  </r>
  <r>
    <s v="6ES100"/>
    <s v="Bild 1"/>
    <n v="66303"/>
    <s v="FRIST"/>
    <m/>
    <s v="vt"/>
    <m/>
    <s v="Umeå"/>
    <s v="Normal"/>
    <m/>
    <m/>
    <m/>
    <n v="30"/>
    <m/>
    <m/>
    <n v="3"/>
    <n v="1.5"/>
    <n v="0.8"/>
    <n v="1.2000000000000002"/>
    <x v="9"/>
    <s v="Estetiska ämnen               "/>
    <s v="Hum"/>
    <s v="Fristående och övriga kurser"/>
    <n v="51362"/>
    <n v="59096"/>
    <n v="147958.20000000001"/>
    <n v="71500"/>
    <n v="107250"/>
    <n v="255208.2"/>
    <n v="1"/>
    <n v="0"/>
    <n v="0"/>
    <n v="0"/>
    <n v="0"/>
    <n v="0"/>
    <n v="0"/>
    <n v="0"/>
    <n v="0"/>
    <n v="0"/>
    <n v="0"/>
    <n v="0"/>
  </r>
  <r>
    <s v="6ES100"/>
    <s v="Bild 1"/>
    <n v="66301"/>
    <s v="LYAGY"/>
    <m/>
    <s v="vt"/>
    <m/>
    <s v="Umeå"/>
    <s v="Normal"/>
    <s v="BILÄ"/>
    <m/>
    <m/>
    <n v="30"/>
    <m/>
    <m/>
    <n v="9"/>
    <n v="4.5"/>
    <n v="0.85"/>
    <n v="3.8249999999999997"/>
    <x v="9"/>
    <s v="Estetiska ämnen               "/>
    <s v="Hum"/>
    <s v="Ämneslärarprogrammet - Gy"/>
    <n v="51362"/>
    <n v="59096"/>
    <n v="457171.19999999995"/>
    <n v="71500"/>
    <n v="321750"/>
    <n v="778921.2"/>
    <n v="1"/>
    <n v="0"/>
    <n v="0"/>
    <n v="0"/>
    <n v="0"/>
    <n v="0"/>
    <n v="0"/>
    <n v="0"/>
    <n v="0"/>
    <n v="0"/>
    <n v="0"/>
    <n v="0"/>
  </r>
  <r>
    <s v="6ES100"/>
    <s v="Bild 1"/>
    <n v="66301"/>
    <s v="LYAGY"/>
    <m/>
    <s v="vt"/>
    <m/>
    <s v="Umeå"/>
    <s v="Normal"/>
    <s v="ENGS"/>
    <m/>
    <m/>
    <n v="30"/>
    <m/>
    <m/>
    <n v="2"/>
    <n v="1"/>
    <n v="0.85"/>
    <n v="0.85"/>
    <x v="9"/>
    <s v="Estetiska ämnen               "/>
    <s v="Hum"/>
    <s v="Ämneslärarprogrammet - Gy"/>
    <n v="51362"/>
    <n v="59096"/>
    <n v="101593.60000000001"/>
    <n v="71500"/>
    <n v="71500"/>
    <n v="173093.6"/>
    <n v="1"/>
    <n v="0"/>
    <n v="0"/>
    <n v="0"/>
    <n v="0"/>
    <n v="0"/>
    <n v="0"/>
    <n v="0"/>
    <n v="0"/>
    <n v="0"/>
    <n v="0"/>
    <n v="0"/>
  </r>
  <r>
    <s v="6ES100"/>
    <s v="Bild 1"/>
    <n v="66301"/>
    <s v="LYAGY"/>
    <m/>
    <s v="vt"/>
    <m/>
    <s v="Umeå"/>
    <s v="Normal"/>
    <s v="RELK"/>
    <m/>
    <m/>
    <n v="30"/>
    <m/>
    <m/>
    <n v="1"/>
    <n v="0.5"/>
    <n v="0.85"/>
    <n v="0.42499999999999999"/>
    <x v="9"/>
    <s v="Estetiska ämnen               "/>
    <s v="Hum"/>
    <s v="Ämneslärarprogrammet - Gy"/>
    <n v="51362"/>
    <n v="59096"/>
    <n v="50796.800000000003"/>
    <n v="71500"/>
    <n v="35750"/>
    <n v="86546.8"/>
    <n v="1"/>
    <n v="0"/>
    <n v="0"/>
    <n v="0"/>
    <n v="0"/>
    <n v="0"/>
    <n v="0"/>
    <n v="0"/>
    <n v="0"/>
    <n v="0"/>
    <n v="0"/>
    <n v="0"/>
  </r>
  <r>
    <s v="6ES105"/>
    <s v="Bild 3"/>
    <n v="66304"/>
    <s v="FRIST"/>
    <m/>
    <s v="vt"/>
    <m/>
    <s v="Umeå"/>
    <s v="Normal"/>
    <m/>
    <m/>
    <m/>
    <n v="30"/>
    <m/>
    <m/>
    <n v="10"/>
    <n v="5"/>
    <n v="0.8"/>
    <n v="4"/>
    <x v="9"/>
    <s v="Estetiska ämnen               "/>
    <s v="Hum"/>
    <s v="Fristående och övriga kurser"/>
    <n v="51362"/>
    <n v="59096"/>
    <n v="493194"/>
    <n v="71500"/>
    <n v="357500"/>
    <n v="850694"/>
    <n v="1"/>
    <n v="0"/>
    <n v="0"/>
    <n v="0"/>
    <n v="0"/>
    <n v="0"/>
    <n v="0"/>
    <n v="0"/>
    <n v="0"/>
    <n v="0"/>
    <n v="0"/>
    <n v="0"/>
  </r>
  <r>
    <s v="6ES105"/>
    <s v="Bild 3"/>
    <n v="66304"/>
    <s v="LYAGY"/>
    <m/>
    <s v="vt"/>
    <m/>
    <s v="Umeå"/>
    <s v="Normal"/>
    <s v="BILÄ"/>
    <m/>
    <m/>
    <n v="30"/>
    <m/>
    <m/>
    <n v="1"/>
    <n v="0.5"/>
    <n v="0.85"/>
    <n v="0.42499999999999999"/>
    <x v="9"/>
    <s v="Estetiska ämnen               "/>
    <s v="Hum"/>
    <s v="Ämneslärarprogrammet - Gy"/>
    <n v="51362"/>
    <n v="59096"/>
    <n v="50796.800000000003"/>
    <n v="71500"/>
    <n v="35750"/>
    <n v="86546.8"/>
    <n v="1"/>
    <n v="0"/>
    <n v="0"/>
    <n v="0"/>
    <n v="0"/>
    <n v="0"/>
    <n v="0"/>
    <n v="0"/>
    <n v="0"/>
    <n v="0"/>
    <n v="0"/>
    <n v="0"/>
  </r>
  <r>
    <s v="6ES106"/>
    <s v="Grafisk design &amp; Media A för lärare"/>
    <n v="66305"/>
    <s v="LYAGY"/>
    <m/>
    <s v="vt"/>
    <m/>
    <s v="Umeå"/>
    <s v="Normal"/>
    <s v="BILÄ"/>
    <m/>
    <m/>
    <n v="30"/>
    <m/>
    <m/>
    <n v="3"/>
    <n v="1.5"/>
    <n v="0.85"/>
    <n v="1.2749999999999999"/>
    <x v="9"/>
    <s v="Estetiska ämnen               "/>
    <s v="Hum"/>
    <s v="Ämneslärarprogrammet - Gy"/>
    <n v="20757"/>
    <n v="36082"/>
    <n v="77140.049999999988"/>
    <n v="22600"/>
    <n v="33900"/>
    <n v="111040.04999999999"/>
    <n v="0"/>
    <n v="0"/>
    <n v="0"/>
    <n v="0"/>
    <n v="0"/>
    <n v="0"/>
    <n v="0"/>
    <n v="1"/>
    <n v="0"/>
    <n v="0"/>
    <n v="0"/>
    <n v="0"/>
  </r>
  <r>
    <s v="6ES107"/>
    <s v="Skapande bild, distans"/>
    <n v="66210"/>
    <s v="FRIST"/>
    <m/>
    <s v="vt"/>
    <m/>
    <s v="Umeå"/>
    <s v="Distans"/>
    <m/>
    <m/>
    <m/>
    <n v="15"/>
    <m/>
    <m/>
    <n v="12"/>
    <n v="3"/>
    <n v="0.8"/>
    <n v="2.4000000000000004"/>
    <x v="9"/>
    <s v="Estetiska ämnen               "/>
    <s v="Hum"/>
    <s v="Fristående och övriga kurser"/>
    <n v="43713"/>
    <n v="48682.5"/>
    <n v="247977"/>
    <n v="55125"/>
    <n v="165375"/>
    <n v="413352"/>
    <n v="0.75"/>
    <n v="0.25"/>
    <n v="0"/>
    <n v="0"/>
    <n v="0"/>
    <n v="0"/>
    <n v="0"/>
    <n v="0"/>
    <n v="0"/>
    <n v="0"/>
    <n v="0"/>
    <n v="0"/>
  </r>
  <r>
    <s v="6ES107"/>
    <s v="Skapande bild, distans"/>
    <m/>
    <s v="FRIST"/>
    <m/>
    <s v="ht"/>
    <m/>
    <m/>
    <s v="Distans"/>
    <m/>
    <m/>
    <n v="0.5"/>
    <n v="15"/>
    <m/>
    <m/>
    <n v="18"/>
    <n v="4.5"/>
    <n v="0.8"/>
    <n v="3.6"/>
    <x v="9"/>
    <s v="Estetiska ämnen               "/>
    <s v="Hum"/>
    <s v="Fristående och övriga kurser"/>
    <n v="43713"/>
    <n v="48682.5"/>
    <n v="371965.5"/>
    <n v="55125"/>
    <n v="248062.5"/>
    <n v="620028"/>
    <n v="0.75"/>
    <n v="0.25"/>
    <n v="0"/>
    <n v="0"/>
    <n v="0"/>
    <n v="0"/>
    <n v="0"/>
    <n v="0"/>
    <n v="0"/>
    <n v="0"/>
    <n v="0"/>
    <n v="0"/>
  </r>
  <r>
    <s v="6ES112"/>
    <s v="Pedagogisk yrkesverksamhet: Examensarbete för magisterexamen"/>
    <n v="66314"/>
    <s v="FRIST"/>
    <m/>
    <s v="vt"/>
    <m/>
    <s v="Umeå"/>
    <s v="Distans"/>
    <m/>
    <m/>
    <m/>
    <n v="15"/>
    <m/>
    <m/>
    <n v="9"/>
    <n v="2.25"/>
    <n v="0.8"/>
    <n v="1.8"/>
    <x v="9"/>
    <s v="Estetiska ämnen               "/>
    <s v="Hum"/>
    <s v="Fristående och övriga kurser"/>
    <n v="20766"/>
    <n v="17442"/>
    <n v="78119.100000000006"/>
    <n v="6000"/>
    <n v="13500"/>
    <n v="91619.1"/>
    <n v="0"/>
    <n v="1"/>
    <n v="0"/>
    <n v="0"/>
    <n v="0"/>
    <n v="0"/>
    <n v="0"/>
    <n v="0"/>
    <n v="0"/>
    <n v="0"/>
    <n v="0"/>
    <n v="0"/>
  </r>
  <r>
    <s v="6ES115"/>
    <s v="Grafisk design &amp; Media B för lärare"/>
    <m/>
    <s v="LYAGY"/>
    <s v="H18"/>
    <s v="ht"/>
    <s v="H211-20"/>
    <s v="Umeå"/>
    <m/>
    <s v="BILÄ"/>
    <m/>
    <n v="1"/>
    <n v="30"/>
    <m/>
    <m/>
    <n v="3"/>
    <n v="1.5"/>
    <n v="0.85"/>
    <n v="1.2749999999999999"/>
    <x v="9"/>
    <s v="Estetiska ämnen               "/>
    <s v="Hum"/>
    <s v="Ämneslärarprogrammet - Gy"/>
    <n v="20757"/>
    <n v="36082"/>
    <n v="77140.049999999988"/>
    <n v="22600"/>
    <n v="33900"/>
    <n v="111040.04999999999"/>
    <n v="0"/>
    <n v="0"/>
    <n v="0"/>
    <n v="0"/>
    <n v="0"/>
    <n v="0"/>
    <n v="0"/>
    <n v="1"/>
    <n v="0"/>
    <n v="0"/>
    <n v="0"/>
    <n v="0"/>
  </r>
  <r>
    <s v="6ES116"/>
    <s v="Läraryrkets dimensioner - Musik"/>
    <m/>
    <s v="LYAGY"/>
    <s v="H17"/>
    <s v="ht"/>
    <s v="H211-15"/>
    <s v="Umeå"/>
    <m/>
    <s v="MUSI"/>
    <m/>
    <n v="1"/>
    <n v="22.5"/>
    <m/>
    <m/>
    <n v="2"/>
    <n v="0.75"/>
    <n v="0.85"/>
    <n v="0.63749999999999996"/>
    <x v="9"/>
    <s v="Estetiska ämnen               "/>
    <s v="Hum"/>
    <s v="Ämneslärarprogrammet - Gy"/>
    <n v="25235"/>
    <n v="27976"/>
    <n v="36760.949999999997"/>
    <n v="3600"/>
    <n v="2700"/>
    <n v="39460.949999999997"/>
    <n v="0"/>
    <n v="0"/>
    <n v="0"/>
    <n v="0"/>
    <n v="0"/>
    <n v="0"/>
    <n v="0"/>
    <n v="0"/>
    <n v="1"/>
    <n v="0"/>
    <n v="0"/>
    <n v="0"/>
  </r>
  <r>
    <s v="6ES117"/>
    <s v="Läraryrkets dimensioner - ingångsämne slöjd för lärare i åk 7-9"/>
    <m/>
    <s v="LYAGR"/>
    <s v="H18"/>
    <s v="ht"/>
    <s v="H211-15"/>
    <s v="Umeå"/>
    <m/>
    <s v="TXAL"/>
    <m/>
    <n v="1"/>
    <n v="22.5"/>
    <m/>
    <m/>
    <n v="1"/>
    <n v="0.375"/>
    <n v="0.85"/>
    <n v="0.31874999999999998"/>
    <x v="9"/>
    <s v="Estetiska ämnen               "/>
    <s v="Hum"/>
    <s v="Ämneslärarprogrammet - åk 7-9"/>
    <n v="25235"/>
    <n v="27976"/>
    <n v="18380.474999999999"/>
    <n v="3600"/>
    <n v="1350"/>
    <n v="19730.474999999999"/>
    <n v="0"/>
    <n v="0"/>
    <n v="0"/>
    <n v="0"/>
    <n v="0"/>
    <n v="0"/>
    <n v="0"/>
    <n v="0"/>
    <n v="1"/>
    <n v="0"/>
    <n v="0"/>
    <n v="0"/>
  </r>
  <r>
    <s v="6ES118"/>
    <s v="Skapande lek i  förskolan 2"/>
    <m/>
    <s v="LYFSK"/>
    <s v="H15"/>
    <s v="ht"/>
    <s v="H2111-20"/>
    <s v="Umeå"/>
    <s v="Campus"/>
    <m/>
    <m/>
    <n v="1"/>
    <n v="15"/>
    <m/>
    <m/>
    <n v="1"/>
    <n v="0.25"/>
    <n v="0.85"/>
    <n v="0.21249999999999999"/>
    <x v="9"/>
    <s v="Estetiska ämnen               "/>
    <s v="Hum"/>
    <s v="Förskollärarprogrammet"/>
    <n v="16920"/>
    <n v="27913"/>
    <n v="10161.512500000001"/>
    <n v="17900"/>
    <n v="4475"/>
    <n v="14636.512500000001"/>
    <n v="0"/>
    <n v="0"/>
    <n v="0"/>
    <n v="0"/>
    <n v="0"/>
    <n v="0"/>
    <n v="0"/>
    <n v="0"/>
    <n v="0"/>
    <n v="0"/>
    <n v="1"/>
    <n v="0"/>
  </r>
  <r>
    <s v="6ES118"/>
    <s v="Skapande lek i  förskolan 2"/>
    <m/>
    <s v="LYFSK"/>
    <s v="V18"/>
    <s v="ht"/>
    <s v="H2111-20"/>
    <s v="Umeå"/>
    <s v="Campus"/>
    <m/>
    <m/>
    <n v="1"/>
    <n v="15"/>
    <m/>
    <m/>
    <n v="1"/>
    <n v="0.25"/>
    <n v="0.85"/>
    <n v="0.21249999999999999"/>
    <x v="9"/>
    <s v="Estetiska ämnen               "/>
    <s v="Hum"/>
    <s v="Förskollärarprogrammet"/>
    <n v="16920"/>
    <n v="27913"/>
    <n v="10161.512500000001"/>
    <n v="17900"/>
    <n v="4475"/>
    <n v="14636.512500000001"/>
    <n v="0"/>
    <n v="0"/>
    <n v="0"/>
    <n v="0"/>
    <n v="0"/>
    <n v="0"/>
    <n v="0"/>
    <n v="0"/>
    <n v="0"/>
    <n v="0"/>
    <n v="1"/>
    <n v="0"/>
  </r>
  <r>
    <s v="6ES118"/>
    <s v="Skapande lek i  förskolan 2"/>
    <m/>
    <s v="LYFSK"/>
    <s v="V19"/>
    <s v="ht"/>
    <s v="H2111-20"/>
    <s v="Umeå"/>
    <s v="Campus"/>
    <m/>
    <m/>
    <n v="1"/>
    <n v="15"/>
    <m/>
    <m/>
    <n v="12"/>
    <n v="3"/>
    <n v="0.85"/>
    <n v="2.5499999999999998"/>
    <x v="9"/>
    <s v="Estetiska ämnen               "/>
    <s v="Hum"/>
    <s v="Förskollärarprogrammet"/>
    <n v="16920"/>
    <n v="27913"/>
    <n v="121938.15"/>
    <n v="17900"/>
    <n v="53700"/>
    <n v="175638.15"/>
    <n v="0"/>
    <n v="0"/>
    <n v="0"/>
    <n v="0"/>
    <n v="0"/>
    <n v="0"/>
    <n v="0"/>
    <n v="0"/>
    <n v="0"/>
    <n v="0"/>
    <n v="1"/>
    <n v="0"/>
  </r>
  <r>
    <s v="6ES119"/>
    <s v="Skapande lek i förskolan 1"/>
    <m/>
    <s v="LYFSK"/>
    <s v="H19"/>
    <s v="ht"/>
    <s v="H2116-20"/>
    <s v="Umeå"/>
    <s v="Campus"/>
    <m/>
    <m/>
    <n v="1"/>
    <n v="7.5"/>
    <m/>
    <m/>
    <n v="1"/>
    <n v="0.125"/>
    <n v="0.85"/>
    <n v="0.10625"/>
    <x v="9"/>
    <s v="Estetiska ämnen               "/>
    <s v="Hum"/>
    <s v="Förskollärarprogrammet"/>
    <n v="16920"/>
    <n v="27913"/>
    <n v="5080.7562500000004"/>
    <n v="17900"/>
    <n v="2237.5"/>
    <n v="7318.2562500000004"/>
    <n v="0"/>
    <n v="0"/>
    <n v="0"/>
    <n v="0"/>
    <n v="0"/>
    <n v="0"/>
    <n v="0"/>
    <n v="0"/>
    <n v="0"/>
    <n v="0"/>
    <n v="1"/>
    <n v="0"/>
  </r>
  <r>
    <s v="6ES119"/>
    <s v="Skapande lek i förskolan 1"/>
    <m/>
    <s v="LYFSK"/>
    <s v="H20"/>
    <s v="ht"/>
    <s v="H2116-20"/>
    <s v="Umeå"/>
    <s v="Campus"/>
    <m/>
    <m/>
    <n v="1"/>
    <n v="7.5"/>
    <m/>
    <m/>
    <n v="36"/>
    <n v="4.5"/>
    <n v="0.85"/>
    <n v="3.8249999999999997"/>
    <x v="9"/>
    <s v="Estetiska ämnen               "/>
    <s v="Hum"/>
    <s v="Förskollärarprogrammet"/>
    <n v="16920"/>
    <n v="27913"/>
    <n v="182907.22499999998"/>
    <n v="17900"/>
    <n v="80550"/>
    <n v="263457.22499999998"/>
    <n v="0"/>
    <n v="0"/>
    <n v="0"/>
    <n v="0"/>
    <n v="0"/>
    <n v="0"/>
    <n v="0"/>
    <n v="0"/>
    <n v="0"/>
    <n v="0"/>
    <n v="1"/>
    <n v="0"/>
  </r>
  <r>
    <s v="6EX30"/>
    <s v="Examensarbete - Ämne 1/Ämne 2"/>
    <m/>
    <s v="LYAGY"/>
    <s v="H17"/>
    <s v="ht"/>
    <s v="H2116-20:V221-15"/>
    <s v="Umeå"/>
    <m/>
    <s v="ENGS"/>
    <m/>
    <n v="1"/>
    <n v="7.5"/>
    <m/>
    <m/>
    <n v="1"/>
    <n v="0.125"/>
    <n v="0.85"/>
    <n v="0.10625"/>
    <x v="10"/>
    <s v="Lärarutbildningarna gem       "/>
    <s v="LH"/>
    <s v="Ämneslärarprogrammet - Gy"/>
    <n v="20766"/>
    <n v="17442"/>
    <n v="4448.9624999999996"/>
    <n v="6000"/>
    <n v="750"/>
    <n v="5198.9624999999996"/>
    <n v="0"/>
    <n v="0"/>
    <n v="0"/>
    <n v="0"/>
    <n v="0"/>
    <n v="0"/>
    <n v="0"/>
    <n v="0"/>
    <n v="0"/>
    <n v="1"/>
    <n v="0"/>
    <n v="0"/>
  </r>
  <r>
    <s v="6EX30"/>
    <s v="Examensarbete - Ämne 1/Ämne 2"/>
    <m/>
    <s v="LYAGY"/>
    <s v="H18"/>
    <s v="ht"/>
    <s v="H2116-20:V221-15"/>
    <s v="Umeå"/>
    <m/>
    <s v="HIST"/>
    <m/>
    <n v="1"/>
    <n v="7.5"/>
    <m/>
    <m/>
    <n v="1"/>
    <n v="0.125"/>
    <n v="0.85"/>
    <n v="0.10625"/>
    <x v="10"/>
    <s v="Lärarutbildningarna gem       "/>
    <s v="LH"/>
    <s v="Ämneslärarprogrammet - Gy"/>
    <n v="20766"/>
    <n v="17442"/>
    <n v="4448.9624999999996"/>
    <n v="6000"/>
    <n v="750"/>
    <n v="5198.9624999999996"/>
    <n v="0"/>
    <n v="0"/>
    <n v="0"/>
    <n v="0"/>
    <n v="0"/>
    <n v="0"/>
    <n v="0"/>
    <n v="0"/>
    <n v="0"/>
    <n v="1"/>
    <n v="0"/>
    <n v="0"/>
  </r>
  <r>
    <s v="6FA008"/>
    <s v="Franska för ämneslärare, kurs 1"/>
    <n v="71402"/>
    <s v="LYAGY"/>
    <m/>
    <s v="vt"/>
    <m/>
    <s v="Umeå"/>
    <s v="Normal"/>
    <s v="FRAN"/>
    <m/>
    <m/>
    <n v="30"/>
    <m/>
    <m/>
    <n v="2"/>
    <n v="1"/>
    <n v="0.85"/>
    <n v="0.85"/>
    <x v="0"/>
    <s v="Inst för språkstudier"/>
    <s v="Hum"/>
    <s v="Ämneslärarprogrammet - Gy"/>
    <n v="20766"/>
    <n v="17442"/>
    <n v="35591.699999999997"/>
    <n v="6000"/>
    <n v="6000"/>
    <n v="41591.699999999997"/>
    <n v="0"/>
    <n v="1"/>
    <n v="0"/>
    <n v="0"/>
    <n v="0"/>
    <n v="0"/>
    <n v="0"/>
    <n v="0"/>
    <n v="0"/>
    <n v="0"/>
    <n v="0"/>
    <n v="0"/>
  </r>
  <r>
    <s v="6FA008"/>
    <s v="Franska för ämneslärare, kurs 1"/>
    <n v="71402"/>
    <s v="LYAGY"/>
    <m/>
    <s v="vt"/>
    <m/>
    <s v="Umeå"/>
    <s v="Normal"/>
    <s v="SVAA"/>
    <m/>
    <m/>
    <n v="30"/>
    <m/>
    <m/>
    <n v="1"/>
    <n v="0.5"/>
    <n v="0.85"/>
    <n v="0.42499999999999999"/>
    <x v="0"/>
    <s v="Inst för språkstudier"/>
    <s v="Hum"/>
    <s v="Ämneslärarprogrammet - Gy"/>
    <n v="20766"/>
    <n v="17442"/>
    <n v="17795.849999999999"/>
    <n v="6000"/>
    <n v="3000"/>
    <n v="20795.849999999999"/>
    <n v="0"/>
    <n v="1"/>
    <n v="0"/>
    <n v="0"/>
    <n v="0"/>
    <n v="0"/>
    <n v="0"/>
    <n v="0"/>
    <n v="0"/>
    <n v="0"/>
    <n v="0"/>
    <n v="0"/>
  </r>
  <r>
    <s v="6FA009"/>
    <s v="Franska för ämneslärare, kurs 2"/>
    <m/>
    <s v="FRIST"/>
    <m/>
    <s v="ht"/>
    <m/>
    <m/>
    <s v="Campus"/>
    <m/>
    <m/>
    <n v="1"/>
    <n v="30"/>
    <m/>
    <m/>
    <n v="1"/>
    <n v="0.5"/>
    <n v="0.8"/>
    <n v="0.4"/>
    <x v="0"/>
    <s v="Inst för språkstudier"/>
    <s v="Hum"/>
    <s v="Fristående och övriga kurser"/>
    <n v="20766"/>
    <n v="17442"/>
    <n v="17359.8"/>
    <n v="6000"/>
    <n v="3000"/>
    <n v="20359.8"/>
    <n v="0"/>
    <n v="1"/>
    <n v="0"/>
    <n v="0"/>
    <n v="0"/>
    <n v="0"/>
    <n v="0"/>
    <n v="0"/>
    <n v="0"/>
    <n v="0"/>
    <n v="0"/>
    <n v="0"/>
  </r>
  <r>
    <s v="6FA009"/>
    <s v="Franska för ämneslärare, kurs 2"/>
    <m/>
    <s v="LYAGY"/>
    <s v="H18"/>
    <s v="ht"/>
    <s v="H211-20"/>
    <s v="Umeå"/>
    <m/>
    <s v="SVAA"/>
    <m/>
    <n v="1"/>
    <n v="30"/>
    <m/>
    <m/>
    <n v="1"/>
    <n v="0.5"/>
    <n v="0.85"/>
    <n v="0.42499999999999999"/>
    <x v="0"/>
    <s v="Inst för språkstudier"/>
    <s v="Hum"/>
    <s v="Ämneslärarprogrammet - Gy"/>
    <n v="20766"/>
    <n v="17442"/>
    <n v="17795.849999999999"/>
    <n v="6000"/>
    <n v="3000"/>
    <n v="20795.849999999999"/>
    <n v="0"/>
    <n v="1"/>
    <n v="0"/>
    <n v="0"/>
    <n v="0"/>
    <n v="0"/>
    <n v="0"/>
    <n v="0"/>
    <n v="0"/>
    <n v="0"/>
    <n v="0"/>
    <n v="0"/>
  </r>
  <r>
    <s v="6FA009"/>
    <s v="Franska för ämneslärare, kurs 2"/>
    <m/>
    <s v="LYAGY"/>
    <s v="H20"/>
    <s v="ht"/>
    <s v="H211-20"/>
    <s v="Umeå"/>
    <m/>
    <s v="FRAN"/>
    <m/>
    <n v="1"/>
    <n v="30"/>
    <m/>
    <m/>
    <n v="2"/>
    <n v="1"/>
    <n v="0.85"/>
    <n v="0.85"/>
    <x v="0"/>
    <s v="Inst för språkstudier"/>
    <s v="Hum"/>
    <s v="Ämneslärarprogrammet - Gy"/>
    <n v="20766"/>
    <n v="17442"/>
    <n v="35591.699999999997"/>
    <n v="6000"/>
    <n v="6000"/>
    <n v="41591.699999999997"/>
    <n v="0"/>
    <n v="1"/>
    <n v="0"/>
    <n v="0"/>
    <n v="0"/>
    <n v="0"/>
    <n v="0"/>
    <n v="0"/>
    <n v="0"/>
    <n v="0"/>
    <n v="0"/>
    <n v="0"/>
  </r>
  <r>
    <s v="6FRIEST2"/>
    <s v="Grafisk design &amp; media för lärare B*"/>
    <m/>
    <s v="FRIST"/>
    <m/>
    <s v="ht"/>
    <m/>
    <m/>
    <s v="Campus"/>
    <m/>
    <m/>
    <n v="1"/>
    <n v="30"/>
    <m/>
    <m/>
    <n v="10"/>
    <n v="5"/>
    <n v="0.8"/>
    <n v="4"/>
    <x v="9"/>
    <s v="Estetiska ämnen               "/>
    <s v="Hum"/>
    <s v="Fristående och övriga kurser"/>
    <n v="20759.25"/>
    <n v="31422"/>
    <n v="229484.25"/>
    <n v="18450"/>
    <n v="92250"/>
    <n v="321734.25"/>
    <n v="0"/>
    <n v="0.25"/>
    <n v="0"/>
    <n v="0"/>
    <n v="0"/>
    <n v="0"/>
    <n v="0"/>
    <n v="0.75"/>
    <n v="0"/>
    <n v="0"/>
    <n v="0"/>
    <n v="0"/>
  </r>
  <r>
    <s v="6FRISPRÅK11"/>
    <s v="Kommunikativ språkundervisning (platshållarnamn)"/>
    <m/>
    <s v="FRIST"/>
    <m/>
    <s v="sommar"/>
    <m/>
    <m/>
    <m/>
    <m/>
    <m/>
    <m/>
    <n v="7.5"/>
    <m/>
    <m/>
    <n v="0"/>
    <n v="0"/>
    <n v="0.8"/>
    <n v="0"/>
    <x v="0"/>
    <s v="Inst för språkstudier"/>
    <s v="Hum"/>
    <s v="Fristående och övriga kurser"/>
    <n v="20766"/>
    <n v="17442"/>
    <n v="0"/>
    <n v="6000"/>
    <n v="0"/>
    <n v="0"/>
    <n v="0"/>
    <n v="1"/>
    <n v="0"/>
    <n v="0"/>
    <n v="0"/>
    <n v="0"/>
    <n v="0"/>
    <n v="0"/>
    <n v="0"/>
    <n v="0"/>
    <n v="0"/>
    <n v="0"/>
  </r>
  <r>
    <s v="6FRISPRÅK12"/>
    <s v="Grammatik i det fria (platshållarnamn)"/>
    <m/>
    <s v="FRIST"/>
    <m/>
    <s v="sommar"/>
    <m/>
    <m/>
    <m/>
    <m/>
    <m/>
    <m/>
    <n v="7.5"/>
    <m/>
    <m/>
    <n v="0"/>
    <n v="0"/>
    <n v="0.8"/>
    <n v="0"/>
    <x v="0"/>
    <s v="Inst för språkstudier"/>
    <s v="Hum"/>
    <s v="Fristående och övriga kurser"/>
    <n v="20766"/>
    <n v="17442"/>
    <n v="0"/>
    <n v="6000"/>
    <n v="0"/>
    <n v="0"/>
    <n v="0"/>
    <n v="1"/>
    <n v="0"/>
    <n v="0"/>
    <n v="0"/>
    <n v="0"/>
    <n v="0"/>
    <n v="0"/>
    <n v="0"/>
    <n v="0"/>
    <n v="0"/>
    <n v="0"/>
  </r>
  <r>
    <s v="6FRISPRÅK6"/>
    <s v="Svenska som andraspråk A, Det mångkulturella klassrummet"/>
    <m/>
    <s v="FRIST"/>
    <m/>
    <s v="ht"/>
    <m/>
    <m/>
    <m/>
    <m/>
    <m/>
    <n v="0.25"/>
    <n v="7.5"/>
    <m/>
    <m/>
    <n v="15"/>
    <n v="1.875"/>
    <n v="0.8"/>
    <n v="1.5"/>
    <x v="0"/>
    <s v="Inst för språkstudier"/>
    <s v="Hum"/>
    <s v="Fristående och övriga kurser"/>
    <n v="20766"/>
    <n v="17442"/>
    <n v="65099.25"/>
    <n v="6000"/>
    <n v="11250"/>
    <n v="76349.25"/>
    <n v="0"/>
    <n v="1"/>
    <n v="0"/>
    <n v="0"/>
    <n v="0"/>
    <n v="0"/>
    <n v="0"/>
    <n v="0"/>
    <n v="0"/>
    <n v="0"/>
    <n v="0"/>
    <n v="0"/>
  </r>
  <r>
    <s v="6FRISPRÅK7"/>
    <s v="Svenska som andraspråk B, delkurs 1"/>
    <m/>
    <s v="FRIST"/>
    <m/>
    <s v="ht"/>
    <m/>
    <m/>
    <m/>
    <m/>
    <m/>
    <n v="0.25"/>
    <n v="7.5"/>
    <m/>
    <m/>
    <n v="15"/>
    <n v="1.875"/>
    <n v="0.8"/>
    <n v="1.5"/>
    <x v="0"/>
    <s v="Inst för språkstudier"/>
    <s v="Hum"/>
    <s v="Fristående och övriga kurser"/>
    <n v="20766"/>
    <n v="17442"/>
    <n v="65099.25"/>
    <n v="6000"/>
    <n v="11250"/>
    <n v="76349.25"/>
    <n v="0"/>
    <n v="1"/>
    <n v="0"/>
    <n v="0"/>
    <n v="0"/>
    <n v="0"/>
    <n v="0"/>
    <n v="0"/>
    <n v="0"/>
    <n v="0"/>
    <n v="0"/>
    <n v="0"/>
  </r>
  <r>
    <s v="6FRISPRÅK9"/>
    <s v="Ämnesdidaktik, Att analysera och utveckla lärande och undervisning i språkliga kontexter "/>
    <m/>
    <s v="FRIST"/>
    <m/>
    <s v="ht"/>
    <m/>
    <m/>
    <s v="Distans"/>
    <m/>
    <m/>
    <n v="0.25"/>
    <n v="7.5"/>
    <m/>
    <m/>
    <n v="6"/>
    <n v="0.75"/>
    <n v="0.8"/>
    <n v="0.60000000000000009"/>
    <x v="0"/>
    <s v="Inst för språkstudier"/>
    <s v="Hum"/>
    <s v="Fristående och övriga kurser"/>
    <n v="20766"/>
    <n v="17442"/>
    <n v="26039.7"/>
    <n v="6000"/>
    <n v="4500"/>
    <n v="30539.7"/>
    <n v="0"/>
    <n v="1"/>
    <n v="0"/>
    <n v="0"/>
    <n v="0"/>
    <n v="0"/>
    <n v="0"/>
    <n v="0"/>
    <n v="0"/>
    <n v="0"/>
    <n v="0"/>
    <n v="0"/>
  </r>
  <r>
    <s v="6FY009"/>
    <s v="Astronomi och meteorologi"/>
    <m/>
    <s v="FRIST"/>
    <m/>
    <s v="ht"/>
    <m/>
    <m/>
    <s v="Distans"/>
    <m/>
    <m/>
    <n v="0.25"/>
    <n v="7.5"/>
    <m/>
    <m/>
    <n v="24"/>
    <n v="3"/>
    <n v="0.8"/>
    <n v="2.4000000000000004"/>
    <x v="4"/>
    <s v="Inst för Fysik                "/>
    <s v="TekNat"/>
    <s v="Fristående och övriga kurser"/>
    <n v="20757"/>
    <n v="36082"/>
    <n v="148867.80000000002"/>
    <n v="22600"/>
    <n v="67800"/>
    <n v="216667.80000000002"/>
    <n v="0"/>
    <n v="0"/>
    <n v="0"/>
    <n v="0"/>
    <n v="0"/>
    <n v="0.5"/>
    <n v="0"/>
    <n v="0.5"/>
    <n v="0"/>
    <n v="0"/>
    <n v="0"/>
    <n v="0"/>
  </r>
  <r>
    <s v="6FY009"/>
    <s v="Astronomi och meteorologi"/>
    <m/>
    <s v="LYAGY"/>
    <s v="H20"/>
    <s v="ht"/>
    <s v="H211-20"/>
    <s v="Umeå"/>
    <m/>
    <s v="NATU"/>
    <m/>
    <n v="0.25"/>
    <n v="7.5"/>
    <m/>
    <m/>
    <n v="1"/>
    <n v="0.125"/>
    <n v="0.85"/>
    <n v="0.10625"/>
    <x v="4"/>
    <s v="Inst för Fysik                "/>
    <s v="TekNat"/>
    <s v="Ämneslärarprogrammet - Gy"/>
    <n v="20757"/>
    <n v="36082"/>
    <n v="6428.3374999999996"/>
    <n v="22600"/>
    <n v="2825"/>
    <n v="9253.3374999999996"/>
    <n v="0"/>
    <n v="0"/>
    <n v="0"/>
    <n v="0"/>
    <n v="0"/>
    <n v="0.5"/>
    <n v="0"/>
    <n v="0.5"/>
    <n v="0"/>
    <n v="0"/>
    <n v="0"/>
    <n v="0"/>
  </r>
  <r>
    <s v="6FY100"/>
    <s v="Fysikdidaktik för ämneslärare för åk 7-9"/>
    <n v="62500"/>
    <s v="FRIST"/>
    <m/>
    <s v="vt"/>
    <m/>
    <s v="Umeå"/>
    <s v="Normal"/>
    <m/>
    <m/>
    <m/>
    <n v="7.5"/>
    <m/>
    <m/>
    <n v="1"/>
    <n v="0.125"/>
    <n v="0.8"/>
    <n v="0.1"/>
    <x v="7"/>
    <s v="NMD"/>
    <s v="TekNat"/>
    <s v="Fristående och övriga kurser"/>
    <n v="20757"/>
    <n v="36082"/>
    <n v="6202.8250000000007"/>
    <n v="22600"/>
    <n v="2825"/>
    <n v="9027.8250000000007"/>
    <n v="0"/>
    <n v="0"/>
    <n v="0"/>
    <n v="0"/>
    <n v="0"/>
    <n v="1"/>
    <n v="0"/>
    <n v="0"/>
    <n v="0"/>
    <n v="0"/>
    <n v="0"/>
    <n v="0"/>
  </r>
  <r>
    <s v="6FY101"/>
    <s v="Fysikdidaktik 1 för ämneslärare för gymnasium"/>
    <n v="62501"/>
    <s v="FRIST"/>
    <m/>
    <s v="vt"/>
    <m/>
    <s v="Umeå"/>
    <s v="Normal"/>
    <m/>
    <m/>
    <m/>
    <n v="7.5"/>
    <m/>
    <m/>
    <n v="1"/>
    <n v="0.125"/>
    <n v="0.8"/>
    <n v="0.1"/>
    <x v="7"/>
    <s v="NMD"/>
    <s v="TekNat"/>
    <s v="Fristående och övriga kurser"/>
    <n v="20757"/>
    <n v="36082"/>
    <n v="6202.8250000000007"/>
    <n v="22600"/>
    <n v="2825"/>
    <n v="9027.8250000000007"/>
    <n v="0"/>
    <n v="0"/>
    <n v="0"/>
    <n v="0"/>
    <n v="0"/>
    <n v="1"/>
    <n v="0"/>
    <n v="0"/>
    <n v="0"/>
    <n v="0"/>
    <n v="0"/>
    <n v="0"/>
  </r>
  <r>
    <s v="6FY102"/>
    <s v="Fysikdidaktik 2 för ämneslärare för gymnasium"/>
    <n v="62502"/>
    <s v="FRIST"/>
    <m/>
    <s v="vt"/>
    <m/>
    <s v="Umeå"/>
    <s v="Normal"/>
    <m/>
    <m/>
    <m/>
    <n v="7.5"/>
    <m/>
    <m/>
    <n v="1"/>
    <n v="0.125"/>
    <n v="0.8"/>
    <n v="0.1"/>
    <x v="7"/>
    <s v="NMD"/>
    <s v="TekNat"/>
    <s v="Fristående och övriga kurser"/>
    <n v="20757"/>
    <n v="36082"/>
    <n v="6202.8250000000007"/>
    <n v="22600"/>
    <n v="2825"/>
    <n v="9027.8250000000007"/>
    <n v="0"/>
    <n v="0"/>
    <n v="0"/>
    <n v="0"/>
    <n v="0"/>
    <n v="1"/>
    <n v="0"/>
    <n v="0"/>
    <n v="0"/>
    <n v="0"/>
    <n v="0"/>
    <n v="0"/>
  </r>
  <r>
    <s v="6GV000"/>
    <s v="Naturens mångfald"/>
    <m/>
    <s v="LYAGY"/>
    <s v="H18"/>
    <s v="ht"/>
    <s v="H216-10"/>
    <s v="Umeå"/>
    <m/>
    <s v="IDRH"/>
    <m/>
    <n v="1"/>
    <n v="7.5"/>
    <m/>
    <m/>
    <n v="1"/>
    <n v="0.125"/>
    <n v="0.85"/>
    <n v="0.10625"/>
    <x v="3"/>
    <s v="EMG"/>
    <s v="TekNat"/>
    <s v="Ämneslärarprogrammet - Gy"/>
    <n v="20757"/>
    <n v="36082"/>
    <n v="6428.3374999999996"/>
    <n v="22600"/>
    <n v="2825"/>
    <n v="9253.3374999999996"/>
    <n v="0"/>
    <n v="0"/>
    <n v="0"/>
    <n v="0"/>
    <n v="0"/>
    <n v="1"/>
    <n v="0"/>
    <n v="0"/>
    <n v="0"/>
    <n v="0"/>
    <n v="0"/>
    <n v="0"/>
  </r>
  <r>
    <s v="6GV000"/>
    <s v="Naturens mångfald"/>
    <m/>
    <s v="LYAGY"/>
    <s v="H20"/>
    <s v="ht"/>
    <s v="H216-10"/>
    <s v="Umeå"/>
    <m/>
    <s v="GEOG"/>
    <m/>
    <n v="1"/>
    <n v="7.5"/>
    <m/>
    <m/>
    <n v="3"/>
    <n v="0.375"/>
    <n v="0.85"/>
    <n v="0.31874999999999998"/>
    <x v="3"/>
    <s v="EMG"/>
    <s v="TekNat"/>
    <s v="Ämneslärarprogrammet - Gy"/>
    <n v="20757"/>
    <n v="36082"/>
    <n v="19285.012499999997"/>
    <n v="22600"/>
    <n v="8475"/>
    <n v="27760.012499999997"/>
    <n v="0"/>
    <n v="0"/>
    <n v="0"/>
    <n v="0"/>
    <n v="0"/>
    <n v="1"/>
    <n v="0"/>
    <n v="0"/>
    <n v="0"/>
    <n v="0"/>
    <n v="0"/>
    <n v="0"/>
  </r>
  <r>
    <s v="6GV001"/>
    <s v="Processer i naturen"/>
    <n v="75052"/>
    <s v="LYAGY"/>
    <m/>
    <s v="vt"/>
    <m/>
    <s v="Umeå"/>
    <s v="Normal"/>
    <s v="ENGS"/>
    <m/>
    <m/>
    <n v="7.5"/>
    <m/>
    <m/>
    <n v="1"/>
    <n v="0.125"/>
    <n v="0.85"/>
    <n v="0.10625"/>
    <x v="3"/>
    <s v="EMG"/>
    <s v="TekNat"/>
    <s v="Ämneslärarprogrammet - Gy"/>
    <n v="20757"/>
    <n v="36082"/>
    <n v="6428.3374999999996"/>
    <n v="22600"/>
    <n v="2825"/>
    <n v="9253.3374999999996"/>
    <n v="0"/>
    <n v="0"/>
    <n v="0"/>
    <n v="0"/>
    <n v="0"/>
    <n v="1"/>
    <n v="0"/>
    <n v="0"/>
    <n v="0"/>
    <n v="0"/>
    <n v="0"/>
    <n v="0"/>
  </r>
  <r>
    <s v="6GV001"/>
    <s v="Processer i naturen"/>
    <n v="75052"/>
    <s v="LYAGY"/>
    <m/>
    <s v="vt"/>
    <m/>
    <s v="Umeå"/>
    <s v="Normal"/>
    <s v="GEOG"/>
    <m/>
    <m/>
    <n v="7.5"/>
    <m/>
    <m/>
    <n v="3"/>
    <n v="0.375"/>
    <n v="0.85"/>
    <n v="0.31874999999999998"/>
    <x v="3"/>
    <s v="EMG"/>
    <s v="TekNat"/>
    <s v="Ämneslärarprogrammet - Gy"/>
    <n v="20757"/>
    <n v="36082"/>
    <n v="19285.012499999997"/>
    <n v="22600"/>
    <n v="8475"/>
    <n v="27760.012499999997"/>
    <n v="0"/>
    <n v="0"/>
    <n v="0"/>
    <n v="0"/>
    <n v="0"/>
    <n v="1"/>
    <n v="0"/>
    <n v="0"/>
    <n v="0"/>
    <n v="0"/>
    <n v="0"/>
    <n v="0"/>
  </r>
  <r>
    <s v="6GV001"/>
    <s v="Processer i naturen"/>
    <n v="75052"/>
    <s v="LYAGY"/>
    <m/>
    <s v="vt"/>
    <m/>
    <s v="Umeå"/>
    <s v="Normal"/>
    <s v="HIST"/>
    <m/>
    <m/>
    <n v="7.5"/>
    <m/>
    <m/>
    <n v="2"/>
    <n v="0.25"/>
    <n v="0.85"/>
    <n v="0.21249999999999999"/>
    <x v="3"/>
    <s v="EMG"/>
    <s v="TekNat"/>
    <s v="Ämneslärarprogrammet - Gy"/>
    <n v="20757"/>
    <n v="36082"/>
    <n v="12856.674999999999"/>
    <n v="22600"/>
    <n v="5650"/>
    <n v="18506.674999999999"/>
    <n v="0"/>
    <n v="0"/>
    <n v="0"/>
    <n v="0"/>
    <n v="0"/>
    <n v="1"/>
    <n v="0"/>
    <n v="0"/>
    <n v="0"/>
    <n v="0"/>
    <n v="0"/>
    <n v="0"/>
  </r>
  <r>
    <s v="6GV002"/>
    <s v="Klimatförändringar"/>
    <m/>
    <s v="LYAGY"/>
    <s v="H18"/>
    <s v="ht"/>
    <s v="H2111-15"/>
    <s v="Umeå"/>
    <m/>
    <s v="IDRH"/>
    <m/>
    <n v="1"/>
    <n v="7.5"/>
    <m/>
    <m/>
    <n v="1"/>
    <n v="0.125"/>
    <n v="0.85"/>
    <n v="0.10625"/>
    <x v="3"/>
    <s v="EMG"/>
    <s v="TekNat"/>
    <s v="Ämneslärarprogrammet - Gy"/>
    <n v="20757"/>
    <n v="36082"/>
    <n v="6428.3374999999996"/>
    <n v="22600"/>
    <n v="2825"/>
    <n v="9253.3374999999996"/>
    <n v="0"/>
    <n v="0"/>
    <n v="0"/>
    <n v="0"/>
    <n v="0"/>
    <n v="1"/>
    <n v="0"/>
    <n v="0"/>
    <n v="0"/>
    <n v="0"/>
    <n v="0"/>
    <n v="0"/>
  </r>
  <r>
    <s v="6GV002"/>
    <s v="Klimatförändringar"/>
    <m/>
    <s v="LYAGY"/>
    <s v="H20"/>
    <s v="ht"/>
    <s v="H2111-15"/>
    <s v="Umeå"/>
    <m/>
    <s v="GEOG"/>
    <m/>
    <n v="1"/>
    <n v="7.5"/>
    <m/>
    <m/>
    <n v="3"/>
    <n v="0.375"/>
    <n v="0.85"/>
    <n v="0.31874999999999998"/>
    <x v="3"/>
    <s v="EMG"/>
    <s v="TekNat"/>
    <s v="Ämneslärarprogrammet - Gy"/>
    <n v="20757"/>
    <n v="36082"/>
    <n v="19285.012499999997"/>
    <n v="22600"/>
    <n v="8475"/>
    <n v="27760.012499999997"/>
    <n v="0"/>
    <n v="0"/>
    <n v="0"/>
    <n v="0"/>
    <n v="0"/>
    <n v="1"/>
    <n v="0"/>
    <n v="0"/>
    <n v="0"/>
    <n v="0"/>
    <n v="0"/>
    <n v="0"/>
  </r>
  <r>
    <s v="6GV003"/>
    <s v="Vetenskapliga metoder i geografi"/>
    <n v="75051"/>
    <s v="LYAGY"/>
    <m/>
    <s v="vt"/>
    <m/>
    <s v="Umeå"/>
    <s v="Normal"/>
    <s v="ENGS"/>
    <m/>
    <m/>
    <n v="7.5"/>
    <m/>
    <m/>
    <n v="1"/>
    <n v="0.125"/>
    <n v="0.85"/>
    <n v="0.10625"/>
    <x v="3"/>
    <s v="EMG"/>
    <s v="TekNat"/>
    <s v="Ämneslärarprogrammet - Gy"/>
    <n v="20757"/>
    <n v="36082"/>
    <n v="6428.3374999999996"/>
    <n v="22600"/>
    <n v="2825"/>
    <n v="9253.3374999999996"/>
    <n v="0"/>
    <n v="0"/>
    <n v="0"/>
    <n v="0"/>
    <n v="0"/>
    <n v="1"/>
    <n v="0"/>
    <n v="0"/>
    <n v="0"/>
    <n v="0"/>
    <n v="0"/>
    <n v="0"/>
  </r>
  <r>
    <s v="6GV003"/>
    <s v="Vetenskapliga metoder i geografi"/>
    <n v="75051"/>
    <s v="LYAGY"/>
    <m/>
    <s v="vt"/>
    <m/>
    <s v="Umeå"/>
    <s v="Normal"/>
    <s v="GEOG"/>
    <m/>
    <m/>
    <n v="7.5"/>
    <m/>
    <m/>
    <n v="3"/>
    <n v="0.375"/>
    <n v="0.85"/>
    <n v="0.31874999999999998"/>
    <x v="3"/>
    <s v="EMG"/>
    <s v="TekNat"/>
    <s v="Ämneslärarprogrammet - Gy"/>
    <n v="20757"/>
    <n v="36082"/>
    <n v="19285.012499999997"/>
    <n v="22600"/>
    <n v="8475"/>
    <n v="27760.012499999997"/>
    <n v="0"/>
    <n v="0"/>
    <n v="0"/>
    <n v="0"/>
    <n v="0"/>
    <n v="1"/>
    <n v="0"/>
    <n v="0"/>
    <n v="0"/>
    <n v="0"/>
    <n v="0"/>
    <n v="0"/>
  </r>
  <r>
    <s v="6GV003"/>
    <s v="Vetenskapliga metoder i geografi"/>
    <n v="75051"/>
    <s v="LYAGY"/>
    <m/>
    <s v="vt"/>
    <m/>
    <s v="Umeå"/>
    <s v="Normal"/>
    <s v="HIST"/>
    <m/>
    <m/>
    <n v="7.5"/>
    <m/>
    <m/>
    <n v="2"/>
    <n v="0.25"/>
    <n v="0.85"/>
    <n v="0.21249999999999999"/>
    <x v="3"/>
    <s v="EMG"/>
    <s v="TekNat"/>
    <s v="Ämneslärarprogrammet - Gy"/>
    <n v="20757"/>
    <n v="36082"/>
    <n v="12856.674999999999"/>
    <n v="22600"/>
    <n v="5650"/>
    <n v="18506.674999999999"/>
    <n v="0"/>
    <n v="0"/>
    <n v="0"/>
    <n v="0"/>
    <n v="0"/>
    <n v="1"/>
    <n v="0"/>
    <n v="0"/>
    <n v="0"/>
    <n v="0"/>
    <n v="0"/>
    <n v="0"/>
  </r>
  <r>
    <s v="6HI029"/>
    <s v="Examensarbete för ämneslärarexamen - historia"/>
    <m/>
    <s v="LYAGY"/>
    <s v="H16"/>
    <s v="ht"/>
    <s v="H2116-20:V221-15"/>
    <s v="Umeå"/>
    <m/>
    <s v="IDRH"/>
    <m/>
    <n v="1"/>
    <n v="7.5"/>
    <m/>
    <m/>
    <n v="1"/>
    <n v="0.125"/>
    <n v="0.85"/>
    <n v="0.10625"/>
    <x v="11"/>
    <s v="Inst för ide- o samhällsstudier"/>
    <s v="Hum"/>
    <s v="Ämneslärarprogrammet - Gy"/>
    <n v="20766"/>
    <n v="17442"/>
    <n v="4448.9624999999996"/>
    <n v="6000"/>
    <n v="750"/>
    <n v="5198.9624999999996"/>
    <n v="0"/>
    <n v="1"/>
    <n v="0"/>
    <n v="0"/>
    <n v="0"/>
    <n v="0"/>
    <n v="0"/>
    <n v="0"/>
    <n v="0"/>
    <n v="0"/>
    <n v="0"/>
    <n v="0"/>
  </r>
  <r>
    <s v="6HI029"/>
    <s v="Examensarbete för ämneslärarexamen - historia"/>
    <m/>
    <s v="LYAGY"/>
    <s v="H17"/>
    <s v="ht"/>
    <s v="H2116-20:V221-15"/>
    <s v="Umeå"/>
    <m/>
    <s v="ENGS"/>
    <m/>
    <n v="1"/>
    <n v="7.5"/>
    <m/>
    <m/>
    <n v="1"/>
    <n v="0.125"/>
    <n v="0.85"/>
    <n v="0.10625"/>
    <x v="11"/>
    <s v="Inst för ide- o samhällsstudier"/>
    <s v="Hum"/>
    <s v="Ämneslärarprogrammet - Gy"/>
    <n v="20766"/>
    <n v="17442"/>
    <n v="4448.9624999999996"/>
    <n v="6000"/>
    <n v="750"/>
    <n v="5198.9624999999996"/>
    <n v="0"/>
    <n v="1"/>
    <n v="0"/>
    <n v="0"/>
    <n v="0"/>
    <n v="0"/>
    <n v="0"/>
    <n v="0"/>
    <n v="0"/>
    <n v="0"/>
    <n v="0"/>
    <n v="0"/>
  </r>
  <r>
    <s v="6HI029"/>
    <s v="Examensarbete för ämneslärarexamen - historia"/>
    <m/>
    <s v="LYAGY"/>
    <s v="H17"/>
    <s v="ht"/>
    <s v="H2116-20:V221-15"/>
    <s v="Umeå"/>
    <m/>
    <s v="HIST"/>
    <m/>
    <n v="1"/>
    <n v="7.5"/>
    <m/>
    <m/>
    <n v="6"/>
    <n v="0.75"/>
    <n v="0.85"/>
    <n v="0.63749999999999996"/>
    <x v="11"/>
    <s v="Inst för ide- o samhällsstudier"/>
    <s v="Hum"/>
    <s v="Ämneslärarprogrammet - Gy"/>
    <n v="20766"/>
    <n v="17442"/>
    <n v="26693.775000000001"/>
    <n v="6000"/>
    <n v="4500"/>
    <n v="31193.775000000001"/>
    <n v="0"/>
    <n v="1"/>
    <n v="0"/>
    <n v="0"/>
    <n v="0"/>
    <n v="0"/>
    <n v="0"/>
    <n v="0"/>
    <n v="0"/>
    <n v="0"/>
    <n v="0"/>
    <n v="0"/>
  </r>
  <r>
    <s v="6HI029"/>
    <s v="Examensarbete för ämneslärarexamen - historia"/>
    <m/>
    <s v="LYAGY"/>
    <s v="H18"/>
    <s v="ht"/>
    <s v="H2116-20:V221-15"/>
    <s v="Umeå"/>
    <m/>
    <s v="HIST"/>
    <m/>
    <n v="1"/>
    <n v="7.5"/>
    <m/>
    <m/>
    <n v="1"/>
    <n v="0.125"/>
    <n v="0.85"/>
    <n v="0.10625"/>
    <x v="11"/>
    <s v="Inst för ide- o samhällsstudier"/>
    <s v="Hum"/>
    <s v="Ämneslärarprogrammet - Gy"/>
    <n v="20766"/>
    <n v="17442"/>
    <n v="4448.9624999999996"/>
    <n v="6000"/>
    <n v="750"/>
    <n v="5198.9624999999996"/>
    <n v="0"/>
    <n v="1"/>
    <n v="0"/>
    <n v="0"/>
    <n v="0"/>
    <n v="0"/>
    <n v="0"/>
    <n v="0"/>
    <n v="0"/>
    <n v="0"/>
    <n v="0"/>
    <n v="0"/>
  </r>
  <r>
    <s v="6HI029"/>
    <s v="Examensarbete för ämneslärarexamen - historia"/>
    <m/>
    <s v="LYAGY"/>
    <s v="H19"/>
    <s v="ht"/>
    <s v="H2116-20:V221-15"/>
    <s v="Umeå"/>
    <m/>
    <s v="HIST"/>
    <m/>
    <n v="1"/>
    <n v="7.5"/>
    <m/>
    <m/>
    <n v="1"/>
    <n v="0.125"/>
    <n v="0.85"/>
    <n v="0.10625"/>
    <x v="11"/>
    <s v="Inst för ide- o samhällsstudier"/>
    <s v="Hum"/>
    <s v="Ämneslärarprogrammet - Gy"/>
    <n v="20766"/>
    <n v="17442"/>
    <n v="4448.9624999999996"/>
    <n v="6000"/>
    <n v="750"/>
    <n v="5198.9624999999996"/>
    <n v="0"/>
    <n v="1"/>
    <n v="0"/>
    <n v="0"/>
    <n v="0"/>
    <n v="0"/>
    <n v="0"/>
    <n v="0"/>
    <n v="0"/>
    <n v="0"/>
    <n v="0"/>
    <n v="0"/>
  </r>
  <r>
    <s v="6HI031"/>
    <s v="Läraryrkets dimensioner"/>
    <m/>
    <s v="LYAGY"/>
    <s v="H16"/>
    <s v="ht"/>
    <s v="H211-15"/>
    <s v="Umeå"/>
    <m/>
    <s v="HIST"/>
    <m/>
    <n v="1"/>
    <n v="22.5"/>
    <m/>
    <m/>
    <n v="1"/>
    <n v="0.375"/>
    <n v="0.85"/>
    <n v="0.31874999999999998"/>
    <x v="11"/>
    <s v="Inst för ide- o samhällsstudier"/>
    <s v="Hum"/>
    <s v="Ämneslärarprogrammet - Gy"/>
    <n v="25235"/>
    <n v="27976"/>
    <n v="18380.474999999999"/>
    <n v="3600"/>
    <n v="1350"/>
    <n v="19730.474999999999"/>
    <n v="0"/>
    <n v="0"/>
    <n v="0"/>
    <n v="0"/>
    <n v="0"/>
    <n v="0"/>
    <n v="0"/>
    <n v="0"/>
    <n v="1"/>
    <n v="0"/>
    <n v="0"/>
    <n v="0"/>
  </r>
  <r>
    <s v="6HI031"/>
    <s v="Läraryrkets dimensioner"/>
    <m/>
    <s v="LYAGY"/>
    <s v="H17"/>
    <s v="ht"/>
    <s v="H211-15"/>
    <s v="Umeå"/>
    <m/>
    <s v="HIST"/>
    <m/>
    <n v="1"/>
    <n v="22.5"/>
    <m/>
    <m/>
    <n v="8"/>
    <n v="3"/>
    <n v="0.85"/>
    <n v="2.5499999999999998"/>
    <x v="11"/>
    <s v="Inst för ide- o samhällsstudier"/>
    <s v="Hum"/>
    <s v="Ämneslärarprogrammet - Gy"/>
    <n v="25235"/>
    <n v="27976"/>
    <n v="147043.79999999999"/>
    <n v="3600"/>
    <n v="10800"/>
    <n v="157843.79999999999"/>
    <n v="0"/>
    <n v="0"/>
    <n v="0"/>
    <n v="0"/>
    <n v="0"/>
    <n v="0"/>
    <n v="0"/>
    <n v="0"/>
    <n v="1"/>
    <n v="0"/>
    <n v="0"/>
    <n v="0"/>
  </r>
  <r>
    <s v="6HI031"/>
    <s v="Läraryrkets dimensioner"/>
    <m/>
    <s v="LYAGY"/>
    <s v="H18"/>
    <s v="ht"/>
    <s v="H211-15"/>
    <s v="Umeå"/>
    <m/>
    <s v="HIST"/>
    <m/>
    <n v="1"/>
    <n v="22.5"/>
    <m/>
    <m/>
    <n v="2"/>
    <n v="0.75"/>
    <n v="0.85"/>
    <n v="0.63749999999999996"/>
    <x v="11"/>
    <s v="Inst för ide- o samhällsstudier"/>
    <s v="Hum"/>
    <s v="Ämneslärarprogrammet - Gy"/>
    <n v="25235"/>
    <n v="27976"/>
    <n v="36760.949999999997"/>
    <n v="3600"/>
    <n v="2700"/>
    <n v="39460.949999999997"/>
    <n v="0"/>
    <n v="0"/>
    <n v="0"/>
    <n v="0"/>
    <n v="0"/>
    <n v="0"/>
    <n v="0"/>
    <n v="0"/>
    <n v="1"/>
    <n v="0"/>
    <n v="0"/>
    <n v="0"/>
  </r>
  <r>
    <s v="6HI031"/>
    <s v="Läraryrkets dimensioner"/>
    <m/>
    <s v="LYAGY"/>
    <s v="H19"/>
    <s v="ht"/>
    <s v="H211-15"/>
    <s v="Umeå"/>
    <m/>
    <s v="HIST"/>
    <m/>
    <n v="1"/>
    <n v="22.5"/>
    <m/>
    <m/>
    <n v="1"/>
    <n v="0.375"/>
    <n v="0.85"/>
    <n v="0.31874999999999998"/>
    <x v="11"/>
    <s v="Inst för ide- o samhällsstudier"/>
    <s v="Hum"/>
    <s v="Ämneslärarprogrammet - Gy"/>
    <n v="25235"/>
    <n v="27976"/>
    <n v="18380.474999999999"/>
    <n v="3600"/>
    <n v="1350"/>
    <n v="19730.474999999999"/>
    <n v="0"/>
    <n v="0"/>
    <n v="0"/>
    <n v="0"/>
    <n v="0"/>
    <n v="0"/>
    <n v="0"/>
    <n v="0"/>
    <n v="1"/>
    <n v="0"/>
    <n v="0"/>
    <n v="0"/>
  </r>
  <r>
    <s v="6HI031"/>
    <s v="Läraryrkets dimensioner"/>
    <n v="71602"/>
    <s v="LYAGY"/>
    <m/>
    <s v="vt"/>
    <m/>
    <s v="Umeå"/>
    <s v="Normal"/>
    <s v="HIST"/>
    <m/>
    <m/>
    <n v="22.5"/>
    <m/>
    <m/>
    <n v="4"/>
    <n v="1.5"/>
    <n v="0.85"/>
    <n v="1.2749999999999999"/>
    <x v="11"/>
    <s v="Inst för ide- o samhällsstudier"/>
    <s v="Hum"/>
    <s v="Ämneslärarprogrammet - Gy"/>
    <n v="25235"/>
    <n v="27976"/>
    <n v="73521.899999999994"/>
    <n v="3600"/>
    <n v="5400"/>
    <n v="78921.899999999994"/>
    <n v="0"/>
    <n v="0"/>
    <n v="0"/>
    <n v="0"/>
    <n v="0"/>
    <n v="0"/>
    <n v="0"/>
    <n v="0"/>
    <n v="1"/>
    <n v="0"/>
    <n v="0"/>
    <n v="0"/>
  </r>
  <r>
    <s v="6HI032"/>
    <s v="Att undervisa i historia (VFU)"/>
    <m/>
    <s v="LYAGY"/>
    <s v="H18"/>
    <s v="ht"/>
    <s v="H2113-16"/>
    <s v="Umeå"/>
    <m/>
    <s v="HIST"/>
    <m/>
    <n v="1"/>
    <n v="6"/>
    <m/>
    <m/>
    <n v="2"/>
    <n v="0.2"/>
    <n v="0.85"/>
    <n v="0.17"/>
    <x v="11"/>
    <s v="Inst för ide- o samhällsstudier"/>
    <s v="Hum"/>
    <s v="Ämneslärarprogrammet - Gy"/>
    <n v="25235"/>
    <n v="27976"/>
    <n v="9802.92"/>
    <n v="3600"/>
    <n v="720"/>
    <n v="10522.92"/>
    <n v="0"/>
    <n v="0"/>
    <n v="0"/>
    <n v="0"/>
    <n v="0"/>
    <n v="0"/>
    <n v="0"/>
    <n v="0"/>
    <n v="1"/>
    <n v="0"/>
    <n v="0"/>
    <n v="0"/>
  </r>
  <r>
    <s v="6HI032"/>
    <s v="Att undervisa i historia (VFU)"/>
    <m/>
    <s v="LYAGY"/>
    <s v="H19"/>
    <s v="ht"/>
    <s v="H2113-16"/>
    <s v="Umeå"/>
    <m/>
    <s v="ENGS"/>
    <m/>
    <n v="1"/>
    <n v="6"/>
    <m/>
    <m/>
    <n v="1"/>
    <n v="0.1"/>
    <n v="0.85"/>
    <n v="8.5000000000000006E-2"/>
    <x v="11"/>
    <s v="Inst för ide- o samhällsstudier"/>
    <s v="Hum"/>
    <s v="Ämneslärarprogrammet - Gy"/>
    <n v="25235"/>
    <n v="27976"/>
    <n v="4901.46"/>
    <n v="3600"/>
    <n v="360"/>
    <n v="5261.46"/>
    <n v="0"/>
    <n v="0"/>
    <n v="0"/>
    <n v="0"/>
    <n v="0"/>
    <n v="0"/>
    <n v="0"/>
    <n v="0"/>
    <n v="1"/>
    <n v="0"/>
    <n v="0"/>
    <n v="0"/>
  </r>
  <r>
    <s v="6HI032"/>
    <s v="Att undervisa i historia (VFU)"/>
    <m/>
    <s v="LYAGY"/>
    <s v="H19"/>
    <s v="ht"/>
    <s v="H2113-16"/>
    <s v="Umeå"/>
    <m/>
    <s v="HIST"/>
    <m/>
    <n v="1"/>
    <n v="6"/>
    <m/>
    <m/>
    <n v="19"/>
    <n v="1.9000000000000001"/>
    <n v="0.85"/>
    <n v="1.615"/>
    <x v="11"/>
    <s v="Inst för ide- o samhällsstudier"/>
    <s v="Hum"/>
    <s v="Ämneslärarprogrammet - Gy"/>
    <n v="25235"/>
    <n v="27976"/>
    <n v="93127.739999999991"/>
    <n v="3600"/>
    <n v="6840.0000000000009"/>
    <n v="99967.739999999991"/>
    <n v="0"/>
    <n v="0"/>
    <n v="0"/>
    <n v="0"/>
    <n v="0"/>
    <n v="0"/>
    <n v="0"/>
    <n v="0"/>
    <n v="1"/>
    <n v="0"/>
    <n v="0"/>
    <n v="0"/>
  </r>
  <r>
    <s v="6HI032"/>
    <s v="Att undervisa i historia (VFU)"/>
    <m/>
    <s v="LYAGY"/>
    <s v="V18"/>
    <s v="ht"/>
    <s v="H2113-16"/>
    <s v="Umeå"/>
    <m/>
    <s v="HIST"/>
    <m/>
    <n v="1"/>
    <n v="6"/>
    <m/>
    <m/>
    <n v="1"/>
    <n v="0.1"/>
    <n v="0.85"/>
    <n v="8.5000000000000006E-2"/>
    <x v="11"/>
    <s v="Inst för ide- o samhällsstudier"/>
    <s v="Hum"/>
    <s v="Ämneslärarprogrammet - Gy"/>
    <n v="25235"/>
    <n v="27976"/>
    <n v="4901.46"/>
    <n v="3600"/>
    <n v="360"/>
    <n v="5261.46"/>
    <n v="0"/>
    <n v="0"/>
    <n v="0"/>
    <n v="0"/>
    <n v="0"/>
    <n v="0"/>
    <n v="0"/>
    <n v="0"/>
    <n v="1"/>
    <n v="0"/>
    <n v="0"/>
    <n v="0"/>
  </r>
  <r>
    <s v="6HI033"/>
    <s v="Historia 2"/>
    <m/>
    <s v="LYAGY"/>
    <s v="H15"/>
    <s v="ht"/>
    <s v="H211-20"/>
    <s v="Umeå"/>
    <m/>
    <s v="ENGS"/>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HI033"/>
    <s v="Historia 2"/>
    <m/>
    <s v="LYAGY"/>
    <s v="H18"/>
    <s v="ht"/>
    <s v="H211-20"/>
    <s v="Umeå"/>
    <m/>
    <s v="BILÄ"/>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HI033"/>
    <s v="Historia 2"/>
    <m/>
    <s v="LYAGY"/>
    <s v="H18"/>
    <s v="ht"/>
    <s v="H211-20"/>
    <s v="Umeå"/>
    <m/>
    <s v="ENGS"/>
    <m/>
    <n v="1"/>
    <n v="30"/>
    <m/>
    <m/>
    <n v="5"/>
    <n v="2.5"/>
    <n v="0.85"/>
    <n v="2.125"/>
    <x v="11"/>
    <s v="Inst för ide- o samhällsstudier"/>
    <s v="Hum"/>
    <s v="Ämneslärarprogrammet - Gy"/>
    <n v="20766"/>
    <n v="17442"/>
    <n v="88979.25"/>
    <n v="6000"/>
    <n v="15000"/>
    <n v="103979.25"/>
    <n v="0"/>
    <n v="1"/>
    <n v="0"/>
    <n v="0"/>
    <n v="0"/>
    <n v="0"/>
    <n v="0"/>
    <n v="0"/>
    <n v="0"/>
    <n v="0"/>
    <n v="0"/>
    <n v="0"/>
  </r>
  <r>
    <s v="6HI033"/>
    <s v="Historia 2"/>
    <m/>
    <s v="LYAGY"/>
    <s v="H18"/>
    <s v="ht"/>
    <s v="H211-20"/>
    <s v="Umeå"/>
    <m/>
    <s v="RELK"/>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HI033"/>
    <s v="Historia 2"/>
    <m/>
    <s v="LYAGY"/>
    <s v="H18"/>
    <s v="ht"/>
    <s v="H211-20"/>
    <s v="Umeå"/>
    <m/>
    <s v="SAMK"/>
    <m/>
    <n v="1"/>
    <n v="30"/>
    <m/>
    <m/>
    <n v="2"/>
    <n v="1"/>
    <n v="0.85"/>
    <n v="0.85"/>
    <x v="11"/>
    <s v="Inst för ide- o samhällsstudier"/>
    <s v="Hum"/>
    <s v="Ämneslärarprogrammet - Gy"/>
    <n v="20766"/>
    <n v="17442"/>
    <n v="35591.699999999997"/>
    <n v="6000"/>
    <n v="6000"/>
    <n v="41591.699999999997"/>
    <n v="0"/>
    <n v="1"/>
    <n v="0"/>
    <n v="0"/>
    <n v="0"/>
    <n v="0"/>
    <n v="0"/>
    <n v="0"/>
    <n v="0"/>
    <n v="0"/>
    <n v="0"/>
    <n v="0"/>
  </r>
  <r>
    <s v="6HI033"/>
    <s v="Historia 2"/>
    <m/>
    <s v="LYAGY"/>
    <s v="H19"/>
    <s v="ht"/>
    <s v="H211-20"/>
    <s v="Umeå"/>
    <m/>
    <s v="ENGS"/>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HI033"/>
    <s v="Historia 2"/>
    <m/>
    <s v="LYAGY"/>
    <s v="H19"/>
    <s v="ht"/>
    <s v="H211-20"/>
    <s v="Umeå"/>
    <m/>
    <s v="HIST"/>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HI033"/>
    <s v="Historia 2"/>
    <m/>
    <s v="LYAGY"/>
    <s v="H20"/>
    <s v="ht"/>
    <s v="H211-20"/>
    <s v="Umeå"/>
    <m/>
    <s v="HIST"/>
    <m/>
    <n v="1"/>
    <n v="30"/>
    <m/>
    <m/>
    <n v="16"/>
    <n v="8"/>
    <n v="0.85"/>
    <n v="6.8"/>
    <x v="11"/>
    <s v="Inst för ide- o samhällsstudier"/>
    <s v="Hum"/>
    <s v="Ämneslärarprogrammet - Gy"/>
    <n v="20766"/>
    <n v="17442"/>
    <n v="284733.59999999998"/>
    <n v="6000"/>
    <n v="48000"/>
    <n v="332733.59999999998"/>
    <n v="0"/>
    <n v="1"/>
    <n v="0"/>
    <n v="0"/>
    <n v="0"/>
    <n v="0"/>
    <n v="0"/>
    <n v="0"/>
    <n v="0"/>
    <n v="0"/>
    <n v="0"/>
    <n v="0"/>
  </r>
  <r>
    <s v="6HI033"/>
    <s v="Historia 2"/>
    <m/>
    <s v="LYAGY"/>
    <s v="H20"/>
    <s v="ht"/>
    <s v="H211-20"/>
    <s v="Umeå"/>
    <m/>
    <s v="SAMK"/>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HI034"/>
    <s v="Historia 1"/>
    <n v="71603"/>
    <s v="LYAGY"/>
    <m/>
    <s v="vt"/>
    <m/>
    <s v="Umeå"/>
    <s v="Normal"/>
    <s v="BILÄ"/>
    <m/>
    <m/>
    <n v="30"/>
    <m/>
    <m/>
    <n v="1"/>
    <n v="0.5"/>
    <n v="0.85"/>
    <n v="0.42499999999999999"/>
    <x v="11"/>
    <s v="Inst för ide- o samhällsstudier"/>
    <s v="Hum"/>
    <s v="Ämneslärarprogrammet - Gy"/>
    <n v="20766"/>
    <n v="17442"/>
    <n v="17795.849999999999"/>
    <n v="6000"/>
    <n v="3000"/>
    <n v="20795.849999999999"/>
    <n v="0"/>
    <n v="1"/>
    <n v="0"/>
    <n v="0"/>
    <n v="0"/>
    <n v="0"/>
    <n v="0"/>
    <n v="0"/>
    <n v="0"/>
    <n v="0"/>
    <n v="0"/>
    <n v="0"/>
  </r>
  <r>
    <s v="6HI034"/>
    <s v="Historia 1"/>
    <n v="71603"/>
    <s v="LYAGY"/>
    <m/>
    <s v="vt"/>
    <m/>
    <s v="Umeå"/>
    <s v="Normal"/>
    <s v="ENGS"/>
    <m/>
    <m/>
    <n v="30"/>
    <m/>
    <m/>
    <n v="7"/>
    <n v="3.5"/>
    <n v="0.85"/>
    <n v="2.9750000000000001"/>
    <x v="11"/>
    <s v="Inst för ide- o samhällsstudier"/>
    <s v="Hum"/>
    <s v="Ämneslärarprogrammet - Gy"/>
    <n v="20766"/>
    <n v="17442"/>
    <n v="124570.95000000001"/>
    <n v="6000"/>
    <n v="21000"/>
    <n v="145570.95000000001"/>
    <n v="0"/>
    <n v="1"/>
    <n v="0"/>
    <n v="0"/>
    <n v="0"/>
    <n v="0"/>
    <n v="0"/>
    <n v="0"/>
    <n v="0"/>
    <n v="0"/>
    <n v="0"/>
    <n v="0"/>
  </r>
  <r>
    <s v="6HI034"/>
    <s v="Historia 1"/>
    <n v="71603"/>
    <s v="LYAGY"/>
    <m/>
    <s v="vt"/>
    <m/>
    <s v="Umeå"/>
    <s v="Normal"/>
    <s v="HIST"/>
    <m/>
    <m/>
    <n v="30"/>
    <m/>
    <m/>
    <n v="27"/>
    <n v="13.5"/>
    <n v="0.85"/>
    <n v="11.475"/>
    <x v="11"/>
    <s v="Inst för ide- o samhällsstudier"/>
    <s v="Hum"/>
    <s v="Ämneslärarprogrammet - Gy"/>
    <n v="20766"/>
    <n v="17442"/>
    <n v="480487.94999999995"/>
    <n v="6000"/>
    <n v="81000"/>
    <n v="561487.94999999995"/>
    <n v="0"/>
    <n v="1"/>
    <n v="0"/>
    <n v="0"/>
    <n v="0"/>
    <n v="0"/>
    <n v="0"/>
    <n v="0"/>
    <n v="0"/>
    <n v="0"/>
    <n v="0"/>
    <n v="0"/>
  </r>
  <r>
    <s v="6HI034"/>
    <s v="Historia 1"/>
    <n v="71603"/>
    <s v="LYAGY"/>
    <m/>
    <s v="vt"/>
    <m/>
    <s v="Umeå"/>
    <s v="Normal"/>
    <s v="RELK"/>
    <m/>
    <m/>
    <n v="30"/>
    <m/>
    <m/>
    <n v="1"/>
    <n v="0.5"/>
    <n v="0.85"/>
    <n v="0.42499999999999999"/>
    <x v="11"/>
    <s v="Inst för ide- o samhällsstudier"/>
    <s v="Hum"/>
    <s v="Ämneslärarprogrammet - Gy"/>
    <n v="20766"/>
    <n v="17442"/>
    <n v="17795.849999999999"/>
    <n v="6000"/>
    <n v="3000"/>
    <n v="20795.849999999999"/>
    <n v="0"/>
    <n v="1"/>
    <n v="0"/>
    <n v="0"/>
    <n v="0"/>
    <n v="0"/>
    <n v="0"/>
    <n v="0"/>
    <n v="0"/>
    <n v="0"/>
    <n v="0"/>
    <n v="0"/>
  </r>
  <r>
    <s v="6HI034"/>
    <s v="Historia 1"/>
    <n v="71603"/>
    <s v="LYAGY"/>
    <m/>
    <s v="vt"/>
    <m/>
    <s v="Umeå"/>
    <s v="Normal"/>
    <s v="SAMK"/>
    <m/>
    <m/>
    <n v="30"/>
    <m/>
    <m/>
    <n v="5"/>
    <n v="2.5"/>
    <n v="0.85"/>
    <n v="2.125"/>
    <x v="11"/>
    <s v="Inst för ide- o samhällsstudier"/>
    <s v="Hum"/>
    <s v="Ämneslärarprogrammet - Gy"/>
    <n v="20766"/>
    <n v="17442"/>
    <n v="88979.25"/>
    <n v="6000"/>
    <n v="15000"/>
    <n v="103979.25"/>
    <n v="0"/>
    <n v="1"/>
    <n v="0"/>
    <n v="0"/>
    <n v="0"/>
    <n v="0"/>
    <n v="0"/>
    <n v="0"/>
    <n v="0"/>
    <n v="0"/>
    <n v="0"/>
    <n v="0"/>
  </r>
  <r>
    <s v="6HI034"/>
    <s v="Historia 1"/>
    <n v="71603"/>
    <s v="LYAGY"/>
    <m/>
    <s v="vt"/>
    <m/>
    <s v="Umeå"/>
    <s v="Normal"/>
    <s v="SVAA"/>
    <m/>
    <m/>
    <n v="30"/>
    <m/>
    <m/>
    <n v="1"/>
    <n v="0.5"/>
    <n v="0.85"/>
    <n v="0.42499999999999999"/>
    <x v="11"/>
    <s v="Inst för ide- o samhällsstudier"/>
    <s v="Hum"/>
    <s v="Ämneslärarprogrammet - Gy"/>
    <n v="20766"/>
    <n v="17442"/>
    <n v="17795.849999999999"/>
    <n v="6000"/>
    <n v="3000"/>
    <n v="20795.849999999999"/>
    <n v="0"/>
    <n v="1"/>
    <n v="0"/>
    <n v="0"/>
    <n v="0"/>
    <n v="0"/>
    <n v="0"/>
    <n v="0"/>
    <n v="0"/>
    <n v="0"/>
    <n v="0"/>
    <n v="0"/>
  </r>
  <r>
    <s v="6HI034"/>
    <s v="Historia 1"/>
    <n v="71603"/>
    <s v="LYAGY"/>
    <m/>
    <s v="vt"/>
    <m/>
    <s v="Umeå"/>
    <s v="Normal"/>
    <m/>
    <m/>
    <m/>
    <n v="30"/>
    <m/>
    <m/>
    <n v="1"/>
    <n v="0.5"/>
    <n v="0.85"/>
    <n v="0.42499999999999999"/>
    <x v="11"/>
    <s v="Inst för ide- o samhällsstudier"/>
    <s v="Hum"/>
    <s v="Ämneslärarprogrammet - Gy"/>
    <n v="20766"/>
    <n v="17442"/>
    <n v="17795.849999999999"/>
    <n v="6000"/>
    <n v="3000"/>
    <n v="20795.849999999999"/>
    <n v="0"/>
    <n v="1"/>
    <n v="0"/>
    <n v="0"/>
    <n v="0"/>
    <n v="0"/>
    <n v="0"/>
    <n v="0"/>
    <n v="0"/>
    <n v="0"/>
    <n v="0"/>
    <n v="0"/>
  </r>
  <r>
    <s v="6HI035"/>
    <s v="Historia 3"/>
    <n v="71601"/>
    <s v="LYAGY"/>
    <m/>
    <s v="vt"/>
    <m/>
    <s v="Umeå"/>
    <s v="Normal"/>
    <s v="ENGS"/>
    <m/>
    <m/>
    <n v="30"/>
    <m/>
    <m/>
    <n v="4"/>
    <n v="2"/>
    <n v="0.85"/>
    <n v="1.7"/>
    <x v="11"/>
    <s v="Inst för ide- o samhällsstudier"/>
    <s v="Hum"/>
    <s v="Ämneslärarprogrammet - Gy"/>
    <n v="20766"/>
    <n v="17442"/>
    <n v="71183.399999999994"/>
    <n v="6000"/>
    <n v="12000"/>
    <n v="83183.399999999994"/>
    <n v="0"/>
    <n v="1"/>
    <n v="0"/>
    <n v="0"/>
    <n v="0"/>
    <n v="0"/>
    <n v="0"/>
    <n v="0"/>
    <n v="0"/>
    <n v="0"/>
    <n v="0"/>
    <n v="0"/>
  </r>
  <r>
    <s v="6HI035"/>
    <s v="Historia 3"/>
    <n v="71601"/>
    <s v="LYAGY"/>
    <m/>
    <s v="vt"/>
    <m/>
    <s v="Umeå"/>
    <s v="Normal"/>
    <s v="HIST"/>
    <m/>
    <m/>
    <n v="30"/>
    <m/>
    <m/>
    <n v="22"/>
    <n v="11"/>
    <n v="0.85"/>
    <n v="9.35"/>
    <x v="11"/>
    <s v="Inst för ide- o samhällsstudier"/>
    <s v="Hum"/>
    <s v="Ämneslärarprogrammet - Gy"/>
    <n v="20766"/>
    <n v="17442"/>
    <n v="391508.69999999995"/>
    <n v="6000"/>
    <n v="66000"/>
    <n v="457508.69999999995"/>
    <n v="0"/>
    <n v="1"/>
    <n v="0"/>
    <n v="0"/>
    <n v="0"/>
    <n v="0"/>
    <n v="0"/>
    <n v="0"/>
    <n v="0"/>
    <n v="0"/>
    <n v="0"/>
    <n v="0"/>
  </r>
  <r>
    <s v="6HI035"/>
    <s v="Historia 3"/>
    <n v="71601"/>
    <s v="LYAGY"/>
    <m/>
    <s v="vt"/>
    <m/>
    <s v="Umeå"/>
    <s v="Normal"/>
    <s v="IDRH"/>
    <m/>
    <m/>
    <n v="30"/>
    <m/>
    <m/>
    <n v="1"/>
    <n v="0.5"/>
    <n v="0.85"/>
    <n v="0.42499999999999999"/>
    <x v="11"/>
    <s v="Inst för ide- o samhällsstudier"/>
    <s v="Hum"/>
    <s v="Ämneslärarprogrammet - Gy"/>
    <n v="20766"/>
    <n v="17442"/>
    <n v="17795.849999999999"/>
    <n v="6000"/>
    <n v="3000"/>
    <n v="20795.849999999999"/>
    <n v="0"/>
    <n v="1"/>
    <n v="0"/>
    <n v="0"/>
    <n v="0"/>
    <n v="0"/>
    <n v="0"/>
    <n v="0"/>
    <n v="0"/>
    <n v="0"/>
    <n v="0"/>
    <n v="0"/>
  </r>
  <r>
    <s v="6HI035"/>
    <s v="Historia 3"/>
    <n v="71601"/>
    <s v="LYAGY"/>
    <m/>
    <s v="vt"/>
    <m/>
    <s v="Umeå"/>
    <s v="Normal"/>
    <s v="RELK"/>
    <m/>
    <m/>
    <n v="30"/>
    <m/>
    <m/>
    <n v="1"/>
    <n v="0.5"/>
    <n v="0.85"/>
    <n v="0.42499999999999999"/>
    <x v="11"/>
    <s v="Inst för ide- o samhällsstudier"/>
    <s v="Hum"/>
    <s v="Ämneslärarprogrammet - Gy"/>
    <n v="20766"/>
    <n v="17442"/>
    <n v="17795.849999999999"/>
    <n v="6000"/>
    <n v="3000"/>
    <n v="20795.849999999999"/>
    <n v="0"/>
    <n v="1"/>
    <n v="0"/>
    <n v="0"/>
    <n v="0"/>
    <n v="0"/>
    <n v="0"/>
    <n v="0"/>
    <n v="0"/>
    <n v="0"/>
    <n v="0"/>
    <n v="0"/>
  </r>
  <r>
    <s v="6HI035"/>
    <s v="Historia 3"/>
    <n v="71601"/>
    <s v="LYAGY"/>
    <m/>
    <s v="vt"/>
    <m/>
    <s v="Umeå"/>
    <s v="Normal"/>
    <s v="SAMK"/>
    <m/>
    <m/>
    <n v="30"/>
    <m/>
    <m/>
    <n v="2"/>
    <n v="1"/>
    <n v="0.85"/>
    <n v="0.85"/>
    <x v="11"/>
    <s v="Inst för ide- o samhällsstudier"/>
    <s v="Hum"/>
    <s v="Ämneslärarprogrammet - Gy"/>
    <n v="20766"/>
    <n v="17442"/>
    <n v="35591.699999999997"/>
    <n v="6000"/>
    <n v="6000"/>
    <n v="41591.699999999997"/>
    <n v="0"/>
    <n v="1"/>
    <n v="0"/>
    <n v="0"/>
    <n v="0"/>
    <n v="0"/>
    <n v="0"/>
    <n v="0"/>
    <n v="0"/>
    <n v="0"/>
    <n v="0"/>
    <n v="0"/>
  </r>
  <r>
    <s v="6HI035"/>
    <s v="Historia 3"/>
    <n v="71601"/>
    <s v="LYAGY"/>
    <m/>
    <s v="vt"/>
    <m/>
    <s v="Umeå"/>
    <s v="Normal"/>
    <s v="SVAA"/>
    <m/>
    <m/>
    <n v="30"/>
    <m/>
    <m/>
    <n v="5"/>
    <n v="2.5"/>
    <n v="0.85"/>
    <n v="2.125"/>
    <x v="11"/>
    <s v="Inst för ide- o samhällsstudier"/>
    <s v="Hum"/>
    <s v="Ämneslärarprogrammet - Gy"/>
    <n v="20766"/>
    <n v="17442"/>
    <n v="88979.25"/>
    <n v="6000"/>
    <n v="15000"/>
    <n v="103979.25"/>
    <n v="0"/>
    <n v="1"/>
    <n v="0"/>
    <n v="0"/>
    <n v="0"/>
    <n v="0"/>
    <n v="0"/>
    <n v="0"/>
    <n v="0"/>
    <n v="0"/>
    <n v="0"/>
    <n v="0"/>
  </r>
  <r>
    <s v="6ID013"/>
    <s v="Examensarbete i Idrott och hälsa för ämneslärarexamen"/>
    <m/>
    <s v="LYAGY"/>
    <s v="H15"/>
    <s v="ht"/>
    <s v="H2116-20:V221-15"/>
    <s v="Umeå"/>
    <m/>
    <s v="IDRH"/>
    <m/>
    <n v="1"/>
    <n v="7.5"/>
    <m/>
    <m/>
    <n v="3"/>
    <n v="0.375"/>
    <n v="0.85"/>
    <n v="0.31874999999999998"/>
    <x v="12"/>
    <s v="Pedagogik                     "/>
    <s v="Sam"/>
    <s v="Ämneslärarprogrammet - Gy"/>
    <n v="20766"/>
    <n v="17442"/>
    <n v="13346.887500000001"/>
    <n v="6000"/>
    <n v="2250"/>
    <n v="15596.887500000001"/>
    <n v="0"/>
    <n v="0"/>
    <n v="0"/>
    <n v="0"/>
    <n v="0"/>
    <n v="0"/>
    <n v="1"/>
    <n v="0"/>
    <n v="0"/>
    <n v="0"/>
    <n v="0"/>
    <n v="0"/>
  </r>
  <r>
    <s v="6ID013"/>
    <s v="Examensarbete i Idrott och hälsa för ämneslärarexamen"/>
    <m/>
    <s v="LYAGY"/>
    <s v="H16"/>
    <s v="ht"/>
    <s v="H2116-20:V221-15"/>
    <s v="Umeå"/>
    <m/>
    <s v="ENGS"/>
    <m/>
    <n v="1"/>
    <n v="7.5"/>
    <m/>
    <m/>
    <n v="1"/>
    <n v="0.125"/>
    <n v="0.85"/>
    <n v="0.10625"/>
    <x v="12"/>
    <s v="Pedagogik                     "/>
    <s v="Sam"/>
    <s v="Ämneslärarprogrammet - Gy"/>
    <n v="20766"/>
    <n v="17442"/>
    <n v="4448.9624999999996"/>
    <n v="6000"/>
    <n v="750"/>
    <n v="5198.9624999999996"/>
    <n v="0"/>
    <n v="0"/>
    <n v="0"/>
    <n v="0"/>
    <n v="0"/>
    <n v="0"/>
    <n v="1"/>
    <n v="0"/>
    <n v="0"/>
    <n v="0"/>
    <n v="0"/>
    <n v="0"/>
  </r>
  <r>
    <s v="6ID013"/>
    <s v="Examensarbete i Idrott och hälsa för ämneslärarexamen"/>
    <m/>
    <s v="LYAGY"/>
    <s v="H16"/>
    <s v="ht"/>
    <s v="H2116-20:V221-15"/>
    <s v="Umeå"/>
    <m/>
    <s v="IDRH"/>
    <m/>
    <n v="1"/>
    <n v="7.5"/>
    <m/>
    <m/>
    <n v="1"/>
    <n v="0.125"/>
    <n v="0.85"/>
    <n v="0.10625"/>
    <x v="12"/>
    <s v="Pedagogik                     "/>
    <s v="Sam"/>
    <s v="Ämneslärarprogrammet - Gy"/>
    <n v="20766"/>
    <n v="17442"/>
    <n v="4448.9624999999996"/>
    <n v="6000"/>
    <n v="750"/>
    <n v="5198.9624999999996"/>
    <n v="0"/>
    <n v="0"/>
    <n v="0"/>
    <n v="0"/>
    <n v="0"/>
    <n v="0"/>
    <n v="1"/>
    <n v="0"/>
    <n v="0"/>
    <n v="0"/>
    <n v="0"/>
    <n v="0"/>
  </r>
  <r>
    <s v="6ID013"/>
    <s v="Examensarbete i Idrott och hälsa för ämneslärarexamen"/>
    <m/>
    <s v="LYAGY"/>
    <s v="H17"/>
    <s v="ht"/>
    <s v="H2116-20:V221-15"/>
    <s v="Umeå"/>
    <m/>
    <s v="ENGS"/>
    <m/>
    <n v="1"/>
    <n v="7.5"/>
    <m/>
    <m/>
    <n v="1"/>
    <n v="0.125"/>
    <n v="0.85"/>
    <n v="0.10625"/>
    <x v="12"/>
    <s v="Pedagogik                     "/>
    <s v="Sam"/>
    <s v="Ämneslärarprogrammet - Gy"/>
    <n v="20766"/>
    <n v="17442"/>
    <n v="4448.9624999999996"/>
    <n v="6000"/>
    <n v="750"/>
    <n v="5198.9624999999996"/>
    <n v="0"/>
    <n v="0"/>
    <n v="0"/>
    <n v="0"/>
    <n v="0"/>
    <n v="0"/>
    <n v="1"/>
    <n v="0"/>
    <n v="0"/>
    <n v="0"/>
    <n v="0"/>
    <n v="0"/>
  </r>
  <r>
    <s v="6ID013"/>
    <s v="Examensarbete i Idrott och hälsa för ämneslärarexamen"/>
    <m/>
    <s v="LYAGY"/>
    <s v="H17"/>
    <s v="ht"/>
    <s v="H2116-20:V221-15"/>
    <s v="Umeå"/>
    <m/>
    <s v="IDRH"/>
    <m/>
    <n v="1"/>
    <n v="7.5"/>
    <m/>
    <m/>
    <n v="11"/>
    <n v="1.375"/>
    <n v="0.85"/>
    <n v="1.16875"/>
    <x v="12"/>
    <s v="Pedagogik                     "/>
    <s v="Sam"/>
    <s v="Ämneslärarprogrammet - Gy"/>
    <n v="20766"/>
    <n v="17442"/>
    <n v="48938.587499999994"/>
    <n v="6000"/>
    <n v="8250"/>
    <n v="57188.587499999994"/>
    <n v="0"/>
    <n v="0"/>
    <n v="0"/>
    <n v="0"/>
    <n v="0"/>
    <n v="0"/>
    <n v="1"/>
    <n v="0"/>
    <n v="0"/>
    <n v="0"/>
    <n v="0"/>
    <n v="0"/>
  </r>
  <r>
    <s v="6ID013"/>
    <s v="Examensarbete i Idrott och hälsa för ämneslärarexamen"/>
    <m/>
    <s v="LYAGY"/>
    <s v="H17"/>
    <s v="ht"/>
    <s v="H2116-20:V221-15"/>
    <s v="Umeå"/>
    <m/>
    <s v="MATT"/>
    <m/>
    <n v="1"/>
    <n v="7.5"/>
    <m/>
    <m/>
    <n v="1"/>
    <n v="0.125"/>
    <n v="0.85"/>
    <n v="0.10625"/>
    <x v="12"/>
    <s v="Pedagogik                     "/>
    <s v="Sam"/>
    <s v="Ämneslärarprogrammet - Gy"/>
    <n v="20766"/>
    <n v="17442"/>
    <n v="4448.9624999999996"/>
    <n v="6000"/>
    <n v="750"/>
    <n v="5198.9624999999996"/>
    <n v="0"/>
    <n v="0"/>
    <n v="0"/>
    <n v="0"/>
    <n v="0"/>
    <n v="0"/>
    <n v="1"/>
    <n v="0"/>
    <n v="0"/>
    <n v="0"/>
    <n v="0"/>
    <n v="0"/>
  </r>
  <r>
    <s v="6ID015"/>
    <s v="Praktiskt estetiskt ämne - Idrott och hälsa 2"/>
    <m/>
    <s v="FRIST"/>
    <m/>
    <s v="ht"/>
    <m/>
    <m/>
    <s v="Campus"/>
    <m/>
    <m/>
    <n v="1"/>
    <n v="15"/>
    <m/>
    <m/>
    <n v="5"/>
    <n v="1.25"/>
    <n v="0.8"/>
    <n v="1"/>
    <x v="12"/>
    <s v="Pedagogik                     "/>
    <s v="Sam"/>
    <s v="Fristående och övriga kurser"/>
    <n v="16920"/>
    <n v="27913"/>
    <n v="49063"/>
    <n v="17900"/>
    <n v="22375"/>
    <n v="71438"/>
    <n v="0"/>
    <n v="0"/>
    <n v="0"/>
    <n v="0"/>
    <n v="0"/>
    <n v="0"/>
    <n v="0"/>
    <n v="0"/>
    <n v="0"/>
    <n v="0"/>
    <n v="1"/>
    <n v="0"/>
  </r>
  <r>
    <s v="6ID015"/>
    <s v="Praktiskt estetiskt ämne - Idrott och hälsa 2"/>
    <m/>
    <s v="LYGFR"/>
    <s v="H19"/>
    <s v="ht"/>
    <s v="H211-10"/>
    <s v="Umeå"/>
    <s v="Campus"/>
    <m/>
    <m/>
    <n v="1"/>
    <n v="15"/>
    <m/>
    <m/>
    <n v="11"/>
    <n v="2.75"/>
    <n v="0.85"/>
    <n v="2.3374999999999999"/>
    <x v="12"/>
    <s v="Pedagogik                     "/>
    <s v="Sam"/>
    <s v="Grundlärarprogrammet - fritidshem"/>
    <n v="16920"/>
    <n v="27913"/>
    <n v="111776.6375"/>
    <n v="17900"/>
    <n v="49225"/>
    <n v="161001.63750000001"/>
    <n v="0"/>
    <n v="0"/>
    <n v="0"/>
    <n v="0"/>
    <n v="0"/>
    <n v="0"/>
    <n v="0"/>
    <n v="0"/>
    <n v="0"/>
    <n v="0"/>
    <n v="1"/>
    <n v="0"/>
  </r>
  <r>
    <s v="6ID016"/>
    <s v="Praktiskt estetiskt ämne - Idrott och hälsa 1"/>
    <m/>
    <s v="FRIST"/>
    <m/>
    <s v="ht"/>
    <m/>
    <m/>
    <s v="Campus"/>
    <m/>
    <m/>
    <n v="1"/>
    <n v="15"/>
    <m/>
    <m/>
    <n v="5"/>
    <n v="1.25"/>
    <n v="0.8"/>
    <n v="1"/>
    <x v="12"/>
    <s v="Pedagogik                     "/>
    <s v="Sam"/>
    <s v="Fristående och övriga kurser"/>
    <n v="16920"/>
    <n v="27913"/>
    <n v="49063"/>
    <n v="17900"/>
    <n v="22375"/>
    <n v="71438"/>
    <n v="0"/>
    <n v="0"/>
    <n v="0"/>
    <n v="0"/>
    <n v="0"/>
    <n v="0"/>
    <n v="0"/>
    <n v="0"/>
    <n v="0"/>
    <n v="0"/>
    <n v="1"/>
    <n v="0"/>
  </r>
  <r>
    <s v="6ID016"/>
    <s v="Praktiskt estetiskt ämne - Idrott och hälsa 1"/>
    <m/>
    <s v="LYGFR"/>
    <s v="H20"/>
    <s v="ht"/>
    <s v="H2111-20"/>
    <s v="Umeå"/>
    <s v="Campus"/>
    <m/>
    <m/>
    <n v="1"/>
    <n v="15"/>
    <m/>
    <m/>
    <n v="6"/>
    <n v="1.5"/>
    <n v="0.85"/>
    <n v="1.2749999999999999"/>
    <x v="12"/>
    <s v="Pedagogik                     "/>
    <s v="Sam"/>
    <s v="Grundlärarprogrammet - fritidshem"/>
    <n v="16920"/>
    <n v="27913"/>
    <n v="60969.074999999997"/>
    <n v="17900"/>
    <n v="26850"/>
    <n v="87819.074999999997"/>
    <n v="0"/>
    <n v="0"/>
    <n v="0"/>
    <n v="0"/>
    <n v="0"/>
    <n v="0"/>
    <n v="0"/>
    <n v="0"/>
    <n v="0"/>
    <n v="0"/>
    <n v="1"/>
    <n v="0"/>
  </r>
  <r>
    <s v="6ID017"/>
    <s v="Idrott och hälsa 1"/>
    <n v="72002"/>
    <s v="FRIST"/>
    <m/>
    <s v="vt"/>
    <m/>
    <s v="Umeå"/>
    <s v="Normal"/>
    <m/>
    <m/>
    <m/>
    <n v="30"/>
    <m/>
    <m/>
    <n v="10"/>
    <n v="5"/>
    <n v="0.8"/>
    <n v="4"/>
    <x v="12"/>
    <s v="Pedagogik                     "/>
    <s v="Sam"/>
    <s v="Fristående och övriga kurser"/>
    <n v="47928"/>
    <n v="35430"/>
    <n v="381360"/>
    <n v="35700"/>
    <n v="178500"/>
    <n v="559860"/>
    <n v="0"/>
    <n v="0"/>
    <n v="1"/>
    <n v="0"/>
    <n v="0"/>
    <n v="0"/>
    <n v="0"/>
    <n v="0"/>
    <n v="0"/>
    <n v="0"/>
    <n v="0"/>
    <n v="0"/>
  </r>
  <r>
    <s v="6ID017"/>
    <s v="Idrott och hälsa 1"/>
    <n v="72003"/>
    <s v="LYAGY"/>
    <m/>
    <s v="vt"/>
    <m/>
    <s v="Umeå"/>
    <s v="Normal"/>
    <s v="BIOL"/>
    <m/>
    <m/>
    <n v="30"/>
    <m/>
    <m/>
    <n v="1"/>
    <n v="0.5"/>
    <n v="0.85"/>
    <n v="0.42499999999999999"/>
    <x v="12"/>
    <s v="Pedagogik                     "/>
    <s v="Sam"/>
    <s v="Ämneslärarprogrammet - Gy"/>
    <n v="47928"/>
    <n v="35430"/>
    <n v="39021.75"/>
    <n v="35700"/>
    <n v="17850"/>
    <n v="56871.75"/>
    <n v="0"/>
    <n v="0"/>
    <n v="1"/>
    <n v="0"/>
    <n v="0"/>
    <n v="0"/>
    <n v="0"/>
    <n v="0"/>
    <n v="0"/>
    <n v="0"/>
    <n v="0"/>
    <n v="0"/>
  </r>
  <r>
    <s v="6ID017"/>
    <s v="Idrott och hälsa 1"/>
    <n v="72003"/>
    <s v="LYAGY"/>
    <m/>
    <s v="vt"/>
    <m/>
    <s v="Umeå"/>
    <s v="Normal"/>
    <s v="ENGS"/>
    <m/>
    <m/>
    <n v="30"/>
    <m/>
    <m/>
    <n v="1"/>
    <n v="0.5"/>
    <n v="0.85"/>
    <n v="0.42499999999999999"/>
    <x v="12"/>
    <s v="Pedagogik                     "/>
    <s v="Sam"/>
    <s v="Ämneslärarprogrammet - Gy"/>
    <n v="47928"/>
    <n v="35430"/>
    <n v="39021.75"/>
    <n v="35700"/>
    <n v="17850"/>
    <n v="56871.75"/>
    <n v="0"/>
    <n v="0"/>
    <n v="1"/>
    <n v="0"/>
    <n v="0"/>
    <n v="0"/>
    <n v="0"/>
    <n v="0"/>
    <n v="0"/>
    <n v="0"/>
    <n v="0"/>
    <n v="0"/>
  </r>
  <r>
    <s v="6ID017"/>
    <s v="Idrott och hälsa 1"/>
    <n v="72003"/>
    <s v="LYAGY"/>
    <m/>
    <s v="vt"/>
    <m/>
    <s v="Umeå"/>
    <s v="Normal"/>
    <s v="HIST"/>
    <m/>
    <m/>
    <n v="30"/>
    <m/>
    <m/>
    <n v="2"/>
    <n v="1"/>
    <n v="0.85"/>
    <n v="0.85"/>
    <x v="12"/>
    <s v="Pedagogik                     "/>
    <s v="Sam"/>
    <s v="Ämneslärarprogrammet - Gy"/>
    <n v="47928"/>
    <n v="35430"/>
    <n v="78043.5"/>
    <n v="35700"/>
    <n v="35700"/>
    <n v="113743.5"/>
    <n v="0"/>
    <n v="0"/>
    <n v="1"/>
    <n v="0"/>
    <n v="0"/>
    <n v="0"/>
    <n v="0"/>
    <n v="0"/>
    <n v="0"/>
    <n v="0"/>
    <n v="0"/>
    <n v="0"/>
  </r>
  <r>
    <s v="6ID017"/>
    <s v="Idrott och hälsa 1"/>
    <n v="72003"/>
    <s v="LYAGY"/>
    <m/>
    <s v="vt"/>
    <m/>
    <s v="Umeå"/>
    <s v="Normal"/>
    <s v="IDRH"/>
    <m/>
    <m/>
    <n v="30"/>
    <m/>
    <m/>
    <n v="30"/>
    <n v="15"/>
    <n v="0.85"/>
    <n v="12.75"/>
    <x v="12"/>
    <s v="Pedagogik                     "/>
    <s v="Sam"/>
    <s v="Ämneslärarprogrammet - Gy"/>
    <n v="47928"/>
    <n v="35430"/>
    <n v="1170652.5"/>
    <n v="35700"/>
    <n v="535500"/>
    <n v="1706152.5"/>
    <n v="0"/>
    <n v="0"/>
    <n v="1"/>
    <n v="0"/>
    <n v="0"/>
    <n v="0"/>
    <n v="0"/>
    <n v="0"/>
    <n v="0"/>
    <n v="0"/>
    <n v="0"/>
    <n v="0"/>
  </r>
  <r>
    <s v="6ID017"/>
    <s v="Idrott och hälsa 1"/>
    <n v="72003"/>
    <s v="LYAGY"/>
    <m/>
    <s v="vt"/>
    <m/>
    <s v="Umeå"/>
    <s v="Normal"/>
    <s v="MATT"/>
    <m/>
    <m/>
    <n v="30"/>
    <m/>
    <m/>
    <n v="2"/>
    <n v="1"/>
    <n v="0.85"/>
    <n v="0.85"/>
    <x v="12"/>
    <s v="Pedagogik                     "/>
    <s v="Sam"/>
    <s v="Ämneslärarprogrammet - Gy"/>
    <n v="47928"/>
    <n v="35430"/>
    <n v="78043.5"/>
    <n v="35700"/>
    <n v="35700"/>
    <n v="113743.5"/>
    <n v="0"/>
    <n v="0"/>
    <n v="1"/>
    <n v="0"/>
    <n v="0"/>
    <n v="0"/>
    <n v="0"/>
    <n v="0"/>
    <n v="0"/>
    <n v="0"/>
    <n v="0"/>
    <n v="0"/>
  </r>
  <r>
    <s v="6ID017"/>
    <s v="Idrott och hälsa 1"/>
    <n v="72003"/>
    <s v="LYAGY"/>
    <m/>
    <s v="vt"/>
    <m/>
    <s v="Umeå"/>
    <s v="Normal"/>
    <s v="NATU"/>
    <m/>
    <m/>
    <n v="30"/>
    <m/>
    <m/>
    <n v="1"/>
    <n v="0.5"/>
    <n v="0.85"/>
    <n v="0.42499999999999999"/>
    <x v="12"/>
    <s v="Pedagogik                     "/>
    <s v="Sam"/>
    <s v="Ämneslärarprogrammet - Gy"/>
    <n v="47928"/>
    <n v="35430"/>
    <n v="39021.75"/>
    <n v="35700"/>
    <n v="17850"/>
    <n v="56871.75"/>
    <n v="0"/>
    <n v="0"/>
    <n v="1"/>
    <n v="0"/>
    <n v="0"/>
    <n v="0"/>
    <n v="0"/>
    <n v="0"/>
    <n v="0"/>
    <n v="0"/>
    <n v="0"/>
    <n v="0"/>
  </r>
  <r>
    <s v="6ID017"/>
    <s v="Idrott och hälsa 1"/>
    <n v="72003"/>
    <s v="LYAGY"/>
    <m/>
    <s v="vt"/>
    <m/>
    <s v="Umeå"/>
    <s v="Normal"/>
    <s v="SAMK"/>
    <m/>
    <m/>
    <n v="30"/>
    <m/>
    <m/>
    <n v="4"/>
    <n v="2"/>
    <n v="0.85"/>
    <n v="1.7"/>
    <x v="12"/>
    <s v="Pedagogik                     "/>
    <s v="Sam"/>
    <s v="Ämneslärarprogrammet - Gy"/>
    <n v="47928"/>
    <n v="35430"/>
    <n v="156087"/>
    <n v="35700"/>
    <n v="71400"/>
    <n v="227487"/>
    <n v="0"/>
    <n v="0"/>
    <n v="1"/>
    <n v="0"/>
    <n v="0"/>
    <n v="0"/>
    <n v="0"/>
    <n v="0"/>
    <n v="0"/>
    <n v="0"/>
    <n v="0"/>
    <n v="0"/>
  </r>
  <r>
    <s v="6ID018"/>
    <s v="Idrott och hälsa 3"/>
    <n v="72006"/>
    <s v="FRIST"/>
    <m/>
    <s v="vt"/>
    <m/>
    <s v="Umeå"/>
    <s v="Normal"/>
    <m/>
    <m/>
    <m/>
    <n v="30"/>
    <m/>
    <m/>
    <n v="2"/>
    <n v="1"/>
    <n v="0.8"/>
    <n v="0.8"/>
    <x v="12"/>
    <s v="Pedagogik                     "/>
    <s v="Sam"/>
    <s v="Fristående och övriga kurser"/>
    <n v="47928"/>
    <n v="35430"/>
    <n v="76272"/>
    <n v="35700"/>
    <n v="35700"/>
    <n v="111972"/>
    <n v="0"/>
    <n v="0"/>
    <n v="1"/>
    <n v="0"/>
    <n v="0"/>
    <n v="0"/>
    <n v="0"/>
    <n v="0"/>
    <n v="0"/>
    <n v="0"/>
    <n v="0"/>
    <n v="0"/>
  </r>
  <r>
    <s v="6ID018"/>
    <s v="Idrott och hälsa 3"/>
    <n v="72004"/>
    <s v="LYAGY"/>
    <m/>
    <s v="vt"/>
    <m/>
    <s v="Umeå"/>
    <s v="Normal"/>
    <s v="ENGS"/>
    <m/>
    <m/>
    <n v="30"/>
    <m/>
    <m/>
    <n v="2"/>
    <n v="1"/>
    <n v="0.85"/>
    <n v="0.85"/>
    <x v="12"/>
    <s v="Pedagogik                     "/>
    <s v="Sam"/>
    <s v="Ämneslärarprogrammet - Gy"/>
    <n v="47928"/>
    <n v="35430"/>
    <n v="78043.5"/>
    <n v="35700"/>
    <n v="35700"/>
    <n v="113743.5"/>
    <n v="0"/>
    <n v="0"/>
    <n v="1"/>
    <n v="0"/>
    <n v="0"/>
    <n v="0"/>
    <n v="0"/>
    <n v="0"/>
    <n v="0"/>
    <n v="0"/>
    <n v="0"/>
    <n v="0"/>
  </r>
  <r>
    <s v="6ID018"/>
    <s v="Idrott och hälsa 3"/>
    <n v="72004"/>
    <s v="LYAGY"/>
    <m/>
    <s v="vt"/>
    <m/>
    <s v="Umeå"/>
    <s v="Normal"/>
    <s v="IDRH"/>
    <m/>
    <m/>
    <n v="30"/>
    <m/>
    <m/>
    <n v="18"/>
    <n v="9"/>
    <n v="0.85"/>
    <n v="7.6499999999999995"/>
    <x v="12"/>
    <s v="Pedagogik                     "/>
    <s v="Sam"/>
    <s v="Ämneslärarprogrammet - Gy"/>
    <n v="47928"/>
    <n v="35430"/>
    <n v="702391.5"/>
    <n v="35700"/>
    <n v="321300"/>
    <n v="1023691.5"/>
    <n v="0"/>
    <n v="0"/>
    <n v="1"/>
    <n v="0"/>
    <n v="0"/>
    <n v="0"/>
    <n v="0"/>
    <n v="0"/>
    <n v="0"/>
    <n v="0"/>
    <n v="0"/>
    <n v="0"/>
  </r>
  <r>
    <s v="6ID018"/>
    <s v="Idrott och hälsa 3"/>
    <n v="72004"/>
    <s v="LYAGY"/>
    <m/>
    <s v="vt"/>
    <m/>
    <s v="Umeå"/>
    <s v="Normal"/>
    <s v="MATT"/>
    <m/>
    <m/>
    <n v="30"/>
    <m/>
    <m/>
    <n v="2"/>
    <n v="1"/>
    <n v="0.85"/>
    <n v="0.85"/>
    <x v="12"/>
    <s v="Pedagogik                     "/>
    <s v="Sam"/>
    <s v="Ämneslärarprogrammet - Gy"/>
    <n v="47928"/>
    <n v="35430"/>
    <n v="78043.5"/>
    <n v="35700"/>
    <n v="35700"/>
    <n v="113743.5"/>
    <n v="0"/>
    <n v="0"/>
    <n v="1"/>
    <n v="0"/>
    <n v="0"/>
    <n v="0"/>
    <n v="0"/>
    <n v="0"/>
    <n v="0"/>
    <n v="0"/>
    <n v="0"/>
    <n v="0"/>
  </r>
  <r>
    <s v="6ID018"/>
    <s v="Idrott och hälsa 3"/>
    <n v="72004"/>
    <s v="LYAGY"/>
    <m/>
    <s v="vt"/>
    <m/>
    <s v="Umeå"/>
    <s v="Normal"/>
    <s v="NATU"/>
    <m/>
    <m/>
    <n v="30"/>
    <m/>
    <m/>
    <n v="1"/>
    <n v="0.5"/>
    <n v="0.85"/>
    <n v="0.42499999999999999"/>
    <x v="12"/>
    <s v="Pedagogik                     "/>
    <s v="Sam"/>
    <s v="Ämneslärarprogrammet - Gy"/>
    <n v="47928"/>
    <n v="35430"/>
    <n v="39021.75"/>
    <n v="35700"/>
    <n v="17850"/>
    <n v="56871.75"/>
    <n v="0"/>
    <n v="0"/>
    <n v="1"/>
    <n v="0"/>
    <n v="0"/>
    <n v="0"/>
    <n v="0"/>
    <n v="0"/>
    <n v="0"/>
    <n v="0"/>
    <n v="0"/>
    <n v="0"/>
  </r>
  <r>
    <s v="6ID018"/>
    <s v="Idrott och hälsa 3"/>
    <n v="72004"/>
    <s v="LYAGY"/>
    <m/>
    <s v="vt"/>
    <m/>
    <s v="Umeå"/>
    <s v="Normal"/>
    <s v="SAMK"/>
    <m/>
    <m/>
    <n v="30"/>
    <m/>
    <m/>
    <n v="1"/>
    <n v="0.5"/>
    <n v="0.85"/>
    <n v="0.42499999999999999"/>
    <x v="12"/>
    <s v="Pedagogik                     "/>
    <s v="Sam"/>
    <s v="Ämneslärarprogrammet - Gy"/>
    <n v="47928"/>
    <n v="35430"/>
    <n v="39021.75"/>
    <n v="35700"/>
    <n v="17850"/>
    <n v="56871.75"/>
    <n v="0"/>
    <n v="0"/>
    <n v="1"/>
    <n v="0"/>
    <n v="0"/>
    <n v="0"/>
    <n v="0"/>
    <n v="0"/>
    <n v="0"/>
    <n v="0"/>
    <n v="0"/>
    <n v="0"/>
  </r>
  <r>
    <s v="6ID018"/>
    <s v="Idrott och hälsa 3"/>
    <n v="72004"/>
    <s v="LYAGY"/>
    <m/>
    <s v="vt"/>
    <m/>
    <s v="Umeå"/>
    <s v="Normal"/>
    <s v="SVAA"/>
    <m/>
    <m/>
    <n v="30"/>
    <m/>
    <m/>
    <n v="1"/>
    <n v="0.5"/>
    <n v="0.85"/>
    <n v="0.42499999999999999"/>
    <x v="12"/>
    <s v="Pedagogik                     "/>
    <s v="Sam"/>
    <s v="Ämneslärarprogrammet - Gy"/>
    <n v="47928"/>
    <n v="35430"/>
    <n v="39021.75"/>
    <n v="35700"/>
    <n v="17850"/>
    <n v="56871.75"/>
    <n v="0"/>
    <n v="0"/>
    <n v="1"/>
    <n v="0"/>
    <n v="0"/>
    <n v="0"/>
    <n v="0"/>
    <n v="0"/>
    <n v="0"/>
    <n v="0"/>
    <n v="0"/>
    <n v="0"/>
  </r>
  <r>
    <s v="6ID021"/>
    <s v="Idrott och hälsa 2"/>
    <m/>
    <s v="FRIST"/>
    <m/>
    <s v="ht"/>
    <m/>
    <m/>
    <s v="Campus"/>
    <m/>
    <m/>
    <n v="1"/>
    <n v="30"/>
    <m/>
    <m/>
    <n v="5"/>
    <n v="2.5"/>
    <n v="0.8"/>
    <n v="2"/>
    <x v="12"/>
    <s v="Pedagogik                     "/>
    <s v="Sam"/>
    <s v="Fristående och övriga kurser"/>
    <n v="47928"/>
    <n v="35430"/>
    <n v="190680"/>
    <n v="35700"/>
    <n v="89250"/>
    <n v="279930"/>
    <n v="0"/>
    <n v="0"/>
    <n v="1"/>
    <n v="0"/>
    <n v="0"/>
    <n v="0"/>
    <n v="0"/>
    <n v="0"/>
    <n v="0"/>
    <n v="0"/>
    <n v="0"/>
    <n v="0"/>
  </r>
  <r>
    <s v="6ID021"/>
    <s v="Idrott och hälsa 2"/>
    <m/>
    <s v="LYAGY"/>
    <s v="H18"/>
    <s v="ht"/>
    <s v="H211-20"/>
    <s v="Umeå"/>
    <m/>
    <s v="BIOL"/>
    <m/>
    <n v="1"/>
    <n v="30"/>
    <m/>
    <m/>
    <n v="1"/>
    <n v="0.5"/>
    <n v="0.85"/>
    <n v="0.42499999999999999"/>
    <x v="12"/>
    <s v="Pedagogik                     "/>
    <s v="Sam"/>
    <s v="Ämneslärarprogrammet - Gy"/>
    <n v="47928"/>
    <n v="35430"/>
    <n v="39021.75"/>
    <n v="35700"/>
    <n v="17850"/>
    <n v="56871.75"/>
    <n v="0"/>
    <n v="0"/>
    <n v="1"/>
    <n v="0"/>
    <n v="0"/>
    <n v="0"/>
    <n v="0"/>
    <n v="0"/>
    <n v="0"/>
    <n v="0"/>
    <n v="0"/>
    <n v="0"/>
  </r>
  <r>
    <s v="6ID021"/>
    <s v="Idrott och hälsa 2"/>
    <m/>
    <s v="LYAGY"/>
    <s v="H18"/>
    <s v="ht"/>
    <s v="H211-20"/>
    <s v="Umeå"/>
    <m/>
    <s v="ENGS"/>
    <m/>
    <n v="1"/>
    <n v="30"/>
    <m/>
    <m/>
    <n v="1"/>
    <n v="0.5"/>
    <n v="0.85"/>
    <n v="0.42499999999999999"/>
    <x v="12"/>
    <s v="Pedagogik                     "/>
    <s v="Sam"/>
    <s v="Ämneslärarprogrammet - Gy"/>
    <n v="47928"/>
    <n v="35430"/>
    <n v="39021.75"/>
    <n v="35700"/>
    <n v="17850"/>
    <n v="56871.75"/>
    <n v="0"/>
    <n v="0"/>
    <n v="1"/>
    <n v="0"/>
    <n v="0"/>
    <n v="0"/>
    <n v="0"/>
    <n v="0"/>
    <n v="0"/>
    <n v="0"/>
    <n v="0"/>
    <n v="0"/>
  </r>
  <r>
    <s v="6ID021"/>
    <s v="Idrott och hälsa 2"/>
    <m/>
    <s v="LYAGY"/>
    <s v="H18"/>
    <s v="ht"/>
    <s v="H211-20"/>
    <s v="Umeå"/>
    <m/>
    <s v="HIST"/>
    <m/>
    <n v="1"/>
    <n v="30"/>
    <m/>
    <m/>
    <n v="2"/>
    <n v="1"/>
    <n v="0.85"/>
    <n v="0.85"/>
    <x v="12"/>
    <s v="Pedagogik                     "/>
    <s v="Sam"/>
    <s v="Ämneslärarprogrammet - Gy"/>
    <n v="47928"/>
    <n v="35430"/>
    <n v="78043.5"/>
    <n v="35700"/>
    <n v="35700"/>
    <n v="113743.5"/>
    <n v="0"/>
    <n v="0"/>
    <n v="1"/>
    <n v="0"/>
    <n v="0"/>
    <n v="0"/>
    <n v="0"/>
    <n v="0"/>
    <n v="0"/>
    <n v="0"/>
    <n v="0"/>
    <n v="0"/>
  </r>
  <r>
    <s v="6ID021"/>
    <s v="Idrott och hälsa 2"/>
    <m/>
    <s v="LYAGY"/>
    <s v="H18"/>
    <s v="ht"/>
    <s v="H211-20"/>
    <s v="Umeå"/>
    <m/>
    <s v="MATT"/>
    <m/>
    <n v="1"/>
    <n v="30"/>
    <m/>
    <m/>
    <n v="2"/>
    <n v="1"/>
    <n v="0.85"/>
    <n v="0.85"/>
    <x v="12"/>
    <s v="Pedagogik                     "/>
    <s v="Sam"/>
    <s v="Ämneslärarprogrammet - Gy"/>
    <n v="47928"/>
    <n v="35430"/>
    <n v="78043.5"/>
    <n v="35700"/>
    <n v="35700"/>
    <n v="113743.5"/>
    <n v="0"/>
    <n v="0"/>
    <n v="1"/>
    <n v="0"/>
    <n v="0"/>
    <n v="0"/>
    <n v="0"/>
    <n v="0"/>
    <n v="0"/>
    <n v="0"/>
    <n v="0"/>
    <n v="0"/>
  </r>
  <r>
    <s v="6ID021"/>
    <s v="Idrott och hälsa 2"/>
    <m/>
    <s v="LYAGY"/>
    <s v="H18"/>
    <s v="ht"/>
    <s v="H211-20"/>
    <s v="Umeå"/>
    <m/>
    <s v="NATU"/>
    <m/>
    <n v="1"/>
    <n v="30"/>
    <m/>
    <m/>
    <n v="1"/>
    <n v="0.5"/>
    <n v="0.85"/>
    <n v="0.42499999999999999"/>
    <x v="12"/>
    <s v="Pedagogik                     "/>
    <s v="Sam"/>
    <s v="Ämneslärarprogrammet - Gy"/>
    <n v="47928"/>
    <n v="35430"/>
    <n v="39021.75"/>
    <n v="35700"/>
    <n v="17850"/>
    <n v="56871.75"/>
    <n v="0"/>
    <n v="0"/>
    <n v="1"/>
    <n v="0"/>
    <n v="0"/>
    <n v="0"/>
    <n v="0"/>
    <n v="0"/>
    <n v="0"/>
    <n v="0"/>
    <n v="0"/>
    <n v="0"/>
  </r>
  <r>
    <s v="6ID021"/>
    <s v="Idrott och hälsa 2"/>
    <m/>
    <s v="LYAGY"/>
    <s v="H18"/>
    <s v="ht"/>
    <s v="H211-20"/>
    <s v="Umeå"/>
    <m/>
    <s v="SAMK"/>
    <m/>
    <n v="1"/>
    <n v="30"/>
    <m/>
    <m/>
    <n v="3"/>
    <n v="1.5"/>
    <n v="0.85"/>
    <n v="1.2749999999999999"/>
    <x v="12"/>
    <s v="Pedagogik                     "/>
    <s v="Sam"/>
    <s v="Ämneslärarprogrammet - Gy"/>
    <n v="47928"/>
    <n v="35430"/>
    <n v="117065.25"/>
    <n v="35700"/>
    <n v="53550"/>
    <n v="170615.25"/>
    <n v="0"/>
    <n v="0"/>
    <n v="1"/>
    <n v="0"/>
    <n v="0"/>
    <n v="0"/>
    <n v="0"/>
    <n v="0"/>
    <n v="0"/>
    <n v="0"/>
    <n v="0"/>
    <n v="0"/>
  </r>
  <r>
    <s v="6ID021"/>
    <s v="Idrott och hälsa 2"/>
    <m/>
    <s v="LYAGY"/>
    <s v="H20"/>
    <s v="ht"/>
    <s v="H211-20"/>
    <s v="Umeå"/>
    <m/>
    <s v="IDRH"/>
    <m/>
    <n v="1"/>
    <n v="30"/>
    <m/>
    <m/>
    <n v="26"/>
    <n v="13"/>
    <n v="0.85"/>
    <n v="11.049999999999999"/>
    <x v="12"/>
    <s v="Pedagogik                     "/>
    <s v="Sam"/>
    <s v="Ämneslärarprogrammet - Gy"/>
    <n v="47928"/>
    <n v="35430"/>
    <n v="1014565.5"/>
    <n v="35700"/>
    <n v="464100"/>
    <n v="1478665.5"/>
    <n v="0"/>
    <n v="0"/>
    <n v="1"/>
    <n v="0"/>
    <n v="0"/>
    <n v="0"/>
    <n v="0"/>
    <n v="0"/>
    <n v="0"/>
    <n v="0"/>
    <n v="0"/>
    <n v="0"/>
  </r>
  <r>
    <s v="6ID021"/>
    <s v="Idrott och hälsa 2"/>
    <m/>
    <s v="LYAGY"/>
    <s v="H20"/>
    <s v="ht"/>
    <s v="H211-20"/>
    <s v="Umeå"/>
    <m/>
    <s v="SAMK"/>
    <m/>
    <n v="1"/>
    <n v="30"/>
    <m/>
    <m/>
    <n v="1"/>
    <n v="0.5"/>
    <n v="0.85"/>
    <n v="0.42499999999999999"/>
    <x v="12"/>
    <s v="Pedagogik                     "/>
    <s v="Sam"/>
    <s v="Ämneslärarprogrammet - Gy"/>
    <n v="47928"/>
    <n v="35430"/>
    <n v="39021.75"/>
    <n v="35700"/>
    <n v="17850"/>
    <n v="56871.75"/>
    <n v="0"/>
    <n v="0"/>
    <n v="1"/>
    <n v="0"/>
    <n v="0"/>
    <n v="0"/>
    <n v="0"/>
    <n v="0"/>
    <n v="0"/>
    <n v="0"/>
    <n v="0"/>
    <n v="0"/>
  </r>
  <r>
    <s v="6ID022"/>
    <s v="Elitidrott och tränarskap i ett samhällsperspektiv"/>
    <m/>
    <s v="FRIST"/>
    <m/>
    <s v="ht"/>
    <m/>
    <m/>
    <s v="Campus"/>
    <m/>
    <m/>
    <n v="1"/>
    <n v="7.5"/>
    <m/>
    <m/>
    <n v="5"/>
    <n v="0.625"/>
    <n v="0.8"/>
    <n v="0.5"/>
    <x v="12"/>
    <s v="Pedagogik                     "/>
    <s v="Sam"/>
    <s v="Fristående och övriga kurser"/>
    <n v="20766"/>
    <n v="17442"/>
    <n v="21699.75"/>
    <n v="6000"/>
    <n v="3750"/>
    <n v="25449.75"/>
    <n v="0"/>
    <n v="0"/>
    <n v="0"/>
    <n v="0"/>
    <n v="0"/>
    <n v="0"/>
    <n v="1"/>
    <n v="0"/>
    <n v="0"/>
    <n v="0"/>
    <n v="0"/>
    <n v="0"/>
  </r>
  <r>
    <s v="6IT023"/>
    <s v="Matematikundervisning med IT"/>
    <m/>
    <s v="FRIST"/>
    <m/>
    <s v="ht"/>
    <m/>
    <m/>
    <s v="Distans"/>
    <m/>
    <m/>
    <n v="0.25"/>
    <n v="7.5"/>
    <m/>
    <m/>
    <n v="30"/>
    <n v="3.75"/>
    <n v="0.8"/>
    <n v="3"/>
    <x v="13"/>
    <s v="TUV "/>
    <s v="Sam"/>
    <s v="Fristående och övriga kurser"/>
    <n v="20766"/>
    <n v="17442"/>
    <n v="130198.5"/>
    <n v="6000"/>
    <n v="22500"/>
    <n v="152698.5"/>
    <n v="0"/>
    <n v="0"/>
    <n v="0"/>
    <n v="0"/>
    <n v="0"/>
    <n v="0"/>
    <n v="1"/>
    <n v="0"/>
    <n v="0"/>
    <n v="0"/>
    <n v="0"/>
    <n v="0"/>
  </r>
  <r>
    <s v="6IT047"/>
    <s v="Design av digital didaktik"/>
    <m/>
    <s v="FRIST"/>
    <m/>
    <s v="ht"/>
    <m/>
    <m/>
    <s v="Distans"/>
    <m/>
    <m/>
    <n v="0.25"/>
    <n v="7.5"/>
    <m/>
    <m/>
    <n v="30"/>
    <n v="3.75"/>
    <n v="0.8"/>
    <n v="3"/>
    <x v="13"/>
    <s v="TUV "/>
    <s v="Sam"/>
    <s v="Fristående och övriga kurser"/>
    <n v="20766"/>
    <n v="17442"/>
    <n v="130198.5"/>
    <n v="6000"/>
    <n v="22500"/>
    <n v="152698.5"/>
    <n v="0"/>
    <n v="0"/>
    <n v="0"/>
    <n v="0"/>
    <n v="0"/>
    <n v="0"/>
    <n v="1"/>
    <n v="0"/>
    <n v="0"/>
    <n v="0"/>
    <n v="0"/>
    <n v="0"/>
  </r>
  <r>
    <s v="6IT048"/>
    <s v="Digital kompetens och lärande I"/>
    <m/>
    <s v="FRIST"/>
    <m/>
    <s v="sommar"/>
    <m/>
    <m/>
    <m/>
    <m/>
    <m/>
    <n v="0.5"/>
    <n v="7.5"/>
    <m/>
    <m/>
    <n v="78"/>
    <n v="9.75"/>
    <n v="0.8"/>
    <n v="7.8000000000000007"/>
    <x v="13"/>
    <s v="TUV "/>
    <s v="Sam"/>
    <s v="Fristående och övriga kurser"/>
    <n v="20766"/>
    <n v="17442"/>
    <n v="338516.1"/>
    <n v="6000"/>
    <n v="58500"/>
    <n v="397016.1"/>
    <n v="0"/>
    <n v="0"/>
    <n v="0"/>
    <n v="0"/>
    <n v="0"/>
    <n v="0"/>
    <n v="1"/>
    <n v="0"/>
    <n v="0"/>
    <n v="0"/>
    <n v="0"/>
    <n v="0"/>
  </r>
  <r>
    <s v="6KG003"/>
    <s v="Ekonomisk och soial geografi"/>
    <n v="72908"/>
    <s v="LYAGY"/>
    <m/>
    <s v="vt"/>
    <m/>
    <s v="Umeå"/>
    <s v="Normal"/>
    <s v="GEOG"/>
    <m/>
    <m/>
    <n v="15"/>
    <m/>
    <m/>
    <n v="4"/>
    <n v="1"/>
    <n v="0.85"/>
    <n v="0.85"/>
    <x v="14"/>
    <s v="Geografi"/>
    <s v="Sam"/>
    <s v="Ämneslärarprogrammet - Gy"/>
    <n v="20763.75"/>
    <n v="22102"/>
    <n v="39550.449999999997"/>
    <n v="10150"/>
    <n v="10150"/>
    <n v="49700.45"/>
    <n v="0"/>
    <n v="0"/>
    <n v="0"/>
    <n v="0"/>
    <n v="0"/>
    <n v="0.25"/>
    <n v="0.75"/>
    <n v="0"/>
    <n v="0"/>
    <n v="0"/>
    <n v="0"/>
    <n v="0"/>
  </r>
  <r>
    <s v="6KG003"/>
    <s v="Ekonomisk och soial geografi"/>
    <n v="72908"/>
    <s v="LYAGY"/>
    <m/>
    <s v="vt"/>
    <m/>
    <s v="Umeå"/>
    <s v="Normal"/>
    <s v="IDRH"/>
    <m/>
    <m/>
    <n v="15"/>
    <m/>
    <m/>
    <n v="1"/>
    <n v="0.25"/>
    <n v="0.85"/>
    <n v="0.21249999999999999"/>
    <x v="14"/>
    <s v="Geografi"/>
    <s v="Sam"/>
    <s v="Ämneslärarprogrammet - Gy"/>
    <n v="20763.75"/>
    <n v="22102"/>
    <n v="9887.6124999999993"/>
    <n v="10150"/>
    <n v="2537.5"/>
    <n v="12425.112499999999"/>
    <n v="0"/>
    <n v="0"/>
    <n v="0"/>
    <n v="0"/>
    <n v="0"/>
    <n v="0.25"/>
    <n v="0.75"/>
    <n v="0"/>
    <n v="0"/>
    <n v="0"/>
    <n v="0"/>
    <n v="0"/>
  </r>
  <r>
    <s v="6KG005"/>
    <s v="Befolkningsgeografi"/>
    <n v="72903"/>
    <s v="LYAGY"/>
    <m/>
    <s v="vt"/>
    <m/>
    <s v="Umeå"/>
    <s v="Normal"/>
    <s v="GEOG"/>
    <m/>
    <m/>
    <n v="15"/>
    <m/>
    <m/>
    <n v="4"/>
    <n v="1"/>
    <n v="0.85"/>
    <n v="0.85"/>
    <x v="14"/>
    <s v="Geografi"/>
    <s v="Sam"/>
    <s v="Ämneslärarprogrammet - Gy"/>
    <n v="20763.75"/>
    <n v="22102"/>
    <n v="39550.449999999997"/>
    <n v="10150"/>
    <n v="10150"/>
    <n v="49700.45"/>
    <n v="0"/>
    <n v="0"/>
    <n v="0"/>
    <n v="0"/>
    <n v="0"/>
    <n v="0.25"/>
    <n v="0.75"/>
    <n v="0"/>
    <n v="0"/>
    <n v="0"/>
    <n v="0"/>
    <n v="0"/>
  </r>
  <r>
    <s v="6KG005"/>
    <s v="Befolkningsgeografi"/>
    <n v="72903"/>
    <s v="LYAGY"/>
    <m/>
    <s v="vt"/>
    <m/>
    <s v="Umeå"/>
    <s v="Normal"/>
    <s v="IDRH"/>
    <m/>
    <m/>
    <n v="15"/>
    <m/>
    <m/>
    <n v="1"/>
    <n v="0.25"/>
    <n v="0.85"/>
    <n v="0.21249999999999999"/>
    <x v="14"/>
    <s v="Geografi"/>
    <s v="Sam"/>
    <s v="Ämneslärarprogrammet - Gy"/>
    <n v="20763.75"/>
    <n v="22102"/>
    <n v="9887.6124999999993"/>
    <n v="10150"/>
    <n v="2537.5"/>
    <n v="12425.112499999999"/>
    <n v="0"/>
    <n v="0"/>
    <n v="0"/>
    <n v="0"/>
    <n v="0"/>
    <n v="0.25"/>
    <n v="0.75"/>
    <n v="0"/>
    <n v="0"/>
    <n v="0"/>
    <n v="0"/>
    <n v="0"/>
  </r>
  <r>
    <s v="6KG006"/>
    <s v="Kartor och GIS"/>
    <m/>
    <s v="LYAGY"/>
    <s v="H18"/>
    <s v="ht"/>
    <s v="H211-5"/>
    <s v="Umeå"/>
    <m/>
    <s v="IDRH"/>
    <m/>
    <n v="1"/>
    <n v="7.5"/>
    <m/>
    <m/>
    <n v="1"/>
    <n v="0.125"/>
    <n v="0.85"/>
    <n v="0.10625"/>
    <x v="14"/>
    <s v="Geografi"/>
    <s v="Sam"/>
    <s v="Ämneslärarprogrammet - Gy"/>
    <n v="20761.5"/>
    <n v="26762"/>
    <n v="5438.65"/>
    <n v="14300"/>
    <n v="1787.5"/>
    <n v="7226.15"/>
    <n v="0"/>
    <n v="0"/>
    <n v="0"/>
    <n v="0"/>
    <n v="0"/>
    <n v="0.5"/>
    <n v="0.5"/>
    <n v="0"/>
    <n v="0"/>
    <n v="0"/>
    <n v="0"/>
    <n v="0"/>
  </r>
  <r>
    <s v="6KG006"/>
    <s v="Kartor och GIS"/>
    <m/>
    <s v="LYAGY"/>
    <s v="H20"/>
    <s v="ht"/>
    <s v="H211-5"/>
    <s v="Umeå"/>
    <m/>
    <s v="GEOG"/>
    <m/>
    <n v="1"/>
    <n v="7.5"/>
    <m/>
    <m/>
    <n v="3"/>
    <n v="0.375"/>
    <n v="0.85"/>
    <n v="0.31874999999999998"/>
    <x v="14"/>
    <s v="Geografi"/>
    <s v="Sam"/>
    <s v="Ämneslärarprogrammet - Gy"/>
    <n v="20761.5"/>
    <n v="26762"/>
    <n v="16315.949999999999"/>
    <n v="14300"/>
    <n v="5362.5"/>
    <n v="21678.449999999997"/>
    <n v="0"/>
    <n v="0"/>
    <n v="0"/>
    <n v="0"/>
    <n v="0"/>
    <n v="0.5"/>
    <n v="0.5"/>
    <n v="0"/>
    <n v="0"/>
    <n v="0"/>
    <n v="0"/>
    <n v="0"/>
  </r>
  <r>
    <s v="6KG007"/>
    <s v="Geografididaktik 1"/>
    <m/>
    <s v="LYAGY"/>
    <s v="H18"/>
    <s v="ht"/>
    <s v="H2116-20"/>
    <s v="Umeå"/>
    <m/>
    <s v="IDRH"/>
    <m/>
    <n v="1"/>
    <n v="7.5"/>
    <m/>
    <m/>
    <n v="1"/>
    <n v="0.125"/>
    <n v="0.85"/>
    <n v="0.10625"/>
    <x v="14"/>
    <s v="Geografi"/>
    <s v="Sam"/>
    <s v="Ämneslärarprogrammet - Gy"/>
    <n v="20766"/>
    <n v="17442"/>
    <n v="4448.9624999999996"/>
    <n v="6000"/>
    <n v="750"/>
    <n v="5198.9624999999996"/>
    <n v="0"/>
    <n v="0"/>
    <n v="0"/>
    <n v="0"/>
    <n v="0"/>
    <n v="0"/>
    <n v="1"/>
    <n v="0"/>
    <n v="0"/>
    <n v="0"/>
    <n v="0"/>
    <n v="0"/>
  </r>
  <r>
    <s v="6KG007"/>
    <s v="Geografididaktik 1"/>
    <m/>
    <s v="LYAGY"/>
    <s v="H20"/>
    <s v="ht"/>
    <s v="H2116-20"/>
    <s v="Umeå"/>
    <m/>
    <s v="GEOG"/>
    <m/>
    <n v="1"/>
    <n v="7.5"/>
    <m/>
    <m/>
    <n v="3"/>
    <n v="0.375"/>
    <n v="0.85"/>
    <n v="0.31874999999999998"/>
    <x v="14"/>
    <s v="Geografi"/>
    <s v="Sam"/>
    <s v="Ämneslärarprogrammet - Gy"/>
    <n v="20766"/>
    <n v="17442"/>
    <n v="13346.887500000001"/>
    <n v="6000"/>
    <n v="2250"/>
    <n v="15596.887500000001"/>
    <n v="0"/>
    <n v="0"/>
    <n v="0"/>
    <n v="0"/>
    <n v="0"/>
    <n v="0"/>
    <n v="1"/>
    <n v="0"/>
    <n v="0"/>
    <n v="0"/>
    <n v="0"/>
    <n v="0"/>
  </r>
  <r>
    <s v="6KG008"/>
    <s v="Geografididaktik 2"/>
    <n v="72907"/>
    <s v="LYAGY"/>
    <m/>
    <s v="vt"/>
    <m/>
    <s v="Umeå"/>
    <s v="Normal"/>
    <s v="ENGS"/>
    <m/>
    <m/>
    <n v="7.5"/>
    <m/>
    <m/>
    <n v="1"/>
    <n v="0.125"/>
    <n v="0.85"/>
    <n v="0.10625"/>
    <x v="14"/>
    <s v="Geografi"/>
    <s v="Sam"/>
    <s v="Ämneslärarprogrammet - Gy"/>
    <n v="20766"/>
    <n v="17442"/>
    <n v="4448.9624999999996"/>
    <n v="6000"/>
    <n v="750"/>
    <n v="5198.9624999999996"/>
    <n v="0"/>
    <n v="0"/>
    <n v="0"/>
    <n v="0"/>
    <n v="0"/>
    <n v="0"/>
    <n v="1"/>
    <n v="0"/>
    <n v="0"/>
    <n v="0"/>
    <n v="0"/>
    <n v="0"/>
  </r>
  <r>
    <s v="6KG008"/>
    <s v="Geografididaktik 2"/>
    <n v="72907"/>
    <s v="LYAGY"/>
    <m/>
    <s v="vt"/>
    <m/>
    <s v="Umeå"/>
    <s v="Normal"/>
    <s v="GEOG"/>
    <m/>
    <m/>
    <n v="7.5"/>
    <m/>
    <m/>
    <n v="3"/>
    <n v="0.375"/>
    <n v="0.85"/>
    <n v="0.31874999999999998"/>
    <x v="14"/>
    <s v="Geografi"/>
    <s v="Sam"/>
    <s v="Ämneslärarprogrammet - Gy"/>
    <n v="20766"/>
    <n v="17442"/>
    <n v="13346.887500000001"/>
    <n v="6000"/>
    <n v="2250"/>
    <n v="15596.887500000001"/>
    <n v="0"/>
    <n v="0"/>
    <n v="0"/>
    <n v="0"/>
    <n v="0"/>
    <n v="0"/>
    <n v="1"/>
    <n v="0"/>
    <n v="0"/>
    <n v="0"/>
    <n v="0"/>
    <n v="0"/>
  </r>
  <r>
    <s v="6KG008"/>
    <s v="Geografididaktik 2"/>
    <n v="72907"/>
    <s v="LYAGY"/>
    <m/>
    <s v="vt"/>
    <m/>
    <s v="Umeå"/>
    <s v="Normal"/>
    <s v="HIST"/>
    <m/>
    <m/>
    <n v="7.5"/>
    <m/>
    <m/>
    <n v="2"/>
    <n v="0.25"/>
    <n v="0.85"/>
    <n v="0.21249999999999999"/>
    <x v="14"/>
    <s v="Geografi"/>
    <s v="Sam"/>
    <s v="Ämneslärarprogrammet - Gy"/>
    <n v="20766"/>
    <n v="17442"/>
    <n v="8897.9249999999993"/>
    <n v="6000"/>
    <n v="1500"/>
    <n v="10397.924999999999"/>
    <n v="0"/>
    <n v="0"/>
    <n v="0"/>
    <n v="0"/>
    <n v="0"/>
    <n v="0"/>
    <n v="1"/>
    <n v="0"/>
    <n v="0"/>
    <n v="0"/>
    <n v="0"/>
    <n v="0"/>
  </r>
  <r>
    <s v="6KG009"/>
    <s v="Att undervisa i geografi (VFU)"/>
    <m/>
    <s v="LYAGY"/>
    <s v="H19"/>
    <s v="ht"/>
    <s v="H2113-16"/>
    <s v="Umeå"/>
    <m/>
    <s v="ENGS"/>
    <m/>
    <n v="1"/>
    <n v="6"/>
    <m/>
    <m/>
    <n v="1"/>
    <n v="0.1"/>
    <n v="0.85"/>
    <n v="8.5000000000000006E-2"/>
    <x v="14"/>
    <s v="Geografi"/>
    <s v="Sam"/>
    <s v="Ämneslärarprogrammet - Gy"/>
    <n v="25235"/>
    <n v="27976"/>
    <n v="4901.46"/>
    <n v="3600"/>
    <n v="360"/>
    <n v="5261.46"/>
    <n v="0"/>
    <n v="0"/>
    <n v="0"/>
    <n v="0"/>
    <n v="0"/>
    <n v="0"/>
    <n v="0"/>
    <n v="0"/>
    <n v="1"/>
    <n v="0"/>
    <n v="0"/>
    <n v="0"/>
  </r>
  <r>
    <s v="6KG009"/>
    <s v="Att undervisa i geografi (VFU)"/>
    <m/>
    <s v="LYAGY"/>
    <s v="H19"/>
    <s v="ht"/>
    <s v="H2113-16"/>
    <s v="Umeå"/>
    <m/>
    <s v="GEOG"/>
    <m/>
    <n v="1"/>
    <n v="6"/>
    <m/>
    <m/>
    <n v="2"/>
    <n v="0.2"/>
    <n v="0.85"/>
    <n v="0.17"/>
    <x v="14"/>
    <s v="Geografi"/>
    <s v="Sam"/>
    <s v="Ämneslärarprogrammet - Gy"/>
    <n v="25235"/>
    <n v="27976"/>
    <n v="9802.92"/>
    <n v="3600"/>
    <n v="720"/>
    <n v="10522.92"/>
    <n v="0"/>
    <n v="0"/>
    <n v="0"/>
    <n v="0"/>
    <n v="0"/>
    <n v="0"/>
    <n v="0"/>
    <n v="0"/>
    <n v="1"/>
    <n v="0"/>
    <n v="0"/>
    <n v="0"/>
  </r>
  <r>
    <s v="6KG010"/>
    <s v="Geografi - landskap och hållbar utveckling"/>
    <n v="72900"/>
    <s v="LYAGY"/>
    <m/>
    <s v="vt"/>
    <m/>
    <s v="Umeå"/>
    <s v="Normal"/>
    <s v="ENGS"/>
    <m/>
    <m/>
    <n v="7.5"/>
    <m/>
    <m/>
    <n v="1"/>
    <n v="0.125"/>
    <n v="0.85"/>
    <n v="0.10625"/>
    <x v="14"/>
    <s v="Geografi"/>
    <s v="Sam"/>
    <s v="Ämneslärarprogrammet - Gy"/>
    <n v="20766"/>
    <n v="17442"/>
    <n v="4448.9624999999996"/>
    <n v="6000"/>
    <n v="750"/>
    <n v="5198.9624999999996"/>
    <n v="0"/>
    <n v="0"/>
    <n v="0"/>
    <n v="0"/>
    <n v="0"/>
    <n v="0"/>
    <n v="1"/>
    <n v="0"/>
    <n v="0"/>
    <n v="0"/>
    <n v="0"/>
    <n v="0"/>
  </r>
  <r>
    <s v="6KG010"/>
    <s v="Geografi - landskap och hållbar utveckling"/>
    <n v="72900"/>
    <s v="LYAGY"/>
    <m/>
    <s v="vt"/>
    <m/>
    <s v="Umeå"/>
    <s v="Normal"/>
    <s v="GEOG"/>
    <m/>
    <m/>
    <n v="7.5"/>
    <m/>
    <m/>
    <n v="3"/>
    <n v="0.375"/>
    <n v="0.85"/>
    <n v="0.31874999999999998"/>
    <x v="14"/>
    <s v="Geografi"/>
    <s v="Sam"/>
    <s v="Ämneslärarprogrammet - Gy"/>
    <n v="20766"/>
    <n v="17442"/>
    <n v="13346.887500000001"/>
    <n v="6000"/>
    <n v="2250"/>
    <n v="15596.887500000001"/>
    <n v="0"/>
    <n v="0"/>
    <n v="0"/>
    <n v="0"/>
    <n v="0"/>
    <n v="0"/>
    <n v="1"/>
    <n v="0"/>
    <n v="0"/>
    <n v="0"/>
    <n v="0"/>
    <n v="0"/>
  </r>
  <r>
    <s v="6KG010"/>
    <s v="Geografi - landskap och hållbar utveckling"/>
    <n v="72900"/>
    <s v="LYAGY"/>
    <m/>
    <s v="vt"/>
    <m/>
    <s v="Umeå"/>
    <s v="Normal"/>
    <s v="HIST"/>
    <m/>
    <m/>
    <n v="7.5"/>
    <m/>
    <m/>
    <n v="2"/>
    <n v="0.25"/>
    <n v="0.85"/>
    <n v="0.21249999999999999"/>
    <x v="14"/>
    <s v="Geografi"/>
    <s v="Sam"/>
    <s v="Ämneslärarprogrammet - Gy"/>
    <n v="20766"/>
    <n v="17442"/>
    <n v="8897.9249999999993"/>
    <n v="6000"/>
    <n v="1500"/>
    <n v="10397.924999999999"/>
    <n v="0"/>
    <n v="0"/>
    <n v="0"/>
    <n v="0"/>
    <n v="0"/>
    <n v="0"/>
    <n v="1"/>
    <n v="0"/>
    <n v="0"/>
    <n v="0"/>
    <n v="0"/>
    <n v="0"/>
  </r>
  <r>
    <s v="6KN023"/>
    <s v="Hem- och konsumentkunskap, distans A"/>
    <n v="72800"/>
    <s v="FRIST"/>
    <m/>
    <s v="vt"/>
    <m/>
    <s v="Umeå"/>
    <s v="Distans"/>
    <m/>
    <m/>
    <m/>
    <n v="30"/>
    <m/>
    <m/>
    <n v="38"/>
    <n v="19"/>
    <n v="0.8"/>
    <n v="15.200000000000001"/>
    <x v="15"/>
    <s v="Inst för kost- och måltidsvetenskap"/>
    <s v="Sam"/>
    <s v="Fristående och övriga kurser"/>
    <n v="20757"/>
    <n v="36082"/>
    <n v="942829.4"/>
    <n v="22600"/>
    <n v="429400"/>
    <n v="1372229.4"/>
    <n v="0"/>
    <n v="0"/>
    <n v="0"/>
    <n v="0"/>
    <n v="0"/>
    <n v="1"/>
    <n v="0"/>
    <n v="0"/>
    <n v="0"/>
    <n v="0"/>
    <n v="0"/>
    <n v="0"/>
  </r>
  <r>
    <s v="6KN023"/>
    <s v="Hem- och konsumentkunskap, distans A"/>
    <n v="72816"/>
    <s v="FRIST"/>
    <m/>
    <s v="vt"/>
    <m/>
    <s v="Umeå"/>
    <s v="Distans"/>
    <m/>
    <m/>
    <m/>
    <n v="15"/>
    <m/>
    <m/>
    <n v="17"/>
    <n v="4.25"/>
    <n v="0.8"/>
    <n v="3.4000000000000004"/>
    <x v="15"/>
    <s v="Inst för kost- och måltidsvetenskap"/>
    <s v="Sam"/>
    <s v="Fristående och övriga kurser"/>
    <n v="20757"/>
    <n v="36082"/>
    <n v="210896.05000000002"/>
    <n v="22600"/>
    <n v="96050"/>
    <n v="306946.05000000005"/>
    <n v="0"/>
    <n v="0"/>
    <n v="0"/>
    <n v="0"/>
    <n v="0"/>
    <n v="1"/>
    <n v="0"/>
    <n v="0"/>
    <n v="0"/>
    <n v="0"/>
    <n v="0"/>
    <n v="0"/>
  </r>
  <r>
    <s v="6KN023"/>
    <s v="Hem- och konsumentkunskap, distans A"/>
    <m/>
    <s v="FRIST"/>
    <m/>
    <s v="ht"/>
    <m/>
    <m/>
    <s v="Distans"/>
    <m/>
    <m/>
    <n v="0.5"/>
    <n v="15"/>
    <m/>
    <m/>
    <n v="20"/>
    <n v="5"/>
    <n v="0.8"/>
    <n v="4"/>
    <x v="15"/>
    <s v="Inst för kost- och måltidsvetenskap"/>
    <s v="Sam"/>
    <s v="Fristående och övriga kurser"/>
    <n v="20757"/>
    <n v="36082"/>
    <n v="248113"/>
    <n v="22600"/>
    <n v="113000"/>
    <n v="361113"/>
    <n v="0"/>
    <n v="0"/>
    <n v="0"/>
    <n v="0"/>
    <n v="0"/>
    <n v="1"/>
    <n v="0"/>
    <n v="0"/>
    <n v="0"/>
    <n v="0"/>
    <n v="0"/>
    <n v="0"/>
  </r>
  <r>
    <s v="6KN024"/>
    <s v="Mat och måltider för barn och ungdomar"/>
    <m/>
    <s v="FRIST"/>
    <m/>
    <s v="ht"/>
    <m/>
    <m/>
    <s v="Distans"/>
    <m/>
    <m/>
    <n v="0.25"/>
    <n v="7.5"/>
    <m/>
    <m/>
    <n v="40"/>
    <n v="5"/>
    <n v="0.8"/>
    <n v="4"/>
    <x v="15"/>
    <s v="Inst för kost- och måltidsvetenskap"/>
    <s v="Sam"/>
    <s v="Fristående och övriga kurser"/>
    <n v="20766"/>
    <n v="17442"/>
    <n v="173598"/>
    <n v="6000"/>
    <n v="30000"/>
    <n v="203598"/>
    <n v="0"/>
    <n v="0"/>
    <n v="0"/>
    <n v="0"/>
    <n v="0"/>
    <n v="0"/>
    <n v="1"/>
    <n v="0"/>
    <n v="0"/>
    <n v="0"/>
    <n v="0"/>
    <n v="0"/>
  </r>
  <r>
    <s v="6KN025"/>
    <s v="Hem- och konsumentkunskap B, distans"/>
    <m/>
    <s v="FRIST"/>
    <m/>
    <s v="ht"/>
    <m/>
    <m/>
    <s v="Distans"/>
    <m/>
    <m/>
    <n v="1"/>
    <n v="30"/>
    <m/>
    <m/>
    <n v="35"/>
    <n v="17.5"/>
    <n v="0.8"/>
    <n v="14"/>
    <x v="15"/>
    <s v="Inst för kost- och måltidsvetenskap"/>
    <s v="Sam"/>
    <s v="Fristående och övriga kurser"/>
    <n v="20757"/>
    <n v="36082"/>
    <n v="868395.5"/>
    <n v="22600"/>
    <n v="395500"/>
    <n v="1263895.5"/>
    <n v="0"/>
    <n v="0"/>
    <n v="0"/>
    <n v="0"/>
    <n v="0"/>
    <n v="1"/>
    <n v="0"/>
    <n v="0"/>
    <n v="0"/>
    <n v="0"/>
    <n v="0"/>
    <n v="0"/>
  </r>
  <r>
    <s v="6KN026"/>
    <s v="Hem- och konsumentkunskap B15, distans"/>
    <m/>
    <s v="FRIST"/>
    <m/>
    <s v="ht"/>
    <m/>
    <m/>
    <s v="Distans"/>
    <m/>
    <m/>
    <n v="1"/>
    <n v="15"/>
    <m/>
    <m/>
    <n v="15"/>
    <n v="3.75"/>
    <n v="0.8"/>
    <n v="3"/>
    <x v="15"/>
    <s v="Inst för kost- och måltidsvetenskap"/>
    <s v="Sam"/>
    <s v="Fristående och övriga kurser"/>
    <n v="20757"/>
    <n v="36082"/>
    <n v="186084.75"/>
    <n v="22600"/>
    <n v="84750"/>
    <n v="270834.75"/>
    <n v="0"/>
    <n v="0"/>
    <n v="0"/>
    <n v="0"/>
    <n v="0"/>
    <n v="1"/>
    <n v="0"/>
    <n v="0"/>
    <n v="0"/>
    <n v="0"/>
    <n v="0"/>
    <n v="0"/>
  </r>
  <r>
    <s v="6KN028"/>
    <s v="Vetenskaplig metod med inriktning hem- och konsumentkunskap"/>
    <n v="72803"/>
    <s v="FRIST"/>
    <m/>
    <s v="vt"/>
    <m/>
    <s v="Umeå"/>
    <s v="Distans"/>
    <m/>
    <m/>
    <m/>
    <n v="7.5"/>
    <m/>
    <m/>
    <n v="17"/>
    <n v="2.125"/>
    <n v="0.8"/>
    <n v="1.7000000000000002"/>
    <x v="15"/>
    <s v="Inst för kost- och måltidsvetenskap"/>
    <s v="Sam"/>
    <s v="Fristående och övriga kurser"/>
    <n v="20766"/>
    <n v="17442"/>
    <n v="73779.149999999994"/>
    <n v="6000"/>
    <n v="12750"/>
    <n v="86529.15"/>
    <n v="0"/>
    <n v="0"/>
    <n v="0"/>
    <n v="0"/>
    <n v="0"/>
    <n v="0"/>
    <n v="1"/>
    <n v="0"/>
    <n v="0"/>
    <n v="0"/>
    <n v="0"/>
    <n v="0"/>
  </r>
  <r>
    <s v="6KN029"/>
    <s v="Uppsats med inriktning hem- och konsumentkunskap"/>
    <n v="72805"/>
    <s v="FRIST"/>
    <m/>
    <s v="vt"/>
    <m/>
    <s v="Ospecificerad ort"/>
    <s v="Distans"/>
    <m/>
    <m/>
    <m/>
    <n v="15"/>
    <m/>
    <m/>
    <n v="15"/>
    <n v="3.75"/>
    <n v="0.8"/>
    <n v="3"/>
    <x v="15"/>
    <s v="Inst för kost- och måltidsvetenskap"/>
    <s v="Sam"/>
    <s v="Fristående och övriga kurser"/>
    <n v="20766"/>
    <n v="17442"/>
    <n v="130198.5"/>
    <n v="6000"/>
    <n v="22500"/>
    <n v="152698.5"/>
    <n v="0"/>
    <n v="0"/>
    <n v="0"/>
    <n v="0"/>
    <n v="0"/>
    <n v="0"/>
    <n v="1"/>
    <n v="0"/>
    <n v="0"/>
    <n v="0"/>
    <n v="0"/>
    <n v="0"/>
  </r>
  <r>
    <s v="6KN033"/>
    <s v="Hälsokommunikation och sociologiska perspektiv inom hem- och konsumentkunskap"/>
    <n v="72806"/>
    <s v="FRIST"/>
    <m/>
    <s v="vt"/>
    <m/>
    <s v="Ortsoberoende"/>
    <s v="Distans"/>
    <m/>
    <m/>
    <m/>
    <n v="7.5"/>
    <m/>
    <m/>
    <n v="18"/>
    <n v="2.25"/>
    <n v="0.8"/>
    <n v="1.8"/>
    <x v="15"/>
    <s v="Inst för kost- och måltidsvetenskap"/>
    <s v="Sam"/>
    <s v="Fristående och övriga kurser"/>
    <n v="20766"/>
    <n v="17442"/>
    <n v="78119.100000000006"/>
    <n v="6000"/>
    <n v="13500"/>
    <n v="91619.1"/>
    <n v="0"/>
    <n v="0"/>
    <n v="0"/>
    <n v="0"/>
    <n v="0"/>
    <n v="0"/>
    <n v="1"/>
    <n v="0"/>
    <n v="0"/>
    <n v="0"/>
    <n v="0"/>
    <n v="0"/>
  </r>
  <r>
    <s v="6KP000"/>
    <s v="Undervisning och lärande (UVK)"/>
    <m/>
    <s v="LYKPU"/>
    <s v="H15"/>
    <s v="ht"/>
    <s v="H211-20"/>
    <s v="Umeå"/>
    <s v="Campus"/>
    <m/>
    <m/>
    <n v="1"/>
    <n v="15"/>
    <m/>
    <m/>
    <n v="2"/>
    <n v="0.5"/>
    <n v="0.85"/>
    <n v="0.42499999999999999"/>
    <x v="12"/>
    <s v="Pedagogik                     "/>
    <s v="Sam"/>
    <s v="KPU - åk 7-9 och Gy"/>
    <n v="26554"/>
    <n v="33465"/>
    <n v="27499.625"/>
    <n v="6000"/>
    <n v="3000"/>
    <n v="30499.625"/>
    <n v="0"/>
    <n v="0"/>
    <n v="0"/>
    <n v="1"/>
    <n v="0"/>
    <n v="0"/>
    <n v="0"/>
    <n v="0"/>
    <n v="0"/>
    <n v="0"/>
    <n v="0"/>
    <n v="0"/>
  </r>
  <r>
    <s v="6KP000"/>
    <s v="Undervisning och lärande (UVK)"/>
    <m/>
    <s v="LYKPU"/>
    <s v="H17"/>
    <s v="ht"/>
    <s v="H211-20"/>
    <s v="Umeå"/>
    <s v="Campus"/>
    <m/>
    <m/>
    <n v="1"/>
    <n v="15"/>
    <m/>
    <m/>
    <n v="1"/>
    <n v="0.25"/>
    <n v="0.85"/>
    <n v="0.21249999999999999"/>
    <x v="12"/>
    <s v="Pedagogik                     "/>
    <s v="Sam"/>
    <s v="KPU - åk 7-9 och Gy"/>
    <n v="26554"/>
    <n v="33465"/>
    <n v="13749.8125"/>
    <n v="6000"/>
    <n v="1500"/>
    <n v="15249.8125"/>
    <n v="0"/>
    <n v="0"/>
    <n v="0"/>
    <n v="1"/>
    <n v="0"/>
    <n v="0"/>
    <n v="0"/>
    <n v="0"/>
    <n v="0"/>
    <n v="0"/>
    <n v="0"/>
    <n v="0"/>
  </r>
  <r>
    <s v="6KP000"/>
    <s v="Undervisning och lärande (UVK)"/>
    <m/>
    <s v="LYKPU"/>
    <s v="H18"/>
    <s v="ht"/>
    <s v="H211-20"/>
    <s v="Umeå"/>
    <s v="Campus"/>
    <m/>
    <m/>
    <n v="1"/>
    <n v="15"/>
    <m/>
    <m/>
    <n v="2"/>
    <n v="0.5"/>
    <n v="0.85"/>
    <n v="0.42499999999999999"/>
    <x v="12"/>
    <s v="Pedagogik                     "/>
    <s v="Sam"/>
    <s v="KPU - åk 7-9 och Gy"/>
    <n v="26554"/>
    <n v="33465"/>
    <n v="27499.625"/>
    <n v="6000"/>
    <n v="3000"/>
    <n v="30499.625"/>
    <n v="0"/>
    <n v="0"/>
    <n v="0"/>
    <n v="1"/>
    <n v="0"/>
    <n v="0"/>
    <n v="0"/>
    <n v="0"/>
    <n v="0"/>
    <n v="0"/>
    <n v="0"/>
    <n v="0"/>
  </r>
  <r>
    <s v="6KP000"/>
    <s v="Undervisning och lärande (UVK)"/>
    <m/>
    <s v="LYKPU"/>
    <s v="H19"/>
    <s v="ht"/>
    <s v="H211-20"/>
    <s v="Umeå"/>
    <s v="Campus"/>
    <m/>
    <m/>
    <n v="1"/>
    <n v="15"/>
    <m/>
    <m/>
    <n v="1"/>
    <n v="0.25"/>
    <n v="0.85"/>
    <n v="0.21249999999999999"/>
    <x v="12"/>
    <s v="Pedagogik                     "/>
    <s v="Sam"/>
    <s v="KPU - åk 7-9 och Gy"/>
    <n v="26554"/>
    <n v="33465"/>
    <n v="13749.8125"/>
    <n v="6000"/>
    <n v="1500"/>
    <n v="15249.8125"/>
    <n v="0"/>
    <n v="0"/>
    <n v="0"/>
    <n v="1"/>
    <n v="0"/>
    <n v="0"/>
    <n v="0"/>
    <n v="0"/>
    <n v="0"/>
    <n v="0"/>
    <n v="0"/>
    <n v="0"/>
  </r>
  <r>
    <s v="6KP000"/>
    <s v="Undervisning och lärande (UVK)"/>
    <m/>
    <s v="LYKPU"/>
    <s v="H20"/>
    <s v="ht"/>
    <s v="H211-20"/>
    <s v="Umeå"/>
    <s v="Campus"/>
    <m/>
    <m/>
    <n v="1"/>
    <n v="15"/>
    <m/>
    <m/>
    <n v="1"/>
    <n v="0.25"/>
    <n v="0.85"/>
    <n v="0.21249999999999999"/>
    <x v="12"/>
    <s v="Pedagogik                     "/>
    <s v="Sam"/>
    <s v="KPU - åk 7-9 och Gy"/>
    <n v="26554"/>
    <n v="33465"/>
    <n v="13749.8125"/>
    <n v="6000"/>
    <n v="1500"/>
    <n v="15249.8125"/>
    <n v="0"/>
    <n v="0"/>
    <n v="0"/>
    <n v="1"/>
    <n v="0"/>
    <n v="0"/>
    <n v="0"/>
    <n v="0"/>
    <n v="0"/>
    <n v="0"/>
    <n v="0"/>
    <n v="0"/>
  </r>
  <r>
    <s v="6KP000"/>
    <s v="Undervisning och lärande (UVK)"/>
    <m/>
    <s v="LYKPU"/>
    <s v="H21"/>
    <s v="ht"/>
    <m/>
    <n v="2480"/>
    <m/>
    <m/>
    <m/>
    <n v="1"/>
    <n v="15"/>
    <m/>
    <m/>
    <n v="58"/>
    <n v="14.5"/>
    <n v="0.85"/>
    <n v="12.324999999999999"/>
    <x v="12"/>
    <s v="Pedagogik                     "/>
    <s v="Sam"/>
    <s v="KPU - åk 7-9 och Gy"/>
    <n v="26554"/>
    <n v="33465"/>
    <n v="797489.125"/>
    <n v="6000"/>
    <n v="87000"/>
    <n v="884489.125"/>
    <n v="0"/>
    <n v="0"/>
    <n v="0"/>
    <n v="1"/>
    <n v="0"/>
    <n v="0"/>
    <n v="0"/>
    <n v="0"/>
    <n v="0"/>
    <n v="0"/>
    <n v="0"/>
    <n v="0"/>
  </r>
  <r>
    <s v="6KP000"/>
    <s v="Undervisning och lärande (UVK)"/>
    <n v="62800"/>
    <s v="LYKPU"/>
    <m/>
    <s v="vt"/>
    <m/>
    <s v="Umeå"/>
    <s v="Distans"/>
    <m/>
    <m/>
    <m/>
    <n v="15"/>
    <m/>
    <m/>
    <n v="21"/>
    <n v="5.25"/>
    <n v="0.85"/>
    <n v="4.4624999999999995"/>
    <x v="12"/>
    <s v="Pedagogik                     "/>
    <s v="Sam"/>
    <s v="KPU - åk 7-9 och Gy"/>
    <n v="26554"/>
    <n v="33465"/>
    <n v="288746.0625"/>
    <n v="6000"/>
    <n v="31500"/>
    <n v="320246.0625"/>
    <n v="0"/>
    <n v="0"/>
    <n v="0"/>
    <n v="1"/>
    <n v="0"/>
    <n v="0"/>
    <n v="0"/>
    <n v="0"/>
    <n v="0"/>
    <n v="0"/>
    <n v="0"/>
    <n v="0"/>
  </r>
  <r>
    <s v="6KP001"/>
    <s v="Skolans uppdrag (UVK)"/>
    <m/>
    <s v="LYKPU"/>
    <s v="H15"/>
    <s v="ht"/>
    <s v="H211-20"/>
    <s v="Umeå"/>
    <s v="Campus"/>
    <m/>
    <m/>
    <n v="0.5"/>
    <n v="15"/>
    <m/>
    <m/>
    <n v="2"/>
    <n v="0.5"/>
    <n v="0.85"/>
    <n v="0.42499999999999999"/>
    <x v="11"/>
    <s v="Inst för ide- o samhällsstudier"/>
    <s v="Hum"/>
    <s v="KPU - åk 7-9 och Gy"/>
    <n v="26554"/>
    <n v="33465"/>
    <n v="27499.625"/>
    <n v="6000"/>
    <n v="3000"/>
    <n v="30499.625"/>
    <n v="0"/>
    <n v="0"/>
    <n v="0"/>
    <n v="1"/>
    <n v="0"/>
    <n v="0"/>
    <n v="0"/>
    <n v="0"/>
    <n v="0"/>
    <n v="0"/>
    <n v="0"/>
    <n v="0"/>
  </r>
  <r>
    <s v="6KP001"/>
    <s v="Skolans uppdrag (UVK)"/>
    <m/>
    <s v="LYKPU"/>
    <s v="H17"/>
    <s v="ht"/>
    <s v="H211-20"/>
    <s v="Umeå"/>
    <s v="Campus"/>
    <m/>
    <m/>
    <n v="0.5"/>
    <n v="15"/>
    <m/>
    <m/>
    <n v="1"/>
    <n v="0.25"/>
    <n v="0.85"/>
    <n v="0.21249999999999999"/>
    <x v="11"/>
    <s v="Inst för ide- o samhällsstudier"/>
    <s v="Hum"/>
    <s v="KPU - åk 7-9 och Gy"/>
    <n v="26554"/>
    <n v="33465"/>
    <n v="13749.8125"/>
    <n v="6000"/>
    <n v="1500"/>
    <n v="15249.8125"/>
    <n v="0"/>
    <n v="0"/>
    <n v="0"/>
    <n v="1"/>
    <n v="0"/>
    <n v="0"/>
    <n v="0"/>
    <n v="0"/>
    <n v="0"/>
    <n v="0"/>
    <n v="0"/>
    <n v="0"/>
  </r>
  <r>
    <s v="6KP001"/>
    <s v="Skolans uppdrag (UVK)"/>
    <m/>
    <s v="LYKPU"/>
    <s v="H18"/>
    <s v="ht"/>
    <s v="H211-20"/>
    <s v="Umeå"/>
    <s v="Campus"/>
    <m/>
    <m/>
    <n v="0.5"/>
    <n v="15"/>
    <m/>
    <m/>
    <n v="3"/>
    <n v="0.75"/>
    <n v="0.85"/>
    <n v="0.63749999999999996"/>
    <x v="11"/>
    <s v="Inst för ide- o samhällsstudier"/>
    <s v="Hum"/>
    <s v="KPU - åk 7-9 och Gy"/>
    <n v="26554"/>
    <n v="33465"/>
    <n v="41249.4375"/>
    <n v="6000"/>
    <n v="4500"/>
    <n v="45749.4375"/>
    <n v="0"/>
    <n v="0"/>
    <n v="0"/>
    <n v="1"/>
    <n v="0"/>
    <n v="0"/>
    <n v="0"/>
    <n v="0"/>
    <n v="0"/>
    <n v="0"/>
    <n v="0"/>
    <n v="0"/>
  </r>
  <r>
    <s v="6KP001"/>
    <s v="Skolans uppdrag (UVK)"/>
    <m/>
    <s v="LYKPU"/>
    <s v="H19"/>
    <s v="ht"/>
    <s v="H211-20"/>
    <s v="Umeå"/>
    <s v="Campus"/>
    <m/>
    <m/>
    <n v="0.5"/>
    <n v="15"/>
    <m/>
    <m/>
    <n v="1"/>
    <n v="0.25"/>
    <n v="0.85"/>
    <n v="0.21249999999999999"/>
    <x v="11"/>
    <s v="Inst för ide- o samhällsstudier"/>
    <s v="Hum"/>
    <s v="KPU - åk 7-9 och Gy"/>
    <n v="26554"/>
    <n v="33465"/>
    <n v="13749.8125"/>
    <n v="6000"/>
    <n v="1500"/>
    <n v="15249.8125"/>
    <n v="0"/>
    <n v="0"/>
    <n v="0"/>
    <n v="1"/>
    <n v="0"/>
    <n v="0"/>
    <n v="0"/>
    <n v="0"/>
    <n v="0"/>
    <n v="0"/>
    <n v="0"/>
    <n v="0"/>
  </r>
  <r>
    <s v="6KP001"/>
    <s v="Skolans uppdrag (UVK)"/>
    <m/>
    <s v="LYKPU"/>
    <s v="H20"/>
    <s v="ht"/>
    <s v="H211-20"/>
    <s v="Umeå"/>
    <s v="Campus"/>
    <m/>
    <m/>
    <n v="0.5"/>
    <n v="15"/>
    <m/>
    <m/>
    <n v="2"/>
    <n v="0.5"/>
    <n v="0.85"/>
    <n v="0.42499999999999999"/>
    <x v="11"/>
    <s v="Inst för ide- o samhällsstudier"/>
    <s v="Hum"/>
    <s v="KPU - åk 7-9 och Gy"/>
    <n v="26554"/>
    <n v="33465"/>
    <n v="27499.625"/>
    <n v="6000"/>
    <n v="3000"/>
    <n v="30499.625"/>
    <n v="0"/>
    <n v="0"/>
    <n v="0"/>
    <n v="1"/>
    <n v="0"/>
    <n v="0"/>
    <n v="0"/>
    <n v="0"/>
    <n v="0"/>
    <n v="0"/>
    <n v="0"/>
    <n v="0"/>
  </r>
  <r>
    <s v="6KP001"/>
    <s v="Skolans uppdrag (UVK)"/>
    <m/>
    <s v="LYKPU"/>
    <s v="H21"/>
    <s v="ht"/>
    <m/>
    <n v="2480"/>
    <m/>
    <m/>
    <m/>
    <n v="0.5"/>
    <n v="15"/>
    <m/>
    <m/>
    <n v="31"/>
    <n v="7.75"/>
    <n v="0.85"/>
    <n v="6.5874999999999995"/>
    <x v="11"/>
    <s v="Inst för ide- o samhällsstudier"/>
    <s v="Hum"/>
    <s v="KPU - åk 7-9 och Gy"/>
    <n v="26554"/>
    <n v="33465"/>
    <n v="426244.1875"/>
    <n v="6000"/>
    <n v="46500"/>
    <n v="472744.1875"/>
    <n v="0"/>
    <n v="0"/>
    <n v="0"/>
    <n v="1"/>
    <n v="0"/>
    <n v="0"/>
    <n v="0"/>
    <n v="0"/>
    <n v="0"/>
    <n v="0"/>
    <n v="0"/>
    <n v="0"/>
  </r>
  <r>
    <s v="6KP001"/>
    <s v="Skolans uppdrag (UVK)"/>
    <m/>
    <s v="LYKPU"/>
    <s v="H21"/>
    <s v="ht"/>
    <m/>
    <n v="2480"/>
    <m/>
    <m/>
    <m/>
    <n v="1"/>
    <n v="15"/>
    <m/>
    <m/>
    <n v="61"/>
    <n v="15.25"/>
    <n v="0.85"/>
    <n v="12.9625"/>
    <x v="11"/>
    <s v="Inst för ide- o samhällsstudier"/>
    <s v="Hum"/>
    <s v="KPU - åk 7-9 och Gy"/>
    <n v="26554"/>
    <n v="33465"/>
    <n v="838738.5625"/>
    <n v="6000"/>
    <n v="91500"/>
    <n v="930238.5625"/>
    <n v="0"/>
    <n v="0"/>
    <n v="0"/>
    <n v="1"/>
    <n v="0"/>
    <n v="0"/>
    <n v="0"/>
    <n v="0"/>
    <n v="0"/>
    <n v="0"/>
    <n v="0"/>
    <n v="0"/>
  </r>
  <r>
    <s v="6KP002"/>
    <s v="Bedömning för och av lärande (UVK)"/>
    <n v="69707"/>
    <s v="LYKPU"/>
    <m/>
    <s v="vt"/>
    <m/>
    <s v="Umeå"/>
    <s v="Distans"/>
    <m/>
    <m/>
    <m/>
    <n v="15"/>
    <m/>
    <m/>
    <n v="46"/>
    <n v="11.5"/>
    <n v="0.85"/>
    <n v="9.7750000000000004"/>
    <x v="7"/>
    <s v="NMD"/>
    <s v="TekNat"/>
    <s v="KPU - åk 7-9 och Gy"/>
    <n v="26554"/>
    <n v="33465"/>
    <n v="632491.375"/>
    <n v="6000"/>
    <n v="69000"/>
    <n v="701491.375"/>
    <n v="0"/>
    <n v="0"/>
    <n v="0"/>
    <n v="1"/>
    <n v="0"/>
    <n v="0"/>
    <n v="0"/>
    <n v="0"/>
    <n v="0"/>
    <n v="0"/>
    <n v="0"/>
    <n v="0"/>
  </r>
  <r>
    <s v="6KP003"/>
    <s v="Verksamhetsförlagd utbildning 1 (VFU)"/>
    <m/>
    <s v="LYKGR"/>
    <s v="H20"/>
    <s v="ht"/>
    <s v="H211-20"/>
    <s v="Umeå"/>
    <s v="Campus"/>
    <s v="GRHF"/>
    <m/>
    <n v="0.5"/>
    <n v="15"/>
    <m/>
    <m/>
    <n v="1"/>
    <n v="0.25"/>
    <n v="0.85"/>
    <n v="0.21249999999999999"/>
    <x v="9"/>
    <s v="Estetiska ämnen               "/>
    <s v="Hum"/>
    <s v="KPU - åk 7-9"/>
    <n v="25235"/>
    <n v="27976"/>
    <n v="12253.65"/>
    <n v="3600"/>
    <n v="900"/>
    <n v="13153.65"/>
    <n v="0"/>
    <n v="0"/>
    <n v="0"/>
    <n v="0"/>
    <n v="0"/>
    <n v="0"/>
    <n v="0"/>
    <n v="0"/>
    <n v="1"/>
    <n v="0"/>
    <n v="0"/>
    <n v="0"/>
  </r>
  <r>
    <s v="6KP003"/>
    <s v="Verksamhetsförlagd utbildning 1 (VFU)"/>
    <m/>
    <s v="LYKPU"/>
    <s v="H20"/>
    <s v="ht"/>
    <s v="H211-20"/>
    <s v="Umeå"/>
    <s v="Campus"/>
    <m/>
    <m/>
    <n v="0.5"/>
    <n v="15"/>
    <m/>
    <m/>
    <n v="20"/>
    <n v="5"/>
    <n v="0.85"/>
    <n v="4.25"/>
    <x v="9"/>
    <s v="Estetiska ämnen               "/>
    <s v="Hum"/>
    <s v="KPU - åk 7-9 och Gy"/>
    <n v="25235"/>
    <n v="27976"/>
    <n v="245073"/>
    <n v="3600"/>
    <n v="18000"/>
    <n v="263073"/>
    <n v="0"/>
    <n v="0"/>
    <n v="0"/>
    <n v="0"/>
    <n v="0"/>
    <n v="0"/>
    <n v="0"/>
    <n v="0"/>
    <n v="1"/>
    <n v="0"/>
    <n v="0"/>
    <n v="0"/>
  </r>
  <r>
    <s v="6KP003"/>
    <s v="Verksamhetsförlagd utbildning 1 (VFU)"/>
    <n v="65501"/>
    <s v="LYKPU"/>
    <m/>
    <s v="vt"/>
    <m/>
    <s v="Umeå"/>
    <s v="Distans"/>
    <m/>
    <m/>
    <m/>
    <n v="15"/>
    <m/>
    <m/>
    <n v="46"/>
    <n v="11.5"/>
    <n v="0.85"/>
    <n v="9.7750000000000004"/>
    <x v="9"/>
    <s v="Estetiska ämnen               "/>
    <s v="Hum"/>
    <s v="KPU - åk 7-9 och Gy"/>
    <n v="25235"/>
    <n v="27976"/>
    <n v="563667.9"/>
    <n v="3600"/>
    <n v="41400"/>
    <n v="605067.9"/>
    <n v="0"/>
    <n v="0"/>
    <n v="0"/>
    <n v="0"/>
    <n v="0"/>
    <n v="0"/>
    <n v="0"/>
    <n v="0"/>
    <n v="1"/>
    <n v="0"/>
    <n v="0"/>
    <n v="0"/>
  </r>
  <r>
    <s v="6KP004"/>
    <s v="Examensarbete med ämnesdidaktisk inriktning för ämneslärarexamen (UVK) - grundnivå"/>
    <m/>
    <s v="LYKGY"/>
    <s v="H16"/>
    <s v="ht"/>
    <s v="H211-20"/>
    <s v="Umeå"/>
    <s v="Campus"/>
    <s v="ALG1"/>
    <m/>
    <n v="1"/>
    <n v="15"/>
    <m/>
    <m/>
    <n v="1"/>
    <n v="0.25"/>
    <n v="0.85"/>
    <n v="0.21249999999999999"/>
    <x v="7"/>
    <s v="NMD"/>
    <s v="TekNat"/>
    <s v="KPU - Gy"/>
    <n v="26554"/>
    <n v="33465"/>
    <n v="13749.8125"/>
    <n v="6000"/>
    <n v="1500"/>
    <n v="15249.8125"/>
    <n v="0"/>
    <n v="0"/>
    <n v="0"/>
    <n v="1"/>
    <n v="0"/>
    <n v="0"/>
    <n v="0"/>
    <n v="0"/>
    <n v="0"/>
    <n v="0"/>
    <n v="0"/>
    <n v="0"/>
  </r>
  <r>
    <s v="6KP004"/>
    <s v="Examensarbete med ämnesdidaktisk inriktning för ämneslärarexamen (UVK) - grundnivå"/>
    <m/>
    <s v="LYKPU"/>
    <s v="H20"/>
    <s v="ht"/>
    <s v="H211-20"/>
    <s v="Umeå"/>
    <s v="Campus"/>
    <m/>
    <m/>
    <n v="1"/>
    <n v="15"/>
    <m/>
    <m/>
    <n v="5"/>
    <n v="1.25"/>
    <n v="0.85"/>
    <n v="1.0625"/>
    <x v="7"/>
    <s v="NMD"/>
    <s v="TekNat"/>
    <s v="KPU - åk 7-9 och Gy"/>
    <n v="26554"/>
    <n v="33465"/>
    <n v="68749.0625"/>
    <n v="6000"/>
    <n v="7500"/>
    <n v="76249.0625"/>
    <n v="0"/>
    <n v="0"/>
    <n v="0"/>
    <n v="1"/>
    <n v="0"/>
    <n v="0"/>
    <n v="0"/>
    <n v="0"/>
    <n v="0"/>
    <n v="0"/>
    <n v="0"/>
    <n v="0"/>
  </r>
  <r>
    <s v="6KP005"/>
    <s v="Examensarbete med ämnesdidaktisk inriktning för ämneslärarexamen (UVK) - avancerad nivå"/>
    <m/>
    <s v="LYKPU"/>
    <s v="H20"/>
    <s v="ht"/>
    <s v="H211-20"/>
    <s v="Umeå"/>
    <s v="Campus"/>
    <m/>
    <m/>
    <n v="1"/>
    <n v="15"/>
    <m/>
    <m/>
    <n v="3"/>
    <n v="0.75"/>
    <n v="0.85"/>
    <n v="0.63749999999999996"/>
    <x v="7"/>
    <s v="NMD"/>
    <s v="TekNat"/>
    <s v="KPU - åk 7-9 och Gy"/>
    <n v="26554"/>
    <n v="33465"/>
    <n v="41249.4375"/>
    <n v="6000"/>
    <n v="4500"/>
    <n v="45749.4375"/>
    <n v="0"/>
    <n v="0"/>
    <n v="0"/>
    <n v="1"/>
    <n v="0"/>
    <n v="0"/>
    <n v="0"/>
    <n v="0"/>
    <n v="0"/>
    <n v="0"/>
    <n v="0"/>
    <n v="0"/>
  </r>
  <r>
    <s v="6KP006"/>
    <s v="Examensarbete med ämnesdidaktisk inriktning för ämneslärarexamen - grundnivå (UVK)"/>
    <m/>
    <s v="LYKPU"/>
    <s v="H20"/>
    <s v="ht"/>
    <s v="H211-20"/>
    <s v="Umeå"/>
    <s v="Campus"/>
    <m/>
    <m/>
    <n v="0.5"/>
    <n v="15"/>
    <m/>
    <m/>
    <n v="3"/>
    <n v="0.75"/>
    <n v="0.85"/>
    <n v="0.63749999999999996"/>
    <x v="12"/>
    <s v="Pedagogik                     "/>
    <s v="Sam"/>
    <s v="KPU - åk 7-9 och Gy"/>
    <n v="26554"/>
    <n v="33465"/>
    <n v="41249.4375"/>
    <n v="6000"/>
    <n v="4500"/>
    <n v="45749.4375"/>
    <n v="0"/>
    <n v="0"/>
    <n v="0"/>
    <n v="1"/>
    <n v="0"/>
    <n v="0"/>
    <n v="0"/>
    <n v="0"/>
    <n v="0"/>
    <n v="0"/>
    <n v="0"/>
    <n v="0"/>
  </r>
  <r>
    <s v="6KP009"/>
    <s v="Verksamhetsförlagd utbildning 2 inom KPU - avancerad nivå (VFU)"/>
    <m/>
    <s v="LYKPU"/>
    <s v="H20"/>
    <s v="ht"/>
    <s v="H211-20"/>
    <s v="Umeå"/>
    <s v="Campus"/>
    <m/>
    <m/>
    <n v="1"/>
    <n v="15"/>
    <m/>
    <m/>
    <n v="7"/>
    <n v="1.75"/>
    <n v="0.85"/>
    <n v="1.4875"/>
    <x v="9"/>
    <s v="Estetiska ämnen               "/>
    <s v="Hum"/>
    <s v="KPU - åk 7-9 och Gy"/>
    <n v="25235"/>
    <n v="27976"/>
    <n v="85775.55"/>
    <n v="3600"/>
    <n v="6300"/>
    <n v="92075.55"/>
    <n v="0"/>
    <n v="0"/>
    <n v="0"/>
    <n v="0"/>
    <n v="0"/>
    <n v="0"/>
    <n v="0"/>
    <n v="0"/>
    <n v="1"/>
    <n v="0"/>
    <n v="0"/>
    <n v="0"/>
  </r>
  <r>
    <s v="6KP010"/>
    <s v="Examensarbete med ämnesdidaktisk inriktning för ämneslärarexamen - avancerad nivå (UVK)"/>
    <m/>
    <s v="LYKPU"/>
    <s v="H20"/>
    <s v="ht"/>
    <s v="H211-20"/>
    <s v="Umeå"/>
    <s v="Campus"/>
    <m/>
    <m/>
    <n v="1"/>
    <n v="15"/>
    <m/>
    <m/>
    <n v="3"/>
    <n v="0.75"/>
    <n v="0.85"/>
    <n v="0.63749999999999996"/>
    <x v="0"/>
    <s v="Inst för språkstudier"/>
    <s v="Hum"/>
    <s v="KPU - åk 7-9 och Gy"/>
    <n v="26554"/>
    <n v="33465"/>
    <n v="41249.4375"/>
    <n v="6000"/>
    <n v="4500"/>
    <n v="45749.4375"/>
    <n v="0"/>
    <n v="0"/>
    <n v="0"/>
    <n v="1"/>
    <n v="0"/>
    <n v="0"/>
    <n v="0"/>
    <n v="0"/>
    <n v="0"/>
    <n v="0"/>
    <n v="0"/>
    <n v="0"/>
  </r>
  <r>
    <s v="6KP011"/>
    <s v="Examensarbete med ämnesdidaktisk inriktning för ämneslärarexamen (UVK) - grundnivå"/>
    <m/>
    <s v="LYKPU"/>
    <s v="H20"/>
    <s v="ht"/>
    <s v="H211-20"/>
    <s v="Umeå"/>
    <s v="Campus"/>
    <m/>
    <m/>
    <n v="1"/>
    <n v="15"/>
    <m/>
    <m/>
    <n v="3"/>
    <n v="0.75"/>
    <n v="0.85"/>
    <n v="0.63749999999999996"/>
    <x v="0"/>
    <s v="Inst för språkstudier"/>
    <s v="Hum"/>
    <s v="KPU - åk 7-9 och Gy"/>
    <n v="26554"/>
    <n v="33465"/>
    <n v="41249.4375"/>
    <n v="6000"/>
    <n v="4500"/>
    <n v="45749.4375"/>
    <n v="0"/>
    <n v="0"/>
    <n v="0"/>
    <n v="1"/>
    <n v="0"/>
    <n v="0"/>
    <n v="0"/>
    <n v="0"/>
    <n v="0"/>
    <n v="0"/>
    <n v="0"/>
    <n v="0"/>
  </r>
  <r>
    <s v="6KP012"/>
    <s v="Examensarbete med ämnesdidaktisk inriktning för ämneslärarexamen (UVK) - grundnivå"/>
    <m/>
    <s v="LYKPU"/>
    <s v="H20"/>
    <s v="ht"/>
    <s v="H211-20"/>
    <s v="Umeå"/>
    <s v="Campus"/>
    <m/>
    <m/>
    <n v="1"/>
    <n v="15"/>
    <m/>
    <m/>
    <n v="10"/>
    <n v="2.5"/>
    <n v="0.85"/>
    <n v="2.125"/>
    <x v="15"/>
    <s v="Inst för kost- och måltidsvetenskap"/>
    <s v="Sam"/>
    <s v="KPU - åk 7-9 och Gy"/>
    <n v="26554"/>
    <n v="33465"/>
    <n v="137498.125"/>
    <n v="6000"/>
    <n v="15000"/>
    <n v="152498.125"/>
    <n v="0"/>
    <n v="0"/>
    <n v="0"/>
    <n v="1"/>
    <n v="0"/>
    <n v="0"/>
    <n v="0"/>
    <n v="0"/>
    <n v="0"/>
    <n v="0"/>
    <n v="0"/>
    <n v="0"/>
  </r>
  <r>
    <s v="6KP014"/>
    <s v="Verksamhetsförlagd utbildning 2 inom KPU - grundnivå (VFU)"/>
    <m/>
    <s v="LYKPU"/>
    <s v="H20"/>
    <s v="ht"/>
    <s v="H211-20"/>
    <s v="Umeå"/>
    <s v="Campus"/>
    <m/>
    <m/>
    <n v="0.5"/>
    <n v="15"/>
    <m/>
    <m/>
    <n v="4"/>
    <n v="1"/>
    <n v="0.85"/>
    <n v="0.85"/>
    <x v="9"/>
    <s v="Estetiska ämnen               "/>
    <s v="Hum"/>
    <s v="KPU - åk 7-9 och Gy"/>
    <n v="25235"/>
    <n v="27976"/>
    <n v="49014.6"/>
    <n v="3600"/>
    <n v="3600"/>
    <n v="52614.6"/>
    <n v="0"/>
    <n v="0"/>
    <n v="0"/>
    <n v="0"/>
    <n v="0"/>
    <n v="0"/>
    <n v="0"/>
    <n v="0"/>
    <n v="1"/>
    <n v="0"/>
    <n v="0"/>
    <n v="0"/>
  </r>
  <r>
    <s v="6KP014"/>
    <s v="Verksamhetsförlagd utbildning 2 inom KPU - grundnivå (VFU)"/>
    <m/>
    <s v="LYKPU"/>
    <s v="H20"/>
    <s v="ht"/>
    <s v="H211-20"/>
    <s v="Umeå"/>
    <s v="Campus"/>
    <m/>
    <m/>
    <n v="1"/>
    <n v="15"/>
    <m/>
    <m/>
    <n v="30"/>
    <n v="7.5"/>
    <n v="0.85"/>
    <n v="6.375"/>
    <x v="9"/>
    <s v="Estetiska ämnen               "/>
    <s v="Hum"/>
    <s v="KPU - åk 7-9 och Gy"/>
    <n v="25235"/>
    <n v="27976"/>
    <n v="367609.5"/>
    <n v="3600"/>
    <n v="27000"/>
    <n v="394609.5"/>
    <n v="0"/>
    <n v="0"/>
    <n v="0"/>
    <n v="0"/>
    <n v="0"/>
    <n v="0"/>
    <n v="0"/>
    <n v="0"/>
    <n v="1"/>
    <n v="0"/>
    <n v="0"/>
    <n v="0"/>
  </r>
  <r>
    <s v="6KP015"/>
    <s v="Examensarbete med ämnesdidaktisk inriktning för ämneslärarexamen - avancerad nivå (UVK)"/>
    <m/>
    <s v="LYKPU"/>
    <s v="H20"/>
    <s v="ht"/>
    <s v="H211-20"/>
    <s v="Umeå"/>
    <s v="Campus"/>
    <m/>
    <m/>
    <n v="1"/>
    <n v="15"/>
    <m/>
    <m/>
    <n v="1"/>
    <n v="0.25"/>
    <n v="0.85"/>
    <n v="0.21249999999999999"/>
    <x v="9"/>
    <s v="Estetiska ämnen               "/>
    <s v="Hum"/>
    <s v="KPU - åk 7-9 och Gy"/>
    <n v="26554"/>
    <n v="33465"/>
    <n v="13749.8125"/>
    <n v="6000"/>
    <n v="1500"/>
    <n v="15249.8125"/>
    <n v="0"/>
    <n v="0"/>
    <n v="0"/>
    <n v="1"/>
    <n v="0"/>
    <n v="0"/>
    <n v="0"/>
    <n v="0"/>
    <n v="0"/>
    <n v="0"/>
    <n v="0"/>
    <n v="0"/>
  </r>
  <r>
    <s v="6KP016"/>
    <s v="Examensarbete med ämnesdidaktisk inriktning för ämneslärarexamen - grundnivå (UVK)"/>
    <m/>
    <s v="LYKPU"/>
    <s v="H20"/>
    <s v="ht"/>
    <s v="H211-20"/>
    <s v="Umeå"/>
    <s v="Campus"/>
    <m/>
    <m/>
    <n v="0.5"/>
    <n v="15"/>
    <m/>
    <m/>
    <n v="3"/>
    <n v="0.75"/>
    <n v="0.85"/>
    <n v="0.63749999999999996"/>
    <x v="9"/>
    <s v="Estetiska ämnen               "/>
    <s v="Hum"/>
    <s v="KPU - åk 7-9 och Gy"/>
    <n v="26554"/>
    <n v="33465"/>
    <n v="41249.4375"/>
    <n v="6000"/>
    <n v="4500"/>
    <n v="45749.4375"/>
    <n v="0"/>
    <n v="0"/>
    <n v="0"/>
    <n v="1"/>
    <n v="0"/>
    <n v="0"/>
    <n v="0"/>
    <n v="0"/>
    <n v="0"/>
    <n v="0"/>
    <n v="0"/>
    <n v="0"/>
  </r>
  <r>
    <s v="6KP016"/>
    <s v="Examensarbete med ämnesdidaktisk inriktning för ämneslärarexamen - grundnivå (UVK)"/>
    <m/>
    <s v="LYKPU"/>
    <s v="H20"/>
    <s v="ht"/>
    <s v="H211-20"/>
    <s v="Umeå"/>
    <s v="Campus"/>
    <m/>
    <m/>
    <n v="1"/>
    <n v="15"/>
    <m/>
    <m/>
    <n v="10"/>
    <n v="2.5"/>
    <n v="0.85"/>
    <n v="2.125"/>
    <x v="9"/>
    <s v="Estetiska ämnen               "/>
    <s v="Hum"/>
    <s v="KPU - åk 7-9 och Gy"/>
    <n v="26554"/>
    <n v="33465"/>
    <n v="137498.125"/>
    <n v="6000"/>
    <n v="15000"/>
    <n v="152498.125"/>
    <n v="0"/>
    <n v="0"/>
    <n v="0"/>
    <n v="1"/>
    <n v="0"/>
    <n v="0"/>
    <n v="0"/>
    <n v="0"/>
    <n v="0"/>
    <n v="0"/>
    <n v="0"/>
    <n v="0"/>
  </r>
  <r>
    <s v="6LI011"/>
    <s v="Människans språk: Lingvistik för lärare"/>
    <n v="71705"/>
    <s v="FRIST"/>
    <m/>
    <s v="vt"/>
    <m/>
    <s v="Ortsoberoende"/>
    <s v="Distans"/>
    <m/>
    <m/>
    <m/>
    <n v="30"/>
    <m/>
    <m/>
    <n v="6"/>
    <n v="1.5"/>
    <n v="0.8"/>
    <n v="1.2000000000000002"/>
    <x v="0"/>
    <s v="Inst för språkstudier"/>
    <s v="Hum"/>
    <s v="Fristående och övriga kurser"/>
    <n v="20766"/>
    <n v="17442"/>
    <n v="52079.4"/>
    <n v="6000"/>
    <n v="9000"/>
    <n v="61079.4"/>
    <n v="0"/>
    <n v="1"/>
    <n v="0"/>
    <n v="0"/>
    <n v="0"/>
    <n v="0"/>
    <n v="0"/>
    <n v="0"/>
    <n v="0"/>
    <n v="0"/>
    <n v="0"/>
    <n v="0"/>
  </r>
  <r>
    <s v="6LI011"/>
    <s v="Människans språk: Lingvistik för lärare"/>
    <m/>
    <s v="FRIST"/>
    <m/>
    <s v="ht"/>
    <m/>
    <m/>
    <s v="Distans"/>
    <m/>
    <m/>
    <n v="0.5"/>
    <n v="15"/>
    <m/>
    <m/>
    <n v="5"/>
    <n v="1.25"/>
    <n v="0.8"/>
    <n v="1"/>
    <x v="0"/>
    <s v="Inst för språkstudier"/>
    <s v="Hum"/>
    <s v="Fristående och övriga kurser"/>
    <n v="20766"/>
    <n v="17442"/>
    <n v="43399.5"/>
    <n v="6000"/>
    <n v="7500"/>
    <n v="50899.5"/>
    <n v="0"/>
    <n v="1"/>
    <n v="0"/>
    <n v="0"/>
    <n v="0"/>
    <n v="0"/>
    <n v="0"/>
    <n v="0"/>
    <n v="0"/>
    <n v="0"/>
    <n v="0"/>
    <n v="0"/>
  </r>
  <r>
    <s v="6LI013"/>
    <s v="Specialpedagogik med fokus på svenska och matematik för F-3"/>
    <m/>
    <s v="LYGFT"/>
    <s v="H18"/>
    <s v="ht"/>
    <s v="H211-10"/>
    <s v="Umeå"/>
    <s v="Campus"/>
    <m/>
    <m/>
    <n v="1"/>
    <n v="15"/>
    <m/>
    <m/>
    <n v="3"/>
    <n v="0.75"/>
    <n v="0.85"/>
    <n v="0.63749999999999996"/>
    <x v="0"/>
    <s v="Inst för språkstudier"/>
    <s v="Hum"/>
    <s v="Grundlärarprogrammet - förskoleklass och åk 1-3"/>
    <n v="20766"/>
    <n v="17442"/>
    <n v="26693.775000000001"/>
    <n v="6000"/>
    <n v="4500"/>
    <n v="31193.775000000001"/>
    <n v="0"/>
    <n v="1"/>
    <n v="0"/>
    <n v="0"/>
    <n v="0"/>
    <n v="0"/>
    <n v="0"/>
    <n v="0"/>
    <n v="0"/>
    <n v="0"/>
    <n v="0"/>
    <n v="0"/>
  </r>
  <r>
    <s v="6LI013"/>
    <s v="Specialpedagogik med fokus på svenska och matematik för F-3"/>
    <m/>
    <s v="LYGFT"/>
    <s v="H19"/>
    <s v="ht"/>
    <s v="H211-10"/>
    <s v="Umeå"/>
    <s v="Campus"/>
    <m/>
    <m/>
    <n v="1"/>
    <n v="15"/>
    <m/>
    <m/>
    <n v="31"/>
    <n v="7.75"/>
    <n v="0.85"/>
    <n v="6.5874999999999995"/>
    <x v="0"/>
    <s v="Inst för språkstudier"/>
    <s v="Hum"/>
    <s v="Grundlärarprogrammet - förskoleklass och åk 1-3"/>
    <n v="20766"/>
    <n v="17442"/>
    <n v="275835.67499999999"/>
    <n v="6000"/>
    <n v="46500"/>
    <n v="322335.67499999999"/>
    <n v="0"/>
    <n v="1"/>
    <n v="0"/>
    <n v="0"/>
    <n v="0"/>
    <n v="0"/>
    <n v="0"/>
    <n v="0"/>
    <n v="0"/>
    <n v="0"/>
    <n v="0"/>
    <n v="0"/>
  </r>
  <r>
    <s v="6LU005"/>
    <s v="Samhällsorientering åk 4-6"/>
    <n v="71922"/>
    <s v="FRIST"/>
    <m/>
    <s v="vt"/>
    <m/>
    <s v="Umeå"/>
    <s v="Normal"/>
    <m/>
    <m/>
    <m/>
    <n v="30"/>
    <m/>
    <m/>
    <n v="2"/>
    <n v="1"/>
    <n v="0.8"/>
    <n v="0.8"/>
    <x v="11"/>
    <s v="Inst för ide- o samhällsstudier"/>
    <s v="Hum"/>
    <s v="Fristående och övriga kurser"/>
    <n v="20766"/>
    <n v="17442"/>
    <n v="34719.599999999999"/>
    <n v="6000"/>
    <n v="6000"/>
    <n v="40719.599999999999"/>
    <n v="0"/>
    <n v="1"/>
    <n v="0"/>
    <n v="0"/>
    <n v="0"/>
    <n v="0"/>
    <n v="0"/>
    <n v="0"/>
    <n v="0"/>
    <n v="0"/>
    <n v="0"/>
    <n v="0"/>
  </r>
  <r>
    <s v="6LU005"/>
    <s v="Samhällsorientering åk 4-6"/>
    <n v="71908"/>
    <s v="LYGRM"/>
    <m/>
    <s v="vt"/>
    <m/>
    <s v="Umeå"/>
    <s v="Normal"/>
    <m/>
    <m/>
    <m/>
    <n v="30"/>
    <m/>
    <m/>
    <n v="11"/>
    <n v="5.5"/>
    <n v="0.85"/>
    <n v="4.6749999999999998"/>
    <x v="11"/>
    <s v="Inst för ide- o samhällsstudier"/>
    <s v="Hum"/>
    <s v="Grundlärarprogrammet - grundskolans åk 4-6"/>
    <n v="20766"/>
    <n v="17442"/>
    <n v="195754.34999999998"/>
    <n v="6000"/>
    <n v="33000"/>
    <n v="228754.34999999998"/>
    <n v="0"/>
    <n v="1"/>
    <n v="0"/>
    <n v="0"/>
    <n v="0"/>
    <n v="0"/>
    <n v="0"/>
    <n v="0"/>
    <n v="0"/>
    <n v="0"/>
    <n v="0"/>
    <n v="0"/>
  </r>
  <r>
    <s v="6LU006"/>
    <s v="Kunskap, vetenskap och forskningsmetodik, 7,5 hp"/>
    <m/>
    <s v="LYAGS"/>
    <s v="H21"/>
    <s v="ht"/>
    <m/>
    <n v="2480"/>
    <m/>
    <m/>
    <m/>
    <m/>
    <n v="7.5"/>
    <m/>
    <m/>
    <n v="145"/>
    <n v="18.125"/>
    <n v="0.85"/>
    <n v="15.40625"/>
    <x v="11"/>
    <s v="Inst för ide- o samhällsstudier"/>
    <s v="Hum"/>
    <s v="Ämneslärarprogrammet - Gy"/>
    <n v="26554"/>
    <n v="33465"/>
    <n v="996861.40625"/>
    <n v="6000"/>
    <n v="108750"/>
    <n v="1105611.40625"/>
    <n v="0"/>
    <n v="0"/>
    <n v="0"/>
    <n v="1"/>
    <n v="0"/>
    <n v="0"/>
    <n v="0"/>
    <n v="0"/>
    <n v="0"/>
    <n v="0"/>
    <n v="0"/>
    <n v="0"/>
  </r>
  <r>
    <s v="6LU006"/>
    <s v="Kunskap, vetenskap och forskningsmetodik, 7,5 hp"/>
    <m/>
    <s v="LYAGY"/>
    <s v="H19"/>
    <s v="ht"/>
    <s v="H2111-15"/>
    <s v="Umeå"/>
    <m/>
    <s v="SVAA"/>
    <m/>
    <n v="1"/>
    <n v="7.5"/>
    <m/>
    <m/>
    <n v="1"/>
    <n v="0.125"/>
    <n v="0.85"/>
    <n v="0.10625"/>
    <x v="11"/>
    <s v="Inst för ide- o samhällsstudier"/>
    <s v="Hum"/>
    <s v="Ämneslärarprogrammet - Gy"/>
    <n v="26554"/>
    <n v="33465"/>
    <n v="6874.90625"/>
    <n v="6000"/>
    <n v="750"/>
    <n v="7624.90625"/>
    <n v="0"/>
    <n v="0"/>
    <n v="0"/>
    <n v="1"/>
    <n v="0"/>
    <n v="0"/>
    <n v="0"/>
    <n v="0"/>
    <n v="0"/>
    <n v="0"/>
    <n v="0"/>
    <n v="0"/>
  </r>
  <r>
    <s v="6LU006"/>
    <s v="Kunskap, vetenskap och forskningsmetodik, 7,5 hp"/>
    <m/>
    <s v="LYFSK"/>
    <s v="H21"/>
    <s v="ht"/>
    <m/>
    <n v="2480"/>
    <m/>
    <m/>
    <m/>
    <m/>
    <n v="7.5"/>
    <n v="-0.1"/>
    <n v="53"/>
    <n v="47.7"/>
    <n v="5.9625000000000004"/>
    <n v="0.85"/>
    <n v="5.0681250000000002"/>
    <x v="11"/>
    <s v="Inst för ide- o samhällsstudier"/>
    <s v="Hum"/>
    <s v="Förskollärarprogrammet"/>
    <n v="26554"/>
    <n v="33465"/>
    <n v="327933.02812500001"/>
    <n v="6000"/>
    <n v="35775"/>
    <n v="363708.02812500001"/>
    <n v="0"/>
    <n v="0"/>
    <n v="0"/>
    <n v="1"/>
    <n v="0"/>
    <n v="0"/>
    <n v="0"/>
    <n v="0"/>
    <n v="0"/>
    <n v="0"/>
    <n v="0"/>
    <n v="0"/>
  </r>
  <r>
    <s v="6LU006"/>
    <s v="Kunskap, vetenskap och forskningsmetodik, 7,5 hp"/>
    <m/>
    <s v="LYFSK"/>
    <s v="V21"/>
    <s v="ht"/>
    <s v="H2111-15"/>
    <s v="Umeå"/>
    <s v="Campus"/>
    <m/>
    <m/>
    <n v="1"/>
    <n v="7.5"/>
    <m/>
    <m/>
    <n v="2"/>
    <n v="0.25"/>
    <n v="0.85"/>
    <n v="0.21249999999999999"/>
    <x v="11"/>
    <s v="Inst för ide- o samhällsstudier"/>
    <s v="Hum"/>
    <s v="Förskollärarprogrammet"/>
    <n v="26554"/>
    <n v="33465"/>
    <n v="13749.8125"/>
    <n v="6000"/>
    <n v="1500"/>
    <n v="15249.8125"/>
    <n v="0"/>
    <n v="0"/>
    <n v="0"/>
    <n v="1"/>
    <n v="0"/>
    <n v="0"/>
    <n v="0"/>
    <n v="0"/>
    <n v="0"/>
    <n v="0"/>
    <n v="0"/>
    <n v="0"/>
  </r>
  <r>
    <s v="6LU006"/>
    <s v="Kunskap, vetenskap och forskningsmetodik, 7,5 hp"/>
    <n v="71904"/>
    <s v="LYFSK"/>
    <m/>
    <s v="vt"/>
    <m/>
    <s v="Umeå"/>
    <s v="Normal"/>
    <m/>
    <m/>
    <m/>
    <n v="7.5"/>
    <m/>
    <m/>
    <n v="29"/>
    <n v="3.625"/>
    <n v="0.85"/>
    <n v="3.0812499999999998"/>
    <x v="11"/>
    <s v="Inst för ide- o samhällsstudier"/>
    <s v="Hum"/>
    <s v="Förskollärarprogrammet"/>
    <n v="26554"/>
    <n v="33465"/>
    <n v="199372.28125"/>
    <n v="6000"/>
    <n v="21750"/>
    <n v="221122.28125"/>
    <n v="0"/>
    <n v="0"/>
    <n v="0"/>
    <n v="1"/>
    <n v="0"/>
    <n v="0"/>
    <n v="0"/>
    <n v="0"/>
    <n v="0"/>
    <n v="0"/>
    <n v="0"/>
    <n v="0"/>
  </r>
  <r>
    <s v="6LU006"/>
    <s v="Kunskap, vetenskap och forskningsmetodik, 7,5 hp"/>
    <m/>
    <s v="LYGFR"/>
    <s v="H21"/>
    <s v="ht"/>
    <m/>
    <n v="2480"/>
    <m/>
    <m/>
    <m/>
    <m/>
    <n v="7.5"/>
    <n v="-0.1"/>
    <n v="24"/>
    <n v="21.6"/>
    <n v="2.7"/>
    <n v="0.85"/>
    <n v="2.2949999999999999"/>
    <x v="11"/>
    <s v="Inst för ide- o samhällsstudier"/>
    <s v="Hum"/>
    <s v="Grundlärarprogrammet - fritidshem"/>
    <n v="26554"/>
    <n v="33465"/>
    <n v="148497.97500000001"/>
    <n v="6000"/>
    <n v="16200.000000000002"/>
    <n v="164697.97500000001"/>
    <n v="0"/>
    <n v="0"/>
    <n v="0"/>
    <n v="1"/>
    <n v="0"/>
    <n v="0"/>
    <n v="0"/>
    <n v="0"/>
    <n v="0"/>
    <n v="0"/>
    <n v="0"/>
    <n v="0"/>
  </r>
  <r>
    <s v="6LU006"/>
    <s v="Kunskap, vetenskap och forskningsmetodik, 7,5 hp"/>
    <m/>
    <s v="LYGFT"/>
    <s v="H21"/>
    <s v="ht"/>
    <m/>
    <n v="2480"/>
    <m/>
    <m/>
    <m/>
    <m/>
    <n v="7.5"/>
    <n v="-0.08"/>
    <n v="41"/>
    <n v="37.72"/>
    <n v="4.7149999999999999"/>
    <n v="0.85"/>
    <n v="4.0077499999999997"/>
    <x v="11"/>
    <s v="Inst för ide- o samhällsstudier"/>
    <s v="Hum"/>
    <s v="Grundlärarprogrammet - förskoleklass och åk 1-3"/>
    <n v="26554"/>
    <n v="33465"/>
    <n v="259321.46375"/>
    <n v="6000"/>
    <n v="28290"/>
    <n v="287611.46375"/>
    <n v="0"/>
    <n v="0"/>
    <n v="0"/>
    <n v="1"/>
    <n v="0"/>
    <n v="0"/>
    <n v="0"/>
    <n v="0"/>
    <n v="0"/>
    <n v="0"/>
    <n v="0"/>
    <n v="0"/>
  </r>
  <r>
    <s v="6LU006"/>
    <s v="Kunskap, vetenskap och forskningsmetodik, 7,5 hp"/>
    <m/>
    <s v="LYGRM"/>
    <s v="H20"/>
    <s v="ht"/>
    <s v="H2111-15"/>
    <s v="Umeå"/>
    <s v="Campus"/>
    <m/>
    <m/>
    <n v="1"/>
    <n v="7.5"/>
    <m/>
    <m/>
    <n v="1"/>
    <n v="0.125"/>
    <n v="0.85"/>
    <n v="0.10625"/>
    <x v="11"/>
    <s v="Inst för ide- o samhällsstudier"/>
    <s v="Hum"/>
    <s v="Grundlärarprogrammet - grundskolans åk 4-6"/>
    <n v="26554"/>
    <n v="33465"/>
    <n v="6874.90625"/>
    <n v="6000"/>
    <n v="750"/>
    <n v="7624.90625"/>
    <n v="0"/>
    <n v="0"/>
    <n v="0"/>
    <n v="1"/>
    <n v="0"/>
    <n v="0"/>
    <n v="0"/>
    <n v="0"/>
    <n v="0"/>
    <n v="0"/>
    <n v="0"/>
    <n v="0"/>
  </r>
  <r>
    <s v="6LU006"/>
    <s v="Kunskap, vetenskap och forskningsmetodik, 7,5 hp"/>
    <m/>
    <s v="LYGRM"/>
    <s v="H21"/>
    <s v="ht"/>
    <m/>
    <n v="2480"/>
    <m/>
    <s v="ARBE"/>
    <m/>
    <m/>
    <n v="7.5"/>
    <n v="-0.08"/>
    <n v="23"/>
    <n v="21.16"/>
    <n v="2.645"/>
    <n v="0.85"/>
    <n v="2.2482500000000001"/>
    <x v="11"/>
    <s v="Inst för ide- o samhällsstudier"/>
    <s v="Hum"/>
    <s v="Grundlärarprogrammet - grundskolans åk 4-6"/>
    <n v="26554"/>
    <n v="33465"/>
    <n v="145473.01624999999"/>
    <n v="6000"/>
    <n v="15870"/>
    <n v="161343.01624999999"/>
    <n v="0"/>
    <n v="0"/>
    <n v="0"/>
    <n v="1"/>
    <n v="0"/>
    <n v="0"/>
    <n v="0"/>
    <n v="0"/>
    <n v="0"/>
    <n v="0"/>
    <n v="0"/>
    <n v="0"/>
  </r>
  <r>
    <s v="6LU006"/>
    <s v="Kunskap, vetenskap och forskningsmetodik, 7,5 hp"/>
    <m/>
    <s v="LYGRM"/>
    <s v="H21"/>
    <s v="ht"/>
    <m/>
    <n v="2480"/>
    <m/>
    <m/>
    <m/>
    <m/>
    <n v="7.5"/>
    <n v="-0.1"/>
    <n v="43"/>
    <n v="38.700000000000003"/>
    <n v="4.8375000000000004"/>
    <n v="0.85"/>
    <n v="4.1118750000000004"/>
    <x v="11"/>
    <s v="Inst för ide- o samhällsstudier"/>
    <s v="Hum"/>
    <s v="Grundlärarprogrammet - grundskolans åk 4-6"/>
    <n v="26554"/>
    <n v="33465"/>
    <n v="266058.87187500001"/>
    <n v="6000"/>
    <n v="29025.000000000004"/>
    <n v="295083.87187500001"/>
    <n v="0"/>
    <n v="0"/>
    <n v="0"/>
    <n v="1"/>
    <n v="0"/>
    <n v="0"/>
    <n v="0"/>
    <n v="0"/>
    <n v="0"/>
    <n v="0"/>
    <n v="0"/>
    <n v="0"/>
  </r>
  <r>
    <s v="6LU007"/>
    <s v="Etik, demokrati och det heterogena klassrummet, 7,5 hp"/>
    <m/>
    <s v="LYAGS"/>
    <s v="H21"/>
    <s v="ht"/>
    <m/>
    <n v="2480"/>
    <m/>
    <m/>
    <m/>
    <m/>
    <n v="7.5"/>
    <m/>
    <m/>
    <n v="145"/>
    <n v="18.125"/>
    <n v="0.85"/>
    <n v="15.40625"/>
    <x v="11"/>
    <s v="Inst för ide- o samhällsstudier"/>
    <s v="Hum"/>
    <s v="Ämneslärarprogrammet - Gy"/>
    <n v="26554"/>
    <n v="33465"/>
    <n v="996861.40625"/>
    <n v="6000"/>
    <n v="108750"/>
    <n v="1105611.40625"/>
    <n v="0"/>
    <n v="0"/>
    <n v="0"/>
    <n v="1"/>
    <n v="0"/>
    <n v="0"/>
    <n v="0"/>
    <n v="0"/>
    <n v="0"/>
    <n v="0"/>
    <n v="0"/>
    <n v="0"/>
  </r>
  <r>
    <s v="6LU007"/>
    <s v="Etik, demokrati och det heterogena klassrummet, 7,5 hp"/>
    <m/>
    <s v="LYAGY"/>
    <s v="H19"/>
    <s v="ht"/>
    <s v="H2116-20"/>
    <s v="Umeå"/>
    <m/>
    <s v="SVAA"/>
    <m/>
    <n v="1"/>
    <n v="7.5"/>
    <m/>
    <m/>
    <n v="1"/>
    <n v="0.125"/>
    <n v="0.85"/>
    <n v="0.10625"/>
    <x v="11"/>
    <s v="Inst för ide- o samhällsstudier"/>
    <s v="Hum"/>
    <s v="Ämneslärarprogrammet - Gy"/>
    <n v="26554"/>
    <n v="33465"/>
    <n v="6874.90625"/>
    <n v="6000"/>
    <n v="750"/>
    <n v="7624.90625"/>
    <n v="0"/>
    <n v="0"/>
    <n v="0"/>
    <n v="1"/>
    <n v="0"/>
    <n v="0"/>
    <n v="0"/>
    <n v="0"/>
    <n v="0"/>
    <n v="0"/>
    <n v="0"/>
    <n v="0"/>
  </r>
  <r>
    <s v="6LU007"/>
    <s v="Etik, demokrati och det heterogena klassrummet, 7,5 hp"/>
    <m/>
    <s v="LYFSK"/>
    <s v="H21"/>
    <s v="ht"/>
    <m/>
    <n v="2480"/>
    <m/>
    <m/>
    <m/>
    <m/>
    <n v="7.5"/>
    <n v="-0.1"/>
    <n v="53"/>
    <n v="47.7"/>
    <n v="5.9625000000000004"/>
    <n v="0.85"/>
    <n v="5.0681250000000002"/>
    <x v="11"/>
    <s v="Inst för ide- o samhällsstudier"/>
    <s v="Hum"/>
    <s v="Förskollärarprogrammet"/>
    <n v="26554"/>
    <n v="33465"/>
    <n v="327933.02812500001"/>
    <n v="6000"/>
    <n v="35775"/>
    <n v="363708.02812500001"/>
    <n v="0"/>
    <n v="0"/>
    <n v="0"/>
    <n v="1"/>
    <n v="0"/>
    <n v="0"/>
    <n v="0"/>
    <n v="0"/>
    <n v="0"/>
    <n v="0"/>
    <n v="0"/>
    <n v="0"/>
  </r>
  <r>
    <s v="6LU007"/>
    <s v="Etik, demokrati och det heterogena klassrummet, 7,5 hp"/>
    <m/>
    <s v="LYFSK"/>
    <s v="V21"/>
    <s v="ht"/>
    <s v="H2116-20"/>
    <s v="Umeå"/>
    <s v="Campus"/>
    <m/>
    <m/>
    <n v="1"/>
    <n v="7.5"/>
    <m/>
    <m/>
    <n v="3"/>
    <n v="0.375"/>
    <n v="0.85"/>
    <n v="0.31874999999999998"/>
    <x v="11"/>
    <s v="Inst för ide- o samhällsstudier"/>
    <s v="Hum"/>
    <s v="Förskollärarprogrammet"/>
    <n v="26554"/>
    <n v="33465"/>
    <n v="20624.71875"/>
    <n v="6000"/>
    <n v="2250"/>
    <n v="22874.71875"/>
    <n v="0"/>
    <n v="0"/>
    <n v="0"/>
    <n v="1"/>
    <n v="0"/>
    <n v="0"/>
    <n v="0"/>
    <n v="0"/>
    <n v="0"/>
    <n v="0"/>
    <n v="0"/>
    <n v="0"/>
  </r>
  <r>
    <s v="6LU007"/>
    <s v="Etik, demokrati och det heterogena klassrummet, 7,5 hp"/>
    <n v="71907"/>
    <s v="LYFSK"/>
    <m/>
    <s v="vt"/>
    <m/>
    <s v="Umeå"/>
    <s v="Normal"/>
    <m/>
    <m/>
    <m/>
    <n v="7.5"/>
    <m/>
    <m/>
    <n v="28"/>
    <n v="3.5"/>
    <n v="0.85"/>
    <n v="2.9750000000000001"/>
    <x v="11"/>
    <s v="Inst för ide- o samhällsstudier"/>
    <s v="Hum"/>
    <s v="Förskollärarprogrammet"/>
    <n v="26554"/>
    <n v="33465"/>
    <n v="192497.375"/>
    <n v="6000"/>
    <n v="21000"/>
    <n v="213497.375"/>
    <n v="0"/>
    <n v="0"/>
    <n v="0"/>
    <n v="1"/>
    <n v="0"/>
    <n v="0"/>
    <n v="0"/>
    <n v="0"/>
    <n v="0"/>
    <n v="0"/>
    <n v="0"/>
    <n v="0"/>
  </r>
  <r>
    <s v="6LU007"/>
    <s v="Etik, demokrati och det heterogena klassrummet, 7,5 hp"/>
    <m/>
    <s v="LYGFR"/>
    <s v="H21"/>
    <s v="ht"/>
    <m/>
    <n v="2480"/>
    <m/>
    <m/>
    <m/>
    <m/>
    <n v="7.5"/>
    <n v="-0.1"/>
    <n v="24"/>
    <n v="21.6"/>
    <n v="2.7"/>
    <n v="0.85"/>
    <n v="2.2949999999999999"/>
    <x v="11"/>
    <s v="Inst för ide- o samhällsstudier"/>
    <s v="Hum"/>
    <s v="Grundlärarprogrammet - fritidshem"/>
    <n v="26554"/>
    <n v="33465"/>
    <n v="148497.97500000001"/>
    <n v="6000"/>
    <n v="16200.000000000002"/>
    <n v="164697.97500000001"/>
    <n v="0"/>
    <n v="0"/>
    <n v="0"/>
    <n v="1"/>
    <n v="0"/>
    <n v="0"/>
    <n v="0"/>
    <n v="0"/>
    <n v="0"/>
    <n v="0"/>
    <n v="0"/>
    <n v="0"/>
  </r>
  <r>
    <s v="6LU007"/>
    <s v="Etik, demokrati och det heterogena klassrummet, 7,5 hp"/>
    <m/>
    <s v="LYGFT"/>
    <s v="H21"/>
    <s v="ht"/>
    <m/>
    <n v="2480"/>
    <m/>
    <m/>
    <m/>
    <m/>
    <n v="7.5"/>
    <n v="-0.08"/>
    <n v="41"/>
    <n v="37.72"/>
    <n v="4.7149999999999999"/>
    <n v="0.85"/>
    <n v="4.0077499999999997"/>
    <x v="11"/>
    <s v="Inst för ide- o samhällsstudier"/>
    <s v="Hum"/>
    <s v="Grundlärarprogrammet - förskoleklass och åk 1-3"/>
    <n v="26554"/>
    <n v="33465"/>
    <n v="259321.46375"/>
    <n v="6000"/>
    <n v="28290"/>
    <n v="287611.46375"/>
    <n v="0"/>
    <n v="0"/>
    <n v="0"/>
    <n v="1"/>
    <n v="0"/>
    <n v="0"/>
    <n v="0"/>
    <n v="0"/>
    <n v="0"/>
    <n v="0"/>
    <n v="0"/>
    <n v="0"/>
  </r>
  <r>
    <s v="6LU007"/>
    <s v="Etik, demokrati och det heterogena klassrummet, 7,5 hp"/>
    <m/>
    <s v="LYGRM"/>
    <s v="H21"/>
    <s v="ht"/>
    <m/>
    <n v="2480"/>
    <m/>
    <m/>
    <m/>
    <m/>
    <n v="7.5"/>
    <n v="-0.12"/>
    <n v="43"/>
    <n v="37.840000000000003"/>
    <n v="4.7300000000000004"/>
    <n v="0.85"/>
    <n v="4.0205000000000002"/>
    <x v="11"/>
    <s v="Inst för ide- o samhällsstudier"/>
    <s v="Hum"/>
    <s v="Grundlärarprogrammet - grundskolans åk 4-6"/>
    <n v="26554"/>
    <n v="33465"/>
    <n v="260146.45250000001"/>
    <n v="6000"/>
    <n v="28380.000000000004"/>
    <n v="288526.45250000001"/>
    <n v="0"/>
    <n v="0"/>
    <n v="0"/>
    <n v="1"/>
    <n v="0"/>
    <n v="0"/>
    <n v="0"/>
    <n v="0"/>
    <n v="0"/>
    <n v="0"/>
    <n v="0"/>
    <n v="0"/>
  </r>
  <r>
    <s v="6LU008"/>
    <s v="Värdegrund, etik och mångfald (UVK)"/>
    <m/>
    <s v="LYYRK"/>
    <s v="H21"/>
    <s v="ht"/>
    <m/>
    <n v="2480"/>
    <m/>
    <m/>
    <m/>
    <n v="0.5"/>
    <n v="5"/>
    <n v="-0.1"/>
    <n v="45"/>
    <n v="40.5"/>
    <n v="3.375"/>
    <n v="0.85"/>
    <n v="2.8687499999999999"/>
    <x v="11"/>
    <s v="Inst för ide- o samhällsstudier"/>
    <s v="Hum"/>
    <s v="Yrkeslärarprogrammet"/>
    <n v="26554"/>
    <n v="33465"/>
    <n v="185622.46875"/>
    <n v="6000"/>
    <n v="20250"/>
    <n v="205872.46875"/>
    <n v="0"/>
    <n v="0"/>
    <n v="0"/>
    <n v="1"/>
    <n v="0"/>
    <n v="0"/>
    <n v="0"/>
    <n v="0"/>
    <n v="0"/>
    <n v="0"/>
    <n v="0"/>
    <n v="0"/>
  </r>
  <r>
    <s v="6LU008"/>
    <s v="Värdegrund, etik och mångfald (UVK)"/>
    <n v="71911"/>
    <s v="LYYRK"/>
    <m/>
    <s v="vt"/>
    <m/>
    <s v="Umeå"/>
    <s v="Distans"/>
    <m/>
    <m/>
    <m/>
    <n v="5"/>
    <m/>
    <m/>
    <n v="44"/>
    <n v="3.6669999999999998"/>
    <n v="0.85"/>
    <n v="3.1169499999999997"/>
    <x v="11"/>
    <s v="Inst för ide- o samhällsstudier"/>
    <s v="Hum"/>
    <s v="Yrkeslärarprogrammet"/>
    <n v="26554"/>
    <n v="33465"/>
    <n v="201682.24974999999"/>
    <n v="6000"/>
    <n v="22002"/>
    <n v="223684.24974999999"/>
    <n v="0"/>
    <n v="0"/>
    <n v="0"/>
    <n v="1"/>
    <n v="0"/>
    <n v="0"/>
    <n v="0"/>
    <n v="0"/>
    <n v="0"/>
    <n v="0"/>
    <n v="0"/>
    <n v="0"/>
  </r>
  <r>
    <s v="6LU009"/>
    <s v="Kunskap, undervisning och lärande 1 (UVK)"/>
    <m/>
    <s v="LYYRK"/>
    <s v="H21"/>
    <s v="ht"/>
    <m/>
    <n v="2480"/>
    <m/>
    <m/>
    <m/>
    <n v="0.5"/>
    <n v="10"/>
    <m/>
    <m/>
    <n v="45"/>
    <n v="7.5"/>
    <n v="0.85"/>
    <n v="6.375"/>
    <x v="11"/>
    <s v="Inst för ide- o samhällsstudier"/>
    <s v="Hum"/>
    <s v="Yrkeslärarprogrammet"/>
    <n v="26554"/>
    <n v="33465"/>
    <n v="412494.375"/>
    <n v="6000"/>
    <n v="45000"/>
    <n v="457494.375"/>
    <n v="0"/>
    <n v="0"/>
    <n v="0"/>
    <n v="1"/>
    <n v="0"/>
    <n v="0"/>
    <n v="0"/>
    <n v="0"/>
    <n v="0"/>
    <n v="0"/>
    <n v="0"/>
    <n v="0"/>
  </r>
  <r>
    <s v="6LÄ046"/>
    <s v="Att undervisa i åk 4-6"/>
    <n v="71920"/>
    <s v="LYGRM"/>
    <m/>
    <s v="vt"/>
    <m/>
    <s v="Umeå"/>
    <s v="Normal"/>
    <m/>
    <m/>
    <m/>
    <n v="6"/>
    <m/>
    <m/>
    <n v="19"/>
    <n v="1.9"/>
    <n v="0.85"/>
    <n v="1.615"/>
    <x v="0"/>
    <s v="Inst för språkstudier"/>
    <s v="Hum"/>
    <s v="Grundlärarprogrammet - grundskolans åk 4-6"/>
    <n v="25235"/>
    <n v="27976"/>
    <n v="93127.739999999991"/>
    <n v="3600"/>
    <n v="6840"/>
    <n v="99967.739999999991"/>
    <n v="0"/>
    <n v="0"/>
    <n v="0"/>
    <n v="0"/>
    <n v="0"/>
    <n v="0"/>
    <n v="0"/>
    <n v="0"/>
    <n v="1"/>
    <n v="0"/>
    <n v="0"/>
    <n v="0"/>
  </r>
  <r>
    <s v="6LÄ048"/>
    <s v="Att undervisa i F-3"/>
    <n v="71919"/>
    <s v="LYGFT"/>
    <m/>
    <s v="vt"/>
    <m/>
    <s v="Umeå"/>
    <s v="Normal"/>
    <m/>
    <m/>
    <m/>
    <n v="6"/>
    <m/>
    <m/>
    <n v="38"/>
    <n v="3.8"/>
    <n v="0.85"/>
    <n v="3.23"/>
    <x v="0"/>
    <s v="Inst för språkstudier"/>
    <s v="Hum"/>
    <s v="Grundlärarprogrammet - förskoleklass och åk 1-3"/>
    <n v="25235"/>
    <n v="27976"/>
    <n v="186255.47999999998"/>
    <n v="3600"/>
    <n v="13680"/>
    <n v="199935.47999999998"/>
    <n v="0"/>
    <n v="0"/>
    <n v="0"/>
    <n v="0"/>
    <n v="0"/>
    <n v="0"/>
    <n v="0"/>
    <n v="0"/>
    <n v="1"/>
    <n v="0"/>
    <n v="0"/>
    <n v="0"/>
  </r>
  <r>
    <s v="6LÄ053"/>
    <s v="Läraryrkets dimensioner - ingångsämne engelska"/>
    <m/>
    <s v="LYAGY"/>
    <s v="H16"/>
    <s v="ht"/>
    <s v="H211-15"/>
    <s v="Umeå"/>
    <m/>
    <s v="ENGS"/>
    <m/>
    <n v="1"/>
    <n v="22.5"/>
    <m/>
    <m/>
    <n v="3"/>
    <n v="1.125"/>
    <n v="0.85"/>
    <n v="0.95624999999999993"/>
    <x v="0"/>
    <s v="Inst för språkstudier"/>
    <s v="Hum"/>
    <s v="Ämneslärarprogrammet - Gy"/>
    <n v="25235"/>
    <n v="27976"/>
    <n v="55141.425000000003"/>
    <n v="3600"/>
    <n v="4050"/>
    <n v="59191.425000000003"/>
    <n v="0"/>
    <n v="0"/>
    <n v="0"/>
    <n v="0"/>
    <n v="0"/>
    <n v="0"/>
    <n v="0"/>
    <n v="0"/>
    <n v="1"/>
    <n v="0"/>
    <n v="0"/>
    <n v="0"/>
  </r>
  <r>
    <s v="6LÄ053"/>
    <s v="Läraryrkets dimensioner - ingångsämne engelska"/>
    <m/>
    <s v="LYAGY"/>
    <s v="H17"/>
    <s v="ht"/>
    <s v="H211-15"/>
    <s v="Umeå"/>
    <m/>
    <s v="ENGS"/>
    <m/>
    <n v="1"/>
    <n v="22.5"/>
    <m/>
    <m/>
    <n v="15"/>
    <n v="5.625"/>
    <n v="0.85"/>
    <n v="4.78125"/>
    <x v="0"/>
    <s v="Inst för språkstudier"/>
    <s v="Hum"/>
    <s v="Ämneslärarprogrammet - Gy"/>
    <n v="25235"/>
    <n v="27976"/>
    <n v="275707.125"/>
    <n v="3600"/>
    <n v="20250"/>
    <n v="295957.125"/>
    <n v="0"/>
    <n v="0"/>
    <n v="0"/>
    <n v="0"/>
    <n v="0"/>
    <n v="0"/>
    <n v="0"/>
    <n v="0"/>
    <n v="1"/>
    <n v="0"/>
    <n v="0"/>
    <n v="0"/>
  </r>
  <r>
    <s v="6LÄ053"/>
    <s v="Läraryrkets dimensioner - ingångsämne engelska"/>
    <m/>
    <s v="LYAGY"/>
    <s v="H18"/>
    <s v="ht"/>
    <s v="H211-15"/>
    <s v="Umeå"/>
    <m/>
    <s v="ENGS"/>
    <m/>
    <n v="1"/>
    <n v="22.5"/>
    <m/>
    <m/>
    <n v="1"/>
    <n v="0.375"/>
    <n v="0.85"/>
    <n v="0.31874999999999998"/>
    <x v="0"/>
    <s v="Inst för språkstudier"/>
    <s v="Hum"/>
    <s v="Ämneslärarprogrammet - Gy"/>
    <n v="25235"/>
    <n v="27976"/>
    <n v="18380.474999999999"/>
    <n v="3600"/>
    <n v="1350"/>
    <n v="19730.474999999999"/>
    <n v="0"/>
    <n v="0"/>
    <n v="0"/>
    <n v="0"/>
    <n v="0"/>
    <n v="0"/>
    <n v="0"/>
    <n v="0"/>
    <n v="1"/>
    <n v="0"/>
    <n v="0"/>
    <n v="0"/>
  </r>
  <r>
    <s v="6LÄ053"/>
    <s v="Läraryrkets dimensioner - ingångsämne engelska"/>
    <n v="71925"/>
    <s v="LYAGY"/>
    <m/>
    <s v="vt"/>
    <m/>
    <s v="Umeå"/>
    <s v="Normal"/>
    <s v="ENGS"/>
    <m/>
    <m/>
    <n v="22.5"/>
    <m/>
    <m/>
    <n v="17"/>
    <n v="6.375"/>
    <n v="0.85"/>
    <n v="5.4187500000000002"/>
    <x v="0"/>
    <s v="Inst för språkstudier"/>
    <s v="Hum"/>
    <s v="Ämneslärarprogrammet - Gy"/>
    <n v="25235"/>
    <n v="27976"/>
    <n v="312468.07500000001"/>
    <n v="3600"/>
    <n v="22950"/>
    <n v="335418.07500000001"/>
    <n v="0"/>
    <n v="0"/>
    <n v="0"/>
    <n v="0"/>
    <n v="0"/>
    <n v="0"/>
    <n v="0"/>
    <n v="0"/>
    <n v="1"/>
    <n v="0"/>
    <n v="0"/>
    <n v="0"/>
  </r>
  <r>
    <s v="6LÄ054"/>
    <s v="Läraryrkets dimensioner - ingångsämne svenska"/>
    <m/>
    <s v="LYAGY"/>
    <s v="H16"/>
    <s v="ht"/>
    <s v="H211-15"/>
    <s v="Umeå"/>
    <m/>
    <s v="SVAA"/>
    <m/>
    <n v="1"/>
    <n v="22.5"/>
    <m/>
    <m/>
    <n v="2"/>
    <n v="0.75"/>
    <n v="0.85"/>
    <n v="0.63749999999999996"/>
    <x v="0"/>
    <s v="Inst för språkstudier"/>
    <s v="Hum"/>
    <s v="Ämneslärarprogrammet - Gy"/>
    <n v="25235"/>
    <n v="27976"/>
    <n v="36760.949999999997"/>
    <n v="3600"/>
    <n v="2700"/>
    <n v="39460.949999999997"/>
    <n v="0"/>
    <n v="0"/>
    <n v="0"/>
    <n v="0"/>
    <n v="0"/>
    <n v="0"/>
    <n v="0"/>
    <n v="0"/>
    <n v="1"/>
    <n v="0"/>
    <n v="0"/>
    <n v="0"/>
  </r>
  <r>
    <s v="6LÄ054"/>
    <s v="Läraryrkets dimensioner - ingångsämne svenska"/>
    <m/>
    <s v="LYAGY"/>
    <s v="H17"/>
    <s v="ht"/>
    <s v="H211-15"/>
    <s v="Umeå"/>
    <m/>
    <s v="SVAA"/>
    <m/>
    <n v="1"/>
    <n v="22.5"/>
    <m/>
    <m/>
    <n v="7"/>
    <n v="2.625"/>
    <n v="0.85"/>
    <n v="2.2312499999999997"/>
    <x v="0"/>
    <s v="Inst för språkstudier"/>
    <s v="Hum"/>
    <s v="Ämneslärarprogrammet - Gy"/>
    <n v="25235"/>
    <n v="27976"/>
    <n v="128663.32499999998"/>
    <n v="3600"/>
    <n v="9450"/>
    <n v="138113.32499999998"/>
    <n v="0"/>
    <n v="0"/>
    <n v="0"/>
    <n v="0"/>
    <n v="0"/>
    <n v="0"/>
    <n v="0"/>
    <n v="0"/>
    <n v="1"/>
    <n v="0"/>
    <n v="0"/>
    <n v="0"/>
  </r>
  <r>
    <s v="6LÄ054"/>
    <s v="Läraryrkets dimensioner - ingångsämne svenska"/>
    <m/>
    <s v="LYAGY"/>
    <s v="H20"/>
    <s v="ht"/>
    <s v="H211-15"/>
    <s v="Umeå"/>
    <m/>
    <s v="SVAA"/>
    <m/>
    <n v="1"/>
    <n v="22.5"/>
    <m/>
    <m/>
    <n v="1"/>
    <n v="0.375"/>
    <n v="0.85"/>
    <n v="0.31874999999999998"/>
    <x v="0"/>
    <s v="Inst för språkstudier"/>
    <s v="Hum"/>
    <s v="Ämneslärarprogrammet - Gy"/>
    <n v="25235"/>
    <n v="27976"/>
    <n v="18380.474999999999"/>
    <n v="3600"/>
    <n v="1350"/>
    <n v="19730.474999999999"/>
    <n v="0"/>
    <n v="0"/>
    <n v="0"/>
    <n v="0"/>
    <n v="0"/>
    <n v="0"/>
    <n v="0"/>
    <n v="0"/>
    <n v="1"/>
    <n v="0"/>
    <n v="0"/>
    <n v="0"/>
  </r>
  <r>
    <s v="6LÄ054"/>
    <s v="Läraryrkets dimensioner - ingångsämne svenska"/>
    <n v="71901"/>
    <s v="LYAGY"/>
    <m/>
    <s v="vt"/>
    <m/>
    <s v="Umeå"/>
    <s v="Normal"/>
    <s v="SVAA"/>
    <m/>
    <m/>
    <n v="22.5"/>
    <m/>
    <m/>
    <n v="9"/>
    <n v="3.375"/>
    <n v="0.85"/>
    <n v="2.8687499999999999"/>
    <x v="0"/>
    <s v="Inst för språkstudier"/>
    <s v="Hum"/>
    <s v="Ämneslärarprogrammet - Gy"/>
    <n v="25235"/>
    <n v="27976"/>
    <n v="165424.27499999999"/>
    <n v="3600"/>
    <n v="12150"/>
    <n v="177574.27499999999"/>
    <n v="0"/>
    <n v="0"/>
    <n v="0"/>
    <n v="0"/>
    <n v="0"/>
    <n v="0"/>
    <n v="0"/>
    <n v="0"/>
    <n v="1"/>
    <n v="0"/>
    <n v="0"/>
    <n v="0"/>
  </r>
  <r>
    <s v="6LÄ058"/>
    <s v="Kommunikation och språkutveckling för fritidshem"/>
    <n v="71921"/>
    <s v="LYGFR"/>
    <m/>
    <s v="vt"/>
    <m/>
    <s v="Umeå"/>
    <s v="Normal"/>
    <m/>
    <m/>
    <m/>
    <n v="7.5"/>
    <m/>
    <m/>
    <n v="21"/>
    <n v="2.625"/>
    <n v="0.85"/>
    <n v="2.2312499999999997"/>
    <x v="0"/>
    <s v="Inst för språkstudier"/>
    <s v="Hum"/>
    <s v="Grundlärarprogrammet - fritidshem"/>
    <n v="20766"/>
    <n v="17442"/>
    <n v="93428.212499999994"/>
    <n v="6000"/>
    <n v="15750"/>
    <n v="109178.21249999999"/>
    <n v="0"/>
    <n v="1"/>
    <n v="0"/>
    <n v="0"/>
    <n v="0"/>
    <n v="0"/>
    <n v="0"/>
    <n v="0"/>
    <n v="0"/>
    <n v="0"/>
    <n v="0"/>
    <n v="0"/>
  </r>
  <r>
    <s v="6LÄ059"/>
    <s v="Läraryrkets dimensioner - ingångsämne spanska"/>
    <n v="71929"/>
    <s v="LYAGY"/>
    <m/>
    <s v="vt"/>
    <m/>
    <s v="Umeå"/>
    <s v="Normal"/>
    <s v="SPAN"/>
    <m/>
    <m/>
    <n v="22.5"/>
    <m/>
    <m/>
    <n v="1"/>
    <n v="0.375"/>
    <n v="0.85"/>
    <n v="0.31874999999999998"/>
    <x v="0"/>
    <s v="Inst för språkstudier"/>
    <s v="Hum"/>
    <s v="Ämneslärarprogrammet - Gy"/>
    <n v="25235"/>
    <n v="27976"/>
    <n v="18380.474999999999"/>
    <n v="3600"/>
    <n v="1350"/>
    <n v="19730.474999999999"/>
    <n v="0"/>
    <n v="0"/>
    <n v="0"/>
    <n v="0"/>
    <n v="0"/>
    <n v="0"/>
    <n v="0"/>
    <n v="0"/>
    <n v="1"/>
    <n v="0"/>
    <n v="0"/>
    <n v="0"/>
  </r>
  <r>
    <s v="6LÄ061"/>
    <s v="Läraryrkets dimensioner - ingångsämne tyska (VFU)"/>
    <m/>
    <s v="LYAGY"/>
    <s v="H17"/>
    <s v="ht"/>
    <s v="H211-15"/>
    <s v="Umeå"/>
    <m/>
    <s v="TYSK"/>
    <m/>
    <n v="1"/>
    <n v="22.5"/>
    <m/>
    <m/>
    <n v="1"/>
    <n v="0.375"/>
    <n v="0.85"/>
    <n v="0.31874999999999998"/>
    <x v="0"/>
    <s v="Inst för språkstudier"/>
    <s v="Hum"/>
    <s v="Ämneslärarprogrammet - Gy"/>
    <n v="25235"/>
    <n v="27976"/>
    <n v="18380.474999999999"/>
    <n v="3600"/>
    <n v="1350"/>
    <n v="19730.474999999999"/>
    <n v="0"/>
    <n v="0"/>
    <n v="0"/>
    <n v="0"/>
    <n v="0"/>
    <n v="0"/>
    <n v="0"/>
    <n v="0"/>
    <n v="1"/>
    <n v="0"/>
    <n v="0"/>
    <n v="0"/>
  </r>
  <r>
    <s v="6LÄ061"/>
    <s v="Läraryrkets dimensioner - ingångsämne tyska (VFU)"/>
    <n v="71928"/>
    <s v="LYAGY"/>
    <m/>
    <s v="vt"/>
    <m/>
    <s v="Umeå"/>
    <s v="Normal"/>
    <s v="TYSK"/>
    <m/>
    <m/>
    <n v="22.5"/>
    <m/>
    <m/>
    <n v="1"/>
    <n v="0.375"/>
    <n v="0.85"/>
    <n v="0.31874999999999998"/>
    <x v="0"/>
    <s v="Inst för språkstudier"/>
    <s v="Hum"/>
    <s v="Ämneslärarprogrammet - Gy"/>
    <n v="25235"/>
    <n v="27976"/>
    <n v="18380.474999999999"/>
    <n v="3600"/>
    <n v="1350"/>
    <n v="19730.474999999999"/>
    <n v="0"/>
    <n v="0"/>
    <n v="0"/>
    <n v="0"/>
    <n v="0"/>
    <n v="0"/>
    <n v="0"/>
    <n v="0"/>
    <n v="1"/>
    <n v="0"/>
    <n v="0"/>
    <n v="0"/>
  </r>
  <r>
    <s v="6LÄ062"/>
    <s v="Läraryrkets dimensioner - ingångsämne svenska som andraspråk (VFU)"/>
    <n v="71914"/>
    <s v="LYAGY"/>
    <m/>
    <s v="vt"/>
    <m/>
    <s v="Umeå"/>
    <s v="Normal"/>
    <s v="SVAN"/>
    <m/>
    <m/>
    <n v="22.5"/>
    <m/>
    <m/>
    <n v="2"/>
    <n v="0.75"/>
    <n v="0.85"/>
    <n v="0.63749999999999996"/>
    <x v="0"/>
    <s v="Inst för språkstudier"/>
    <s v="Hum"/>
    <s v="Ämneslärarprogrammet - Gy"/>
    <n v="25235"/>
    <n v="27976"/>
    <n v="36760.949999999997"/>
    <n v="3600"/>
    <n v="2700"/>
    <n v="39460.949999999997"/>
    <n v="0"/>
    <n v="0"/>
    <n v="0"/>
    <n v="0"/>
    <n v="0"/>
    <n v="0"/>
    <n v="0"/>
    <n v="0"/>
    <n v="1"/>
    <n v="0"/>
    <n v="0"/>
    <n v="0"/>
  </r>
  <r>
    <s v="6LÄ063"/>
    <s v="Språkutveckling, litteracitet och barnlitteratur i förskolan och förskoleklassen"/>
    <m/>
    <s v="LYFSK"/>
    <s v="H19"/>
    <s v="ht"/>
    <s v="H211-10"/>
    <s v="Umeå"/>
    <s v="Campus"/>
    <m/>
    <m/>
    <n v="1"/>
    <n v="15"/>
    <m/>
    <m/>
    <n v="1"/>
    <n v="0.25"/>
    <n v="0.85"/>
    <n v="0.21249999999999999"/>
    <x v="0"/>
    <s v="Inst för språkstudier"/>
    <s v="Hum"/>
    <s v="Förskollärarprogrammet"/>
    <n v="20766"/>
    <n v="17442"/>
    <n v="8897.9249999999993"/>
    <n v="6000"/>
    <n v="1500"/>
    <n v="10397.924999999999"/>
    <n v="0"/>
    <n v="1"/>
    <n v="0"/>
    <n v="0"/>
    <n v="0"/>
    <n v="0"/>
    <n v="0"/>
    <n v="0"/>
    <n v="0"/>
    <n v="0"/>
    <n v="0"/>
    <n v="0"/>
  </r>
  <r>
    <s v="6LÄ063"/>
    <s v="Språkutveckling, litteracitet och barnlitteratur i förskolan och förskoleklassen"/>
    <m/>
    <s v="LYFSK"/>
    <s v="H20"/>
    <s v="ht"/>
    <s v="H211-10"/>
    <s v="Umeå"/>
    <s v="Campus"/>
    <m/>
    <m/>
    <n v="1"/>
    <n v="15"/>
    <m/>
    <m/>
    <n v="38"/>
    <n v="9.5"/>
    <n v="0.85"/>
    <n v="8.0749999999999993"/>
    <x v="0"/>
    <s v="Inst för språkstudier"/>
    <s v="Hum"/>
    <s v="Förskollärarprogrammet"/>
    <n v="20766"/>
    <n v="17442"/>
    <n v="338121.15"/>
    <n v="6000"/>
    <n v="57000"/>
    <n v="395121.15"/>
    <n v="0"/>
    <n v="1"/>
    <n v="0"/>
    <n v="0"/>
    <n v="0"/>
    <n v="0"/>
    <n v="0"/>
    <n v="0"/>
    <n v="0"/>
    <n v="0"/>
    <n v="0"/>
    <n v="0"/>
  </r>
  <r>
    <s v="6LÄ063"/>
    <s v="Språkutveckling, litteracitet och barnlitteratur i förskolan och förskoleklassen"/>
    <n v="71913"/>
    <s v="LYFSK"/>
    <m/>
    <s v="vt"/>
    <m/>
    <s v="Umeå"/>
    <s v="Normal"/>
    <m/>
    <m/>
    <m/>
    <n v="15"/>
    <m/>
    <m/>
    <n v="23"/>
    <n v="5.75"/>
    <n v="0.85"/>
    <n v="4.8875000000000002"/>
    <x v="0"/>
    <s v="Inst för språkstudier"/>
    <s v="Hum"/>
    <s v="Förskollärarprogrammet"/>
    <n v="20766"/>
    <n v="17442"/>
    <n v="204652.27500000002"/>
    <n v="6000"/>
    <n v="34500"/>
    <n v="239152.27500000002"/>
    <n v="0"/>
    <n v="1"/>
    <n v="0"/>
    <n v="0"/>
    <n v="0"/>
    <n v="0"/>
    <n v="0"/>
    <n v="0"/>
    <n v="0"/>
    <n v="0"/>
    <n v="0"/>
    <n v="0"/>
  </r>
  <r>
    <s v="6LÄ064"/>
    <s v="Barns språkutveckling"/>
    <m/>
    <s v="FRIST"/>
    <m/>
    <s v="ht"/>
    <m/>
    <m/>
    <s v="Distans"/>
    <m/>
    <m/>
    <n v="0.25"/>
    <n v="7.5"/>
    <m/>
    <m/>
    <n v="50"/>
    <n v="6.25"/>
    <n v="0.8"/>
    <n v="5"/>
    <x v="0"/>
    <s v="Inst för språkstudier"/>
    <s v="Hum"/>
    <s v="Fristående och övriga kurser"/>
    <n v="20766"/>
    <n v="17442"/>
    <n v="216997.5"/>
    <n v="6000"/>
    <n v="37500"/>
    <n v="254497.5"/>
    <n v="0"/>
    <n v="1"/>
    <n v="0"/>
    <n v="0"/>
    <n v="0"/>
    <n v="0"/>
    <n v="0"/>
    <n v="0"/>
    <n v="0"/>
    <n v="0"/>
    <n v="0"/>
    <n v="0"/>
  </r>
  <r>
    <s v="6LÄ065"/>
    <s v="Läs- och skrivinlärning"/>
    <m/>
    <s v="FRIST"/>
    <m/>
    <s v="ht"/>
    <m/>
    <m/>
    <s v="Distans"/>
    <m/>
    <m/>
    <n v="0.25"/>
    <n v="7.5"/>
    <m/>
    <m/>
    <n v="40"/>
    <n v="5"/>
    <n v="0.8"/>
    <n v="4"/>
    <x v="0"/>
    <s v="Inst för språkstudier"/>
    <s v="Hum"/>
    <s v="Fristående och övriga kurser"/>
    <n v="20766"/>
    <n v="17442"/>
    <n v="173598"/>
    <n v="6000"/>
    <n v="30000"/>
    <n v="203598"/>
    <n v="0"/>
    <n v="1"/>
    <n v="0"/>
    <n v="0"/>
    <n v="0"/>
    <n v="0"/>
    <n v="0"/>
    <n v="0"/>
    <n v="0"/>
    <n v="0"/>
    <n v="0"/>
    <n v="0"/>
  </r>
  <r>
    <s v="6LÄ068"/>
    <s v="Läsa och skriva i alla ämnen. För lärare i åk 4-6"/>
    <m/>
    <s v="FRIST"/>
    <m/>
    <s v="ht"/>
    <m/>
    <m/>
    <s v="Distans"/>
    <m/>
    <m/>
    <n v="0.25"/>
    <n v="7.5"/>
    <m/>
    <m/>
    <n v="20"/>
    <n v="2.5"/>
    <n v="0.8"/>
    <n v="2"/>
    <x v="0"/>
    <s v="Inst för språkstudier"/>
    <s v="Hum"/>
    <s v="Fristående och övriga kurser"/>
    <n v="20766"/>
    <n v="17442"/>
    <n v="86799"/>
    <n v="6000"/>
    <n v="15000"/>
    <n v="101799"/>
    <n v="0"/>
    <n v="1"/>
    <n v="0"/>
    <n v="0"/>
    <n v="0"/>
    <n v="0"/>
    <n v="0"/>
    <n v="0"/>
    <n v="0"/>
    <n v="0"/>
    <n v="0"/>
    <n v="0"/>
  </r>
  <r>
    <s v="6MA034"/>
    <s v="Läraryrkets dimensioner - ingångsämne matematik"/>
    <m/>
    <s v="LYAGY"/>
    <s v="H16"/>
    <s v="ht"/>
    <s v="H211-15"/>
    <s v="Umeå"/>
    <m/>
    <s v="MATT"/>
    <m/>
    <n v="1"/>
    <n v="22.5"/>
    <m/>
    <m/>
    <n v="1"/>
    <n v="0.375"/>
    <n v="0.85"/>
    <n v="0.31874999999999998"/>
    <x v="6"/>
    <s v="Inst för MA och MA statistik"/>
    <s v="TekNat"/>
    <s v="Ämneslärarprogrammet - Gy"/>
    <n v="25235"/>
    <n v="27976"/>
    <n v="18380.474999999999"/>
    <n v="3600"/>
    <n v="1350"/>
    <n v="19730.474999999999"/>
    <n v="0"/>
    <n v="0"/>
    <n v="0"/>
    <n v="0"/>
    <n v="0"/>
    <n v="0"/>
    <n v="0"/>
    <n v="0"/>
    <n v="1"/>
    <n v="0"/>
    <n v="0"/>
    <n v="0"/>
  </r>
  <r>
    <s v="6MA034"/>
    <s v="Läraryrkets dimensioner - ingångsämne matematik"/>
    <m/>
    <s v="LYAGY"/>
    <s v="H17"/>
    <s v="ht"/>
    <s v="H211-15"/>
    <s v="Umeå"/>
    <m/>
    <s v="MATT"/>
    <m/>
    <n v="1"/>
    <n v="22.5"/>
    <m/>
    <m/>
    <n v="11"/>
    <n v="4.125"/>
    <n v="0.85"/>
    <n v="3.5062500000000001"/>
    <x v="6"/>
    <s v="Inst för MA och MA statistik"/>
    <s v="TekNat"/>
    <s v="Ämneslärarprogrammet - Gy"/>
    <n v="25235"/>
    <n v="27976"/>
    <n v="202185.22500000001"/>
    <n v="3600"/>
    <n v="14850"/>
    <n v="217035.22500000001"/>
    <n v="0"/>
    <n v="0"/>
    <n v="0"/>
    <n v="0"/>
    <n v="0"/>
    <n v="0"/>
    <n v="0"/>
    <n v="0"/>
    <n v="1"/>
    <n v="0"/>
    <n v="0"/>
    <n v="0"/>
  </r>
  <r>
    <s v="6MA034"/>
    <s v="Läraryrkets dimensioner - ingångsämne matematik"/>
    <n v="75812"/>
    <s v="LYAGY"/>
    <m/>
    <s v="vt"/>
    <m/>
    <s v="Umeå"/>
    <s v="Normal"/>
    <s v="IDMA"/>
    <m/>
    <m/>
    <n v="22.5"/>
    <m/>
    <m/>
    <n v="1"/>
    <n v="0.375"/>
    <n v="0.85"/>
    <n v="0.31874999999999998"/>
    <x v="6"/>
    <s v="Inst för MA och MA statistik"/>
    <s v="TekNat"/>
    <s v="Ämneslärarprogrammet - Gy"/>
    <n v="25235"/>
    <n v="27976"/>
    <n v="18380.474999999999"/>
    <n v="3600"/>
    <n v="1350"/>
    <n v="19730.474999999999"/>
    <n v="0"/>
    <n v="0"/>
    <n v="0"/>
    <n v="0"/>
    <n v="0"/>
    <n v="0"/>
    <n v="0"/>
    <n v="0"/>
    <n v="1"/>
    <n v="0"/>
    <n v="0"/>
    <n v="0"/>
  </r>
  <r>
    <s v="6MA034"/>
    <s v="Läraryrkets dimensioner - ingångsämne matematik"/>
    <n v="75812"/>
    <s v="LYAGY"/>
    <m/>
    <s v="vt"/>
    <m/>
    <s v="Umeå"/>
    <s v="Normal"/>
    <s v="MATT"/>
    <m/>
    <m/>
    <n v="22.5"/>
    <m/>
    <m/>
    <n v="8"/>
    <n v="3"/>
    <n v="0.85"/>
    <n v="2.5499999999999998"/>
    <x v="6"/>
    <s v="Inst för MA och MA statistik"/>
    <s v="TekNat"/>
    <s v="Ämneslärarprogrammet - Gy"/>
    <n v="25235"/>
    <n v="27976"/>
    <n v="147043.79999999999"/>
    <n v="3600"/>
    <n v="10800"/>
    <n v="157843.79999999999"/>
    <n v="0"/>
    <n v="0"/>
    <n v="0"/>
    <n v="0"/>
    <n v="0"/>
    <n v="0"/>
    <n v="0"/>
    <n v="0"/>
    <n v="1"/>
    <n v="0"/>
    <n v="0"/>
    <n v="0"/>
  </r>
  <r>
    <s v="6MA036"/>
    <s v="Linjär algebra"/>
    <n v="75803"/>
    <s v="FRIST"/>
    <m/>
    <s v="vt"/>
    <m/>
    <s v="Umeå"/>
    <s v="Normal"/>
    <m/>
    <m/>
    <m/>
    <n v="7.5"/>
    <m/>
    <m/>
    <n v="9"/>
    <n v="1.125"/>
    <n v="0.8"/>
    <n v="0.9"/>
    <x v="6"/>
    <s v="Inst för MA och MA statistik"/>
    <s v="TekNat"/>
    <s v="Fristående och övriga kurser"/>
    <n v="20757"/>
    <n v="36082"/>
    <n v="55825.425000000003"/>
    <n v="22600"/>
    <n v="25425"/>
    <n v="81250.425000000003"/>
    <n v="0"/>
    <n v="0"/>
    <n v="0"/>
    <n v="0"/>
    <n v="0"/>
    <n v="1"/>
    <n v="0"/>
    <n v="0"/>
    <n v="0"/>
    <n v="0"/>
    <n v="0"/>
    <n v="0"/>
  </r>
  <r>
    <s v="6MA036"/>
    <s v="Linjär algebra"/>
    <n v="75803"/>
    <s v="LYAGR"/>
    <m/>
    <s v="vt"/>
    <m/>
    <s v="Umeå"/>
    <s v="Normal"/>
    <s v="TXBI"/>
    <m/>
    <m/>
    <n v="7.5"/>
    <m/>
    <m/>
    <n v="1"/>
    <n v="0.125"/>
    <n v="0.85"/>
    <n v="0.10625"/>
    <x v="6"/>
    <s v="Inst för MA och MA statistik"/>
    <s v="TekNat"/>
    <s v="Ämneslärarprogrammet - åk 7-9"/>
    <n v="20757"/>
    <n v="36082"/>
    <n v="6428.3374999999996"/>
    <n v="22600"/>
    <n v="2825"/>
    <n v="9253.3374999999996"/>
    <n v="0"/>
    <n v="0"/>
    <n v="0"/>
    <n v="0"/>
    <n v="0"/>
    <n v="1"/>
    <n v="0"/>
    <n v="0"/>
    <n v="0"/>
    <n v="0"/>
    <n v="0"/>
    <n v="0"/>
  </r>
  <r>
    <s v="6MA036"/>
    <s v="Linjär algebra"/>
    <n v="75803"/>
    <s v="LYAGY"/>
    <m/>
    <s v="vt"/>
    <m/>
    <s v="Umeå"/>
    <s v="Normal"/>
    <s v="IDRH"/>
    <m/>
    <m/>
    <n v="7.5"/>
    <m/>
    <m/>
    <n v="1"/>
    <n v="0.125"/>
    <n v="0.85"/>
    <n v="0.10625"/>
    <x v="6"/>
    <s v="Inst för MA och MA statistik"/>
    <s v="TekNat"/>
    <s v="Ämneslärarprogrammet - Gy"/>
    <n v="20757"/>
    <n v="36082"/>
    <n v="6428.3374999999996"/>
    <n v="22600"/>
    <n v="2825"/>
    <n v="9253.3374999999996"/>
    <n v="0"/>
    <n v="0"/>
    <n v="0"/>
    <n v="0"/>
    <n v="0"/>
    <n v="1"/>
    <n v="0"/>
    <n v="0"/>
    <n v="0"/>
    <n v="0"/>
    <n v="0"/>
    <n v="0"/>
  </r>
  <r>
    <s v="6MA036"/>
    <s v="Linjär algebra"/>
    <n v="75803"/>
    <s v="LYAGY"/>
    <m/>
    <s v="vt"/>
    <m/>
    <s v="Umeå"/>
    <s v="Normal"/>
    <s v="MATT"/>
    <m/>
    <m/>
    <n v="7.5"/>
    <m/>
    <m/>
    <n v="12"/>
    <n v="1.5"/>
    <n v="0.85"/>
    <n v="1.2749999999999999"/>
    <x v="6"/>
    <s v="Inst för MA och MA statistik"/>
    <s v="TekNat"/>
    <s v="Ämneslärarprogrammet - Gy"/>
    <n v="20757"/>
    <n v="36082"/>
    <n v="77140.049999999988"/>
    <n v="22600"/>
    <n v="33900"/>
    <n v="111040.04999999999"/>
    <n v="0"/>
    <n v="0"/>
    <n v="0"/>
    <n v="0"/>
    <n v="0"/>
    <n v="1"/>
    <n v="0"/>
    <n v="0"/>
    <n v="0"/>
    <n v="0"/>
    <n v="0"/>
    <n v="0"/>
  </r>
  <r>
    <s v="6MA038"/>
    <s v="Matematik 1 för grundskolans årskurs 4-6"/>
    <n v="75804"/>
    <s v="LYGRM"/>
    <m/>
    <s v="vt"/>
    <m/>
    <s v="Umeå"/>
    <s v="Normal"/>
    <m/>
    <m/>
    <m/>
    <n v="7.5"/>
    <m/>
    <m/>
    <n v="46"/>
    <n v="5.75"/>
    <n v="0.85"/>
    <n v="4.8875000000000002"/>
    <x v="6"/>
    <s v="Inst för MA och MA statistik"/>
    <s v="TekNat"/>
    <s v="Grundlärarprogrammet - grundskolans åk 4-6"/>
    <n v="20757"/>
    <n v="36082"/>
    <n v="295703.52500000002"/>
    <n v="22600"/>
    <n v="129950"/>
    <n v="425653.52500000002"/>
    <n v="0"/>
    <n v="0"/>
    <n v="0"/>
    <n v="0"/>
    <n v="0"/>
    <n v="1"/>
    <n v="0"/>
    <n v="0"/>
    <n v="0"/>
    <n v="0"/>
    <n v="0"/>
    <n v="0"/>
  </r>
  <r>
    <s v="6MA040"/>
    <s v="Algebra"/>
    <n v="75813"/>
    <s v="FRIST"/>
    <m/>
    <s v="vt"/>
    <m/>
    <s v="Umeå"/>
    <s v="Normal"/>
    <m/>
    <m/>
    <m/>
    <n v="7.5"/>
    <m/>
    <m/>
    <n v="20"/>
    <n v="2.5"/>
    <n v="0.8"/>
    <n v="2"/>
    <x v="6"/>
    <s v="Inst för MA och MA statistik"/>
    <s v="TekNat"/>
    <s v="Fristående och övriga kurser"/>
    <n v="20757"/>
    <n v="36082"/>
    <n v="124056.5"/>
    <n v="22600"/>
    <n v="56500"/>
    <n v="180556.5"/>
    <n v="0"/>
    <n v="0"/>
    <n v="0"/>
    <n v="0"/>
    <n v="0"/>
    <n v="1"/>
    <n v="0"/>
    <n v="0"/>
    <n v="0"/>
    <n v="0"/>
    <n v="0"/>
    <n v="0"/>
  </r>
  <r>
    <s v="6MA040"/>
    <s v="Algebra"/>
    <n v="75813"/>
    <s v="LYAGY"/>
    <m/>
    <s v="vt"/>
    <m/>
    <s v="Umeå"/>
    <s v="Normal"/>
    <s v="BIOL"/>
    <m/>
    <m/>
    <n v="7.5"/>
    <m/>
    <m/>
    <n v="1"/>
    <n v="0.125"/>
    <n v="0.85"/>
    <n v="0.10625"/>
    <x v="6"/>
    <s v="Inst för MA och MA statistik"/>
    <s v="TekNat"/>
    <s v="Ämneslärarprogrammet - Gy"/>
    <n v="20757"/>
    <n v="36082"/>
    <n v="6428.3374999999996"/>
    <n v="22600"/>
    <n v="2825"/>
    <n v="9253.3374999999996"/>
    <n v="0"/>
    <n v="0"/>
    <n v="0"/>
    <n v="0"/>
    <n v="0"/>
    <n v="1"/>
    <n v="0"/>
    <n v="0"/>
    <n v="0"/>
    <n v="0"/>
    <n v="0"/>
    <n v="0"/>
  </r>
  <r>
    <s v="6MA040"/>
    <s v="Algebra"/>
    <n v="75813"/>
    <s v="LYAGY"/>
    <m/>
    <s v="vt"/>
    <m/>
    <s v="Umeå"/>
    <s v="Normal"/>
    <s v="IDRH"/>
    <m/>
    <m/>
    <n v="7.5"/>
    <m/>
    <m/>
    <n v="2"/>
    <n v="0.25"/>
    <n v="0.85"/>
    <n v="0.21249999999999999"/>
    <x v="6"/>
    <s v="Inst för MA och MA statistik"/>
    <s v="TekNat"/>
    <s v="Ämneslärarprogrammet - Gy"/>
    <n v="20757"/>
    <n v="36082"/>
    <n v="12856.674999999999"/>
    <n v="22600"/>
    <n v="5650"/>
    <n v="18506.674999999999"/>
    <n v="0"/>
    <n v="0"/>
    <n v="0"/>
    <n v="0"/>
    <n v="0"/>
    <n v="1"/>
    <n v="0"/>
    <n v="0"/>
    <n v="0"/>
    <n v="0"/>
    <n v="0"/>
    <n v="0"/>
  </r>
  <r>
    <s v="6MA040"/>
    <s v="Algebra"/>
    <n v="75813"/>
    <s v="LYAGY"/>
    <m/>
    <s v="vt"/>
    <m/>
    <s v="Umeå"/>
    <s v="Normal"/>
    <s v="MATT"/>
    <m/>
    <m/>
    <n v="7.5"/>
    <m/>
    <m/>
    <n v="23"/>
    <n v="2.875"/>
    <n v="0.85"/>
    <n v="2.4437500000000001"/>
    <x v="6"/>
    <s v="Inst för MA och MA statistik"/>
    <s v="TekNat"/>
    <s v="Ämneslärarprogrammet - Gy"/>
    <n v="20757"/>
    <n v="36082"/>
    <n v="147851.76250000001"/>
    <n v="22600"/>
    <n v="64975"/>
    <n v="212826.76250000001"/>
    <n v="0"/>
    <n v="0"/>
    <n v="0"/>
    <n v="0"/>
    <n v="0"/>
    <n v="1"/>
    <n v="0"/>
    <n v="0"/>
    <n v="0"/>
    <n v="0"/>
    <n v="0"/>
    <n v="0"/>
  </r>
  <r>
    <s v="6MA040"/>
    <s v="Algebra"/>
    <n v="75813"/>
    <s v="LYAGY"/>
    <m/>
    <s v="vt"/>
    <m/>
    <s v="Umeå"/>
    <s v="Normal"/>
    <s v="SAMK"/>
    <m/>
    <m/>
    <n v="7.5"/>
    <m/>
    <m/>
    <n v="1"/>
    <n v="0.125"/>
    <n v="0.85"/>
    <n v="0.10625"/>
    <x v="6"/>
    <s v="Inst för MA och MA statistik"/>
    <s v="TekNat"/>
    <s v="Ämneslärarprogrammet - Gy"/>
    <n v="20757"/>
    <n v="36082"/>
    <n v="6428.3374999999996"/>
    <n v="22600"/>
    <n v="2825"/>
    <n v="9253.3374999999996"/>
    <n v="0"/>
    <n v="0"/>
    <n v="0"/>
    <n v="0"/>
    <n v="0"/>
    <n v="1"/>
    <n v="0"/>
    <n v="0"/>
    <n v="0"/>
    <n v="0"/>
    <n v="0"/>
    <n v="0"/>
  </r>
  <r>
    <s v="6MA041"/>
    <s v="Envariabelanalys 1"/>
    <n v="75816"/>
    <s v="FRIST"/>
    <m/>
    <s v="vt"/>
    <m/>
    <s v="Umeå"/>
    <s v="Normal"/>
    <m/>
    <m/>
    <m/>
    <n v="7.5"/>
    <m/>
    <m/>
    <n v="14"/>
    <n v="1.75"/>
    <n v="0.8"/>
    <n v="1.4000000000000001"/>
    <x v="6"/>
    <s v="Inst för MA och MA statistik"/>
    <s v="TekNat"/>
    <s v="Fristående och övriga kurser"/>
    <n v="20757"/>
    <n v="36082"/>
    <n v="86839.55"/>
    <n v="22600"/>
    <n v="39550"/>
    <n v="126389.55"/>
    <n v="0"/>
    <n v="0"/>
    <n v="0"/>
    <n v="0"/>
    <n v="0"/>
    <n v="0.5"/>
    <n v="0"/>
    <n v="0.5"/>
    <n v="0"/>
    <n v="0"/>
    <n v="0"/>
    <n v="0"/>
  </r>
  <r>
    <s v="6MA041"/>
    <s v="Envariabelanalys 1"/>
    <n v="75816"/>
    <s v="LYAGY"/>
    <m/>
    <s v="vt"/>
    <m/>
    <s v="Umeå"/>
    <s v="Normal"/>
    <s v="BIOL"/>
    <m/>
    <m/>
    <n v="7.5"/>
    <m/>
    <m/>
    <n v="1"/>
    <n v="0.125"/>
    <n v="0.85"/>
    <n v="0.10625"/>
    <x v="6"/>
    <s v="Inst för MA och MA statistik"/>
    <s v="TekNat"/>
    <s v="Ämneslärarprogrammet - Gy"/>
    <n v="20757"/>
    <n v="36082"/>
    <n v="6428.3374999999996"/>
    <n v="22600"/>
    <n v="2825"/>
    <n v="9253.3374999999996"/>
    <n v="0"/>
    <n v="0"/>
    <n v="0"/>
    <n v="0"/>
    <n v="0"/>
    <n v="0.5"/>
    <n v="0"/>
    <n v="0.5"/>
    <n v="0"/>
    <n v="0"/>
    <n v="0"/>
    <n v="0"/>
  </r>
  <r>
    <s v="6MA041"/>
    <s v="Envariabelanalys 1"/>
    <n v="75816"/>
    <s v="LYAGY"/>
    <m/>
    <s v="vt"/>
    <m/>
    <s v="Umeå"/>
    <s v="Normal"/>
    <s v="IDRH"/>
    <m/>
    <m/>
    <n v="7.5"/>
    <m/>
    <m/>
    <n v="2"/>
    <n v="0.25"/>
    <n v="0.85"/>
    <n v="0.21249999999999999"/>
    <x v="6"/>
    <s v="Inst för MA och MA statistik"/>
    <s v="TekNat"/>
    <s v="Ämneslärarprogrammet - Gy"/>
    <n v="20757"/>
    <n v="36082"/>
    <n v="12856.674999999999"/>
    <n v="22600"/>
    <n v="5650"/>
    <n v="18506.674999999999"/>
    <n v="0"/>
    <n v="0"/>
    <n v="0"/>
    <n v="0"/>
    <n v="0"/>
    <n v="0.5"/>
    <n v="0"/>
    <n v="0.5"/>
    <n v="0"/>
    <n v="0"/>
    <n v="0"/>
    <n v="0"/>
  </r>
  <r>
    <s v="6MA041"/>
    <s v="Envariabelanalys 1"/>
    <n v="75816"/>
    <s v="LYAGY"/>
    <m/>
    <s v="vt"/>
    <m/>
    <s v="Umeå"/>
    <s v="Normal"/>
    <s v="MATT"/>
    <m/>
    <m/>
    <n v="7.5"/>
    <m/>
    <m/>
    <n v="20"/>
    <n v="2.5"/>
    <n v="0.85"/>
    <n v="2.125"/>
    <x v="6"/>
    <s v="Inst för MA och MA statistik"/>
    <s v="TekNat"/>
    <s v="Ämneslärarprogrammet - Gy"/>
    <n v="20757"/>
    <n v="36082"/>
    <n v="128566.75"/>
    <n v="22600"/>
    <n v="56500"/>
    <n v="185066.75"/>
    <n v="0"/>
    <n v="0"/>
    <n v="0"/>
    <n v="0"/>
    <n v="0"/>
    <n v="0.5"/>
    <n v="0"/>
    <n v="0.5"/>
    <n v="0"/>
    <n v="0"/>
    <n v="0"/>
    <n v="0"/>
  </r>
  <r>
    <s v="6MA041"/>
    <s v="Envariabelanalys 1"/>
    <n v="75816"/>
    <s v="LYAGY"/>
    <m/>
    <s v="vt"/>
    <m/>
    <s v="Umeå"/>
    <s v="Normal"/>
    <s v="SAMK"/>
    <m/>
    <m/>
    <n v="7.5"/>
    <m/>
    <m/>
    <n v="1"/>
    <n v="0.125"/>
    <n v="0.85"/>
    <n v="0.10625"/>
    <x v="6"/>
    <s v="Inst för MA och MA statistik"/>
    <s v="TekNat"/>
    <s v="Ämneslärarprogrammet - Gy"/>
    <n v="20757"/>
    <n v="36082"/>
    <n v="6428.3374999999996"/>
    <n v="22600"/>
    <n v="2825"/>
    <n v="9253.3374999999996"/>
    <n v="0"/>
    <n v="0"/>
    <n v="0"/>
    <n v="0"/>
    <n v="0"/>
    <n v="0.5"/>
    <n v="0"/>
    <n v="0.5"/>
    <n v="0"/>
    <n v="0"/>
    <n v="0"/>
    <n v="0"/>
  </r>
  <r>
    <s v="6MA042"/>
    <s v="Matematiska metoder"/>
    <n v="75808"/>
    <s v="FRIST"/>
    <m/>
    <s v="vt"/>
    <m/>
    <s v="Umeå"/>
    <s v="Normal"/>
    <m/>
    <m/>
    <m/>
    <n v="7.5"/>
    <m/>
    <m/>
    <n v="6"/>
    <n v="0.75"/>
    <n v="0.8"/>
    <n v="0.60000000000000009"/>
    <x v="6"/>
    <s v="Inst för MA och MA statistik"/>
    <s v="TekNat"/>
    <s v="Fristående och övriga kurser"/>
    <n v="20757"/>
    <n v="36082"/>
    <n v="37216.950000000004"/>
    <n v="22600"/>
    <n v="16950"/>
    <n v="54166.950000000004"/>
    <n v="0"/>
    <n v="0"/>
    <n v="0"/>
    <n v="0"/>
    <n v="0"/>
    <n v="1"/>
    <n v="0"/>
    <n v="0"/>
    <n v="0"/>
    <n v="0"/>
    <n v="0"/>
    <n v="0"/>
  </r>
  <r>
    <s v="6MA042"/>
    <s v="Matematiska metoder"/>
    <n v="75808"/>
    <s v="LYAGY"/>
    <m/>
    <s v="vt"/>
    <m/>
    <s v="Umeå"/>
    <s v="Normal"/>
    <s v="BIOL"/>
    <m/>
    <m/>
    <n v="7.5"/>
    <m/>
    <m/>
    <n v="1"/>
    <n v="0.125"/>
    <n v="0.85"/>
    <n v="0.10625"/>
    <x v="6"/>
    <s v="Inst för MA och MA statistik"/>
    <s v="TekNat"/>
    <s v="Ämneslärarprogrammet - Gy"/>
    <n v="20757"/>
    <n v="36082"/>
    <n v="6428.3374999999996"/>
    <n v="22600"/>
    <n v="2825"/>
    <n v="9253.3374999999996"/>
    <n v="0"/>
    <n v="0"/>
    <n v="0"/>
    <n v="0"/>
    <n v="0"/>
    <n v="1"/>
    <n v="0"/>
    <n v="0"/>
    <n v="0"/>
    <n v="0"/>
    <n v="0"/>
    <n v="0"/>
  </r>
  <r>
    <s v="6MA042"/>
    <s v="Matematiska metoder"/>
    <n v="75808"/>
    <s v="LYAGY"/>
    <m/>
    <s v="vt"/>
    <m/>
    <s v="Umeå"/>
    <s v="Normal"/>
    <s v="IDRH"/>
    <m/>
    <m/>
    <n v="7.5"/>
    <m/>
    <m/>
    <n v="2"/>
    <n v="0.25"/>
    <n v="0.85"/>
    <n v="0.21249999999999999"/>
    <x v="6"/>
    <s v="Inst för MA och MA statistik"/>
    <s v="TekNat"/>
    <s v="Ämneslärarprogrammet - Gy"/>
    <n v="20757"/>
    <n v="36082"/>
    <n v="12856.674999999999"/>
    <n v="22600"/>
    <n v="5650"/>
    <n v="18506.674999999999"/>
    <n v="0"/>
    <n v="0"/>
    <n v="0"/>
    <n v="0"/>
    <n v="0"/>
    <n v="1"/>
    <n v="0"/>
    <n v="0"/>
    <n v="0"/>
    <n v="0"/>
    <n v="0"/>
    <n v="0"/>
  </r>
  <r>
    <s v="6MA042"/>
    <s v="Matematiska metoder"/>
    <n v="75808"/>
    <s v="LYAGY"/>
    <m/>
    <s v="vt"/>
    <m/>
    <s v="Umeå"/>
    <s v="Normal"/>
    <s v="MATT"/>
    <m/>
    <m/>
    <n v="7.5"/>
    <m/>
    <m/>
    <n v="22"/>
    <n v="2.75"/>
    <n v="0.85"/>
    <n v="2.3374999999999999"/>
    <x v="6"/>
    <s v="Inst för MA och MA statistik"/>
    <s v="TekNat"/>
    <s v="Ämneslärarprogrammet - Gy"/>
    <n v="20757"/>
    <n v="36082"/>
    <n v="141423.42499999999"/>
    <n v="22600"/>
    <n v="62150"/>
    <n v="203573.42499999999"/>
    <n v="0"/>
    <n v="0"/>
    <n v="0"/>
    <n v="0"/>
    <n v="0"/>
    <n v="1"/>
    <n v="0"/>
    <n v="0"/>
    <n v="0"/>
    <n v="0"/>
    <n v="0"/>
    <n v="0"/>
  </r>
  <r>
    <s v="6MA042"/>
    <s v="Matematiska metoder"/>
    <n v="75808"/>
    <s v="LYAGY"/>
    <m/>
    <s v="vt"/>
    <m/>
    <s v="Umeå"/>
    <s v="Normal"/>
    <s v="SAMK"/>
    <m/>
    <m/>
    <n v="7.5"/>
    <m/>
    <m/>
    <n v="1"/>
    <n v="0.125"/>
    <n v="0.85"/>
    <n v="0.10625"/>
    <x v="6"/>
    <s v="Inst för MA och MA statistik"/>
    <s v="TekNat"/>
    <s v="Ämneslärarprogrammet - Gy"/>
    <n v="20757"/>
    <n v="36082"/>
    <n v="6428.3374999999996"/>
    <n v="22600"/>
    <n v="2825"/>
    <n v="9253.3374999999996"/>
    <n v="0"/>
    <n v="0"/>
    <n v="0"/>
    <n v="0"/>
    <n v="0"/>
    <n v="1"/>
    <n v="0"/>
    <n v="0"/>
    <n v="0"/>
    <n v="0"/>
    <n v="0"/>
    <n v="0"/>
  </r>
  <r>
    <s v="6MA043"/>
    <s v="Diskret matematik"/>
    <n v="75806"/>
    <s v="FRIST"/>
    <m/>
    <s v="vt"/>
    <m/>
    <s v="Umeå"/>
    <s v="Normal"/>
    <m/>
    <m/>
    <m/>
    <n v="7.5"/>
    <m/>
    <m/>
    <n v="20"/>
    <n v="2.5"/>
    <n v="0.8"/>
    <n v="2"/>
    <x v="6"/>
    <s v="Inst för MA och MA statistik"/>
    <s v="TekNat"/>
    <s v="Fristående och övriga kurser"/>
    <n v="20757"/>
    <n v="36082"/>
    <n v="124056.5"/>
    <n v="22600"/>
    <n v="56500"/>
    <n v="180556.5"/>
    <n v="0"/>
    <n v="0"/>
    <n v="0"/>
    <n v="0"/>
    <n v="0"/>
    <n v="0.5"/>
    <n v="0"/>
    <n v="0.5"/>
    <n v="0"/>
    <n v="0"/>
    <n v="0"/>
    <n v="0"/>
  </r>
  <r>
    <s v="6MA043"/>
    <s v="Diskret matematik"/>
    <n v="75806"/>
    <s v="LYAGY"/>
    <m/>
    <s v="vt"/>
    <m/>
    <s v="Umeå"/>
    <s v="Normal"/>
    <s v="IDRH"/>
    <m/>
    <m/>
    <n v="7.5"/>
    <m/>
    <m/>
    <n v="2"/>
    <n v="0.25"/>
    <n v="0.85"/>
    <n v="0.21249999999999999"/>
    <x v="6"/>
    <s v="Inst för MA och MA statistik"/>
    <s v="TekNat"/>
    <s v="Ämneslärarprogrammet - Gy"/>
    <n v="20757"/>
    <n v="36082"/>
    <n v="12856.674999999999"/>
    <n v="22600"/>
    <n v="5650"/>
    <n v="18506.674999999999"/>
    <n v="0"/>
    <n v="0"/>
    <n v="0"/>
    <n v="0"/>
    <n v="0"/>
    <n v="0.5"/>
    <n v="0"/>
    <n v="0.5"/>
    <n v="0"/>
    <n v="0"/>
    <n v="0"/>
    <n v="0"/>
  </r>
  <r>
    <s v="6MA043"/>
    <s v="Diskret matematik"/>
    <n v="75806"/>
    <s v="LYAGY"/>
    <m/>
    <s v="vt"/>
    <m/>
    <s v="Umeå"/>
    <s v="Normal"/>
    <s v="MATT"/>
    <m/>
    <m/>
    <n v="7.5"/>
    <m/>
    <m/>
    <n v="11"/>
    <n v="1.375"/>
    <n v="0.85"/>
    <n v="1.16875"/>
    <x v="6"/>
    <s v="Inst för MA och MA statistik"/>
    <s v="TekNat"/>
    <s v="Ämneslärarprogrammet - Gy"/>
    <n v="20757"/>
    <n v="36082"/>
    <n v="70711.712499999994"/>
    <n v="22600"/>
    <n v="31075"/>
    <n v="101786.71249999999"/>
    <n v="0"/>
    <n v="0"/>
    <n v="0"/>
    <n v="0"/>
    <n v="0"/>
    <n v="0.5"/>
    <n v="0"/>
    <n v="0.5"/>
    <n v="0"/>
    <n v="0"/>
    <n v="0"/>
    <n v="0"/>
  </r>
  <r>
    <s v="6MA044"/>
    <s v="Problemlösning och matematiska resonemang"/>
    <n v="75809"/>
    <s v="FRIST"/>
    <m/>
    <s v="vt"/>
    <m/>
    <s v="Umeå"/>
    <s v="Normal"/>
    <m/>
    <m/>
    <m/>
    <n v="7.5"/>
    <m/>
    <m/>
    <n v="4"/>
    <n v="0.5"/>
    <n v="0.8"/>
    <n v="0.4"/>
    <x v="6"/>
    <s v="Inst för MA och MA statistik"/>
    <s v="TekNat"/>
    <s v="Fristående och övriga kurser"/>
    <n v="20757"/>
    <n v="36082"/>
    <n v="24811.300000000003"/>
    <n v="22600"/>
    <n v="11300"/>
    <n v="36111.300000000003"/>
    <n v="0"/>
    <n v="0"/>
    <n v="0"/>
    <n v="0"/>
    <n v="0"/>
    <n v="0.5"/>
    <n v="0"/>
    <n v="0.5"/>
    <n v="0"/>
    <n v="0"/>
    <n v="0"/>
    <n v="0"/>
  </r>
  <r>
    <s v="6MA044"/>
    <s v="Problemlösning och matematiska resonemang"/>
    <n v="75809"/>
    <s v="LYAGR"/>
    <m/>
    <s v="vt"/>
    <m/>
    <s v="Umeå"/>
    <s v="Normal"/>
    <s v="TXBI"/>
    <m/>
    <m/>
    <n v="7.5"/>
    <m/>
    <m/>
    <n v="1"/>
    <n v="0.125"/>
    <n v="0.85"/>
    <n v="0.10625"/>
    <x v="6"/>
    <s v="Inst för MA och MA statistik"/>
    <s v="TekNat"/>
    <s v="Ämneslärarprogrammet - åk 7-9"/>
    <n v="20757"/>
    <n v="36082"/>
    <n v="6428.3374999999996"/>
    <n v="22600"/>
    <n v="2825"/>
    <n v="9253.3374999999996"/>
    <n v="0"/>
    <n v="0"/>
    <n v="0"/>
    <n v="0"/>
    <n v="0"/>
    <n v="0.5"/>
    <n v="0"/>
    <n v="0.5"/>
    <n v="0"/>
    <n v="0"/>
    <n v="0"/>
    <n v="0"/>
  </r>
  <r>
    <s v="6MA044"/>
    <s v="Problemlösning och matematiska resonemang"/>
    <n v="75809"/>
    <s v="LYAGY"/>
    <m/>
    <s v="vt"/>
    <m/>
    <s v="Umeå"/>
    <s v="Normal"/>
    <s v="IDRH"/>
    <m/>
    <m/>
    <n v="7.5"/>
    <m/>
    <m/>
    <n v="2"/>
    <n v="0.25"/>
    <n v="0.85"/>
    <n v="0.21249999999999999"/>
    <x v="6"/>
    <s v="Inst för MA och MA statistik"/>
    <s v="TekNat"/>
    <s v="Ämneslärarprogrammet - Gy"/>
    <n v="20757"/>
    <n v="36082"/>
    <n v="12856.674999999999"/>
    <n v="22600"/>
    <n v="5650"/>
    <n v="18506.674999999999"/>
    <n v="0"/>
    <n v="0"/>
    <n v="0"/>
    <n v="0"/>
    <n v="0"/>
    <n v="0.5"/>
    <n v="0"/>
    <n v="0.5"/>
    <n v="0"/>
    <n v="0"/>
    <n v="0"/>
    <n v="0"/>
  </r>
  <r>
    <s v="6MA044"/>
    <s v="Problemlösning och matematiska resonemang"/>
    <n v="75809"/>
    <s v="LYAGY"/>
    <m/>
    <s v="vt"/>
    <m/>
    <s v="Umeå"/>
    <s v="Normal"/>
    <s v="MATT"/>
    <m/>
    <m/>
    <n v="7.5"/>
    <m/>
    <m/>
    <n v="11"/>
    <n v="1.375"/>
    <n v="0.85"/>
    <n v="1.16875"/>
    <x v="6"/>
    <s v="Inst för MA och MA statistik"/>
    <s v="TekNat"/>
    <s v="Ämneslärarprogrammet - Gy"/>
    <n v="20757"/>
    <n v="36082"/>
    <n v="70711.712499999994"/>
    <n v="22600"/>
    <n v="31075"/>
    <n v="101786.71249999999"/>
    <n v="0"/>
    <n v="0"/>
    <n v="0"/>
    <n v="0"/>
    <n v="0"/>
    <n v="0.5"/>
    <n v="0"/>
    <n v="0.5"/>
    <n v="0"/>
    <n v="0"/>
    <n v="0"/>
    <n v="0"/>
  </r>
  <r>
    <s v="6MA045"/>
    <s v="Differentialekvationer och flervariabelanalys"/>
    <n v="75800"/>
    <s v="FRIST"/>
    <m/>
    <s v="vt"/>
    <m/>
    <s v="Umeå"/>
    <s v="Normal"/>
    <m/>
    <m/>
    <m/>
    <n v="7.5"/>
    <m/>
    <m/>
    <n v="4"/>
    <n v="0.5"/>
    <n v="0.8"/>
    <n v="0.4"/>
    <x v="6"/>
    <s v="Inst för MA och MA statistik"/>
    <s v="TekNat"/>
    <s v="Fristående och övriga kurser"/>
    <n v="20757"/>
    <n v="36082"/>
    <n v="24811.300000000003"/>
    <n v="22600"/>
    <n v="11300"/>
    <n v="36111.300000000003"/>
    <n v="0"/>
    <n v="0"/>
    <n v="0"/>
    <n v="0"/>
    <n v="0"/>
    <n v="0.5"/>
    <n v="0"/>
    <n v="0.5"/>
    <n v="0"/>
    <n v="0"/>
    <n v="0"/>
    <n v="0"/>
  </r>
  <r>
    <s v="6MA045"/>
    <s v="Differentialekvationer och flervariabelanalys"/>
    <n v="75800"/>
    <s v="LYAGR"/>
    <m/>
    <s v="vt"/>
    <m/>
    <s v="Umeå"/>
    <s v="Normal"/>
    <s v="MATT"/>
    <m/>
    <m/>
    <n v="7.5"/>
    <m/>
    <m/>
    <n v="1"/>
    <n v="0.125"/>
    <n v="0.85"/>
    <n v="0.10625"/>
    <x v="6"/>
    <s v="Inst för MA och MA statistik"/>
    <s v="TekNat"/>
    <s v="Ämneslärarprogrammet - åk 7-9"/>
    <n v="20757"/>
    <n v="36082"/>
    <n v="6428.3374999999996"/>
    <n v="22600"/>
    <n v="2825"/>
    <n v="9253.3374999999996"/>
    <n v="0"/>
    <n v="0"/>
    <n v="0"/>
    <n v="0"/>
    <n v="0"/>
    <n v="0.5"/>
    <n v="0"/>
    <n v="0.5"/>
    <n v="0"/>
    <n v="0"/>
    <n v="0"/>
    <n v="0"/>
  </r>
  <r>
    <s v="6MA045"/>
    <s v="Differentialekvationer och flervariabelanalys"/>
    <n v="75800"/>
    <s v="LYAGY"/>
    <m/>
    <s v="vt"/>
    <m/>
    <s v="Umeå"/>
    <s v="Normal"/>
    <s v="IDRH"/>
    <m/>
    <m/>
    <n v="7.5"/>
    <m/>
    <m/>
    <n v="1"/>
    <n v="0.125"/>
    <n v="0.85"/>
    <n v="0.10625"/>
    <x v="6"/>
    <s v="Inst för MA och MA statistik"/>
    <s v="TekNat"/>
    <s v="Ämneslärarprogrammet - Gy"/>
    <n v="20757"/>
    <n v="36082"/>
    <n v="6428.3374999999996"/>
    <n v="22600"/>
    <n v="2825"/>
    <n v="9253.3374999999996"/>
    <n v="0"/>
    <n v="0"/>
    <n v="0"/>
    <n v="0"/>
    <n v="0"/>
    <n v="0.5"/>
    <n v="0"/>
    <n v="0.5"/>
    <n v="0"/>
    <n v="0"/>
    <n v="0"/>
    <n v="0"/>
  </r>
  <r>
    <s v="6MA045"/>
    <s v="Differentialekvationer och flervariabelanalys"/>
    <n v="75800"/>
    <s v="LYAGY"/>
    <m/>
    <s v="vt"/>
    <m/>
    <s v="Umeå"/>
    <s v="Normal"/>
    <s v="MATT"/>
    <m/>
    <m/>
    <n v="7.5"/>
    <m/>
    <m/>
    <n v="9"/>
    <n v="1.125"/>
    <n v="0.85"/>
    <n v="0.95624999999999993"/>
    <x v="6"/>
    <s v="Inst för MA och MA statistik"/>
    <s v="TekNat"/>
    <s v="Ämneslärarprogrammet - Gy"/>
    <n v="20757"/>
    <n v="36082"/>
    <n v="57855.037499999999"/>
    <n v="22600"/>
    <n v="25425"/>
    <n v="83280.037500000006"/>
    <n v="0"/>
    <n v="0"/>
    <n v="0"/>
    <n v="0"/>
    <n v="0"/>
    <n v="0.5"/>
    <n v="0"/>
    <n v="0.5"/>
    <n v="0"/>
    <n v="0"/>
    <n v="0"/>
    <n v="0"/>
  </r>
  <r>
    <s v="6MA046"/>
    <s v="Envariabelanalys 2"/>
    <m/>
    <s v="FRIST"/>
    <m/>
    <s v="ht"/>
    <m/>
    <m/>
    <s v="Campus"/>
    <m/>
    <m/>
    <n v="1"/>
    <n v="7.5"/>
    <m/>
    <m/>
    <n v="2"/>
    <n v="0.25"/>
    <n v="0.8"/>
    <n v="0.2"/>
    <x v="6"/>
    <s v="Inst för MA och MA statistik"/>
    <s v="TekNat"/>
    <s v="Fristående och övriga kurser"/>
    <n v="20757"/>
    <n v="36082"/>
    <n v="12405.650000000001"/>
    <n v="22600"/>
    <n v="5650"/>
    <n v="18055.650000000001"/>
    <n v="0"/>
    <n v="0"/>
    <n v="0"/>
    <n v="0"/>
    <n v="0"/>
    <n v="0.5"/>
    <n v="0"/>
    <n v="0.5"/>
    <n v="0"/>
    <n v="0"/>
    <n v="0"/>
    <n v="0"/>
  </r>
  <r>
    <s v="6MA046"/>
    <s v="Envariabelanalys 2"/>
    <m/>
    <s v="LYAGY"/>
    <s v="H17"/>
    <s v="ht"/>
    <s v="H2116-20"/>
    <s v="Umeå"/>
    <m/>
    <s v="SAMK"/>
    <m/>
    <n v="1"/>
    <n v="7.5"/>
    <m/>
    <m/>
    <n v="1"/>
    <n v="0.125"/>
    <n v="0.85"/>
    <n v="0.10625"/>
    <x v="6"/>
    <s v="Inst för MA och MA statistik"/>
    <s v="TekNat"/>
    <s v="Ämneslärarprogrammet - Gy"/>
    <n v="20757"/>
    <n v="36082"/>
    <n v="6428.3374999999996"/>
    <n v="22600"/>
    <n v="2825"/>
    <n v="9253.3374999999996"/>
    <n v="0"/>
    <n v="0"/>
    <n v="0"/>
    <n v="0"/>
    <n v="0"/>
    <n v="0.5"/>
    <n v="0"/>
    <n v="0.5"/>
    <n v="0"/>
    <n v="0"/>
    <n v="0"/>
    <n v="0"/>
  </r>
  <r>
    <s v="6MA046"/>
    <s v="Envariabelanalys 2"/>
    <m/>
    <s v="LYAGY"/>
    <s v="H18"/>
    <s v="ht"/>
    <s v="H2116-20"/>
    <s v="Umeå"/>
    <m/>
    <s v="BIOL"/>
    <m/>
    <n v="1"/>
    <n v="7.5"/>
    <m/>
    <m/>
    <n v="1"/>
    <n v="0.125"/>
    <n v="0.85"/>
    <n v="0.10625"/>
    <x v="6"/>
    <s v="Inst för MA och MA statistik"/>
    <s v="TekNat"/>
    <s v="Ämneslärarprogrammet - Gy"/>
    <n v="20757"/>
    <n v="36082"/>
    <n v="6428.3374999999996"/>
    <n v="22600"/>
    <n v="2825"/>
    <n v="9253.3374999999996"/>
    <n v="0"/>
    <n v="0"/>
    <n v="0"/>
    <n v="0"/>
    <n v="0"/>
    <n v="0.5"/>
    <n v="0"/>
    <n v="0.5"/>
    <n v="0"/>
    <n v="0"/>
    <n v="0"/>
    <n v="0"/>
  </r>
  <r>
    <s v="6MA046"/>
    <s v="Envariabelanalys 2"/>
    <m/>
    <s v="LYAGY"/>
    <s v="H18"/>
    <s v="ht"/>
    <s v="H2116-20"/>
    <s v="Umeå"/>
    <m/>
    <s v="IDRH"/>
    <m/>
    <n v="1"/>
    <n v="7.5"/>
    <m/>
    <m/>
    <n v="2"/>
    <n v="0.25"/>
    <n v="0.85"/>
    <n v="0.21249999999999999"/>
    <x v="6"/>
    <s v="Inst för MA och MA statistik"/>
    <s v="TekNat"/>
    <s v="Ämneslärarprogrammet - Gy"/>
    <n v="20757"/>
    <n v="36082"/>
    <n v="12856.674999999999"/>
    <n v="22600"/>
    <n v="5650"/>
    <n v="18506.674999999999"/>
    <n v="0"/>
    <n v="0"/>
    <n v="0"/>
    <n v="0"/>
    <n v="0"/>
    <n v="0.5"/>
    <n v="0"/>
    <n v="0.5"/>
    <n v="0"/>
    <n v="0"/>
    <n v="0"/>
    <n v="0"/>
  </r>
  <r>
    <s v="6MA046"/>
    <s v="Envariabelanalys 2"/>
    <m/>
    <s v="LYAGY"/>
    <s v="H18"/>
    <s v="ht"/>
    <s v="H2116-20"/>
    <s v="Umeå"/>
    <m/>
    <s v="SAMK"/>
    <m/>
    <n v="1"/>
    <n v="7.5"/>
    <m/>
    <m/>
    <n v="1"/>
    <n v="0.125"/>
    <n v="0.85"/>
    <n v="0.10625"/>
    <x v="6"/>
    <s v="Inst för MA och MA statistik"/>
    <s v="TekNat"/>
    <s v="Ämneslärarprogrammet - Gy"/>
    <n v="20757"/>
    <n v="36082"/>
    <n v="6428.3374999999996"/>
    <n v="22600"/>
    <n v="2825"/>
    <n v="9253.3374999999996"/>
    <n v="0"/>
    <n v="0"/>
    <n v="0"/>
    <n v="0"/>
    <n v="0"/>
    <n v="0.5"/>
    <n v="0"/>
    <n v="0.5"/>
    <n v="0"/>
    <n v="0"/>
    <n v="0"/>
    <n v="0"/>
  </r>
  <r>
    <s v="6MA046"/>
    <s v="Envariabelanalys 2"/>
    <m/>
    <s v="LYAGY"/>
    <s v="H19"/>
    <s v="ht"/>
    <s v="H2116-20"/>
    <s v="Umeå"/>
    <m/>
    <s v="MATT"/>
    <m/>
    <n v="1"/>
    <n v="7.5"/>
    <m/>
    <m/>
    <n v="1"/>
    <n v="0.125"/>
    <n v="0.85"/>
    <n v="0.10625"/>
    <x v="6"/>
    <s v="Inst för MA och MA statistik"/>
    <s v="TekNat"/>
    <s v="Ämneslärarprogrammet - Gy"/>
    <n v="20757"/>
    <n v="36082"/>
    <n v="6428.3374999999996"/>
    <n v="22600"/>
    <n v="2825"/>
    <n v="9253.3374999999996"/>
    <n v="0"/>
    <n v="0"/>
    <n v="0"/>
    <n v="0"/>
    <n v="0"/>
    <n v="0.5"/>
    <n v="0"/>
    <n v="0.5"/>
    <n v="0"/>
    <n v="0"/>
    <n v="0"/>
    <n v="0"/>
  </r>
  <r>
    <s v="6MA046"/>
    <s v="Envariabelanalys 2"/>
    <m/>
    <s v="LYAGY"/>
    <s v="H20"/>
    <s v="ht"/>
    <s v="H2116-20"/>
    <s v="Umeå"/>
    <m/>
    <s v="MATT"/>
    <m/>
    <n v="1"/>
    <n v="7.5"/>
    <m/>
    <m/>
    <n v="18"/>
    <n v="2.25"/>
    <n v="0.85"/>
    <n v="1.9124999999999999"/>
    <x v="6"/>
    <s v="Inst för MA och MA statistik"/>
    <s v="TekNat"/>
    <s v="Ämneslärarprogrammet - Gy"/>
    <n v="20757"/>
    <n v="36082"/>
    <n v="115710.075"/>
    <n v="22600"/>
    <n v="50850"/>
    <n v="166560.07500000001"/>
    <n v="0"/>
    <n v="0"/>
    <n v="0"/>
    <n v="0"/>
    <n v="0"/>
    <n v="0.5"/>
    <n v="0"/>
    <n v="0.5"/>
    <n v="0"/>
    <n v="0"/>
    <n v="0"/>
    <n v="0"/>
  </r>
  <r>
    <s v="6MA047"/>
    <s v="Flervariabelanalys"/>
    <n v="75802"/>
    <s v="LYAGR"/>
    <m/>
    <s v="vt"/>
    <m/>
    <s v="Umeå"/>
    <s v="Normal"/>
    <s v="MATT"/>
    <m/>
    <m/>
    <n v="7.5"/>
    <m/>
    <m/>
    <n v="1"/>
    <n v="0.125"/>
    <n v="0.85"/>
    <n v="0.10625"/>
    <x v="6"/>
    <s v="Inst för MA och MA statistik"/>
    <s v="TekNat"/>
    <s v="Ämneslärarprogrammet - åk 7-9"/>
    <n v="20757"/>
    <n v="36082"/>
    <n v="6428.3374999999996"/>
    <n v="22600"/>
    <n v="2825"/>
    <n v="9253.3374999999996"/>
    <n v="0"/>
    <n v="0"/>
    <n v="0"/>
    <n v="0"/>
    <n v="0"/>
    <n v="0.5"/>
    <n v="0"/>
    <n v="0.5"/>
    <n v="0"/>
    <n v="0"/>
    <n v="0"/>
    <n v="0"/>
  </r>
  <r>
    <s v="6MA047"/>
    <s v="Flervariabelanalys"/>
    <n v="75802"/>
    <s v="LYAGY"/>
    <m/>
    <s v="vt"/>
    <m/>
    <s v="Umeå"/>
    <s v="Normal"/>
    <s v="MATT"/>
    <m/>
    <m/>
    <n v="7.5"/>
    <m/>
    <m/>
    <n v="1"/>
    <n v="0.125"/>
    <n v="0.85"/>
    <n v="0.10625"/>
    <x v="6"/>
    <s v="Inst för MA och MA statistik"/>
    <s v="TekNat"/>
    <s v="Ämneslärarprogrammet - Gy"/>
    <n v="20757"/>
    <n v="36082"/>
    <n v="6428.3374999999996"/>
    <n v="22600"/>
    <n v="2825"/>
    <n v="9253.3374999999996"/>
    <n v="0"/>
    <n v="0"/>
    <n v="0"/>
    <n v="0"/>
    <n v="0"/>
    <n v="0.5"/>
    <n v="0"/>
    <n v="0.5"/>
    <n v="0"/>
    <n v="0"/>
    <n v="0"/>
    <n v="0"/>
  </r>
  <r>
    <s v="6MA048"/>
    <s v="Matematikens historia"/>
    <m/>
    <s v="LYAGY"/>
    <s v="H18"/>
    <s v="ht"/>
    <s v="H211-5"/>
    <s v="Umeå"/>
    <m/>
    <s v="SAMK"/>
    <m/>
    <n v="1"/>
    <n v="7.5"/>
    <m/>
    <m/>
    <n v="1"/>
    <n v="0.125"/>
    <n v="0.85"/>
    <n v="0.10625"/>
    <x v="6"/>
    <s v="Inst för MA och MA statistik"/>
    <s v="TekNat"/>
    <s v="Ämneslärarprogrammet - Gy"/>
    <n v="20757"/>
    <n v="36082"/>
    <n v="6428.3374999999996"/>
    <n v="22600"/>
    <n v="2825"/>
    <n v="9253.3374999999996"/>
    <n v="0"/>
    <n v="0"/>
    <n v="0"/>
    <n v="0"/>
    <n v="0"/>
    <n v="1"/>
    <n v="0"/>
    <n v="0"/>
    <n v="0"/>
    <n v="0"/>
    <n v="0"/>
    <n v="0"/>
  </r>
  <r>
    <s v="6MA048"/>
    <s v="Matematikens historia"/>
    <m/>
    <s v="LYAGY"/>
    <s v="H19"/>
    <s v="ht"/>
    <s v="H211-5"/>
    <s v="Umeå"/>
    <m/>
    <s v="MATT"/>
    <m/>
    <n v="1"/>
    <n v="7.5"/>
    <m/>
    <m/>
    <n v="1"/>
    <n v="0.125"/>
    <n v="0.85"/>
    <n v="0.10625"/>
    <x v="6"/>
    <s v="Inst för MA och MA statistik"/>
    <s v="TekNat"/>
    <s v="Ämneslärarprogrammet - Gy"/>
    <n v="20757"/>
    <n v="36082"/>
    <n v="6428.3374999999996"/>
    <n v="22600"/>
    <n v="2825"/>
    <n v="9253.3374999999996"/>
    <n v="0"/>
    <n v="0"/>
    <n v="0"/>
    <n v="0"/>
    <n v="0"/>
    <n v="1"/>
    <n v="0"/>
    <n v="0"/>
    <n v="0"/>
    <n v="0"/>
    <n v="0"/>
    <n v="0"/>
  </r>
  <r>
    <s v="6MA049"/>
    <s v="Att undervisa i matematik (VFU)"/>
    <m/>
    <s v="LYAGY"/>
    <s v="H15"/>
    <s v="ht"/>
    <s v="H2113-16"/>
    <s v="Umeå"/>
    <m/>
    <s v="MATT"/>
    <m/>
    <n v="1"/>
    <n v="6"/>
    <m/>
    <m/>
    <n v="1"/>
    <n v="0.1"/>
    <n v="0.85"/>
    <n v="8.5000000000000006E-2"/>
    <x v="6"/>
    <s v="Inst för MA och MA statistik"/>
    <s v="TekNat"/>
    <s v="Ämneslärarprogrammet - Gy"/>
    <n v="25235"/>
    <n v="27976"/>
    <n v="4901.46"/>
    <n v="3600"/>
    <n v="360"/>
    <n v="5261.46"/>
    <n v="0"/>
    <n v="0"/>
    <n v="0"/>
    <n v="0"/>
    <n v="0"/>
    <n v="0"/>
    <n v="0"/>
    <n v="0"/>
    <n v="1"/>
    <n v="0"/>
    <n v="0"/>
    <n v="0"/>
  </r>
  <r>
    <s v="6MA049"/>
    <s v="Att undervisa i matematik (VFU)"/>
    <m/>
    <s v="LYAGY"/>
    <s v="H18"/>
    <s v="ht"/>
    <s v="H2113-16"/>
    <s v="Umeå"/>
    <m/>
    <s v="MATT"/>
    <m/>
    <n v="1"/>
    <n v="6"/>
    <m/>
    <m/>
    <n v="1"/>
    <n v="0.1"/>
    <n v="0.85"/>
    <n v="8.5000000000000006E-2"/>
    <x v="6"/>
    <s v="Inst för MA och MA statistik"/>
    <s v="TekNat"/>
    <s v="Ämneslärarprogrammet - Gy"/>
    <n v="25235"/>
    <n v="27976"/>
    <n v="4901.46"/>
    <n v="3600"/>
    <n v="360"/>
    <n v="5261.46"/>
    <n v="0"/>
    <n v="0"/>
    <n v="0"/>
    <n v="0"/>
    <n v="0"/>
    <n v="0"/>
    <n v="0"/>
    <n v="0"/>
    <n v="1"/>
    <n v="0"/>
    <n v="0"/>
    <n v="0"/>
  </r>
  <r>
    <s v="6MA049"/>
    <s v="Att undervisa i matematik (VFU)"/>
    <m/>
    <s v="LYAGY"/>
    <s v="H19"/>
    <s v="ht"/>
    <s v="H2113-16"/>
    <s v="Umeå"/>
    <m/>
    <s v="MATT"/>
    <m/>
    <n v="1"/>
    <n v="6"/>
    <m/>
    <m/>
    <n v="8"/>
    <n v="0.8"/>
    <n v="0.85"/>
    <n v="0.68"/>
    <x v="6"/>
    <s v="Inst för MA och MA statistik"/>
    <s v="TekNat"/>
    <s v="Ämneslärarprogrammet - Gy"/>
    <n v="25235"/>
    <n v="27976"/>
    <n v="39211.68"/>
    <n v="3600"/>
    <n v="2880"/>
    <n v="42091.68"/>
    <n v="0"/>
    <n v="0"/>
    <n v="0"/>
    <n v="0"/>
    <n v="0"/>
    <n v="0"/>
    <n v="0"/>
    <n v="0"/>
    <n v="1"/>
    <n v="0"/>
    <n v="0"/>
    <n v="0"/>
  </r>
  <r>
    <s v="6MA050"/>
    <s v="Differentialekvationer"/>
    <m/>
    <s v="FRIST"/>
    <m/>
    <s v="ht"/>
    <m/>
    <m/>
    <s v="Campus"/>
    <m/>
    <m/>
    <n v="1"/>
    <n v="7.5"/>
    <m/>
    <m/>
    <n v="2"/>
    <n v="0.25"/>
    <n v="0.8"/>
    <n v="0.2"/>
    <x v="6"/>
    <s v="Inst för MA och MA statistik"/>
    <s v="TekNat"/>
    <s v="Fristående och övriga kurser"/>
    <n v="20757"/>
    <n v="36082"/>
    <n v="12405.650000000001"/>
    <n v="22600"/>
    <n v="5650"/>
    <n v="18055.650000000001"/>
    <n v="0"/>
    <n v="0"/>
    <n v="0"/>
    <n v="0"/>
    <n v="0"/>
    <n v="0.5"/>
    <n v="0"/>
    <n v="0.5"/>
    <n v="0"/>
    <n v="0"/>
    <n v="0"/>
    <n v="0"/>
  </r>
  <r>
    <s v="6MA051"/>
    <s v="Matematikens historia"/>
    <m/>
    <s v="FRIST"/>
    <m/>
    <s v="ht"/>
    <m/>
    <m/>
    <s v="Campus"/>
    <m/>
    <m/>
    <n v="1"/>
    <n v="7.5"/>
    <m/>
    <m/>
    <n v="8"/>
    <n v="1"/>
    <n v="0.8"/>
    <n v="0.8"/>
    <x v="6"/>
    <s v="Inst för MA och MA statistik"/>
    <s v="TekNat"/>
    <s v="Fristående och övriga kurser"/>
    <n v="20757"/>
    <n v="36082"/>
    <n v="49622.600000000006"/>
    <n v="22600"/>
    <n v="22600"/>
    <n v="72222.600000000006"/>
    <n v="0"/>
    <n v="0"/>
    <n v="0"/>
    <n v="0"/>
    <n v="0"/>
    <n v="1"/>
    <n v="0"/>
    <n v="0"/>
    <n v="0"/>
    <n v="0"/>
    <n v="0"/>
    <n v="0"/>
  </r>
  <r>
    <s v="6MA051"/>
    <s v="Matematikens historia"/>
    <m/>
    <s v="LYAGY"/>
    <s v="H17"/>
    <s v="ht"/>
    <s v="H211-5"/>
    <s v="Umeå"/>
    <m/>
    <s v="SAMK"/>
    <m/>
    <n v="1"/>
    <n v="7.5"/>
    <m/>
    <m/>
    <n v="1"/>
    <n v="0.125"/>
    <n v="0.85"/>
    <n v="0.10625"/>
    <x v="6"/>
    <s v="Inst för MA och MA statistik"/>
    <s v="TekNat"/>
    <s v="Ämneslärarprogrammet - Gy"/>
    <n v="20757"/>
    <n v="36082"/>
    <n v="6428.3374999999996"/>
    <n v="22600"/>
    <n v="2825"/>
    <n v="9253.3374999999996"/>
    <n v="0"/>
    <n v="0"/>
    <n v="0"/>
    <n v="0"/>
    <n v="0"/>
    <n v="1"/>
    <n v="0"/>
    <n v="0"/>
    <n v="0"/>
    <n v="0"/>
    <n v="0"/>
    <n v="0"/>
  </r>
  <r>
    <s v="6MA051"/>
    <s v="Matematikens historia"/>
    <m/>
    <s v="LYAGY"/>
    <s v="H18"/>
    <s v="ht"/>
    <s v="H211-5"/>
    <s v="Umeå"/>
    <m/>
    <s v="BIOL"/>
    <m/>
    <n v="1"/>
    <n v="7.5"/>
    <m/>
    <m/>
    <n v="1"/>
    <n v="0.125"/>
    <n v="0.85"/>
    <n v="0.10625"/>
    <x v="6"/>
    <s v="Inst för MA och MA statistik"/>
    <s v="TekNat"/>
    <s v="Ämneslärarprogrammet - Gy"/>
    <n v="20757"/>
    <n v="36082"/>
    <n v="6428.3374999999996"/>
    <n v="22600"/>
    <n v="2825"/>
    <n v="9253.3374999999996"/>
    <n v="0"/>
    <n v="0"/>
    <n v="0"/>
    <n v="0"/>
    <n v="0"/>
    <n v="1"/>
    <n v="0"/>
    <n v="0"/>
    <n v="0"/>
    <n v="0"/>
    <n v="0"/>
    <n v="0"/>
  </r>
  <r>
    <s v="6MA051"/>
    <s v="Matematikens historia"/>
    <m/>
    <s v="LYAGY"/>
    <s v="H18"/>
    <s v="ht"/>
    <s v="H211-5"/>
    <s v="Umeå"/>
    <m/>
    <s v="IDRH"/>
    <m/>
    <n v="1"/>
    <n v="7.5"/>
    <m/>
    <m/>
    <n v="2"/>
    <n v="0.25"/>
    <n v="0.85"/>
    <n v="0.21249999999999999"/>
    <x v="6"/>
    <s v="Inst för MA och MA statistik"/>
    <s v="TekNat"/>
    <s v="Ämneslärarprogrammet - Gy"/>
    <n v="20757"/>
    <n v="36082"/>
    <n v="12856.674999999999"/>
    <n v="22600"/>
    <n v="5650"/>
    <n v="18506.674999999999"/>
    <n v="0"/>
    <n v="0"/>
    <n v="0"/>
    <n v="0"/>
    <n v="0"/>
    <n v="1"/>
    <n v="0"/>
    <n v="0"/>
    <n v="0"/>
    <n v="0"/>
    <n v="0"/>
    <n v="0"/>
  </r>
  <r>
    <s v="6MA051"/>
    <s v="Matematikens historia"/>
    <m/>
    <s v="LYAGY"/>
    <s v="H20"/>
    <s v="ht"/>
    <s v="H211-5"/>
    <s v="Umeå"/>
    <m/>
    <s v="MATT"/>
    <m/>
    <n v="1"/>
    <n v="7.5"/>
    <m/>
    <m/>
    <n v="17"/>
    <n v="2.125"/>
    <n v="0.85"/>
    <n v="1.8062499999999999"/>
    <x v="6"/>
    <s v="Inst för MA och MA statistik"/>
    <s v="TekNat"/>
    <s v="Ämneslärarprogrammet - Gy"/>
    <n v="20757"/>
    <n v="36082"/>
    <n v="109281.73749999999"/>
    <n v="22600"/>
    <n v="48025"/>
    <n v="157306.73749999999"/>
    <n v="0"/>
    <n v="0"/>
    <n v="0"/>
    <n v="0"/>
    <n v="0"/>
    <n v="1"/>
    <n v="0"/>
    <n v="0"/>
    <n v="0"/>
    <n v="0"/>
    <n v="0"/>
    <n v="0"/>
  </r>
  <r>
    <s v="6MA053"/>
    <s v="Matematik 2 för förskoleklass och grundskolans årskurs 1-3"/>
    <m/>
    <s v="LYGFT"/>
    <s v="H20"/>
    <s v="ht"/>
    <s v="H211-5"/>
    <s v="Umeå"/>
    <s v="Campus"/>
    <m/>
    <m/>
    <n v="1"/>
    <n v="7.5"/>
    <m/>
    <m/>
    <n v="47"/>
    <n v="5.875"/>
    <n v="0.85"/>
    <n v="4.9937499999999995"/>
    <x v="6"/>
    <s v="Inst för MA och MA statistik"/>
    <s v="TekNat"/>
    <s v="Grundlärarprogrammet - förskoleklass och åk 1-3"/>
    <n v="20757"/>
    <n v="36082"/>
    <n v="302131.86249999999"/>
    <n v="22600"/>
    <n v="132775"/>
    <n v="434906.86249999999"/>
    <n v="0"/>
    <n v="0"/>
    <n v="0"/>
    <n v="0"/>
    <n v="0"/>
    <n v="1"/>
    <n v="0"/>
    <n v="0"/>
    <n v="0"/>
    <n v="0"/>
    <n v="0"/>
    <n v="0"/>
  </r>
  <r>
    <s v="6MA053"/>
    <s v="Matematik 2 för förskoleklass och grundskolans årskurs 1-3"/>
    <m/>
    <s v="LYGFT"/>
    <s v="V18"/>
    <s v="ht"/>
    <s v="H211-5"/>
    <s v="Umeå"/>
    <s v="Campus"/>
    <m/>
    <m/>
    <n v="1"/>
    <n v="7.5"/>
    <m/>
    <m/>
    <n v="1"/>
    <n v="0.125"/>
    <n v="0.85"/>
    <n v="0.10625"/>
    <x v="6"/>
    <s v="Inst för MA och MA statistik"/>
    <s v="TekNat"/>
    <s v="Grundlärarprogrammet - förskoleklass och åk 1-3"/>
    <n v="20757"/>
    <n v="36082"/>
    <n v="6428.3374999999996"/>
    <n v="22600"/>
    <n v="2825"/>
    <n v="9253.3374999999996"/>
    <n v="0"/>
    <n v="0"/>
    <n v="0"/>
    <n v="0"/>
    <n v="0"/>
    <n v="1"/>
    <n v="0"/>
    <n v="0"/>
    <n v="0"/>
    <n v="0"/>
    <n v="0"/>
    <n v="0"/>
  </r>
  <r>
    <s v="6MN036"/>
    <s v="Examensarbete för ämneslärarexamen - Matematik"/>
    <m/>
    <s v="LYAGY"/>
    <s v="H16"/>
    <s v="ht"/>
    <s v="H2116-20:V221-15"/>
    <s v="Umeå"/>
    <m/>
    <s v="MATT"/>
    <m/>
    <n v="1"/>
    <n v="7.5"/>
    <m/>
    <m/>
    <n v="2"/>
    <n v="0.25"/>
    <n v="0.85"/>
    <n v="0.21249999999999999"/>
    <x v="7"/>
    <s v="NMD"/>
    <s v="TekNat"/>
    <s v="Ämneslärarprogrammet - Gy"/>
    <n v="20757"/>
    <n v="36082"/>
    <n v="12856.674999999999"/>
    <n v="22600"/>
    <n v="5650"/>
    <n v="18506.674999999999"/>
    <n v="0"/>
    <n v="0"/>
    <n v="0"/>
    <n v="0"/>
    <n v="0"/>
    <n v="1"/>
    <n v="0"/>
    <n v="0"/>
    <n v="0"/>
    <n v="0"/>
    <n v="0"/>
    <n v="0"/>
  </r>
  <r>
    <s v="6MN036"/>
    <s v="Examensarbete för ämneslärarexamen - Matematik"/>
    <m/>
    <s v="LYAGY"/>
    <s v="H17"/>
    <s v="ht"/>
    <s v="H2116-20:V221-15"/>
    <s v="Umeå"/>
    <m/>
    <s v="MATT"/>
    <m/>
    <n v="1"/>
    <n v="7.5"/>
    <m/>
    <m/>
    <n v="9"/>
    <n v="1.125"/>
    <n v="0.85"/>
    <n v="0.95624999999999993"/>
    <x v="7"/>
    <s v="NMD"/>
    <s v="TekNat"/>
    <s v="Ämneslärarprogrammet - Gy"/>
    <n v="20757"/>
    <n v="36082"/>
    <n v="57855.037499999999"/>
    <n v="22600"/>
    <n v="25425"/>
    <n v="83280.037500000006"/>
    <n v="0"/>
    <n v="0"/>
    <n v="0"/>
    <n v="0"/>
    <n v="0"/>
    <n v="1"/>
    <n v="0"/>
    <n v="0"/>
    <n v="0"/>
    <n v="0"/>
    <n v="0"/>
    <n v="0"/>
  </r>
  <r>
    <s v="6MN036"/>
    <s v="Examensarbete för ämneslärarexamen - Matematik"/>
    <m/>
    <s v="LYAGY"/>
    <s v="V21"/>
    <s v="ht"/>
    <s v="H2116-20:V221-15"/>
    <s v="Umeå"/>
    <m/>
    <s v="MATT"/>
    <m/>
    <n v="1"/>
    <n v="7.5"/>
    <m/>
    <m/>
    <n v="1"/>
    <n v="0.125"/>
    <n v="0.85"/>
    <n v="0.10625"/>
    <x v="7"/>
    <s v="NMD"/>
    <s v="TekNat"/>
    <s v="Ämneslärarprogrammet - Gy"/>
    <n v="20757"/>
    <n v="36082"/>
    <n v="6428.3374999999996"/>
    <n v="22600"/>
    <n v="2825"/>
    <n v="9253.3374999999996"/>
    <n v="0"/>
    <n v="0"/>
    <n v="0"/>
    <n v="0"/>
    <n v="0"/>
    <n v="1"/>
    <n v="0"/>
    <n v="0"/>
    <n v="0"/>
    <n v="0"/>
    <n v="0"/>
    <n v="0"/>
  </r>
  <r>
    <s v="6MN039"/>
    <s v="Matematik 1 för förskoleklass och grundskolans årskurs 1-3"/>
    <n v="61514"/>
    <s v="LYGFT"/>
    <m/>
    <s v="vt"/>
    <m/>
    <s v="Umeå"/>
    <s v="Normal"/>
    <m/>
    <m/>
    <m/>
    <n v="7.5"/>
    <m/>
    <m/>
    <n v="51"/>
    <n v="6.375"/>
    <n v="0.85"/>
    <n v="5.4187500000000002"/>
    <x v="7"/>
    <s v="NMD"/>
    <s v="TekNat"/>
    <s v="Grundlärarprogrammet - förskoleklass och åk 1-3"/>
    <n v="20757"/>
    <n v="36082"/>
    <n v="327845.21250000002"/>
    <n v="22600"/>
    <n v="144075"/>
    <n v="471920.21250000002"/>
    <n v="0"/>
    <n v="0"/>
    <n v="0"/>
    <n v="0"/>
    <n v="0"/>
    <n v="1"/>
    <n v="0"/>
    <n v="0"/>
    <n v="0"/>
    <n v="0"/>
    <n v="0"/>
    <n v="0"/>
  </r>
  <r>
    <s v="6MN040"/>
    <s v="Matematik 3 för förskoleklass och grundskolans årskurs 1-3"/>
    <m/>
    <s v="LYGFT"/>
    <s v="H20"/>
    <s v="ht"/>
    <s v="H216-10"/>
    <s v="Umeå"/>
    <s v="Campus"/>
    <m/>
    <m/>
    <n v="1"/>
    <n v="7.5"/>
    <m/>
    <m/>
    <n v="47"/>
    <n v="5.875"/>
    <n v="0.85"/>
    <n v="4.9937499999999995"/>
    <x v="7"/>
    <s v="NMD"/>
    <s v="TekNat"/>
    <s v="Grundlärarprogrammet - förskoleklass och åk 1-3"/>
    <n v="20757"/>
    <n v="36082"/>
    <n v="302131.86249999999"/>
    <n v="22600"/>
    <n v="132775"/>
    <n v="434906.86249999999"/>
    <n v="0"/>
    <n v="0"/>
    <n v="0"/>
    <n v="0"/>
    <n v="0"/>
    <n v="1"/>
    <n v="0"/>
    <n v="0"/>
    <n v="0"/>
    <n v="0"/>
    <n v="0"/>
    <n v="0"/>
  </r>
  <r>
    <s v="6MN041"/>
    <s v="Matematik 4 för förskoleklass och grundskolans årskurs 1-3"/>
    <m/>
    <s v="LYGFT"/>
    <s v="H18"/>
    <s v="ht"/>
    <s v="H2116-20"/>
    <s v="Umeå"/>
    <s v="Campus"/>
    <m/>
    <m/>
    <n v="1"/>
    <n v="7.5"/>
    <m/>
    <m/>
    <n v="1"/>
    <n v="0.125"/>
    <n v="0.85"/>
    <n v="0.10625"/>
    <x v="7"/>
    <s v="NMD"/>
    <s v="TekNat"/>
    <s v="Grundlärarprogrammet - förskoleklass och åk 1-3"/>
    <n v="20757"/>
    <n v="36082"/>
    <n v="6428.3374999999996"/>
    <n v="22600"/>
    <n v="2825"/>
    <n v="9253.3374999999996"/>
    <n v="0"/>
    <n v="0"/>
    <n v="0"/>
    <n v="0"/>
    <n v="0"/>
    <n v="1"/>
    <n v="0"/>
    <n v="0"/>
    <n v="0"/>
    <n v="0"/>
    <n v="0"/>
    <n v="0"/>
  </r>
  <r>
    <s v="6MN041"/>
    <s v="Matematik 4 för förskoleklass och grundskolans årskurs 1-3"/>
    <m/>
    <s v="LYGFT"/>
    <s v="H19"/>
    <s v="ht"/>
    <s v="H2116-20"/>
    <s v="Umeå"/>
    <s v="Campus"/>
    <m/>
    <m/>
    <n v="1"/>
    <n v="7.5"/>
    <m/>
    <m/>
    <n v="35"/>
    <n v="4.375"/>
    <n v="0.85"/>
    <n v="3.71875"/>
    <x v="7"/>
    <s v="NMD"/>
    <s v="TekNat"/>
    <s v="Grundlärarprogrammet - förskoleklass och åk 1-3"/>
    <n v="20757"/>
    <n v="36082"/>
    <n v="224991.8125"/>
    <n v="22600"/>
    <n v="98875"/>
    <n v="323866.8125"/>
    <n v="0"/>
    <n v="0"/>
    <n v="0"/>
    <n v="0"/>
    <n v="0"/>
    <n v="1"/>
    <n v="0"/>
    <n v="0"/>
    <n v="0"/>
    <n v="0"/>
    <n v="0"/>
    <n v="0"/>
  </r>
  <r>
    <s v="6MN041"/>
    <s v="Matematik 4 för förskoleklass och grundskolans årskurs 1-3"/>
    <m/>
    <s v="LYGFT"/>
    <s v="H20"/>
    <s v="ht"/>
    <s v="H2116-20"/>
    <s v="Umeå"/>
    <s v="Campus"/>
    <m/>
    <m/>
    <n v="1"/>
    <n v="7.5"/>
    <m/>
    <m/>
    <n v="1"/>
    <n v="0.125"/>
    <n v="0.85"/>
    <n v="0.10625"/>
    <x v="7"/>
    <s v="NMD"/>
    <s v="TekNat"/>
    <s v="Grundlärarprogrammet - förskoleklass och åk 1-3"/>
    <n v="20757"/>
    <n v="36082"/>
    <n v="6428.3374999999996"/>
    <n v="22600"/>
    <n v="2825"/>
    <n v="9253.3374999999996"/>
    <n v="0"/>
    <n v="0"/>
    <n v="0"/>
    <n v="0"/>
    <n v="0"/>
    <n v="1"/>
    <n v="0"/>
    <n v="0"/>
    <n v="0"/>
    <n v="0"/>
    <n v="0"/>
    <n v="0"/>
  </r>
  <r>
    <s v="6MN041"/>
    <s v="Matematik 4 för förskoleklass och grundskolans årskurs 1-3"/>
    <m/>
    <s v="LYGFT"/>
    <s v="V18"/>
    <s v="ht"/>
    <s v="H2116-20"/>
    <s v="Umeå"/>
    <s v="Campus"/>
    <m/>
    <m/>
    <n v="1"/>
    <n v="7.5"/>
    <m/>
    <m/>
    <n v="1"/>
    <n v="0.125"/>
    <n v="0.85"/>
    <n v="0.10625"/>
    <x v="7"/>
    <s v="NMD"/>
    <s v="TekNat"/>
    <s v="Grundlärarprogrammet - förskoleklass och åk 1-3"/>
    <n v="20757"/>
    <n v="36082"/>
    <n v="6428.3374999999996"/>
    <n v="22600"/>
    <n v="2825"/>
    <n v="9253.3374999999996"/>
    <n v="0"/>
    <n v="0"/>
    <n v="0"/>
    <n v="0"/>
    <n v="0"/>
    <n v="1"/>
    <n v="0"/>
    <n v="0"/>
    <n v="0"/>
    <n v="0"/>
    <n v="0"/>
    <n v="0"/>
  </r>
  <r>
    <s v="6MN042"/>
    <s v="Matematik 2 för grundskolans årskurs 4-6"/>
    <m/>
    <s v="LYGRM"/>
    <s v="H20"/>
    <s v="ht"/>
    <s v="H211-5"/>
    <s v="Umeå"/>
    <s v="Campus"/>
    <m/>
    <m/>
    <n v="1"/>
    <n v="7.5"/>
    <m/>
    <m/>
    <n v="43"/>
    <n v="5.375"/>
    <n v="0.85"/>
    <n v="4.5687499999999996"/>
    <x v="7"/>
    <s v="NMD"/>
    <s v="TekNat"/>
    <s v="Grundlärarprogrammet - grundskolans åk 4-6"/>
    <n v="20757"/>
    <n v="36082"/>
    <n v="276418.51249999995"/>
    <n v="22600"/>
    <n v="121475"/>
    <n v="397893.51249999995"/>
    <n v="0"/>
    <n v="0"/>
    <n v="0"/>
    <n v="0"/>
    <n v="0"/>
    <n v="1"/>
    <n v="0"/>
    <n v="0"/>
    <n v="0"/>
    <n v="0"/>
    <n v="0"/>
    <n v="0"/>
  </r>
  <r>
    <s v="6MN043"/>
    <s v="Matematik 3 för grundskolans årskurs 4-6"/>
    <m/>
    <s v="LYGRM"/>
    <s v="H20"/>
    <s v="ht"/>
    <s v="H216-10"/>
    <s v="Umeå"/>
    <s v="Campus"/>
    <m/>
    <m/>
    <n v="1"/>
    <n v="7.5"/>
    <m/>
    <m/>
    <n v="41"/>
    <n v="5.125"/>
    <n v="0.85"/>
    <n v="4.3562500000000002"/>
    <x v="7"/>
    <s v="NMD"/>
    <s v="TekNat"/>
    <s v="Grundlärarprogrammet - grundskolans åk 4-6"/>
    <n v="20757"/>
    <n v="36082"/>
    <n v="263561.83750000002"/>
    <n v="22600"/>
    <n v="115825"/>
    <n v="379386.83750000002"/>
    <n v="0"/>
    <n v="0"/>
    <n v="0"/>
    <n v="0"/>
    <n v="0"/>
    <n v="1"/>
    <n v="0"/>
    <n v="0"/>
    <n v="0"/>
    <n v="0"/>
    <n v="0"/>
    <n v="0"/>
  </r>
  <r>
    <s v="6MN044"/>
    <s v="Matematik 4 för grundskolans årskurs 4-6"/>
    <m/>
    <s v="LYGRM"/>
    <s v="H17"/>
    <s v="ht"/>
    <s v="H2116-20"/>
    <s v="Umeå"/>
    <s v="Campus"/>
    <m/>
    <m/>
    <n v="1"/>
    <n v="7.5"/>
    <m/>
    <m/>
    <n v="1"/>
    <n v="0.125"/>
    <n v="0.85"/>
    <n v="0.10625"/>
    <x v="7"/>
    <s v="NMD"/>
    <s v="TekNat"/>
    <s v="Grundlärarprogrammet - grundskolans åk 4-6"/>
    <n v="20757"/>
    <n v="36082"/>
    <n v="6428.3374999999996"/>
    <n v="22600"/>
    <n v="2825"/>
    <n v="9253.3374999999996"/>
    <n v="0"/>
    <n v="0"/>
    <n v="0"/>
    <n v="0"/>
    <n v="0"/>
    <n v="1"/>
    <n v="0"/>
    <n v="0"/>
    <n v="0"/>
    <n v="0"/>
    <n v="0"/>
    <n v="0"/>
  </r>
  <r>
    <s v="6MN044"/>
    <s v="Matematik 4 för grundskolans årskurs 4-6"/>
    <m/>
    <s v="LYGRM"/>
    <s v="H19"/>
    <s v="ht"/>
    <s v="H2116-20"/>
    <s v="Umeå"/>
    <s v="Campus"/>
    <m/>
    <m/>
    <n v="1"/>
    <n v="7.5"/>
    <m/>
    <m/>
    <n v="21"/>
    <n v="2.625"/>
    <n v="0.85"/>
    <n v="2.2312499999999997"/>
    <x v="7"/>
    <s v="NMD"/>
    <s v="TekNat"/>
    <s v="Grundlärarprogrammet - grundskolans åk 4-6"/>
    <n v="20757"/>
    <n v="36082"/>
    <n v="134995.08749999999"/>
    <n v="22600"/>
    <n v="59325"/>
    <n v="194320.08749999999"/>
    <n v="0"/>
    <n v="0"/>
    <n v="0"/>
    <n v="0"/>
    <n v="0"/>
    <n v="1"/>
    <n v="0"/>
    <n v="0"/>
    <n v="0"/>
    <n v="0"/>
    <n v="0"/>
    <n v="0"/>
  </r>
  <r>
    <s v="6MN044"/>
    <s v="Matematik 4 för grundskolans årskurs 4-6"/>
    <m/>
    <s v="LYGRM"/>
    <s v="H20"/>
    <s v="ht"/>
    <s v="H2116-20"/>
    <s v="Umeå"/>
    <s v="Campus"/>
    <m/>
    <m/>
    <n v="1"/>
    <n v="7.5"/>
    <m/>
    <m/>
    <n v="1"/>
    <n v="0.125"/>
    <n v="0.85"/>
    <n v="0.10625"/>
    <x v="7"/>
    <s v="NMD"/>
    <s v="TekNat"/>
    <s v="Grundlärarprogrammet - grundskolans åk 4-6"/>
    <n v="20757"/>
    <n v="36082"/>
    <n v="6428.3374999999996"/>
    <n v="22600"/>
    <n v="2825"/>
    <n v="9253.3374999999996"/>
    <n v="0"/>
    <n v="0"/>
    <n v="0"/>
    <n v="0"/>
    <n v="0"/>
    <n v="1"/>
    <n v="0"/>
    <n v="0"/>
    <n v="0"/>
    <n v="0"/>
    <n v="0"/>
    <n v="0"/>
  </r>
  <r>
    <s v="6MN045"/>
    <s v="Matematik för förskolan"/>
    <m/>
    <s v="LYFSK"/>
    <s v="H20"/>
    <s v="ht"/>
    <s v="H2111-15"/>
    <s v="Umeå"/>
    <s v="Campus"/>
    <m/>
    <m/>
    <n v="1"/>
    <n v="7.5"/>
    <m/>
    <m/>
    <n v="36"/>
    <n v="4.5"/>
    <n v="0.85"/>
    <n v="3.8249999999999997"/>
    <x v="7"/>
    <s v="NMD"/>
    <s v="TekNat"/>
    <s v="Förskollärarprogrammet"/>
    <n v="20757"/>
    <n v="36082"/>
    <n v="231420.15"/>
    <n v="22600"/>
    <n v="101700"/>
    <n v="333120.15000000002"/>
    <n v="0"/>
    <n v="0"/>
    <n v="0"/>
    <n v="0"/>
    <n v="0"/>
    <n v="1"/>
    <n v="0"/>
    <n v="0"/>
    <n v="0"/>
    <n v="0"/>
    <n v="0"/>
    <n v="0"/>
  </r>
  <r>
    <s v="6MN045"/>
    <s v="Matematik för förskolan"/>
    <n v="61503"/>
    <s v="LYFSK"/>
    <m/>
    <s v="vt"/>
    <m/>
    <s v="Umeå"/>
    <s v="Normal"/>
    <m/>
    <m/>
    <m/>
    <n v="7.5"/>
    <m/>
    <m/>
    <n v="21"/>
    <n v="2.625"/>
    <n v="0.85"/>
    <n v="2.2312499999999997"/>
    <x v="7"/>
    <s v="NMD"/>
    <s v="TekNat"/>
    <s v="Förskollärarprogrammet"/>
    <n v="20757"/>
    <n v="36082"/>
    <n v="134995.08749999999"/>
    <n v="22600"/>
    <n v="59325"/>
    <n v="194320.08749999999"/>
    <n v="0"/>
    <n v="0"/>
    <n v="0"/>
    <n v="0"/>
    <n v="0"/>
    <n v="1"/>
    <n v="0"/>
    <n v="0"/>
    <n v="0"/>
    <n v="0"/>
    <n v="0"/>
    <n v="0"/>
  </r>
  <r>
    <s v="6MN047"/>
    <s v="Matematik 2 för lärande och undervisning för förskoleklass och grundskolans årskurs 1-3"/>
    <m/>
    <s v="FRIST"/>
    <m/>
    <s v="ht"/>
    <m/>
    <m/>
    <s v="Distans"/>
    <m/>
    <m/>
    <n v="0.5"/>
    <n v="15"/>
    <m/>
    <m/>
    <n v="6"/>
    <n v="1.5"/>
    <n v="0.8"/>
    <n v="1.2000000000000002"/>
    <x v="7"/>
    <s v="NMD"/>
    <s v="TekNat"/>
    <s v="Fristående och övriga kurser"/>
    <n v="20757"/>
    <n v="36082"/>
    <n v="74433.900000000009"/>
    <n v="22600"/>
    <n v="33900"/>
    <n v="108333.90000000001"/>
    <n v="0"/>
    <n v="0"/>
    <n v="0"/>
    <n v="0"/>
    <n v="0"/>
    <n v="1"/>
    <n v="0"/>
    <n v="0"/>
    <n v="0"/>
    <n v="0"/>
    <n v="0"/>
    <n v="0"/>
  </r>
  <r>
    <s v="6MN048"/>
    <s v="Matematik 2 för lärande och undervisning för grundskolans årskurs 4-6"/>
    <m/>
    <s v="FRIST"/>
    <m/>
    <s v="ht"/>
    <m/>
    <m/>
    <s v="Distans"/>
    <m/>
    <m/>
    <n v="0.5"/>
    <n v="15"/>
    <m/>
    <m/>
    <n v="6"/>
    <n v="1.5"/>
    <n v="0.8"/>
    <n v="1.2000000000000002"/>
    <x v="7"/>
    <s v="NMD"/>
    <s v="TekNat"/>
    <s v="Fristående och övriga kurser"/>
    <n v="20757"/>
    <n v="36082"/>
    <n v="74433.900000000009"/>
    <n v="22600"/>
    <n v="33900"/>
    <n v="108333.90000000001"/>
    <n v="0"/>
    <n v="0"/>
    <n v="0"/>
    <n v="0"/>
    <n v="0"/>
    <n v="1"/>
    <n v="0"/>
    <n v="0"/>
    <n v="0"/>
    <n v="0"/>
    <n v="0"/>
    <n v="0"/>
  </r>
  <r>
    <s v="6MN049"/>
    <s v="Matematik 1 för lärande och undervisning för förskoleklass och grundskolans årskurs 1-6"/>
    <n v="61500"/>
    <s v="FRIST"/>
    <m/>
    <s v="vt"/>
    <m/>
    <s v="Umeå"/>
    <s v="Distans"/>
    <m/>
    <m/>
    <m/>
    <n v="15"/>
    <m/>
    <m/>
    <n v="6"/>
    <n v="1.5"/>
    <n v="0.8"/>
    <n v="1.2000000000000002"/>
    <x v="7"/>
    <s v="NMD"/>
    <s v="TekNat"/>
    <s v="Fristående och övriga kurser"/>
    <n v="20757"/>
    <n v="36082"/>
    <n v="74433.900000000009"/>
    <n v="22600"/>
    <n v="33900"/>
    <n v="108333.90000000001"/>
    <n v="0"/>
    <n v="0"/>
    <n v="0"/>
    <n v="0"/>
    <n v="0"/>
    <n v="1"/>
    <n v="0"/>
    <n v="0"/>
    <n v="0"/>
    <n v="0"/>
    <n v="0"/>
    <n v="0"/>
  </r>
  <r>
    <s v="6MN050"/>
    <s v="Matematikdidaktik 1 för grundskolans åk 7-9 och gymnasiet"/>
    <n v="61502"/>
    <s v="FRIST"/>
    <m/>
    <s v="vt"/>
    <m/>
    <s v="Umeå"/>
    <s v="Normal"/>
    <m/>
    <m/>
    <m/>
    <n v="7.5"/>
    <m/>
    <m/>
    <n v="1"/>
    <n v="0.125"/>
    <n v="0.8"/>
    <n v="0.1"/>
    <x v="7"/>
    <s v="NMD"/>
    <s v="TekNat"/>
    <s v="Fristående och övriga kurser"/>
    <n v="20757"/>
    <n v="36082"/>
    <n v="6202.8250000000007"/>
    <n v="22600"/>
    <n v="2825"/>
    <n v="9027.8250000000007"/>
    <n v="0"/>
    <n v="0"/>
    <n v="0"/>
    <n v="0"/>
    <n v="0"/>
    <n v="1"/>
    <n v="0"/>
    <n v="0"/>
    <n v="0"/>
    <n v="0"/>
    <n v="0"/>
    <n v="0"/>
  </r>
  <r>
    <s v="6MN050"/>
    <s v="Matematikdidaktik 1 för grundskolans åk 7-9 och gymnasiet"/>
    <n v="61506"/>
    <s v="LYAGY"/>
    <m/>
    <s v="vt"/>
    <m/>
    <s v="Umeå"/>
    <s v="Normal"/>
    <s v="BIOL"/>
    <m/>
    <m/>
    <n v="7.5"/>
    <m/>
    <m/>
    <n v="1"/>
    <n v="0.125"/>
    <n v="0.85"/>
    <n v="0.10625"/>
    <x v="7"/>
    <s v="NMD"/>
    <s v="TekNat"/>
    <s v="Ämneslärarprogrammet - Gy"/>
    <n v="20757"/>
    <n v="36082"/>
    <n v="6428.3374999999996"/>
    <n v="22600"/>
    <n v="2825"/>
    <n v="9253.3374999999996"/>
    <n v="0"/>
    <n v="0"/>
    <n v="0"/>
    <n v="0"/>
    <n v="0"/>
    <n v="1"/>
    <n v="0"/>
    <n v="0"/>
    <n v="0"/>
    <n v="0"/>
    <n v="0"/>
    <n v="0"/>
  </r>
  <r>
    <s v="6MN050"/>
    <s v="Matematikdidaktik 1 för grundskolans åk 7-9 och gymnasiet"/>
    <n v="61506"/>
    <s v="LYAGY"/>
    <m/>
    <s v="vt"/>
    <m/>
    <s v="Umeå"/>
    <s v="Normal"/>
    <s v="IDRH"/>
    <m/>
    <m/>
    <n v="7.5"/>
    <m/>
    <m/>
    <n v="2"/>
    <n v="0.25"/>
    <n v="0.85"/>
    <n v="0.21249999999999999"/>
    <x v="7"/>
    <s v="NMD"/>
    <s v="TekNat"/>
    <s v="Ämneslärarprogrammet - Gy"/>
    <n v="20757"/>
    <n v="36082"/>
    <n v="12856.674999999999"/>
    <n v="22600"/>
    <n v="5650"/>
    <n v="18506.674999999999"/>
    <n v="0"/>
    <n v="0"/>
    <n v="0"/>
    <n v="0"/>
    <n v="0"/>
    <n v="1"/>
    <n v="0"/>
    <n v="0"/>
    <n v="0"/>
    <n v="0"/>
    <n v="0"/>
    <n v="0"/>
  </r>
  <r>
    <s v="6MN050"/>
    <s v="Matematikdidaktik 1 för grundskolans åk 7-9 och gymnasiet"/>
    <n v="61502"/>
    <s v="LYAGY"/>
    <m/>
    <s v="vt"/>
    <m/>
    <s v="Umeå"/>
    <s v="Normal"/>
    <s v="MATT"/>
    <m/>
    <m/>
    <n v="7.5"/>
    <m/>
    <m/>
    <n v="1"/>
    <n v="0.125"/>
    <n v="0.85"/>
    <n v="0.10625"/>
    <x v="7"/>
    <s v="NMD"/>
    <s v="TekNat"/>
    <s v="Ämneslärarprogrammet - Gy"/>
    <n v="20757"/>
    <n v="36082"/>
    <n v="6428.3374999999996"/>
    <n v="22600"/>
    <n v="2825"/>
    <n v="9253.3374999999996"/>
    <n v="0"/>
    <n v="0"/>
    <n v="0"/>
    <n v="0"/>
    <n v="0"/>
    <n v="1"/>
    <n v="0"/>
    <n v="0"/>
    <n v="0"/>
    <n v="0"/>
    <n v="0"/>
    <n v="0"/>
  </r>
  <r>
    <s v="6MN050"/>
    <s v="Matematikdidaktik 1 för grundskolans åk 7-9 och gymnasiet"/>
    <n v="61506"/>
    <s v="LYAGY"/>
    <m/>
    <s v="vt"/>
    <m/>
    <s v="Umeå"/>
    <s v="Normal"/>
    <s v="MATT"/>
    <m/>
    <m/>
    <n v="7.5"/>
    <m/>
    <m/>
    <n v="20"/>
    <n v="2.5"/>
    <n v="0.85"/>
    <n v="2.125"/>
    <x v="7"/>
    <s v="NMD"/>
    <s v="TekNat"/>
    <s v="Ämneslärarprogrammet - Gy"/>
    <n v="20757"/>
    <n v="36082"/>
    <n v="128566.75"/>
    <n v="22600"/>
    <n v="56500"/>
    <n v="185066.75"/>
    <n v="0"/>
    <n v="0"/>
    <n v="0"/>
    <n v="0"/>
    <n v="0"/>
    <n v="1"/>
    <n v="0"/>
    <n v="0"/>
    <n v="0"/>
    <n v="0"/>
    <n v="0"/>
    <n v="0"/>
  </r>
  <r>
    <s v="6MN050"/>
    <s v="Matematikdidaktik 1 för grundskolans åk 7-9 och gymnasiet"/>
    <n v="61506"/>
    <s v="LYAGY"/>
    <m/>
    <s v="vt"/>
    <m/>
    <s v="Umeå"/>
    <s v="Normal"/>
    <s v="SAMK"/>
    <m/>
    <m/>
    <n v="7.5"/>
    <m/>
    <m/>
    <n v="1"/>
    <n v="0.125"/>
    <n v="0.85"/>
    <n v="0.10625"/>
    <x v="7"/>
    <s v="NMD"/>
    <s v="TekNat"/>
    <s v="Ämneslärarprogrammet - Gy"/>
    <n v="20757"/>
    <n v="36082"/>
    <n v="6428.3374999999996"/>
    <n v="22600"/>
    <n v="2825"/>
    <n v="9253.3374999999996"/>
    <n v="0"/>
    <n v="0"/>
    <n v="0"/>
    <n v="0"/>
    <n v="0"/>
    <n v="1"/>
    <n v="0"/>
    <n v="0"/>
    <n v="0"/>
    <n v="0"/>
    <n v="0"/>
    <n v="0"/>
  </r>
  <r>
    <s v="6MN051"/>
    <s v="Matematikdidaktik 2 för grundskolans åk 7-9 och gymnasiet"/>
    <m/>
    <s v="FRIST"/>
    <m/>
    <s v="ht"/>
    <m/>
    <m/>
    <s v="Distans"/>
    <m/>
    <m/>
    <n v="1"/>
    <n v="7.5"/>
    <m/>
    <m/>
    <n v="2"/>
    <n v="0.25"/>
    <n v="0.8"/>
    <n v="0.2"/>
    <x v="7"/>
    <s v="NMD"/>
    <s v="TekNat"/>
    <s v="Fristående och övriga kurser"/>
    <n v="20757"/>
    <n v="36082"/>
    <n v="12405.650000000001"/>
    <n v="22600"/>
    <n v="5650"/>
    <n v="18055.650000000001"/>
    <n v="0"/>
    <n v="0"/>
    <n v="0"/>
    <n v="0"/>
    <n v="0"/>
    <n v="1"/>
    <n v="0"/>
    <n v="0"/>
    <n v="0"/>
    <n v="0"/>
    <n v="0"/>
    <n v="0"/>
  </r>
  <r>
    <s v="6MN051"/>
    <s v="Matematikdidaktik 2 för grundskolans åk 7-9 och gymnasiet"/>
    <m/>
    <s v="LYAGY"/>
    <s v="H17"/>
    <s v="ht"/>
    <s v="H2111-15"/>
    <s v="Umeå"/>
    <m/>
    <s v="SAMK"/>
    <m/>
    <n v="1"/>
    <n v="7.5"/>
    <m/>
    <m/>
    <n v="1"/>
    <n v="0.125"/>
    <n v="0.85"/>
    <n v="0.10625"/>
    <x v="7"/>
    <s v="NMD"/>
    <s v="TekNat"/>
    <s v="Ämneslärarprogrammet - Gy"/>
    <n v="20757"/>
    <n v="36082"/>
    <n v="6428.3374999999996"/>
    <n v="22600"/>
    <n v="2825"/>
    <n v="9253.3374999999996"/>
    <n v="0"/>
    <n v="0"/>
    <n v="0"/>
    <n v="0"/>
    <n v="0"/>
    <n v="1"/>
    <n v="0"/>
    <n v="0"/>
    <n v="0"/>
    <n v="0"/>
    <n v="0"/>
    <n v="0"/>
  </r>
  <r>
    <s v="6MN051"/>
    <s v="Matematikdidaktik 2 för grundskolans åk 7-9 och gymnasiet"/>
    <m/>
    <s v="LYAGY"/>
    <s v="H18"/>
    <s v="ht"/>
    <s v="H2111-15"/>
    <s v="Umeå"/>
    <m/>
    <s v="BIOL"/>
    <m/>
    <n v="1"/>
    <n v="7.5"/>
    <m/>
    <m/>
    <n v="1"/>
    <n v="0.125"/>
    <n v="0.85"/>
    <n v="0.10625"/>
    <x v="7"/>
    <s v="NMD"/>
    <s v="TekNat"/>
    <s v="Ämneslärarprogrammet - Gy"/>
    <n v="20757"/>
    <n v="36082"/>
    <n v="6428.3374999999996"/>
    <n v="22600"/>
    <n v="2825"/>
    <n v="9253.3374999999996"/>
    <n v="0"/>
    <n v="0"/>
    <n v="0"/>
    <n v="0"/>
    <n v="0"/>
    <n v="1"/>
    <n v="0"/>
    <n v="0"/>
    <n v="0"/>
    <n v="0"/>
    <n v="0"/>
    <n v="0"/>
  </r>
  <r>
    <s v="6MN051"/>
    <s v="Matematikdidaktik 2 för grundskolans åk 7-9 och gymnasiet"/>
    <m/>
    <s v="LYAGY"/>
    <s v="H18"/>
    <s v="ht"/>
    <s v="H2111-15"/>
    <s v="Umeå"/>
    <m/>
    <s v="IDRH"/>
    <m/>
    <n v="1"/>
    <n v="7.5"/>
    <m/>
    <m/>
    <n v="2"/>
    <n v="0.25"/>
    <n v="0.85"/>
    <n v="0.21249999999999999"/>
    <x v="7"/>
    <s v="NMD"/>
    <s v="TekNat"/>
    <s v="Ämneslärarprogrammet - Gy"/>
    <n v="20757"/>
    <n v="36082"/>
    <n v="12856.674999999999"/>
    <n v="22600"/>
    <n v="5650"/>
    <n v="18506.674999999999"/>
    <n v="0"/>
    <n v="0"/>
    <n v="0"/>
    <n v="0"/>
    <n v="0"/>
    <n v="1"/>
    <n v="0"/>
    <n v="0"/>
    <n v="0"/>
    <n v="0"/>
    <n v="0"/>
    <n v="0"/>
  </r>
  <r>
    <s v="6MN051"/>
    <s v="Matematikdidaktik 2 för grundskolans åk 7-9 och gymnasiet"/>
    <m/>
    <s v="LYAGY"/>
    <s v="H18"/>
    <s v="ht"/>
    <s v="H2111-15"/>
    <s v="Umeå"/>
    <m/>
    <s v="SAMK"/>
    <m/>
    <n v="1"/>
    <n v="7.5"/>
    <m/>
    <m/>
    <n v="1"/>
    <n v="0.125"/>
    <n v="0.85"/>
    <n v="0.10625"/>
    <x v="7"/>
    <s v="NMD"/>
    <s v="TekNat"/>
    <s v="Ämneslärarprogrammet - Gy"/>
    <n v="20757"/>
    <n v="36082"/>
    <n v="6428.3374999999996"/>
    <n v="22600"/>
    <n v="2825"/>
    <n v="9253.3374999999996"/>
    <n v="0"/>
    <n v="0"/>
    <n v="0"/>
    <n v="0"/>
    <n v="0"/>
    <n v="1"/>
    <n v="0"/>
    <n v="0"/>
    <n v="0"/>
    <n v="0"/>
    <n v="0"/>
    <n v="0"/>
  </r>
  <r>
    <s v="6MN051"/>
    <s v="Matematikdidaktik 2 för grundskolans åk 7-9 och gymnasiet"/>
    <m/>
    <s v="LYAGY"/>
    <s v="H19"/>
    <s v="ht"/>
    <s v="H2111-15"/>
    <s v="Umeå"/>
    <m/>
    <s v="MATT"/>
    <m/>
    <n v="1"/>
    <n v="7.5"/>
    <m/>
    <m/>
    <n v="1"/>
    <n v="0.125"/>
    <n v="0.85"/>
    <n v="0.10625"/>
    <x v="7"/>
    <s v="NMD"/>
    <s v="TekNat"/>
    <s v="Ämneslärarprogrammet - Gy"/>
    <n v="20757"/>
    <n v="36082"/>
    <n v="6428.3374999999996"/>
    <n v="22600"/>
    <n v="2825"/>
    <n v="9253.3374999999996"/>
    <n v="0"/>
    <n v="0"/>
    <n v="0"/>
    <n v="0"/>
    <n v="0"/>
    <n v="1"/>
    <n v="0"/>
    <n v="0"/>
    <n v="0"/>
    <n v="0"/>
    <n v="0"/>
    <n v="0"/>
  </r>
  <r>
    <s v="6MN051"/>
    <s v="Matematikdidaktik 2 för grundskolans åk 7-9 och gymnasiet"/>
    <m/>
    <s v="LYAGY"/>
    <s v="H20"/>
    <s v="ht"/>
    <s v="H2111-15"/>
    <s v="Umeå"/>
    <m/>
    <s v="MATT"/>
    <m/>
    <n v="1"/>
    <n v="7.5"/>
    <m/>
    <m/>
    <n v="18"/>
    <n v="2.25"/>
    <n v="0.85"/>
    <n v="1.9124999999999999"/>
    <x v="7"/>
    <s v="NMD"/>
    <s v="TekNat"/>
    <s v="Ämneslärarprogrammet - Gy"/>
    <n v="20757"/>
    <n v="36082"/>
    <n v="115710.075"/>
    <n v="22600"/>
    <n v="50850"/>
    <n v="166560.07500000001"/>
    <n v="0"/>
    <n v="0"/>
    <n v="0"/>
    <n v="0"/>
    <n v="0"/>
    <n v="1"/>
    <n v="0"/>
    <n v="0"/>
    <n v="0"/>
    <n v="0"/>
    <n v="0"/>
    <n v="0"/>
  </r>
  <r>
    <s v="6MS002"/>
    <s v="Statistik för lärare"/>
    <m/>
    <s v="FRIST"/>
    <m/>
    <s v="ht"/>
    <m/>
    <m/>
    <s v="Campus"/>
    <m/>
    <m/>
    <n v="1"/>
    <n v="7.5"/>
    <m/>
    <m/>
    <n v="4"/>
    <n v="0.5"/>
    <n v="0.8"/>
    <n v="0.4"/>
    <x v="6"/>
    <s v="Inst för MA och MA statistik"/>
    <s v="TekNat"/>
    <s v="Fristående och övriga kurser"/>
    <n v="20757"/>
    <n v="36082"/>
    <n v="24811.300000000003"/>
    <n v="22600"/>
    <n v="11300"/>
    <n v="36111.300000000003"/>
    <n v="0"/>
    <n v="0"/>
    <n v="0"/>
    <n v="0"/>
    <n v="0"/>
    <n v="1"/>
    <n v="0"/>
    <n v="0"/>
    <n v="0"/>
    <n v="0"/>
    <n v="0"/>
    <n v="0"/>
  </r>
  <r>
    <s v="6MS002"/>
    <s v="Statistik för lärare"/>
    <m/>
    <s v="LYAGY"/>
    <s v="H17"/>
    <s v="ht"/>
    <s v="H216-10"/>
    <s v="Umeå"/>
    <m/>
    <s v="SAMK"/>
    <m/>
    <n v="1"/>
    <n v="7.5"/>
    <m/>
    <m/>
    <n v="1"/>
    <n v="0.125"/>
    <n v="0.85"/>
    <n v="0.10625"/>
    <x v="6"/>
    <s v="Inst för MA och MA statistik"/>
    <s v="TekNat"/>
    <s v="Ämneslärarprogrammet - Gy"/>
    <n v="20757"/>
    <n v="36082"/>
    <n v="6428.3374999999996"/>
    <n v="22600"/>
    <n v="2825"/>
    <n v="9253.3374999999996"/>
    <n v="0"/>
    <n v="0"/>
    <n v="0"/>
    <n v="0"/>
    <n v="0"/>
    <n v="1"/>
    <n v="0"/>
    <n v="0"/>
    <n v="0"/>
    <n v="0"/>
    <n v="0"/>
    <n v="0"/>
  </r>
  <r>
    <s v="6MS002"/>
    <s v="Statistik för lärare"/>
    <m/>
    <s v="LYAGY"/>
    <s v="H18"/>
    <s v="ht"/>
    <s v="H216-10"/>
    <s v="Umeå"/>
    <m/>
    <s v="BIOL"/>
    <m/>
    <n v="1"/>
    <n v="7.5"/>
    <m/>
    <m/>
    <n v="1"/>
    <n v="0.125"/>
    <n v="0.85"/>
    <n v="0.10625"/>
    <x v="6"/>
    <s v="Inst för MA och MA statistik"/>
    <s v="TekNat"/>
    <s v="Ämneslärarprogrammet - Gy"/>
    <n v="20757"/>
    <n v="36082"/>
    <n v="6428.3374999999996"/>
    <n v="22600"/>
    <n v="2825"/>
    <n v="9253.3374999999996"/>
    <n v="0"/>
    <n v="0"/>
    <n v="0"/>
    <n v="0"/>
    <n v="0"/>
    <n v="1"/>
    <n v="0"/>
    <n v="0"/>
    <n v="0"/>
    <n v="0"/>
    <n v="0"/>
    <n v="0"/>
  </r>
  <r>
    <s v="6MS002"/>
    <s v="Statistik för lärare"/>
    <m/>
    <s v="LYAGY"/>
    <s v="H18"/>
    <s v="ht"/>
    <s v="H216-10"/>
    <s v="Umeå"/>
    <m/>
    <s v="IDRH"/>
    <m/>
    <n v="1"/>
    <n v="7.5"/>
    <m/>
    <m/>
    <n v="2"/>
    <n v="0.25"/>
    <n v="0.85"/>
    <n v="0.21249999999999999"/>
    <x v="6"/>
    <s v="Inst för MA och MA statistik"/>
    <s v="TekNat"/>
    <s v="Ämneslärarprogrammet - Gy"/>
    <n v="20757"/>
    <n v="36082"/>
    <n v="12856.674999999999"/>
    <n v="22600"/>
    <n v="5650"/>
    <n v="18506.674999999999"/>
    <n v="0"/>
    <n v="0"/>
    <n v="0"/>
    <n v="0"/>
    <n v="0"/>
    <n v="1"/>
    <n v="0"/>
    <n v="0"/>
    <n v="0"/>
    <n v="0"/>
    <n v="0"/>
    <n v="0"/>
  </r>
  <r>
    <s v="6MS002"/>
    <s v="Statistik för lärare"/>
    <m/>
    <s v="LYAGY"/>
    <s v="H18"/>
    <s v="ht"/>
    <s v="H216-10"/>
    <s v="Umeå"/>
    <m/>
    <s v="SAMK"/>
    <m/>
    <n v="1"/>
    <n v="7.5"/>
    <m/>
    <m/>
    <n v="1"/>
    <n v="0.125"/>
    <n v="0.85"/>
    <n v="0.10625"/>
    <x v="6"/>
    <s v="Inst för MA och MA statistik"/>
    <s v="TekNat"/>
    <s v="Ämneslärarprogrammet - Gy"/>
    <n v="20757"/>
    <n v="36082"/>
    <n v="6428.3374999999996"/>
    <n v="22600"/>
    <n v="2825"/>
    <n v="9253.3374999999996"/>
    <n v="0"/>
    <n v="0"/>
    <n v="0"/>
    <n v="0"/>
    <n v="0"/>
    <n v="1"/>
    <n v="0"/>
    <n v="0"/>
    <n v="0"/>
    <n v="0"/>
    <n v="0"/>
    <n v="0"/>
  </r>
  <r>
    <s v="6MS002"/>
    <s v="Statistik för lärare"/>
    <m/>
    <s v="LYAGY"/>
    <s v="H19"/>
    <s v="ht"/>
    <s v="H216-10"/>
    <s v="Umeå"/>
    <m/>
    <s v="MASH"/>
    <m/>
    <n v="1"/>
    <n v="7.5"/>
    <m/>
    <m/>
    <n v="1"/>
    <n v="0.125"/>
    <n v="0.85"/>
    <n v="0.10625"/>
    <x v="6"/>
    <s v="Inst för MA och MA statistik"/>
    <s v="TekNat"/>
    <s v="Ämneslärarprogrammet - Gy"/>
    <n v="20757"/>
    <n v="36082"/>
    <n v="6428.3374999999996"/>
    <n v="22600"/>
    <n v="2825"/>
    <n v="9253.3374999999996"/>
    <n v="0"/>
    <n v="0"/>
    <n v="0"/>
    <n v="0"/>
    <n v="0"/>
    <n v="1"/>
    <n v="0"/>
    <n v="0"/>
    <n v="0"/>
    <n v="0"/>
    <n v="0"/>
    <n v="0"/>
  </r>
  <r>
    <s v="6MS002"/>
    <s v="Statistik för lärare"/>
    <m/>
    <s v="LYAGY"/>
    <s v="H20"/>
    <s v="ht"/>
    <s v="H216-10"/>
    <s v="Umeå"/>
    <m/>
    <s v="MATT"/>
    <m/>
    <n v="1"/>
    <n v="7.5"/>
    <m/>
    <m/>
    <n v="18"/>
    <n v="2.25"/>
    <n v="0.85"/>
    <n v="1.9124999999999999"/>
    <x v="6"/>
    <s v="Inst för MA och MA statistik"/>
    <s v="TekNat"/>
    <s v="Ämneslärarprogrammet - Gy"/>
    <n v="20757"/>
    <n v="36082"/>
    <n v="115710.075"/>
    <n v="22600"/>
    <n v="50850"/>
    <n v="166560.07500000001"/>
    <n v="0"/>
    <n v="0"/>
    <n v="0"/>
    <n v="0"/>
    <n v="0"/>
    <n v="1"/>
    <n v="0"/>
    <n v="0"/>
    <n v="0"/>
    <n v="0"/>
    <n v="0"/>
    <n v="0"/>
  </r>
  <r>
    <s v="6MS003"/>
    <s v="Statistik för naturvetare"/>
    <n v="75805"/>
    <s v="LYAGY"/>
    <m/>
    <s v="vt"/>
    <m/>
    <s v="Umeå"/>
    <s v="Normal"/>
    <s v="MATT"/>
    <m/>
    <m/>
    <n v="7.5"/>
    <m/>
    <m/>
    <n v="2"/>
    <n v="0.25"/>
    <n v="0.85"/>
    <n v="0.21249999999999999"/>
    <x v="6"/>
    <s v="Inst för MA och MA statistik"/>
    <s v="TekNat"/>
    <s v="Ämneslärarprogrammet - Gy"/>
    <n v="20757"/>
    <n v="36082"/>
    <n v="12856.674999999999"/>
    <n v="22600"/>
    <n v="5650"/>
    <n v="18506.674999999999"/>
    <n v="0"/>
    <n v="0"/>
    <n v="0"/>
    <n v="0"/>
    <n v="0"/>
    <n v="0.5"/>
    <n v="0"/>
    <n v="0.5"/>
    <n v="0"/>
    <n v="0"/>
    <n v="0"/>
    <n v="0"/>
  </r>
  <r>
    <s v="6MU021"/>
    <s v="Musik 1"/>
    <n v="66703"/>
    <s v="LYAGY"/>
    <m/>
    <s v="vt"/>
    <m/>
    <s v="Umeå"/>
    <s v="Normal"/>
    <s v="MATT"/>
    <m/>
    <m/>
    <n v="30"/>
    <m/>
    <m/>
    <n v="1"/>
    <n v="0.5"/>
    <n v="0.85"/>
    <n v="0.42499999999999999"/>
    <x v="9"/>
    <s v="Estetiska ämnen               "/>
    <s v="Hum"/>
    <s v="Ämneslärarprogrammet - Gy"/>
    <n v="33396"/>
    <n v="66137"/>
    <n v="44806.224999999999"/>
    <n v="72600"/>
    <n v="36300"/>
    <n v="81106.225000000006"/>
    <n v="0"/>
    <n v="0"/>
    <n v="0"/>
    <n v="0"/>
    <n v="1"/>
    <n v="0"/>
    <n v="0"/>
    <n v="0"/>
    <n v="0"/>
    <n v="0"/>
    <n v="0"/>
    <n v="0"/>
  </r>
  <r>
    <s v="6MU021"/>
    <s v="Musik 1"/>
    <n v="66703"/>
    <s v="LYAGY"/>
    <m/>
    <s v="vt"/>
    <m/>
    <s v="Umeå"/>
    <s v="Normal"/>
    <s v="MUSI"/>
    <m/>
    <m/>
    <n v="30"/>
    <m/>
    <m/>
    <n v="5"/>
    <n v="2.5"/>
    <n v="0.85"/>
    <n v="2.125"/>
    <x v="9"/>
    <s v="Estetiska ämnen               "/>
    <s v="Hum"/>
    <s v="Ämneslärarprogrammet - Gy"/>
    <n v="33396"/>
    <n v="66137"/>
    <n v="224031.125"/>
    <n v="72600"/>
    <n v="181500"/>
    <n v="405531.125"/>
    <n v="0"/>
    <n v="0"/>
    <n v="0"/>
    <n v="0"/>
    <n v="1"/>
    <n v="0"/>
    <n v="0"/>
    <n v="0"/>
    <n v="0"/>
    <n v="0"/>
    <n v="0"/>
    <n v="0"/>
  </r>
  <r>
    <s v="6MU044"/>
    <s v="Musik 1 30 hp, fristående"/>
    <n v="66710"/>
    <s v="FRIST"/>
    <m/>
    <s v="vt"/>
    <m/>
    <s v="Umeå"/>
    <s v="Normal"/>
    <m/>
    <m/>
    <m/>
    <n v="30"/>
    <m/>
    <m/>
    <n v="1"/>
    <n v="0.5"/>
    <n v="0.8"/>
    <n v="0.4"/>
    <x v="9"/>
    <s v="Estetiska ämnen               "/>
    <s v="Hum"/>
    <s v="Fristående och övriga kurser"/>
    <n v="33396"/>
    <n v="66137"/>
    <n v="43152.800000000003"/>
    <n v="72600"/>
    <n v="36300"/>
    <n v="79452.800000000003"/>
    <n v="0"/>
    <n v="0"/>
    <n v="0"/>
    <n v="0"/>
    <n v="1"/>
    <n v="0"/>
    <n v="0"/>
    <n v="0"/>
    <n v="0"/>
    <n v="0"/>
    <n v="0"/>
    <n v="0"/>
  </r>
  <r>
    <s v="6MU051"/>
    <s v="Musik fördjupning 3"/>
    <s v="MU051"/>
    <s v="LYAGY"/>
    <m/>
    <s v="vt"/>
    <m/>
    <s v="Umeå"/>
    <s v="Normal"/>
    <s v="MUSI"/>
    <m/>
    <m/>
    <n v="30"/>
    <m/>
    <m/>
    <n v="3"/>
    <n v="1.5"/>
    <n v="0.85"/>
    <n v="1.2749999999999999"/>
    <x v="9"/>
    <s v="Estetiska ämnen               "/>
    <s v="Hum"/>
    <s v="Ämneslärarprogrammet - Gy"/>
    <n v="33396"/>
    <n v="66137"/>
    <n v="134418.67499999999"/>
    <n v="72600"/>
    <n v="108900"/>
    <n v="243318.67499999999"/>
    <n v="0"/>
    <n v="0"/>
    <n v="0"/>
    <n v="0"/>
    <n v="1"/>
    <n v="0"/>
    <n v="0"/>
    <n v="0"/>
    <n v="0"/>
    <n v="0"/>
    <n v="0"/>
    <n v="0"/>
  </r>
  <r>
    <s v="6MU058"/>
    <s v="Musik 1, distans"/>
    <n v="66608"/>
    <s v="FRIST"/>
    <m/>
    <s v="vt"/>
    <m/>
    <s v="Umeå"/>
    <s v="Distans"/>
    <m/>
    <m/>
    <m/>
    <n v="15"/>
    <m/>
    <m/>
    <n v="15"/>
    <n v="3.75"/>
    <n v="0.8"/>
    <n v="3"/>
    <x v="9"/>
    <s v="Estetiska ämnen               "/>
    <s v="Hum"/>
    <s v="Fristående och övriga kurser"/>
    <n v="33396"/>
    <n v="66137"/>
    <n v="323646"/>
    <n v="72600"/>
    <n v="272250"/>
    <n v="595896"/>
    <n v="0"/>
    <n v="0"/>
    <n v="0"/>
    <n v="0"/>
    <n v="1"/>
    <n v="0"/>
    <n v="0"/>
    <n v="0"/>
    <n v="0"/>
    <n v="0"/>
    <n v="0"/>
    <n v="0"/>
  </r>
  <r>
    <s v="6MU058"/>
    <s v="Musik 1, distans"/>
    <m/>
    <s v="FRIST"/>
    <m/>
    <s v="ht"/>
    <m/>
    <m/>
    <s v="Distans"/>
    <m/>
    <m/>
    <n v="0.5"/>
    <n v="15"/>
    <m/>
    <m/>
    <n v="10"/>
    <n v="2.5"/>
    <n v="0.8"/>
    <n v="2"/>
    <x v="9"/>
    <s v="Estetiska ämnen               "/>
    <s v="Hum"/>
    <s v="Fristående och övriga kurser"/>
    <n v="33396"/>
    <n v="66137"/>
    <n v="215764"/>
    <n v="72600"/>
    <n v="181500"/>
    <n v="397264"/>
    <n v="0"/>
    <n v="0"/>
    <n v="0"/>
    <n v="0"/>
    <n v="1"/>
    <n v="0"/>
    <n v="0"/>
    <n v="0"/>
    <n v="0"/>
    <n v="0"/>
    <n v="0"/>
    <n v="0"/>
  </r>
  <r>
    <s v="6MU059"/>
    <s v="Musik 2, distans"/>
    <n v="66604"/>
    <s v="FRIST"/>
    <m/>
    <s v="vt"/>
    <m/>
    <s v="Umeå"/>
    <s v="Distans"/>
    <m/>
    <m/>
    <m/>
    <n v="15"/>
    <m/>
    <m/>
    <n v="5"/>
    <n v="1.25"/>
    <n v="0.8"/>
    <n v="1"/>
    <x v="9"/>
    <s v="Estetiska ämnen               "/>
    <s v="Hum"/>
    <s v="Fristående och övriga kurser"/>
    <n v="33396"/>
    <n v="66137"/>
    <n v="107882"/>
    <n v="72600"/>
    <n v="90750"/>
    <n v="198632"/>
    <n v="0"/>
    <n v="0"/>
    <n v="0"/>
    <n v="0"/>
    <n v="1"/>
    <n v="0"/>
    <n v="0"/>
    <n v="0"/>
    <n v="0"/>
    <n v="0"/>
    <n v="0"/>
    <n v="0"/>
  </r>
  <r>
    <s v="6MU059"/>
    <s v="Musik 2, distans"/>
    <m/>
    <s v="FRIST"/>
    <m/>
    <s v="ht"/>
    <m/>
    <m/>
    <s v="Distans"/>
    <m/>
    <m/>
    <n v="0.5"/>
    <n v="15"/>
    <m/>
    <m/>
    <n v="10"/>
    <n v="2.5"/>
    <n v="0.8"/>
    <n v="2"/>
    <x v="9"/>
    <s v="Estetiska ämnen               "/>
    <s v="Hum"/>
    <s v="Fristående och övriga kurser"/>
    <n v="33396"/>
    <n v="66137"/>
    <n v="215764"/>
    <n v="72600"/>
    <n v="181500"/>
    <n v="397264"/>
    <n v="0"/>
    <n v="0"/>
    <n v="0"/>
    <n v="0"/>
    <n v="1"/>
    <n v="0"/>
    <n v="0"/>
    <n v="0"/>
    <n v="0"/>
    <n v="0"/>
    <n v="0"/>
    <n v="0"/>
  </r>
  <r>
    <s v="6MU060"/>
    <s v="Musik 3, distans"/>
    <n v="66609"/>
    <s v="FRIST"/>
    <m/>
    <s v="vt"/>
    <m/>
    <s v="Umeå"/>
    <s v="Distans"/>
    <m/>
    <m/>
    <m/>
    <n v="15"/>
    <m/>
    <m/>
    <n v="10"/>
    <n v="2.5"/>
    <n v="0.8"/>
    <n v="2"/>
    <x v="9"/>
    <s v="Estetiska ämnen               "/>
    <s v="Hum"/>
    <s v="Fristående och övriga kurser"/>
    <n v="33396"/>
    <n v="66137"/>
    <n v="215764"/>
    <n v="72600"/>
    <n v="181500"/>
    <n v="397264"/>
    <n v="0"/>
    <n v="0"/>
    <n v="0"/>
    <n v="0"/>
    <n v="1"/>
    <n v="0"/>
    <n v="0"/>
    <n v="0"/>
    <n v="0"/>
    <n v="0"/>
    <n v="0"/>
    <n v="0"/>
  </r>
  <r>
    <s v="6MU060"/>
    <s v="Musik 3, distans"/>
    <m/>
    <s v="FRIST"/>
    <m/>
    <s v="ht"/>
    <m/>
    <m/>
    <s v="Distans"/>
    <m/>
    <m/>
    <n v="0.5"/>
    <n v="15"/>
    <m/>
    <m/>
    <n v="10"/>
    <n v="2.5"/>
    <n v="0.8"/>
    <n v="2"/>
    <x v="9"/>
    <s v="Estetiska ämnen               "/>
    <s v="Hum"/>
    <s v="Fristående och övriga kurser"/>
    <n v="33396"/>
    <n v="66137"/>
    <n v="215764"/>
    <n v="72600"/>
    <n v="181500"/>
    <n v="397264"/>
    <n v="0"/>
    <n v="0"/>
    <n v="0"/>
    <n v="0"/>
    <n v="1"/>
    <n v="0"/>
    <n v="0"/>
    <n v="0"/>
    <n v="0"/>
    <n v="0"/>
    <n v="0"/>
    <n v="0"/>
  </r>
  <r>
    <s v="6MU061"/>
    <s v="Musik 2"/>
    <m/>
    <s v="FRIST"/>
    <m/>
    <s v="ht"/>
    <m/>
    <m/>
    <s v="Campus"/>
    <m/>
    <m/>
    <n v="1"/>
    <n v="30"/>
    <m/>
    <m/>
    <n v="4"/>
    <n v="2"/>
    <n v="0.8"/>
    <n v="1.6"/>
    <x v="9"/>
    <s v="Estetiska ämnen               "/>
    <s v="Hum"/>
    <s v="Fristående och övriga kurser"/>
    <n v="33396"/>
    <n v="66137"/>
    <n v="172611.20000000001"/>
    <n v="72600"/>
    <n v="145200"/>
    <n v="317811.20000000001"/>
    <n v="0"/>
    <n v="0"/>
    <n v="0"/>
    <n v="0"/>
    <n v="1"/>
    <n v="0"/>
    <n v="0"/>
    <n v="0"/>
    <n v="0"/>
    <n v="0"/>
    <n v="0"/>
    <n v="0"/>
  </r>
  <r>
    <s v="6MU061"/>
    <s v="Musik 2"/>
    <m/>
    <s v="LYAGY"/>
    <s v="H18"/>
    <s v="ht"/>
    <s v="H211-20"/>
    <s v="Umeå"/>
    <m/>
    <s v="MATT"/>
    <m/>
    <n v="1"/>
    <n v="30"/>
    <m/>
    <m/>
    <n v="1"/>
    <n v="0.5"/>
    <n v="0.85"/>
    <n v="0.42499999999999999"/>
    <x v="9"/>
    <s v="Estetiska ämnen               "/>
    <s v="Hum"/>
    <s v="Ämneslärarprogrammet - Gy"/>
    <n v="33396"/>
    <n v="66137"/>
    <n v="44806.224999999999"/>
    <n v="72600"/>
    <n v="36300"/>
    <n v="81106.225000000006"/>
    <n v="0"/>
    <n v="0"/>
    <n v="0"/>
    <n v="0"/>
    <n v="1"/>
    <n v="0"/>
    <n v="0"/>
    <n v="0"/>
    <n v="0"/>
    <n v="0"/>
    <n v="0"/>
    <n v="0"/>
  </r>
  <r>
    <s v="6MU061"/>
    <s v="Musik 2"/>
    <m/>
    <s v="LYAGY"/>
    <s v="H20"/>
    <s v="ht"/>
    <s v="H211-20"/>
    <s v="Umeå"/>
    <m/>
    <s v="MUSI"/>
    <m/>
    <n v="1"/>
    <n v="30"/>
    <m/>
    <m/>
    <n v="5"/>
    <n v="2.5"/>
    <n v="0.85"/>
    <n v="2.125"/>
    <x v="9"/>
    <s v="Estetiska ämnen               "/>
    <s v="Hum"/>
    <s v="Ämneslärarprogrammet - Gy"/>
    <n v="33396"/>
    <n v="66137"/>
    <n v="224031.125"/>
    <n v="72600"/>
    <n v="181500"/>
    <n v="405531.125"/>
    <n v="0"/>
    <n v="0"/>
    <n v="0"/>
    <n v="0"/>
    <n v="1"/>
    <n v="0"/>
    <n v="0"/>
    <n v="0"/>
    <n v="0"/>
    <n v="0"/>
    <n v="0"/>
    <n v="0"/>
  </r>
  <r>
    <s v="6NE001"/>
    <s v="Makroekonomi och arbetsmarknad A23"/>
    <n v="72302"/>
    <s v="LYSYV"/>
    <m/>
    <s v="vt"/>
    <m/>
    <s v="Umeå"/>
    <s v="Distans"/>
    <s v="DIST"/>
    <m/>
    <m/>
    <n v="7.5"/>
    <m/>
    <m/>
    <n v="18"/>
    <n v="2.25"/>
    <n v="0.85"/>
    <n v="1.9124999999999999"/>
    <x v="1"/>
    <s v="Nationalekonomi               "/>
    <s v="Sam"/>
    <s v="Studie- och yrkesvägledarprogram"/>
    <n v="20766"/>
    <n v="17442"/>
    <n v="80081.324999999997"/>
    <n v="6000"/>
    <n v="13500"/>
    <n v="93581.324999999997"/>
    <n v="0"/>
    <n v="0"/>
    <n v="0"/>
    <n v="0"/>
    <n v="0"/>
    <n v="0"/>
    <n v="1"/>
    <n v="0"/>
    <n v="0"/>
    <n v="0"/>
    <n v="0"/>
    <n v="0"/>
  </r>
  <r>
    <s v="6NE001"/>
    <s v="Makroekonomi och arbetsmarknad A23"/>
    <n v="72303"/>
    <s v="LYSYV"/>
    <m/>
    <s v="vt"/>
    <m/>
    <s v="Umeå"/>
    <s v="Normal"/>
    <s v="REGU"/>
    <m/>
    <m/>
    <n v="7.5"/>
    <m/>
    <m/>
    <n v="28"/>
    <n v="3.5"/>
    <n v="0.85"/>
    <n v="2.9750000000000001"/>
    <x v="1"/>
    <s v="Nationalekonomi               "/>
    <s v="Sam"/>
    <s v="Studie- och yrkesvägledarprogram"/>
    <n v="20766"/>
    <n v="17442"/>
    <n v="124570.95000000001"/>
    <n v="6000"/>
    <n v="21000"/>
    <n v="145570.95000000001"/>
    <n v="0"/>
    <n v="0"/>
    <n v="0"/>
    <n v="0"/>
    <n v="0"/>
    <n v="0"/>
    <n v="1"/>
    <n v="0"/>
    <n v="0"/>
    <n v="0"/>
    <n v="0"/>
    <n v="0"/>
  </r>
  <r>
    <s v="6NE002"/>
    <s v="Introduktion till samhällsekonomi"/>
    <n v="72301"/>
    <s v="LYSYV"/>
    <m/>
    <s v="vt"/>
    <m/>
    <s v="Umeå"/>
    <s v="Distans"/>
    <s v="DIST"/>
    <m/>
    <m/>
    <n v="7.5"/>
    <m/>
    <m/>
    <n v="22"/>
    <n v="2.75"/>
    <n v="0.85"/>
    <n v="2.3374999999999999"/>
    <x v="1"/>
    <s v="Nationalekonomi               "/>
    <s v="Sam"/>
    <s v="Studie- och yrkesvägledarprogram"/>
    <n v="20766"/>
    <n v="17442"/>
    <n v="97877.174999999988"/>
    <n v="6000"/>
    <n v="16500"/>
    <n v="114377.17499999999"/>
    <n v="0"/>
    <n v="0"/>
    <n v="0"/>
    <n v="0"/>
    <n v="0"/>
    <n v="0"/>
    <n v="1"/>
    <n v="0"/>
    <n v="0"/>
    <n v="0"/>
    <n v="0"/>
    <n v="0"/>
  </r>
  <r>
    <s v="6NE002"/>
    <s v="Introduktion till samhällsekonomi"/>
    <n v="72300"/>
    <s v="LYSYV"/>
    <m/>
    <s v="vt"/>
    <m/>
    <s v="Umeå"/>
    <s v="Normal"/>
    <s v="REGU"/>
    <m/>
    <m/>
    <n v="7.5"/>
    <m/>
    <m/>
    <n v="26"/>
    <n v="3.25"/>
    <n v="0.85"/>
    <n v="2.7624999999999997"/>
    <x v="1"/>
    <s v="Nationalekonomi               "/>
    <s v="Sam"/>
    <s v="Studie- och yrkesvägledarprogram"/>
    <n v="20766"/>
    <n v="17442"/>
    <n v="115673.02499999999"/>
    <n v="6000"/>
    <n v="19500"/>
    <n v="135173.02499999999"/>
    <n v="0"/>
    <n v="0"/>
    <n v="0"/>
    <n v="0"/>
    <n v="0"/>
    <n v="0"/>
    <n v="1"/>
    <n v="0"/>
    <n v="0"/>
    <n v="0"/>
    <n v="0"/>
    <n v="0"/>
  </r>
  <r>
    <s v="6NK001"/>
    <s v="Läraryrkets dimensioner - ingångsämne naturkunskap (VFU)"/>
    <m/>
    <s v="LYAGY"/>
    <s v="H17"/>
    <s v="ht"/>
    <s v="H211-15"/>
    <s v="Umeå"/>
    <m/>
    <s v="NATU"/>
    <m/>
    <n v="1"/>
    <n v="22.5"/>
    <m/>
    <m/>
    <n v="1"/>
    <n v="0.375"/>
    <n v="0.85"/>
    <n v="0.31874999999999998"/>
    <x v="7"/>
    <s v="NMD"/>
    <s v="TekNat"/>
    <s v="Ämneslärarprogrammet - Gy"/>
    <n v="25235"/>
    <n v="27976"/>
    <n v="18380.474999999999"/>
    <n v="3600"/>
    <n v="1350"/>
    <n v="19730.474999999999"/>
    <n v="0"/>
    <n v="0"/>
    <n v="0"/>
    <n v="0"/>
    <n v="0"/>
    <n v="0"/>
    <n v="0"/>
    <n v="0"/>
    <n v="1"/>
    <n v="0"/>
    <n v="0"/>
    <n v="0"/>
  </r>
  <r>
    <s v="6NK036"/>
    <s v="Examensarbete - Naturkunskap"/>
    <m/>
    <s v="LYAGY"/>
    <s v="H17"/>
    <s v="ht"/>
    <s v="H2116-20:V221-15"/>
    <s v="Umeå"/>
    <m/>
    <s v="NATU"/>
    <m/>
    <n v="1"/>
    <n v="7.5"/>
    <m/>
    <m/>
    <n v="1"/>
    <n v="0.125"/>
    <n v="0.85"/>
    <n v="0.10625"/>
    <x v="7"/>
    <s v="NMD"/>
    <s v="TekNat"/>
    <s v="Ämneslärarprogrammet - Gy"/>
    <n v="20757"/>
    <n v="36082"/>
    <n v="6428.3374999999996"/>
    <n v="22600"/>
    <n v="2825"/>
    <n v="9253.3374999999996"/>
    <n v="0"/>
    <n v="0"/>
    <n v="0"/>
    <n v="0"/>
    <n v="0"/>
    <n v="1"/>
    <n v="0"/>
    <n v="0"/>
    <n v="0"/>
    <n v="0"/>
    <n v="0"/>
    <n v="0"/>
  </r>
  <r>
    <s v="6NK101"/>
    <s v="Naturkunskapsdidaktik 1 för ämneslärare för gymnasiet"/>
    <n v="69500"/>
    <s v="FRIST"/>
    <m/>
    <s v="vt"/>
    <m/>
    <s v="Umeå"/>
    <s v="Normal"/>
    <m/>
    <m/>
    <m/>
    <n v="7.5"/>
    <m/>
    <m/>
    <n v="2"/>
    <n v="0.25"/>
    <n v="0.8"/>
    <n v="0.2"/>
    <x v="7"/>
    <s v="NMD"/>
    <s v="TekNat"/>
    <s v="Fristående och övriga kurser"/>
    <n v="20757"/>
    <n v="36082"/>
    <n v="12405.650000000001"/>
    <n v="22600"/>
    <n v="5650"/>
    <n v="18055.650000000001"/>
    <n v="0"/>
    <n v="0"/>
    <n v="0"/>
    <n v="0"/>
    <n v="0"/>
    <n v="1"/>
    <n v="0"/>
    <n v="0"/>
    <n v="0"/>
    <n v="0"/>
    <n v="0"/>
    <n v="0"/>
  </r>
  <r>
    <s v="6NK101"/>
    <s v="Naturkunskapsdidaktik 1 för ämneslärare för gymnasiet"/>
    <n v="69500"/>
    <s v="LYAGY"/>
    <m/>
    <s v="vt"/>
    <m/>
    <s v="Umeå"/>
    <s v="Normal"/>
    <s v="MATT"/>
    <m/>
    <m/>
    <n v="7.5"/>
    <m/>
    <m/>
    <n v="3"/>
    <n v="0.375"/>
    <n v="0.85"/>
    <n v="0.31874999999999998"/>
    <x v="7"/>
    <s v="NMD"/>
    <s v="TekNat"/>
    <s v="Ämneslärarprogrammet - Gy"/>
    <n v="20757"/>
    <n v="36082"/>
    <n v="19285.012499999997"/>
    <n v="22600"/>
    <n v="8475"/>
    <n v="27760.012499999997"/>
    <n v="0"/>
    <n v="0"/>
    <n v="0"/>
    <n v="0"/>
    <n v="0"/>
    <n v="1"/>
    <n v="0"/>
    <n v="0"/>
    <n v="0"/>
    <n v="0"/>
    <n v="0"/>
    <n v="0"/>
  </r>
  <r>
    <s v="6NK101"/>
    <s v="Naturkunskapsdidaktik 1 för ämneslärare för gymnasiet"/>
    <n v="69500"/>
    <s v="LYAGY"/>
    <m/>
    <s v="vt"/>
    <m/>
    <s v="Umeå"/>
    <s v="Normal"/>
    <s v="NATU"/>
    <m/>
    <m/>
    <n v="7.5"/>
    <m/>
    <m/>
    <n v="1"/>
    <n v="0.125"/>
    <n v="0.85"/>
    <n v="0.10625"/>
    <x v="7"/>
    <s v="NMD"/>
    <s v="TekNat"/>
    <s v="Ämneslärarprogrammet - Gy"/>
    <n v="20757"/>
    <n v="36082"/>
    <n v="6428.3374999999996"/>
    <n v="22600"/>
    <n v="2825"/>
    <n v="9253.3374999999996"/>
    <n v="0"/>
    <n v="0"/>
    <n v="0"/>
    <n v="0"/>
    <n v="0"/>
    <n v="1"/>
    <n v="0"/>
    <n v="0"/>
    <n v="0"/>
    <n v="0"/>
    <n v="0"/>
    <n v="0"/>
  </r>
  <r>
    <s v="6NK102"/>
    <s v="Naturkunskapsdidaktik 2 för ämneslärare för gymnasiet"/>
    <n v="69501"/>
    <s v="FRIST"/>
    <m/>
    <s v="vt"/>
    <m/>
    <s v="Umeå"/>
    <s v="Normal"/>
    <m/>
    <m/>
    <m/>
    <n v="7.5"/>
    <m/>
    <m/>
    <n v="1"/>
    <n v="0.125"/>
    <n v="0.8"/>
    <n v="0.1"/>
    <x v="7"/>
    <s v="NMD"/>
    <s v="TekNat"/>
    <s v="Fristående och övriga kurser"/>
    <n v="20757"/>
    <n v="36082"/>
    <n v="6202.8250000000007"/>
    <n v="22600"/>
    <n v="2825"/>
    <n v="9027.8250000000007"/>
    <n v="0"/>
    <n v="0"/>
    <n v="0"/>
    <n v="0"/>
    <n v="0"/>
    <n v="1"/>
    <n v="0"/>
    <n v="0"/>
    <n v="0"/>
    <n v="0"/>
    <n v="0"/>
    <n v="0"/>
  </r>
  <r>
    <s v="6NK102"/>
    <s v="Naturkunskapsdidaktik 2 för ämneslärare för gymnasiet"/>
    <n v="69501"/>
    <s v="LYAGY"/>
    <m/>
    <s v="vt"/>
    <m/>
    <s v="Umeå"/>
    <s v="Normal"/>
    <s v="MATT"/>
    <m/>
    <m/>
    <n v="7.5"/>
    <m/>
    <m/>
    <n v="3"/>
    <n v="0.375"/>
    <n v="0.85"/>
    <n v="0.31874999999999998"/>
    <x v="7"/>
    <s v="NMD"/>
    <s v="TekNat"/>
    <s v="Ämneslärarprogrammet - Gy"/>
    <n v="20757"/>
    <n v="36082"/>
    <n v="19285.012499999997"/>
    <n v="22600"/>
    <n v="8475"/>
    <n v="27760.012499999997"/>
    <n v="0"/>
    <n v="0"/>
    <n v="0"/>
    <n v="0"/>
    <n v="0"/>
    <n v="1"/>
    <n v="0"/>
    <n v="0"/>
    <n v="0"/>
    <n v="0"/>
    <n v="0"/>
    <n v="0"/>
  </r>
  <r>
    <s v="6NK102"/>
    <s v="Naturkunskapsdidaktik 2 för ämneslärare för gymnasiet"/>
    <n v="69501"/>
    <s v="LYAGY"/>
    <m/>
    <s v="vt"/>
    <m/>
    <s v="Umeå"/>
    <s v="Normal"/>
    <s v="NATU"/>
    <m/>
    <m/>
    <n v="7.5"/>
    <m/>
    <m/>
    <n v="1"/>
    <n v="0.125"/>
    <n v="0.85"/>
    <n v="0.10625"/>
    <x v="7"/>
    <s v="NMD"/>
    <s v="TekNat"/>
    <s v="Ämneslärarprogrammet - Gy"/>
    <n v="20757"/>
    <n v="36082"/>
    <n v="6428.3374999999996"/>
    <n v="22600"/>
    <n v="2825"/>
    <n v="9253.3374999999996"/>
    <n v="0"/>
    <n v="0"/>
    <n v="0"/>
    <n v="0"/>
    <n v="0"/>
    <n v="1"/>
    <n v="0"/>
    <n v="0"/>
    <n v="0"/>
    <n v="0"/>
    <n v="0"/>
    <n v="0"/>
  </r>
  <r>
    <s v="6NO036"/>
    <s v="Matematik, naturvetenskap och utomhuspedagogik för fritidshem"/>
    <n v="61701"/>
    <s v="LYGFR"/>
    <m/>
    <s v="vt"/>
    <m/>
    <s v="Umeå"/>
    <s v="Normal"/>
    <m/>
    <m/>
    <m/>
    <n v="7.5"/>
    <m/>
    <m/>
    <n v="23"/>
    <n v="2.875"/>
    <n v="0.85"/>
    <n v="2.4437500000000001"/>
    <x v="7"/>
    <s v="NMD"/>
    <s v="TekNat"/>
    <s v="Grundlärarprogrammet - fritidshem"/>
    <n v="20757"/>
    <n v="36082"/>
    <n v="147851.76250000001"/>
    <n v="22600"/>
    <n v="64975"/>
    <n v="212826.76250000001"/>
    <n v="0"/>
    <n v="0"/>
    <n v="0"/>
    <n v="0"/>
    <n v="0"/>
    <n v="1"/>
    <n v="0"/>
    <n v="0"/>
    <n v="0"/>
    <n v="0"/>
    <n v="0"/>
    <n v="0"/>
  </r>
  <r>
    <s v="6NO039"/>
    <s v="Naturorientering och teknik för förskoleklass och grundskolans årskurs 1-3"/>
    <n v="61704"/>
    <s v="LYGFT"/>
    <m/>
    <s v="vt"/>
    <m/>
    <s v="Umeå"/>
    <s v="Normal"/>
    <m/>
    <m/>
    <m/>
    <n v="15"/>
    <m/>
    <m/>
    <n v="41"/>
    <n v="10.25"/>
    <n v="0.85"/>
    <n v="8.7125000000000004"/>
    <x v="7"/>
    <s v="NMD"/>
    <s v="TekNat"/>
    <s v="Grundlärarprogrammet - förskoleklass och åk 1-3"/>
    <n v="20757"/>
    <n v="36082"/>
    <n v="527123.67500000005"/>
    <n v="22600"/>
    <n v="231650"/>
    <n v="758773.67500000005"/>
    <n v="0"/>
    <n v="0"/>
    <n v="0"/>
    <n v="0"/>
    <n v="0"/>
    <n v="1"/>
    <n v="0"/>
    <n v="0"/>
    <n v="0"/>
    <n v="0"/>
    <n v="0"/>
    <n v="0"/>
  </r>
  <r>
    <s v="6NO040"/>
    <s v="Naturorientering och teknik för förskoleklass och grundskolans årskurs 4-6"/>
    <n v="61705"/>
    <s v="LYGRM"/>
    <m/>
    <s v="vt"/>
    <m/>
    <s v="Umeå"/>
    <s v="Normal"/>
    <m/>
    <m/>
    <m/>
    <n v="30"/>
    <m/>
    <m/>
    <n v="9"/>
    <n v="4.5"/>
    <n v="0.85"/>
    <n v="3.8249999999999997"/>
    <x v="7"/>
    <s v="NMD"/>
    <s v="TekNat"/>
    <s v="Grundlärarprogrammet - grundskolans åk 4-6"/>
    <n v="20757"/>
    <n v="36082"/>
    <n v="231420.15"/>
    <n v="22600"/>
    <n v="101700"/>
    <n v="333120.15000000002"/>
    <n v="0"/>
    <n v="0"/>
    <n v="0"/>
    <n v="0"/>
    <n v="0"/>
    <n v="1"/>
    <n v="0"/>
    <n v="0"/>
    <n v="0"/>
    <n v="0"/>
    <n v="0"/>
    <n v="0"/>
  </r>
  <r>
    <s v="6NO043"/>
    <s v="Naturvetenskap och teknik i förskolan"/>
    <m/>
    <s v="LYFSK"/>
    <s v="H19"/>
    <s v="ht"/>
    <s v="H2111-20"/>
    <s v="Umeå"/>
    <s v="Campus"/>
    <m/>
    <m/>
    <n v="1"/>
    <n v="15"/>
    <m/>
    <m/>
    <n v="38"/>
    <n v="9.5"/>
    <n v="0.85"/>
    <n v="8.0749999999999993"/>
    <x v="7"/>
    <s v="NMD"/>
    <s v="TekNat"/>
    <s v="Förskollärarprogrammet"/>
    <n v="20757"/>
    <n v="36082"/>
    <n v="488553.64999999997"/>
    <n v="22600"/>
    <n v="214700"/>
    <n v="703253.64999999991"/>
    <n v="0"/>
    <n v="0"/>
    <n v="0"/>
    <n v="0"/>
    <n v="0"/>
    <n v="1"/>
    <n v="0"/>
    <n v="0"/>
    <n v="0"/>
    <n v="0"/>
    <n v="0"/>
    <n v="0"/>
  </r>
  <r>
    <s v="6NO043"/>
    <s v="Naturvetenskap och teknik i förskolan"/>
    <m/>
    <s v="LYFSK"/>
    <s v="V16"/>
    <s v="ht"/>
    <s v="H2111-20"/>
    <s v="Umeå"/>
    <s v="Campus"/>
    <m/>
    <m/>
    <n v="1"/>
    <n v="15"/>
    <m/>
    <m/>
    <n v="1"/>
    <n v="0.25"/>
    <n v="0.85"/>
    <n v="0.21249999999999999"/>
    <x v="7"/>
    <s v="NMD"/>
    <s v="TekNat"/>
    <s v="Förskollärarprogrammet"/>
    <n v="20757"/>
    <n v="36082"/>
    <n v="12856.674999999999"/>
    <n v="22600"/>
    <n v="5650"/>
    <n v="18506.674999999999"/>
    <n v="0"/>
    <n v="0"/>
    <n v="0"/>
    <n v="0"/>
    <n v="0"/>
    <n v="1"/>
    <n v="0"/>
    <n v="0"/>
    <n v="0"/>
    <n v="0"/>
    <n v="0"/>
    <n v="0"/>
  </r>
  <r>
    <s v="6NO043"/>
    <s v="Naturvetenskap och teknik i förskolan"/>
    <n v="61706"/>
    <s v="LYFSK"/>
    <m/>
    <s v="vt"/>
    <m/>
    <s v="Umeå"/>
    <s v="Normal"/>
    <m/>
    <m/>
    <m/>
    <n v="15"/>
    <m/>
    <m/>
    <n v="14"/>
    <n v="3.5"/>
    <n v="0.85"/>
    <n v="2.9750000000000001"/>
    <x v="7"/>
    <s v="NMD"/>
    <s v="TekNat"/>
    <s v="Förskollärarprogrammet"/>
    <n v="20757"/>
    <n v="36082"/>
    <n v="179993.45"/>
    <n v="22600"/>
    <n v="79100"/>
    <n v="259093.45"/>
    <n v="0"/>
    <n v="0"/>
    <n v="0"/>
    <n v="0"/>
    <n v="0"/>
    <n v="1"/>
    <n v="0"/>
    <n v="0"/>
    <n v="0"/>
    <n v="0"/>
    <n v="0"/>
    <n v="0"/>
  </r>
  <r>
    <s v="6NO044"/>
    <s v="Utomhuspedagogik och naturvetenskap - Sommar"/>
    <m/>
    <s v="FRIST"/>
    <m/>
    <s v="sommar"/>
    <m/>
    <m/>
    <s v="Campus"/>
    <m/>
    <m/>
    <n v="0.5"/>
    <n v="7.5"/>
    <m/>
    <m/>
    <n v="16"/>
    <n v="2"/>
    <n v="0.8"/>
    <n v="1.6"/>
    <x v="7"/>
    <s v="NMD"/>
    <s v="TekNat"/>
    <s v="Fristående och övriga kurser"/>
    <n v="20757"/>
    <n v="36082"/>
    <n v="99245.200000000012"/>
    <n v="22600"/>
    <n v="45200"/>
    <n v="144445.20000000001"/>
    <n v="0"/>
    <n v="0"/>
    <n v="0"/>
    <n v="0"/>
    <n v="0"/>
    <n v="1"/>
    <n v="0"/>
    <n v="0"/>
    <n v="0"/>
    <n v="0"/>
    <n v="0"/>
    <n v="0"/>
  </r>
  <r>
    <s v="6NO045"/>
    <s v="Utomhuspedagogik, hållbar utveckling och naturvetenskap i förskola, fritidshem och grundskola"/>
    <n v="61702"/>
    <s v="FRIST"/>
    <m/>
    <s v="vt"/>
    <m/>
    <s v="Umeå"/>
    <s v="Normal"/>
    <m/>
    <m/>
    <m/>
    <n v="7.5"/>
    <m/>
    <m/>
    <n v="4"/>
    <n v="0.5"/>
    <n v="0.8"/>
    <n v="0.4"/>
    <x v="7"/>
    <s v="NMD"/>
    <s v="TekNat"/>
    <s v="Fristående och övriga kurser"/>
    <n v="20757"/>
    <n v="36082"/>
    <n v="24811.300000000003"/>
    <n v="22600"/>
    <n v="11300"/>
    <n v="36111.300000000003"/>
    <n v="0"/>
    <n v="0"/>
    <n v="0"/>
    <n v="0"/>
    <n v="0"/>
    <n v="1"/>
    <n v="0"/>
    <n v="0"/>
    <n v="0"/>
    <n v="0"/>
    <n v="0"/>
    <n v="0"/>
  </r>
  <r>
    <s v="6NO047"/>
    <s v="Naturorienterande ämnen och teknik för lärare åk 4-6"/>
    <n v="61602"/>
    <s v="FRIST"/>
    <m/>
    <s v="vt"/>
    <m/>
    <s v="Umeå"/>
    <s v="Distans"/>
    <m/>
    <m/>
    <m/>
    <n v="15"/>
    <m/>
    <m/>
    <n v="13"/>
    <n v="3.25"/>
    <n v="0.8"/>
    <n v="2.6"/>
    <x v="7"/>
    <s v="NMD"/>
    <s v="TekNat"/>
    <s v="Fristående och övriga kurser"/>
    <n v="20757"/>
    <n v="36082"/>
    <n v="161273.45000000001"/>
    <n v="22600"/>
    <n v="73450"/>
    <n v="234723.45"/>
    <n v="0"/>
    <n v="0"/>
    <n v="0"/>
    <n v="0"/>
    <n v="0"/>
    <n v="1"/>
    <n v="0"/>
    <n v="0"/>
    <n v="0"/>
    <n v="0"/>
    <n v="0"/>
    <n v="0"/>
  </r>
  <r>
    <s v="6NO047"/>
    <s v="Naturorienterande ämnen och teknik för lärare åk 4-6"/>
    <m/>
    <s v="FRIST"/>
    <m/>
    <s v="ht"/>
    <m/>
    <m/>
    <s v="Distans"/>
    <m/>
    <m/>
    <n v="0.5"/>
    <n v="15"/>
    <m/>
    <m/>
    <n v="25"/>
    <n v="6.25"/>
    <n v="0.8"/>
    <n v="5"/>
    <x v="7"/>
    <s v="NMD"/>
    <s v="TekNat"/>
    <s v="Fristående och övriga kurser"/>
    <n v="20757"/>
    <n v="36082"/>
    <n v="310141.25"/>
    <n v="22600"/>
    <n v="141250"/>
    <n v="451391.25"/>
    <n v="0"/>
    <n v="0"/>
    <n v="0"/>
    <n v="0"/>
    <n v="0"/>
    <n v="1"/>
    <n v="0"/>
    <n v="0"/>
    <n v="0"/>
    <n v="0"/>
    <n v="0"/>
    <n v="0"/>
  </r>
  <r>
    <s v="6PE055"/>
    <s v="Examensarbete för Studie- och yrkesvägledarprogrammet"/>
    <n v="68726"/>
    <s v="LYSYV"/>
    <m/>
    <s v="vt"/>
    <m/>
    <s v="Umeå"/>
    <s v="Distans"/>
    <s v="DIOB"/>
    <m/>
    <m/>
    <n v="15"/>
    <m/>
    <m/>
    <n v="28"/>
    <n v="7"/>
    <n v="0.85"/>
    <n v="5.95"/>
    <x v="13"/>
    <s v="TUV "/>
    <s v="Sam"/>
    <s v="Studie- och yrkesvägledarprogram"/>
    <n v="20766"/>
    <n v="17442"/>
    <n v="249141.90000000002"/>
    <n v="6000"/>
    <n v="42000"/>
    <n v="291141.90000000002"/>
    <n v="0"/>
    <n v="0"/>
    <n v="0"/>
    <n v="0"/>
    <n v="0"/>
    <n v="0"/>
    <n v="1"/>
    <n v="0"/>
    <n v="0"/>
    <n v="0"/>
    <n v="0"/>
    <n v="0"/>
  </r>
  <r>
    <s v="6PE055"/>
    <s v="Examensarbete för Studie- och yrkesvägledarprogrammet"/>
    <n v="68726"/>
    <s v="LYSYV"/>
    <m/>
    <s v="vt"/>
    <m/>
    <s v="Umeå"/>
    <s v="Distans"/>
    <s v="DIST"/>
    <m/>
    <m/>
    <n v="15"/>
    <m/>
    <m/>
    <n v="21"/>
    <n v="5.25"/>
    <n v="0.85"/>
    <n v="4.4624999999999995"/>
    <x v="13"/>
    <s v="TUV "/>
    <s v="Sam"/>
    <s v="Studie- och yrkesvägledarprogram"/>
    <n v="20766"/>
    <n v="17442"/>
    <n v="186856.42499999999"/>
    <n v="6000"/>
    <n v="31500"/>
    <n v="218356.42499999999"/>
    <n v="0"/>
    <n v="0"/>
    <n v="0"/>
    <n v="0"/>
    <n v="0"/>
    <n v="0"/>
    <n v="1"/>
    <n v="0"/>
    <n v="0"/>
    <n v="0"/>
    <n v="0"/>
    <n v="0"/>
  </r>
  <r>
    <s v="6PE055"/>
    <s v="Examensarbete för Studie- och yrkesvägledarprogrammet"/>
    <n v="68727"/>
    <s v="LYSYV"/>
    <m/>
    <s v="vt"/>
    <m/>
    <s v="Umeå"/>
    <s v="Normal"/>
    <s v="REGU"/>
    <m/>
    <m/>
    <n v="15"/>
    <m/>
    <m/>
    <n v="20"/>
    <n v="5"/>
    <n v="0.85"/>
    <n v="4.25"/>
    <x v="13"/>
    <s v="TUV "/>
    <s v="Sam"/>
    <s v="Studie- och yrkesvägledarprogram"/>
    <n v="20766"/>
    <n v="17442"/>
    <n v="177958.5"/>
    <n v="6000"/>
    <n v="30000"/>
    <n v="207958.5"/>
    <n v="0"/>
    <n v="0"/>
    <n v="0"/>
    <n v="0"/>
    <n v="0"/>
    <n v="0"/>
    <n v="1"/>
    <n v="0"/>
    <n v="0"/>
    <n v="0"/>
    <n v="0"/>
    <n v="0"/>
  </r>
  <r>
    <s v="6PE055"/>
    <s v="Examensarbete för Studie- och yrkesvägledarprogrammet"/>
    <n v="68726"/>
    <s v="LYSYV"/>
    <m/>
    <s v="vt"/>
    <m/>
    <s v="Umeå"/>
    <s v="Distans"/>
    <m/>
    <m/>
    <m/>
    <n v="15"/>
    <m/>
    <m/>
    <n v="1"/>
    <n v="0.25"/>
    <n v="0.85"/>
    <n v="0.21249999999999999"/>
    <x v="13"/>
    <s v="TUV "/>
    <s v="Sam"/>
    <s v="Studie- och yrkesvägledarprogram"/>
    <n v="20766"/>
    <n v="17442"/>
    <n v="8897.9249999999993"/>
    <n v="6000"/>
    <n v="1500"/>
    <n v="10397.924999999999"/>
    <n v="0"/>
    <n v="0"/>
    <n v="0"/>
    <n v="0"/>
    <n v="0"/>
    <n v="0"/>
    <n v="1"/>
    <n v="0"/>
    <n v="0"/>
    <n v="0"/>
    <n v="0"/>
    <n v="0"/>
  </r>
  <r>
    <s v="6PE111"/>
    <s v="Grupprocesser och samverkan ur ett fritidshemsperspektiv"/>
    <m/>
    <s v="LYGFR"/>
    <s v="H20"/>
    <s v="ht"/>
    <s v="H211-5"/>
    <s v="Umeå"/>
    <s v="Campus"/>
    <m/>
    <m/>
    <n v="1"/>
    <n v="7.5"/>
    <m/>
    <m/>
    <n v="18"/>
    <n v="2.25"/>
    <n v="0.85"/>
    <n v="1.9124999999999999"/>
    <x v="13"/>
    <s v="TUV "/>
    <s v="Sam"/>
    <s v="Grundlärarprogrammet - fritidshem"/>
    <n v="20766"/>
    <n v="17442"/>
    <n v="80081.324999999997"/>
    <n v="6000"/>
    <n v="13500"/>
    <n v="93581.324999999997"/>
    <n v="0"/>
    <n v="0"/>
    <n v="0"/>
    <n v="0"/>
    <n v="0"/>
    <n v="0"/>
    <n v="1"/>
    <n v="0"/>
    <n v="0"/>
    <n v="0"/>
    <n v="0"/>
    <n v="0"/>
  </r>
  <r>
    <s v="6PE118"/>
    <s v="Examensarbete grundlärare - fritidshem"/>
    <n v="68728"/>
    <s v="LYGFR"/>
    <m/>
    <s v="vt"/>
    <m/>
    <s v="Umeå"/>
    <s v="Normal"/>
    <m/>
    <m/>
    <m/>
    <n v="15"/>
    <m/>
    <m/>
    <n v="22"/>
    <n v="5.5"/>
    <n v="0.85"/>
    <n v="4.6749999999999998"/>
    <x v="13"/>
    <s v="TUV "/>
    <s v="Sam"/>
    <s v="Grundlärarprogrammet - fritidshem"/>
    <n v="20766"/>
    <n v="17442"/>
    <n v="195754.34999999998"/>
    <n v="6000"/>
    <n v="33000"/>
    <n v="228754.34999999998"/>
    <n v="0"/>
    <n v="0"/>
    <n v="0"/>
    <n v="0"/>
    <n v="0"/>
    <n v="0"/>
    <n v="1"/>
    <n v="0"/>
    <n v="0"/>
    <n v="0"/>
    <n v="0"/>
    <n v="0"/>
  </r>
  <r>
    <s v="6PE134"/>
    <s v="Vetenskapsteori och vetenskaplig metod"/>
    <n v="68718"/>
    <s v="FRIST"/>
    <m/>
    <s v="vt"/>
    <m/>
    <s v="Ortsoberoende"/>
    <s v="Distans"/>
    <m/>
    <m/>
    <m/>
    <n v="15"/>
    <m/>
    <m/>
    <n v="23"/>
    <n v="5.75"/>
    <n v="0.8"/>
    <n v="4.6000000000000005"/>
    <x v="13"/>
    <s v="TUV "/>
    <s v="Sam"/>
    <s v="Fristående och övriga kurser"/>
    <n v="20766"/>
    <n v="17442"/>
    <n v="199637.7"/>
    <n v="6000"/>
    <n v="34500"/>
    <n v="234137.7"/>
    <n v="0"/>
    <n v="0"/>
    <n v="0"/>
    <n v="0"/>
    <n v="0"/>
    <n v="0"/>
    <n v="1"/>
    <n v="0"/>
    <n v="0"/>
    <n v="0"/>
    <n v="0"/>
    <n v="0"/>
  </r>
  <r>
    <s v="6PE138"/>
    <s v="Utbildningsvetenskap i pedagogisk praktik"/>
    <m/>
    <s v="FRIST"/>
    <m/>
    <s v="ht"/>
    <m/>
    <m/>
    <s v="Distans"/>
    <m/>
    <m/>
    <n v="0.5"/>
    <n v="15"/>
    <m/>
    <m/>
    <n v="30"/>
    <n v="7.5"/>
    <n v="0.8"/>
    <n v="6"/>
    <x v="13"/>
    <s v="TUV "/>
    <s v="Sam"/>
    <s v="Fristående och övriga kurser"/>
    <n v="20766"/>
    <n v="17442"/>
    <n v="260397"/>
    <n v="6000"/>
    <n v="45000"/>
    <n v="305397"/>
    <n v="0"/>
    <n v="0"/>
    <n v="0"/>
    <n v="0"/>
    <n v="0"/>
    <n v="0"/>
    <n v="1"/>
    <n v="0"/>
    <n v="0"/>
    <n v="0"/>
    <n v="0"/>
    <n v="0"/>
  </r>
  <r>
    <s v="6PE146"/>
    <s v="Samhällsorientering, F-3"/>
    <n v="64509"/>
    <s v="LYGFT"/>
    <m/>
    <s v="vt"/>
    <m/>
    <s v="Umeå"/>
    <s v="Normal"/>
    <m/>
    <m/>
    <m/>
    <n v="15"/>
    <m/>
    <m/>
    <n v="42"/>
    <n v="10.5"/>
    <n v="0.85"/>
    <n v="8.9249999999999989"/>
    <x v="12"/>
    <s v="Pedagogik                     "/>
    <s v="Sam"/>
    <s v="Grundlärarprogrammet - förskoleklass och åk 1-3"/>
    <n v="20766"/>
    <n v="17442"/>
    <n v="373712.85"/>
    <n v="6000"/>
    <n v="63000"/>
    <n v="436712.85"/>
    <n v="0"/>
    <n v="0"/>
    <n v="0"/>
    <n v="0"/>
    <n v="0"/>
    <n v="0"/>
    <n v="1"/>
    <n v="0"/>
    <n v="0"/>
    <n v="0"/>
    <n v="0"/>
    <n v="0"/>
  </r>
  <r>
    <s v="6PE182"/>
    <s v="Sex och samlevnad, 7,5 hp"/>
    <m/>
    <s v="FRIST"/>
    <m/>
    <s v="ht"/>
    <m/>
    <m/>
    <s v="Campus"/>
    <m/>
    <m/>
    <n v="0.25"/>
    <n v="7.5"/>
    <m/>
    <m/>
    <n v="15"/>
    <n v="1.875"/>
    <n v="0.8"/>
    <n v="1.5"/>
    <x v="7"/>
    <s v="NMD"/>
    <s v="TekNat"/>
    <s v="Fristående och övriga kurser"/>
    <n v="20757"/>
    <n v="36082"/>
    <n v="93042.375"/>
    <n v="22600"/>
    <n v="42375"/>
    <n v="135417.375"/>
    <n v="0"/>
    <n v="0"/>
    <n v="0"/>
    <n v="0"/>
    <n v="0"/>
    <n v="1"/>
    <n v="0"/>
    <n v="0"/>
    <n v="0"/>
    <n v="0"/>
    <n v="0"/>
    <n v="0"/>
  </r>
  <r>
    <s v="6PE182"/>
    <s v="Sex och samlevnad, 7,5 hp"/>
    <m/>
    <s v="LYAGY"/>
    <s v="H20"/>
    <s v="ht"/>
    <s v="H211-20"/>
    <s v="Umeå"/>
    <m/>
    <s v="NATU"/>
    <m/>
    <n v="0.25"/>
    <n v="7.5"/>
    <m/>
    <m/>
    <n v="1"/>
    <n v="0.125"/>
    <n v="0.85"/>
    <n v="0.10625"/>
    <x v="7"/>
    <s v="NMD"/>
    <s v="TekNat"/>
    <s v="Ämneslärarprogrammet - Gy"/>
    <n v="20757"/>
    <n v="36082"/>
    <n v="6428.3374999999996"/>
    <n v="22600"/>
    <n v="2825"/>
    <n v="9253.3374999999996"/>
    <n v="0"/>
    <n v="0"/>
    <n v="0"/>
    <n v="0"/>
    <n v="0"/>
    <n v="1"/>
    <n v="0"/>
    <n v="0"/>
    <n v="0"/>
    <n v="0"/>
    <n v="0"/>
    <n v="0"/>
  </r>
  <r>
    <s v="6PE182"/>
    <s v="Sex och samlevnad, 7,5 hp"/>
    <m/>
    <s v="LYAGY"/>
    <s v="V21"/>
    <s v="ht"/>
    <s v="H211-20"/>
    <s v="Umeå"/>
    <m/>
    <s v="MATT"/>
    <m/>
    <n v="0.25"/>
    <n v="7.5"/>
    <m/>
    <m/>
    <n v="1"/>
    <n v="0.125"/>
    <n v="0.85"/>
    <n v="0.10625"/>
    <x v="7"/>
    <s v="NMD"/>
    <s v="TekNat"/>
    <s v="Ämneslärarprogrammet - Gy"/>
    <n v="20757"/>
    <n v="36082"/>
    <n v="6428.3374999999996"/>
    <n v="22600"/>
    <n v="2825"/>
    <n v="9253.3374999999996"/>
    <n v="0"/>
    <n v="0"/>
    <n v="0"/>
    <n v="0"/>
    <n v="0"/>
    <n v="1"/>
    <n v="0"/>
    <n v="0"/>
    <n v="0"/>
    <n v="0"/>
    <n v="0"/>
    <n v="0"/>
  </r>
  <r>
    <s v="6PE183"/>
    <s v="Förskollärare som profession"/>
    <m/>
    <s v="LYFSK"/>
    <s v="H20"/>
    <s v="ht"/>
    <s v="H211-4"/>
    <s v="Umeå"/>
    <s v="Campus"/>
    <m/>
    <m/>
    <n v="1"/>
    <n v="6"/>
    <m/>
    <m/>
    <n v="1"/>
    <n v="0.1"/>
    <n v="0.85"/>
    <n v="8.5000000000000006E-2"/>
    <x v="13"/>
    <s v="TUV "/>
    <s v="Sam"/>
    <s v="Förskollärarprogrammet"/>
    <n v="26554"/>
    <n v="33465"/>
    <n v="5499.9250000000002"/>
    <n v="6000"/>
    <n v="600"/>
    <n v="6099.9250000000002"/>
    <n v="0"/>
    <n v="0"/>
    <n v="0"/>
    <n v="1"/>
    <n v="0"/>
    <n v="0"/>
    <n v="0"/>
    <n v="0"/>
    <n v="0"/>
    <n v="0"/>
    <n v="0"/>
    <n v="0"/>
  </r>
  <r>
    <s v="6PE183"/>
    <s v="Förskollärare som profession"/>
    <m/>
    <s v="LYFSK"/>
    <s v="H21"/>
    <s v="ht"/>
    <m/>
    <n v="2480"/>
    <m/>
    <m/>
    <m/>
    <m/>
    <n v="6"/>
    <m/>
    <m/>
    <n v="53"/>
    <n v="5.3000000000000007"/>
    <n v="0.85"/>
    <n v="4.5050000000000008"/>
    <x v="13"/>
    <s v="TUV "/>
    <s v="Sam"/>
    <s v="Förskollärarprogrammet"/>
    <n v="26554"/>
    <n v="33465"/>
    <n v="291496.02500000002"/>
    <n v="6000"/>
    <n v="31800.000000000004"/>
    <n v="323296.02500000002"/>
    <n v="0"/>
    <n v="0"/>
    <n v="0"/>
    <n v="1"/>
    <n v="0"/>
    <n v="0"/>
    <n v="0"/>
    <n v="0"/>
    <n v="0"/>
    <n v="0"/>
    <n v="0"/>
    <n v="0"/>
  </r>
  <r>
    <s v="6PE183"/>
    <s v="Förskollärare som profession"/>
    <n v="68714"/>
    <s v="LYFSK"/>
    <m/>
    <s v="vt"/>
    <m/>
    <s v="Umeå"/>
    <s v="Normal"/>
    <m/>
    <m/>
    <m/>
    <n v="6"/>
    <m/>
    <m/>
    <n v="34"/>
    <n v="3.4"/>
    <n v="0.85"/>
    <n v="2.8899999999999997"/>
    <x v="13"/>
    <s v="TUV "/>
    <s v="Sam"/>
    <s v="Förskollärarprogrammet"/>
    <n v="26554"/>
    <n v="33465"/>
    <n v="186997.44999999998"/>
    <n v="6000"/>
    <n v="20400"/>
    <n v="207397.44999999998"/>
    <n v="0"/>
    <n v="0"/>
    <n v="0"/>
    <n v="1"/>
    <n v="0"/>
    <n v="0"/>
    <n v="0"/>
    <n v="0"/>
    <n v="0"/>
    <n v="0"/>
    <n v="0"/>
    <n v="0"/>
  </r>
  <r>
    <s v="6PE184"/>
    <s v="Att vara förskollärare (VFU)"/>
    <m/>
    <s v="LYFSK"/>
    <s v="H21"/>
    <s v="ht"/>
    <m/>
    <n v="2480"/>
    <m/>
    <m/>
    <m/>
    <m/>
    <n v="1.5"/>
    <n v="-0.05"/>
    <n v="53"/>
    <n v="50.35"/>
    <n v="1.25875"/>
    <n v="0.85"/>
    <n v="1.0699375"/>
    <x v="13"/>
    <s v="TUV "/>
    <s v="Sam"/>
    <s v="Förskollärarprogrammet"/>
    <n v="25235"/>
    <n v="27976"/>
    <n v="61697.12775"/>
    <n v="3600"/>
    <n v="4531.5"/>
    <n v="66228.62775"/>
    <n v="0"/>
    <n v="0"/>
    <n v="0"/>
    <n v="0"/>
    <n v="0"/>
    <n v="0"/>
    <n v="0"/>
    <n v="0"/>
    <n v="1"/>
    <n v="0"/>
    <n v="0"/>
    <n v="0"/>
  </r>
  <r>
    <s v="6PE184"/>
    <s v="Att vara förskollärare (VFU)"/>
    <n v="68715"/>
    <s v="LYFSK"/>
    <m/>
    <s v="vt"/>
    <m/>
    <s v="Umeå"/>
    <s v="Normal"/>
    <m/>
    <m/>
    <m/>
    <n v="1.5"/>
    <m/>
    <m/>
    <n v="29"/>
    <n v="0.72499999999999998"/>
    <n v="0.85"/>
    <n v="0.61624999999999996"/>
    <x v="13"/>
    <s v="TUV "/>
    <s v="Sam"/>
    <s v="Förskollärarprogrammet"/>
    <n v="25235"/>
    <n v="27976"/>
    <n v="35535.584999999999"/>
    <n v="3600"/>
    <n v="2610"/>
    <n v="38145.584999999999"/>
    <n v="0"/>
    <n v="0"/>
    <n v="0"/>
    <n v="0"/>
    <n v="0"/>
    <n v="0"/>
    <n v="0"/>
    <n v="0"/>
    <n v="1"/>
    <n v="0"/>
    <n v="0"/>
    <n v="0"/>
  </r>
  <r>
    <s v="6PE185"/>
    <s v="Ämneslärare som profession"/>
    <m/>
    <s v="LYAGS"/>
    <s v="H21"/>
    <s v="ht"/>
    <m/>
    <n v="2480"/>
    <m/>
    <m/>
    <m/>
    <m/>
    <n v="6"/>
    <m/>
    <m/>
    <n v="149"/>
    <n v="14.9"/>
    <n v="0.85"/>
    <n v="12.664999999999999"/>
    <x v="12"/>
    <s v="Pedagogik                     "/>
    <s v="Sam"/>
    <s v="Ämneslärarprogrammet - Gy"/>
    <n v="26554"/>
    <n v="33465"/>
    <n v="819488.82499999995"/>
    <n v="6000"/>
    <n v="89400"/>
    <n v="908888.82499999995"/>
    <n v="0"/>
    <n v="0"/>
    <n v="0"/>
    <n v="1"/>
    <n v="0"/>
    <n v="0"/>
    <n v="0"/>
    <n v="0"/>
    <n v="0"/>
    <n v="0"/>
    <n v="0"/>
    <n v="0"/>
  </r>
  <r>
    <s v="6PE185"/>
    <s v="Ämneslärare som profession"/>
    <m/>
    <s v="LYAGY"/>
    <s v="H19"/>
    <s v="ht"/>
    <s v="H211-4"/>
    <s v="Umeå"/>
    <m/>
    <s v="MATT"/>
    <m/>
    <n v="1"/>
    <n v="6"/>
    <m/>
    <m/>
    <n v="1"/>
    <n v="0.1"/>
    <n v="0.85"/>
    <n v="8.5000000000000006E-2"/>
    <x v="12"/>
    <s v="Pedagogik                     "/>
    <s v="Sam"/>
    <s v="Ämneslärarprogrammet - Gy"/>
    <n v="26554"/>
    <n v="33465"/>
    <n v="5499.9250000000002"/>
    <n v="6000"/>
    <n v="600"/>
    <n v="6099.9250000000002"/>
    <n v="0"/>
    <n v="0"/>
    <n v="0"/>
    <n v="1"/>
    <n v="0"/>
    <n v="0"/>
    <n v="0"/>
    <n v="0"/>
    <n v="0"/>
    <n v="0"/>
    <n v="0"/>
    <n v="0"/>
  </r>
  <r>
    <s v="6PE186"/>
    <s v="Att vara ämneslärare (VFU)"/>
    <m/>
    <s v="LYAGS"/>
    <s v="H21"/>
    <s v="ht"/>
    <m/>
    <n v="2480"/>
    <m/>
    <m/>
    <m/>
    <m/>
    <n v="1.5"/>
    <m/>
    <m/>
    <n v="145"/>
    <n v="3.625"/>
    <n v="0.85"/>
    <n v="3.0812499999999998"/>
    <x v="12"/>
    <s v="Pedagogik                     "/>
    <s v="Sam"/>
    <s v="Ämneslärarprogrammet - Gy"/>
    <n v="25235"/>
    <n v="27976"/>
    <n v="177677.92499999999"/>
    <n v="3600"/>
    <n v="13050"/>
    <n v="190727.92499999999"/>
    <n v="0"/>
    <n v="0"/>
    <n v="0"/>
    <n v="0"/>
    <n v="0"/>
    <n v="0"/>
    <n v="0"/>
    <n v="0"/>
    <n v="1"/>
    <n v="0"/>
    <n v="0"/>
    <n v="0"/>
  </r>
  <r>
    <s v="6PE186"/>
    <s v="Att vara ämneslärare (VFU)"/>
    <m/>
    <s v="LYAGY"/>
    <s v="H19"/>
    <s v="ht"/>
    <s v="H215"/>
    <s v="Umeå"/>
    <m/>
    <s v="SVAA"/>
    <m/>
    <n v="1"/>
    <n v="1.5"/>
    <m/>
    <m/>
    <n v="1"/>
    <n v="2.5000000000000001E-2"/>
    <n v="0.85"/>
    <n v="2.1250000000000002E-2"/>
    <x v="12"/>
    <s v="Pedagogik                     "/>
    <s v="Sam"/>
    <s v="Ämneslärarprogrammet - Gy"/>
    <n v="25235"/>
    <n v="27976"/>
    <n v="1225.365"/>
    <n v="3600"/>
    <n v="90"/>
    <n v="1315.365"/>
    <n v="0"/>
    <n v="0"/>
    <n v="0"/>
    <n v="0"/>
    <n v="0"/>
    <n v="0"/>
    <n v="0"/>
    <n v="0"/>
    <n v="1"/>
    <n v="0"/>
    <n v="0"/>
    <n v="0"/>
  </r>
  <r>
    <s v="6PE187"/>
    <s v="Lärande och undervisning"/>
    <m/>
    <s v="LYAGS"/>
    <s v="H21"/>
    <s v="ht"/>
    <m/>
    <n v="2480"/>
    <m/>
    <m/>
    <m/>
    <m/>
    <n v="7.5"/>
    <m/>
    <m/>
    <n v="145"/>
    <n v="18.125"/>
    <n v="0.85"/>
    <n v="15.40625"/>
    <x v="12"/>
    <s v="Pedagogik                     "/>
    <s v="Sam"/>
    <s v="Ämneslärarprogrammet - Gy"/>
    <n v="26554"/>
    <n v="33465"/>
    <n v="996861.40625"/>
    <n v="6000"/>
    <n v="108750"/>
    <n v="1105611.40625"/>
    <n v="0"/>
    <n v="0"/>
    <n v="0"/>
    <n v="1"/>
    <n v="0"/>
    <n v="0"/>
    <n v="0"/>
    <n v="0"/>
    <n v="0"/>
    <n v="0"/>
    <n v="0"/>
    <n v="0"/>
  </r>
  <r>
    <s v="6PE187"/>
    <s v="Lärande och undervisning"/>
    <m/>
    <s v="LYFSK"/>
    <s v="H20"/>
    <s v="ht"/>
    <s v="H216-10"/>
    <s v="Umeå"/>
    <s v="Campus"/>
    <m/>
    <m/>
    <n v="1"/>
    <n v="7.5"/>
    <m/>
    <m/>
    <n v="1"/>
    <n v="0.125"/>
    <n v="0.85"/>
    <n v="0.10625"/>
    <x v="12"/>
    <s v="Pedagogik                     "/>
    <s v="Sam"/>
    <s v="Förskollärarprogrammet"/>
    <n v="26554"/>
    <n v="33465"/>
    <n v="6874.90625"/>
    <n v="6000"/>
    <n v="750"/>
    <n v="7624.90625"/>
    <n v="0"/>
    <n v="0"/>
    <n v="0"/>
    <n v="1"/>
    <n v="0"/>
    <n v="0"/>
    <n v="0"/>
    <n v="0"/>
    <n v="0"/>
    <n v="0"/>
    <n v="0"/>
    <n v="0"/>
  </r>
  <r>
    <s v="6PE187"/>
    <s v="Lärande och undervisning"/>
    <m/>
    <s v="LYFSK"/>
    <s v="H21"/>
    <s v="ht"/>
    <m/>
    <n v="2480"/>
    <m/>
    <m/>
    <m/>
    <m/>
    <n v="7.5"/>
    <n v="-0.08"/>
    <n v="53"/>
    <n v="48.76"/>
    <n v="6.0949999999999998"/>
    <n v="0.85"/>
    <n v="5.1807499999999997"/>
    <x v="12"/>
    <s v="Pedagogik                     "/>
    <s v="Sam"/>
    <s v="Förskollärarprogrammet"/>
    <n v="26554"/>
    <n v="33465"/>
    <n v="335220.42874999996"/>
    <n v="6000"/>
    <n v="36570"/>
    <n v="371790.42874999996"/>
    <n v="0"/>
    <n v="0"/>
    <n v="0"/>
    <n v="1"/>
    <n v="0"/>
    <n v="0"/>
    <n v="0"/>
    <n v="0"/>
    <n v="0"/>
    <n v="0"/>
    <n v="0"/>
    <n v="0"/>
  </r>
  <r>
    <s v="6PE187"/>
    <s v="Lärande och undervisning"/>
    <m/>
    <s v="LYFSK"/>
    <s v="V21"/>
    <s v="ht"/>
    <s v="H216-10"/>
    <s v="Umeå"/>
    <s v="Campus"/>
    <m/>
    <m/>
    <n v="1"/>
    <n v="7.5"/>
    <m/>
    <m/>
    <n v="2"/>
    <n v="0.25"/>
    <n v="0.85"/>
    <n v="0.21249999999999999"/>
    <x v="12"/>
    <s v="Pedagogik                     "/>
    <s v="Sam"/>
    <s v="Förskollärarprogrammet"/>
    <n v="26554"/>
    <n v="33465"/>
    <n v="13749.8125"/>
    <n v="6000"/>
    <n v="1500"/>
    <n v="15249.8125"/>
    <n v="0"/>
    <n v="0"/>
    <n v="0"/>
    <n v="1"/>
    <n v="0"/>
    <n v="0"/>
    <n v="0"/>
    <n v="0"/>
    <n v="0"/>
    <n v="0"/>
    <n v="0"/>
    <n v="0"/>
  </r>
  <r>
    <s v="6PE187"/>
    <s v="Lärande och undervisning"/>
    <n v="64501"/>
    <s v="LYFSK"/>
    <m/>
    <s v="vt"/>
    <m/>
    <s v="Umeå"/>
    <s v="Normal"/>
    <m/>
    <m/>
    <m/>
    <n v="7.5"/>
    <m/>
    <m/>
    <n v="29"/>
    <n v="3.625"/>
    <n v="0.85"/>
    <n v="3.0812499999999998"/>
    <x v="12"/>
    <s v="Pedagogik                     "/>
    <s v="Sam"/>
    <s v="Förskollärarprogrammet"/>
    <n v="26554"/>
    <n v="33465"/>
    <n v="199372.28125"/>
    <n v="6000"/>
    <n v="21750"/>
    <n v="221122.28125"/>
    <n v="0"/>
    <n v="0"/>
    <n v="0"/>
    <n v="1"/>
    <n v="0"/>
    <n v="0"/>
    <n v="0"/>
    <n v="0"/>
    <n v="0"/>
    <n v="0"/>
    <n v="0"/>
    <n v="0"/>
  </r>
  <r>
    <s v="6PE187"/>
    <s v="Lärande och undervisning"/>
    <m/>
    <s v="LYGFR"/>
    <s v="H21"/>
    <s v="ht"/>
    <m/>
    <n v="2480"/>
    <m/>
    <m/>
    <m/>
    <m/>
    <n v="7.5"/>
    <n v="-0.08"/>
    <n v="24"/>
    <n v="22.08"/>
    <n v="2.76"/>
    <n v="0.85"/>
    <n v="2.3459999999999996"/>
    <x v="12"/>
    <s v="Pedagogik                     "/>
    <s v="Sam"/>
    <s v="Grundlärarprogrammet - fritidshem"/>
    <n v="26554"/>
    <n v="33465"/>
    <n v="151797.93"/>
    <n v="6000"/>
    <n v="16560"/>
    <n v="168357.93"/>
    <n v="0"/>
    <n v="0"/>
    <n v="0"/>
    <n v="1"/>
    <n v="0"/>
    <n v="0"/>
    <n v="0"/>
    <n v="0"/>
    <n v="0"/>
    <n v="0"/>
    <n v="0"/>
    <n v="0"/>
  </r>
  <r>
    <s v="6PE187"/>
    <s v="Lärande och undervisning"/>
    <m/>
    <s v="LYGFT"/>
    <s v="H21"/>
    <s v="ht"/>
    <m/>
    <n v="2480"/>
    <m/>
    <m/>
    <m/>
    <m/>
    <n v="7.5"/>
    <n v="-0.05"/>
    <n v="41"/>
    <n v="38.950000000000003"/>
    <n v="4.8687500000000004"/>
    <n v="0.85"/>
    <n v="4.1384375000000002"/>
    <x v="12"/>
    <s v="Pedagogik                     "/>
    <s v="Sam"/>
    <s v="Grundlärarprogrammet - förskoleklass och åk 1-3"/>
    <n v="26554"/>
    <n v="33465"/>
    <n v="267777.59843750001"/>
    <n v="6000"/>
    <n v="29212.500000000004"/>
    <n v="296990.09843750001"/>
    <n v="0"/>
    <n v="0"/>
    <n v="0"/>
    <n v="1"/>
    <n v="0"/>
    <n v="0"/>
    <n v="0"/>
    <n v="0"/>
    <n v="0"/>
    <n v="0"/>
    <n v="0"/>
    <n v="0"/>
  </r>
  <r>
    <s v="6PE187"/>
    <s v="Lärande och undervisning"/>
    <m/>
    <s v="LYGRM"/>
    <s v="H21"/>
    <s v="ht"/>
    <m/>
    <n v="2480"/>
    <m/>
    <s v="ARBE"/>
    <m/>
    <n v="0.75"/>
    <n v="7.5"/>
    <n v="-0.05"/>
    <n v="23"/>
    <n v="21.85"/>
    <n v="2.7312500000000002"/>
    <n v="0.85"/>
    <n v="2.3215625000000002"/>
    <x v="12"/>
    <s v="Pedagogik                     "/>
    <s v="Sam"/>
    <s v="Grundlärarprogrammet - grundskolans åk 4-6"/>
    <n v="26554"/>
    <n v="33465"/>
    <n v="150216.70156250001"/>
    <n v="6000"/>
    <n v="16387.5"/>
    <n v="166604.20156250001"/>
    <n v="0"/>
    <n v="0"/>
    <n v="0"/>
    <n v="1"/>
    <n v="0"/>
    <n v="0"/>
    <n v="0"/>
    <n v="0"/>
    <n v="0"/>
    <n v="0"/>
    <n v="0"/>
    <n v="0"/>
  </r>
  <r>
    <s v="6PE187"/>
    <s v="Lärande och undervisning"/>
    <m/>
    <s v="LYGRM"/>
    <s v="H21"/>
    <s v="ht"/>
    <m/>
    <n v="2480"/>
    <m/>
    <m/>
    <m/>
    <m/>
    <n v="7.5"/>
    <n v="-0.08"/>
    <n v="43"/>
    <n v="39.56"/>
    <n v="4.9450000000000003"/>
    <n v="0.85"/>
    <n v="4.2032499999999997"/>
    <x v="12"/>
    <s v="Pedagogik                     "/>
    <s v="Sam"/>
    <s v="Grundlärarprogrammet - grundskolans åk 4-6"/>
    <n v="26554"/>
    <n v="33465"/>
    <n v="271971.29125000001"/>
    <n v="6000"/>
    <n v="29670"/>
    <n v="301641.29125000001"/>
    <n v="0"/>
    <n v="0"/>
    <n v="0"/>
    <n v="1"/>
    <n v="0"/>
    <n v="0"/>
    <n v="0"/>
    <n v="0"/>
    <n v="0"/>
    <n v="0"/>
    <n v="0"/>
    <n v="0"/>
  </r>
  <r>
    <s v="6PE192"/>
    <s v="Undervisning och lärande inom det svenska skolsystemet"/>
    <m/>
    <s v="FRIST"/>
    <m/>
    <s v="ht"/>
    <m/>
    <m/>
    <s v="Campus"/>
    <m/>
    <m/>
    <n v="1"/>
    <n v="7.5"/>
    <m/>
    <m/>
    <n v="25"/>
    <n v="3.125"/>
    <n v="0.8"/>
    <n v="2.5"/>
    <x v="12"/>
    <s v="Pedagogik                     "/>
    <s v="Sam"/>
    <s v="Fristående och övriga kurser"/>
    <n v="24341.200000000001"/>
    <n v="25869.200000000004"/>
    <n v="140739.25"/>
    <n v="4080"/>
    <n v="12750"/>
    <n v="153489.25"/>
    <n v="0"/>
    <n v="0"/>
    <n v="0"/>
    <n v="0"/>
    <n v="0"/>
    <n v="0"/>
    <n v="0.2"/>
    <n v="0"/>
    <n v="0.8"/>
    <n v="0"/>
    <n v="0"/>
    <n v="0"/>
  </r>
  <r>
    <s v="6PE193"/>
    <s v="Utbildning: Undervisning och lärande i en internationell kontext"/>
    <n v="64507"/>
    <s v="FRIST"/>
    <m/>
    <s v="vt"/>
    <m/>
    <s v="Umeå"/>
    <s v="Normal"/>
    <m/>
    <m/>
    <m/>
    <n v="7.5"/>
    <m/>
    <m/>
    <n v="9"/>
    <n v="1.125"/>
    <n v="0.8"/>
    <n v="0.9"/>
    <x v="12"/>
    <s v="Pedagogik                     "/>
    <s v="Sam"/>
    <s v="Fristående och övriga kurser"/>
    <n v="20766"/>
    <n v="17442"/>
    <n v="39059.550000000003"/>
    <n v="6000"/>
    <n v="6750"/>
    <n v="45809.55"/>
    <n v="0"/>
    <n v="0"/>
    <n v="0"/>
    <n v="0"/>
    <n v="0"/>
    <n v="0"/>
    <n v="1"/>
    <n v="0"/>
    <n v="0"/>
    <n v="0"/>
    <n v="0"/>
    <n v="0"/>
  </r>
  <r>
    <s v="6PE193"/>
    <s v="Utbildning: Undervisning och lärande i en internationell kontext"/>
    <s v="A6451"/>
    <s v="FRIST"/>
    <m/>
    <s v="vt"/>
    <m/>
    <s v="Umeå"/>
    <s v="Normal"/>
    <m/>
    <m/>
    <m/>
    <n v="7.5"/>
    <m/>
    <m/>
    <n v="7"/>
    <n v="0.875"/>
    <n v="0.8"/>
    <n v="0.70000000000000007"/>
    <x v="12"/>
    <s v="Pedagogik                     "/>
    <s v="Sam"/>
    <s v="Fristående och övriga kurser"/>
    <n v="20766"/>
    <n v="17442"/>
    <n v="30379.65"/>
    <n v="6000"/>
    <n v="5250"/>
    <n v="35629.65"/>
    <n v="0"/>
    <n v="0"/>
    <n v="0"/>
    <n v="0"/>
    <n v="0"/>
    <n v="0"/>
    <n v="1"/>
    <n v="0"/>
    <n v="0"/>
    <n v="0"/>
    <n v="0"/>
    <n v="0"/>
  </r>
  <r>
    <s v="6PE193"/>
    <s v="Utbildning: Undervisning och lärande i en internationell kontext"/>
    <s v="F6458"/>
    <s v="FRIST"/>
    <m/>
    <s v="vt"/>
    <m/>
    <s v="Umeå"/>
    <s v="Normal"/>
    <m/>
    <m/>
    <m/>
    <n v="7.5"/>
    <m/>
    <m/>
    <n v="1"/>
    <n v="0.125"/>
    <n v="0.8"/>
    <n v="0.1"/>
    <x v="12"/>
    <s v="Pedagogik                     "/>
    <s v="Sam"/>
    <s v="Fristående och övriga kurser"/>
    <n v="20766"/>
    <n v="17442"/>
    <n v="4339.95"/>
    <n v="6000"/>
    <n v="750"/>
    <n v="5089.95"/>
    <n v="0"/>
    <n v="0"/>
    <n v="0"/>
    <n v="0"/>
    <n v="0"/>
    <n v="0"/>
    <n v="1"/>
    <n v="0"/>
    <n v="0"/>
    <n v="0"/>
    <n v="0"/>
    <n v="0"/>
  </r>
  <r>
    <s v="6PE193"/>
    <s v="Utbildning: Undervisning och lärande i en internationell kontext"/>
    <m/>
    <s v="FRIST"/>
    <m/>
    <s v="ht"/>
    <m/>
    <m/>
    <s v="Campus"/>
    <m/>
    <m/>
    <n v="1"/>
    <n v="7.5"/>
    <m/>
    <m/>
    <n v="30"/>
    <n v="3.75"/>
    <n v="0.8"/>
    <n v="3"/>
    <x v="12"/>
    <s v="Pedagogik                     "/>
    <s v="Sam"/>
    <s v="Fristående och övriga kurser"/>
    <n v="20766"/>
    <n v="17442"/>
    <n v="130198.5"/>
    <n v="6000"/>
    <n v="22500"/>
    <n v="152698.5"/>
    <n v="0"/>
    <n v="0"/>
    <n v="0"/>
    <n v="0"/>
    <n v="0"/>
    <n v="0"/>
    <n v="1"/>
    <n v="0"/>
    <n v="0"/>
    <n v="0"/>
    <n v="0"/>
    <n v="0"/>
  </r>
  <r>
    <s v="6PE194"/>
    <s v="Demokrati, mänskliga rättigheter och hållbar utveckling: globala perspektiv i utbildning"/>
    <n v="64500"/>
    <s v="FRIST"/>
    <m/>
    <s v="vt"/>
    <m/>
    <s v="Ortsoberoende"/>
    <s v="Distans"/>
    <m/>
    <m/>
    <m/>
    <n v="7.5"/>
    <m/>
    <m/>
    <n v="27"/>
    <n v="3.375"/>
    <n v="0.8"/>
    <n v="2.7"/>
    <x v="12"/>
    <s v="Pedagogik                     "/>
    <s v="Sam"/>
    <s v="Fristående och övriga kurser"/>
    <n v="20766"/>
    <n v="17442"/>
    <n v="117178.65"/>
    <n v="6000"/>
    <n v="20250"/>
    <n v="137428.65"/>
    <n v="0"/>
    <n v="0"/>
    <n v="0"/>
    <n v="0"/>
    <n v="0"/>
    <n v="0"/>
    <n v="1"/>
    <n v="0"/>
    <n v="0"/>
    <n v="0"/>
    <n v="0"/>
    <n v="0"/>
  </r>
  <r>
    <s v="6PE194"/>
    <s v="Demokrati, mänskliga rättigheter och hållbar utveckling: globala perspektiv i utbildning"/>
    <n v="64505"/>
    <s v="FRIST"/>
    <m/>
    <s v="vt"/>
    <m/>
    <s v="Umeå"/>
    <s v="Normal"/>
    <m/>
    <m/>
    <m/>
    <n v="7.5"/>
    <m/>
    <m/>
    <n v="1"/>
    <n v="0.125"/>
    <n v="0.8"/>
    <n v="0.1"/>
    <x v="12"/>
    <s v="Pedagogik                     "/>
    <s v="Sam"/>
    <s v="Fristående och övriga kurser"/>
    <n v="20766"/>
    <n v="17442"/>
    <n v="4339.95"/>
    <n v="6000"/>
    <n v="750"/>
    <n v="5089.95"/>
    <n v="0"/>
    <n v="0"/>
    <n v="0"/>
    <n v="0"/>
    <n v="0"/>
    <n v="0"/>
    <n v="1"/>
    <n v="0"/>
    <n v="0"/>
    <n v="0"/>
    <n v="0"/>
    <n v="0"/>
  </r>
  <r>
    <s v="6PE194"/>
    <s v="Demokrati, mänskliga rättigheter och hållbar utveckling: globala perspektiv i utbildning"/>
    <s v="A6453"/>
    <s v="FRIST"/>
    <m/>
    <s v="vt"/>
    <m/>
    <s v="Umeå"/>
    <s v="Normal"/>
    <m/>
    <m/>
    <m/>
    <n v="7.5"/>
    <m/>
    <m/>
    <n v="14"/>
    <n v="1.75"/>
    <n v="0.8"/>
    <n v="1.4000000000000001"/>
    <x v="12"/>
    <s v="Pedagogik                     "/>
    <s v="Sam"/>
    <s v="Fristående och övriga kurser"/>
    <n v="20766"/>
    <n v="17442"/>
    <n v="60759.3"/>
    <n v="6000"/>
    <n v="10500"/>
    <n v="71259.3"/>
    <n v="0"/>
    <n v="0"/>
    <n v="0"/>
    <n v="0"/>
    <n v="0"/>
    <n v="0"/>
    <n v="1"/>
    <n v="0"/>
    <n v="0"/>
    <n v="0"/>
    <n v="0"/>
    <n v="0"/>
  </r>
  <r>
    <s v="6PE194"/>
    <s v="Demokrati, mänskliga rättigheter och hållbar utveckling: globala perspektiv i utbildning"/>
    <s v="F6450"/>
    <s v="FRIST"/>
    <m/>
    <s v="vt"/>
    <m/>
    <s v="Umeå"/>
    <s v="Normal"/>
    <m/>
    <m/>
    <m/>
    <n v="7.5"/>
    <m/>
    <m/>
    <n v="3"/>
    <n v="0.375"/>
    <n v="0.8"/>
    <n v="0.30000000000000004"/>
    <x v="12"/>
    <s v="Pedagogik                     "/>
    <s v="Sam"/>
    <s v="Fristående och övriga kurser"/>
    <n v="20766"/>
    <n v="17442"/>
    <n v="13019.85"/>
    <n v="6000"/>
    <n v="2250"/>
    <n v="15269.85"/>
    <n v="0"/>
    <n v="0"/>
    <n v="0"/>
    <n v="0"/>
    <n v="0"/>
    <n v="0"/>
    <n v="1"/>
    <n v="0"/>
    <n v="0"/>
    <n v="0"/>
    <n v="0"/>
    <n v="0"/>
  </r>
  <r>
    <s v="6PE194"/>
    <s v="Demokrati, mänskliga rättigheter och hållbar utveckling: globala perspektiv i utbildning"/>
    <m/>
    <s v="FRIST"/>
    <m/>
    <s v="ht"/>
    <m/>
    <m/>
    <s v="Campus"/>
    <m/>
    <m/>
    <n v="1"/>
    <n v="7.5"/>
    <m/>
    <m/>
    <n v="30"/>
    <n v="3.75"/>
    <n v="0.8"/>
    <n v="3"/>
    <x v="12"/>
    <s v="Pedagogik                     "/>
    <s v="Sam"/>
    <s v="Fristående och övriga kurser"/>
    <n v="20766"/>
    <n v="17442"/>
    <n v="130198.5"/>
    <n v="6000"/>
    <n v="22500"/>
    <n v="152698.5"/>
    <n v="0"/>
    <n v="0"/>
    <n v="0"/>
    <n v="0"/>
    <n v="0"/>
    <n v="0"/>
    <n v="1"/>
    <n v="0"/>
    <n v="0"/>
    <n v="0"/>
    <n v="0"/>
    <n v="0"/>
  </r>
  <r>
    <s v="6PE195"/>
    <s v="Forskningsdesign och metod inom utbildningsvetenskap"/>
    <m/>
    <s v="FRIST"/>
    <m/>
    <s v="ht"/>
    <m/>
    <m/>
    <s v="Campus"/>
    <m/>
    <m/>
    <n v="1"/>
    <n v="7.5"/>
    <m/>
    <m/>
    <n v="15"/>
    <n v="1.875"/>
    <n v="0.8"/>
    <n v="1.5"/>
    <x v="12"/>
    <s v="Pedagogik                     "/>
    <s v="Sam"/>
    <s v="Fristående och övriga kurser"/>
    <n v="20766"/>
    <n v="17442"/>
    <n v="65099.25"/>
    <n v="6000"/>
    <n v="11250"/>
    <n v="76349.25"/>
    <n v="0"/>
    <n v="0"/>
    <n v="0"/>
    <n v="0"/>
    <n v="0"/>
    <n v="0"/>
    <n v="1"/>
    <n v="0"/>
    <n v="0"/>
    <n v="0"/>
    <n v="0"/>
    <n v="0"/>
  </r>
  <r>
    <s v="6PE198"/>
    <s v="Matematikutveckling och lärande i ett specialpedagogiskt perspektiv"/>
    <n v="61911"/>
    <s v="LYSPL"/>
    <m/>
    <s v="vt"/>
    <m/>
    <s v="Umeå"/>
    <s v="Distans"/>
    <s v="MAGG"/>
    <m/>
    <m/>
    <n v="8"/>
    <m/>
    <m/>
    <n v="9"/>
    <n v="1.2"/>
    <n v="0.85"/>
    <n v="1.02"/>
    <x v="7"/>
    <s v="NMD"/>
    <s v="TekNat"/>
    <s v="Speciallärarprogrammet"/>
    <n v="20757"/>
    <n v="36082"/>
    <n v="61712.039999999994"/>
    <n v="22600"/>
    <n v="27120"/>
    <n v="88832.04"/>
    <n v="0"/>
    <n v="0"/>
    <n v="0"/>
    <n v="0"/>
    <n v="0"/>
    <n v="1"/>
    <n v="0"/>
    <n v="0"/>
    <n v="0"/>
    <n v="0"/>
    <n v="0"/>
    <n v="0"/>
  </r>
  <r>
    <s v="6PE199"/>
    <s v="Identifiering och kartläggning av undervisning och lärande med fokus på elever i behov av särskilda utbildningsinsatser"/>
    <n v="61910"/>
    <s v="LYSPL"/>
    <m/>
    <s v="vt"/>
    <m/>
    <s v="Umeå"/>
    <s v="Distans"/>
    <s v="MAGG"/>
    <m/>
    <m/>
    <n v="12"/>
    <m/>
    <m/>
    <n v="9"/>
    <n v="1.8"/>
    <n v="0.85"/>
    <n v="1.53"/>
    <x v="7"/>
    <s v="NMD"/>
    <s v="TekNat"/>
    <s v="Speciallärarprogrammet"/>
    <n v="20757"/>
    <n v="36082"/>
    <n v="92568.06"/>
    <n v="22600"/>
    <n v="40680"/>
    <n v="133248.06"/>
    <n v="0"/>
    <n v="0"/>
    <n v="0"/>
    <n v="0"/>
    <n v="0"/>
    <n v="1"/>
    <n v="0"/>
    <n v="0"/>
    <n v="0"/>
    <n v="0"/>
    <n v="0"/>
    <n v="0"/>
  </r>
  <r>
    <s v="6PE200"/>
    <s v="Stöd och stimulans i arbetet med elever i behov av särskilda utbildningsinsatser"/>
    <n v="61913"/>
    <s v="LYSPL"/>
    <m/>
    <s v="vt"/>
    <m/>
    <s v="Umeå"/>
    <s v="Distans"/>
    <s v="MAGG"/>
    <m/>
    <m/>
    <n v="10"/>
    <m/>
    <m/>
    <n v="9"/>
    <n v="1.5"/>
    <n v="0.85"/>
    <n v="1.2749999999999999"/>
    <x v="7"/>
    <s v="NMD"/>
    <s v="TekNat"/>
    <s v="Speciallärarprogrammet"/>
    <n v="20757"/>
    <n v="36082"/>
    <n v="77140.049999999988"/>
    <n v="22600"/>
    <n v="33900"/>
    <n v="111040.04999999999"/>
    <n v="0"/>
    <n v="0"/>
    <n v="0"/>
    <n v="0"/>
    <n v="0"/>
    <n v="1"/>
    <n v="0"/>
    <n v="0"/>
    <n v="0"/>
    <n v="0"/>
    <n v="0"/>
    <n v="0"/>
  </r>
  <r>
    <s v="6PE201"/>
    <s v="Läraryrkets dimensioner - ingångsämne idrott och hälsa"/>
    <m/>
    <s v="LYAGY"/>
    <s v="H15"/>
    <s v="ht"/>
    <s v="H211-15"/>
    <s v="Umeå"/>
    <m/>
    <s v="IDRH"/>
    <m/>
    <n v="1"/>
    <n v="22.5"/>
    <m/>
    <m/>
    <n v="3"/>
    <n v="1.125"/>
    <n v="0.85"/>
    <n v="0.95624999999999993"/>
    <x v="12"/>
    <s v="Pedagogik                     "/>
    <s v="Sam"/>
    <s v="Ämneslärarprogrammet - Gy"/>
    <n v="25235"/>
    <n v="27976"/>
    <n v="55141.425000000003"/>
    <n v="3600"/>
    <n v="4050"/>
    <n v="59191.425000000003"/>
    <n v="0"/>
    <n v="0"/>
    <n v="0"/>
    <n v="0"/>
    <n v="0"/>
    <n v="0"/>
    <n v="0"/>
    <n v="0"/>
    <n v="1"/>
    <n v="0"/>
    <n v="0"/>
    <n v="0"/>
  </r>
  <r>
    <s v="6PE201"/>
    <s v="Läraryrkets dimensioner - ingångsämne idrott och hälsa"/>
    <m/>
    <s v="LYAGY"/>
    <s v="H16"/>
    <s v="ht"/>
    <s v="H211-15"/>
    <s v="Umeå"/>
    <m/>
    <s v="IDRH"/>
    <m/>
    <n v="1"/>
    <n v="22.5"/>
    <m/>
    <m/>
    <n v="2"/>
    <n v="0.75"/>
    <n v="0.85"/>
    <n v="0.63749999999999996"/>
    <x v="12"/>
    <s v="Pedagogik                     "/>
    <s v="Sam"/>
    <s v="Ämneslärarprogrammet - Gy"/>
    <n v="25235"/>
    <n v="27976"/>
    <n v="36760.949999999997"/>
    <n v="3600"/>
    <n v="2700"/>
    <n v="39460.949999999997"/>
    <n v="0"/>
    <n v="0"/>
    <n v="0"/>
    <n v="0"/>
    <n v="0"/>
    <n v="0"/>
    <n v="0"/>
    <n v="0"/>
    <n v="1"/>
    <n v="0"/>
    <n v="0"/>
    <n v="0"/>
  </r>
  <r>
    <s v="6PE201"/>
    <s v="Läraryrkets dimensioner - ingångsämne idrott och hälsa"/>
    <m/>
    <s v="LYAGY"/>
    <s v="H17"/>
    <s v="ht"/>
    <s v="H211-15"/>
    <s v="Umeå"/>
    <m/>
    <s v="IDRH"/>
    <m/>
    <n v="1"/>
    <n v="22.5"/>
    <m/>
    <m/>
    <n v="14"/>
    <n v="5.25"/>
    <n v="0.85"/>
    <n v="4.4624999999999995"/>
    <x v="12"/>
    <s v="Pedagogik                     "/>
    <s v="Sam"/>
    <s v="Ämneslärarprogrammet - Gy"/>
    <n v="25235"/>
    <n v="27976"/>
    <n v="257326.64999999997"/>
    <n v="3600"/>
    <n v="18900"/>
    <n v="276226.64999999997"/>
    <n v="0"/>
    <n v="0"/>
    <n v="0"/>
    <n v="0"/>
    <n v="0"/>
    <n v="0"/>
    <n v="0"/>
    <n v="0"/>
    <n v="1"/>
    <n v="0"/>
    <n v="0"/>
    <n v="0"/>
  </r>
  <r>
    <s v="6PE201"/>
    <s v="Läraryrkets dimensioner - ingångsämne idrott och hälsa"/>
    <n v="64512"/>
    <s v="LYAGY"/>
    <m/>
    <s v="vt"/>
    <m/>
    <s v="Umeå"/>
    <s v="Normal"/>
    <s v="IDRH"/>
    <m/>
    <m/>
    <n v="22.5"/>
    <m/>
    <m/>
    <n v="13"/>
    <n v="4.875"/>
    <n v="0.85"/>
    <n v="4.1437499999999998"/>
    <x v="12"/>
    <s v="Pedagogik                     "/>
    <s v="Sam"/>
    <s v="Ämneslärarprogrammet - Gy"/>
    <n v="25235"/>
    <n v="27976"/>
    <n v="238946.17499999999"/>
    <n v="3600"/>
    <n v="17550"/>
    <n v="256496.17499999999"/>
    <n v="0"/>
    <n v="0"/>
    <n v="0"/>
    <n v="0"/>
    <n v="0"/>
    <n v="0"/>
    <n v="0"/>
    <n v="0"/>
    <n v="1"/>
    <n v="0"/>
    <n v="0"/>
    <n v="0"/>
  </r>
  <r>
    <s v="6PE202"/>
    <s v="Barns lärande och omsorg"/>
    <m/>
    <s v="LYFSK"/>
    <s v="H19"/>
    <s v="ht"/>
    <s v="H211-10"/>
    <s v="Umeå"/>
    <s v="Campus"/>
    <m/>
    <m/>
    <n v="1"/>
    <n v="15"/>
    <m/>
    <m/>
    <n v="1"/>
    <n v="0.25"/>
    <n v="0.85"/>
    <n v="0.21249999999999999"/>
    <x v="13"/>
    <s v="TUV "/>
    <s v="Sam"/>
    <s v="Förskollärarprogrammet"/>
    <n v="20766"/>
    <n v="17442"/>
    <n v="8897.9249999999993"/>
    <n v="6000"/>
    <n v="1500"/>
    <n v="10397.924999999999"/>
    <n v="0"/>
    <n v="0"/>
    <n v="0"/>
    <n v="0"/>
    <n v="0"/>
    <n v="0"/>
    <n v="1"/>
    <n v="0"/>
    <n v="0"/>
    <n v="0"/>
    <n v="0"/>
    <n v="0"/>
  </r>
  <r>
    <s v="6PE202"/>
    <s v="Barns lärande och omsorg"/>
    <m/>
    <s v="LYFSK"/>
    <s v="H20"/>
    <s v="ht"/>
    <s v="H211-10"/>
    <s v="Umeå"/>
    <s v="Campus"/>
    <m/>
    <m/>
    <n v="1"/>
    <n v="15"/>
    <m/>
    <m/>
    <n v="2"/>
    <n v="0.5"/>
    <n v="0.85"/>
    <n v="0.42499999999999999"/>
    <x v="13"/>
    <s v="TUV "/>
    <s v="Sam"/>
    <s v="Förskollärarprogrammet"/>
    <n v="20766"/>
    <n v="17442"/>
    <n v="17795.849999999999"/>
    <n v="6000"/>
    <n v="3000"/>
    <n v="20795.849999999999"/>
    <n v="0"/>
    <n v="0"/>
    <n v="0"/>
    <n v="0"/>
    <n v="0"/>
    <n v="0"/>
    <n v="1"/>
    <n v="0"/>
    <n v="0"/>
    <n v="0"/>
    <n v="0"/>
    <n v="0"/>
  </r>
  <r>
    <s v="6PE202"/>
    <s v="Barns lärande och omsorg"/>
    <m/>
    <s v="LYFSK"/>
    <s v="V21"/>
    <s v="ht"/>
    <s v="H211-10"/>
    <s v="Umeå"/>
    <s v="Campus"/>
    <m/>
    <m/>
    <n v="1"/>
    <n v="15"/>
    <m/>
    <m/>
    <n v="24"/>
    <n v="6"/>
    <n v="0.85"/>
    <n v="5.0999999999999996"/>
    <x v="13"/>
    <s v="TUV "/>
    <s v="Sam"/>
    <s v="Förskollärarprogrammet"/>
    <n v="20766"/>
    <n v="17442"/>
    <n v="213550.2"/>
    <n v="6000"/>
    <n v="36000"/>
    <n v="249550.2"/>
    <n v="0"/>
    <n v="0"/>
    <n v="0"/>
    <n v="0"/>
    <n v="0"/>
    <n v="0"/>
    <n v="1"/>
    <n v="0"/>
    <n v="0"/>
    <n v="0"/>
    <n v="0"/>
    <n v="0"/>
  </r>
  <r>
    <s v="6PE202"/>
    <s v="Barns lärande och omsorg"/>
    <n v="68709"/>
    <s v="LYFSK"/>
    <m/>
    <s v="vt"/>
    <m/>
    <s v="Umeå"/>
    <s v="Normal"/>
    <m/>
    <m/>
    <m/>
    <n v="15"/>
    <m/>
    <m/>
    <n v="44"/>
    <n v="11"/>
    <n v="0.85"/>
    <n v="9.35"/>
    <x v="13"/>
    <s v="TUV "/>
    <s v="Sam"/>
    <s v="Förskollärarprogrammet"/>
    <n v="20766"/>
    <n v="17442"/>
    <n v="391508.69999999995"/>
    <n v="6000"/>
    <n v="66000"/>
    <n v="457508.69999999995"/>
    <n v="0"/>
    <n v="0"/>
    <n v="0"/>
    <n v="0"/>
    <n v="0"/>
    <n v="0"/>
    <n v="1"/>
    <n v="0"/>
    <n v="0"/>
    <n v="0"/>
    <n v="0"/>
    <n v="0"/>
  </r>
  <r>
    <s v="6PE203"/>
    <s v="Förskolans uppdrag och arbetssätt 1"/>
    <m/>
    <s v="LYFSK"/>
    <s v="H19"/>
    <s v="ht"/>
    <s v="H2111-13"/>
    <s v="Umeå"/>
    <s v="Campus"/>
    <m/>
    <m/>
    <n v="1"/>
    <n v="5"/>
    <m/>
    <m/>
    <n v="2"/>
    <n v="0.16666666666666666"/>
    <n v="0.85"/>
    <n v="0.14166666666666666"/>
    <x v="13"/>
    <s v="TUV "/>
    <s v="Sam"/>
    <s v="Förskollärarprogrammet"/>
    <n v="20766"/>
    <n v="17442"/>
    <n v="5931.95"/>
    <n v="6000"/>
    <n v="1000"/>
    <n v="6931.95"/>
    <n v="0"/>
    <n v="0"/>
    <n v="0"/>
    <n v="0"/>
    <n v="0"/>
    <n v="0"/>
    <n v="1"/>
    <n v="0"/>
    <n v="0"/>
    <n v="0"/>
    <n v="0"/>
    <n v="0"/>
  </r>
  <r>
    <s v="6PE203"/>
    <s v="Förskolans uppdrag och arbetssätt 1"/>
    <m/>
    <s v="LYFSK"/>
    <s v="H20"/>
    <s v="ht"/>
    <s v="H2111-13"/>
    <s v="Umeå"/>
    <s v="Campus"/>
    <m/>
    <m/>
    <n v="1"/>
    <n v="5"/>
    <m/>
    <m/>
    <n v="1"/>
    <n v="8.3333333333333329E-2"/>
    <n v="0.85"/>
    <n v="7.0833333333333331E-2"/>
    <x v="13"/>
    <s v="TUV "/>
    <s v="Sam"/>
    <s v="Förskollärarprogrammet"/>
    <n v="20766"/>
    <n v="17442"/>
    <n v="2965.9749999999999"/>
    <n v="6000"/>
    <n v="500"/>
    <n v="3465.9749999999999"/>
    <n v="0"/>
    <n v="0"/>
    <n v="0"/>
    <n v="0"/>
    <n v="0"/>
    <n v="0"/>
    <n v="1"/>
    <n v="0"/>
    <n v="0"/>
    <n v="0"/>
    <n v="0"/>
    <n v="0"/>
  </r>
  <r>
    <s v="6PE203"/>
    <s v="Förskolans uppdrag och arbetssätt 1"/>
    <m/>
    <s v="LYFSK"/>
    <s v="V21"/>
    <s v="ht"/>
    <s v="H2111-13"/>
    <s v="Umeå"/>
    <s v="Campus"/>
    <m/>
    <m/>
    <n v="1"/>
    <n v="5"/>
    <m/>
    <m/>
    <n v="24"/>
    <n v="2"/>
    <n v="0.85"/>
    <n v="1.7"/>
    <x v="13"/>
    <s v="TUV "/>
    <s v="Sam"/>
    <s v="Förskollärarprogrammet"/>
    <n v="20766"/>
    <n v="17442"/>
    <n v="71183.399999999994"/>
    <n v="6000"/>
    <n v="12000"/>
    <n v="83183.399999999994"/>
    <n v="0"/>
    <n v="0"/>
    <n v="0"/>
    <n v="0"/>
    <n v="0"/>
    <n v="0"/>
    <n v="1"/>
    <n v="0"/>
    <n v="0"/>
    <n v="0"/>
    <n v="0"/>
    <n v="0"/>
  </r>
  <r>
    <s v="6PE203"/>
    <s v="Förskolans uppdrag och arbetssätt 1"/>
    <n v="68705"/>
    <s v="LYFSK"/>
    <m/>
    <s v="vt"/>
    <m/>
    <s v="Umeå"/>
    <s v="Normal"/>
    <m/>
    <m/>
    <m/>
    <n v="5"/>
    <m/>
    <m/>
    <n v="40"/>
    <n v="3.3330000000000002"/>
    <n v="0.85"/>
    <n v="2.8330500000000001"/>
    <x v="13"/>
    <s v="TUV "/>
    <s v="Sam"/>
    <s v="Förskollärarprogrammet"/>
    <n v="20766"/>
    <n v="17442"/>
    <n v="118627.1361"/>
    <n v="6000"/>
    <n v="19998"/>
    <n v="138625.1361"/>
    <n v="0"/>
    <n v="0"/>
    <n v="0"/>
    <n v="0"/>
    <n v="0"/>
    <n v="0"/>
    <n v="1"/>
    <n v="0"/>
    <n v="0"/>
    <n v="0"/>
    <n v="0"/>
    <n v="0"/>
  </r>
  <r>
    <s v="6PE205"/>
    <s v="Läraryrkets dimensioner - ingångsämne Samhällskunskap"/>
    <m/>
    <s v="LYAGY"/>
    <s v="H16"/>
    <s v="ht"/>
    <s v="H211-15"/>
    <s v="Umeå"/>
    <m/>
    <s v="SAMK"/>
    <m/>
    <n v="1"/>
    <n v="22.5"/>
    <m/>
    <m/>
    <n v="2"/>
    <n v="0.75"/>
    <n v="0.85"/>
    <n v="0.63749999999999996"/>
    <x v="12"/>
    <s v="Pedagogik                     "/>
    <s v="Sam"/>
    <s v="Ämneslärarprogrammet - Gy"/>
    <n v="25235"/>
    <n v="27976"/>
    <n v="36760.949999999997"/>
    <n v="3600"/>
    <n v="2700"/>
    <n v="39460.949999999997"/>
    <n v="0"/>
    <n v="0"/>
    <n v="0"/>
    <n v="0"/>
    <n v="0"/>
    <n v="0"/>
    <n v="0"/>
    <n v="0"/>
    <n v="1"/>
    <n v="0"/>
    <n v="0"/>
    <n v="0"/>
  </r>
  <r>
    <s v="6PE205"/>
    <s v="Läraryrkets dimensioner - ingångsämne Samhällskunskap"/>
    <m/>
    <s v="LYAGY"/>
    <s v="H17"/>
    <s v="ht"/>
    <s v="H211-15"/>
    <s v="Umeå"/>
    <m/>
    <s v="SAMK"/>
    <m/>
    <n v="1"/>
    <n v="22.5"/>
    <m/>
    <m/>
    <n v="6"/>
    <n v="2.25"/>
    <n v="0.85"/>
    <n v="1.9124999999999999"/>
    <x v="12"/>
    <s v="Pedagogik                     "/>
    <s v="Sam"/>
    <s v="Ämneslärarprogrammet - Gy"/>
    <n v="25235"/>
    <n v="27976"/>
    <n v="110282.85"/>
    <n v="3600"/>
    <n v="8100"/>
    <n v="118382.85"/>
    <n v="0"/>
    <n v="0"/>
    <n v="0"/>
    <n v="0"/>
    <n v="0"/>
    <n v="0"/>
    <n v="0"/>
    <n v="0"/>
    <n v="1"/>
    <n v="0"/>
    <n v="0"/>
    <n v="0"/>
  </r>
  <r>
    <s v="6PE205"/>
    <s v="Läraryrkets dimensioner - ingångsämne Samhällskunskap"/>
    <m/>
    <s v="LYAGY"/>
    <s v="H19"/>
    <s v="ht"/>
    <s v="H211-15"/>
    <s v="Umeå"/>
    <m/>
    <s v="SAMK"/>
    <m/>
    <n v="1"/>
    <n v="22.5"/>
    <m/>
    <m/>
    <n v="1"/>
    <n v="0.375"/>
    <n v="0.85"/>
    <n v="0.31874999999999998"/>
    <x v="12"/>
    <s v="Pedagogik                     "/>
    <s v="Sam"/>
    <s v="Ämneslärarprogrammet - Gy"/>
    <n v="25235"/>
    <n v="27976"/>
    <n v="18380.474999999999"/>
    <n v="3600"/>
    <n v="1350"/>
    <n v="19730.474999999999"/>
    <n v="0"/>
    <n v="0"/>
    <n v="0"/>
    <n v="0"/>
    <n v="0"/>
    <n v="0"/>
    <n v="0"/>
    <n v="0"/>
    <n v="1"/>
    <n v="0"/>
    <n v="0"/>
    <n v="0"/>
  </r>
  <r>
    <s v="6PE205"/>
    <s v="Läraryrkets dimensioner - ingångsämne Samhällskunskap"/>
    <n v="64510"/>
    <s v="LYAGY"/>
    <m/>
    <s v="vt"/>
    <m/>
    <s v="Umeå"/>
    <s v="Normal"/>
    <s v="SAMK"/>
    <m/>
    <m/>
    <n v="22.5"/>
    <m/>
    <m/>
    <n v="3"/>
    <n v="1.125"/>
    <n v="0.85"/>
    <n v="0.95624999999999993"/>
    <x v="12"/>
    <s v="Pedagogik                     "/>
    <s v="Sam"/>
    <s v="Ämneslärarprogrammet - Gy"/>
    <n v="25235"/>
    <n v="27976"/>
    <n v="55141.425000000003"/>
    <n v="3600"/>
    <n v="4050"/>
    <n v="59191.425000000003"/>
    <n v="0"/>
    <n v="0"/>
    <n v="0"/>
    <n v="0"/>
    <n v="0"/>
    <n v="0"/>
    <n v="0"/>
    <n v="0"/>
    <n v="1"/>
    <n v="0"/>
    <n v="0"/>
    <n v="0"/>
  </r>
  <r>
    <s v="6PE206"/>
    <s v="Handledarutbildning för VFU-handledare, bedömning"/>
    <n v="61901"/>
    <s v="FRIST"/>
    <m/>
    <s v="vt"/>
    <m/>
    <s v="Ortsoberoende"/>
    <s v="Distans"/>
    <m/>
    <m/>
    <m/>
    <n v="3.5"/>
    <m/>
    <m/>
    <n v="33"/>
    <n v="1.925"/>
    <n v="0.8"/>
    <n v="1.54"/>
    <x v="7"/>
    <s v="NMD"/>
    <s v="TekNat"/>
    <s v="Fristående och övriga kurser"/>
    <n v="20757"/>
    <n v="36082"/>
    <n v="95523.505000000005"/>
    <n v="22600"/>
    <n v="43505"/>
    <n v="139028.505"/>
    <n v="0"/>
    <n v="0"/>
    <n v="0"/>
    <n v="0"/>
    <n v="0"/>
    <n v="1"/>
    <n v="0"/>
    <n v="0"/>
    <n v="0"/>
    <n v="0"/>
    <n v="0"/>
    <n v="0"/>
  </r>
  <r>
    <s v="6PE206"/>
    <s v="Handledarutbildning för VFU-handledare, bedömning"/>
    <m/>
    <s v="FRIST"/>
    <m/>
    <s v="ht"/>
    <m/>
    <m/>
    <s v="Distans"/>
    <m/>
    <m/>
    <n v="0.25"/>
    <n v="3.5"/>
    <m/>
    <m/>
    <n v="40"/>
    <n v="2.3333333333333335"/>
    <n v="0.8"/>
    <n v="1.8666666666666669"/>
    <x v="7"/>
    <s v="NMD"/>
    <s v="TekNat"/>
    <s v="Fristående och övriga kurser"/>
    <n v="20757"/>
    <n v="36082"/>
    <n v="115786.06666666668"/>
    <n v="22600"/>
    <n v="52733.333333333336"/>
    <n v="168519.40000000002"/>
    <n v="0"/>
    <n v="0"/>
    <n v="0"/>
    <n v="0"/>
    <n v="0"/>
    <n v="1"/>
    <n v="0"/>
    <n v="0"/>
    <n v="0"/>
    <n v="0"/>
    <n v="0"/>
    <n v="0"/>
  </r>
  <r>
    <s v="6PE207"/>
    <s v="Att undervisa i fritidshem (VFU)"/>
    <m/>
    <s v="LYGFR"/>
    <s v="H19"/>
    <s v="ht"/>
    <s v="H215-10"/>
    <s v="Umeå"/>
    <s v="Campus"/>
    <m/>
    <m/>
    <n v="1"/>
    <n v="7.5"/>
    <m/>
    <m/>
    <n v="2"/>
    <n v="0.25"/>
    <n v="0.85"/>
    <n v="0.21249999999999999"/>
    <x v="13"/>
    <s v="TUV "/>
    <s v="Sam"/>
    <s v="Grundlärarprogrammet - fritidshem"/>
    <n v="25235"/>
    <n v="27976"/>
    <n v="12253.65"/>
    <n v="3600"/>
    <n v="900"/>
    <n v="13153.65"/>
    <n v="0"/>
    <n v="0"/>
    <n v="0"/>
    <n v="0"/>
    <n v="0"/>
    <n v="0"/>
    <n v="0"/>
    <n v="0"/>
    <n v="1"/>
    <n v="0"/>
    <n v="0"/>
    <n v="0"/>
  </r>
  <r>
    <s v="6PE207"/>
    <s v="Att undervisa i fritidshem (VFU)"/>
    <m/>
    <s v="LYGFR"/>
    <s v="H20"/>
    <s v="ht"/>
    <s v="H215-10"/>
    <s v="Umeå"/>
    <s v="Campus"/>
    <m/>
    <m/>
    <n v="1"/>
    <n v="7.5"/>
    <m/>
    <m/>
    <n v="17"/>
    <n v="2.125"/>
    <n v="0.85"/>
    <n v="1.8062499999999999"/>
    <x v="13"/>
    <s v="TUV "/>
    <s v="Sam"/>
    <s v="Grundlärarprogrammet - fritidshem"/>
    <n v="25235"/>
    <n v="27976"/>
    <n v="104156.02499999999"/>
    <n v="3600"/>
    <n v="7650"/>
    <n v="111806.02499999999"/>
    <n v="0"/>
    <n v="0"/>
    <n v="0"/>
    <n v="0"/>
    <n v="0"/>
    <n v="0"/>
    <n v="0"/>
    <n v="0"/>
    <n v="1"/>
    <n v="0"/>
    <n v="0"/>
    <n v="0"/>
  </r>
  <r>
    <s v="6PE208"/>
    <s v="Handledarutbildning för VFU-handledare, handledningssamtal"/>
    <n v="68702"/>
    <s v="FRIST"/>
    <m/>
    <s v="vt"/>
    <m/>
    <s v="Ortsoberoende"/>
    <s v="Distans"/>
    <m/>
    <m/>
    <m/>
    <n v="4"/>
    <m/>
    <m/>
    <n v="47"/>
    <n v="3.133"/>
    <n v="0.8"/>
    <n v="2.5064000000000002"/>
    <x v="13"/>
    <s v="TUV "/>
    <s v="Sam"/>
    <s v="Fristående och övriga kurser"/>
    <n v="20766"/>
    <n v="17442"/>
    <n v="108776.5068"/>
    <n v="6000"/>
    <n v="18798"/>
    <n v="127574.5068"/>
    <n v="0"/>
    <n v="0"/>
    <n v="0"/>
    <n v="0"/>
    <n v="0"/>
    <n v="0"/>
    <n v="1"/>
    <n v="0"/>
    <n v="0"/>
    <n v="0"/>
    <n v="0"/>
    <n v="0"/>
  </r>
  <r>
    <s v="6PE208"/>
    <s v="Handledarutbildning för VFU-handledare, handledningssamtal"/>
    <m/>
    <s v="FRIST"/>
    <m/>
    <s v="ht"/>
    <m/>
    <m/>
    <s v="Distans"/>
    <m/>
    <m/>
    <n v="0.25"/>
    <n v="4"/>
    <m/>
    <m/>
    <n v="40"/>
    <n v="2.6666666666666665"/>
    <n v="0.8"/>
    <n v="2.1333333333333333"/>
    <x v="13"/>
    <s v="TUV "/>
    <s v="Sam"/>
    <s v="Fristående och övriga kurser"/>
    <n v="20766"/>
    <n v="17442"/>
    <n v="92585.600000000006"/>
    <n v="6000"/>
    <n v="16000"/>
    <n v="108585.60000000001"/>
    <n v="0"/>
    <n v="0"/>
    <n v="0"/>
    <n v="0"/>
    <n v="0"/>
    <n v="0"/>
    <n v="1"/>
    <n v="0"/>
    <n v="0"/>
    <n v="0"/>
    <n v="0"/>
    <n v="0"/>
  </r>
  <r>
    <s v="6PE212"/>
    <s v="Examensarbete för grundlärarexamen med inriktning mot förskoleklass och grundskolans år 1-3"/>
    <m/>
    <s v="LYGFT"/>
    <s v="H17"/>
    <s v="ht"/>
    <s v="H2116-20:V221-15"/>
    <s v="Umeå"/>
    <s v="Campus"/>
    <m/>
    <m/>
    <n v="1"/>
    <n v="7.5"/>
    <m/>
    <m/>
    <n v="2"/>
    <n v="0.25"/>
    <n v="0.85"/>
    <n v="0.21249999999999999"/>
    <x v="7"/>
    <s v="NMD"/>
    <s v="TekNat"/>
    <s v="Grundlärarprogrammet - förskoleklass och åk 1-3"/>
    <n v="20757"/>
    <n v="36082"/>
    <n v="12856.674999999999"/>
    <n v="22600"/>
    <n v="5650"/>
    <n v="18506.674999999999"/>
    <n v="0"/>
    <n v="0"/>
    <n v="0"/>
    <n v="0"/>
    <n v="0"/>
    <n v="1"/>
    <n v="0"/>
    <n v="0"/>
    <n v="0"/>
    <n v="0"/>
    <n v="0"/>
    <n v="0"/>
  </r>
  <r>
    <s v="6PE212"/>
    <s v="Examensarbete för grundlärarexamen med inriktning mot förskoleklass och grundskolans år 1-3"/>
    <m/>
    <s v="LYGFT"/>
    <s v="H18"/>
    <s v="ht"/>
    <s v="H2116-20:V221-15"/>
    <s v="Umeå"/>
    <s v="Campus"/>
    <m/>
    <m/>
    <n v="1"/>
    <n v="7.5"/>
    <m/>
    <m/>
    <n v="39"/>
    <n v="4.875"/>
    <n v="0.85"/>
    <n v="4.1437499999999998"/>
    <x v="7"/>
    <s v="NMD"/>
    <s v="TekNat"/>
    <s v="Grundlärarprogrammet - förskoleklass och åk 1-3"/>
    <n v="20757"/>
    <n v="36082"/>
    <n v="250705.16250000001"/>
    <n v="22600"/>
    <n v="110175"/>
    <n v="360880.16249999998"/>
    <n v="0"/>
    <n v="0"/>
    <n v="0"/>
    <n v="0"/>
    <n v="0"/>
    <n v="1"/>
    <n v="0"/>
    <n v="0"/>
    <n v="0"/>
    <n v="0"/>
    <n v="0"/>
    <n v="0"/>
  </r>
  <r>
    <s v="6PE212"/>
    <s v="Examensarbete för grundlärarexamen med inriktning mot förskoleklass och grundskolans år 1-3"/>
    <m/>
    <s v="LYGFT"/>
    <s v="H20"/>
    <s v="ht"/>
    <s v="H2116-20:V221-15"/>
    <s v="Umeå"/>
    <s v="Campus"/>
    <m/>
    <m/>
    <n v="1"/>
    <n v="7.5"/>
    <m/>
    <m/>
    <n v="1"/>
    <n v="0.125"/>
    <n v="0.85"/>
    <n v="0.10625"/>
    <x v="7"/>
    <s v="NMD"/>
    <s v="TekNat"/>
    <s v="Grundlärarprogrammet - förskoleklass och åk 1-3"/>
    <n v="20757"/>
    <n v="36082"/>
    <n v="6428.3374999999996"/>
    <n v="22600"/>
    <n v="2825"/>
    <n v="9253.3374999999996"/>
    <n v="0"/>
    <n v="0"/>
    <n v="0"/>
    <n v="0"/>
    <n v="0"/>
    <n v="1"/>
    <n v="0"/>
    <n v="0"/>
    <n v="0"/>
    <n v="0"/>
    <n v="0"/>
    <n v="0"/>
  </r>
  <r>
    <s v="6PE212"/>
    <s v="Examensarbete för grundlärarexamen med inriktning mot förskoleklass och grundskolans år 1-3"/>
    <n v="61801"/>
    <s v="LYGFT"/>
    <m/>
    <s v="vt"/>
    <m/>
    <s v="Umeå"/>
    <s v="Normal"/>
    <m/>
    <m/>
    <m/>
    <n v="22.5"/>
    <m/>
    <m/>
    <n v="30"/>
    <n v="11.25"/>
    <n v="0.85"/>
    <n v="9.5625"/>
    <x v="7"/>
    <s v="NMD"/>
    <s v="TekNat"/>
    <s v="Grundlärarprogrammet - förskoleklass och åk 1-3"/>
    <n v="20757"/>
    <n v="36082"/>
    <n v="578550.375"/>
    <n v="22600"/>
    <n v="254250"/>
    <n v="832800.375"/>
    <n v="0"/>
    <n v="0"/>
    <n v="0"/>
    <n v="0"/>
    <n v="0"/>
    <n v="1"/>
    <n v="0"/>
    <n v="0"/>
    <n v="0"/>
    <n v="0"/>
    <n v="0"/>
    <n v="0"/>
  </r>
  <r>
    <s v="6PE213"/>
    <s v="Examensarbete för grundlärarexamen med inriktning mot grundskolans år 4-6"/>
    <m/>
    <s v="LYGRM"/>
    <s v="H18"/>
    <s v="ht"/>
    <s v="H2116-20:V221-15"/>
    <s v="Umeå"/>
    <s v="Campus"/>
    <m/>
    <m/>
    <n v="1"/>
    <n v="7.5"/>
    <m/>
    <m/>
    <n v="19"/>
    <n v="2.375"/>
    <n v="0.85"/>
    <n v="2.0187499999999998"/>
    <x v="7"/>
    <s v="NMD"/>
    <s v="TekNat"/>
    <s v="Grundlärarprogrammet - grundskolans åk 4-6"/>
    <n v="20757"/>
    <n v="36082"/>
    <n v="122138.41249999999"/>
    <n v="22600"/>
    <n v="53675"/>
    <n v="175813.41249999998"/>
    <n v="0"/>
    <n v="0"/>
    <n v="0"/>
    <n v="0"/>
    <n v="0"/>
    <n v="1"/>
    <n v="0"/>
    <n v="0"/>
    <n v="0"/>
    <n v="0"/>
    <n v="0"/>
    <n v="0"/>
  </r>
  <r>
    <s v="6PE213"/>
    <s v="Examensarbete för grundlärarexamen med inriktning mot grundskolans år 4-6"/>
    <m/>
    <s v="LYGRM"/>
    <s v="H19"/>
    <s v="ht"/>
    <s v="H2116-20:V221-15"/>
    <s v="Umeå"/>
    <s v="Campus"/>
    <m/>
    <m/>
    <n v="1"/>
    <n v="7.5"/>
    <m/>
    <m/>
    <n v="1"/>
    <n v="0.125"/>
    <n v="0.85"/>
    <n v="0.10625"/>
    <x v="7"/>
    <s v="NMD"/>
    <s v="TekNat"/>
    <s v="Grundlärarprogrammet - grundskolans åk 4-6"/>
    <n v="20757"/>
    <n v="36082"/>
    <n v="6428.3374999999996"/>
    <n v="22600"/>
    <n v="2825"/>
    <n v="9253.3374999999996"/>
    <n v="0"/>
    <n v="0"/>
    <n v="0"/>
    <n v="0"/>
    <n v="0"/>
    <n v="1"/>
    <n v="0"/>
    <n v="0"/>
    <n v="0"/>
    <n v="0"/>
    <n v="0"/>
    <n v="0"/>
  </r>
  <r>
    <s v="6PE213"/>
    <s v="Examensarbete för grundlärarexamen med inriktning mot grundskolans år 4-6"/>
    <n v="61804"/>
    <s v="LYGRM"/>
    <m/>
    <s v="vt"/>
    <m/>
    <s v="Umeå"/>
    <s v="Normal"/>
    <m/>
    <m/>
    <m/>
    <n v="22.5"/>
    <m/>
    <m/>
    <n v="27"/>
    <n v="10.125"/>
    <n v="0.85"/>
    <n v="8.6062499999999993"/>
    <x v="7"/>
    <s v="NMD"/>
    <s v="TekNat"/>
    <s v="Grundlärarprogrammet - grundskolans åk 4-6"/>
    <n v="20757"/>
    <n v="36082"/>
    <n v="520695.33749999997"/>
    <n v="22600"/>
    <n v="228825"/>
    <n v="749520.33749999991"/>
    <n v="0"/>
    <n v="0"/>
    <n v="0"/>
    <n v="0"/>
    <n v="0"/>
    <n v="1"/>
    <n v="0"/>
    <n v="0"/>
    <n v="0"/>
    <n v="0"/>
    <n v="0"/>
    <n v="0"/>
  </r>
  <r>
    <s v="6PE220"/>
    <s v="Utbildningsvetenskap, undervisning och lärande för förskolan (UK)"/>
    <m/>
    <s v="LYFSK"/>
    <s v="H16"/>
    <s v="ht"/>
    <s v="H218-12"/>
    <s v="Umeå"/>
    <s v="Campus"/>
    <m/>
    <m/>
    <n v="1"/>
    <n v="8"/>
    <m/>
    <m/>
    <n v="1"/>
    <n v="0.13333333333333333"/>
    <n v="0.85"/>
    <n v="0.11333333333333333"/>
    <x v="13"/>
    <s v="TUV "/>
    <s v="Sam"/>
    <s v="Förskollärarprogrammet"/>
    <n v="26554"/>
    <n v="33465"/>
    <n v="7333.2333333333336"/>
    <n v="6000"/>
    <n v="800"/>
    <n v="8133.2333333333336"/>
    <n v="0"/>
    <n v="0"/>
    <n v="0"/>
    <n v="1"/>
    <n v="0"/>
    <n v="0"/>
    <n v="0"/>
    <n v="0"/>
    <n v="0"/>
    <n v="0"/>
    <n v="0"/>
    <n v="0"/>
  </r>
  <r>
    <s v="6PE220"/>
    <s v="Utbildningsvetenskap, undervisning och lärande för förskolan (UK)"/>
    <m/>
    <s v="LYFSK"/>
    <s v="V19"/>
    <s v="ht"/>
    <s v="H218-12"/>
    <s v="Umeå"/>
    <s v="Campus"/>
    <m/>
    <m/>
    <n v="1"/>
    <n v="8"/>
    <m/>
    <m/>
    <n v="1"/>
    <n v="0.13333333333333333"/>
    <n v="0.85"/>
    <n v="0.11333333333333333"/>
    <x v="13"/>
    <s v="TUV "/>
    <s v="Sam"/>
    <s v="Förskollärarprogrammet"/>
    <n v="26554"/>
    <n v="33465"/>
    <n v="7333.2333333333336"/>
    <n v="6000"/>
    <n v="800"/>
    <n v="8133.2333333333336"/>
    <n v="0"/>
    <n v="0"/>
    <n v="0"/>
    <n v="1"/>
    <n v="0"/>
    <n v="0"/>
    <n v="0"/>
    <n v="0"/>
    <n v="0"/>
    <n v="0"/>
    <n v="0"/>
    <n v="0"/>
  </r>
  <r>
    <s v="6PE220"/>
    <s v="Utbildningsvetenskap, undervisning och lärande för förskolan (UK)"/>
    <m/>
    <s v="LYFSK"/>
    <s v="V20"/>
    <s v="ht"/>
    <s v="H218-12"/>
    <s v="Umeå"/>
    <s v="Campus"/>
    <m/>
    <m/>
    <n v="1"/>
    <n v="8"/>
    <m/>
    <m/>
    <n v="20"/>
    <n v="2.6666666666666665"/>
    <n v="0.85"/>
    <n v="2.2666666666666666"/>
    <x v="13"/>
    <s v="TUV "/>
    <s v="Sam"/>
    <s v="Förskollärarprogrammet"/>
    <n v="26554"/>
    <n v="33465"/>
    <n v="146664.66666666666"/>
    <n v="6000"/>
    <n v="16000"/>
    <n v="162664.66666666666"/>
    <n v="0"/>
    <n v="0"/>
    <n v="0"/>
    <n v="1"/>
    <n v="0"/>
    <n v="0"/>
    <n v="0"/>
    <n v="0"/>
    <n v="0"/>
    <n v="0"/>
    <n v="0"/>
    <n v="0"/>
  </r>
  <r>
    <s v="6PE220"/>
    <s v="Utbildningsvetenskap, undervisning och lärande för förskolan (UK)"/>
    <n v="68713"/>
    <s v="LYFSK"/>
    <m/>
    <s v="vt"/>
    <m/>
    <s v="Umeå"/>
    <s v="Normal"/>
    <m/>
    <m/>
    <m/>
    <n v="8"/>
    <m/>
    <m/>
    <n v="37"/>
    <n v="4.9329999999999998"/>
    <n v="0.85"/>
    <n v="4.1930499999999995"/>
    <x v="13"/>
    <s v="TUV "/>
    <s v="Sam"/>
    <s v="Förskollärarprogrammet"/>
    <n v="26554"/>
    <n v="33465"/>
    <n v="271311.30024999997"/>
    <n v="6000"/>
    <n v="29598"/>
    <n v="300909.30024999997"/>
    <n v="0"/>
    <n v="0"/>
    <n v="0"/>
    <n v="1"/>
    <n v="0"/>
    <n v="0"/>
    <n v="0"/>
    <n v="0"/>
    <n v="0"/>
    <n v="0"/>
    <n v="0"/>
    <n v="0"/>
  </r>
  <r>
    <s v="6PE221"/>
    <s v="Specialpedagogik för förskolan (UK)"/>
    <m/>
    <s v="LYFSK"/>
    <s v="H16"/>
    <s v="ht"/>
    <s v="H2113-16"/>
    <s v="Umeå"/>
    <s v="Campus"/>
    <m/>
    <m/>
    <n v="1"/>
    <n v="6"/>
    <m/>
    <m/>
    <n v="1"/>
    <n v="0.1"/>
    <n v="0.85"/>
    <n v="8.5000000000000006E-2"/>
    <x v="13"/>
    <s v="TUV "/>
    <s v="Sam"/>
    <s v="Förskollärarprogrammet"/>
    <n v="26554"/>
    <n v="33465"/>
    <n v="5499.9250000000002"/>
    <n v="6000"/>
    <n v="600"/>
    <n v="6099.9250000000002"/>
    <n v="0"/>
    <n v="0"/>
    <n v="0"/>
    <n v="1"/>
    <n v="0"/>
    <n v="0"/>
    <n v="0"/>
    <n v="0"/>
    <n v="0"/>
    <n v="0"/>
    <n v="0"/>
    <n v="0"/>
  </r>
  <r>
    <s v="6PE221"/>
    <s v="Specialpedagogik för förskolan (UK)"/>
    <m/>
    <s v="LYFSK"/>
    <s v="H19"/>
    <s v="ht"/>
    <s v="H2113-16"/>
    <s v="Umeå"/>
    <s v="Campus"/>
    <m/>
    <m/>
    <n v="1"/>
    <n v="6"/>
    <m/>
    <m/>
    <n v="1"/>
    <n v="0.1"/>
    <n v="0.85"/>
    <n v="8.5000000000000006E-2"/>
    <x v="13"/>
    <s v="TUV "/>
    <s v="Sam"/>
    <s v="Förskollärarprogrammet"/>
    <n v="26554"/>
    <n v="33465"/>
    <n v="5499.9250000000002"/>
    <n v="6000"/>
    <n v="600"/>
    <n v="6099.9250000000002"/>
    <n v="0"/>
    <n v="0"/>
    <n v="0"/>
    <n v="1"/>
    <n v="0"/>
    <n v="0"/>
    <n v="0"/>
    <n v="0"/>
    <n v="0"/>
    <n v="0"/>
    <n v="0"/>
    <n v="0"/>
  </r>
  <r>
    <s v="6PE221"/>
    <s v="Specialpedagogik för förskolan (UK)"/>
    <m/>
    <s v="LYFSK"/>
    <s v="V19"/>
    <s v="ht"/>
    <s v="H2113-16"/>
    <s v="Umeå"/>
    <s v="Campus"/>
    <m/>
    <m/>
    <n v="1"/>
    <n v="6"/>
    <m/>
    <m/>
    <n v="1"/>
    <n v="0.1"/>
    <n v="0.85"/>
    <n v="8.5000000000000006E-2"/>
    <x v="13"/>
    <s v="TUV "/>
    <s v="Sam"/>
    <s v="Förskollärarprogrammet"/>
    <n v="26554"/>
    <n v="33465"/>
    <n v="5499.9250000000002"/>
    <n v="6000"/>
    <n v="600"/>
    <n v="6099.9250000000002"/>
    <n v="0"/>
    <n v="0"/>
    <n v="0"/>
    <n v="1"/>
    <n v="0"/>
    <n v="0"/>
    <n v="0"/>
    <n v="0"/>
    <n v="0"/>
    <n v="0"/>
    <n v="0"/>
    <n v="0"/>
  </r>
  <r>
    <s v="6PE221"/>
    <s v="Specialpedagogik för förskolan (UK)"/>
    <m/>
    <s v="LYFSK"/>
    <s v="V20"/>
    <s v="ht"/>
    <s v="H2113-16"/>
    <s v="Umeå"/>
    <s v="Campus"/>
    <m/>
    <m/>
    <n v="1"/>
    <n v="6"/>
    <m/>
    <m/>
    <n v="21"/>
    <n v="2.1"/>
    <n v="0.85"/>
    <n v="1.7849999999999999"/>
    <x v="13"/>
    <s v="TUV "/>
    <s v="Sam"/>
    <s v="Förskollärarprogrammet"/>
    <n v="26554"/>
    <n v="33465"/>
    <n v="115498.42499999999"/>
    <n v="6000"/>
    <n v="12600"/>
    <n v="128098.42499999999"/>
    <n v="0"/>
    <n v="0"/>
    <n v="0"/>
    <n v="1"/>
    <n v="0"/>
    <n v="0"/>
    <n v="0"/>
    <n v="0"/>
    <n v="0"/>
    <n v="0"/>
    <n v="0"/>
    <n v="0"/>
  </r>
  <r>
    <s v="6PE221"/>
    <s v="Specialpedagogik för förskolan (UK)"/>
    <n v="68711"/>
    <s v="LYFSK"/>
    <m/>
    <s v="vt"/>
    <m/>
    <s v="Umeå"/>
    <s v="Normal"/>
    <m/>
    <m/>
    <m/>
    <n v="6"/>
    <m/>
    <m/>
    <n v="38"/>
    <n v="3.8"/>
    <n v="0.85"/>
    <n v="3.23"/>
    <x v="13"/>
    <s v="TUV "/>
    <s v="Sam"/>
    <s v="Förskollärarprogrammet"/>
    <n v="26554"/>
    <n v="33465"/>
    <n v="208997.15"/>
    <n v="6000"/>
    <n v="22800"/>
    <n v="231797.15"/>
    <n v="0"/>
    <n v="0"/>
    <n v="0"/>
    <n v="1"/>
    <n v="0"/>
    <n v="0"/>
    <n v="0"/>
    <n v="0"/>
    <n v="0"/>
    <n v="0"/>
    <n v="0"/>
    <n v="0"/>
  </r>
  <r>
    <s v="6PE222"/>
    <s v="Specialpedagogik för grundskolan (UK)"/>
    <n v="64508"/>
    <s v="LYAGR"/>
    <m/>
    <s v="vt"/>
    <m/>
    <s v="Umeå"/>
    <s v="Normal"/>
    <s v="TXAL"/>
    <m/>
    <m/>
    <n v="5"/>
    <m/>
    <m/>
    <n v="1"/>
    <n v="8.3000000000000004E-2"/>
    <n v="0.85"/>
    <n v="7.0550000000000002E-2"/>
    <x v="12"/>
    <s v="Pedagogik                     "/>
    <s v="Sam"/>
    <s v="Ämneslärarprogrammet - åk 7-9"/>
    <n v="26554"/>
    <n v="33465"/>
    <n v="4564.9377500000001"/>
    <n v="6000"/>
    <n v="498"/>
    <n v="5062.9377500000001"/>
    <n v="0"/>
    <n v="0"/>
    <n v="0"/>
    <n v="1"/>
    <n v="0"/>
    <n v="0"/>
    <n v="0"/>
    <n v="0"/>
    <n v="0"/>
    <n v="0"/>
    <n v="0"/>
    <n v="0"/>
  </r>
  <r>
    <s v="6PE222"/>
    <s v="Specialpedagogik för grundskolan (UK)"/>
    <m/>
    <s v="LYGFR"/>
    <s v="H19"/>
    <s v="ht"/>
    <s v="H2113-15"/>
    <s v="Umeå"/>
    <s v="Campus"/>
    <m/>
    <m/>
    <n v="1"/>
    <n v="5"/>
    <m/>
    <m/>
    <n v="16"/>
    <n v="1.3333333333333333"/>
    <n v="0.85"/>
    <n v="1.1333333333333333"/>
    <x v="12"/>
    <s v="Pedagogik                     "/>
    <s v="Sam"/>
    <s v="Grundlärarprogrammet - fritidshem"/>
    <n v="26554"/>
    <n v="33465"/>
    <n v="73332.333333333328"/>
    <n v="6000"/>
    <n v="8000"/>
    <n v="81332.333333333328"/>
    <n v="0"/>
    <n v="0"/>
    <n v="0"/>
    <n v="1"/>
    <n v="0"/>
    <n v="0"/>
    <n v="0"/>
    <n v="0"/>
    <n v="0"/>
    <n v="0"/>
    <n v="0"/>
    <n v="0"/>
  </r>
  <r>
    <s v="6PE222"/>
    <s v="Specialpedagogik för grundskolan (UK)"/>
    <n v="64508"/>
    <s v="LYGFT"/>
    <m/>
    <s v="vt"/>
    <m/>
    <s v="Umeå"/>
    <s v="Normal"/>
    <m/>
    <m/>
    <m/>
    <n v="5"/>
    <m/>
    <m/>
    <n v="43"/>
    <n v="3.5830000000000002"/>
    <n v="0.85"/>
    <n v="3.04555"/>
    <x v="12"/>
    <s v="Pedagogik                     "/>
    <s v="Sam"/>
    <s v="Grundlärarprogrammet - förskoleklass och åk 1-3"/>
    <n v="26554"/>
    <n v="33465"/>
    <n v="197062.31274999998"/>
    <n v="6000"/>
    <n v="21498"/>
    <n v="218560.31274999998"/>
    <n v="0"/>
    <n v="0"/>
    <n v="0"/>
    <n v="1"/>
    <n v="0"/>
    <n v="0"/>
    <n v="0"/>
    <n v="0"/>
    <n v="0"/>
    <n v="0"/>
    <n v="0"/>
    <n v="0"/>
  </r>
  <r>
    <s v="6PE222"/>
    <s v="Specialpedagogik för grundskolan (UK)"/>
    <n v="64508"/>
    <s v="LYGRM"/>
    <m/>
    <s v="vt"/>
    <m/>
    <s v="Umeå"/>
    <s v="Normal"/>
    <m/>
    <m/>
    <m/>
    <n v="5"/>
    <m/>
    <m/>
    <n v="21"/>
    <n v="1.75"/>
    <n v="0.85"/>
    <n v="1.4875"/>
    <x v="12"/>
    <s v="Pedagogik                     "/>
    <s v="Sam"/>
    <s v="Grundlärarprogrammet - grundskolans åk 4-6"/>
    <n v="26554"/>
    <n v="33465"/>
    <n v="96248.6875"/>
    <n v="6000"/>
    <n v="10500"/>
    <n v="106748.6875"/>
    <n v="0"/>
    <n v="0"/>
    <n v="0"/>
    <n v="1"/>
    <n v="0"/>
    <n v="0"/>
    <n v="0"/>
    <n v="0"/>
    <n v="0"/>
    <n v="0"/>
    <n v="0"/>
    <n v="0"/>
  </r>
  <r>
    <s v="6PE223"/>
    <s v="Specialpedagogik - åk 7-9 och gymnasieskolan (UK)"/>
    <m/>
    <s v="LYAGR"/>
    <s v="H16"/>
    <s v="ht"/>
    <s v="H2117-20"/>
    <s v="Umeå"/>
    <m/>
    <s v="TXBI"/>
    <m/>
    <n v="1"/>
    <n v="5"/>
    <m/>
    <m/>
    <n v="1"/>
    <n v="8.3333333333333329E-2"/>
    <n v="0.85"/>
    <n v="7.0833333333333331E-2"/>
    <x v="12"/>
    <s v="Pedagogik                     "/>
    <s v="Sam"/>
    <s v="Ämneslärarprogrammet - åk 7-9"/>
    <n v="26554"/>
    <n v="33465"/>
    <n v="4583.270833333333"/>
    <n v="6000"/>
    <n v="500"/>
    <n v="5083.270833333333"/>
    <n v="0"/>
    <n v="0"/>
    <n v="0"/>
    <n v="1"/>
    <n v="0"/>
    <n v="0"/>
    <n v="0"/>
    <n v="0"/>
    <n v="0"/>
    <n v="0"/>
    <n v="0"/>
    <n v="0"/>
  </r>
  <r>
    <s v="6PE223"/>
    <s v="Specialpedagogik - åk 7-9 och gymnasieskolan (UK)"/>
    <m/>
    <s v="LYAGY"/>
    <s v="H15"/>
    <s v="ht"/>
    <s v="H2117-20"/>
    <s v="Umeå"/>
    <m/>
    <s v="IDRH"/>
    <m/>
    <n v="1"/>
    <n v="5"/>
    <m/>
    <m/>
    <n v="1"/>
    <n v="8.3333333333333329E-2"/>
    <n v="0.85"/>
    <n v="7.0833333333333331E-2"/>
    <x v="12"/>
    <s v="Pedagogik                     "/>
    <s v="Sam"/>
    <s v="Ämneslärarprogrammet - Gy"/>
    <n v="26554"/>
    <n v="33465"/>
    <n v="4583.270833333333"/>
    <n v="6000"/>
    <n v="500"/>
    <n v="5083.270833333333"/>
    <n v="0"/>
    <n v="0"/>
    <n v="0"/>
    <n v="1"/>
    <n v="0"/>
    <n v="0"/>
    <n v="0"/>
    <n v="0"/>
    <n v="0"/>
    <n v="0"/>
    <n v="0"/>
    <n v="0"/>
  </r>
  <r>
    <s v="6PE223"/>
    <s v="Specialpedagogik - åk 7-9 och gymnasieskolan (UK)"/>
    <m/>
    <s v="LYAGY"/>
    <s v="H15"/>
    <s v="ht"/>
    <s v="H2117-20"/>
    <s v="Umeå"/>
    <m/>
    <s v="MATT"/>
    <m/>
    <n v="1"/>
    <n v="5"/>
    <m/>
    <m/>
    <n v="1"/>
    <n v="8.3333333333333329E-2"/>
    <n v="0.85"/>
    <n v="7.0833333333333331E-2"/>
    <x v="12"/>
    <s v="Pedagogik                     "/>
    <s v="Sam"/>
    <s v="Ämneslärarprogrammet - Gy"/>
    <n v="26554"/>
    <n v="33465"/>
    <n v="4583.270833333333"/>
    <n v="6000"/>
    <n v="500"/>
    <n v="5083.270833333333"/>
    <n v="0"/>
    <n v="0"/>
    <n v="0"/>
    <n v="1"/>
    <n v="0"/>
    <n v="0"/>
    <n v="0"/>
    <n v="0"/>
    <n v="0"/>
    <n v="0"/>
    <n v="0"/>
    <n v="0"/>
  </r>
  <r>
    <s v="6PE223"/>
    <s v="Specialpedagogik - åk 7-9 och gymnasieskolan (UK)"/>
    <m/>
    <s v="LYAGY"/>
    <s v="H18"/>
    <s v="ht"/>
    <s v="H2117-20"/>
    <s v="Umeå"/>
    <m/>
    <s v="BILÄ"/>
    <m/>
    <n v="1"/>
    <n v="5"/>
    <m/>
    <m/>
    <n v="1"/>
    <n v="8.3333333333333329E-2"/>
    <n v="0.85"/>
    <n v="7.0833333333333331E-2"/>
    <x v="12"/>
    <s v="Pedagogik                     "/>
    <s v="Sam"/>
    <s v="Ämneslärarprogrammet - Gy"/>
    <n v="26554"/>
    <n v="33465"/>
    <n v="4583.270833333333"/>
    <n v="6000"/>
    <n v="500"/>
    <n v="5083.270833333333"/>
    <n v="0"/>
    <n v="0"/>
    <n v="0"/>
    <n v="1"/>
    <n v="0"/>
    <n v="0"/>
    <n v="0"/>
    <n v="0"/>
    <n v="0"/>
    <n v="0"/>
    <n v="0"/>
    <n v="0"/>
  </r>
  <r>
    <s v="6PE223"/>
    <s v="Specialpedagogik - åk 7-9 och gymnasieskolan (UK)"/>
    <m/>
    <s v="LYAGY"/>
    <s v="H18"/>
    <s v="ht"/>
    <s v="H2117-20"/>
    <s v="Umeå"/>
    <m/>
    <s v="BIOL"/>
    <m/>
    <n v="1"/>
    <n v="5"/>
    <m/>
    <m/>
    <n v="2"/>
    <n v="0.16666666666666666"/>
    <n v="0.85"/>
    <n v="0.14166666666666666"/>
    <x v="12"/>
    <s v="Pedagogik                     "/>
    <s v="Sam"/>
    <s v="Ämneslärarprogrammet - Gy"/>
    <n v="26554"/>
    <n v="33465"/>
    <n v="9166.5416666666661"/>
    <n v="6000"/>
    <n v="1000"/>
    <n v="10166.541666666666"/>
    <n v="0"/>
    <n v="0"/>
    <n v="0"/>
    <n v="1"/>
    <n v="0"/>
    <n v="0"/>
    <n v="0"/>
    <n v="0"/>
    <n v="0"/>
    <n v="0"/>
    <n v="0"/>
    <n v="0"/>
  </r>
  <r>
    <s v="6PE223"/>
    <s v="Specialpedagogik - åk 7-9 och gymnasieskolan (UK)"/>
    <m/>
    <s v="LYAGY"/>
    <s v="H18"/>
    <s v="ht"/>
    <s v="H2117-20"/>
    <s v="Umeå"/>
    <m/>
    <s v="ENGS"/>
    <m/>
    <n v="1"/>
    <n v="5"/>
    <m/>
    <m/>
    <n v="1"/>
    <n v="8.3333333333333329E-2"/>
    <n v="0.85"/>
    <n v="7.0833333333333331E-2"/>
    <x v="12"/>
    <s v="Pedagogik                     "/>
    <s v="Sam"/>
    <s v="Ämneslärarprogrammet - Gy"/>
    <n v="26554"/>
    <n v="33465"/>
    <n v="4583.270833333333"/>
    <n v="6000"/>
    <n v="500"/>
    <n v="5083.270833333333"/>
    <n v="0"/>
    <n v="0"/>
    <n v="0"/>
    <n v="1"/>
    <n v="0"/>
    <n v="0"/>
    <n v="0"/>
    <n v="0"/>
    <n v="0"/>
    <n v="0"/>
    <n v="0"/>
    <n v="0"/>
  </r>
  <r>
    <s v="6PE223"/>
    <s v="Specialpedagogik - åk 7-9 och gymnasieskolan (UK)"/>
    <m/>
    <s v="LYAGY"/>
    <s v="H18"/>
    <s v="ht"/>
    <s v="H2117-20"/>
    <s v="Umeå"/>
    <m/>
    <s v="HIST"/>
    <m/>
    <n v="1"/>
    <n v="5"/>
    <m/>
    <m/>
    <n v="2"/>
    <n v="0.16666666666666666"/>
    <n v="0.85"/>
    <n v="0.14166666666666666"/>
    <x v="12"/>
    <s v="Pedagogik                     "/>
    <s v="Sam"/>
    <s v="Ämneslärarprogrammet - Gy"/>
    <n v="26554"/>
    <n v="33465"/>
    <n v="9166.5416666666661"/>
    <n v="6000"/>
    <n v="1000"/>
    <n v="10166.541666666666"/>
    <n v="0"/>
    <n v="0"/>
    <n v="0"/>
    <n v="1"/>
    <n v="0"/>
    <n v="0"/>
    <n v="0"/>
    <n v="0"/>
    <n v="0"/>
    <n v="0"/>
    <n v="0"/>
    <n v="0"/>
  </r>
  <r>
    <s v="6PE223"/>
    <s v="Specialpedagogik - åk 7-9 och gymnasieskolan (UK)"/>
    <m/>
    <s v="LYAGY"/>
    <s v="H18"/>
    <s v="ht"/>
    <s v="H2117-20"/>
    <s v="Umeå"/>
    <m/>
    <s v="IDRH"/>
    <m/>
    <n v="1"/>
    <n v="5"/>
    <m/>
    <m/>
    <n v="2"/>
    <n v="0.16666666666666666"/>
    <n v="0.85"/>
    <n v="0.14166666666666666"/>
    <x v="12"/>
    <s v="Pedagogik                     "/>
    <s v="Sam"/>
    <s v="Ämneslärarprogrammet - Gy"/>
    <n v="26554"/>
    <n v="33465"/>
    <n v="9166.5416666666661"/>
    <n v="6000"/>
    <n v="1000"/>
    <n v="10166.541666666666"/>
    <n v="0"/>
    <n v="0"/>
    <n v="0"/>
    <n v="1"/>
    <n v="0"/>
    <n v="0"/>
    <n v="0"/>
    <n v="0"/>
    <n v="0"/>
    <n v="0"/>
    <n v="0"/>
    <n v="0"/>
  </r>
  <r>
    <s v="6PE223"/>
    <s v="Specialpedagogik - åk 7-9 och gymnasieskolan (UK)"/>
    <m/>
    <s v="LYAGY"/>
    <s v="H18"/>
    <s v="ht"/>
    <s v="H2117-20"/>
    <s v="Umeå"/>
    <m/>
    <s v="MATT"/>
    <m/>
    <n v="1"/>
    <n v="5"/>
    <m/>
    <m/>
    <n v="1"/>
    <n v="8.3333333333333329E-2"/>
    <n v="0.85"/>
    <n v="7.0833333333333331E-2"/>
    <x v="12"/>
    <s v="Pedagogik                     "/>
    <s v="Sam"/>
    <s v="Ämneslärarprogrammet - Gy"/>
    <n v="26554"/>
    <n v="33465"/>
    <n v="4583.270833333333"/>
    <n v="6000"/>
    <n v="500"/>
    <n v="5083.270833333333"/>
    <n v="0"/>
    <n v="0"/>
    <n v="0"/>
    <n v="1"/>
    <n v="0"/>
    <n v="0"/>
    <n v="0"/>
    <n v="0"/>
    <n v="0"/>
    <n v="0"/>
    <n v="0"/>
    <n v="0"/>
  </r>
  <r>
    <s v="6PE223"/>
    <s v="Specialpedagogik - åk 7-9 och gymnasieskolan (UK)"/>
    <m/>
    <s v="LYAGY"/>
    <s v="H18"/>
    <s v="ht"/>
    <s v="H2117-20"/>
    <s v="Umeå"/>
    <m/>
    <s v="RELK"/>
    <m/>
    <n v="1"/>
    <n v="5"/>
    <m/>
    <m/>
    <n v="1"/>
    <n v="8.3333333333333329E-2"/>
    <n v="0.85"/>
    <n v="7.0833333333333331E-2"/>
    <x v="12"/>
    <s v="Pedagogik                     "/>
    <s v="Sam"/>
    <s v="Ämneslärarprogrammet - Gy"/>
    <n v="26554"/>
    <n v="33465"/>
    <n v="4583.270833333333"/>
    <n v="6000"/>
    <n v="500"/>
    <n v="5083.270833333333"/>
    <n v="0"/>
    <n v="0"/>
    <n v="0"/>
    <n v="1"/>
    <n v="0"/>
    <n v="0"/>
    <n v="0"/>
    <n v="0"/>
    <n v="0"/>
    <n v="0"/>
    <n v="0"/>
    <n v="0"/>
  </r>
  <r>
    <s v="6PE223"/>
    <s v="Specialpedagogik - åk 7-9 och gymnasieskolan (UK)"/>
    <m/>
    <s v="LYAGY"/>
    <s v="H19"/>
    <s v="ht"/>
    <s v="H2117-20"/>
    <s v="Umeå"/>
    <m/>
    <s v="BILÄ"/>
    <m/>
    <n v="1"/>
    <n v="5"/>
    <m/>
    <m/>
    <n v="2"/>
    <n v="0.16666666666666666"/>
    <n v="0.85"/>
    <n v="0.14166666666666666"/>
    <x v="12"/>
    <s v="Pedagogik                     "/>
    <s v="Sam"/>
    <s v="Ämneslärarprogrammet - Gy"/>
    <n v="26554"/>
    <n v="33465"/>
    <n v="9166.5416666666661"/>
    <n v="6000"/>
    <n v="1000"/>
    <n v="10166.541666666666"/>
    <n v="0"/>
    <n v="0"/>
    <n v="0"/>
    <n v="1"/>
    <n v="0"/>
    <n v="0"/>
    <n v="0"/>
    <n v="0"/>
    <n v="0"/>
    <n v="0"/>
    <n v="0"/>
    <n v="0"/>
  </r>
  <r>
    <s v="6PE223"/>
    <s v="Specialpedagogik - åk 7-9 och gymnasieskolan (UK)"/>
    <m/>
    <s v="LYAGY"/>
    <s v="H19"/>
    <s v="ht"/>
    <s v="H2117-20"/>
    <s v="Umeå"/>
    <m/>
    <s v="BIOL"/>
    <m/>
    <n v="1"/>
    <n v="5"/>
    <m/>
    <m/>
    <n v="2"/>
    <n v="0.16666666666666666"/>
    <n v="0.85"/>
    <n v="0.14166666666666666"/>
    <x v="12"/>
    <s v="Pedagogik                     "/>
    <s v="Sam"/>
    <s v="Ämneslärarprogrammet - Gy"/>
    <n v="26554"/>
    <n v="33465"/>
    <n v="9166.5416666666661"/>
    <n v="6000"/>
    <n v="1000"/>
    <n v="10166.541666666666"/>
    <n v="0"/>
    <n v="0"/>
    <n v="0"/>
    <n v="1"/>
    <n v="0"/>
    <n v="0"/>
    <n v="0"/>
    <n v="0"/>
    <n v="0"/>
    <n v="0"/>
    <n v="0"/>
    <n v="0"/>
  </r>
  <r>
    <s v="6PE223"/>
    <s v="Specialpedagogik - åk 7-9 och gymnasieskolan (UK)"/>
    <m/>
    <s v="LYAGY"/>
    <s v="H19"/>
    <s v="ht"/>
    <s v="H2117-20"/>
    <s v="Umeå"/>
    <m/>
    <s v="ENGS"/>
    <m/>
    <n v="1"/>
    <n v="5"/>
    <m/>
    <m/>
    <n v="12"/>
    <n v="1"/>
    <n v="0.85"/>
    <n v="0.85"/>
    <x v="12"/>
    <s v="Pedagogik                     "/>
    <s v="Sam"/>
    <s v="Ämneslärarprogrammet - Gy"/>
    <n v="26554"/>
    <n v="33465"/>
    <n v="54999.25"/>
    <n v="6000"/>
    <n v="6000"/>
    <n v="60999.25"/>
    <n v="0"/>
    <n v="0"/>
    <n v="0"/>
    <n v="1"/>
    <n v="0"/>
    <n v="0"/>
    <n v="0"/>
    <n v="0"/>
    <n v="0"/>
    <n v="0"/>
    <n v="0"/>
    <n v="0"/>
  </r>
  <r>
    <s v="6PE223"/>
    <s v="Specialpedagogik - åk 7-9 och gymnasieskolan (UK)"/>
    <m/>
    <s v="LYAGY"/>
    <s v="H19"/>
    <s v="ht"/>
    <s v="H2117-20"/>
    <s v="Umeå"/>
    <m/>
    <s v="GEOG"/>
    <m/>
    <n v="1"/>
    <n v="5"/>
    <m/>
    <m/>
    <n v="2"/>
    <n v="0.16666666666666666"/>
    <n v="0.85"/>
    <n v="0.14166666666666666"/>
    <x v="12"/>
    <s v="Pedagogik                     "/>
    <s v="Sam"/>
    <s v="Ämneslärarprogrammet - Gy"/>
    <n v="26554"/>
    <n v="33465"/>
    <n v="9166.5416666666661"/>
    <n v="6000"/>
    <n v="1000"/>
    <n v="10166.541666666666"/>
    <n v="0"/>
    <n v="0"/>
    <n v="0"/>
    <n v="1"/>
    <n v="0"/>
    <n v="0"/>
    <n v="0"/>
    <n v="0"/>
    <n v="0"/>
    <n v="0"/>
    <n v="0"/>
    <n v="0"/>
  </r>
  <r>
    <s v="6PE223"/>
    <s v="Specialpedagogik - åk 7-9 och gymnasieskolan (UK)"/>
    <m/>
    <s v="LYAGY"/>
    <s v="H19"/>
    <s v="ht"/>
    <s v="H2117-20"/>
    <s v="Umeå"/>
    <m/>
    <s v="HIST"/>
    <m/>
    <n v="1"/>
    <n v="5"/>
    <m/>
    <m/>
    <n v="17"/>
    <n v="1.4166666666666665"/>
    <n v="0.85"/>
    <n v="1.2041666666666666"/>
    <x v="12"/>
    <s v="Pedagogik                     "/>
    <s v="Sam"/>
    <s v="Ämneslärarprogrammet - Gy"/>
    <n v="26554"/>
    <n v="33465"/>
    <n v="77915.604166666657"/>
    <n v="6000"/>
    <n v="8500"/>
    <n v="86415.604166666657"/>
    <n v="0"/>
    <n v="0"/>
    <n v="0"/>
    <n v="1"/>
    <n v="0"/>
    <n v="0"/>
    <n v="0"/>
    <n v="0"/>
    <n v="0"/>
    <n v="0"/>
    <n v="0"/>
    <n v="0"/>
  </r>
  <r>
    <s v="6PE223"/>
    <s v="Specialpedagogik - åk 7-9 och gymnasieskolan (UK)"/>
    <m/>
    <s v="LYAGY"/>
    <s v="H19"/>
    <s v="ht"/>
    <s v="H2117-20"/>
    <s v="Umeå"/>
    <m/>
    <s v="IDRH"/>
    <m/>
    <n v="1"/>
    <n v="5"/>
    <m/>
    <m/>
    <n v="18"/>
    <n v="1.5"/>
    <n v="0.85"/>
    <n v="1.2749999999999999"/>
    <x v="12"/>
    <s v="Pedagogik                     "/>
    <s v="Sam"/>
    <s v="Ämneslärarprogrammet - Gy"/>
    <n v="26554"/>
    <n v="33465"/>
    <n v="82498.875"/>
    <n v="6000"/>
    <n v="9000"/>
    <n v="91498.875"/>
    <n v="0"/>
    <n v="0"/>
    <n v="0"/>
    <n v="1"/>
    <n v="0"/>
    <n v="0"/>
    <n v="0"/>
    <n v="0"/>
    <n v="0"/>
    <n v="0"/>
    <n v="0"/>
    <n v="0"/>
  </r>
  <r>
    <s v="6PE223"/>
    <s v="Specialpedagogik - åk 7-9 och gymnasieskolan (UK)"/>
    <m/>
    <s v="LYAGY"/>
    <s v="H19"/>
    <s v="ht"/>
    <s v="H2117-20"/>
    <s v="Umeå"/>
    <m/>
    <s v="MATT"/>
    <m/>
    <n v="1"/>
    <n v="5"/>
    <m/>
    <m/>
    <n v="7"/>
    <n v="0.58333333333333326"/>
    <n v="0.85"/>
    <n v="0.49583333333333324"/>
    <x v="12"/>
    <s v="Pedagogik                     "/>
    <s v="Sam"/>
    <s v="Ämneslärarprogrammet - Gy"/>
    <n v="26554"/>
    <n v="33465"/>
    <n v="32082.895833333328"/>
    <n v="6000"/>
    <n v="3499.9999999999995"/>
    <n v="35582.895833333328"/>
    <n v="0"/>
    <n v="0"/>
    <n v="0"/>
    <n v="1"/>
    <n v="0"/>
    <n v="0"/>
    <n v="0"/>
    <n v="0"/>
    <n v="0"/>
    <n v="0"/>
    <n v="0"/>
    <n v="0"/>
  </r>
  <r>
    <s v="6PE223"/>
    <s v="Specialpedagogik - åk 7-9 och gymnasieskolan (UK)"/>
    <m/>
    <s v="LYAGY"/>
    <s v="H19"/>
    <s v="ht"/>
    <s v="H2117-20"/>
    <s v="Umeå"/>
    <m/>
    <s v="NATU"/>
    <m/>
    <n v="1"/>
    <n v="5"/>
    <m/>
    <m/>
    <n v="1"/>
    <n v="8.3333333333333329E-2"/>
    <n v="0.85"/>
    <n v="7.0833333333333331E-2"/>
    <x v="12"/>
    <s v="Pedagogik                     "/>
    <s v="Sam"/>
    <s v="Ämneslärarprogrammet - Gy"/>
    <n v="26554"/>
    <n v="33465"/>
    <n v="4583.270833333333"/>
    <n v="6000"/>
    <n v="500"/>
    <n v="5083.270833333333"/>
    <n v="0"/>
    <n v="0"/>
    <n v="0"/>
    <n v="1"/>
    <n v="0"/>
    <n v="0"/>
    <n v="0"/>
    <n v="0"/>
    <n v="0"/>
    <n v="0"/>
    <n v="0"/>
    <n v="0"/>
  </r>
  <r>
    <s v="6PE223"/>
    <s v="Specialpedagogik - åk 7-9 och gymnasieskolan (UK)"/>
    <m/>
    <s v="LYAGY"/>
    <s v="H19"/>
    <s v="ht"/>
    <s v="H2117-20"/>
    <s v="Umeå"/>
    <m/>
    <s v="RELK"/>
    <m/>
    <n v="1"/>
    <n v="5"/>
    <m/>
    <m/>
    <n v="2"/>
    <n v="0.16666666666666666"/>
    <n v="0.85"/>
    <n v="0.14166666666666666"/>
    <x v="12"/>
    <s v="Pedagogik                     "/>
    <s v="Sam"/>
    <s v="Ämneslärarprogrammet - Gy"/>
    <n v="26554"/>
    <n v="33465"/>
    <n v="9166.5416666666661"/>
    <n v="6000"/>
    <n v="1000"/>
    <n v="10166.541666666666"/>
    <n v="0"/>
    <n v="0"/>
    <n v="0"/>
    <n v="1"/>
    <n v="0"/>
    <n v="0"/>
    <n v="0"/>
    <n v="0"/>
    <n v="0"/>
    <n v="0"/>
    <n v="0"/>
    <n v="0"/>
  </r>
  <r>
    <s v="6PE223"/>
    <s v="Specialpedagogik - åk 7-9 och gymnasieskolan (UK)"/>
    <m/>
    <s v="LYAGY"/>
    <s v="H19"/>
    <s v="ht"/>
    <s v="H2117-20"/>
    <s v="Umeå"/>
    <m/>
    <s v="SAMK"/>
    <m/>
    <n v="1"/>
    <n v="5"/>
    <m/>
    <m/>
    <n v="12"/>
    <n v="1"/>
    <n v="0.85"/>
    <n v="0.85"/>
    <x v="12"/>
    <s v="Pedagogik                     "/>
    <s v="Sam"/>
    <s v="Ämneslärarprogrammet - Gy"/>
    <n v="26554"/>
    <n v="33465"/>
    <n v="54999.25"/>
    <n v="6000"/>
    <n v="6000"/>
    <n v="60999.25"/>
    <n v="0"/>
    <n v="0"/>
    <n v="0"/>
    <n v="1"/>
    <n v="0"/>
    <n v="0"/>
    <n v="0"/>
    <n v="0"/>
    <n v="0"/>
    <n v="0"/>
    <n v="0"/>
    <n v="0"/>
  </r>
  <r>
    <s v="6PE223"/>
    <s v="Specialpedagogik - åk 7-9 och gymnasieskolan (UK)"/>
    <m/>
    <s v="LYAGY"/>
    <s v="H19"/>
    <s v="ht"/>
    <s v="H2117-20"/>
    <s v="Umeå"/>
    <m/>
    <s v="SVAA"/>
    <m/>
    <n v="1"/>
    <n v="5"/>
    <m/>
    <m/>
    <n v="8"/>
    <n v="0.66666666666666663"/>
    <n v="0.85"/>
    <n v="0.56666666666666665"/>
    <x v="12"/>
    <s v="Pedagogik                     "/>
    <s v="Sam"/>
    <s v="Ämneslärarprogrammet - Gy"/>
    <n v="26554"/>
    <n v="33465"/>
    <n v="36666.166666666664"/>
    <n v="6000"/>
    <n v="4000"/>
    <n v="40666.166666666664"/>
    <n v="0"/>
    <n v="0"/>
    <n v="0"/>
    <n v="1"/>
    <n v="0"/>
    <n v="0"/>
    <n v="0"/>
    <n v="0"/>
    <n v="0"/>
    <n v="0"/>
    <n v="0"/>
    <n v="0"/>
  </r>
  <r>
    <s v="6PE223"/>
    <s v="Specialpedagogik - åk 7-9 och gymnasieskolan (UK)"/>
    <m/>
    <s v="LYAGY"/>
    <s v="H19"/>
    <s v="ht"/>
    <s v="H2117-20"/>
    <s v="Umeå"/>
    <m/>
    <s v="SVAN"/>
    <m/>
    <n v="1"/>
    <n v="5"/>
    <m/>
    <m/>
    <n v="2"/>
    <n v="0.16666666666666666"/>
    <n v="0.85"/>
    <n v="0.14166666666666666"/>
    <x v="12"/>
    <s v="Pedagogik                     "/>
    <s v="Sam"/>
    <s v="Ämneslärarprogrammet - Gy"/>
    <n v="26554"/>
    <n v="33465"/>
    <n v="9166.5416666666661"/>
    <n v="6000"/>
    <n v="1000"/>
    <n v="10166.541666666666"/>
    <n v="0"/>
    <n v="0"/>
    <n v="0"/>
    <n v="1"/>
    <n v="0"/>
    <n v="0"/>
    <n v="0"/>
    <n v="0"/>
    <n v="0"/>
    <n v="0"/>
    <n v="0"/>
    <n v="0"/>
  </r>
  <r>
    <s v="6PE223"/>
    <s v="Specialpedagogik - åk 7-9 och gymnasieskolan (UK)"/>
    <m/>
    <s v="LYAGY"/>
    <s v="H19"/>
    <s v="ht"/>
    <s v="H2117-20"/>
    <s v="Umeå"/>
    <m/>
    <s v="TYSK"/>
    <m/>
    <n v="1"/>
    <n v="5"/>
    <m/>
    <m/>
    <n v="1"/>
    <n v="8.3333333333333329E-2"/>
    <n v="0.85"/>
    <n v="7.0833333333333331E-2"/>
    <x v="12"/>
    <s v="Pedagogik                     "/>
    <s v="Sam"/>
    <s v="Ämneslärarprogrammet - Gy"/>
    <n v="26554"/>
    <n v="33465"/>
    <n v="4583.270833333333"/>
    <n v="6000"/>
    <n v="500"/>
    <n v="5083.270833333333"/>
    <n v="0"/>
    <n v="0"/>
    <n v="0"/>
    <n v="1"/>
    <n v="0"/>
    <n v="0"/>
    <n v="0"/>
    <n v="0"/>
    <n v="0"/>
    <n v="0"/>
    <n v="0"/>
    <n v="0"/>
  </r>
  <r>
    <s v="6PE223"/>
    <s v="Specialpedagogik - åk 7-9 och gymnasieskolan (UK)"/>
    <m/>
    <s v="LYAGY"/>
    <s v="H20"/>
    <s v="ht"/>
    <s v="H2117-20"/>
    <s v="Umeå"/>
    <m/>
    <s v="BILÄ"/>
    <m/>
    <n v="1"/>
    <n v="5"/>
    <m/>
    <m/>
    <n v="1"/>
    <n v="8.3333333333333329E-2"/>
    <n v="0.85"/>
    <n v="7.0833333333333331E-2"/>
    <x v="12"/>
    <s v="Pedagogik                     "/>
    <s v="Sam"/>
    <s v="Ämneslärarprogrammet - Gy"/>
    <n v="26554"/>
    <n v="33465"/>
    <n v="4583.270833333333"/>
    <n v="6000"/>
    <n v="500"/>
    <n v="5083.270833333333"/>
    <n v="0"/>
    <n v="0"/>
    <n v="0"/>
    <n v="1"/>
    <n v="0"/>
    <n v="0"/>
    <n v="0"/>
    <n v="0"/>
    <n v="0"/>
    <n v="0"/>
    <n v="0"/>
    <n v="0"/>
  </r>
  <r>
    <s v="6PE223"/>
    <s v="Specialpedagogik - åk 7-9 och gymnasieskolan (UK)"/>
    <m/>
    <s v="LYAGY"/>
    <s v="V18"/>
    <s v="ht"/>
    <s v="H2117-20"/>
    <s v="Umeå"/>
    <m/>
    <s v="HIST"/>
    <m/>
    <n v="1"/>
    <n v="5"/>
    <m/>
    <m/>
    <n v="1"/>
    <n v="8.3333333333333329E-2"/>
    <n v="0.85"/>
    <n v="7.0833333333333331E-2"/>
    <x v="12"/>
    <s v="Pedagogik                     "/>
    <s v="Sam"/>
    <s v="Ämneslärarprogrammet - Gy"/>
    <n v="26554"/>
    <n v="33465"/>
    <n v="4583.270833333333"/>
    <n v="6000"/>
    <n v="500"/>
    <n v="5083.270833333333"/>
    <n v="0"/>
    <n v="0"/>
    <n v="0"/>
    <n v="1"/>
    <n v="0"/>
    <n v="0"/>
    <n v="0"/>
    <n v="0"/>
    <n v="0"/>
    <n v="0"/>
    <n v="0"/>
    <n v="0"/>
  </r>
  <r>
    <s v="6PE225"/>
    <s v="Utbildningsvetenskap, undervisning och lärande för grundskolan (UK)"/>
    <n v="64506"/>
    <s v="LYAGR"/>
    <m/>
    <s v="vt"/>
    <m/>
    <s v="Umeå"/>
    <s v="Normal"/>
    <s v="TXAL"/>
    <m/>
    <m/>
    <n v="8"/>
    <m/>
    <m/>
    <n v="1"/>
    <n v="0.13300000000000001"/>
    <n v="0.85"/>
    <n v="0.11305"/>
    <x v="12"/>
    <s v="Pedagogik                     "/>
    <s v="Sam"/>
    <s v="Ämneslärarprogrammet - åk 7-9"/>
    <n v="26554"/>
    <n v="33465"/>
    <n v="7314.9002500000006"/>
    <n v="6000"/>
    <n v="798"/>
    <n v="8112.9002500000006"/>
    <n v="0"/>
    <n v="0"/>
    <n v="0"/>
    <n v="1"/>
    <n v="0"/>
    <n v="0"/>
    <n v="0"/>
    <n v="0"/>
    <n v="0"/>
    <n v="0"/>
    <n v="0"/>
    <n v="0"/>
  </r>
  <r>
    <s v="6PE225"/>
    <s v="Utbildningsvetenskap, undervisning och lärande för grundskolan (UK)"/>
    <n v="64506"/>
    <s v="LYGFT"/>
    <m/>
    <s v="vt"/>
    <m/>
    <s v="Umeå"/>
    <s v="Normal"/>
    <m/>
    <m/>
    <m/>
    <n v="8"/>
    <m/>
    <m/>
    <n v="44"/>
    <n v="5.867"/>
    <n v="0.85"/>
    <n v="4.9869500000000002"/>
    <x v="12"/>
    <s v="Pedagogik                     "/>
    <s v="Sam"/>
    <s v="Grundlärarprogrammet - förskoleklass och åk 1-3"/>
    <n v="26554"/>
    <n v="33465"/>
    <n v="322680.59974999999"/>
    <n v="6000"/>
    <n v="35202"/>
    <n v="357882.59974999999"/>
    <n v="0"/>
    <n v="0"/>
    <n v="0"/>
    <n v="1"/>
    <n v="0"/>
    <n v="0"/>
    <n v="0"/>
    <n v="0"/>
    <n v="0"/>
    <n v="0"/>
    <n v="0"/>
    <n v="0"/>
  </r>
  <r>
    <s v="6PE225"/>
    <s v="Utbildningsvetenskap, undervisning och lärande för grundskolan (UK)"/>
    <n v="64506"/>
    <s v="LYGRM"/>
    <m/>
    <s v="vt"/>
    <m/>
    <s v="Umeå"/>
    <s v="Normal"/>
    <m/>
    <m/>
    <m/>
    <n v="8"/>
    <m/>
    <m/>
    <n v="21"/>
    <n v="2.8"/>
    <n v="0.85"/>
    <n v="2.38"/>
    <x v="12"/>
    <s v="Pedagogik                     "/>
    <s v="Sam"/>
    <s v="Grundlärarprogrammet - grundskolans åk 4-6"/>
    <n v="26554"/>
    <n v="33465"/>
    <n v="153997.9"/>
    <n v="6000"/>
    <n v="16800"/>
    <n v="170797.9"/>
    <n v="0"/>
    <n v="0"/>
    <n v="0"/>
    <n v="1"/>
    <n v="0"/>
    <n v="0"/>
    <n v="0"/>
    <n v="0"/>
    <n v="0"/>
    <n v="0"/>
    <n v="0"/>
    <n v="0"/>
  </r>
  <r>
    <s v="6PE226"/>
    <s v="Utbildningsvetenskap, undervisning och lärande - Ämneslärarprogrammet (UK)"/>
    <m/>
    <s v="LYAGR"/>
    <s v="H16"/>
    <s v="ht"/>
    <s v="H211-5"/>
    <s v="Umeå"/>
    <m/>
    <s v="TXBI"/>
    <m/>
    <n v="1"/>
    <n v="8"/>
    <m/>
    <m/>
    <n v="1"/>
    <n v="0.13333333333333333"/>
    <n v="0.85"/>
    <n v="0.11333333333333333"/>
    <x v="12"/>
    <s v="Pedagogik                     "/>
    <s v="Sam"/>
    <s v="Ämneslärarprogrammet - åk 7-9"/>
    <n v="26554"/>
    <n v="33465"/>
    <n v="7333.2333333333336"/>
    <n v="6000"/>
    <n v="800"/>
    <n v="8133.2333333333336"/>
    <n v="0"/>
    <n v="0"/>
    <n v="0"/>
    <n v="1"/>
    <n v="0"/>
    <n v="0"/>
    <n v="0"/>
    <n v="0"/>
    <n v="0"/>
    <n v="0"/>
    <n v="0"/>
    <n v="0"/>
  </r>
  <r>
    <s v="6PE226"/>
    <s v="Utbildningsvetenskap, undervisning och lärande - Ämneslärarprogrammet (UK)"/>
    <m/>
    <s v="LYAGY"/>
    <s v="H15"/>
    <s v="ht"/>
    <s v="H211-5"/>
    <s v="Umeå"/>
    <m/>
    <s v="IDRH"/>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5"/>
    <s v="ht"/>
    <s v="H211-5"/>
    <s v="Umeå"/>
    <m/>
    <s v="MATT"/>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8"/>
    <s v="ht"/>
    <s v="H211-5"/>
    <s v="Umeå"/>
    <m/>
    <s v="BILÄ"/>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8"/>
    <s v="ht"/>
    <s v="H211-5"/>
    <s v="Umeå"/>
    <m/>
    <s v="BIOL"/>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8"/>
    <s v="ht"/>
    <s v="H211-5"/>
    <s v="Umeå"/>
    <m/>
    <s v="ENGS"/>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8"/>
    <s v="ht"/>
    <s v="H211-5"/>
    <s v="Umeå"/>
    <m/>
    <s v="HIST"/>
    <m/>
    <n v="1"/>
    <n v="8"/>
    <m/>
    <m/>
    <n v="2"/>
    <n v="0.26666666666666666"/>
    <n v="0.85"/>
    <n v="0.22666666666666666"/>
    <x v="12"/>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8"/>
    <s v="ht"/>
    <s v="H211-5"/>
    <s v="Umeå"/>
    <m/>
    <s v="IDRH"/>
    <m/>
    <n v="1"/>
    <n v="8"/>
    <m/>
    <m/>
    <n v="2"/>
    <n v="0.26666666666666666"/>
    <n v="0.85"/>
    <n v="0.22666666666666666"/>
    <x v="12"/>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8"/>
    <s v="ht"/>
    <s v="H211-5"/>
    <s v="Umeå"/>
    <m/>
    <s v="MATT"/>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8"/>
    <s v="ht"/>
    <s v="H211-5"/>
    <s v="Umeå"/>
    <m/>
    <s v="RELK"/>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9"/>
    <s v="ht"/>
    <s v="H211-5"/>
    <s v="Umeå"/>
    <m/>
    <s v="BILÄ"/>
    <m/>
    <n v="1"/>
    <n v="8"/>
    <m/>
    <m/>
    <n v="2"/>
    <n v="0.26666666666666666"/>
    <n v="0.85"/>
    <n v="0.22666666666666666"/>
    <x v="12"/>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9"/>
    <s v="ht"/>
    <s v="H211-5"/>
    <s v="Umeå"/>
    <m/>
    <s v="BIOL"/>
    <m/>
    <n v="1"/>
    <n v="8"/>
    <m/>
    <m/>
    <n v="2"/>
    <n v="0.26666666666666666"/>
    <n v="0.85"/>
    <n v="0.22666666666666666"/>
    <x v="12"/>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9"/>
    <s v="ht"/>
    <s v="H211-5"/>
    <s v="Umeå"/>
    <m/>
    <s v="ENGS"/>
    <m/>
    <n v="1"/>
    <n v="8"/>
    <m/>
    <m/>
    <n v="12"/>
    <n v="1.6"/>
    <n v="0.85"/>
    <n v="1.36"/>
    <x v="12"/>
    <s v="Pedagogik                     "/>
    <s v="Sam"/>
    <s v="Ämneslärarprogrammet - Gy"/>
    <n v="26554"/>
    <n v="33465"/>
    <n v="87998.8"/>
    <n v="6000"/>
    <n v="9600"/>
    <n v="97598.8"/>
    <n v="0"/>
    <n v="0"/>
    <n v="0"/>
    <n v="1"/>
    <n v="0"/>
    <n v="0"/>
    <n v="0"/>
    <n v="0"/>
    <n v="0"/>
    <n v="0"/>
    <n v="0"/>
    <n v="0"/>
  </r>
  <r>
    <s v="6PE226"/>
    <s v="Utbildningsvetenskap, undervisning och lärande - Ämneslärarprogrammet (UK)"/>
    <m/>
    <s v="LYAGY"/>
    <s v="H19"/>
    <s v="ht"/>
    <s v="H211-5"/>
    <s v="Umeå"/>
    <m/>
    <s v="GEOG"/>
    <m/>
    <n v="1"/>
    <n v="8"/>
    <m/>
    <m/>
    <n v="2"/>
    <n v="0.26666666666666666"/>
    <n v="0.85"/>
    <n v="0.22666666666666666"/>
    <x v="12"/>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9"/>
    <s v="ht"/>
    <s v="H211-5"/>
    <s v="Umeå"/>
    <m/>
    <s v="HIST"/>
    <m/>
    <n v="1"/>
    <n v="8"/>
    <m/>
    <m/>
    <n v="17"/>
    <n v="2.2666666666666666"/>
    <n v="0.85"/>
    <n v="1.9266666666666665"/>
    <x v="12"/>
    <s v="Pedagogik                     "/>
    <s v="Sam"/>
    <s v="Ämneslärarprogrammet - Gy"/>
    <n v="26554"/>
    <n v="33465"/>
    <n v="124664.96666666666"/>
    <n v="6000"/>
    <n v="13600"/>
    <n v="138264.96666666667"/>
    <n v="0"/>
    <n v="0"/>
    <n v="0"/>
    <n v="1"/>
    <n v="0"/>
    <n v="0"/>
    <n v="0"/>
    <n v="0"/>
    <n v="0"/>
    <n v="0"/>
    <n v="0"/>
    <n v="0"/>
  </r>
  <r>
    <s v="6PE226"/>
    <s v="Utbildningsvetenskap, undervisning och lärande - Ämneslärarprogrammet (UK)"/>
    <m/>
    <s v="LYAGY"/>
    <s v="H19"/>
    <s v="ht"/>
    <s v="H211-5"/>
    <s v="Umeå"/>
    <m/>
    <s v="IDRH"/>
    <m/>
    <n v="1"/>
    <n v="8"/>
    <m/>
    <m/>
    <n v="18"/>
    <n v="2.4"/>
    <n v="0.85"/>
    <n v="2.04"/>
    <x v="12"/>
    <s v="Pedagogik                     "/>
    <s v="Sam"/>
    <s v="Ämneslärarprogrammet - Gy"/>
    <n v="26554"/>
    <n v="33465"/>
    <n v="131998.20000000001"/>
    <n v="6000"/>
    <n v="14400"/>
    <n v="146398.20000000001"/>
    <n v="0"/>
    <n v="0"/>
    <n v="0"/>
    <n v="1"/>
    <n v="0"/>
    <n v="0"/>
    <n v="0"/>
    <n v="0"/>
    <n v="0"/>
    <n v="0"/>
    <n v="0"/>
    <n v="0"/>
  </r>
  <r>
    <s v="6PE226"/>
    <s v="Utbildningsvetenskap, undervisning och lärande - Ämneslärarprogrammet (UK)"/>
    <m/>
    <s v="LYAGY"/>
    <s v="H19"/>
    <s v="ht"/>
    <s v="H211-5"/>
    <s v="Umeå"/>
    <m/>
    <s v="MATT"/>
    <m/>
    <n v="1"/>
    <n v="8"/>
    <m/>
    <m/>
    <n v="7"/>
    <n v="0.93333333333333335"/>
    <n v="0.85"/>
    <n v="0.79333333333333333"/>
    <x v="12"/>
    <s v="Pedagogik                     "/>
    <s v="Sam"/>
    <s v="Ämneslärarprogrammet - Gy"/>
    <n v="26554"/>
    <n v="33465"/>
    <n v="51332.633333333331"/>
    <n v="6000"/>
    <n v="5600"/>
    <n v="56932.633333333331"/>
    <n v="0"/>
    <n v="0"/>
    <n v="0"/>
    <n v="1"/>
    <n v="0"/>
    <n v="0"/>
    <n v="0"/>
    <n v="0"/>
    <n v="0"/>
    <n v="0"/>
    <n v="0"/>
    <n v="0"/>
  </r>
  <r>
    <s v="6PE226"/>
    <s v="Utbildningsvetenskap, undervisning och lärande - Ämneslärarprogrammet (UK)"/>
    <m/>
    <s v="LYAGY"/>
    <s v="H19"/>
    <s v="ht"/>
    <s v="H211-5"/>
    <s v="Umeå"/>
    <m/>
    <s v="NATU"/>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19"/>
    <s v="ht"/>
    <s v="H211-5"/>
    <s v="Umeå"/>
    <m/>
    <s v="RELK"/>
    <m/>
    <n v="1"/>
    <n v="8"/>
    <m/>
    <m/>
    <n v="2"/>
    <n v="0.26666666666666666"/>
    <n v="0.85"/>
    <n v="0.22666666666666666"/>
    <x v="12"/>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9"/>
    <s v="ht"/>
    <s v="H211-5"/>
    <s v="Umeå"/>
    <m/>
    <s v="SAMK"/>
    <m/>
    <n v="1"/>
    <n v="8"/>
    <m/>
    <m/>
    <n v="12"/>
    <n v="1.6"/>
    <n v="0.85"/>
    <n v="1.36"/>
    <x v="12"/>
    <s v="Pedagogik                     "/>
    <s v="Sam"/>
    <s v="Ämneslärarprogrammet - Gy"/>
    <n v="26554"/>
    <n v="33465"/>
    <n v="87998.8"/>
    <n v="6000"/>
    <n v="9600"/>
    <n v="97598.8"/>
    <n v="0"/>
    <n v="0"/>
    <n v="0"/>
    <n v="1"/>
    <n v="0"/>
    <n v="0"/>
    <n v="0"/>
    <n v="0"/>
    <n v="0"/>
    <n v="0"/>
    <n v="0"/>
    <n v="0"/>
  </r>
  <r>
    <s v="6PE226"/>
    <s v="Utbildningsvetenskap, undervisning och lärande - Ämneslärarprogrammet (UK)"/>
    <m/>
    <s v="LYAGY"/>
    <s v="H19"/>
    <s v="ht"/>
    <s v="H211-5"/>
    <s v="Umeå"/>
    <m/>
    <s v="SVAA"/>
    <m/>
    <n v="1"/>
    <n v="8"/>
    <m/>
    <m/>
    <n v="8"/>
    <n v="1.0666666666666667"/>
    <n v="0.85"/>
    <n v="0.90666666666666662"/>
    <x v="12"/>
    <s v="Pedagogik                     "/>
    <s v="Sam"/>
    <s v="Ämneslärarprogrammet - Gy"/>
    <n v="26554"/>
    <n v="33465"/>
    <n v="58665.866666666669"/>
    <n v="6000"/>
    <n v="6400"/>
    <n v="65065.866666666669"/>
    <n v="0"/>
    <n v="0"/>
    <n v="0"/>
    <n v="1"/>
    <n v="0"/>
    <n v="0"/>
    <n v="0"/>
    <n v="0"/>
    <n v="0"/>
    <n v="0"/>
    <n v="0"/>
    <n v="0"/>
  </r>
  <r>
    <s v="6PE226"/>
    <s v="Utbildningsvetenskap, undervisning och lärande - Ämneslärarprogrammet (UK)"/>
    <m/>
    <s v="LYAGY"/>
    <s v="H19"/>
    <s v="ht"/>
    <s v="H211-5"/>
    <s v="Umeå"/>
    <m/>
    <s v="SVAN"/>
    <m/>
    <n v="1"/>
    <n v="8"/>
    <m/>
    <m/>
    <n v="2"/>
    <n v="0.26666666666666666"/>
    <n v="0.85"/>
    <n v="0.22666666666666666"/>
    <x v="12"/>
    <s v="Pedagogik                     "/>
    <s v="Sam"/>
    <s v="Ämneslärarprogrammet - Gy"/>
    <n v="26554"/>
    <n v="33465"/>
    <n v="14666.466666666667"/>
    <n v="6000"/>
    <n v="1600"/>
    <n v="16266.466666666667"/>
    <n v="0"/>
    <n v="0"/>
    <n v="0"/>
    <n v="1"/>
    <n v="0"/>
    <n v="0"/>
    <n v="0"/>
    <n v="0"/>
    <n v="0"/>
    <n v="0"/>
    <n v="0"/>
    <n v="0"/>
  </r>
  <r>
    <s v="6PE226"/>
    <s v="Utbildningsvetenskap, undervisning och lärande - Ämneslärarprogrammet (UK)"/>
    <m/>
    <s v="LYAGY"/>
    <s v="H19"/>
    <s v="ht"/>
    <s v="H211-5"/>
    <s v="Umeå"/>
    <m/>
    <s v="TYSK"/>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H20"/>
    <s v="ht"/>
    <s v="H211-5"/>
    <s v="Umeå"/>
    <m/>
    <s v="BILÄ"/>
    <m/>
    <n v="1"/>
    <n v="8"/>
    <m/>
    <m/>
    <n v="1"/>
    <n v="0.13333333333333333"/>
    <n v="0.85"/>
    <n v="0.11333333333333333"/>
    <x v="12"/>
    <s v="Pedagogik                     "/>
    <s v="Sam"/>
    <s v="Ämneslärarprogrammet - Gy"/>
    <n v="26554"/>
    <n v="33465"/>
    <n v="7333.2333333333336"/>
    <n v="6000"/>
    <n v="800"/>
    <n v="8133.2333333333336"/>
    <n v="0"/>
    <n v="0"/>
    <n v="0"/>
    <n v="1"/>
    <n v="0"/>
    <n v="0"/>
    <n v="0"/>
    <n v="0"/>
    <n v="0"/>
    <n v="0"/>
    <n v="0"/>
    <n v="0"/>
  </r>
  <r>
    <s v="6PE226"/>
    <s v="Utbildningsvetenskap, undervisning och lärande - Ämneslärarprogrammet (UK)"/>
    <m/>
    <s v="LYAGY"/>
    <s v="V18"/>
    <s v="ht"/>
    <s v="H211-5"/>
    <s v="Umeå"/>
    <m/>
    <s v="HIST"/>
    <m/>
    <n v="1"/>
    <n v="8"/>
    <m/>
    <m/>
    <n v="1"/>
    <n v="0.13333333333333333"/>
    <n v="0.85"/>
    <n v="0.11333333333333333"/>
    <x v="12"/>
    <s v="Pedagogik                     "/>
    <s v="Sam"/>
    <s v="Ämneslärarprogrammet - Gy"/>
    <n v="26554"/>
    <n v="33465"/>
    <n v="7333.2333333333336"/>
    <n v="6000"/>
    <n v="800"/>
    <n v="8133.2333333333336"/>
    <n v="0"/>
    <n v="0"/>
    <n v="0"/>
    <n v="1"/>
    <n v="0"/>
    <n v="0"/>
    <n v="0"/>
    <n v="0"/>
    <n v="0"/>
    <n v="0"/>
    <n v="0"/>
    <n v="0"/>
  </r>
  <r>
    <s v="6PE228"/>
    <s v="Barnet, omvärlden och fritidshemmets uppdrag"/>
    <n v="68722"/>
    <s v="LYGFR"/>
    <m/>
    <s v="vt"/>
    <m/>
    <s v="Umeå"/>
    <s v="Normal"/>
    <m/>
    <m/>
    <m/>
    <n v="15"/>
    <m/>
    <m/>
    <n v="24"/>
    <n v="6"/>
    <n v="0.85"/>
    <n v="5.0999999999999996"/>
    <x v="13"/>
    <s v="TUV "/>
    <s v="Sam"/>
    <s v="Grundlärarprogrammet - fritidshem"/>
    <n v="20766"/>
    <n v="17442"/>
    <n v="213550.2"/>
    <n v="6000"/>
    <n v="36000"/>
    <n v="249550.2"/>
    <n v="0"/>
    <n v="0"/>
    <n v="0"/>
    <n v="0"/>
    <n v="0"/>
    <n v="0"/>
    <n v="1"/>
    <n v="0"/>
    <n v="0"/>
    <n v="0"/>
    <n v="0"/>
    <n v="0"/>
  </r>
  <r>
    <s v="6PE229"/>
    <s v="Läraryrkets dimensioner för fritidshem 1 (VFU)"/>
    <n v="68725"/>
    <s v="LYGFR"/>
    <m/>
    <s v="vt"/>
    <m/>
    <s v="Umeå"/>
    <s v="Normal"/>
    <m/>
    <m/>
    <m/>
    <n v="11"/>
    <m/>
    <m/>
    <n v="18"/>
    <n v="3.3"/>
    <n v="0.85"/>
    <n v="2.8049999999999997"/>
    <x v="13"/>
    <s v="TUV "/>
    <s v="Sam"/>
    <s v="Grundlärarprogrammet - fritidshem"/>
    <n v="25235"/>
    <n v="27976"/>
    <n v="161748.18"/>
    <n v="3600"/>
    <n v="11880"/>
    <n v="173628.18"/>
    <n v="0"/>
    <n v="0"/>
    <n v="0"/>
    <n v="0"/>
    <n v="0"/>
    <n v="0"/>
    <n v="0"/>
    <n v="0"/>
    <n v="1"/>
    <n v="0"/>
    <n v="0"/>
    <n v="0"/>
  </r>
  <r>
    <s v="6PE236"/>
    <s v="Bedömning för och av lärande i grundskolan (UK)"/>
    <n v="61903"/>
    <s v="LYAGR"/>
    <m/>
    <s v="vt"/>
    <m/>
    <s v="Umeå"/>
    <s v="Normal"/>
    <s v="TXAL"/>
    <m/>
    <m/>
    <n v="11"/>
    <m/>
    <m/>
    <n v="1"/>
    <n v="0.183"/>
    <n v="0.85"/>
    <n v="0.15554999999999999"/>
    <x v="7"/>
    <s v="NMD"/>
    <s v="TekNat"/>
    <s v="Ämneslärarprogrammet - åk 7-9"/>
    <n v="26554"/>
    <n v="33465"/>
    <n v="10064.86275"/>
    <n v="6000"/>
    <n v="1098"/>
    <n v="11162.86275"/>
    <n v="0"/>
    <n v="0"/>
    <n v="0"/>
    <n v="1"/>
    <n v="0"/>
    <n v="0"/>
    <n v="0"/>
    <n v="0"/>
    <n v="0"/>
    <n v="0"/>
    <n v="0"/>
    <n v="0"/>
  </r>
  <r>
    <s v="6PE236"/>
    <s v="Bedömning för och av lärande i grundskolan (UK)"/>
    <n v="61903"/>
    <s v="LYGFR"/>
    <m/>
    <s v="vt"/>
    <m/>
    <s v="Umeå"/>
    <s v="Normal"/>
    <m/>
    <m/>
    <m/>
    <n v="11"/>
    <m/>
    <m/>
    <n v="16"/>
    <n v="2.9329999999999998"/>
    <n v="0.85"/>
    <n v="2.4930499999999998"/>
    <x v="7"/>
    <s v="NMD"/>
    <s v="TekNat"/>
    <s v="Grundlärarprogrammet - fritidshem"/>
    <n v="26554"/>
    <n v="33465"/>
    <n v="161312.80024999997"/>
    <n v="6000"/>
    <n v="17598"/>
    <n v="178910.80024999997"/>
    <n v="0"/>
    <n v="0"/>
    <n v="0"/>
    <n v="1"/>
    <n v="0"/>
    <n v="0"/>
    <n v="0"/>
    <n v="0"/>
    <n v="0"/>
    <n v="0"/>
    <n v="0"/>
    <n v="0"/>
  </r>
  <r>
    <s v="6PE236"/>
    <s v="Bedömning för och av lärande i grundskolan (UK)"/>
    <n v="61903"/>
    <s v="LYGFT"/>
    <m/>
    <s v="vt"/>
    <m/>
    <s v="Umeå"/>
    <s v="Normal"/>
    <m/>
    <m/>
    <m/>
    <n v="11"/>
    <m/>
    <m/>
    <n v="44"/>
    <n v="8.0670000000000002"/>
    <n v="0.85"/>
    <n v="6.8569500000000003"/>
    <x v="7"/>
    <s v="NMD"/>
    <s v="TekNat"/>
    <s v="Grundlärarprogrammet - förskoleklass och åk 1-3"/>
    <n v="26554"/>
    <n v="33465"/>
    <n v="443678.94975000003"/>
    <n v="6000"/>
    <n v="48402"/>
    <n v="492080.94975000003"/>
    <n v="0"/>
    <n v="0"/>
    <n v="0"/>
    <n v="1"/>
    <n v="0"/>
    <n v="0"/>
    <n v="0"/>
    <n v="0"/>
    <n v="0"/>
    <n v="0"/>
    <n v="0"/>
    <n v="0"/>
  </r>
  <r>
    <s v="6PE236"/>
    <s v="Bedömning för och av lärande i grundskolan (UK)"/>
    <n v="61903"/>
    <s v="LYGRM"/>
    <m/>
    <s v="vt"/>
    <m/>
    <s v="Umeå"/>
    <s v="Normal"/>
    <m/>
    <m/>
    <m/>
    <n v="11"/>
    <m/>
    <m/>
    <n v="21"/>
    <n v="3.85"/>
    <n v="0.85"/>
    <n v="3.2725"/>
    <x v="7"/>
    <s v="NMD"/>
    <s v="TekNat"/>
    <s v="Grundlärarprogrammet - grundskolans åk 4-6"/>
    <n v="26554"/>
    <n v="33465"/>
    <n v="211747.11249999999"/>
    <n v="6000"/>
    <n v="23100"/>
    <n v="234847.11249999999"/>
    <n v="0"/>
    <n v="0"/>
    <n v="0"/>
    <n v="1"/>
    <n v="0"/>
    <n v="0"/>
    <n v="0"/>
    <n v="0"/>
    <n v="0"/>
    <n v="0"/>
    <n v="0"/>
    <n v="0"/>
  </r>
  <r>
    <s v="6PE237"/>
    <s v="Bedömning för lärande i förskolan (UK)"/>
    <m/>
    <s v="LYFSK"/>
    <s v="H16"/>
    <s v="ht"/>
    <s v="H2117-20:V221-3"/>
    <s v="Umeå"/>
    <s v="Campus"/>
    <m/>
    <m/>
    <n v="1"/>
    <n v="6"/>
    <m/>
    <m/>
    <n v="1"/>
    <n v="0.1"/>
    <n v="0.85"/>
    <n v="8.5000000000000006E-2"/>
    <x v="7"/>
    <s v="NMD"/>
    <s v="TekNat"/>
    <s v="Förskollärarprogrammet"/>
    <n v="26554"/>
    <n v="33465"/>
    <n v="5499.9250000000002"/>
    <n v="6000"/>
    <n v="600"/>
    <n v="6099.9250000000002"/>
    <n v="0"/>
    <n v="0"/>
    <n v="0"/>
    <n v="1"/>
    <n v="0"/>
    <n v="0"/>
    <n v="0"/>
    <n v="0"/>
    <n v="0"/>
    <n v="0"/>
    <n v="0"/>
    <n v="0"/>
  </r>
  <r>
    <s v="6PE237"/>
    <s v="Bedömning för lärande i förskolan (UK)"/>
    <m/>
    <s v="LYFSK"/>
    <s v="H19"/>
    <s v="ht"/>
    <s v="H2117-20:V221-3"/>
    <s v="Umeå"/>
    <s v="Campus"/>
    <m/>
    <m/>
    <n v="1"/>
    <n v="6"/>
    <m/>
    <m/>
    <n v="2"/>
    <n v="0.2"/>
    <n v="0.85"/>
    <n v="0.17"/>
    <x v="7"/>
    <s v="NMD"/>
    <s v="TekNat"/>
    <s v="Förskollärarprogrammet"/>
    <n v="26554"/>
    <n v="33465"/>
    <n v="10999.85"/>
    <n v="6000"/>
    <n v="1200"/>
    <n v="12199.85"/>
    <n v="0"/>
    <n v="0"/>
    <n v="0"/>
    <n v="1"/>
    <n v="0"/>
    <n v="0"/>
    <n v="0"/>
    <n v="0"/>
    <n v="0"/>
    <n v="0"/>
    <n v="0"/>
    <n v="0"/>
  </r>
  <r>
    <s v="6PE237"/>
    <s v="Bedömning för lärande i förskolan (UK)"/>
    <m/>
    <s v="LYFSK"/>
    <s v="H19"/>
    <s v="ht"/>
    <s v="V2117-20:H211-3"/>
    <s v="Umeå"/>
    <s v="Campus"/>
    <m/>
    <m/>
    <n v="1"/>
    <n v="4"/>
    <m/>
    <m/>
    <n v="37"/>
    <n v="2.4666666666666668"/>
    <n v="0.85"/>
    <n v="2.0966666666666667"/>
    <x v="7"/>
    <s v="NMD"/>
    <s v="TekNat"/>
    <s v="Förskollärarprogrammet"/>
    <n v="26554"/>
    <n v="33465"/>
    <n v="135664.81666666665"/>
    <n v="6000"/>
    <n v="14800"/>
    <n v="150464.81666666665"/>
    <n v="0"/>
    <n v="0"/>
    <n v="0"/>
    <n v="1"/>
    <n v="0"/>
    <n v="0"/>
    <n v="0"/>
    <n v="0"/>
    <n v="0"/>
    <n v="0"/>
    <n v="0"/>
    <n v="0"/>
  </r>
  <r>
    <s v="6PE237"/>
    <s v="Bedömning för lärande i förskolan (UK)"/>
    <m/>
    <s v="LYFSK"/>
    <s v="V16"/>
    <s v="ht"/>
    <s v="H2117-20:V221-3"/>
    <s v="Umeå"/>
    <s v="Campus"/>
    <m/>
    <m/>
    <n v="1"/>
    <n v="6"/>
    <m/>
    <m/>
    <n v="1"/>
    <n v="0.1"/>
    <n v="0.85"/>
    <n v="8.5000000000000006E-2"/>
    <x v="7"/>
    <s v="NMD"/>
    <s v="TekNat"/>
    <s v="Förskollärarprogrammet"/>
    <n v="26554"/>
    <n v="33465"/>
    <n v="5499.9250000000002"/>
    <n v="6000"/>
    <n v="600"/>
    <n v="6099.9250000000002"/>
    <n v="0"/>
    <n v="0"/>
    <n v="0"/>
    <n v="1"/>
    <n v="0"/>
    <n v="0"/>
    <n v="0"/>
    <n v="0"/>
    <n v="0"/>
    <n v="0"/>
    <n v="0"/>
    <n v="0"/>
  </r>
  <r>
    <s v="6PE237"/>
    <s v="Bedömning för lärande i förskolan (UK)"/>
    <m/>
    <s v="LYFSK"/>
    <s v="V19"/>
    <s v="ht"/>
    <s v="H2117-20:V221-3"/>
    <s v="Umeå"/>
    <s v="Campus"/>
    <m/>
    <m/>
    <n v="1"/>
    <n v="6"/>
    <m/>
    <m/>
    <n v="1"/>
    <n v="0.1"/>
    <n v="0.85"/>
    <n v="8.5000000000000006E-2"/>
    <x v="7"/>
    <s v="NMD"/>
    <s v="TekNat"/>
    <s v="Förskollärarprogrammet"/>
    <n v="26554"/>
    <n v="33465"/>
    <n v="5499.9250000000002"/>
    <n v="6000"/>
    <n v="600"/>
    <n v="6099.9250000000002"/>
    <n v="0"/>
    <n v="0"/>
    <n v="0"/>
    <n v="1"/>
    <n v="0"/>
    <n v="0"/>
    <n v="0"/>
    <n v="0"/>
    <n v="0"/>
    <n v="0"/>
    <n v="0"/>
    <n v="0"/>
  </r>
  <r>
    <s v="6PE237"/>
    <s v="Bedömning för lärande i förskolan (UK)"/>
    <m/>
    <s v="LYFSK"/>
    <s v="V20"/>
    <s v="ht"/>
    <s v="H2117-20:V221-3"/>
    <s v="Umeå"/>
    <s v="Campus"/>
    <m/>
    <m/>
    <n v="1"/>
    <n v="6"/>
    <m/>
    <m/>
    <n v="21"/>
    <n v="2.1"/>
    <n v="0.85"/>
    <n v="1.7849999999999999"/>
    <x v="7"/>
    <s v="NMD"/>
    <s v="TekNat"/>
    <s v="Förskollärarprogrammet"/>
    <n v="26554"/>
    <n v="33465"/>
    <n v="115498.42499999999"/>
    <n v="6000"/>
    <n v="12600"/>
    <n v="128098.42499999999"/>
    <n v="0"/>
    <n v="0"/>
    <n v="0"/>
    <n v="1"/>
    <n v="0"/>
    <n v="0"/>
    <n v="0"/>
    <n v="0"/>
    <n v="0"/>
    <n v="0"/>
    <n v="0"/>
    <n v="0"/>
  </r>
  <r>
    <s v="6PE237"/>
    <s v="Bedömning för lärande i förskolan (UK)"/>
    <m/>
    <s v="LYFSK"/>
    <s v="V20"/>
    <s v="ht"/>
    <s v="V2117-20:H211-3"/>
    <s v="Umeå"/>
    <s v="Campus"/>
    <m/>
    <m/>
    <n v="1"/>
    <n v="4"/>
    <m/>
    <m/>
    <n v="1"/>
    <n v="6.6666666666666666E-2"/>
    <n v="0.85"/>
    <n v="5.6666666666666664E-2"/>
    <x v="7"/>
    <s v="NMD"/>
    <s v="TekNat"/>
    <s v="Förskollärarprogrammet"/>
    <n v="26554"/>
    <n v="33465"/>
    <n v="3666.6166666666668"/>
    <n v="6000"/>
    <n v="400"/>
    <n v="4066.6166666666668"/>
    <n v="0"/>
    <n v="0"/>
    <n v="0"/>
    <n v="1"/>
    <n v="0"/>
    <n v="0"/>
    <n v="0"/>
    <n v="0"/>
    <n v="0"/>
    <n v="0"/>
    <n v="0"/>
    <n v="0"/>
  </r>
  <r>
    <s v="6PE237"/>
    <s v="Bedömning för lärande i förskolan (UK)"/>
    <n v="61818"/>
    <s v="LYFSK"/>
    <m/>
    <s v="vt"/>
    <m/>
    <s v="Umeå"/>
    <s v="Normal"/>
    <m/>
    <m/>
    <m/>
    <n v="4"/>
    <m/>
    <m/>
    <n v="13"/>
    <n v="0.86699999999999999"/>
    <n v="0.85"/>
    <n v="0.73694999999999999"/>
    <x v="7"/>
    <s v="NMD"/>
    <s v="TekNat"/>
    <s v="Förskollärarprogrammet"/>
    <n v="26554"/>
    <n v="33465"/>
    <n v="47684.349749999994"/>
    <n v="6000"/>
    <n v="5202"/>
    <n v="52886.349749999994"/>
    <n v="0"/>
    <n v="0"/>
    <n v="0"/>
    <n v="1"/>
    <n v="0"/>
    <n v="0"/>
    <n v="0"/>
    <n v="0"/>
    <n v="0"/>
    <n v="0"/>
    <n v="0"/>
    <n v="0"/>
  </r>
  <r>
    <s v="6PE237"/>
    <s v="Bedömning för lärande i förskolan (UK)"/>
    <n v="61902"/>
    <s v="LYFSK"/>
    <m/>
    <s v="vt"/>
    <m/>
    <s v="Umeå"/>
    <s v="Normal"/>
    <m/>
    <m/>
    <m/>
    <n v="6"/>
    <m/>
    <m/>
    <n v="38"/>
    <n v="3.8"/>
    <n v="0.85"/>
    <n v="3.23"/>
    <x v="7"/>
    <s v="NMD"/>
    <s v="TekNat"/>
    <s v="Förskollärarprogrammet"/>
    <n v="26554"/>
    <n v="33465"/>
    <n v="208997.15"/>
    <n v="6000"/>
    <n v="22800"/>
    <n v="231797.15"/>
    <n v="0"/>
    <n v="0"/>
    <n v="0"/>
    <n v="1"/>
    <n v="0"/>
    <n v="0"/>
    <n v="0"/>
    <n v="0"/>
    <n v="0"/>
    <n v="0"/>
    <n v="0"/>
    <n v="0"/>
  </r>
  <r>
    <s v="6PE238"/>
    <s v="Bedömning för och av lärande för åk 7-9 och gymnasium (UK)"/>
    <m/>
    <s v="LYAGR"/>
    <s v="H16"/>
    <s v="ht"/>
    <s v="H216-12"/>
    <s v="Umeå"/>
    <m/>
    <s v="TXBI"/>
    <m/>
    <n v="1"/>
    <n v="11"/>
    <m/>
    <m/>
    <n v="1"/>
    <n v="0.18333333333333332"/>
    <n v="0.85"/>
    <n v="0.15583333333333332"/>
    <x v="7"/>
    <s v="NMD"/>
    <s v="TekNat"/>
    <s v="Ämneslärarprogrammet - åk 7-9"/>
    <n v="26554"/>
    <n v="33465"/>
    <n v="10083.195833333331"/>
    <n v="6000"/>
    <n v="1100"/>
    <n v="11183.195833333331"/>
    <n v="0"/>
    <n v="0"/>
    <n v="0"/>
    <n v="1"/>
    <n v="0"/>
    <n v="0"/>
    <n v="0"/>
    <n v="0"/>
    <n v="0"/>
    <n v="0"/>
    <n v="0"/>
    <n v="0"/>
  </r>
  <r>
    <s v="6PE238"/>
    <s v="Bedömning för och av lärande för åk 7-9 och gymnasium (UK)"/>
    <m/>
    <s v="LYAGY"/>
    <s v="H15"/>
    <s v="ht"/>
    <s v="H216-12"/>
    <s v="Umeå"/>
    <m/>
    <s v="IDRH"/>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H15"/>
    <s v="ht"/>
    <s v="H216-12"/>
    <s v="Umeå"/>
    <m/>
    <s v="MATT"/>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H18"/>
    <s v="ht"/>
    <s v="H216-12"/>
    <s v="Umeå"/>
    <m/>
    <s v="BILÄ"/>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H18"/>
    <s v="ht"/>
    <s v="H216-12"/>
    <s v="Umeå"/>
    <m/>
    <s v="BIOL"/>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H18"/>
    <s v="ht"/>
    <s v="H216-12"/>
    <s v="Umeå"/>
    <m/>
    <s v="ENGS"/>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H18"/>
    <s v="ht"/>
    <s v="H216-12"/>
    <s v="Umeå"/>
    <m/>
    <s v="HIST"/>
    <m/>
    <n v="1"/>
    <n v="11"/>
    <m/>
    <m/>
    <n v="2"/>
    <n v="0.36666666666666664"/>
    <n v="0.85"/>
    <n v="0.31166666666666665"/>
    <x v="7"/>
    <s v="NMD"/>
    <s v="TekNat"/>
    <s v="Ämneslärarprogrammet - Gy"/>
    <n v="26554"/>
    <n v="33465"/>
    <n v="20166.391666666663"/>
    <n v="6000"/>
    <n v="2200"/>
    <n v="22366.391666666663"/>
    <n v="0"/>
    <n v="0"/>
    <n v="0"/>
    <n v="1"/>
    <n v="0"/>
    <n v="0"/>
    <n v="0"/>
    <n v="0"/>
    <n v="0"/>
    <n v="0"/>
    <n v="0"/>
    <n v="0"/>
  </r>
  <r>
    <s v="6PE238"/>
    <s v="Bedömning för och av lärande för åk 7-9 och gymnasium (UK)"/>
    <m/>
    <s v="LYAGY"/>
    <s v="H18"/>
    <s v="ht"/>
    <s v="H216-12"/>
    <s v="Umeå"/>
    <m/>
    <s v="IDRH"/>
    <m/>
    <n v="1"/>
    <n v="11"/>
    <m/>
    <m/>
    <n v="2"/>
    <n v="0.36666666666666664"/>
    <n v="0.85"/>
    <n v="0.31166666666666665"/>
    <x v="7"/>
    <s v="NMD"/>
    <s v="TekNat"/>
    <s v="Ämneslärarprogrammet - Gy"/>
    <n v="26554"/>
    <n v="33465"/>
    <n v="20166.391666666663"/>
    <n v="6000"/>
    <n v="2200"/>
    <n v="22366.391666666663"/>
    <n v="0"/>
    <n v="0"/>
    <n v="0"/>
    <n v="1"/>
    <n v="0"/>
    <n v="0"/>
    <n v="0"/>
    <n v="0"/>
    <n v="0"/>
    <n v="0"/>
    <n v="0"/>
    <n v="0"/>
  </r>
  <r>
    <s v="6PE238"/>
    <s v="Bedömning för och av lärande för åk 7-9 och gymnasium (UK)"/>
    <m/>
    <s v="LYAGY"/>
    <s v="H18"/>
    <s v="ht"/>
    <s v="H216-12"/>
    <s v="Umeå"/>
    <m/>
    <s v="MATT"/>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H18"/>
    <s v="ht"/>
    <s v="H216-12"/>
    <s v="Umeå"/>
    <m/>
    <s v="RELK"/>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H19"/>
    <s v="ht"/>
    <s v="H216-12"/>
    <s v="Umeå"/>
    <m/>
    <s v="BILÄ"/>
    <m/>
    <n v="1"/>
    <n v="11"/>
    <m/>
    <m/>
    <n v="2"/>
    <n v="0.36666666666666664"/>
    <n v="0.85"/>
    <n v="0.31166666666666665"/>
    <x v="7"/>
    <s v="NMD"/>
    <s v="TekNat"/>
    <s v="Ämneslärarprogrammet - Gy"/>
    <n v="26554"/>
    <n v="33465"/>
    <n v="20166.391666666663"/>
    <n v="6000"/>
    <n v="2200"/>
    <n v="22366.391666666663"/>
    <n v="0"/>
    <n v="0"/>
    <n v="0"/>
    <n v="1"/>
    <n v="0"/>
    <n v="0"/>
    <n v="0"/>
    <n v="0"/>
    <n v="0"/>
    <n v="0"/>
    <n v="0"/>
    <n v="0"/>
  </r>
  <r>
    <s v="6PE238"/>
    <s v="Bedömning för och av lärande för åk 7-9 och gymnasium (UK)"/>
    <m/>
    <s v="LYAGY"/>
    <s v="H19"/>
    <s v="ht"/>
    <s v="H216-12"/>
    <s v="Umeå"/>
    <m/>
    <s v="BIOL"/>
    <m/>
    <n v="1"/>
    <n v="11"/>
    <m/>
    <m/>
    <n v="2"/>
    <n v="0.36666666666666664"/>
    <n v="0.85"/>
    <n v="0.31166666666666665"/>
    <x v="7"/>
    <s v="NMD"/>
    <s v="TekNat"/>
    <s v="Ämneslärarprogrammet - Gy"/>
    <n v="26554"/>
    <n v="33465"/>
    <n v="20166.391666666663"/>
    <n v="6000"/>
    <n v="2200"/>
    <n v="22366.391666666663"/>
    <n v="0"/>
    <n v="0"/>
    <n v="0"/>
    <n v="1"/>
    <n v="0"/>
    <n v="0"/>
    <n v="0"/>
    <n v="0"/>
    <n v="0"/>
    <n v="0"/>
    <n v="0"/>
    <n v="0"/>
  </r>
  <r>
    <s v="6PE238"/>
    <s v="Bedömning för och av lärande för åk 7-9 och gymnasium (UK)"/>
    <m/>
    <s v="LYAGY"/>
    <s v="H19"/>
    <s v="ht"/>
    <s v="H216-12"/>
    <s v="Umeå"/>
    <m/>
    <s v="ENGS"/>
    <m/>
    <n v="1"/>
    <n v="11"/>
    <m/>
    <m/>
    <n v="12"/>
    <n v="2.1999999999999997"/>
    <n v="0.85"/>
    <n v="1.8699999999999997"/>
    <x v="7"/>
    <s v="NMD"/>
    <s v="TekNat"/>
    <s v="Ämneslärarprogrammet - Gy"/>
    <n v="26554"/>
    <n v="33465"/>
    <n v="120998.34999999998"/>
    <n v="6000"/>
    <n v="13199.999999999998"/>
    <n v="134198.34999999998"/>
    <n v="0"/>
    <n v="0"/>
    <n v="0"/>
    <n v="1"/>
    <n v="0"/>
    <n v="0"/>
    <n v="0"/>
    <n v="0"/>
    <n v="0"/>
    <n v="0"/>
    <n v="0"/>
    <n v="0"/>
  </r>
  <r>
    <s v="6PE238"/>
    <s v="Bedömning för och av lärande för åk 7-9 och gymnasium (UK)"/>
    <m/>
    <s v="LYAGY"/>
    <s v="H19"/>
    <s v="ht"/>
    <s v="H216-12"/>
    <s v="Umeå"/>
    <m/>
    <s v="GEOG"/>
    <m/>
    <n v="1"/>
    <n v="11"/>
    <m/>
    <m/>
    <n v="2"/>
    <n v="0.36666666666666664"/>
    <n v="0.85"/>
    <n v="0.31166666666666665"/>
    <x v="7"/>
    <s v="NMD"/>
    <s v="TekNat"/>
    <s v="Ämneslärarprogrammet - Gy"/>
    <n v="26554"/>
    <n v="33465"/>
    <n v="20166.391666666663"/>
    <n v="6000"/>
    <n v="2200"/>
    <n v="22366.391666666663"/>
    <n v="0"/>
    <n v="0"/>
    <n v="0"/>
    <n v="1"/>
    <n v="0"/>
    <n v="0"/>
    <n v="0"/>
    <n v="0"/>
    <n v="0"/>
    <n v="0"/>
    <n v="0"/>
    <n v="0"/>
  </r>
  <r>
    <s v="6PE238"/>
    <s v="Bedömning för och av lärande för åk 7-9 och gymnasium (UK)"/>
    <m/>
    <s v="LYAGY"/>
    <s v="H19"/>
    <s v="ht"/>
    <s v="H216-12"/>
    <s v="Umeå"/>
    <m/>
    <s v="HIST"/>
    <m/>
    <n v="1"/>
    <n v="11"/>
    <m/>
    <m/>
    <n v="17"/>
    <n v="3.1166666666666663"/>
    <n v="0.85"/>
    <n v="2.6491666666666664"/>
    <x v="7"/>
    <s v="NMD"/>
    <s v="TekNat"/>
    <s v="Ämneslärarprogrammet - Gy"/>
    <n v="26554"/>
    <n v="33465"/>
    <n v="171414.32916666666"/>
    <n v="6000"/>
    <n v="18699.999999999996"/>
    <n v="190114.32916666666"/>
    <n v="0"/>
    <n v="0"/>
    <n v="0"/>
    <n v="1"/>
    <n v="0"/>
    <n v="0"/>
    <n v="0"/>
    <n v="0"/>
    <n v="0"/>
    <n v="0"/>
    <n v="0"/>
    <n v="0"/>
  </r>
  <r>
    <s v="6PE238"/>
    <s v="Bedömning för och av lärande för åk 7-9 och gymnasium (UK)"/>
    <m/>
    <s v="LYAGY"/>
    <s v="H19"/>
    <s v="ht"/>
    <s v="H216-12"/>
    <s v="Umeå"/>
    <m/>
    <s v="IDRH"/>
    <m/>
    <n v="1"/>
    <n v="11"/>
    <m/>
    <m/>
    <n v="18"/>
    <n v="3.3"/>
    <n v="0.85"/>
    <n v="2.8049999999999997"/>
    <x v="7"/>
    <s v="NMD"/>
    <s v="TekNat"/>
    <s v="Ämneslärarprogrammet - Gy"/>
    <n v="26554"/>
    <n v="33465"/>
    <n v="181497.52499999999"/>
    <n v="6000"/>
    <n v="19800"/>
    <n v="201297.52499999999"/>
    <n v="0"/>
    <n v="0"/>
    <n v="0"/>
    <n v="1"/>
    <n v="0"/>
    <n v="0"/>
    <n v="0"/>
    <n v="0"/>
    <n v="0"/>
    <n v="0"/>
    <n v="0"/>
    <n v="0"/>
  </r>
  <r>
    <s v="6PE238"/>
    <s v="Bedömning för och av lärande för åk 7-9 och gymnasium (UK)"/>
    <m/>
    <s v="LYAGY"/>
    <s v="H19"/>
    <s v="ht"/>
    <s v="H216-12"/>
    <s v="Umeå"/>
    <m/>
    <s v="MATT"/>
    <m/>
    <n v="1"/>
    <n v="11"/>
    <m/>
    <m/>
    <n v="7"/>
    <n v="1.2833333333333332"/>
    <n v="0.85"/>
    <n v="1.0908333333333331"/>
    <x v="7"/>
    <s v="NMD"/>
    <s v="TekNat"/>
    <s v="Ämneslärarprogrammet - Gy"/>
    <n v="26554"/>
    <n v="33465"/>
    <n v="70582.37083333332"/>
    <n v="6000"/>
    <n v="7699.9999999999991"/>
    <n v="78282.37083333332"/>
    <n v="0"/>
    <n v="0"/>
    <n v="0"/>
    <n v="1"/>
    <n v="0"/>
    <n v="0"/>
    <n v="0"/>
    <n v="0"/>
    <n v="0"/>
    <n v="0"/>
    <n v="0"/>
    <n v="0"/>
  </r>
  <r>
    <s v="6PE238"/>
    <s v="Bedömning för och av lärande för åk 7-9 och gymnasium (UK)"/>
    <m/>
    <s v="LYAGY"/>
    <s v="H19"/>
    <s v="ht"/>
    <s v="H216-12"/>
    <s v="Umeå"/>
    <m/>
    <s v="NATU"/>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H19"/>
    <s v="ht"/>
    <s v="H216-12"/>
    <s v="Umeå"/>
    <m/>
    <s v="RELK"/>
    <m/>
    <n v="1"/>
    <n v="11"/>
    <m/>
    <m/>
    <n v="2"/>
    <n v="0.36666666666666664"/>
    <n v="0.85"/>
    <n v="0.31166666666666665"/>
    <x v="7"/>
    <s v="NMD"/>
    <s v="TekNat"/>
    <s v="Ämneslärarprogrammet - Gy"/>
    <n v="26554"/>
    <n v="33465"/>
    <n v="20166.391666666663"/>
    <n v="6000"/>
    <n v="2200"/>
    <n v="22366.391666666663"/>
    <n v="0"/>
    <n v="0"/>
    <n v="0"/>
    <n v="1"/>
    <n v="0"/>
    <n v="0"/>
    <n v="0"/>
    <n v="0"/>
    <n v="0"/>
    <n v="0"/>
    <n v="0"/>
    <n v="0"/>
  </r>
  <r>
    <s v="6PE238"/>
    <s v="Bedömning för och av lärande för åk 7-9 och gymnasium (UK)"/>
    <m/>
    <s v="LYAGY"/>
    <s v="H19"/>
    <s v="ht"/>
    <s v="H216-12"/>
    <s v="Umeå"/>
    <m/>
    <s v="SAMK"/>
    <m/>
    <n v="1"/>
    <n v="11"/>
    <m/>
    <m/>
    <n v="12"/>
    <n v="2.1999999999999997"/>
    <n v="0.85"/>
    <n v="1.8699999999999997"/>
    <x v="7"/>
    <s v="NMD"/>
    <s v="TekNat"/>
    <s v="Ämneslärarprogrammet - Gy"/>
    <n v="26554"/>
    <n v="33465"/>
    <n v="120998.34999999998"/>
    <n v="6000"/>
    <n v="13199.999999999998"/>
    <n v="134198.34999999998"/>
    <n v="0"/>
    <n v="0"/>
    <n v="0"/>
    <n v="1"/>
    <n v="0"/>
    <n v="0"/>
    <n v="0"/>
    <n v="0"/>
    <n v="0"/>
    <n v="0"/>
    <n v="0"/>
    <n v="0"/>
  </r>
  <r>
    <s v="6PE238"/>
    <s v="Bedömning för och av lärande för åk 7-9 och gymnasium (UK)"/>
    <m/>
    <s v="LYAGY"/>
    <s v="H19"/>
    <s v="ht"/>
    <s v="H216-12"/>
    <s v="Umeå"/>
    <m/>
    <s v="SVAA"/>
    <m/>
    <n v="1"/>
    <n v="11"/>
    <m/>
    <m/>
    <n v="8"/>
    <n v="1.4666666666666666"/>
    <n v="0.85"/>
    <n v="1.2466666666666666"/>
    <x v="7"/>
    <s v="NMD"/>
    <s v="TekNat"/>
    <s v="Ämneslärarprogrammet - Gy"/>
    <n v="26554"/>
    <n v="33465"/>
    <n v="80665.566666666651"/>
    <n v="6000"/>
    <n v="8800"/>
    <n v="89465.566666666651"/>
    <n v="0"/>
    <n v="0"/>
    <n v="0"/>
    <n v="1"/>
    <n v="0"/>
    <n v="0"/>
    <n v="0"/>
    <n v="0"/>
    <n v="0"/>
    <n v="0"/>
    <n v="0"/>
    <n v="0"/>
  </r>
  <r>
    <s v="6PE238"/>
    <s v="Bedömning för och av lärande för åk 7-9 och gymnasium (UK)"/>
    <m/>
    <s v="LYAGY"/>
    <s v="H19"/>
    <s v="ht"/>
    <s v="H216-12"/>
    <s v="Umeå"/>
    <m/>
    <s v="SVAN"/>
    <m/>
    <n v="1"/>
    <n v="11"/>
    <m/>
    <m/>
    <n v="2"/>
    <n v="0.36666666666666664"/>
    <n v="0.85"/>
    <n v="0.31166666666666665"/>
    <x v="7"/>
    <s v="NMD"/>
    <s v="TekNat"/>
    <s v="Ämneslärarprogrammet - Gy"/>
    <n v="26554"/>
    <n v="33465"/>
    <n v="20166.391666666663"/>
    <n v="6000"/>
    <n v="2200"/>
    <n v="22366.391666666663"/>
    <n v="0"/>
    <n v="0"/>
    <n v="0"/>
    <n v="1"/>
    <n v="0"/>
    <n v="0"/>
    <n v="0"/>
    <n v="0"/>
    <n v="0"/>
    <n v="0"/>
    <n v="0"/>
    <n v="0"/>
  </r>
  <r>
    <s v="6PE238"/>
    <s v="Bedömning för och av lärande för åk 7-9 och gymnasium (UK)"/>
    <m/>
    <s v="LYAGY"/>
    <s v="H19"/>
    <s v="ht"/>
    <s v="H216-12"/>
    <s v="Umeå"/>
    <m/>
    <s v="TYSK"/>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H20"/>
    <s v="ht"/>
    <s v="H216-12"/>
    <s v="Umeå"/>
    <m/>
    <s v="BILÄ"/>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V18"/>
    <s v="ht"/>
    <s v="H216-12"/>
    <s v="Umeå"/>
    <m/>
    <s v="HIST"/>
    <m/>
    <n v="1"/>
    <n v="11"/>
    <m/>
    <m/>
    <n v="1"/>
    <n v="0.18333333333333332"/>
    <n v="0.85"/>
    <n v="0.15583333333333332"/>
    <x v="7"/>
    <s v="NMD"/>
    <s v="TekNat"/>
    <s v="Ämneslärarprogrammet - Gy"/>
    <n v="26554"/>
    <n v="33465"/>
    <n v="10083.195833333331"/>
    <n v="6000"/>
    <n v="1100"/>
    <n v="11183.195833333331"/>
    <n v="0"/>
    <n v="0"/>
    <n v="0"/>
    <n v="1"/>
    <n v="0"/>
    <n v="0"/>
    <n v="0"/>
    <n v="0"/>
    <n v="0"/>
    <n v="0"/>
    <n v="0"/>
    <n v="0"/>
  </r>
  <r>
    <s v="6PE238"/>
    <s v="Bedömning för och av lärande för åk 7-9 och gymnasium (UK)"/>
    <m/>
    <s v="LYAGY"/>
    <s v="V21"/>
    <s v="ht"/>
    <s v="H216-12"/>
    <s v="Umeå"/>
    <m/>
    <s v="MATT"/>
    <m/>
    <n v="1"/>
    <n v="11"/>
    <m/>
    <m/>
    <n v="1"/>
    <n v="0.18333333333333332"/>
    <n v="0.85"/>
    <n v="0.15583333333333332"/>
    <x v="7"/>
    <s v="NMD"/>
    <s v="TekNat"/>
    <s v="Ämneslärarprogrammet - Gy"/>
    <n v="26554"/>
    <n v="33465"/>
    <n v="10083.195833333331"/>
    <n v="6000"/>
    <n v="1100"/>
    <n v="11183.195833333331"/>
    <n v="0"/>
    <n v="0"/>
    <n v="0"/>
    <n v="1"/>
    <n v="0"/>
    <n v="0"/>
    <n v="0"/>
    <n v="0"/>
    <n v="0"/>
    <n v="0"/>
    <n v="0"/>
    <n v="0"/>
  </r>
  <r>
    <s v="6PE241"/>
    <s v="Magisteruppsats i Pedagogisk yrkesverksamhet"/>
    <m/>
    <s v="FRIST"/>
    <m/>
    <s v="ht"/>
    <m/>
    <m/>
    <s v="Distans"/>
    <m/>
    <m/>
    <n v="0.5"/>
    <n v="15"/>
    <m/>
    <m/>
    <n v="30"/>
    <n v="7.5"/>
    <n v="0.8"/>
    <n v="6"/>
    <x v="13"/>
    <s v="TUV "/>
    <s v="Sam"/>
    <s v="Fristående och övriga kurser"/>
    <n v="20766"/>
    <n v="17442"/>
    <n v="260397"/>
    <n v="6000"/>
    <n v="45000"/>
    <n v="305397"/>
    <n v="0"/>
    <n v="0"/>
    <n v="0"/>
    <n v="0"/>
    <n v="0"/>
    <n v="0"/>
    <n v="1"/>
    <n v="0"/>
    <n v="0"/>
    <n v="0"/>
    <n v="0"/>
    <n v="0"/>
  </r>
  <r>
    <s v="6PE242"/>
    <s v="Magisteruppsats i Pedagogisk yrkesverksamhet"/>
    <n v="68629"/>
    <s v="FRIST"/>
    <m/>
    <s v="vt"/>
    <m/>
    <s v="Umeå"/>
    <s v="Distans"/>
    <m/>
    <m/>
    <m/>
    <n v="15"/>
    <m/>
    <m/>
    <n v="6"/>
    <n v="1.5"/>
    <n v="0.8"/>
    <n v="1.2000000000000002"/>
    <x v="13"/>
    <s v="TUV "/>
    <s v="Sam"/>
    <s v="Fristående och övriga kurser"/>
    <n v="20766"/>
    <n v="17442"/>
    <n v="52079.4"/>
    <n v="6000"/>
    <n v="9000"/>
    <n v="61079.4"/>
    <n v="0"/>
    <n v="0"/>
    <n v="0"/>
    <n v="0"/>
    <n v="0"/>
    <n v="0"/>
    <n v="1"/>
    <n v="0"/>
    <n v="0"/>
    <n v="0"/>
    <n v="0"/>
    <n v="0"/>
  </r>
  <r>
    <s v="6PE242"/>
    <s v="Magisteruppsats i Pedagogisk yrkesverksamhet"/>
    <m/>
    <s v="FRIST"/>
    <m/>
    <s v="ht"/>
    <m/>
    <m/>
    <s v="Distans"/>
    <m/>
    <m/>
    <n v="1"/>
    <n v="30"/>
    <m/>
    <m/>
    <n v="30"/>
    <n v="15"/>
    <n v="0.8"/>
    <n v="12"/>
    <x v="13"/>
    <s v="TUV "/>
    <s v="Sam"/>
    <s v="Fristående och övriga kurser"/>
    <n v="20766"/>
    <n v="17442"/>
    <n v="520794"/>
    <n v="6000"/>
    <n v="90000"/>
    <n v="610794"/>
    <n v="0"/>
    <n v="0"/>
    <n v="0"/>
    <n v="0"/>
    <n v="0"/>
    <n v="0"/>
    <n v="1"/>
    <n v="0"/>
    <n v="0"/>
    <n v="0"/>
    <n v="0"/>
    <n v="0"/>
  </r>
  <r>
    <s v="6PE243"/>
    <s v="Trygga lärmiljöer, identitet och intersektionalitet"/>
    <m/>
    <s v="FRIST"/>
    <m/>
    <s v="ht"/>
    <m/>
    <m/>
    <s v="Distans"/>
    <m/>
    <m/>
    <n v="0.5"/>
    <n v="15"/>
    <m/>
    <m/>
    <n v="40"/>
    <n v="10"/>
    <n v="0.8"/>
    <n v="8"/>
    <x v="13"/>
    <s v="TUV "/>
    <s v="Sam"/>
    <s v="Fristående och övriga kurser"/>
    <n v="20766"/>
    <n v="17442"/>
    <n v="347196"/>
    <n v="6000"/>
    <n v="60000"/>
    <n v="407196"/>
    <n v="0"/>
    <n v="0"/>
    <n v="0"/>
    <n v="0"/>
    <n v="0"/>
    <n v="0"/>
    <n v="1"/>
    <n v="0"/>
    <n v="0"/>
    <n v="0"/>
    <n v="0"/>
    <n v="0"/>
  </r>
  <r>
    <s v="6PE244"/>
    <s v="Normkritisk genuspedagogik"/>
    <m/>
    <s v="FRIST"/>
    <m/>
    <s v="ht"/>
    <m/>
    <m/>
    <s v="Distans"/>
    <m/>
    <m/>
    <n v="0.5"/>
    <n v="15"/>
    <m/>
    <m/>
    <n v="20"/>
    <n v="5"/>
    <n v="0.8"/>
    <n v="4"/>
    <x v="13"/>
    <s v="TUV "/>
    <s v="Sam"/>
    <s v="Fristående och övriga kurser"/>
    <n v="20766"/>
    <n v="17442"/>
    <n v="173598"/>
    <n v="6000"/>
    <n v="30000"/>
    <n v="203598"/>
    <n v="0"/>
    <n v="0"/>
    <n v="0"/>
    <n v="0"/>
    <n v="0"/>
    <n v="0"/>
    <n v="1"/>
    <n v="0"/>
    <n v="0"/>
    <n v="0"/>
    <n v="0"/>
    <n v="0"/>
  </r>
  <r>
    <s v="6PE245"/>
    <s v="Barns och ungas identitetsskapande på nätet"/>
    <n v="68700"/>
    <s v="FRIST"/>
    <m/>
    <s v="vt"/>
    <m/>
    <s v="Ortsoberoende"/>
    <s v="Distans"/>
    <m/>
    <m/>
    <m/>
    <n v="7.5"/>
    <m/>
    <m/>
    <n v="23"/>
    <n v="2.875"/>
    <n v="0.8"/>
    <n v="2.3000000000000003"/>
    <x v="13"/>
    <s v="TUV "/>
    <s v="Sam"/>
    <s v="Fristående och övriga kurser"/>
    <n v="20766"/>
    <n v="17442"/>
    <n v="99818.85"/>
    <n v="6000"/>
    <n v="17250"/>
    <n v="117068.85"/>
    <n v="0"/>
    <n v="0"/>
    <n v="0"/>
    <n v="0"/>
    <n v="0"/>
    <n v="0"/>
    <n v="1"/>
    <n v="0"/>
    <n v="0"/>
    <n v="0"/>
    <n v="0"/>
    <n v="0"/>
  </r>
  <r>
    <s v="6PE246"/>
    <s v="Mobbning och kränkande handlingar i teori och praktik"/>
    <n v="68704"/>
    <s v="FRIST"/>
    <m/>
    <s v="vt"/>
    <m/>
    <s v="Ortsoberoende"/>
    <s v="Distans"/>
    <m/>
    <m/>
    <m/>
    <n v="7.5"/>
    <m/>
    <m/>
    <n v="16"/>
    <n v="2"/>
    <n v="0.8"/>
    <n v="1.6"/>
    <x v="13"/>
    <s v="TUV "/>
    <s v="Sam"/>
    <s v="Fristående och övriga kurser"/>
    <n v="20766"/>
    <n v="17442"/>
    <n v="69439.199999999997"/>
    <n v="6000"/>
    <n v="12000"/>
    <n v="81439.199999999997"/>
    <n v="0"/>
    <n v="0"/>
    <n v="0"/>
    <n v="0"/>
    <n v="0"/>
    <n v="0"/>
    <n v="1"/>
    <n v="0"/>
    <n v="0"/>
    <n v="0"/>
    <n v="0"/>
    <n v="0"/>
  </r>
  <r>
    <s v="6PE249"/>
    <s v="Läraryrkets dimensioner för fritidshem 2 (VFU)"/>
    <m/>
    <s v="LYGFR"/>
    <s v="H19"/>
    <s v="ht"/>
    <s v="H2111-12"/>
    <s v="Umeå"/>
    <s v="Campus"/>
    <m/>
    <m/>
    <n v="1"/>
    <n v="2.5"/>
    <m/>
    <m/>
    <n v="10"/>
    <n v="0.41666666666666663"/>
    <n v="0.85"/>
    <n v="0.35416666666666663"/>
    <x v="12"/>
    <s v="Pedagogik                     "/>
    <s v="Sam"/>
    <s v="Grundlärarprogrammet - fritidshem"/>
    <n v="25235"/>
    <n v="27976"/>
    <n v="20422.75"/>
    <n v="3600"/>
    <n v="1499.9999999999998"/>
    <n v="21922.75"/>
    <n v="0"/>
    <n v="0"/>
    <n v="0"/>
    <n v="0"/>
    <n v="0"/>
    <n v="0"/>
    <n v="0"/>
    <n v="0"/>
    <n v="1"/>
    <n v="0"/>
    <n v="0"/>
    <n v="0"/>
  </r>
  <r>
    <s v="6PE250"/>
    <s v="Elever i behov av extra anpassningar och särskilt stöd ur ett fritidshemsperspektiv"/>
    <m/>
    <s v="LYGFR"/>
    <s v="H18"/>
    <s v="ht"/>
    <s v="H2116-20"/>
    <s v="Umeå"/>
    <s v="Campus"/>
    <m/>
    <m/>
    <n v="1"/>
    <n v="7.5"/>
    <m/>
    <m/>
    <n v="2"/>
    <n v="0.25"/>
    <n v="0.85"/>
    <n v="0.21249999999999999"/>
    <x v="13"/>
    <s v="TUV "/>
    <s v="Sam"/>
    <s v="Grundlärarprogrammet - fritidshem"/>
    <n v="20766"/>
    <n v="17442"/>
    <n v="8897.9249999999993"/>
    <n v="6000"/>
    <n v="1500"/>
    <n v="10397.924999999999"/>
    <n v="0"/>
    <n v="0"/>
    <n v="0"/>
    <n v="0"/>
    <n v="0"/>
    <n v="0"/>
    <n v="1"/>
    <n v="0"/>
    <n v="0"/>
    <n v="0"/>
    <n v="0"/>
    <n v="0"/>
  </r>
  <r>
    <s v="6PE250"/>
    <s v="Elever i behov av extra anpassningar och särskilt stöd ur ett fritidshemsperspektiv"/>
    <m/>
    <s v="LYGFR"/>
    <s v="H19"/>
    <s v="ht"/>
    <s v="H2116-20"/>
    <s v="Umeå"/>
    <s v="Campus"/>
    <m/>
    <m/>
    <n v="1"/>
    <n v="7.5"/>
    <m/>
    <m/>
    <n v="15"/>
    <n v="1.875"/>
    <n v="0.85"/>
    <n v="1.59375"/>
    <x v="13"/>
    <s v="TUV "/>
    <s v="Sam"/>
    <s v="Grundlärarprogrammet - fritidshem"/>
    <n v="20766"/>
    <n v="17442"/>
    <n v="66734.4375"/>
    <n v="6000"/>
    <n v="11250"/>
    <n v="77984.4375"/>
    <n v="0"/>
    <n v="0"/>
    <n v="0"/>
    <n v="0"/>
    <n v="0"/>
    <n v="0"/>
    <n v="1"/>
    <n v="0"/>
    <n v="0"/>
    <n v="0"/>
    <n v="0"/>
    <n v="0"/>
  </r>
  <r>
    <s v="6PE251"/>
    <s v="Att undervisa i förskolan (VFU)"/>
    <n v="68708"/>
    <s v="LYFSK"/>
    <m/>
    <s v="vt"/>
    <m/>
    <s v="Umeå"/>
    <s v="Normal"/>
    <m/>
    <m/>
    <m/>
    <n v="10"/>
    <m/>
    <m/>
    <n v="35"/>
    <n v="5.8330000000000002"/>
    <n v="0.85"/>
    <n v="4.9580500000000001"/>
    <x v="13"/>
    <s v="TUV "/>
    <s v="Sam"/>
    <s v="Förskollärarprogrammet"/>
    <n v="25235"/>
    <n v="27976"/>
    <n v="285902.1618"/>
    <n v="3600"/>
    <n v="20998.799999999999"/>
    <n v="306900.96179999999"/>
    <n v="0"/>
    <n v="0"/>
    <n v="0"/>
    <n v="0"/>
    <n v="0"/>
    <n v="0"/>
    <n v="0"/>
    <n v="0"/>
    <n v="1"/>
    <n v="0"/>
    <n v="0"/>
    <n v="0"/>
  </r>
  <r>
    <s v="6PE252"/>
    <s v="Förskolans uppdrag och arbetssätt 2"/>
    <m/>
    <s v="LYFSK"/>
    <s v="H16"/>
    <s v="ht"/>
    <s v="H211-7"/>
    <s v="Umeå"/>
    <s v="Campus"/>
    <m/>
    <m/>
    <n v="1"/>
    <n v="10"/>
    <m/>
    <m/>
    <n v="1"/>
    <n v="0.16666666666666666"/>
    <n v="0.85"/>
    <n v="0.14166666666666666"/>
    <x v="13"/>
    <s v="TUV "/>
    <s v="Sam"/>
    <s v="Förskollärarprogrammet"/>
    <n v="20766"/>
    <n v="17442"/>
    <n v="5931.95"/>
    <n v="6000"/>
    <n v="1000"/>
    <n v="6931.95"/>
    <n v="0"/>
    <n v="0"/>
    <n v="0"/>
    <n v="0"/>
    <n v="0"/>
    <n v="0"/>
    <n v="1"/>
    <n v="0"/>
    <n v="0"/>
    <n v="0"/>
    <n v="0"/>
    <n v="0"/>
  </r>
  <r>
    <s v="6PE252"/>
    <s v="Förskolans uppdrag och arbetssätt 2"/>
    <m/>
    <s v="LYFSK"/>
    <s v="H19"/>
    <s v="ht"/>
    <s v="H211-7"/>
    <s v="Umeå"/>
    <s v="Campus"/>
    <m/>
    <m/>
    <n v="1"/>
    <n v="10"/>
    <m/>
    <m/>
    <n v="1"/>
    <n v="0.16666666666666666"/>
    <n v="0.85"/>
    <n v="0.14166666666666666"/>
    <x v="13"/>
    <s v="TUV "/>
    <s v="Sam"/>
    <s v="Förskollärarprogrammet"/>
    <n v="20766"/>
    <n v="17442"/>
    <n v="5931.95"/>
    <n v="6000"/>
    <n v="1000"/>
    <n v="6931.95"/>
    <n v="0"/>
    <n v="0"/>
    <n v="0"/>
    <n v="0"/>
    <n v="0"/>
    <n v="0"/>
    <n v="1"/>
    <n v="0"/>
    <n v="0"/>
    <n v="0"/>
    <n v="0"/>
    <n v="0"/>
  </r>
  <r>
    <s v="6PE252"/>
    <s v="Förskolans uppdrag och arbetssätt 2"/>
    <m/>
    <s v="LYFSK"/>
    <s v="V19"/>
    <s v="ht"/>
    <s v="H211-7"/>
    <s v="Umeå"/>
    <s v="Campus"/>
    <m/>
    <m/>
    <n v="1"/>
    <n v="10"/>
    <m/>
    <m/>
    <n v="1"/>
    <n v="0.16666666666666666"/>
    <n v="0.85"/>
    <n v="0.14166666666666666"/>
    <x v="13"/>
    <s v="TUV "/>
    <s v="Sam"/>
    <s v="Förskollärarprogrammet"/>
    <n v="20766"/>
    <n v="17442"/>
    <n v="5931.95"/>
    <n v="6000"/>
    <n v="1000"/>
    <n v="6931.95"/>
    <n v="0"/>
    <n v="0"/>
    <n v="0"/>
    <n v="0"/>
    <n v="0"/>
    <n v="0"/>
    <n v="1"/>
    <n v="0"/>
    <n v="0"/>
    <n v="0"/>
    <n v="0"/>
    <n v="0"/>
  </r>
  <r>
    <s v="6PE252"/>
    <s v="Förskolans uppdrag och arbetssätt 2"/>
    <m/>
    <s v="LYFSK"/>
    <s v="V20"/>
    <s v="ht"/>
    <s v="H211-7"/>
    <s v="Umeå"/>
    <s v="Campus"/>
    <m/>
    <m/>
    <n v="1"/>
    <n v="10"/>
    <m/>
    <m/>
    <n v="21"/>
    <n v="3.5"/>
    <n v="0.85"/>
    <n v="2.9750000000000001"/>
    <x v="13"/>
    <s v="TUV "/>
    <s v="Sam"/>
    <s v="Förskollärarprogrammet"/>
    <n v="20766"/>
    <n v="17442"/>
    <n v="124570.95000000001"/>
    <n v="6000"/>
    <n v="21000"/>
    <n v="145570.95000000001"/>
    <n v="0"/>
    <n v="0"/>
    <n v="0"/>
    <n v="0"/>
    <n v="0"/>
    <n v="0"/>
    <n v="1"/>
    <n v="0"/>
    <n v="0"/>
    <n v="0"/>
    <n v="0"/>
    <n v="0"/>
  </r>
  <r>
    <s v="6PE252"/>
    <s v="Förskolans uppdrag och arbetssätt 2"/>
    <n v="68710"/>
    <s v="LYFSK"/>
    <m/>
    <s v="vt"/>
    <m/>
    <s v="Umeå"/>
    <s v="Normal"/>
    <m/>
    <m/>
    <m/>
    <n v="10"/>
    <m/>
    <m/>
    <n v="37"/>
    <n v="6.1669999999999998"/>
    <n v="0.85"/>
    <n v="5.2419500000000001"/>
    <x v="13"/>
    <s v="TUV "/>
    <s v="Sam"/>
    <s v="Förskollärarprogrammet"/>
    <n v="20766"/>
    <n v="17442"/>
    <n v="219494.01389999999"/>
    <n v="6000"/>
    <n v="37002"/>
    <n v="256496.01389999999"/>
    <n v="0"/>
    <n v="0"/>
    <n v="0"/>
    <n v="0"/>
    <n v="0"/>
    <n v="0"/>
    <n v="1"/>
    <n v="0"/>
    <n v="0"/>
    <n v="0"/>
    <n v="0"/>
    <n v="0"/>
  </r>
  <r>
    <s v="6PE253"/>
    <s v="Läraryrkets dimensioner för förskolan 1 (VFU)"/>
    <n v="68716"/>
    <s v="LYFSK"/>
    <m/>
    <s v="vt"/>
    <m/>
    <s v="Umeå"/>
    <s v="Normal"/>
    <m/>
    <m/>
    <m/>
    <n v="11"/>
    <m/>
    <m/>
    <n v="11"/>
    <n v="2.0169999999999999"/>
    <n v="0.85"/>
    <n v="1.7144499999999998"/>
    <x v="13"/>
    <s v="TUV "/>
    <s v="Sam"/>
    <s v="Förskollärarprogrammet"/>
    <n v="25235"/>
    <n v="27976"/>
    <n v="98862.448199999984"/>
    <n v="3600"/>
    <n v="7261.2"/>
    <n v="106123.64819999998"/>
    <n v="0"/>
    <n v="0"/>
    <n v="0"/>
    <n v="0"/>
    <n v="0"/>
    <n v="0"/>
    <n v="0"/>
    <n v="0"/>
    <n v="1"/>
    <n v="0"/>
    <n v="0"/>
    <n v="0"/>
  </r>
  <r>
    <s v="6PE256"/>
    <s v="Kunskap, undervisning och lärande 2"/>
    <m/>
    <s v="LYKGR"/>
    <s v="H19"/>
    <s v="ht"/>
    <s v="H211-20"/>
    <s v="Umeå"/>
    <s v="Campus"/>
    <m/>
    <m/>
    <n v="0.5"/>
    <n v="15"/>
    <m/>
    <m/>
    <n v="2"/>
    <n v="0.5"/>
    <n v="0.85"/>
    <n v="0.42499999999999999"/>
    <x v="7"/>
    <s v="NMD"/>
    <s v="TekNat"/>
    <s v="KPU - åk 7-9"/>
    <n v="26554"/>
    <n v="33465"/>
    <n v="27499.625"/>
    <n v="6000"/>
    <n v="3000"/>
    <n v="30499.625"/>
    <n v="0"/>
    <n v="0"/>
    <n v="0"/>
    <n v="1"/>
    <n v="0"/>
    <n v="0"/>
    <n v="0"/>
    <n v="0"/>
    <n v="0"/>
    <n v="0"/>
    <n v="0"/>
    <n v="0"/>
  </r>
  <r>
    <s v="6PE257"/>
    <s v="Läraryrkets dimensioner för förskoleklass och grundskolans årskurs 1-3 (VFU)"/>
    <m/>
    <s v="LYGFT"/>
    <s v="H16"/>
    <s v="ht"/>
    <s v="H211-15"/>
    <s v="Umeå"/>
    <s v="Campus"/>
    <m/>
    <m/>
    <n v="1"/>
    <n v="22.5"/>
    <m/>
    <m/>
    <n v="1"/>
    <n v="0.375"/>
    <n v="0.85"/>
    <n v="0.31874999999999998"/>
    <x v="7"/>
    <s v="NMD"/>
    <s v="TekNat"/>
    <s v="Grundlärarprogrammet - förskoleklass och åk 1-3"/>
    <n v="25235"/>
    <n v="27976"/>
    <n v="18380.474999999999"/>
    <n v="3600"/>
    <n v="1350"/>
    <n v="19730.474999999999"/>
    <n v="0"/>
    <n v="0"/>
    <n v="0"/>
    <n v="0"/>
    <n v="0"/>
    <n v="0"/>
    <n v="0"/>
    <n v="0"/>
    <n v="1"/>
    <n v="0"/>
    <n v="0"/>
    <n v="0"/>
  </r>
  <r>
    <s v="6PE257"/>
    <s v="Läraryrkets dimensioner för förskoleklass och grundskolans årskurs 1-3 (VFU)"/>
    <m/>
    <s v="LYGFT"/>
    <s v="H17"/>
    <s v="ht"/>
    <s v="H211-15"/>
    <s v="Umeå"/>
    <s v="Campus"/>
    <m/>
    <m/>
    <n v="1"/>
    <n v="22.5"/>
    <m/>
    <m/>
    <n v="3"/>
    <n v="1.125"/>
    <n v="0.85"/>
    <n v="0.95624999999999993"/>
    <x v="7"/>
    <s v="NMD"/>
    <s v="TekNat"/>
    <s v="Grundlärarprogrammet - förskoleklass och åk 1-3"/>
    <n v="25235"/>
    <n v="27976"/>
    <n v="55141.425000000003"/>
    <n v="3600"/>
    <n v="4050"/>
    <n v="59191.425000000003"/>
    <n v="0"/>
    <n v="0"/>
    <n v="0"/>
    <n v="0"/>
    <n v="0"/>
    <n v="0"/>
    <n v="0"/>
    <n v="0"/>
    <n v="1"/>
    <n v="0"/>
    <n v="0"/>
    <n v="0"/>
  </r>
  <r>
    <s v="6PE257"/>
    <s v="Läraryrkets dimensioner för förskoleklass och grundskolans årskurs 1-3 (VFU)"/>
    <m/>
    <s v="LYGFT"/>
    <s v="H18"/>
    <s v="ht"/>
    <s v="H211-15"/>
    <s v="Umeå"/>
    <s v="Campus"/>
    <m/>
    <m/>
    <n v="1"/>
    <n v="22.5"/>
    <m/>
    <m/>
    <n v="38"/>
    <n v="14.25"/>
    <n v="0.85"/>
    <n v="12.112499999999999"/>
    <x v="7"/>
    <s v="NMD"/>
    <s v="TekNat"/>
    <s v="Grundlärarprogrammet - förskoleklass och åk 1-3"/>
    <n v="25235"/>
    <n v="27976"/>
    <n v="698458.05"/>
    <n v="3600"/>
    <n v="51300"/>
    <n v="749758.05"/>
    <n v="0"/>
    <n v="0"/>
    <n v="0"/>
    <n v="0"/>
    <n v="0"/>
    <n v="0"/>
    <n v="0"/>
    <n v="0"/>
    <n v="1"/>
    <n v="0"/>
    <n v="0"/>
    <n v="0"/>
  </r>
  <r>
    <s v="6PE258"/>
    <s v="Läraryrkets dimensioner för grundskolans årskurs 4-6 (VFU)"/>
    <m/>
    <s v="LYGRM"/>
    <s v="H18"/>
    <s v="ht"/>
    <s v="H211-15"/>
    <s v="Umeå"/>
    <s v="Campus"/>
    <m/>
    <m/>
    <n v="1"/>
    <n v="22.5"/>
    <m/>
    <m/>
    <n v="18"/>
    <n v="6.75"/>
    <n v="0.85"/>
    <n v="5.7374999999999998"/>
    <x v="7"/>
    <s v="NMD"/>
    <s v="TekNat"/>
    <s v="Grundlärarprogrammet - grundskolans åk 4-6"/>
    <n v="25235"/>
    <n v="27976"/>
    <n v="330848.55"/>
    <n v="3600"/>
    <n v="24300"/>
    <n v="355148.55"/>
    <n v="0"/>
    <n v="0"/>
    <n v="0"/>
    <n v="0"/>
    <n v="0"/>
    <n v="0"/>
    <n v="0"/>
    <n v="0"/>
    <n v="1"/>
    <n v="0"/>
    <n v="0"/>
    <n v="0"/>
  </r>
  <r>
    <s v="6PE258"/>
    <s v="Läraryrkets dimensioner för grundskolans årskurs 4-6 (VFU)"/>
    <m/>
    <s v="LYGRM"/>
    <s v="H19"/>
    <s v="ht"/>
    <s v="H211-15"/>
    <s v="Umeå"/>
    <s v="Campus"/>
    <m/>
    <m/>
    <n v="1"/>
    <n v="22.5"/>
    <m/>
    <m/>
    <n v="1"/>
    <n v="0.375"/>
    <n v="0.85"/>
    <n v="0.31874999999999998"/>
    <x v="7"/>
    <s v="NMD"/>
    <s v="TekNat"/>
    <s v="Grundlärarprogrammet - grundskolans åk 4-6"/>
    <n v="25235"/>
    <n v="27976"/>
    <n v="18380.474999999999"/>
    <n v="3600"/>
    <n v="1350"/>
    <n v="19730.474999999999"/>
    <n v="0"/>
    <n v="0"/>
    <n v="0"/>
    <n v="0"/>
    <n v="0"/>
    <n v="0"/>
    <n v="0"/>
    <n v="0"/>
    <n v="1"/>
    <n v="0"/>
    <n v="0"/>
    <n v="0"/>
  </r>
  <r>
    <s v="6PE259"/>
    <s v="Läraryrkets dimensioner för fritidshem 3 (VFU)"/>
    <n v="68733"/>
    <s v="LYGFR"/>
    <m/>
    <s v="vt"/>
    <m/>
    <s v="Umeå"/>
    <s v="Normal"/>
    <m/>
    <m/>
    <m/>
    <n v="7.5"/>
    <m/>
    <m/>
    <n v="21"/>
    <n v="2.625"/>
    <n v="0.85"/>
    <n v="2.2312499999999997"/>
    <x v="13"/>
    <s v="TUV "/>
    <s v="Sam"/>
    <s v="Grundlärarprogrammet - fritidshem"/>
    <n v="25235"/>
    <n v="27976"/>
    <n v="128663.32499999998"/>
    <n v="3600"/>
    <n v="9450"/>
    <n v="138113.32499999998"/>
    <n v="0"/>
    <n v="0"/>
    <n v="0"/>
    <n v="0"/>
    <n v="0"/>
    <n v="0"/>
    <n v="0"/>
    <n v="0"/>
    <n v="1"/>
    <n v="0"/>
    <n v="0"/>
    <n v="0"/>
  </r>
  <r>
    <s v="6PE260"/>
    <s v="Samhällsorientering för förskolan"/>
    <m/>
    <s v="LYFSK"/>
    <s v="V16"/>
    <s v="ht"/>
    <s v="H211-10"/>
    <s v="Umeå"/>
    <s v="Campus"/>
    <m/>
    <m/>
    <n v="1"/>
    <n v="15"/>
    <m/>
    <m/>
    <n v="1"/>
    <n v="0.25"/>
    <n v="0.85"/>
    <n v="0.21249999999999999"/>
    <x v="13"/>
    <s v="TUV "/>
    <s v="Sam"/>
    <s v="Förskollärarprogrammet"/>
    <n v="20766"/>
    <n v="17442"/>
    <n v="8897.9249999999993"/>
    <n v="6000"/>
    <n v="1500"/>
    <n v="10397.924999999999"/>
    <n v="0"/>
    <n v="0"/>
    <n v="0"/>
    <n v="0"/>
    <n v="0"/>
    <n v="0"/>
    <n v="1"/>
    <n v="0"/>
    <n v="0"/>
    <n v="0"/>
    <n v="0"/>
    <n v="0"/>
  </r>
  <r>
    <s v="6PE260"/>
    <s v="Samhällsorientering för förskolan"/>
    <m/>
    <s v="LYFSK"/>
    <s v="V18"/>
    <s v="ht"/>
    <s v="H211-10"/>
    <s v="Umeå"/>
    <s v="Campus"/>
    <m/>
    <m/>
    <n v="1"/>
    <n v="15"/>
    <m/>
    <m/>
    <n v="1"/>
    <n v="0.25"/>
    <n v="0.85"/>
    <n v="0.21249999999999999"/>
    <x v="13"/>
    <s v="TUV "/>
    <s v="Sam"/>
    <s v="Förskollärarprogrammet"/>
    <n v="20766"/>
    <n v="17442"/>
    <n v="8897.9249999999993"/>
    <n v="6000"/>
    <n v="1500"/>
    <n v="10397.924999999999"/>
    <n v="0"/>
    <n v="0"/>
    <n v="0"/>
    <n v="0"/>
    <n v="0"/>
    <n v="0"/>
    <n v="1"/>
    <n v="0"/>
    <n v="0"/>
    <n v="0"/>
    <n v="0"/>
    <n v="0"/>
  </r>
  <r>
    <s v="6PE260"/>
    <s v="Samhällsorientering för förskolan"/>
    <m/>
    <s v="LYFSK"/>
    <s v="V19"/>
    <s v="ht"/>
    <s v="H211-10"/>
    <s v="Umeå"/>
    <s v="Campus"/>
    <m/>
    <m/>
    <n v="1"/>
    <n v="15"/>
    <m/>
    <m/>
    <n v="12"/>
    <n v="3"/>
    <n v="0.85"/>
    <n v="2.5499999999999998"/>
    <x v="13"/>
    <s v="TUV "/>
    <s v="Sam"/>
    <s v="Förskollärarprogrammet"/>
    <n v="20766"/>
    <n v="17442"/>
    <n v="106775.1"/>
    <n v="6000"/>
    <n v="18000"/>
    <n v="124775.1"/>
    <n v="0"/>
    <n v="0"/>
    <n v="0"/>
    <n v="0"/>
    <n v="0"/>
    <n v="0"/>
    <n v="1"/>
    <n v="0"/>
    <n v="0"/>
    <n v="0"/>
    <n v="0"/>
    <n v="0"/>
  </r>
  <r>
    <s v="6PE260"/>
    <s v="Samhällsorientering för förskolan"/>
    <n v="68717"/>
    <s v="LYFSK"/>
    <m/>
    <s v="vt"/>
    <m/>
    <s v="Umeå"/>
    <s v="Normal"/>
    <m/>
    <m/>
    <m/>
    <n v="15"/>
    <m/>
    <m/>
    <n v="40"/>
    <n v="10"/>
    <n v="0.85"/>
    <n v="8.5"/>
    <x v="13"/>
    <s v="TUV "/>
    <s v="Sam"/>
    <s v="Förskollärarprogrammet"/>
    <n v="20766"/>
    <n v="17442"/>
    <n v="355917"/>
    <n v="6000"/>
    <n v="60000"/>
    <n v="415917"/>
    <n v="0"/>
    <n v="0"/>
    <n v="0"/>
    <n v="0"/>
    <n v="0"/>
    <n v="0"/>
    <n v="1"/>
    <n v="0"/>
    <n v="0"/>
    <n v="0"/>
    <n v="0"/>
    <n v="0"/>
  </r>
  <r>
    <s v="6PE262"/>
    <s v="Profession och vetenskap för fritidshem (UK)"/>
    <n v="68723"/>
    <s v="LYGFR"/>
    <m/>
    <s v="vt"/>
    <m/>
    <s v="Umeå"/>
    <s v="Normal"/>
    <m/>
    <m/>
    <m/>
    <n v="7.5"/>
    <m/>
    <m/>
    <n v="21"/>
    <n v="2.625"/>
    <n v="0.85"/>
    <n v="2.2312499999999997"/>
    <x v="13"/>
    <s v="TUV "/>
    <s v="Sam"/>
    <s v="Grundlärarprogrammet - fritidshem"/>
    <n v="26554"/>
    <n v="33465"/>
    <n v="144373.03125"/>
    <n v="6000"/>
    <n v="15750"/>
    <n v="160123.03125"/>
    <n v="0"/>
    <n v="0"/>
    <n v="0"/>
    <n v="1"/>
    <n v="0"/>
    <n v="0"/>
    <n v="0"/>
    <n v="0"/>
    <n v="0"/>
    <n v="0"/>
    <n v="0"/>
    <n v="0"/>
  </r>
  <r>
    <s v="6PE264"/>
    <s v="Grundlärare som profession (UK)"/>
    <m/>
    <s v="LYGFR"/>
    <s v="H21"/>
    <s v="ht"/>
    <m/>
    <n v="2480"/>
    <m/>
    <m/>
    <m/>
    <m/>
    <n v="6"/>
    <m/>
    <m/>
    <n v="24"/>
    <n v="2.4000000000000004"/>
    <n v="0.85"/>
    <n v="2.04"/>
    <x v="7"/>
    <s v="NMD"/>
    <s v="TekNat"/>
    <s v="Grundlärarprogrammet - fritidshem"/>
    <n v="26554"/>
    <n v="33465"/>
    <n v="131998.20000000001"/>
    <n v="6000"/>
    <n v="14400.000000000002"/>
    <n v="146398.20000000001"/>
    <n v="0"/>
    <n v="0"/>
    <n v="0"/>
    <n v="1"/>
    <n v="0"/>
    <n v="0"/>
    <n v="0"/>
    <n v="0"/>
    <n v="0"/>
    <n v="0"/>
    <n v="0"/>
    <n v="0"/>
  </r>
  <r>
    <s v="6PE264"/>
    <s v="Grundlärare som profession (UK)"/>
    <m/>
    <s v="LYGFT"/>
    <s v="H21"/>
    <s v="ht"/>
    <m/>
    <n v="2480"/>
    <m/>
    <m/>
    <m/>
    <m/>
    <n v="6"/>
    <m/>
    <m/>
    <n v="41"/>
    <n v="4.1000000000000005"/>
    <n v="0.85"/>
    <n v="3.4850000000000003"/>
    <x v="7"/>
    <s v="NMD"/>
    <s v="TekNat"/>
    <s v="Grundlärarprogrammet - förskoleklass och åk 1-3"/>
    <n v="26554"/>
    <n v="33465"/>
    <n v="225496.92500000002"/>
    <n v="6000"/>
    <n v="24600.000000000004"/>
    <n v="250096.92500000002"/>
    <n v="0"/>
    <n v="0"/>
    <n v="0"/>
    <n v="1"/>
    <n v="0"/>
    <n v="0"/>
    <n v="0"/>
    <n v="0"/>
    <n v="0"/>
    <n v="0"/>
    <n v="0"/>
    <n v="0"/>
  </r>
  <r>
    <s v="6PE264"/>
    <s v="Grundlärare som profession (UK)"/>
    <m/>
    <s v="LYGRM"/>
    <s v="H20"/>
    <s v="ht"/>
    <s v="H211-4"/>
    <s v="Umeå"/>
    <s v="Campus"/>
    <m/>
    <m/>
    <n v="1"/>
    <n v="6"/>
    <m/>
    <m/>
    <n v="1"/>
    <n v="0.1"/>
    <n v="0.85"/>
    <n v="8.5000000000000006E-2"/>
    <x v="7"/>
    <s v="NMD"/>
    <s v="TekNat"/>
    <s v="Grundlärarprogrammet - grundskolans åk 4-6"/>
    <n v="26554"/>
    <n v="33465"/>
    <n v="5499.9250000000002"/>
    <n v="6000"/>
    <n v="600"/>
    <n v="6099.9250000000002"/>
    <n v="0"/>
    <n v="0"/>
    <n v="0"/>
    <n v="1"/>
    <n v="0"/>
    <n v="0"/>
    <n v="0"/>
    <n v="0"/>
    <n v="0"/>
    <n v="0"/>
    <n v="0"/>
    <n v="0"/>
  </r>
  <r>
    <s v="6PE264"/>
    <s v="Grundlärare som profession (UK)"/>
    <m/>
    <s v="LYGRM"/>
    <s v="H21"/>
    <s v="ht"/>
    <m/>
    <n v="2480"/>
    <m/>
    <s v="ARBE"/>
    <m/>
    <n v="0.75"/>
    <n v="6"/>
    <m/>
    <m/>
    <n v="23"/>
    <n v="2.3000000000000003"/>
    <n v="0.85"/>
    <n v="1.9550000000000001"/>
    <x v="7"/>
    <s v="NMD"/>
    <s v="TekNat"/>
    <s v="Grundlärarprogrammet - grundskolans åk 4-6"/>
    <n v="26554"/>
    <n v="33465"/>
    <n v="126498.27500000001"/>
    <n v="6000"/>
    <n v="13800.000000000002"/>
    <n v="140298.27500000002"/>
    <n v="0"/>
    <n v="0"/>
    <n v="0"/>
    <n v="1"/>
    <n v="0"/>
    <n v="0"/>
    <n v="0"/>
    <n v="0"/>
    <n v="0"/>
    <n v="0"/>
    <n v="0"/>
    <n v="0"/>
  </r>
  <r>
    <s v="6PE264"/>
    <s v="Grundlärare som profession (UK)"/>
    <m/>
    <s v="LYGRM"/>
    <s v="H21"/>
    <s v="ht"/>
    <m/>
    <n v="2480"/>
    <m/>
    <m/>
    <m/>
    <m/>
    <n v="6"/>
    <m/>
    <m/>
    <n v="43"/>
    <n v="4.3"/>
    <n v="0.85"/>
    <n v="3.6549999999999998"/>
    <x v="7"/>
    <s v="NMD"/>
    <s v="TekNat"/>
    <s v="Grundlärarprogrammet - grundskolans åk 4-6"/>
    <n v="26554"/>
    <n v="33465"/>
    <n v="236496.77499999999"/>
    <n v="6000"/>
    <n v="25800"/>
    <n v="262296.77500000002"/>
    <n v="0"/>
    <n v="0"/>
    <n v="0"/>
    <n v="1"/>
    <n v="0"/>
    <n v="0"/>
    <n v="0"/>
    <n v="0"/>
    <n v="0"/>
    <n v="0"/>
    <n v="0"/>
    <n v="0"/>
  </r>
  <r>
    <s v="6PE265"/>
    <s v="Profession och vetenskap för åk 4-6 (UK III)"/>
    <n v="61906"/>
    <s v="LYGRM"/>
    <m/>
    <s v="vt"/>
    <m/>
    <s v="Umeå"/>
    <s v="Normal"/>
    <m/>
    <m/>
    <m/>
    <n v="7.5"/>
    <m/>
    <m/>
    <n v="26"/>
    <n v="3.25"/>
    <n v="0.85"/>
    <n v="2.7624999999999997"/>
    <x v="7"/>
    <s v="NMD"/>
    <s v="TekNat"/>
    <s v="Grundlärarprogrammet - grundskolans åk 4-6"/>
    <n v="26554"/>
    <n v="33465"/>
    <n v="178747.5625"/>
    <n v="6000"/>
    <n v="19500"/>
    <n v="198247.5625"/>
    <n v="0"/>
    <n v="0"/>
    <n v="0"/>
    <n v="1"/>
    <n v="0"/>
    <n v="0"/>
    <n v="0"/>
    <n v="0"/>
    <n v="0"/>
    <n v="0"/>
    <n v="0"/>
    <n v="0"/>
  </r>
  <r>
    <s v="6PE266"/>
    <s v="Profession och vetenskap för förskoleklass och grundskolans årskurs 1-3 (UK)"/>
    <n v="61904"/>
    <s v="LYGFT"/>
    <m/>
    <s v="vt"/>
    <m/>
    <s v="Umeå"/>
    <s v="Normal"/>
    <m/>
    <m/>
    <m/>
    <n v="7.5"/>
    <m/>
    <m/>
    <n v="27"/>
    <n v="3.375"/>
    <n v="0.85"/>
    <n v="2.8687499999999999"/>
    <x v="7"/>
    <s v="NMD"/>
    <s v="TekNat"/>
    <s v="Grundlärarprogrammet - förskoleklass och åk 1-3"/>
    <n v="26554"/>
    <n v="33465"/>
    <n v="185622.46875"/>
    <n v="6000"/>
    <n v="20250"/>
    <n v="205872.46875"/>
    <n v="0"/>
    <n v="0"/>
    <n v="0"/>
    <n v="1"/>
    <n v="0"/>
    <n v="0"/>
    <n v="0"/>
    <n v="0"/>
    <n v="0"/>
    <n v="0"/>
    <n v="0"/>
    <n v="0"/>
  </r>
  <r>
    <s v="6PE268"/>
    <s v="Att vara grundlärare (VFU)"/>
    <m/>
    <s v="LYGFR"/>
    <s v="H21"/>
    <s v="ht"/>
    <m/>
    <n v="2480"/>
    <m/>
    <m/>
    <m/>
    <m/>
    <n v="1.5"/>
    <n v="-0.05"/>
    <n v="24"/>
    <n v="22.8"/>
    <n v="0.57000000000000006"/>
    <n v="0.85"/>
    <n v="0.48450000000000004"/>
    <x v="7"/>
    <s v="NMD"/>
    <s v="TekNat"/>
    <s v="Grundlärarprogrammet - fritidshem"/>
    <n v="25235"/>
    <n v="27976"/>
    <n v="27938.322"/>
    <n v="3600"/>
    <n v="2052"/>
    <n v="29990.322"/>
    <n v="0"/>
    <n v="0"/>
    <n v="0"/>
    <n v="0"/>
    <n v="0"/>
    <n v="0"/>
    <n v="0"/>
    <n v="0"/>
    <n v="1"/>
    <n v="0"/>
    <n v="0"/>
    <n v="0"/>
  </r>
  <r>
    <s v="6PE268"/>
    <s v="Att vara grundlärare (VFU)"/>
    <m/>
    <s v="LYGFT"/>
    <s v="H21"/>
    <s v="ht"/>
    <m/>
    <n v="2480"/>
    <m/>
    <m/>
    <m/>
    <m/>
    <n v="1.5"/>
    <n v="-0.05"/>
    <n v="41"/>
    <n v="38.950000000000003"/>
    <n v="0.97375000000000012"/>
    <n v="0.85"/>
    <n v="0.82768750000000013"/>
    <x v="7"/>
    <s v="NMD"/>
    <s v="TekNat"/>
    <s v="Grundlärarprogrammet - förskoleklass och åk 1-3"/>
    <n v="25235"/>
    <n v="27976"/>
    <n v="47727.966750000007"/>
    <n v="3600"/>
    <n v="3505.5000000000005"/>
    <n v="51233.466750000007"/>
    <n v="0"/>
    <n v="0"/>
    <n v="0"/>
    <n v="0"/>
    <n v="0"/>
    <n v="0"/>
    <n v="0"/>
    <n v="0"/>
    <n v="1"/>
    <n v="0"/>
    <n v="0"/>
    <n v="0"/>
  </r>
  <r>
    <s v="6PE268"/>
    <s v="Att vara grundlärare (VFU)"/>
    <m/>
    <s v="LYGRM"/>
    <s v="H21"/>
    <s v="ht"/>
    <m/>
    <n v="2480"/>
    <m/>
    <s v="ARBE"/>
    <m/>
    <n v="0.75"/>
    <n v="1.5"/>
    <n v="-0.05"/>
    <n v="23"/>
    <n v="21.85"/>
    <n v="0.54625000000000001"/>
    <n v="0.85"/>
    <n v="0.46431250000000002"/>
    <x v="7"/>
    <s v="NMD"/>
    <s v="TekNat"/>
    <s v="Grundlärarprogrammet - grundskolans åk 4-6"/>
    <n v="25235"/>
    <n v="27976"/>
    <n v="26774.22525"/>
    <n v="3600"/>
    <n v="1966.5"/>
    <n v="28740.72525"/>
    <n v="0"/>
    <n v="0"/>
    <n v="0"/>
    <n v="0"/>
    <n v="0"/>
    <n v="0"/>
    <n v="0"/>
    <n v="0"/>
    <n v="1"/>
    <n v="0"/>
    <n v="0"/>
    <n v="0"/>
  </r>
  <r>
    <s v="6PE268"/>
    <s v="Att vara grundlärare (VFU)"/>
    <m/>
    <s v="LYGRM"/>
    <s v="H21"/>
    <s v="ht"/>
    <m/>
    <n v="2480"/>
    <m/>
    <m/>
    <m/>
    <m/>
    <n v="1.5"/>
    <n v="-0.05"/>
    <n v="43"/>
    <n v="40.85"/>
    <n v="1.02125"/>
    <n v="0.85"/>
    <n v="0.86806249999999996"/>
    <x v="7"/>
    <s v="NMD"/>
    <s v="TekNat"/>
    <s v="Grundlärarprogrammet - grundskolans åk 4-6"/>
    <n v="25235"/>
    <n v="27976"/>
    <n v="50056.160250000001"/>
    <n v="3600"/>
    <n v="3676.5"/>
    <n v="53732.660250000001"/>
    <n v="0"/>
    <n v="0"/>
    <n v="0"/>
    <n v="0"/>
    <n v="0"/>
    <n v="0"/>
    <n v="0"/>
    <n v="0"/>
    <n v="1"/>
    <n v="0"/>
    <n v="0"/>
    <n v="0"/>
  </r>
  <r>
    <s v="6PE269"/>
    <s v="Att undervisa i biologi (VFU)"/>
    <m/>
    <s v="LYAGY"/>
    <s v="H18"/>
    <s v="ht"/>
    <s v="H2113-16"/>
    <s v="Umeå"/>
    <m/>
    <s v="BIOL"/>
    <m/>
    <n v="1"/>
    <n v="6"/>
    <m/>
    <m/>
    <n v="2"/>
    <n v="0.2"/>
    <n v="0.85"/>
    <n v="0.17"/>
    <x v="7"/>
    <s v="NMD"/>
    <s v="TekNat"/>
    <s v="Ämneslärarprogrammet - Gy"/>
    <n v="25235"/>
    <n v="27976"/>
    <n v="9802.92"/>
    <n v="3600"/>
    <n v="720"/>
    <n v="10522.92"/>
    <n v="0"/>
    <n v="0"/>
    <n v="0"/>
    <n v="0"/>
    <n v="0"/>
    <n v="0"/>
    <n v="0"/>
    <n v="0"/>
    <n v="1"/>
    <n v="0"/>
    <n v="0"/>
    <n v="0"/>
  </r>
  <r>
    <s v="6PE269"/>
    <s v="Att undervisa i biologi (VFU)"/>
    <m/>
    <s v="LYAGY"/>
    <s v="H19"/>
    <s v="ht"/>
    <s v="H2113-16"/>
    <s v="Umeå"/>
    <m/>
    <s v="BIOL"/>
    <m/>
    <n v="1"/>
    <n v="6"/>
    <m/>
    <m/>
    <n v="2"/>
    <n v="0.2"/>
    <n v="0.85"/>
    <n v="0.17"/>
    <x v="7"/>
    <s v="NMD"/>
    <s v="TekNat"/>
    <s v="Ämneslärarprogrammet - Gy"/>
    <n v="25235"/>
    <n v="27976"/>
    <n v="9802.92"/>
    <n v="3600"/>
    <n v="720"/>
    <n v="10522.92"/>
    <n v="0"/>
    <n v="0"/>
    <n v="0"/>
    <n v="0"/>
    <n v="0"/>
    <n v="0"/>
    <n v="0"/>
    <n v="0"/>
    <n v="1"/>
    <n v="0"/>
    <n v="0"/>
    <n v="0"/>
  </r>
  <r>
    <s v="6PE271"/>
    <s v="Att undervisa i Idrott och hälsa (VFU)"/>
    <m/>
    <s v="LYAGY"/>
    <s v="H15"/>
    <s v="ht"/>
    <s v="H2113-16"/>
    <s v="Umeå"/>
    <m/>
    <s v="IDRH"/>
    <m/>
    <n v="1"/>
    <n v="6"/>
    <m/>
    <m/>
    <n v="1"/>
    <n v="0.1"/>
    <n v="0.85"/>
    <n v="8.5000000000000006E-2"/>
    <x v="12"/>
    <s v="Pedagogik                     "/>
    <s v="Sam"/>
    <s v="Ämneslärarprogrammet - Gy"/>
    <n v="25235"/>
    <n v="27976"/>
    <n v="4901.46"/>
    <n v="3600"/>
    <n v="360"/>
    <n v="5261.46"/>
    <n v="0"/>
    <n v="0"/>
    <n v="0"/>
    <n v="0"/>
    <n v="0"/>
    <n v="0"/>
    <n v="0"/>
    <n v="0"/>
    <n v="1"/>
    <n v="0"/>
    <n v="0"/>
    <n v="0"/>
  </r>
  <r>
    <s v="6PE271"/>
    <s v="Att undervisa i Idrott och hälsa (VFU)"/>
    <m/>
    <s v="LYAGY"/>
    <s v="H18"/>
    <s v="ht"/>
    <s v="H2113-16"/>
    <s v="Umeå"/>
    <m/>
    <s v="IDRH"/>
    <m/>
    <n v="1"/>
    <n v="6"/>
    <m/>
    <m/>
    <n v="2"/>
    <n v="0.2"/>
    <n v="0.85"/>
    <n v="0.17"/>
    <x v="12"/>
    <s v="Pedagogik                     "/>
    <s v="Sam"/>
    <s v="Ämneslärarprogrammet - Gy"/>
    <n v="25235"/>
    <n v="27976"/>
    <n v="9802.92"/>
    <n v="3600"/>
    <n v="720"/>
    <n v="10522.92"/>
    <n v="0"/>
    <n v="0"/>
    <n v="0"/>
    <n v="0"/>
    <n v="0"/>
    <n v="0"/>
    <n v="0"/>
    <n v="0"/>
    <n v="1"/>
    <n v="0"/>
    <n v="0"/>
    <n v="0"/>
  </r>
  <r>
    <s v="6PE271"/>
    <s v="Att undervisa i Idrott och hälsa (VFU)"/>
    <m/>
    <s v="LYAGY"/>
    <s v="H19"/>
    <s v="ht"/>
    <s v="H2113-16"/>
    <s v="Umeå"/>
    <m/>
    <s v="IDRH"/>
    <m/>
    <n v="1"/>
    <n v="6"/>
    <m/>
    <m/>
    <n v="17"/>
    <n v="1.7000000000000002"/>
    <n v="0.85"/>
    <n v="1.4450000000000001"/>
    <x v="12"/>
    <s v="Pedagogik                     "/>
    <s v="Sam"/>
    <s v="Ämneslärarprogrammet - Gy"/>
    <n v="25235"/>
    <n v="27976"/>
    <n v="83324.820000000007"/>
    <n v="3600"/>
    <n v="6120.0000000000009"/>
    <n v="89444.82"/>
    <n v="0"/>
    <n v="0"/>
    <n v="0"/>
    <n v="0"/>
    <n v="0"/>
    <n v="0"/>
    <n v="0"/>
    <n v="0"/>
    <n v="1"/>
    <n v="0"/>
    <n v="0"/>
    <n v="0"/>
  </r>
  <r>
    <s v="6PE272"/>
    <s v="Att undervisa i Samhällskunskap (VFU)"/>
    <m/>
    <s v="LYAGY"/>
    <s v="H19"/>
    <s v="ht"/>
    <s v="H2113-16"/>
    <s v="Umeå"/>
    <m/>
    <s v="IDRH"/>
    <m/>
    <n v="1"/>
    <n v="6"/>
    <m/>
    <m/>
    <n v="1"/>
    <n v="0.1"/>
    <n v="0.85"/>
    <n v="8.5000000000000006E-2"/>
    <x v="12"/>
    <s v="Pedagogik                     "/>
    <s v="Sam"/>
    <s v="Ämneslärarprogrammet - Gy"/>
    <n v="25235"/>
    <n v="27976"/>
    <n v="4901.46"/>
    <n v="3600"/>
    <n v="360"/>
    <n v="5261.46"/>
    <n v="0"/>
    <n v="0"/>
    <n v="0"/>
    <n v="0"/>
    <n v="0"/>
    <n v="0"/>
    <n v="0"/>
    <n v="0"/>
    <n v="1"/>
    <n v="0"/>
    <n v="0"/>
    <n v="0"/>
  </r>
  <r>
    <s v="6PE272"/>
    <s v="Att undervisa i Samhällskunskap (VFU)"/>
    <m/>
    <s v="LYAGY"/>
    <s v="H19"/>
    <s v="ht"/>
    <s v="H2113-16"/>
    <s v="Umeå"/>
    <m/>
    <s v="SAMK"/>
    <m/>
    <n v="1"/>
    <n v="6"/>
    <m/>
    <m/>
    <n v="11"/>
    <n v="1.1000000000000001"/>
    <n v="0.85"/>
    <n v="0.93500000000000005"/>
    <x v="12"/>
    <s v="Pedagogik                     "/>
    <s v="Sam"/>
    <s v="Ämneslärarprogrammet - Gy"/>
    <n v="25235"/>
    <n v="27976"/>
    <n v="53916.060000000005"/>
    <n v="3600"/>
    <n v="3960.0000000000005"/>
    <n v="57876.060000000005"/>
    <n v="0"/>
    <n v="0"/>
    <n v="0"/>
    <n v="0"/>
    <n v="0"/>
    <n v="0"/>
    <n v="0"/>
    <n v="0"/>
    <n v="1"/>
    <n v="0"/>
    <n v="0"/>
    <n v="0"/>
  </r>
  <r>
    <s v="6PE273"/>
    <s v="Fjärrundervisning"/>
    <m/>
    <s v="FRIST"/>
    <m/>
    <s v="sommar"/>
    <m/>
    <m/>
    <m/>
    <m/>
    <m/>
    <n v="0.5"/>
    <n v="7.5"/>
    <m/>
    <m/>
    <n v="30"/>
    <n v="3.75"/>
    <n v="0.8"/>
    <n v="3"/>
    <x v="12"/>
    <s v="Pedagogik                     "/>
    <s v="Sam"/>
    <s v="Fristående och övriga kurser"/>
    <n v="20766"/>
    <n v="17442"/>
    <n v="130198.5"/>
    <n v="6000"/>
    <n v="22500"/>
    <n v="152698.5"/>
    <n v="0"/>
    <n v="0"/>
    <n v="0"/>
    <n v="0"/>
    <n v="0"/>
    <n v="0"/>
    <n v="1"/>
    <n v="0"/>
    <n v="0"/>
    <n v="0"/>
    <n v="0"/>
    <n v="0"/>
  </r>
  <r>
    <s v="6PE275"/>
    <s v="Genuspedagogik i lärmiljöer"/>
    <n v="68701"/>
    <s v="FRIST"/>
    <m/>
    <s v="vt"/>
    <m/>
    <s v="Ortsoberoende"/>
    <s v="Distans"/>
    <m/>
    <m/>
    <m/>
    <n v="15"/>
    <m/>
    <m/>
    <n v="41"/>
    <n v="10.25"/>
    <n v="0.8"/>
    <n v="8.2000000000000011"/>
    <x v="13"/>
    <s v="TUV "/>
    <s v="Sam"/>
    <s v="Fristående och övriga kurser"/>
    <n v="20766"/>
    <n v="17442"/>
    <n v="355875.9"/>
    <n v="6000"/>
    <n v="61500"/>
    <n v="417375.9"/>
    <n v="0"/>
    <n v="0"/>
    <n v="0"/>
    <n v="0"/>
    <n v="0"/>
    <n v="0"/>
    <n v="1"/>
    <n v="0"/>
    <n v="0"/>
    <n v="0"/>
    <n v="0"/>
    <n v="0"/>
  </r>
  <r>
    <s v="6PE275"/>
    <s v="Genuspedagogik i lärmiljöer"/>
    <m/>
    <s v="FRIST"/>
    <m/>
    <s v="ht"/>
    <m/>
    <m/>
    <s v="Distans"/>
    <m/>
    <m/>
    <n v="0.5"/>
    <n v="15"/>
    <m/>
    <m/>
    <n v="50"/>
    <n v="12.5"/>
    <n v="0.8"/>
    <n v="10"/>
    <x v="13"/>
    <s v="TUV "/>
    <s v="Sam"/>
    <s v="Fristående och övriga kurser"/>
    <n v="20766"/>
    <n v="17442"/>
    <n v="433995"/>
    <n v="6000"/>
    <n v="75000"/>
    <n v="508995"/>
    <n v="0"/>
    <n v="0"/>
    <n v="0"/>
    <n v="0"/>
    <n v="0"/>
    <n v="0"/>
    <n v="1"/>
    <n v="0"/>
    <n v="0"/>
    <n v="0"/>
    <n v="0"/>
    <n v="0"/>
  </r>
  <r>
    <s v="6PE276"/>
    <s v="Mobbning i lärmiljöer"/>
    <n v="68703"/>
    <s v="FRIST"/>
    <m/>
    <s v="vt"/>
    <m/>
    <s v="Ortsoberoende"/>
    <s v="Distans"/>
    <m/>
    <m/>
    <m/>
    <n v="7.5"/>
    <m/>
    <m/>
    <n v="42"/>
    <n v="5.25"/>
    <n v="0.8"/>
    <n v="4.2"/>
    <x v="13"/>
    <s v="TUV "/>
    <s v="Sam"/>
    <s v="Fristående och övriga kurser"/>
    <n v="20766"/>
    <n v="17442"/>
    <n v="182277.90000000002"/>
    <n v="6000"/>
    <n v="31500"/>
    <n v="213777.90000000002"/>
    <n v="0"/>
    <n v="0"/>
    <n v="0"/>
    <n v="0"/>
    <n v="0"/>
    <n v="0"/>
    <n v="1"/>
    <n v="0"/>
    <n v="0"/>
    <n v="0"/>
    <n v="0"/>
    <n v="0"/>
  </r>
  <r>
    <s v="6PE276"/>
    <s v="Mobbning i lärmiljöer"/>
    <m/>
    <s v="FRIST"/>
    <m/>
    <s v="ht"/>
    <m/>
    <m/>
    <s v="Distans"/>
    <m/>
    <m/>
    <n v="0.25"/>
    <n v="7.5"/>
    <m/>
    <m/>
    <n v="50"/>
    <n v="6.25"/>
    <n v="0.8"/>
    <n v="5"/>
    <x v="13"/>
    <s v="TUV "/>
    <s v="Sam"/>
    <s v="Fristående och övriga kurser"/>
    <n v="20766"/>
    <n v="17442"/>
    <n v="216997.5"/>
    <n v="6000"/>
    <n v="37500"/>
    <n v="254497.5"/>
    <n v="0"/>
    <n v="0"/>
    <n v="0"/>
    <n v="0"/>
    <n v="0"/>
    <n v="0"/>
    <n v="1"/>
    <n v="0"/>
    <n v="0"/>
    <n v="0"/>
    <n v="0"/>
    <n v="0"/>
  </r>
  <r>
    <s v="6PE277"/>
    <s v="Kurs i examensarbete - Matematikutveckling"/>
    <m/>
    <s v="LYSPL"/>
    <s v="H20"/>
    <s v="ht"/>
    <s v="H216-15"/>
    <s v="Umeå"/>
    <m/>
    <s v="MAGG"/>
    <m/>
    <n v="1"/>
    <n v="15"/>
    <m/>
    <m/>
    <n v="9"/>
    <n v="2.25"/>
    <n v="0.85"/>
    <n v="1.9124999999999999"/>
    <x v="7"/>
    <s v="NMD"/>
    <s v="TekNat"/>
    <s v="Speciallärarprogrammet"/>
    <n v="20757"/>
    <n v="36082"/>
    <n v="115710.075"/>
    <n v="22600"/>
    <n v="50850"/>
    <n v="166560.07500000001"/>
    <n v="0"/>
    <n v="0"/>
    <n v="0"/>
    <n v="0"/>
    <n v="0"/>
    <n v="1"/>
    <n v="0"/>
    <n v="0"/>
    <n v="0"/>
    <n v="0"/>
    <n v="0"/>
    <n v="0"/>
  </r>
  <r>
    <s v="6PE278"/>
    <s v="Undervisning och kvalitetsutveckling i förskola respektive fritidshem"/>
    <m/>
    <s v="FRIST"/>
    <m/>
    <s v="ht"/>
    <m/>
    <m/>
    <s v="Distans"/>
    <m/>
    <m/>
    <n v="0.5"/>
    <n v="15"/>
    <m/>
    <m/>
    <n v="30"/>
    <n v="7.5"/>
    <n v="0.8"/>
    <n v="6"/>
    <x v="13"/>
    <s v="TUV "/>
    <s v="Sam"/>
    <s v="Fristående och övriga kurser"/>
    <n v="20766"/>
    <n v="17442"/>
    <n v="260397"/>
    <n v="6000"/>
    <n v="45000"/>
    <n v="305397"/>
    <n v="0"/>
    <n v="0"/>
    <n v="0"/>
    <n v="0"/>
    <n v="0"/>
    <n v="0"/>
    <n v="1"/>
    <n v="0"/>
    <n v="0"/>
    <n v="0"/>
    <n v="0"/>
    <n v="0"/>
  </r>
  <r>
    <s v="6PE279"/>
    <s v="Språk och matematik i ett specialpedagogiskt perspektiv"/>
    <m/>
    <s v="LYSPE"/>
    <s v="H19"/>
    <s v="ht"/>
    <s v="H2116-20"/>
    <s v="Umeå"/>
    <m/>
    <s v="SVGG"/>
    <m/>
    <n v="1"/>
    <n v="7.5"/>
    <m/>
    <m/>
    <n v="1"/>
    <n v="0.125"/>
    <n v="0.85"/>
    <n v="0.10625"/>
    <x v="7"/>
    <s v="NMD"/>
    <s v="TekNat"/>
    <s v="Specialpedagogprogrammet"/>
    <n v="20757"/>
    <n v="36082"/>
    <n v="6428.3374999999996"/>
    <n v="22600"/>
    <n v="2825"/>
    <n v="9253.3374999999996"/>
    <n v="0"/>
    <n v="0"/>
    <n v="0"/>
    <n v="0"/>
    <n v="0"/>
    <n v="1"/>
    <n v="0"/>
    <n v="0"/>
    <n v="0"/>
    <n v="0"/>
    <n v="0"/>
    <n v="0"/>
  </r>
  <r>
    <s v="6PE279"/>
    <s v="Språk och matematik i ett specialpedagogiskt perspektiv"/>
    <m/>
    <s v="LYSPE"/>
    <s v="H20"/>
    <s v="ht"/>
    <s v="H2116-20"/>
    <s v="Umeå"/>
    <m/>
    <s v="ALLM"/>
    <m/>
    <n v="1"/>
    <n v="7.5"/>
    <m/>
    <m/>
    <n v="35"/>
    <n v="4.375"/>
    <n v="0.85"/>
    <n v="3.71875"/>
    <x v="7"/>
    <s v="NMD"/>
    <s v="TekNat"/>
    <s v="Specialpedagogprogrammet"/>
    <n v="20757"/>
    <n v="36082"/>
    <n v="224991.8125"/>
    <n v="22600"/>
    <n v="98875"/>
    <n v="323866.8125"/>
    <n v="0"/>
    <n v="0"/>
    <n v="0"/>
    <n v="0"/>
    <n v="0"/>
    <n v="1"/>
    <n v="0"/>
    <n v="0"/>
    <n v="0"/>
    <n v="0"/>
    <n v="0"/>
    <n v="0"/>
  </r>
  <r>
    <s v="6PE279"/>
    <s v="Språk och matematik i ett specialpedagogiskt perspektiv"/>
    <m/>
    <s v="LYSPL"/>
    <s v="H19"/>
    <s v="ht"/>
    <s v="H2116-20"/>
    <s v="Umeå"/>
    <m/>
    <s v="UTGG"/>
    <m/>
    <n v="1"/>
    <n v="7.5"/>
    <m/>
    <m/>
    <n v="1"/>
    <n v="0.125"/>
    <n v="0.85"/>
    <n v="0.10625"/>
    <x v="7"/>
    <s v="NMD"/>
    <s v="TekNat"/>
    <s v="Speciallärarprogrammet"/>
    <n v="20757"/>
    <n v="36082"/>
    <n v="6428.3374999999996"/>
    <n v="22600"/>
    <n v="2825"/>
    <n v="9253.3374999999996"/>
    <n v="0"/>
    <n v="0"/>
    <n v="0"/>
    <n v="0"/>
    <n v="0"/>
    <n v="1"/>
    <n v="0"/>
    <n v="0"/>
    <n v="0"/>
    <n v="0"/>
    <n v="0"/>
    <n v="0"/>
  </r>
  <r>
    <s v="6PE279"/>
    <s v="Språk och matematik i ett specialpedagogiskt perspektiv"/>
    <m/>
    <s v="LYSPL"/>
    <s v="H20"/>
    <s v="ht"/>
    <s v="H2116-20"/>
    <s v="Umeå"/>
    <m/>
    <s v="UTGG"/>
    <m/>
    <n v="1"/>
    <n v="7.5"/>
    <m/>
    <m/>
    <n v="14"/>
    <n v="1.75"/>
    <n v="0.85"/>
    <n v="1.4875"/>
    <x v="7"/>
    <s v="NMD"/>
    <s v="TekNat"/>
    <s v="Speciallärarprogrammet"/>
    <n v="20757"/>
    <n v="36082"/>
    <n v="89996.725000000006"/>
    <n v="22600"/>
    <n v="39550"/>
    <n v="129546.72500000001"/>
    <n v="0"/>
    <n v="0"/>
    <n v="0"/>
    <n v="0"/>
    <n v="0"/>
    <n v="1"/>
    <n v="0"/>
    <n v="0"/>
    <n v="0"/>
    <n v="0"/>
    <n v="0"/>
    <n v="0"/>
  </r>
  <r>
    <s v="6PE280"/>
    <s v="Matematik i specialpedagogiskt perspektiv"/>
    <m/>
    <s v="LYSPE"/>
    <s v="H19"/>
    <s v="ht"/>
    <s v="H2116-20"/>
    <s v="Umeå"/>
    <m/>
    <s v="ALLM"/>
    <m/>
    <n v="1"/>
    <n v="7.5"/>
    <m/>
    <m/>
    <n v="1"/>
    <n v="0.125"/>
    <n v="0.85"/>
    <n v="0.10625"/>
    <x v="7"/>
    <s v="NMD"/>
    <s v="TekNat"/>
    <s v="Specialpedagogprogrammet"/>
    <n v="20757"/>
    <n v="36082"/>
    <n v="6428.3374999999996"/>
    <n v="22600"/>
    <n v="2825"/>
    <n v="9253.3374999999996"/>
    <n v="0"/>
    <n v="0"/>
    <n v="0"/>
    <n v="0"/>
    <n v="0"/>
    <n v="1"/>
    <n v="0"/>
    <n v="0"/>
    <n v="0"/>
    <n v="0"/>
    <n v="0"/>
    <n v="0"/>
  </r>
  <r>
    <s v="6PE280"/>
    <s v="Matematik i specialpedagogiskt perspektiv"/>
    <m/>
    <s v="LYSPL"/>
    <s v="H20"/>
    <s v="ht"/>
    <s v="H2116-20"/>
    <s v="Umeå"/>
    <m/>
    <s v="SVGG"/>
    <m/>
    <n v="1"/>
    <n v="7.5"/>
    <m/>
    <m/>
    <n v="14"/>
    <n v="1.75"/>
    <n v="0.85"/>
    <n v="1.4875"/>
    <x v="7"/>
    <s v="NMD"/>
    <s v="TekNat"/>
    <s v="Speciallärarprogrammet"/>
    <n v="20757"/>
    <n v="36082"/>
    <n v="89996.725000000006"/>
    <n v="22600"/>
    <n v="39550"/>
    <n v="129546.72500000001"/>
    <n v="0"/>
    <n v="0"/>
    <n v="0"/>
    <n v="0"/>
    <n v="0"/>
    <n v="1"/>
    <n v="0"/>
    <n v="0"/>
    <n v="0"/>
    <n v="0"/>
    <n v="0"/>
    <n v="0"/>
  </r>
  <r>
    <s v="6PE281"/>
    <s v="Ämnesdidaktik för yrkeslärare (UVK)"/>
    <n v="68729"/>
    <s v="LYYRK"/>
    <m/>
    <s v="vt"/>
    <m/>
    <s v="Umeå"/>
    <s v="Distans"/>
    <m/>
    <m/>
    <m/>
    <n v="10"/>
    <m/>
    <m/>
    <n v="71"/>
    <n v="11.833"/>
    <n v="0.85"/>
    <n v="10.05805"/>
    <x v="13"/>
    <s v="TUV "/>
    <s v="Sam"/>
    <s v="Yrkeslärarprogrammet"/>
    <n v="26554"/>
    <n v="33465"/>
    <n v="650806.12525000004"/>
    <n v="6000"/>
    <n v="70998"/>
    <n v="721804.12525000004"/>
    <n v="0"/>
    <n v="0"/>
    <n v="0"/>
    <n v="1"/>
    <n v="0"/>
    <n v="0"/>
    <n v="0"/>
    <n v="0"/>
    <n v="0"/>
    <n v="0"/>
    <n v="0"/>
    <n v="0"/>
  </r>
  <r>
    <s v="6PE282"/>
    <s v="Profession och vetenskap för yrkeslärare (UVK)"/>
    <n v="68730"/>
    <s v="LYYRK"/>
    <m/>
    <s v="vt"/>
    <m/>
    <s v="Umeå"/>
    <s v="Distans"/>
    <m/>
    <m/>
    <m/>
    <n v="5"/>
    <m/>
    <m/>
    <n v="69"/>
    <n v="5.75"/>
    <n v="0.85"/>
    <n v="4.8875000000000002"/>
    <x v="13"/>
    <s v="TUV "/>
    <s v="Sam"/>
    <s v="Yrkeslärarprogrammet"/>
    <n v="26554"/>
    <n v="33465"/>
    <n v="316245.6875"/>
    <n v="6000"/>
    <n v="34500"/>
    <n v="350745.6875"/>
    <n v="0"/>
    <n v="0"/>
    <n v="0"/>
    <n v="1"/>
    <n v="0"/>
    <n v="0"/>
    <n v="0"/>
    <n v="0"/>
    <n v="0"/>
    <n v="0"/>
    <n v="0"/>
    <n v="0"/>
  </r>
  <r>
    <s v="6PE283"/>
    <s v="Kunskap, undervisning och lärande 2 (UVK)"/>
    <m/>
    <s v="LYYRK"/>
    <s v="H19"/>
    <s v="ht"/>
    <s v="H211-20"/>
    <s v="Umeå"/>
    <m/>
    <m/>
    <m/>
    <n v="0.5"/>
    <n v="15"/>
    <m/>
    <m/>
    <n v="1"/>
    <n v="0.25"/>
    <n v="0.85"/>
    <n v="0.21249999999999999"/>
    <x v="12"/>
    <s v="Pedagogik                     "/>
    <s v="Sam"/>
    <s v="Yrkeslärarprogrammet"/>
    <n v="26554"/>
    <n v="33465"/>
    <n v="13749.8125"/>
    <n v="6000"/>
    <n v="1500"/>
    <n v="15249.8125"/>
    <n v="0"/>
    <n v="0"/>
    <n v="0"/>
    <n v="1"/>
    <n v="0"/>
    <n v="0"/>
    <n v="0"/>
    <n v="0"/>
    <n v="0"/>
    <n v="0"/>
    <n v="0"/>
    <n v="0"/>
  </r>
  <r>
    <s v="6PE283"/>
    <s v="Kunskap, undervisning och lärande 2 (UVK)"/>
    <m/>
    <s v="LYYRK"/>
    <s v="H20"/>
    <s v="ht"/>
    <s v="H211-20"/>
    <s v="Umeå"/>
    <m/>
    <m/>
    <m/>
    <n v="0.5"/>
    <n v="15"/>
    <m/>
    <m/>
    <n v="43"/>
    <n v="10.75"/>
    <n v="0.85"/>
    <n v="9.1374999999999993"/>
    <x v="12"/>
    <s v="Pedagogik                     "/>
    <s v="Sam"/>
    <s v="Yrkeslärarprogrammet"/>
    <n v="26554"/>
    <n v="33465"/>
    <n v="591241.9375"/>
    <n v="6000"/>
    <n v="64500"/>
    <n v="655741.9375"/>
    <n v="0"/>
    <n v="0"/>
    <n v="0"/>
    <n v="1"/>
    <n v="0"/>
    <n v="0"/>
    <n v="0"/>
    <n v="0"/>
    <n v="0"/>
    <n v="0"/>
    <n v="0"/>
    <n v="0"/>
  </r>
  <r>
    <s v="6PE284"/>
    <s v="Pedagogiskt ledarskap, sociala relationer och specialpedagogik (UVK)"/>
    <n v="64504"/>
    <s v="LYYRK"/>
    <m/>
    <s v="vt"/>
    <m/>
    <s v="Umeå"/>
    <s v="Distans"/>
    <m/>
    <m/>
    <m/>
    <n v="10"/>
    <m/>
    <m/>
    <n v="46"/>
    <n v="7.6669999999999998"/>
    <n v="0.85"/>
    <n v="6.5169499999999996"/>
    <x v="12"/>
    <s v="Pedagogik                     "/>
    <s v="Sam"/>
    <s v="Yrkeslärarprogrammet"/>
    <n v="26554"/>
    <n v="33465"/>
    <n v="421679.24974999996"/>
    <n v="6000"/>
    <n v="46002"/>
    <n v="467681.24974999996"/>
    <n v="0"/>
    <n v="0"/>
    <n v="0"/>
    <n v="1"/>
    <n v="0"/>
    <n v="0"/>
    <n v="0"/>
    <n v="0"/>
    <n v="0"/>
    <n v="0"/>
    <n v="0"/>
    <n v="0"/>
  </r>
  <r>
    <s v="6PE285"/>
    <s v="Verksamhetsförlagd utbildning för yrkeslärare (VFU)"/>
    <m/>
    <s v="LYYRK"/>
    <s v="H16"/>
    <s v="vt"/>
    <s v="H201-20:V211-20"/>
    <s v="Umeå"/>
    <m/>
    <m/>
    <m/>
    <n v="0.5"/>
    <n v="15"/>
    <m/>
    <m/>
    <n v="1"/>
    <n v="0.25"/>
    <n v="0.85"/>
    <n v="0.21249999999999999"/>
    <x v="12"/>
    <s v="Pedagogik                     "/>
    <s v="Sam"/>
    <s v="Yrkeslärarprogrammet"/>
    <n v="25235"/>
    <n v="27976"/>
    <n v="12253.65"/>
    <n v="3600"/>
    <n v="900"/>
    <n v="13153.65"/>
    <n v="0"/>
    <n v="0"/>
    <n v="0"/>
    <n v="0"/>
    <n v="0"/>
    <n v="0"/>
    <n v="0"/>
    <n v="0"/>
    <n v="1"/>
    <n v="0"/>
    <n v="0"/>
    <n v="0"/>
  </r>
  <r>
    <s v="6PE285"/>
    <s v="Verksamhetsförlagd utbildning för yrkeslärare (VFU)"/>
    <m/>
    <s v="LYYRK"/>
    <s v="H17"/>
    <s v="vt"/>
    <s v="H201-20:V211-20"/>
    <s v="Umeå"/>
    <m/>
    <m/>
    <m/>
    <n v="0.5"/>
    <n v="15"/>
    <m/>
    <m/>
    <n v="2"/>
    <n v="0.5"/>
    <n v="0.85"/>
    <n v="0.42499999999999999"/>
    <x v="12"/>
    <s v="Pedagogik                     "/>
    <s v="Sam"/>
    <s v="Yrkeslärarprogrammet"/>
    <n v="25235"/>
    <n v="27976"/>
    <n v="24507.3"/>
    <n v="3600"/>
    <n v="1800"/>
    <n v="26307.3"/>
    <n v="0"/>
    <n v="0"/>
    <n v="0"/>
    <n v="0"/>
    <n v="0"/>
    <n v="0"/>
    <n v="0"/>
    <n v="0"/>
    <n v="1"/>
    <n v="0"/>
    <n v="0"/>
    <n v="0"/>
  </r>
  <r>
    <s v="6PE285"/>
    <s v="Verksamhetsförlagd utbildning för yrkeslärare (VFU)"/>
    <m/>
    <s v="LYYRK"/>
    <s v="H17"/>
    <s v="ht"/>
    <s v="H211-20:V221-20"/>
    <s v="Umeå"/>
    <m/>
    <m/>
    <m/>
    <n v="0.5"/>
    <n v="15"/>
    <m/>
    <m/>
    <n v="1"/>
    <n v="0.25"/>
    <n v="0.85"/>
    <n v="0.21249999999999999"/>
    <x v="12"/>
    <s v="Pedagogik                     "/>
    <s v="Sam"/>
    <s v="Yrkeslärarprogrammet"/>
    <n v="25235"/>
    <n v="27976"/>
    <n v="12253.65"/>
    <n v="3600"/>
    <n v="900"/>
    <n v="13153.65"/>
    <n v="0"/>
    <n v="0"/>
    <n v="0"/>
    <n v="0"/>
    <n v="0"/>
    <n v="0"/>
    <n v="0"/>
    <n v="0"/>
    <n v="1"/>
    <n v="0"/>
    <n v="0"/>
    <n v="0"/>
  </r>
  <r>
    <s v="6PE285"/>
    <s v="Verksamhetsförlagd utbildning för yrkeslärare (VFU)"/>
    <m/>
    <s v="LYYRK"/>
    <s v="H18"/>
    <s v="vt"/>
    <s v="H201-20:V211-20"/>
    <s v="Umeå"/>
    <m/>
    <m/>
    <m/>
    <n v="0.5"/>
    <n v="15"/>
    <m/>
    <m/>
    <n v="37"/>
    <n v="9.25"/>
    <n v="0.85"/>
    <n v="7.8624999999999998"/>
    <x v="12"/>
    <s v="Pedagogik                     "/>
    <s v="Sam"/>
    <s v="Yrkeslärarprogrammet"/>
    <n v="25235"/>
    <n v="27976"/>
    <n v="453385.05"/>
    <n v="3600"/>
    <n v="33300"/>
    <n v="486685.05"/>
    <n v="0"/>
    <n v="0"/>
    <n v="0"/>
    <n v="0"/>
    <n v="0"/>
    <n v="0"/>
    <n v="0"/>
    <n v="0"/>
    <n v="1"/>
    <n v="0"/>
    <n v="0"/>
    <n v="0"/>
  </r>
  <r>
    <s v="6PE285"/>
    <s v="Verksamhetsförlagd utbildning för yrkeslärare (VFU)"/>
    <m/>
    <s v="LYYRK"/>
    <s v="H18"/>
    <s v="ht"/>
    <s v="H211-20:V221-20"/>
    <s v="Umeå"/>
    <m/>
    <m/>
    <m/>
    <n v="0.5"/>
    <n v="15"/>
    <m/>
    <m/>
    <n v="1"/>
    <n v="0.25"/>
    <n v="0.85"/>
    <n v="0.21249999999999999"/>
    <x v="12"/>
    <s v="Pedagogik                     "/>
    <s v="Sam"/>
    <s v="Yrkeslärarprogrammet"/>
    <n v="25235"/>
    <n v="27976"/>
    <n v="12253.65"/>
    <n v="3600"/>
    <n v="900"/>
    <n v="13153.65"/>
    <n v="0"/>
    <n v="0"/>
    <n v="0"/>
    <n v="0"/>
    <n v="0"/>
    <n v="0"/>
    <n v="0"/>
    <n v="0"/>
    <n v="1"/>
    <n v="0"/>
    <n v="0"/>
    <n v="0"/>
  </r>
  <r>
    <s v="6PE285"/>
    <s v="Verksamhetsförlagd utbildning för yrkeslärare (VFU)"/>
    <m/>
    <s v="LYYRK"/>
    <s v="H19"/>
    <s v="ht"/>
    <s v="H211-20:V221-20"/>
    <s v="Umeå"/>
    <m/>
    <m/>
    <m/>
    <n v="0.5"/>
    <n v="15"/>
    <m/>
    <m/>
    <n v="66"/>
    <n v="16.5"/>
    <n v="0.85"/>
    <n v="14.025"/>
    <x v="12"/>
    <s v="Pedagogik                     "/>
    <s v="Sam"/>
    <s v="Yrkeslärarprogrammet"/>
    <n v="25235"/>
    <n v="27976"/>
    <n v="808740.9"/>
    <n v="3600"/>
    <n v="59400"/>
    <n v="868140.9"/>
    <n v="0"/>
    <n v="0"/>
    <n v="0"/>
    <n v="0"/>
    <n v="0"/>
    <n v="0"/>
    <n v="0"/>
    <n v="0"/>
    <n v="1"/>
    <n v="0"/>
    <n v="0"/>
    <n v="0"/>
  </r>
  <r>
    <s v="6PE287"/>
    <s v="Läraryrkets dimensioner för förskolan 2 (VFU)"/>
    <m/>
    <s v="LYFSK"/>
    <s v="H18"/>
    <s v="ht"/>
    <s v="H211-5"/>
    <s v="Umeå"/>
    <s v="Campus"/>
    <m/>
    <m/>
    <n v="1"/>
    <n v="7.5"/>
    <m/>
    <m/>
    <n v="38"/>
    <n v="4.75"/>
    <n v="0.85"/>
    <n v="4.0374999999999996"/>
    <x v="13"/>
    <s v="TUV "/>
    <s v="Sam"/>
    <s v="Förskollärarprogrammet"/>
    <n v="25235"/>
    <n v="27976"/>
    <n v="232819.34999999998"/>
    <n v="3600"/>
    <n v="17100"/>
    <n v="249919.34999999998"/>
    <n v="0"/>
    <n v="0"/>
    <n v="0"/>
    <n v="0"/>
    <n v="0"/>
    <n v="0"/>
    <n v="0"/>
    <n v="0"/>
    <n v="1"/>
    <n v="0"/>
    <n v="0"/>
    <n v="0"/>
  </r>
  <r>
    <s v="6PE287"/>
    <s v="Läraryrkets dimensioner för förskolan 2 (VFU)"/>
    <m/>
    <s v="LYFSK"/>
    <s v="V18"/>
    <s v="ht"/>
    <s v="H211-5"/>
    <s v="Umeå"/>
    <s v="Campus"/>
    <m/>
    <m/>
    <n v="1"/>
    <n v="7.5"/>
    <m/>
    <m/>
    <n v="1"/>
    <n v="0.125"/>
    <n v="0.85"/>
    <n v="0.10625"/>
    <x v="13"/>
    <s v="TUV "/>
    <s v="Sam"/>
    <s v="Förskollärarprogrammet"/>
    <n v="25235"/>
    <n v="27976"/>
    <n v="6126.8249999999998"/>
    <n v="3600"/>
    <n v="450"/>
    <n v="6576.8249999999998"/>
    <n v="0"/>
    <n v="0"/>
    <n v="0"/>
    <n v="0"/>
    <n v="0"/>
    <n v="0"/>
    <n v="0"/>
    <n v="0"/>
    <n v="1"/>
    <n v="0"/>
    <n v="0"/>
    <n v="0"/>
  </r>
  <r>
    <s v="6PE287"/>
    <s v="Läraryrkets dimensioner för förskolan 2 (VFU)"/>
    <m/>
    <s v="LYFSK"/>
    <s v="V19"/>
    <s v="ht"/>
    <s v="H211-5"/>
    <s v="Umeå"/>
    <s v="Campus"/>
    <m/>
    <m/>
    <n v="1"/>
    <n v="7.5"/>
    <m/>
    <m/>
    <n v="1"/>
    <n v="0.125"/>
    <n v="0.85"/>
    <n v="0.10625"/>
    <x v="13"/>
    <s v="TUV "/>
    <s v="Sam"/>
    <s v="Förskollärarprogrammet"/>
    <n v="25235"/>
    <n v="27976"/>
    <n v="6126.8249999999998"/>
    <n v="3600"/>
    <n v="450"/>
    <n v="6576.8249999999998"/>
    <n v="0"/>
    <n v="0"/>
    <n v="0"/>
    <n v="0"/>
    <n v="0"/>
    <n v="0"/>
    <n v="0"/>
    <n v="0"/>
    <n v="1"/>
    <n v="0"/>
    <n v="0"/>
    <n v="0"/>
  </r>
  <r>
    <s v="6PE287"/>
    <s v="Läraryrkets dimensioner för förskolan 2 (VFU)"/>
    <n v="68706"/>
    <s v="LYFSK"/>
    <m/>
    <s v="vt"/>
    <m/>
    <s v="Umeå"/>
    <s v="Normal"/>
    <m/>
    <m/>
    <m/>
    <n v="7.5"/>
    <m/>
    <m/>
    <n v="17"/>
    <n v="2.125"/>
    <n v="0.85"/>
    <n v="1.8062499999999999"/>
    <x v="13"/>
    <s v="TUV "/>
    <s v="Sam"/>
    <s v="Förskollärarprogrammet"/>
    <n v="25235"/>
    <n v="27976"/>
    <n v="104156.02499999999"/>
    <n v="3600"/>
    <n v="7650"/>
    <n v="111806.02499999999"/>
    <n v="0"/>
    <n v="0"/>
    <n v="0"/>
    <n v="0"/>
    <n v="0"/>
    <n v="0"/>
    <n v="0"/>
    <n v="0"/>
    <n v="1"/>
    <n v="0"/>
    <n v="0"/>
    <n v="0"/>
  </r>
  <r>
    <s v="6PE287"/>
    <s v="Läraryrkets dimensioner för förskolan 2 (VFU)"/>
    <n v="68719"/>
    <s v="LYFSK"/>
    <m/>
    <s v="vt"/>
    <m/>
    <s v="Örnsköldsvik"/>
    <s v="Normal"/>
    <m/>
    <m/>
    <m/>
    <n v="7.5"/>
    <m/>
    <m/>
    <n v="16"/>
    <n v="2"/>
    <n v="0.85"/>
    <n v="1.7"/>
    <x v="13"/>
    <s v="TUV "/>
    <s v="Sam"/>
    <s v="Förskollärarprogrammet"/>
    <n v="25235"/>
    <n v="27976"/>
    <n v="98029.2"/>
    <n v="3600"/>
    <n v="7200"/>
    <n v="105229.2"/>
    <n v="0"/>
    <n v="0"/>
    <n v="0"/>
    <n v="0"/>
    <n v="0"/>
    <n v="0"/>
    <n v="0"/>
    <n v="0"/>
    <n v="1"/>
    <n v="0"/>
    <n v="0"/>
    <n v="0"/>
  </r>
  <r>
    <s v="6PE288"/>
    <s v="Forskningsmetod och profession (UVK)"/>
    <m/>
    <s v="LYFSK"/>
    <s v="H18"/>
    <s v="ht"/>
    <s v="H216-10"/>
    <s v="Umeå"/>
    <s v="Campus"/>
    <m/>
    <m/>
    <n v="1"/>
    <n v="7.5"/>
    <m/>
    <m/>
    <n v="38"/>
    <n v="4.75"/>
    <n v="0.85"/>
    <n v="4.0374999999999996"/>
    <x v="13"/>
    <s v="TUV "/>
    <s v="Sam"/>
    <s v="Förskollärarprogrammet"/>
    <n v="26554"/>
    <n v="33465"/>
    <n v="261246.4375"/>
    <n v="6000"/>
    <n v="28500"/>
    <n v="289746.4375"/>
    <n v="0"/>
    <n v="0"/>
    <n v="0"/>
    <n v="1"/>
    <n v="0"/>
    <n v="0"/>
    <n v="0"/>
    <n v="0"/>
    <n v="0"/>
    <n v="0"/>
    <n v="0"/>
    <n v="0"/>
  </r>
  <r>
    <s v="6PE288"/>
    <s v="Forskningsmetod och profession (UVK)"/>
    <m/>
    <s v="LYFSK"/>
    <s v="V18"/>
    <s v="ht"/>
    <s v="H216-10"/>
    <s v="Umeå"/>
    <s v="Campus"/>
    <m/>
    <m/>
    <n v="1"/>
    <n v="7.5"/>
    <m/>
    <m/>
    <n v="1"/>
    <n v="0.125"/>
    <n v="0.85"/>
    <n v="0.10625"/>
    <x v="13"/>
    <s v="TUV "/>
    <s v="Sam"/>
    <s v="Förskollärarprogrammet"/>
    <n v="26554"/>
    <n v="33465"/>
    <n v="6874.90625"/>
    <n v="6000"/>
    <n v="750"/>
    <n v="7624.90625"/>
    <n v="0"/>
    <n v="0"/>
    <n v="0"/>
    <n v="1"/>
    <n v="0"/>
    <n v="0"/>
    <n v="0"/>
    <n v="0"/>
    <n v="0"/>
    <n v="0"/>
    <n v="0"/>
    <n v="0"/>
  </r>
  <r>
    <s v="6PE288"/>
    <s v="Forskningsmetod och profession (UVK)"/>
    <m/>
    <s v="LYFSK"/>
    <s v="V19"/>
    <s v="ht"/>
    <s v="H216-10"/>
    <s v="Umeå"/>
    <s v="Campus"/>
    <m/>
    <m/>
    <n v="1"/>
    <n v="7.5"/>
    <m/>
    <m/>
    <n v="1"/>
    <n v="0.125"/>
    <n v="0.85"/>
    <n v="0.10625"/>
    <x v="13"/>
    <s v="TUV "/>
    <s v="Sam"/>
    <s v="Förskollärarprogrammet"/>
    <n v="26554"/>
    <n v="33465"/>
    <n v="6874.90625"/>
    <n v="6000"/>
    <n v="750"/>
    <n v="7624.90625"/>
    <n v="0"/>
    <n v="0"/>
    <n v="0"/>
    <n v="1"/>
    <n v="0"/>
    <n v="0"/>
    <n v="0"/>
    <n v="0"/>
    <n v="0"/>
    <n v="0"/>
    <n v="0"/>
    <n v="0"/>
  </r>
  <r>
    <s v="6PE288"/>
    <s v="Forskningsmetod och profession (UVK)"/>
    <n v="68707"/>
    <s v="LYFSK"/>
    <m/>
    <s v="vt"/>
    <m/>
    <s v="Umeå"/>
    <s v="Normal"/>
    <m/>
    <m/>
    <m/>
    <n v="7.5"/>
    <m/>
    <m/>
    <n v="18"/>
    <n v="2.25"/>
    <n v="0.85"/>
    <n v="1.9124999999999999"/>
    <x v="13"/>
    <s v="TUV "/>
    <s v="Sam"/>
    <s v="Förskollärarprogrammet"/>
    <n v="26554"/>
    <n v="33465"/>
    <n v="123748.3125"/>
    <n v="6000"/>
    <n v="13500"/>
    <n v="137248.3125"/>
    <n v="0"/>
    <n v="0"/>
    <n v="0"/>
    <n v="1"/>
    <n v="0"/>
    <n v="0"/>
    <n v="0"/>
    <n v="0"/>
    <n v="0"/>
    <n v="0"/>
    <n v="0"/>
    <n v="0"/>
  </r>
  <r>
    <s v="6PE288"/>
    <s v="Forskningsmetod och profession (UVK)"/>
    <n v="68720"/>
    <s v="LYFSK"/>
    <m/>
    <s v="vt"/>
    <m/>
    <s v="Örnsköldsvik"/>
    <s v="Normal"/>
    <m/>
    <m/>
    <m/>
    <n v="7.5"/>
    <m/>
    <m/>
    <n v="16"/>
    <n v="2"/>
    <n v="0.85"/>
    <n v="1.7"/>
    <x v="13"/>
    <s v="TUV "/>
    <s v="Sam"/>
    <s v="Förskollärarprogrammet"/>
    <n v="26554"/>
    <n v="33465"/>
    <n v="109998.5"/>
    <n v="6000"/>
    <n v="12000"/>
    <n v="121998.5"/>
    <n v="0"/>
    <n v="0"/>
    <n v="0"/>
    <n v="1"/>
    <n v="0"/>
    <n v="0"/>
    <n v="0"/>
    <n v="0"/>
    <n v="0"/>
    <n v="0"/>
    <n v="0"/>
    <n v="0"/>
  </r>
  <r>
    <s v="6PE289"/>
    <s v="Examensarbete för förskollärarexamen"/>
    <m/>
    <s v="LYFSK"/>
    <s v="H18"/>
    <s v="ht"/>
    <s v="H2111-20"/>
    <s v="Umeå"/>
    <s v="Campus"/>
    <m/>
    <m/>
    <n v="1"/>
    <n v="15"/>
    <m/>
    <m/>
    <n v="38"/>
    <n v="9.5"/>
    <n v="0.85"/>
    <n v="8.0749999999999993"/>
    <x v="13"/>
    <s v="TUV "/>
    <s v="Sam"/>
    <s v="Förskollärarprogrammet"/>
    <n v="20766"/>
    <n v="17442"/>
    <n v="338121.15"/>
    <n v="6000"/>
    <n v="57000"/>
    <n v="395121.15"/>
    <n v="0"/>
    <n v="0"/>
    <n v="0"/>
    <n v="0"/>
    <n v="0"/>
    <n v="0"/>
    <n v="1"/>
    <n v="0"/>
    <n v="0"/>
    <n v="0"/>
    <n v="0"/>
    <n v="0"/>
  </r>
  <r>
    <s v="6PE289"/>
    <s v="Examensarbete för förskollärarexamen"/>
    <m/>
    <s v="LYFSK"/>
    <s v="V18"/>
    <s v="ht"/>
    <s v="H2111-20"/>
    <s v="Umeå"/>
    <s v="Campus"/>
    <m/>
    <m/>
    <n v="1"/>
    <n v="15"/>
    <m/>
    <m/>
    <n v="1"/>
    <n v="0.25"/>
    <n v="0.85"/>
    <n v="0.21249999999999999"/>
    <x v="13"/>
    <s v="TUV "/>
    <s v="Sam"/>
    <s v="Förskollärarprogrammet"/>
    <n v="20766"/>
    <n v="17442"/>
    <n v="8897.9249999999993"/>
    <n v="6000"/>
    <n v="1500"/>
    <n v="10397.924999999999"/>
    <n v="0"/>
    <n v="0"/>
    <n v="0"/>
    <n v="0"/>
    <n v="0"/>
    <n v="0"/>
    <n v="1"/>
    <n v="0"/>
    <n v="0"/>
    <n v="0"/>
    <n v="0"/>
    <n v="0"/>
  </r>
  <r>
    <s v="6PE289"/>
    <s v="Examensarbete för förskollärarexamen"/>
    <m/>
    <s v="LYFSK"/>
    <s v="V19"/>
    <s v="ht"/>
    <s v="H2111-20"/>
    <s v="Umeå"/>
    <s v="Campus"/>
    <m/>
    <m/>
    <n v="1"/>
    <n v="15"/>
    <m/>
    <m/>
    <n v="1"/>
    <n v="0.25"/>
    <n v="0.85"/>
    <n v="0.21249999999999999"/>
    <x v="13"/>
    <s v="TUV "/>
    <s v="Sam"/>
    <s v="Förskollärarprogrammet"/>
    <n v="20766"/>
    <n v="17442"/>
    <n v="8897.9249999999993"/>
    <n v="6000"/>
    <n v="1500"/>
    <n v="10397.924999999999"/>
    <n v="0"/>
    <n v="0"/>
    <n v="0"/>
    <n v="0"/>
    <n v="0"/>
    <n v="0"/>
    <n v="1"/>
    <n v="0"/>
    <n v="0"/>
    <n v="0"/>
    <n v="0"/>
    <n v="0"/>
  </r>
  <r>
    <s v="6PE289"/>
    <s v="Examensarbete för förskollärarexamen"/>
    <n v="68712"/>
    <s v="LYFSK"/>
    <m/>
    <s v="vt"/>
    <m/>
    <s v="Umeå"/>
    <s v="Normal"/>
    <m/>
    <m/>
    <m/>
    <n v="15"/>
    <m/>
    <m/>
    <n v="18"/>
    <n v="4.5"/>
    <n v="0.85"/>
    <n v="3.8249999999999997"/>
    <x v="13"/>
    <s v="TUV "/>
    <s v="Sam"/>
    <s v="Förskollärarprogrammet"/>
    <n v="20766"/>
    <n v="17442"/>
    <n v="160162.65"/>
    <n v="6000"/>
    <n v="27000"/>
    <n v="187162.65"/>
    <n v="0"/>
    <n v="0"/>
    <n v="0"/>
    <n v="0"/>
    <n v="0"/>
    <n v="0"/>
    <n v="1"/>
    <n v="0"/>
    <n v="0"/>
    <n v="0"/>
    <n v="0"/>
    <n v="0"/>
  </r>
  <r>
    <s v="6PE289"/>
    <s v="Examensarbete för förskollärarexamen"/>
    <n v="68721"/>
    <s v="LYFSK"/>
    <m/>
    <s v="vt"/>
    <m/>
    <s v="Örnsköldsvik"/>
    <s v="Normal"/>
    <m/>
    <m/>
    <m/>
    <n v="15"/>
    <m/>
    <m/>
    <n v="16"/>
    <n v="4"/>
    <n v="0.85"/>
    <n v="3.4"/>
    <x v="13"/>
    <s v="TUV "/>
    <s v="Sam"/>
    <s v="Förskollärarprogrammet"/>
    <n v="20766"/>
    <n v="17442"/>
    <n v="142366.79999999999"/>
    <n v="6000"/>
    <n v="24000"/>
    <n v="166366.79999999999"/>
    <n v="0"/>
    <n v="0"/>
    <n v="0"/>
    <n v="0"/>
    <n v="0"/>
    <n v="0"/>
    <n v="1"/>
    <n v="0"/>
    <n v="0"/>
    <n v="0"/>
    <n v="0"/>
    <n v="0"/>
  </r>
  <r>
    <s v="6PE290"/>
    <s v="Utbildningsvetenskap, undervisning och lärande för grundskolan - fritidshem (UK)"/>
    <n v="68724"/>
    <s v="LYGFR"/>
    <m/>
    <s v="vt"/>
    <m/>
    <s v="Umeå"/>
    <s v="Normal"/>
    <m/>
    <m/>
    <m/>
    <n v="8"/>
    <m/>
    <m/>
    <n v="15"/>
    <n v="2"/>
    <n v="0.85"/>
    <n v="1.7"/>
    <x v="13"/>
    <s v="TUV "/>
    <s v="Sam"/>
    <s v="Grundlärarprogrammet - fritidshem"/>
    <n v="26554"/>
    <n v="33465"/>
    <n v="109998.5"/>
    <n v="6000"/>
    <n v="12000"/>
    <n v="121998.5"/>
    <n v="0"/>
    <n v="0"/>
    <n v="0"/>
    <n v="1"/>
    <n v="0"/>
    <n v="0"/>
    <n v="0"/>
    <n v="0"/>
    <n v="0"/>
    <n v="0"/>
    <n v="0"/>
    <n v="0"/>
  </r>
  <r>
    <s v="6PE293"/>
    <s v="Specialpedagogik för yrkeslärare"/>
    <m/>
    <s v="FRIST"/>
    <m/>
    <s v="ht"/>
    <m/>
    <m/>
    <s v="Distans"/>
    <m/>
    <m/>
    <n v="0.25"/>
    <n v="7.5"/>
    <m/>
    <m/>
    <n v="15"/>
    <n v="1.875"/>
    <n v="0.8"/>
    <n v="1.5"/>
    <x v="12"/>
    <s v="Pedagogik                     "/>
    <s v="Sam"/>
    <s v="Fristående och övriga kurser"/>
    <n v="26554"/>
    <n v="33465"/>
    <n v="99986.25"/>
    <n v="6000"/>
    <n v="11250"/>
    <n v="111236.25"/>
    <n v="0"/>
    <n v="0"/>
    <n v="0"/>
    <n v="1"/>
    <n v="0"/>
    <n v="0"/>
    <n v="0"/>
    <n v="0"/>
    <n v="0"/>
    <n v="0"/>
    <n v="0"/>
    <n v="0"/>
  </r>
  <r>
    <s v="6PE304"/>
    <s v="Att undervisa i förskolan (VFU)"/>
    <m/>
    <s v="LYFSK"/>
    <s v="H19"/>
    <s v="ht"/>
    <s v="H2114-20"/>
    <s v="Umeå"/>
    <s v="Campus"/>
    <m/>
    <m/>
    <n v="1"/>
    <n v="10"/>
    <m/>
    <m/>
    <n v="1"/>
    <n v="0.16666666666666666"/>
    <n v="0.85"/>
    <n v="0.14166666666666666"/>
    <x v="13"/>
    <s v="TUV "/>
    <s v="Sam"/>
    <s v="Förskollärarprogrammet"/>
    <n v="25235"/>
    <n v="27976"/>
    <n v="8169.0999999999995"/>
    <n v="3600"/>
    <n v="600"/>
    <n v="8769.0999999999985"/>
    <n v="0"/>
    <n v="0"/>
    <n v="0"/>
    <n v="0"/>
    <n v="0"/>
    <n v="0"/>
    <n v="0"/>
    <n v="0"/>
    <n v="1"/>
    <n v="0"/>
    <n v="0"/>
    <n v="0"/>
  </r>
  <r>
    <s v="6PE304"/>
    <s v="Att undervisa i förskolan (VFU)"/>
    <m/>
    <s v="LYFSK"/>
    <s v="V21"/>
    <s v="ht"/>
    <s v="H2114-20"/>
    <s v="Umeå"/>
    <s v="Campus"/>
    <m/>
    <m/>
    <n v="1"/>
    <n v="10"/>
    <m/>
    <m/>
    <n v="25"/>
    <n v="4.1666666666666661"/>
    <n v="0.85"/>
    <n v="3.5416666666666661"/>
    <x v="13"/>
    <s v="TUV "/>
    <s v="Sam"/>
    <s v="Förskollärarprogrammet"/>
    <n v="25235"/>
    <n v="27976"/>
    <n v="204227.49999999997"/>
    <n v="3600"/>
    <n v="14999.999999999998"/>
    <n v="219227.49999999997"/>
    <n v="0"/>
    <n v="0"/>
    <n v="0"/>
    <n v="0"/>
    <n v="0"/>
    <n v="0"/>
    <n v="0"/>
    <n v="0"/>
    <n v="1"/>
    <n v="0"/>
    <n v="0"/>
    <n v="0"/>
  </r>
  <r>
    <s v="6PE338"/>
    <s v="Läraryrkets dimensioner för förskolan 1 (VFU)"/>
    <m/>
    <s v="LYFSK"/>
    <s v="H18"/>
    <s v="ht"/>
    <s v="H214-10"/>
    <s v="Umeå"/>
    <s v="Campus"/>
    <m/>
    <m/>
    <n v="1"/>
    <n v="11"/>
    <m/>
    <m/>
    <n v="1"/>
    <n v="0.18333333333333332"/>
    <n v="0.85"/>
    <n v="0.15583333333333332"/>
    <x v="13"/>
    <s v="TUV "/>
    <s v="Sam"/>
    <s v="Förskollärarprogrammet"/>
    <n v="25235"/>
    <n v="27976"/>
    <n v="8986.0099999999984"/>
    <n v="3600"/>
    <n v="660"/>
    <n v="9646.0099999999984"/>
    <n v="0"/>
    <n v="0"/>
    <n v="0"/>
    <n v="0"/>
    <n v="0"/>
    <n v="0"/>
    <n v="0"/>
    <n v="0"/>
    <n v="1"/>
    <n v="0"/>
    <n v="0"/>
    <n v="0"/>
  </r>
  <r>
    <s v="6PE338"/>
    <s v="Läraryrkets dimensioner för förskolan 1 (VFU)"/>
    <m/>
    <s v="LYFSK"/>
    <s v="H19"/>
    <s v="ht"/>
    <s v="H214-10"/>
    <s v="Umeå"/>
    <s v="Campus"/>
    <m/>
    <m/>
    <n v="1"/>
    <n v="11"/>
    <m/>
    <m/>
    <n v="38"/>
    <n v="6.9666666666666659"/>
    <n v="0.85"/>
    <n v="5.921666666666666"/>
    <x v="13"/>
    <s v="TUV "/>
    <s v="Sam"/>
    <s v="Förskollärarprogrammet"/>
    <n v="25235"/>
    <n v="27976"/>
    <n v="341468.38"/>
    <n v="3600"/>
    <n v="25079.999999999996"/>
    <n v="366548.38"/>
    <n v="0"/>
    <n v="0"/>
    <n v="0"/>
    <n v="0"/>
    <n v="0"/>
    <n v="0"/>
    <n v="0"/>
    <n v="0"/>
    <n v="1"/>
    <n v="0"/>
    <n v="0"/>
    <n v="0"/>
  </r>
  <r>
    <s v="6RV011"/>
    <s v="Examensarbete för ämneslärarexamen - religion"/>
    <m/>
    <s v="LYAGY"/>
    <s v="H17"/>
    <s v="ht"/>
    <s v="H2116-20:V221-15"/>
    <s v="Umeå"/>
    <m/>
    <s v="HIST"/>
    <m/>
    <n v="1"/>
    <n v="7.5"/>
    <m/>
    <m/>
    <n v="1"/>
    <n v="0.125"/>
    <n v="0.85"/>
    <n v="0.10625"/>
    <x v="11"/>
    <s v="Inst för ide- o samhällsstudier"/>
    <s v="Hum"/>
    <s v="Ämneslärarprogrammet - Gy"/>
    <n v="20766"/>
    <n v="17442"/>
    <n v="4448.9624999999996"/>
    <n v="6000"/>
    <n v="750"/>
    <n v="5198.9624999999996"/>
    <n v="0"/>
    <n v="1"/>
    <n v="0"/>
    <n v="0"/>
    <n v="0"/>
    <n v="0"/>
    <n v="0"/>
    <n v="0"/>
    <n v="0"/>
    <n v="0"/>
    <n v="0"/>
    <n v="0"/>
  </r>
  <r>
    <s v="6RV011"/>
    <s v="Examensarbete för ämneslärarexamen - religion"/>
    <m/>
    <s v="LYAGY"/>
    <s v="H17"/>
    <s v="ht"/>
    <s v="H2116-20:V221-15"/>
    <s v="Umeå"/>
    <m/>
    <s v="RELK"/>
    <m/>
    <n v="1"/>
    <n v="7.5"/>
    <m/>
    <m/>
    <n v="1"/>
    <n v="0.125"/>
    <n v="0.85"/>
    <n v="0.10625"/>
    <x v="11"/>
    <s v="Inst för ide- o samhällsstudier"/>
    <s v="Hum"/>
    <s v="Ämneslärarprogrammet - Gy"/>
    <n v="20766"/>
    <n v="17442"/>
    <n v="4448.9624999999996"/>
    <n v="6000"/>
    <n v="750"/>
    <n v="5198.9624999999996"/>
    <n v="0"/>
    <n v="1"/>
    <n v="0"/>
    <n v="0"/>
    <n v="0"/>
    <n v="0"/>
    <n v="0"/>
    <n v="0"/>
    <n v="0"/>
    <n v="0"/>
    <n v="0"/>
    <n v="0"/>
  </r>
  <r>
    <s v="6RV011"/>
    <s v="Examensarbete för ämneslärarexamen - religion"/>
    <m/>
    <s v="LYAGY"/>
    <s v="H18"/>
    <s v="ht"/>
    <s v="H2116-20:V221-15"/>
    <s v="Umeå"/>
    <m/>
    <s v="RELK"/>
    <m/>
    <n v="1"/>
    <n v="7.5"/>
    <m/>
    <m/>
    <n v="1"/>
    <n v="0.125"/>
    <n v="0.85"/>
    <n v="0.10625"/>
    <x v="11"/>
    <s v="Inst för ide- o samhällsstudier"/>
    <s v="Hum"/>
    <s v="Ämneslärarprogrammet - Gy"/>
    <n v="20766"/>
    <n v="17442"/>
    <n v="4448.9624999999996"/>
    <n v="6000"/>
    <n v="750"/>
    <n v="5198.9624999999996"/>
    <n v="0"/>
    <n v="1"/>
    <n v="0"/>
    <n v="0"/>
    <n v="0"/>
    <n v="0"/>
    <n v="0"/>
    <n v="0"/>
    <n v="0"/>
    <n v="0"/>
    <n v="0"/>
    <n v="0"/>
  </r>
  <r>
    <s v="6RV018"/>
    <s v="Läraryrkets dimensioner- ingångsämne religion (VFU)"/>
    <m/>
    <s v="LYAGY"/>
    <s v="H16"/>
    <s v="ht"/>
    <s v="H211-15"/>
    <s v="Umeå"/>
    <m/>
    <s v="RELK"/>
    <m/>
    <n v="1"/>
    <n v="22.5"/>
    <m/>
    <m/>
    <n v="1"/>
    <n v="0.375"/>
    <n v="0.85"/>
    <n v="0.31874999999999998"/>
    <x v="11"/>
    <s v="Inst för ide- o samhällsstudier"/>
    <s v="Hum"/>
    <s v="Ämneslärarprogrammet - Gy"/>
    <n v="25235"/>
    <n v="27976"/>
    <n v="18380.474999999999"/>
    <n v="3600"/>
    <n v="1350"/>
    <n v="19730.474999999999"/>
    <n v="0"/>
    <n v="0"/>
    <n v="0"/>
    <n v="0"/>
    <n v="0"/>
    <n v="0"/>
    <n v="0"/>
    <n v="0"/>
    <n v="1"/>
    <n v="0"/>
    <n v="0"/>
    <n v="0"/>
  </r>
  <r>
    <s v="6RV018"/>
    <s v="Läraryrkets dimensioner- ingångsämne religion (VFU)"/>
    <m/>
    <s v="LYAGY"/>
    <s v="H17"/>
    <s v="ht"/>
    <s v="H211-15"/>
    <s v="Umeå"/>
    <m/>
    <s v="RELK"/>
    <m/>
    <n v="1"/>
    <n v="22.5"/>
    <m/>
    <m/>
    <n v="2"/>
    <n v="0.75"/>
    <n v="0.85"/>
    <n v="0.63749999999999996"/>
    <x v="11"/>
    <s v="Inst för ide- o samhällsstudier"/>
    <s v="Hum"/>
    <s v="Ämneslärarprogrammet - Gy"/>
    <n v="25235"/>
    <n v="27976"/>
    <n v="36760.949999999997"/>
    <n v="3600"/>
    <n v="2700"/>
    <n v="39460.949999999997"/>
    <n v="0"/>
    <n v="0"/>
    <n v="0"/>
    <n v="0"/>
    <n v="0"/>
    <n v="0"/>
    <n v="0"/>
    <n v="0"/>
    <n v="1"/>
    <n v="0"/>
    <n v="0"/>
    <n v="0"/>
  </r>
  <r>
    <s v="6RV018"/>
    <s v="Läraryrkets dimensioner- ingångsämne religion (VFU)"/>
    <m/>
    <s v="LYAGY"/>
    <s v="H18"/>
    <s v="ht"/>
    <s v="H211-15"/>
    <s v="Umeå"/>
    <m/>
    <s v="RELK"/>
    <m/>
    <n v="1"/>
    <n v="22.5"/>
    <m/>
    <m/>
    <n v="1"/>
    <n v="0.375"/>
    <n v="0.85"/>
    <n v="0.31874999999999998"/>
    <x v="11"/>
    <s v="Inst för ide- o samhällsstudier"/>
    <s v="Hum"/>
    <s v="Ämneslärarprogrammet - Gy"/>
    <n v="25235"/>
    <n v="27976"/>
    <n v="18380.474999999999"/>
    <n v="3600"/>
    <n v="1350"/>
    <n v="19730.474999999999"/>
    <n v="0"/>
    <n v="0"/>
    <n v="0"/>
    <n v="0"/>
    <n v="0"/>
    <n v="0"/>
    <n v="0"/>
    <n v="0"/>
    <n v="1"/>
    <n v="0"/>
    <n v="0"/>
    <n v="0"/>
  </r>
  <r>
    <s v="6RV018"/>
    <s v="Läraryrkets dimensioner- ingångsämne religion (VFU)"/>
    <n v="71242"/>
    <s v="LYAGY"/>
    <m/>
    <s v="vt"/>
    <m/>
    <s v="Umeå"/>
    <s v="Normal"/>
    <s v="RELK"/>
    <m/>
    <m/>
    <n v="22.5"/>
    <m/>
    <m/>
    <n v="4"/>
    <n v="1.5"/>
    <n v="0.85"/>
    <n v="1.2749999999999999"/>
    <x v="11"/>
    <s v="Inst för ide- o samhällsstudier"/>
    <s v="Hum"/>
    <s v="Ämneslärarprogrammet - Gy"/>
    <n v="25235"/>
    <n v="27976"/>
    <n v="73521.899999999994"/>
    <n v="3600"/>
    <n v="5400"/>
    <n v="78921.899999999994"/>
    <n v="0"/>
    <n v="0"/>
    <n v="0"/>
    <n v="0"/>
    <n v="0"/>
    <n v="0"/>
    <n v="0"/>
    <n v="0"/>
    <n v="1"/>
    <n v="0"/>
    <n v="0"/>
    <n v="0"/>
  </r>
  <r>
    <s v="6RV019"/>
    <s v="Att undervisa i religionskunskap (VFU)"/>
    <m/>
    <s v="LYAGY"/>
    <s v="H18"/>
    <s v="ht"/>
    <s v="H2113-16"/>
    <s v="Umeå"/>
    <m/>
    <s v="RELK"/>
    <m/>
    <n v="1"/>
    <n v="6"/>
    <m/>
    <m/>
    <n v="1"/>
    <n v="0.1"/>
    <n v="0.85"/>
    <n v="8.5000000000000006E-2"/>
    <x v="11"/>
    <s v="Inst för ide- o samhällsstudier"/>
    <s v="Hum"/>
    <s v="Ämneslärarprogrammet - Gy"/>
    <n v="25235"/>
    <n v="27976"/>
    <n v="4901.46"/>
    <n v="3600"/>
    <n v="360"/>
    <n v="5261.46"/>
    <n v="0"/>
    <n v="0"/>
    <n v="0"/>
    <n v="0"/>
    <n v="0"/>
    <n v="0"/>
    <n v="0"/>
    <n v="0"/>
    <n v="1"/>
    <n v="0"/>
    <n v="0"/>
    <n v="0"/>
  </r>
  <r>
    <s v="6RV019"/>
    <s v="Att undervisa i religionskunskap (VFU)"/>
    <m/>
    <s v="LYAGY"/>
    <s v="H19"/>
    <s v="ht"/>
    <s v="H2113-16"/>
    <s v="Umeå"/>
    <m/>
    <s v="RELK"/>
    <m/>
    <n v="1"/>
    <n v="6"/>
    <m/>
    <m/>
    <n v="2"/>
    <n v="0.2"/>
    <n v="0.85"/>
    <n v="0.17"/>
    <x v="11"/>
    <s v="Inst för ide- o samhällsstudier"/>
    <s v="Hum"/>
    <s v="Ämneslärarprogrammet - Gy"/>
    <n v="25235"/>
    <n v="27976"/>
    <n v="9802.92"/>
    <n v="3600"/>
    <n v="720"/>
    <n v="10522.92"/>
    <n v="0"/>
    <n v="0"/>
    <n v="0"/>
    <n v="0"/>
    <n v="0"/>
    <n v="0"/>
    <n v="0"/>
    <n v="0"/>
    <n v="1"/>
    <n v="0"/>
    <n v="0"/>
    <n v="0"/>
  </r>
  <r>
    <s v="6RV020"/>
    <s v="Religionsvetenskap 2"/>
    <m/>
    <s v="FRIST"/>
    <m/>
    <s v="ht"/>
    <m/>
    <m/>
    <s v="Campus"/>
    <m/>
    <m/>
    <n v="1"/>
    <n v="30"/>
    <m/>
    <m/>
    <n v="5"/>
    <n v="2.5"/>
    <n v="0.8"/>
    <n v="2"/>
    <x v="11"/>
    <s v="Inst för ide- o samhällsstudier"/>
    <s v="Hum"/>
    <s v="Fristående och övriga kurser"/>
    <n v="20766"/>
    <n v="17442"/>
    <n v="86799"/>
    <n v="6000"/>
    <n v="15000"/>
    <n v="101799"/>
    <n v="0"/>
    <n v="1"/>
    <n v="0"/>
    <n v="0"/>
    <n v="0"/>
    <n v="0"/>
    <n v="0"/>
    <n v="0"/>
    <n v="0"/>
    <n v="0"/>
    <n v="0"/>
    <n v="0"/>
  </r>
  <r>
    <s v="6RV020"/>
    <s v="Religionsvetenskap 2"/>
    <m/>
    <s v="LYAGY"/>
    <s v="H17"/>
    <s v="ht"/>
    <s v="H211-20"/>
    <s v="Umeå"/>
    <m/>
    <s v="ENGS"/>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RV020"/>
    <s v="Religionsvetenskap 2"/>
    <m/>
    <s v="LYAGY"/>
    <s v="H17"/>
    <s v="ht"/>
    <s v="H211-20"/>
    <s v="Umeå"/>
    <m/>
    <s v="HIST"/>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RV020"/>
    <s v="Religionsvetenskap 2"/>
    <m/>
    <s v="LYAGY"/>
    <s v="H18"/>
    <s v="ht"/>
    <s v="H211-20"/>
    <s v="Umeå"/>
    <m/>
    <s v="ENGS"/>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RV020"/>
    <s v="Religionsvetenskap 2"/>
    <m/>
    <s v="LYAGY"/>
    <s v="H18"/>
    <s v="ht"/>
    <s v="H211-20"/>
    <s v="Umeå"/>
    <m/>
    <s v="HIST"/>
    <m/>
    <n v="1"/>
    <n v="30"/>
    <m/>
    <m/>
    <n v="3"/>
    <n v="1.5"/>
    <n v="0.85"/>
    <n v="1.2749999999999999"/>
    <x v="11"/>
    <s v="Inst för ide- o samhällsstudier"/>
    <s v="Hum"/>
    <s v="Ämneslärarprogrammet - Gy"/>
    <n v="20766"/>
    <n v="17442"/>
    <n v="53387.55"/>
    <n v="6000"/>
    <n v="9000"/>
    <n v="62387.55"/>
    <n v="0"/>
    <n v="1"/>
    <n v="0"/>
    <n v="0"/>
    <n v="0"/>
    <n v="0"/>
    <n v="0"/>
    <n v="0"/>
    <n v="0"/>
    <n v="0"/>
    <n v="0"/>
    <n v="0"/>
  </r>
  <r>
    <s v="6RV020"/>
    <s v="Religionsvetenskap 2"/>
    <m/>
    <s v="LYAGY"/>
    <s v="H18"/>
    <s v="ht"/>
    <s v="H211-20"/>
    <s v="Umeå"/>
    <m/>
    <s v="IDRH"/>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RV020"/>
    <s v="Religionsvetenskap 2"/>
    <m/>
    <s v="LYAGY"/>
    <s v="H18"/>
    <s v="ht"/>
    <s v="H211-20"/>
    <s v="Umeå"/>
    <m/>
    <s v="MATT"/>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RV020"/>
    <s v="Religionsvetenskap 2"/>
    <m/>
    <s v="LYAGY"/>
    <s v="H18"/>
    <s v="ht"/>
    <s v="H211-20"/>
    <s v="Umeå"/>
    <m/>
    <s v="SVAA"/>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RV020"/>
    <s v="Religionsvetenskap 2"/>
    <m/>
    <s v="LYAGY"/>
    <s v="H19"/>
    <s v="ht"/>
    <s v="H211-20"/>
    <s v="Umeå"/>
    <m/>
    <s v="RELK"/>
    <m/>
    <n v="1"/>
    <n v="30"/>
    <m/>
    <m/>
    <n v="2"/>
    <n v="1"/>
    <n v="0.85"/>
    <n v="0.85"/>
    <x v="11"/>
    <s v="Inst för ide- o samhällsstudier"/>
    <s v="Hum"/>
    <s v="Ämneslärarprogrammet - Gy"/>
    <n v="20766"/>
    <n v="17442"/>
    <n v="35591.699999999997"/>
    <n v="6000"/>
    <n v="6000"/>
    <n v="41591.699999999997"/>
    <n v="0"/>
    <n v="1"/>
    <n v="0"/>
    <n v="0"/>
    <n v="0"/>
    <n v="0"/>
    <n v="0"/>
    <n v="0"/>
    <n v="0"/>
    <n v="0"/>
    <n v="0"/>
    <n v="0"/>
  </r>
  <r>
    <s v="6RV020"/>
    <s v="Religionsvetenskap 2"/>
    <m/>
    <s v="LYAGY"/>
    <s v="H20"/>
    <s v="ht"/>
    <s v="H211-20"/>
    <s v="Umeå"/>
    <m/>
    <s v="RELK"/>
    <m/>
    <n v="1"/>
    <n v="30"/>
    <m/>
    <m/>
    <n v="2"/>
    <n v="1"/>
    <n v="0.85"/>
    <n v="0.85"/>
    <x v="11"/>
    <s v="Inst för ide- o samhällsstudier"/>
    <s v="Hum"/>
    <s v="Ämneslärarprogrammet - Gy"/>
    <n v="20766"/>
    <n v="17442"/>
    <n v="35591.699999999997"/>
    <n v="6000"/>
    <n v="6000"/>
    <n v="41591.699999999997"/>
    <n v="0"/>
    <n v="1"/>
    <n v="0"/>
    <n v="0"/>
    <n v="0"/>
    <n v="0"/>
    <n v="0"/>
    <n v="0"/>
    <n v="0"/>
    <n v="0"/>
    <n v="0"/>
    <n v="0"/>
  </r>
  <r>
    <s v="6RV020"/>
    <s v="Religionsvetenskap 2"/>
    <m/>
    <s v="LYAGY"/>
    <s v="V19"/>
    <s v="ht"/>
    <s v="H211-20"/>
    <s v="Umeå"/>
    <m/>
    <s v="RELK"/>
    <m/>
    <n v="1"/>
    <n v="30"/>
    <m/>
    <m/>
    <n v="1"/>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58"/>
    <s v="FRIST"/>
    <m/>
    <s v="vt"/>
    <m/>
    <s v="Umeå"/>
    <s v="Normal"/>
    <m/>
    <m/>
    <m/>
    <n v="30"/>
    <m/>
    <m/>
    <n v="8"/>
    <n v="4"/>
    <n v="0.8"/>
    <n v="3.2"/>
    <x v="11"/>
    <s v="Inst för ide- o samhällsstudier"/>
    <s v="Hum"/>
    <s v="Fristående och övriga kurser"/>
    <n v="20766"/>
    <n v="17442"/>
    <n v="138878.39999999999"/>
    <n v="6000"/>
    <n v="24000"/>
    <n v="162878.39999999999"/>
    <n v="0"/>
    <n v="1"/>
    <n v="0"/>
    <n v="0"/>
    <n v="0"/>
    <n v="0"/>
    <n v="0"/>
    <n v="0"/>
    <n v="0"/>
    <n v="0"/>
    <n v="0"/>
    <n v="0"/>
  </r>
  <r>
    <s v="6RV021"/>
    <s v="Religionsvetenskap 1"/>
    <n v="71258"/>
    <s v="LYAGY"/>
    <m/>
    <s v="vt"/>
    <m/>
    <s v="Umeå"/>
    <s v="Normal"/>
    <s v="ENGS"/>
    <m/>
    <m/>
    <n v="30"/>
    <m/>
    <m/>
    <n v="1"/>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
    <m/>
    <s v="Umeå"/>
    <s v="Normal"/>
    <s v="ENGS"/>
    <m/>
    <m/>
    <n v="30"/>
    <m/>
    <m/>
    <n v="1"/>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
    <m/>
    <s v="Umeå"/>
    <s v="Normal"/>
    <s v="HIST"/>
    <m/>
    <m/>
    <n v="30"/>
    <m/>
    <m/>
    <n v="4"/>
    <n v="2"/>
    <n v="0.85"/>
    <n v="1.7"/>
    <x v="11"/>
    <s v="Inst för ide- o samhällsstudier"/>
    <s v="Hum"/>
    <s v="Ämneslärarprogrammet - Gy"/>
    <n v="20766"/>
    <n v="17442"/>
    <n v="71183.399999999994"/>
    <n v="6000"/>
    <n v="12000"/>
    <n v="83183.399999999994"/>
    <n v="0"/>
    <n v="1"/>
    <n v="0"/>
    <n v="0"/>
    <n v="0"/>
    <n v="0"/>
    <n v="0"/>
    <n v="0"/>
    <n v="0"/>
    <n v="0"/>
    <n v="0"/>
    <n v="0"/>
  </r>
  <r>
    <s v="6RV021"/>
    <s v="Religionsvetenskap 1"/>
    <n v="71275"/>
    <s v="LYAGY"/>
    <m/>
    <s v="vt"/>
    <m/>
    <s v="Umeå"/>
    <s v="Normal"/>
    <s v="IDRH"/>
    <m/>
    <m/>
    <n v="30"/>
    <m/>
    <m/>
    <n v="1"/>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
    <m/>
    <s v="Umeå"/>
    <s v="Normal"/>
    <s v="MATT"/>
    <m/>
    <m/>
    <n v="30"/>
    <m/>
    <m/>
    <n v="1"/>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
    <m/>
    <s v="Umeå"/>
    <s v="Normal"/>
    <s v="RELK"/>
    <m/>
    <m/>
    <n v="30"/>
    <m/>
    <m/>
    <n v="6"/>
    <n v="3"/>
    <n v="0.85"/>
    <n v="2.5499999999999998"/>
    <x v="11"/>
    <s v="Inst för ide- o samhällsstudier"/>
    <s v="Hum"/>
    <s v="Ämneslärarprogrammet - Gy"/>
    <n v="20766"/>
    <n v="17442"/>
    <n v="106775.1"/>
    <n v="6000"/>
    <n v="18000"/>
    <n v="124775.1"/>
    <n v="0"/>
    <n v="1"/>
    <n v="0"/>
    <n v="0"/>
    <n v="0"/>
    <n v="0"/>
    <n v="0"/>
    <n v="0"/>
    <n v="0"/>
    <n v="0"/>
    <n v="0"/>
    <n v="0"/>
  </r>
  <r>
    <s v="6RV021"/>
    <s v="Religionsvetenskap 1"/>
    <n v="71275"/>
    <s v="LYAGY"/>
    <m/>
    <s v="vt"/>
    <m/>
    <s v="Umeå"/>
    <s v="Normal"/>
    <s v="SVAA"/>
    <m/>
    <m/>
    <n v="30"/>
    <m/>
    <m/>
    <n v="1"/>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58"/>
    <s v="LYAGY"/>
    <m/>
    <s v="vt"/>
    <m/>
    <s v="Umeå"/>
    <s v="Normal"/>
    <m/>
    <m/>
    <m/>
    <n v="30"/>
    <m/>
    <m/>
    <n v="1"/>
    <n v="0.5"/>
    <n v="0.85"/>
    <n v="0.42499999999999999"/>
    <x v="11"/>
    <s v="Inst för ide- o samhällsstudier"/>
    <s v="Hum"/>
    <s v="Ämneslärarprogrammet - Gy"/>
    <n v="20766"/>
    <n v="17442"/>
    <n v="17795.849999999999"/>
    <n v="6000"/>
    <n v="3000"/>
    <n v="20795.849999999999"/>
    <n v="0"/>
    <n v="1"/>
    <n v="0"/>
    <n v="0"/>
    <n v="0"/>
    <n v="0"/>
    <n v="0"/>
    <n v="0"/>
    <n v="0"/>
    <n v="0"/>
    <n v="0"/>
    <n v="0"/>
  </r>
  <r>
    <s v="6RV021"/>
    <s v="Religionsvetenskap 1"/>
    <n v="71275"/>
    <s v="LYAGY"/>
    <m/>
    <s v="vt"/>
    <m/>
    <s v="Umeå"/>
    <s v="Normal"/>
    <m/>
    <m/>
    <m/>
    <n v="30"/>
    <m/>
    <m/>
    <n v="1"/>
    <n v="0.5"/>
    <n v="0.85"/>
    <n v="0.42499999999999999"/>
    <x v="11"/>
    <s v="Inst för ide- o samhällsstudier"/>
    <s v="Hum"/>
    <s v="Ämneslärarprogrammet - Gy"/>
    <n v="20766"/>
    <n v="17442"/>
    <n v="17795.849999999999"/>
    <n v="6000"/>
    <n v="3000"/>
    <n v="20795.849999999999"/>
    <n v="0"/>
    <n v="1"/>
    <n v="0"/>
    <n v="0"/>
    <n v="0"/>
    <n v="0"/>
    <n v="0"/>
    <n v="0"/>
    <n v="0"/>
    <n v="0"/>
    <n v="0"/>
    <n v="0"/>
  </r>
  <r>
    <s v="6RV023"/>
    <s v="Religionsvetenskap 3, med kandidatuppsats"/>
    <n v="71283"/>
    <s v="LYAGY"/>
    <m/>
    <s v="vt"/>
    <m/>
    <s v="Umeå"/>
    <s v="Normal"/>
    <s v="ENGS"/>
    <m/>
    <m/>
    <n v="30"/>
    <m/>
    <m/>
    <n v="1"/>
    <n v="0.5"/>
    <n v="0.85"/>
    <n v="0.42499999999999999"/>
    <x v="11"/>
    <s v="Inst för ide- o samhällsstudier"/>
    <s v="Hum"/>
    <s v="Ämneslärarprogrammet - Gy"/>
    <n v="20766"/>
    <n v="17442"/>
    <n v="17795.849999999999"/>
    <n v="6000"/>
    <n v="3000"/>
    <n v="20795.849999999999"/>
    <n v="0"/>
    <n v="1"/>
    <n v="0"/>
    <n v="0"/>
    <n v="0"/>
    <n v="0"/>
    <n v="0"/>
    <n v="0"/>
    <n v="0"/>
    <n v="0"/>
    <n v="0"/>
    <n v="0"/>
  </r>
  <r>
    <s v="6RV023"/>
    <s v="Religionsvetenskap 3, med kandidatuppsats"/>
    <n v="71283"/>
    <s v="LYAGY"/>
    <m/>
    <s v="vt"/>
    <m/>
    <s v="Umeå"/>
    <s v="Normal"/>
    <s v="HIST"/>
    <m/>
    <m/>
    <n v="30"/>
    <m/>
    <m/>
    <n v="6"/>
    <n v="3"/>
    <n v="0.85"/>
    <n v="2.5499999999999998"/>
    <x v="11"/>
    <s v="Inst för ide- o samhällsstudier"/>
    <s v="Hum"/>
    <s v="Ämneslärarprogrammet - Gy"/>
    <n v="20766"/>
    <n v="17442"/>
    <n v="106775.1"/>
    <n v="6000"/>
    <n v="18000"/>
    <n v="124775.1"/>
    <n v="0"/>
    <n v="1"/>
    <n v="0"/>
    <n v="0"/>
    <n v="0"/>
    <n v="0"/>
    <n v="0"/>
    <n v="0"/>
    <n v="0"/>
    <n v="0"/>
    <n v="0"/>
    <n v="0"/>
  </r>
  <r>
    <s v="6RV023"/>
    <s v="Religionsvetenskap 3, med kandidatuppsats"/>
    <n v="71283"/>
    <s v="LYAGY"/>
    <m/>
    <s v="vt"/>
    <m/>
    <s v="Umeå"/>
    <s v="Normal"/>
    <s v="MATT"/>
    <m/>
    <m/>
    <n v="30"/>
    <m/>
    <m/>
    <n v="1"/>
    <n v="0.5"/>
    <n v="0.85"/>
    <n v="0.42499999999999999"/>
    <x v="11"/>
    <s v="Inst för ide- o samhällsstudier"/>
    <s v="Hum"/>
    <s v="Ämneslärarprogrammet - Gy"/>
    <n v="20766"/>
    <n v="17442"/>
    <n v="17795.849999999999"/>
    <n v="6000"/>
    <n v="3000"/>
    <n v="20795.849999999999"/>
    <n v="0"/>
    <n v="1"/>
    <n v="0"/>
    <n v="0"/>
    <n v="0"/>
    <n v="0"/>
    <n v="0"/>
    <n v="0"/>
    <n v="0"/>
    <n v="0"/>
    <n v="0"/>
    <n v="0"/>
  </r>
  <r>
    <s v="6RV023"/>
    <s v="Religionsvetenskap 3, med kandidatuppsats"/>
    <n v="71283"/>
    <s v="LYAGY"/>
    <m/>
    <s v="vt"/>
    <m/>
    <s v="Umeå"/>
    <s v="Normal"/>
    <s v="RELK"/>
    <m/>
    <m/>
    <n v="30"/>
    <m/>
    <m/>
    <n v="3"/>
    <n v="1.5"/>
    <n v="0.85"/>
    <n v="1.2749999999999999"/>
    <x v="11"/>
    <s v="Inst för ide- o samhällsstudier"/>
    <s v="Hum"/>
    <s v="Ämneslärarprogrammet - Gy"/>
    <n v="20766"/>
    <n v="17442"/>
    <n v="53387.55"/>
    <n v="6000"/>
    <n v="9000"/>
    <n v="62387.55"/>
    <n v="0"/>
    <n v="1"/>
    <n v="0"/>
    <n v="0"/>
    <n v="0"/>
    <n v="0"/>
    <n v="0"/>
    <n v="0"/>
    <n v="0"/>
    <n v="0"/>
    <n v="0"/>
    <n v="0"/>
  </r>
  <r>
    <s v="6RV023"/>
    <s v="Religionsvetenskap 3, med kandidatuppsats"/>
    <n v="71283"/>
    <s v="LYAGY"/>
    <m/>
    <s v="vt"/>
    <m/>
    <s v="Umeå"/>
    <s v="Normal"/>
    <s v="SVAA"/>
    <m/>
    <m/>
    <n v="30"/>
    <m/>
    <m/>
    <n v="2"/>
    <n v="1"/>
    <n v="0.85"/>
    <n v="0.85"/>
    <x v="11"/>
    <s v="Inst för ide- o samhällsstudier"/>
    <s v="Hum"/>
    <s v="Ämneslärarprogrammet - Gy"/>
    <n v="20766"/>
    <n v="17442"/>
    <n v="35591.699999999997"/>
    <n v="6000"/>
    <n v="6000"/>
    <n v="41591.699999999997"/>
    <n v="0"/>
    <n v="1"/>
    <n v="0"/>
    <n v="0"/>
    <n v="0"/>
    <n v="0"/>
    <n v="0"/>
    <n v="0"/>
    <n v="0"/>
    <n v="0"/>
    <n v="0"/>
    <n v="0"/>
  </r>
  <r>
    <s v="6RV023"/>
    <s v="Religionsvetenskap 3, med kandidatuppsats"/>
    <n v="71283"/>
    <s v="LYAGY"/>
    <m/>
    <s v="vt"/>
    <m/>
    <s v="Umeå"/>
    <s v="Normal"/>
    <m/>
    <m/>
    <m/>
    <n v="30"/>
    <m/>
    <m/>
    <n v="1"/>
    <n v="0.5"/>
    <n v="0.85"/>
    <n v="0.42499999999999999"/>
    <x v="11"/>
    <s v="Inst för ide- o samhällsstudier"/>
    <s v="Hum"/>
    <s v="Ämneslärarprogrammet - Gy"/>
    <n v="20766"/>
    <n v="17442"/>
    <n v="17795.849999999999"/>
    <n v="6000"/>
    <n v="3000"/>
    <n v="20795.849999999999"/>
    <n v="0"/>
    <n v="1"/>
    <n v="0"/>
    <n v="0"/>
    <n v="0"/>
    <n v="0"/>
    <n v="0"/>
    <n v="0"/>
    <n v="0"/>
    <n v="0"/>
    <n v="0"/>
    <n v="0"/>
  </r>
  <r>
    <s v="6SA008"/>
    <s v="Spanska I för ämneslärare"/>
    <n v="71410"/>
    <s v="FRIST"/>
    <m/>
    <s v="vt"/>
    <m/>
    <s v="Umeå"/>
    <s v="Normal"/>
    <m/>
    <m/>
    <m/>
    <n v="30"/>
    <m/>
    <m/>
    <n v="4"/>
    <n v="2"/>
    <n v="0.8"/>
    <n v="1.6"/>
    <x v="0"/>
    <s v="Inst för språkstudier"/>
    <s v="Hum"/>
    <s v="Fristående och övriga kurser"/>
    <n v="20766"/>
    <n v="17442"/>
    <n v="69439.199999999997"/>
    <n v="6000"/>
    <n v="12000"/>
    <n v="81439.199999999997"/>
    <n v="0"/>
    <n v="1"/>
    <n v="0"/>
    <n v="0"/>
    <n v="0"/>
    <n v="0"/>
    <n v="0"/>
    <n v="0"/>
    <n v="0"/>
    <n v="0"/>
    <n v="0"/>
    <n v="0"/>
  </r>
  <r>
    <s v="6SA008"/>
    <s v="Spanska I för ämneslärare"/>
    <n v="71410"/>
    <s v="LYAGY"/>
    <m/>
    <s v="vt"/>
    <m/>
    <s v="Umeå"/>
    <s v="Normal"/>
    <s v="ENGS"/>
    <m/>
    <m/>
    <n v="30"/>
    <m/>
    <m/>
    <n v="2"/>
    <n v="1"/>
    <n v="0.85"/>
    <n v="0.85"/>
    <x v="0"/>
    <s v="Inst för språkstudier"/>
    <s v="Hum"/>
    <s v="Ämneslärarprogrammet - Gy"/>
    <n v="20766"/>
    <n v="17442"/>
    <n v="35591.699999999997"/>
    <n v="6000"/>
    <n v="6000"/>
    <n v="41591.699999999997"/>
    <n v="0"/>
    <n v="1"/>
    <n v="0"/>
    <n v="0"/>
    <n v="0"/>
    <n v="0"/>
    <n v="0"/>
    <n v="0"/>
    <n v="0"/>
    <n v="0"/>
    <n v="0"/>
    <n v="0"/>
  </r>
  <r>
    <s v="6SA008"/>
    <s v="Spanska I för ämneslärare"/>
    <n v="71410"/>
    <s v="LYAGY"/>
    <m/>
    <s v="vt"/>
    <m/>
    <s v="Umeå"/>
    <s v="Normal"/>
    <s v="SPAN"/>
    <m/>
    <m/>
    <n v="30"/>
    <m/>
    <m/>
    <n v="3"/>
    <n v="1.5"/>
    <n v="0.85"/>
    <n v="1.2749999999999999"/>
    <x v="0"/>
    <s v="Inst för språkstudier"/>
    <s v="Hum"/>
    <s v="Ämneslärarprogrammet - Gy"/>
    <n v="20766"/>
    <n v="17442"/>
    <n v="53387.55"/>
    <n v="6000"/>
    <n v="9000"/>
    <n v="62387.55"/>
    <n v="0"/>
    <n v="1"/>
    <n v="0"/>
    <n v="0"/>
    <n v="0"/>
    <n v="0"/>
    <n v="0"/>
    <n v="0"/>
    <n v="0"/>
    <n v="0"/>
    <n v="0"/>
    <n v="0"/>
  </r>
  <r>
    <s v="6SA011"/>
    <s v="Spanska för ämneslärare, kurs III"/>
    <n v="71413"/>
    <s v="LYAGY"/>
    <m/>
    <s v="vt"/>
    <m/>
    <s v="Umeå"/>
    <s v="Normal"/>
    <s v="SPAN"/>
    <m/>
    <m/>
    <n v="30"/>
    <m/>
    <m/>
    <n v="1"/>
    <n v="0.5"/>
    <n v="0.85"/>
    <n v="0.42499999999999999"/>
    <x v="0"/>
    <s v="Inst för språkstudier"/>
    <s v="Hum"/>
    <s v="Ämneslärarprogrammet - Gy"/>
    <n v="20766"/>
    <n v="17442"/>
    <n v="17795.849999999999"/>
    <n v="6000"/>
    <n v="3000"/>
    <n v="20795.849999999999"/>
    <n v="0"/>
    <n v="1"/>
    <n v="0"/>
    <n v="0"/>
    <n v="0"/>
    <n v="0"/>
    <n v="0"/>
    <n v="0"/>
    <n v="0"/>
    <n v="0"/>
    <n v="0"/>
    <n v="0"/>
  </r>
  <r>
    <s v="6SA011"/>
    <s v="Spanska för ämneslärare, kurs III"/>
    <n v="71413"/>
    <s v="LYAGY"/>
    <m/>
    <s v="vt"/>
    <m/>
    <s v="Umeå"/>
    <s v="Normal"/>
    <s v="SVAA"/>
    <m/>
    <m/>
    <n v="30"/>
    <m/>
    <m/>
    <n v="1"/>
    <n v="0.5"/>
    <n v="0.85"/>
    <n v="0.42499999999999999"/>
    <x v="0"/>
    <s v="Inst för språkstudier"/>
    <s v="Hum"/>
    <s v="Ämneslärarprogrammet - Gy"/>
    <n v="20766"/>
    <n v="17442"/>
    <n v="17795.849999999999"/>
    <n v="6000"/>
    <n v="3000"/>
    <n v="20795.849999999999"/>
    <n v="0"/>
    <n v="1"/>
    <n v="0"/>
    <n v="0"/>
    <n v="0"/>
    <n v="0"/>
    <n v="0"/>
    <n v="0"/>
    <n v="0"/>
    <n v="0"/>
    <n v="0"/>
    <n v="0"/>
  </r>
  <r>
    <s v="6SA014"/>
    <s v="Spanska för ämneslärare, kurs 2"/>
    <m/>
    <s v="FRIST"/>
    <m/>
    <s v="ht"/>
    <m/>
    <m/>
    <s v="Campus"/>
    <m/>
    <m/>
    <n v="1"/>
    <n v="30"/>
    <m/>
    <m/>
    <n v="2"/>
    <n v="1"/>
    <n v="0.8"/>
    <n v="0.8"/>
    <x v="0"/>
    <s v="Inst för språkstudier"/>
    <s v="Hum"/>
    <s v="Fristående och övriga kurser"/>
    <n v="20766"/>
    <n v="17442"/>
    <n v="34719.599999999999"/>
    <n v="6000"/>
    <n v="6000"/>
    <n v="40719.599999999999"/>
    <n v="0"/>
    <n v="1"/>
    <n v="0"/>
    <n v="0"/>
    <n v="0"/>
    <n v="0"/>
    <n v="0"/>
    <n v="0"/>
    <n v="0"/>
    <n v="0"/>
    <n v="0"/>
    <n v="0"/>
  </r>
  <r>
    <s v="6SA014"/>
    <s v="Spanska för ämneslärare, kurs 2"/>
    <m/>
    <s v="LYAGY"/>
    <s v="H17"/>
    <s v="ht"/>
    <s v="H211-20"/>
    <s v="Umeå"/>
    <m/>
    <s v="ENGS"/>
    <m/>
    <n v="1"/>
    <n v="30"/>
    <m/>
    <m/>
    <n v="1"/>
    <n v="0.5"/>
    <n v="0.85"/>
    <n v="0.42499999999999999"/>
    <x v="0"/>
    <s v="Inst för språkstudier"/>
    <s v="Hum"/>
    <s v="Ämneslärarprogrammet - Gy"/>
    <n v="20766"/>
    <n v="17442"/>
    <n v="17795.849999999999"/>
    <n v="6000"/>
    <n v="3000"/>
    <n v="20795.849999999999"/>
    <n v="0"/>
    <n v="1"/>
    <n v="0"/>
    <n v="0"/>
    <n v="0"/>
    <n v="0"/>
    <n v="0"/>
    <n v="0"/>
    <n v="0"/>
    <n v="0"/>
    <n v="0"/>
    <n v="0"/>
  </r>
  <r>
    <s v="6SA014"/>
    <s v="Spanska för ämneslärare, kurs 2"/>
    <m/>
    <s v="LYAGY"/>
    <s v="H18"/>
    <s v="ht"/>
    <s v="H211-20"/>
    <s v="Umeå"/>
    <m/>
    <s v="ENGS"/>
    <m/>
    <n v="1"/>
    <n v="30"/>
    <m/>
    <m/>
    <n v="1"/>
    <n v="0.5"/>
    <n v="0.85"/>
    <n v="0.42499999999999999"/>
    <x v="0"/>
    <s v="Inst för språkstudier"/>
    <s v="Hum"/>
    <s v="Ämneslärarprogrammet - Gy"/>
    <n v="20766"/>
    <n v="17442"/>
    <n v="17795.849999999999"/>
    <n v="6000"/>
    <n v="3000"/>
    <n v="20795.849999999999"/>
    <n v="0"/>
    <n v="1"/>
    <n v="0"/>
    <n v="0"/>
    <n v="0"/>
    <n v="0"/>
    <n v="0"/>
    <n v="0"/>
    <n v="0"/>
    <n v="0"/>
    <n v="0"/>
    <n v="0"/>
  </r>
  <r>
    <s v="6SA014"/>
    <s v="Spanska för ämneslärare, kurs 2"/>
    <m/>
    <s v="LYAGY"/>
    <s v="H20"/>
    <s v="ht"/>
    <s v="H211-20"/>
    <s v="Umeå"/>
    <m/>
    <s v="SPAN"/>
    <m/>
    <n v="1"/>
    <n v="30"/>
    <m/>
    <m/>
    <n v="2"/>
    <n v="1"/>
    <n v="0.85"/>
    <n v="0.85"/>
    <x v="0"/>
    <s v="Inst för språkstudier"/>
    <s v="Hum"/>
    <s v="Ämneslärarprogrammet - Gy"/>
    <n v="20766"/>
    <n v="17442"/>
    <n v="35591.699999999997"/>
    <n v="6000"/>
    <n v="6000"/>
    <n v="41591.699999999997"/>
    <n v="0"/>
    <n v="1"/>
    <n v="0"/>
    <n v="0"/>
    <n v="0"/>
    <n v="0"/>
    <n v="0"/>
    <n v="0"/>
    <n v="0"/>
    <n v="0"/>
    <n v="0"/>
    <n v="0"/>
  </r>
  <r>
    <s v="6SD002"/>
    <s v="Examensarbete i svenska för ämneslärarexamen"/>
    <m/>
    <s v="LYAGY"/>
    <s v="H16"/>
    <s v="ht"/>
    <s v="H2116-20:V221-15"/>
    <s v="Umeå"/>
    <m/>
    <s v="RELK"/>
    <m/>
    <n v="1"/>
    <n v="7.5"/>
    <m/>
    <m/>
    <n v="1"/>
    <n v="0.125"/>
    <n v="0.85"/>
    <n v="0.10625"/>
    <x v="0"/>
    <s v="Inst för språkstudier"/>
    <s v="Hum"/>
    <s v="Ämneslärarprogrammet - Gy"/>
    <n v="20766"/>
    <n v="17442"/>
    <n v="4448.9624999999996"/>
    <n v="6000"/>
    <n v="750"/>
    <n v="5198.9624999999996"/>
    <n v="0"/>
    <n v="1"/>
    <n v="0"/>
    <n v="0"/>
    <n v="0"/>
    <n v="0"/>
    <n v="0"/>
    <n v="0"/>
    <n v="0"/>
    <n v="0"/>
    <n v="0"/>
    <n v="0"/>
  </r>
  <r>
    <s v="6SD002"/>
    <s v="Examensarbete i svenska för ämneslärarexamen"/>
    <m/>
    <s v="LYAGY"/>
    <s v="H16"/>
    <s v="ht"/>
    <s v="H2116-20:V221-15"/>
    <s v="Umeå"/>
    <m/>
    <s v="SVAA"/>
    <m/>
    <n v="1"/>
    <n v="7.5"/>
    <m/>
    <m/>
    <n v="2"/>
    <n v="0.25"/>
    <n v="0.85"/>
    <n v="0.21249999999999999"/>
    <x v="0"/>
    <s v="Inst för språkstudier"/>
    <s v="Hum"/>
    <s v="Ämneslärarprogrammet - Gy"/>
    <n v="20766"/>
    <n v="17442"/>
    <n v="8897.9249999999993"/>
    <n v="6000"/>
    <n v="1500"/>
    <n v="10397.924999999999"/>
    <n v="0"/>
    <n v="1"/>
    <n v="0"/>
    <n v="0"/>
    <n v="0"/>
    <n v="0"/>
    <n v="0"/>
    <n v="0"/>
    <n v="0"/>
    <n v="0"/>
    <n v="0"/>
    <n v="0"/>
  </r>
  <r>
    <s v="6SD002"/>
    <s v="Examensarbete i svenska för ämneslärarexamen"/>
    <m/>
    <s v="LYAGY"/>
    <s v="H17"/>
    <s v="ht"/>
    <s v="H2116-20:V221-15"/>
    <s v="Umeå"/>
    <m/>
    <s v="ENGS"/>
    <m/>
    <n v="1"/>
    <n v="7.5"/>
    <m/>
    <m/>
    <n v="2"/>
    <n v="0.25"/>
    <n v="0.85"/>
    <n v="0.21249999999999999"/>
    <x v="0"/>
    <s v="Inst för språkstudier"/>
    <s v="Hum"/>
    <s v="Ämneslärarprogrammet - Gy"/>
    <n v="20766"/>
    <n v="17442"/>
    <n v="8897.9249999999993"/>
    <n v="6000"/>
    <n v="1500"/>
    <n v="10397.924999999999"/>
    <n v="0"/>
    <n v="1"/>
    <n v="0"/>
    <n v="0"/>
    <n v="0"/>
    <n v="0"/>
    <n v="0"/>
    <n v="0"/>
    <n v="0"/>
    <n v="0"/>
    <n v="0"/>
    <n v="0"/>
  </r>
  <r>
    <s v="6SD002"/>
    <s v="Examensarbete i svenska för ämneslärarexamen"/>
    <m/>
    <s v="LYAGY"/>
    <s v="H17"/>
    <s v="ht"/>
    <s v="H2116-20:V221-15"/>
    <s v="Umeå"/>
    <m/>
    <s v="SVAA"/>
    <m/>
    <n v="1"/>
    <n v="7.5"/>
    <m/>
    <m/>
    <n v="8"/>
    <n v="1"/>
    <n v="0.85"/>
    <n v="0.85"/>
    <x v="0"/>
    <s v="Inst för språkstudier"/>
    <s v="Hum"/>
    <s v="Ämneslärarprogrammet - Gy"/>
    <n v="20766"/>
    <n v="17442"/>
    <n v="35591.699999999997"/>
    <n v="6000"/>
    <n v="6000"/>
    <n v="41591.699999999997"/>
    <n v="0"/>
    <n v="1"/>
    <n v="0"/>
    <n v="0"/>
    <n v="0"/>
    <n v="0"/>
    <n v="0"/>
    <n v="0"/>
    <n v="0"/>
    <n v="0"/>
    <n v="0"/>
    <n v="0"/>
  </r>
  <r>
    <s v="6SD002"/>
    <s v="Examensarbete i svenska för ämneslärarexamen"/>
    <m/>
    <s v="LYAGY"/>
    <s v="H17"/>
    <s v="ht"/>
    <s v="H2116-20:V221-15"/>
    <s v="Umeå"/>
    <m/>
    <s v="TYSK"/>
    <m/>
    <n v="1"/>
    <n v="7.5"/>
    <m/>
    <m/>
    <n v="1"/>
    <n v="0.125"/>
    <n v="0.85"/>
    <n v="0.10625"/>
    <x v="0"/>
    <s v="Inst för språkstudier"/>
    <s v="Hum"/>
    <s v="Ämneslärarprogrammet - Gy"/>
    <n v="20766"/>
    <n v="17442"/>
    <n v="4448.9624999999996"/>
    <n v="6000"/>
    <n v="750"/>
    <n v="5198.9624999999996"/>
    <n v="0"/>
    <n v="1"/>
    <n v="0"/>
    <n v="0"/>
    <n v="0"/>
    <n v="0"/>
    <n v="0"/>
    <n v="0"/>
    <n v="0"/>
    <n v="0"/>
    <n v="0"/>
    <n v="0"/>
  </r>
  <r>
    <s v="6SD002"/>
    <s v="Examensarbete i svenska för ämneslärarexamen"/>
    <m/>
    <s v="LYAGY"/>
    <s v="H20"/>
    <s v="ht"/>
    <s v="H2116-20:V221-15"/>
    <s v="Umeå"/>
    <m/>
    <s v="SVAA"/>
    <m/>
    <n v="1"/>
    <n v="7.5"/>
    <m/>
    <m/>
    <n v="1"/>
    <n v="0.125"/>
    <n v="0.85"/>
    <n v="0.10625"/>
    <x v="0"/>
    <s v="Inst för språkstudier"/>
    <s v="Hum"/>
    <s v="Ämneslärarprogrammet - Gy"/>
    <n v="20766"/>
    <n v="17442"/>
    <n v="4448.9624999999996"/>
    <n v="6000"/>
    <n v="750"/>
    <n v="5198.9624999999996"/>
    <n v="0"/>
    <n v="1"/>
    <n v="0"/>
    <n v="0"/>
    <n v="0"/>
    <n v="0"/>
    <n v="0"/>
    <n v="0"/>
    <n v="0"/>
    <n v="0"/>
    <n v="0"/>
    <n v="0"/>
  </r>
  <r>
    <s v="6SD003"/>
    <s v="Examensarbete i språkdidaktik för ämneslärarexamen"/>
    <m/>
    <s v="FRIST"/>
    <m/>
    <s v="ht"/>
    <m/>
    <m/>
    <s v="Distans"/>
    <m/>
    <m/>
    <n v="1"/>
    <n v="7.5"/>
    <m/>
    <m/>
    <n v="2"/>
    <n v="0.25"/>
    <n v="0.8"/>
    <n v="0.2"/>
    <x v="0"/>
    <s v="Inst för språkstudier"/>
    <s v="Hum"/>
    <s v="Fristående och övriga kurser"/>
    <n v="20766"/>
    <n v="17442"/>
    <n v="8679.9"/>
    <n v="6000"/>
    <n v="1500"/>
    <n v="10179.9"/>
    <n v="0"/>
    <n v="1"/>
    <n v="0"/>
    <n v="0"/>
    <n v="0"/>
    <n v="0"/>
    <n v="0"/>
    <n v="0"/>
    <n v="0"/>
    <n v="0"/>
    <n v="0"/>
    <n v="0"/>
  </r>
  <r>
    <s v="6SD003"/>
    <s v="Examensarbete i språkdidaktik för ämneslärarexamen"/>
    <m/>
    <s v="LYAGY"/>
    <s v="H16"/>
    <s v="ht"/>
    <s v="H2116-20:V221-15"/>
    <s v="Umeå"/>
    <m/>
    <s v="ENGS"/>
    <m/>
    <n v="1"/>
    <n v="7.5"/>
    <m/>
    <m/>
    <n v="2"/>
    <n v="0.25"/>
    <n v="0.85"/>
    <n v="0.21249999999999999"/>
    <x v="0"/>
    <s v="Inst för språkstudier"/>
    <s v="Hum"/>
    <s v="Ämneslärarprogrammet - Gy"/>
    <n v="20766"/>
    <n v="17442"/>
    <n v="8897.9249999999993"/>
    <n v="6000"/>
    <n v="1500"/>
    <n v="10397.924999999999"/>
    <n v="0"/>
    <n v="1"/>
    <n v="0"/>
    <n v="0"/>
    <n v="0"/>
    <n v="0"/>
    <n v="0"/>
    <n v="0"/>
    <n v="0"/>
    <n v="0"/>
    <n v="0"/>
    <n v="0"/>
  </r>
  <r>
    <s v="6SD003"/>
    <s v="Examensarbete i språkdidaktik för ämneslärarexamen"/>
    <m/>
    <s v="LYAGY"/>
    <s v="H17"/>
    <s v="ht"/>
    <s v="H2116-20:V221-15"/>
    <s v="Umeå"/>
    <m/>
    <s v="ENGS"/>
    <m/>
    <n v="1"/>
    <n v="7.5"/>
    <m/>
    <m/>
    <n v="8"/>
    <n v="1"/>
    <n v="0.85"/>
    <n v="0.85"/>
    <x v="0"/>
    <s v="Inst för språkstudier"/>
    <s v="Hum"/>
    <s v="Ämneslärarprogrammet - Gy"/>
    <n v="20766"/>
    <n v="17442"/>
    <n v="35591.699999999997"/>
    <n v="6000"/>
    <n v="6000"/>
    <n v="41591.699999999997"/>
    <n v="0"/>
    <n v="1"/>
    <n v="0"/>
    <n v="0"/>
    <n v="0"/>
    <n v="0"/>
    <n v="0"/>
    <n v="0"/>
    <n v="0"/>
    <n v="0"/>
    <n v="0"/>
    <n v="0"/>
  </r>
  <r>
    <s v="6SD003"/>
    <s v="Examensarbete i språkdidaktik för ämneslärarexamen"/>
    <m/>
    <s v="LYAGY"/>
    <s v="H17"/>
    <s v="ht"/>
    <s v="H2116-20:V221-15"/>
    <s v="Umeå"/>
    <m/>
    <s v="MATT"/>
    <m/>
    <n v="1"/>
    <n v="7.5"/>
    <m/>
    <m/>
    <n v="1"/>
    <n v="0.125"/>
    <n v="0.85"/>
    <n v="0.10625"/>
    <x v="0"/>
    <s v="Inst för språkstudier"/>
    <s v="Hum"/>
    <s v="Ämneslärarprogrammet - Gy"/>
    <n v="20766"/>
    <n v="17442"/>
    <n v="4448.9624999999996"/>
    <n v="6000"/>
    <n v="750"/>
    <n v="5198.9624999999996"/>
    <n v="0"/>
    <n v="1"/>
    <n v="0"/>
    <n v="0"/>
    <n v="0"/>
    <n v="0"/>
    <n v="0"/>
    <n v="0"/>
    <n v="0"/>
    <n v="0"/>
    <n v="0"/>
    <n v="0"/>
  </r>
  <r>
    <s v="6SD003"/>
    <s v="Examensarbete i språkdidaktik för ämneslärarexamen"/>
    <m/>
    <s v="LYAGY"/>
    <s v="H17"/>
    <s v="ht"/>
    <s v="H2116-20:V221-15"/>
    <s v="Umeå"/>
    <m/>
    <s v="RELK"/>
    <m/>
    <n v="1"/>
    <n v="7.5"/>
    <m/>
    <m/>
    <n v="1"/>
    <n v="0.125"/>
    <n v="0.85"/>
    <n v="0.10625"/>
    <x v="0"/>
    <s v="Inst för språkstudier"/>
    <s v="Hum"/>
    <s v="Ämneslärarprogrammet - Gy"/>
    <n v="20766"/>
    <n v="17442"/>
    <n v="4448.9624999999996"/>
    <n v="6000"/>
    <n v="750"/>
    <n v="5198.9624999999996"/>
    <n v="0"/>
    <n v="1"/>
    <n v="0"/>
    <n v="0"/>
    <n v="0"/>
    <n v="0"/>
    <n v="0"/>
    <n v="0"/>
    <n v="0"/>
    <n v="0"/>
    <n v="0"/>
    <n v="0"/>
  </r>
  <r>
    <s v="6SD007"/>
    <s v="Didaktik för det flerspråkiga klassrummet"/>
    <m/>
    <s v="FRIST"/>
    <m/>
    <s v="ht"/>
    <m/>
    <m/>
    <s v="Distans"/>
    <m/>
    <m/>
    <n v="0.25"/>
    <n v="7.5"/>
    <m/>
    <m/>
    <n v="10"/>
    <n v="1.25"/>
    <n v="0.8"/>
    <n v="1"/>
    <x v="0"/>
    <s v="Inst för språkstudier"/>
    <s v="Hum"/>
    <s v="Fristående och övriga kurser"/>
    <n v="20766"/>
    <n v="17442"/>
    <n v="43399.5"/>
    <n v="6000"/>
    <n v="7500"/>
    <n v="50899.5"/>
    <n v="0"/>
    <n v="1"/>
    <n v="0"/>
    <n v="0"/>
    <n v="0"/>
    <n v="0"/>
    <n v="0"/>
    <n v="0"/>
    <n v="0"/>
    <n v="0"/>
    <n v="0"/>
    <n v="0"/>
  </r>
  <r>
    <s v="6SD010"/>
    <s v="Språk-, skriv- och läsutveckling för speciallärare"/>
    <n v="61330"/>
    <s v="LYSPL"/>
    <m/>
    <s v="vt"/>
    <m/>
    <s v="Umeå"/>
    <s v="Distans"/>
    <s v="SVGG"/>
    <m/>
    <m/>
    <n v="30"/>
    <m/>
    <m/>
    <n v="15"/>
    <n v="7.5"/>
    <n v="0.85"/>
    <n v="6.375"/>
    <x v="0"/>
    <s v="Inst för språkstudier"/>
    <s v="Hum"/>
    <s v="Speciallärarprogrammet"/>
    <n v="20766"/>
    <n v="17442"/>
    <n v="266937.75"/>
    <n v="6000"/>
    <n v="45000"/>
    <n v="311937.75"/>
    <n v="0"/>
    <n v="1"/>
    <n v="0"/>
    <n v="0"/>
    <n v="0"/>
    <n v="0"/>
    <n v="0"/>
    <n v="0"/>
    <n v="0"/>
    <n v="0"/>
    <n v="0"/>
    <n v="0"/>
  </r>
  <r>
    <s v="6SD011"/>
    <s v="Examensarbete för speciallärarexamen med specialisering mot språk-, skriv- och läsutveckling"/>
    <m/>
    <s v="LYSPE"/>
    <s v="H19"/>
    <s v="ht"/>
    <s v="H216-15"/>
    <s v="Umeå"/>
    <m/>
    <s v="ALLM"/>
    <m/>
    <n v="1"/>
    <n v="15"/>
    <m/>
    <m/>
    <n v="1"/>
    <n v="0.25"/>
    <n v="0.85"/>
    <n v="0.21249999999999999"/>
    <x v="0"/>
    <s v="Inst för språkstudier"/>
    <s v="Hum"/>
    <s v="Specialpedagogprogrammet"/>
    <n v="20766"/>
    <n v="17442"/>
    <n v="8897.9249999999993"/>
    <n v="6000"/>
    <n v="1500"/>
    <n v="10397.924999999999"/>
    <n v="0"/>
    <n v="0"/>
    <n v="0"/>
    <n v="0"/>
    <n v="0"/>
    <n v="0"/>
    <n v="1"/>
    <n v="0"/>
    <n v="0"/>
    <n v="0"/>
    <n v="0"/>
    <n v="0"/>
  </r>
  <r>
    <s v="6SD011"/>
    <s v="Examensarbete för speciallärarexamen med specialisering mot språk-, skriv- och läsutveckling"/>
    <m/>
    <s v="LYSPL"/>
    <s v="H20"/>
    <s v="ht"/>
    <s v="H216-15"/>
    <s v="Umeå"/>
    <m/>
    <s v="SVGG"/>
    <m/>
    <n v="1"/>
    <n v="15"/>
    <m/>
    <m/>
    <n v="14"/>
    <n v="3.5"/>
    <n v="0.85"/>
    <n v="2.9750000000000001"/>
    <x v="0"/>
    <s v="Inst för språkstudier"/>
    <s v="Hum"/>
    <s v="Speciallärarprogrammet"/>
    <n v="20766"/>
    <n v="17442"/>
    <n v="124570.95000000001"/>
    <n v="6000"/>
    <n v="21000"/>
    <n v="145570.95000000001"/>
    <n v="0"/>
    <n v="0"/>
    <n v="0"/>
    <n v="0"/>
    <n v="0"/>
    <n v="0"/>
    <n v="1"/>
    <n v="0"/>
    <n v="0"/>
    <n v="0"/>
    <n v="0"/>
    <n v="0"/>
  </r>
  <r>
    <s v="6SD012"/>
    <s v="Språk-, skriv- och läsutveckling i ett specialpedagogiskt perspektiv"/>
    <m/>
    <s v="LYSPL"/>
    <s v="H20"/>
    <s v="ht"/>
    <s v="H2116-20"/>
    <s v="Umeå"/>
    <m/>
    <s v="MAGG"/>
    <m/>
    <n v="1"/>
    <n v="7.5"/>
    <m/>
    <m/>
    <n v="9"/>
    <n v="1.125"/>
    <n v="0.85"/>
    <n v="0.95624999999999993"/>
    <x v="0"/>
    <s v="Inst för språkstudier"/>
    <s v="Hum"/>
    <s v="Speciallärarprogrammet"/>
    <n v="20766"/>
    <n v="17442"/>
    <n v="40040.662499999999"/>
    <n v="6000"/>
    <n v="6750"/>
    <n v="46790.662499999999"/>
    <n v="0"/>
    <n v="1"/>
    <n v="0"/>
    <n v="0"/>
    <n v="0"/>
    <n v="0"/>
    <n v="0"/>
    <n v="0"/>
    <n v="0"/>
    <n v="0"/>
    <n v="0"/>
    <n v="0"/>
  </r>
  <r>
    <s v="6SD016"/>
    <s v="Språk, skrivande och demokrati"/>
    <n v="61331"/>
    <s v="FRIST"/>
    <m/>
    <s v="vt"/>
    <m/>
    <s v="Ortsoberoende"/>
    <s v="Distans"/>
    <m/>
    <m/>
    <m/>
    <n v="7.5"/>
    <m/>
    <m/>
    <n v="16"/>
    <n v="2"/>
    <n v="0.8"/>
    <n v="1.6"/>
    <x v="0"/>
    <s v="Inst för språkstudier"/>
    <s v="Hum"/>
    <s v="Fristående och övriga kurser"/>
    <n v="20766"/>
    <n v="17442"/>
    <n v="69439.199999999997"/>
    <n v="6000"/>
    <n v="12000"/>
    <n v="81439.199999999997"/>
    <n v="0"/>
    <n v="1"/>
    <n v="0"/>
    <n v="0"/>
    <n v="0"/>
    <n v="0"/>
    <n v="0"/>
    <n v="0"/>
    <n v="0"/>
    <n v="0"/>
    <n v="0"/>
    <n v="0"/>
  </r>
  <r>
    <s v="6SH009"/>
    <s v="Samhällskunskap 1"/>
    <n v="64903"/>
    <s v="LYAGY"/>
    <m/>
    <s v="vt"/>
    <m/>
    <s v="Umeå"/>
    <s v="Normal"/>
    <s v="ENGS"/>
    <m/>
    <m/>
    <n v="30"/>
    <m/>
    <m/>
    <n v="1"/>
    <n v="0.5"/>
    <n v="0.85"/>
    <n v="0.42499999999999999"/>
    <x v="16"/>
    <s v="Statsvetenskap                "/>
    <s v="Sam"/>
    <s v="Ämneslärarprogrammet - Gy"/>
    <n v="20766"/>
    <n v="17442"/>
    <n v="17795.849999999999"/>
    <n v="6000"/>
    <n v="3000"/>
    <n v="20795.849999999999"/>
    <n v="0"/>
    <n v="1"/>
    <n v="0"/>
    <n v="0"/>
    <n v="0"/>
    <n v="0"/>
    <n v="0"/>
    <n v="0"/>
    <n v="0"/>
    <n v="0"/>
    <n v="0"/>
    <n v="0"/>
  </r>
  <r>
    <s v="6SH009"/>
    <s v="Samhällskunskap 1"/>
    <n v="64903"/>
    <s v="LYAGY"/>
    <m/>
    <s v="vt"/>
    <m/>
    <s v="Umeå"/>
    <s v="Normal"/>
    <s v="HIST"/>
    <m/>
    <m/>
    <n v="30"/>
    <m/>
    <m/>
    <n v="5"/>
    <n v="2.5"/>
    <n v="0.85"/>
    <n v="2.125"/>
    <x v="16"/>
    <s v="Statsvetenskap                "/>
    <s v="Sam"/>
    <s v="Ämneslärarprogrammet - Gy"/>
    <n v="20766"/>
    <n v="17442"/>
    <n v="88979.25"/>
    <n v="6000"/>
    <n v="15000"/>
    <n v="103979.25"/>
    <n v="0"/>
    <n v="1"/>
    <n v="0"/>
    <n v="0"/>
    <n v="0"/>
    <n v="0"/>
    <n v="0"/>
    <n v="0"/>
    <n v="0"/>
    <n v="0"/>
    <n v="0"/>
    <n v="0"/>
  </r>
  <r>
    <s v="6SH009"/>
    <s v="Samhällskunskap 1"/>
    <n v="64903"/>
    <s v="LYAGY"/>
    <m/>
    <s v="vt"/>
    <m/>
    <s v="Umeå"/>
    <s v="Normal"/>
    <s v="RELK"/>
    <m/>
    <m/>
    <n v="30"/>
    <m/>
    <m/>
    <n v="1"/>
    <n v="0.5"/>
    <n v="0.85"/>
    <n v="0.42499999999999999"/>
    <x v="16"/>
    <s v="Statsvetenskap                "/>
    <s v="Sam"/>
    <s v="Ämneslärarprogrammet - Gy"/>
    <n v="20766"/>
    <n v="17442"/>
    <n v="17795.849999999999"/>
    <n v="6000"/>
    <n v="3000"/>
    <n v="20795.849999999999"/>
    <n v="0"/>
    <n v="1"/>
    <n v="0"/>
    <n v="0"/>
    <n v="0"/>
    <n v="0"/>
    <n v="0"/>
    <n v="0"/>
    <n v="0"/>
    <n v="0"/>
    <n v="0"/>
    <n v="0"/>
  </r>
  <r>
    <s v="6SH009"/>
    <s v="Samhällskunskap 1"/>
    <n v="64903"/>
    <s v="LYAGY"/>
    <m/>
    <s v="vt"/>
    <m/>
    <s v="Umeå"/>
    <s v="Normal"/>
    <s v="SAMK"/>
    <m/>
    <m/>
    <n v="30"/>
    <m/>
    <m/>
    <n v="15"/>
    <n v="7.5"/>
    <n v="0.85"/>
    <n v="6.375"/>
    <x v="16"/>
    <s v="Statsvetenskap                "/>
    <s v="Sam"/>
    <s v="Ämneslärarprogrammet - Gy"/>
    <n v="20766"/>
    <n v="17442"/>
    <n v="266937.75"/>
    <n v="6000"/>
    <n v="45000"/>
    <n v="311937.75"/>
    <n v="0"/>
    <n v="1"/>
    <n v="0"/>
    <n v="0"/>
    <n v="0"/>
    <n v="0"/>
    <n v="0"/>
    <n v="0"/>
    <n v="0"/>
    <n v="0"/>
    <n v="0"/>
    <n v="0"/>
  </r>
  <r>
    <s v="6SH009"/>
    <s v="Samhällskunskap 1"/>
    <n v="64903"/>
    <s v="LYAGY"/>
    <m/>
    <s v="vt"/>
    <m/>
    <s v="Umeå"/>
    <s v="Normal"/>
    <s v="SVAA"/>
    <m/>
    <m/>
    <n v="30"/>
    <m/>
    <m/>
    <n v="2"/>
    <n v="1"/>
    <n v="0.85"/>
    <n v="0.85"/>
    <x v="16"/>
    <s v="Statsvetenskap                "/>
    <s v="Sam"/>
    <s v="Ämneslärarprogrammet - Gy"/>
    <n v="20766"/>
    <n v="17442"/>
    <n v="35591.699999999997"/>
    <n v="6000"/>
    <n v="6000"/>
    <n v="41591.699999999997"/>
    <n v="0"/>
    <n v="1"/>
    <n v="0"/>
    <n v="0"/>
    <n v="0"/>
    <n v="0"/>
    <n v="0"/>
    <n v="0"/>
    <n v="0"/>
    <n v="0"/>
    <n v="0"/>
    <n v="0"/>
  </r>
  <r>
    <s v="6SH010"/>
    <s v="Samhällskunskap 2"/>
    <m/>
    <s v="LYAGY"/>
    <s v="H17"/>
    <s v="ht"/>
    <s v="H211-20"/>
    <s v="Umeå"/>
    <m/>
    <s v="HIST"/>
    <m/>
    <n v="1"/>
    <n v="30"/>
    <m/>
    <m/>
    <n v="1"/>
    <n v="0.5"/>
    <n v="0.85"/>
    <n v="0.42499999999999999"/>
    <x v="16"/>
    <s v="Statsvetenskap                "/>
    <s v="Sam"/>
    <s v="Ämneslärarprogrammet - Gy"/>
    <n v="20766"/>
    <n v="17442"/>
    <n v="17795.849999999999"/>
    <n v="6000"/>
    <n v="3000"/>
    <n v="20795.849999999999"/>
    <n v="0"/>
    <n v="0"/>
    <n v="0"/>
    <n v="0"/>
    <n v="0"/>
    <n v="0"/>
    <n v="1"/>
    <n v="0"/>
    <n v="0"/>
    <n v="0"/>
    <n v="0"/>
    <n v="0"/>
  </r>
  <r>
    <s v="6SH010"/>
    <s v="Samhällskunskap 2"/>
    <m/>
    <s v="LYAGY"/>
    <s v="H18"/>
    <s v="ht"/>
    <s v="H211-20"/>
    <s v="Umeå"/>
    <m/>
    <s v="ENGS"/>
    <m/>
    <n v="1"/>
    <n v="30"/>
    <m/>
    <m/>
    <n v="1"/>
    <n v="0.5"/>
    <n v="0.85"/>
    <n v="0.42499999999999999"/>
    <x v="16"/>
    <s v="Statsvetenskap                "/>
    <s v="Sam"/>
    <s v="Ämneslärarprogrammet - Gy"/>
    <n v="20766"/>
    <n v="17442"/>
    <n v="17795.849999999999"/>
    <n v="6000"/>
    <n v="3000"/>
    <n v="20795.849999999999"/>
    <n v="0"/>
    <n v="0"/>
    <n v="0"/>
    <n v="0"/>
    <n v="0"/>
    <n v="0"/>
    <n v="1"/>
    <n v="0"/>
    <n v="0"/>
    <n v="0"/>
    <n v="0"/>
    <n v="0"/>
  </r>
  <r>
    <s v="6SH010"/>
    <s v="Samhällskunskap 2"/>
    <m/>
    <s v="LYAGY"/>
    <s v="H18"/>
    <s v="ht"/>
    <s v="H211-20"/>
    <s v="Umeå"/>
    <m/>
    <s v="HIST"/>
    <m/>
    <n v="1"/>
    <n v="30"/>
    <m/>
    <m/>
    <n v="2"/>
    <n v="1"/>
    <n v="0.85"/>
    <n v="0.85"/>
    <x v="16"/>
    <s v="Statsvetenskap                "/>
    <s v="Sam"/>
    <s v="Ämneslärarprogrammet - Gy"/>
    <n v="20766"/>
    <n v="17442"/>
    <n v="35591.699999999997"/>
    <n v="6000"/>
    <n v="6000"/>
    <n v="41591.699999999997"/>
    <n v="0"/>
    <n v="0"/>
    <n v="0"/>
    <n v="0"/>
    <n v="0"/>
    <n v="0"/>
    <n v="1"/>
    <n v="0"/>
    <n v="0"/>
    <n v="0"/>
    <n v="0"/>
    <n v="0"/>
  </r>
  <r>
    <s v="6SH010"/>
    <s v="Samhällskunskap 2"/>
    <m/>
    <s v="LYAGY"/>
    <s v="H18"/>
    <s v="ht"/>
    <s v="H211-20"/>
    <s v="Umeå"/>
    <m/>
    <s v="RELK"/>
    <m/>
    <n v="1"/>
    <n v="30"/>
    <m/>
    <m/>
    <n v="1"/>
    <n v="0.5"/>
    <n v="0.85"/>
    <n v="0.42499999999999999"/>
    <x v="16"/>
    <s v="Statsvetenskap                "/>
    <s v="Sam"/>
    <s v="Ämneslärarprogrammet - Gy"/>
    <n v="20766"/>
    <n v="17442"/>
    <n v="17795.849999999999"/>
    <n v="6000"/>
    <n v="3000"/>
    <n v="20795.849999999999"/>
    <n v="0"/>
    <n v="0"/>
    <n v="0"/>
    <n v="0"/>
    <n v="0"/>
    <n v="0"/>
    <n v="1"/>
    <n v="0"/>
    <n v="0"/>
    <n v="0"/>
    <n v="0"/>
    <n v="0"/>
  </r>
  <r>
    <s v="6SH010"/>
    <s v="Samhällskunskap 2"/>
    <m/>
    <s v="LYAGY"/>
    <s v="H18"/>
    <s v="ht"/>
    <s v="H211-20"/>
    <s v="Umeå"/>
    <m/>
    <s v="SVAA"/>
    <m/>
    <n v="1"/>
    <n v="30"/>
    <m/>
    <m/>
    <n v="2"/>
    <n v="1"/>
    <n v="0.85"/>
    <n v="0.85"/>
    <x v="16"/>
    <s v="Statsvetenskap                "/>
    <s v="Sam"/>
    <s v="Ämneslärarprogrammet - Gy"/>
    <n v="20766"/>
    <n v="17442"/>
    <n v="35591.699999999997"/>
    <n v="6000"/>
    <n v="6000"/>
    <n v="41591.699999999997"/>
    <n v="0"/>
    <n v="0"/>
    <n v="0"/>
    <n v="0"/>
    <n v="0"/>
    <n v="0"/>
    <n v="1"/>
    <n v="0"/>
    <n v="0"/>
    <n v="0"/>
    <n v="0"/>
    <n v="0"/>
  </r>
  <r>
    <s v="6SH010"/>
    <s v="Samhällskunskap 2"/>
    <m/>
    <s v="LYAGY"/>
    <s v="H19"/>
    <s v="ht"/>
    <s v="H211-20"/>
    <s v="Umeå"/>
    <m/>
    <s v="SAMK"/>
    <m/>
    <n v="1"/>
    <n v="30"/>
    <m/>
    <m/>
    <n v="1"/>
    <n v="0.5"/>
    <n v="0.85"/>
    <n v="0.42499999999999999"/>
    <x v="16"/>
    <s v="Statsvetenskap                "/>
    <s v="Sam"/>
    <s v="Ämneslärarprogrammet - Gy"/>
    <n v="20766"/>
    <n v="17442"/>
    <n v="17795.849999999999"/>
    <n v="6000"/>
    <n v="3000"/>
    <n v="20795.849999999999"/>
    <n v="0"/>
    <n v="0"/>
    <n v="0"/>
    <n v="0"/>
    <n v="0"/>
    <n v="0"/>
    <n v="1"/>
    <n v="0"/>
    <n v="0"/>
    <n v="0"/>
    <n v="0"/>
    <n v="0"/>
  </r>
  <r>
    <s v="6SH010"/>
    <s v="Samhällskunskap 2"/>
    <m/>
    <s v="LYAGY"/>
    <s v="H20"/>
    <s v="ht"/>
    <s v="H211-20"/>
    <s v="Umeå"/>
    <m/>
    <s v="SAMK"/>
    <m/>
    <n v="1"/>
    <n v="30"/>
    <m/>
    <m/>
    <n v="11"/>
    <n v="5.5"/>
    <n v="0.85"/>
    <n v="4.6749999999999998"/>
    <x v="16"/>
    <s v="Statsvetenskap                "/>
    <s v="Sam"/>
    <s v="Ämneslärarprogrammet - Gy"/>
    <n v="20766"/>
    <n v="17442"/>
    <n v="195754.34999999998"/>
    <n v="6000"/>
    <n v="33000"/>
    <n v="228754.34999999998"/>
    <n v="0"/>
    <n v="0"/>
    <n v="0"/>
    <n v="0"/>
    <n v="0"/>
    <n v="0"/>
    <n v="1"/>
    <n v="0"/>
    <n v="0"/>
    <n v="0"/>
    <n v="0"/>
    <n v="0"/>
  </r>
  <r>
    <s v="6SH011"/>
    <s v="Samhällskunskap 3"/>
    <n v="64906"/>
    <s v="LYAGY"/>
    <m/>
    <s v="vt"/>
    <m/>
    <s v="Umeå"/>
    <s v="Normal"/>
    <s v="ENGS"/>
    <m/>
    <m/>
    <n v="30"/>
    <m/>
    <m/>
    <n v="2"/>
    <n v="1"/>
    <n v="0.85"/>
    <n v="0.85"/>
    <x v="16"/>
    <s v="Statsvetenskap                "/>
    <s v="Sam"/>
    <s v="Ämneslärarprogrammet - Gy"/>
    <n v="20766"/>
    <n v="17442"/>
    <n v="35591.699999999997"/>
    <n v="6000"/>
    <n v="6000"/>
    <n v="41591.699999999997"/>
    <n v="0"/>
    <n v="1"/>
    <n v="0"/>
    <n v="0"/>
    <n v="0"/>
    <n v="0"/>
    <n v="0"/>
    <n v="0"/>
    <n v="0"/>
    <n v="0"/>
    <n v="0"/>
    <n v="0"/>
  </r>
  <r>
    <s v="6SH011"/>
    <s v="Samhällskunskap 3"/>
    <n v="64906"/>
    <s v="LYAGY"/>
    <m/>
    <s v="vt"/>
    <m/>
    <s v="Umeå"/>
    <s v="Normal"/>
    <s v="HIST"/>
    <m/>
    <m/>
    <n v="30"/>
    <m/>
    <m/>
    <n v="1"/>
    <n v="0.5"/>
    <n v="0.85"/>
    <n v="0.42499999999999999"/>
    <x v="16"/>
    <s v="Statsvetenskap                "/>
    <s v="Sam"/>
    <s v="Ämneslärarprogrammet - Gy"/>
    <n v="20766"/>
    <n v="17442"/>
    <n v="17795.849999999999"/>
    <n v="6000"/>
    <n v="3000"/>
    <n v="20795.849999999999"/>
    <n v="0"/>
    <n v="1"/>
    <n v="0"/>
    <n v="0"/>
    <n v="0"/>
    <n v="0"/>
    <n v="0"/>
    <n v="0"/>
    <n v="0"/>
    <n v="0"/>
    <n v="0"/>
    <n v="0"/>
  </r>
  <r>
    <s v="6SH011"/>
    <s v="Samhällskunskap 3"/>
    <n v="64906"/>
    <s v="LYAGY"/>
    <m/>
    <s v="vt"/>
    <m/>
    <s v="Umeå"/>
    <s v="Normal"/>
    <s v="IDRH"/>
    <m/>
    <m/>
    <n v="30"/>
    <m/>
    <m/>
    <n v="4"/>
    <n v="2"/>
    <n v="0.85"/>
    <n v="1.7"/>
    <x v="16"/>
    <s v="Statsvetenskap                "/>
    <s v="Sam"/>
    <s v="Ämneslärarprogrammet - Gy"/>
    <n v="20766"/>
    <n v="17442"/>
    <n v="71183.399999999994"/>
    <n v="6000"/>
    <n v="12000"/>
    <n v="83183.399999999994"/>
    <n v="0"/>
    <n v="1"/>
    <n v="0"/>
    <n v="0"/>
    <n v="0"/>
    <n v="0"/>
    <n v="0"/>
    <n v="0"/>
    <n v="0"/>
    <n v="0"/>
    <n v="0"/>
    <n v="0"/>
  </r>
  <r>
    <s v="6SH011"/>
    <s v="Samhällskunskap 3"/>
    <n v="64906"/>
    <s v="LYAGY"/>
    <m/>
    <s v="vt"/>
    <m/>
    <s v="Umeå"/>
    <s v="Normal"/>
    <s v="RELK"/>
    <m/>
    <m/>
    <n v="30"/>
    <m/>
    <m/>
    <n v="1"/>
    <n v="0.5"/>
    <n v="0.85"/>
    <n v="0.42499999999999999"/>
    <x v="16"/>
    <s v="Statsvetenskap                "/>
    <s v="Sam"/>
    <s v="Ämneslärarprogrammet - Gy"/>
    <n v="20766"/>
    <n v="17442"/>
    <n v="17795.849999999999"/>
    <n v="6000"/>
    <n v="3000"/>
    <n v="20795.849999999999"/>
    <n v="0"/>
    <n v="1"/>
    <n v="0"/>
    <n v="0"/>
    <n v="0"/>
    <n v="0"/>
    <n v="0"/>
    <n v="0"/>
    <n v="0"/>
    <n v="0"/>
    <n v="0"/>
    <n v="0"/>
  </r>
  <r>
    <s v="6SH011"/>
    <s v="Samhällskunskap 3"/>
    <n v="64906"/>
    <s v="LYAGY"/>
    <m/>
    <s v="vt"/>
    <m/>
    <s v="Umeå"/>
    <s v="Normal"/>
    <s v="SAMK"/>
    <m/>
    <m/>
    <n v="30"/>
    <m/>
    <m/>
    <n v="11"/>
    <n v="5.5"/>
    <n v="0.85"/>
    <n v="4.6749999999999998"/>
    <x v="16"/>
    <s v="Statsvetenskap                "/>
    <s v="Sam"/>
    <s v="Ämneslärarprogrammet - Gy"/>
    <n v="20766"/>
    <n v="17442"/>
    <n v="195754.34999999998"/>
    <n v="6000"/>
    <n v="33000"/>
    <n v="228754.34999999998"/>
    <n v="0"/>
    <n v="1"/>
    <n v="0"/>
    <n v="0"/>
    <n v="0"/>
    <n v="0"/>
    <n v="0"/>
    <n v="0"/>
    <n v="0"/>
    <n v="0"/>
    <n v="0"/>
    <n v="0"/>
  </r>
  <r>
    <s v="6SH013"/>
    <s v="Examensarbete"/>
    <m/>
    <s v="LYAGY"/>
    <s v="H16"/>
    <s v="ht"/>
    <s v="H2116-20:V221-15"/>
    <s v="Umeå"/>
    <m/>
    <s v="HIST"/>
    <m/>
    <n v="1"/>
    <n v="7.5"/>
    <m/>
    <m/>
    <n v="1"/>
    <n v="0.125"/>
    <n v="0.85"/>
    <n v="0.10625"/>
    <x v="16"/>
    <s v="Statsvetenskap                "/>
    <s v="Sam"/>
    <s v="Ämneslärarprogrammet - Gy"/>
    <n v="20766"/>
    <n v="17442"/>
    <n v="4448.9624999999996"/>
    <n v="6000"/>
    <n v="750"/>
    <n v="5198.9624999999996"/>
    <n v="0"/>
    <n v="0"/>
    <n v="0"/>
    <n v="0"/>
    <n v="0"/>
    <n v="0"/>
    <n v="1"/>
    <n v="0"/>
    <n v="0"/>
    <n v="0"/>
    <n v="0"/>
    <n v="0"/>
  </r>
  <r>
    <s v="6SH013"/>
    <s v="Examensarbete"/>
    <m/>
    <s v="LYAGY"/>
    <s v="H16"/>
    <s v="ht"/>
    <s v="H2116-20:V221-15"/>
    <s v="Umeå"/>
    <m/>
    <s v="SAMK"/>
    <m/>
    <n v="1"/>
    <n v="7.5"/>
    <m/>
    <m/>
    <n v="2"/>
    <n v="0.25"/>
    <n v="0.85"/>
    <n v="0.21249999999999999"/>
    <x v="16"/>
    <s v="Statsvetenskap                "/>
    <s v="Sam"/>
    <s v="Ämneslärarprogrammet - Gy"/>
    <n v="20766"/>
    <n v="17442"/>
    <n v="8897.9249999999993"/>
    <n v="6000"/>
    <n v="1500"/>
    <n v="10397.924999999999"/>
    <n v="0"/>
    <n v="0"/>
    <n v="0"/>
    <n v="0"/>
    <n v="0"/>
    <n v="0"/>
    <n v="1"/>
    <n v="0"/>
    <n v="0"/>
    <n v="0"/>
    <n v="0"/>
    <n v="0"/>
  </r>
  <r>
    <s v="6SH013"/>
    <s v="Examensarbete"/>
    <m/>
    <s v="LYAGY"/>
    <s v="H17"/>
    <s v="ht"/>
    <s v="H2116-20:V221-15"/>
    <s v="Umeå"/>
    <m/>
    <s v="HIST"/>
    <m/>
    <n v="1"/>
    <n v="7.5"/>
    <m/>
    <m/>
    <n v="1"/>
    <n v="0.125"/>
    <n v="0.85"/>
    <n v="0.10625"/>
    <x v="16"/>
    <s v="Statsvetenskap                "/>
    <s v="Sam"/>
    <s v="Ämneslärarprogrammet - Gy"/>
    <n v="20766"/>
    <n v="17442"/>
    <n v="4448.9624999999996"/>
    <n v="6000"/>
    <n v="750"/>
    <n v="5198.9624999999996"/>
    <n v="0"/>
    <n v="0"/>
    <n v="0"/>
    <n v="0"/>
    <n v="0"/>
    <n v="0"/>
    <n v="1"/>
    <n v="0"/>
    <n v="0"/>
    <n v="0"/>
    <n v="0"/>
    <n v="0"/>
  </r>
  <r>
    <s v="6SH013"/>
    <s v="Examensarbete"/>
    <m/>
    <s v="LYAGY"/>
    <s v="H17"/>
    <s v="ht"/>
    <s v="H2116-20:V221-15"/>
    <s v="Umeå"/>
    <m/>
    <s v="IDRH"/>
    <m/>
    <n v="1"/>
    <n v="7.5"/>
    <m/>
    <m/>
    <n v="3"/>
    <n v="0.375"/>
    <n v="0.85"/>
    <n v="0.31874999999999998"/>
    <x v="16"/>
    <s v="Statsvetenskap                "/>
    <s v="Sam"/>
    <s v="Ämneslärarprogrammet - Gy"/>
    <n v="20766"/>
    <n v="17442"/>
    <n v="13346.887500000001"/>
    <n v="6000"/>
    <n v="2250"/>
    <n v="15596.887500000001"/>
    <n v="0"/>
    <n v="0"/>
    <n v="0"/>
    <n v="0"/>
    <n v="0"/>
    <n v="0"/>
    <n v="1"/>
    <n v="0"/>
    <n v="0"/>
    <n v="0"/>
    <n v="0"/>
    <n v="0"/>
  </r>
  <r>
    <s v="6SH013"/>
    <s v="Examensarbete"/>
    <m/>
    <s v="LYAGY"/>
    <s v="H17"/>
    <s v="ht"/>
    <s v="H2116-20:V221-15"/>
    <s v="Umeå"/>
    <m/>
    <s v="SAMK"/>
    <m/>
    <n v="1"/>
    <n v="7.5"/>
    <m/>
    <m/>
    <n v="6"/>
    <n v="0.75"/>
    <n v="0.85"/>
    <n v="0.63749999999999996"/>
    <x v="16"/>
    <s v="Statsvetenskap                "/>
    <s v="Sam"/>
    <s v="Ämneslärarprogrammet - Gy"/>
    <n v="20766"/>
    <n v="17442"/>
    <n v="26693.775000000001"/>
    <n v="6000"/>
    <n v="4500"/>
    <n v="31193.775000000001"/>
    <n v="0"/>
    <n v="0"/>
    <n v="0"/>
    <n v="0"/>
    <n v="0"/>
    <n v="0"/>
    <n v="1"/>
    <n v="0"/>
    <n v="0"/>
    <n v="0"/>
    <n v="0"/>
    <n v="0"/>
  </r>
  <r>
    <s v="6SH013"/>
    <s v="Examensarbete"/>
    <m/>
    <s v="LYAGY"/>
    <s v="H18"/>
    <s v="ht"/>
    <s v="H2116-20:V221-15"/>
    <s v="Umeå"/>
    <m/>
    <s v="ENGS"/>
    <m/>
    <n v="1"/>
    <n v="7.5"/>
    <m/>
    <m/>
    <n v="1"/>
    <n v="0.125"/>
    <n v="0.85"/>
    <n v="0.10625"/>
    <x v="16"/>
    <s v="Statsvetenskap                "/>
    <s v="Sam"/>
    <s v="Ämneslärarprogrammet - Gy"/>
    <n v="20766"/>
    <n v="17442"/>
    <n v="4448.9624999999996"/>
    <n v="6000"/>
    <n v="750"/>
    <n v="5198.9624999999996"/>
    <n v="0"/>
    <n v="0"/>
    <n v="0"/>
    <n v="0"/>
    <n v="0"/>
    <n v="0"/>
    <n v="1"/>
    <n v="0"/>
    <n v="0"/>
    <n v="0"/>
    <n v="0"/>
    <n v="0"/>
  </r>
  <r>
    <s v="6SH013"/>
    <s v="Examensarbete"/>
    <m/>
    <s v="LYAGY"/>
    <s v="H19"/>
    <s v="ht"/>
    <s v="H2116-20:V221-15"/>
    <s v="Umeå"/>
    <m/>
    <s v="SAMK"/>
    <m/>
    <n v="1"/>
    <n v="7.5"/>
    <m/>
    <m/>
    <n v="1"/>
    <n v="0.125"/>
    <n v="0.85"/>
    <n v="0.10625"/>
    <x v="16"/>
    <s v="Statsvetenskap                "/>
    <s v="Sam"/>
    <s v="Ämneslärarprogrammet - Gy"/>
    <n v="20766"/>
    <n v="17442"/>
    <n v="4448.9624999999996"/>
    <n v="6000"/>
    <n v="750"/>
    <n v="5198.9624999999996"/>
    <n v="0"/>
    <n v="0"/>
    <n v="0"/>
    <n v="0"/>
    <n v="0"/>
    <n v="0"/>
    <n v="1"/>
    <n v="0"/>
    <n v="0"/>
    <n v="0"/>
    <n v="0"/>
    <n v="0"/>
  </r>
  <r>
    <s v="6SH016"/>
    <s v="Profession och vetenskap för ämneslärare"/>
    <m/>
    <s v="LYAGR"/>
    <s v="H17"/>
    <s v="ht"/>
    <s v="H2116-20"/>
    <s v="Umeå"/>
    <m/>
    <s v="TXBI"/>
    <m/>
    <n v="1"/>
    <n v="7.5"/>
    <m/>
    <m/>
    <n v="2"/>
    <n v="0.25"/>
    <n v="0.85"/>
    <n v="0.21249999999999999"/>
    <x v="16"/>
    <s v="Statsvetenskap                "/>
    <s v="Sam"/>
    <s v="Ämneslärarprogrammet - åk 7-9"/>
    <n v="26554"/>
    <n v="33465"/>
    <n v="13749.8125"/>
    <n v="6000"/>
    <n v="1500"/>
    <n v="15249.8125"/>
    <n v="0"/>
    <n v="0"/>
    <n v="0"/>
    <n v="1"/>
    <n v="0"/>
    <n v="0"/>
    <n v="0"/>
    <n v="0"/>
    <n v="0"/>
    <n v="0"/>
    <n v="0"/>
    <n v="0"/>
  </r>
  <r>
    <s v="6SH016"/>
    <s v="Profession och vetenskap för ämneslärare"/>
    <m/>
    <s v="LYAGY"/>
    <s v="H16"/>
    <s v="ht"/>
    <s v="H2116-20"/>
    <s v="Umeå"/>
    <m/>
    <s v="ENGS"/>
    <m/>
    <n v="1"/>
    <n v="7.5"/>
    <m/>
    <m/>
    <n v="1"/>
    <n v="0.125"/>
    <n v="0.85"/>
    <n v="0.10625"/>
    <x v="16"/>
    <s v="Statsvetenskap                "/>
    <s v="Sam"/>
    <s v="Ämneslärarprogrammet - Gy"/>
    <n v="26554"/>
    <n v="33465"/>
    <n v="6874.90625"/>
    <n v="6000"/>
    <n v="750"/>
    <n v="7624.90625"/>
    <n v="0"/>
    <n v="0"/>
    <n v="0"/>
    <n v="1"/>
    <n v="0"/>
    <n v="0"/>
    <n v="0"/>
    <n v="0"/>
    <n v="0"/>
    <n v="0"/>
    <n v="0"/>
    <n v="0"/>
  </r>
  <r>
    <s v="6SH016"/>
    <s v="Profession och vetenskap för ämneslärare"/>
    <n v="64901"/>
    <s v="LYAGY"/>
    <m/>
    <s v="vt"/>
    <m/>
    <s v="Umeå"/>
    <s v="Normal"/>
    <s v="BILÄ"/>
    <m/>
    <m/>
    <n v="7.5"/>
    <m/>
    <m/>
    <n v="2"/>
    <n v="0.25"/>
    <n v="0.85"/>
    <n v="0.21249999999999999"/>
    <x v="16"/>
    <s v="Statsvetenskap                "/>
    <s v="Sam"/>
    <s v="Ämneslärarprogrammet - Gy"/>
    <n v="26554"/>
    <n v="33465"/>
    <n v="13749.8125"/>
    <n v="6000"/>
    <n v="1500"/>
    <n v="15249.8125"/>
    <n v="0"/>
    <n v="0"/>
    <n v="0"/>
    <n v="1"/>
    <n v="0"/>
    <n v="0"/>
    <n v="0"/>
    <n v="0"/>
    <n v="0"/>
    <n v="0"/>
    <n v="0"/>
    <n v="0"/>
  </r>
  <r>
    <s v="6SH016"/>
    <s v="Profession och vetenskap för ämneslärare"/>
    <n v="64901"/>
    <s v="LYAGY"/>
    <m/>
    <s v="vt"/>
    <m/>
    <s v="Umeå"/>
    <s v="Normal"/>
    <s v="BIOL"/>
    <m/>
    <m/>
    <n v="7.5"/>
    <m/>
    <m/>
    <n v="3"/>
    <n v="0.375"/>
    <n v="0.85"/>
    <n v="0.31874999999999998"/>
    <x v="16"/>
    <s v="Statsvetenskap                "/>
    <s v="Sam"/>
    <s v="Ämneslärarprogrammet - Gy"/>
    <n v="26554"/>
    <n v="33465"/>
    <n v="20624.71875"/>
    <n v="6000"/>
    <n v="2250"/>
    <n v="22874.71875"/>
    <n v="0"/>
    <n v="0"/>
    <n v="0"/>
    <n v="1"/>
    <n v="0"/>
    <n v="0"/>
    <n v="0"/>
    <n v="0"/>
    <n v="0"/>
    <n v="0"/>
    <n v="0"/>
    <n v="0"/>
  </r>
  <r>
    <s v="6SH016"/>
    <s v="Profession och vetenskap för ämneslärare"/>
    <n v="64901"/>
    <s v="LYAGY"/>
    <m/>
    <s v="vt"/>
    <m/>
    <s v="Umeå"/>
    <s v="Normal"/>
    <s v="ENGS"/>
    <m/>
    <m/>
    <n v="7.5"/>
    <m/>
    <m/>
    <n v="17"/>
    <n v="2.125"/>
    <n v="0.85"/>
    <n v="1.8062499999999999"/>
    <x v="16"/>
    <s v="Statsvetenskap                "/>
    <s v="Sam"/>
    <s v="Ämneslärarprogrammet - Gy"/>
    <n v="26554"/>
    <n v="33465"/>
    <n v="116873.40625"/>
    <n v="6000"/>
    <n v="12750"/>
    <n v="129623.40625"/>
    <n v="0"/>
    <n v="0"/>
    <n v="0"/>
    <n v="1"/>
    <n v="0"/>
    <n v="0"/>
    <n v="0"/>
    <n v="0"/>
    <n v="0"/>
    <n v="0"/>
    <n v="0"/>
    <n v="0"/>
  </r>
  <r>
    <s v="6SH016"/>
    <s v="Profession och vetenskap för ämneslärare"/>
    <n v="64901"/>
    <s v="LYAGY"/>
    <m/>
    <s v="vt"/>
    <m/>
    <s v="Umeå"/>
    <s v="Normal"/>
    <s v="HIST"/>
    <m/>
    <m/>
    <n v="7.5"/>
    <m/>
    <m/>
    <n v="4"/>
    <n v="0.5"/>
    <n v="0.85"/>
    <n v="0.42499999999999999"/>
    <x v="16"/>
    <s v="Statsvetenskap                "/>
    <s v="Sam"/>
    <s v="Ämneslärarprogrammet - Gy"/>
    <n v="26554"/>
    <n v="33465"/>
    <n v="27499.625"/>
    <n v="6000"/>
    <n v="3000"/>
    <n v="30499.625"/>
    <n v="0"/>
    <n v="0"/>
    <n v="0"/>
    <n v="1"/>
    <n v="0"/>
    <n v="0"/>
    <n v="0"/>
    <n v="0"/>
    <n v="0"/>
    <n v="0"/>
    <n v="0"/>
    <n v="0"/>
  </r>
  <r>
    <s v="6SH016"/>
    <s v="Profession och vetenskap för ämneslärare"/>
    <n v="64901"/>
    <s v="LYAGY"/>
    <m/>
    <s v="vt"/>
    <m/>
    <s v="Umeå"/>
    <s v="Normal"/>
    <s v="IDMA"/>
    <m/>
    <m/>
    <n v="7.5"/>
    <m/>
    <m/>
    <n v="1"/>
    <n v="0.125"/>
    <n v="0.85"/>
    <n v="0.10625"/>
    <x v="16"/>
    <s v="Statsvetenskap                "/>
    <s v="Sam"/>
    <s v="Ämneslärarprogrammet - Gy"/>
    <n v="26554"/>
    <n v="33465"/>
    <n v="6874.90625"/>
    <n v="6000"/>
    <n v="750"/>
    <n v="7624.90625"/>
    <n v="0"/>
    <n v="0"/>
    <n v="0"/>
    <n v="1"/>
    <n v="0"/>
    <n v="0"/>
    <n v="0"/>
    <n v="0"/>
    <n v="0"/>
    <n v="0"/>
    <n v="0"/>
    <n v="0"/>
  </r>
  <r>
    <s v="6SH016"/>
    <s v="Profession och vetenskap för ämneslärare"/>
    <n v="64901"/>
    <s v="LYAGY"/>
    <m/>
    <s v="vt"/>
    <m/>
    <s v="Umeå"/>
    <s v="Normal"/>
    <s v="IDRH"/>
    <m/>
    <m/>
    <n v="7.5"/>
    <m/>
    <m/>
    <n v="14"/>
    <n v="1.75"/>
    <n v="0.85"/>
    <n v="1.4875"/>
    <x v="16"/>
    <s v="Statsvetenskap                "/>
    <s v="Sam"/>
    <s v="Ämneslärarprogrammet - Gy"/>
    <n v="26554"/>
    <n v="33465"/>
    <n v="96248.6875"/>
    <n v="6000"/>
    <n v="10500"/>
    <n v="106748.6875"/>
    <n v="0"/>
    <n v="0"/>
    <n v="0"/>
    <n v="1"/>
    <n v="0"/>
    <n v="0"/>
    <n v="0"/>
    <n v="0"/>
    <n v="0"/>
    <n v="0"/>
    <n v="0"/>
    <n v="0"/>
  </r>
  <r>
    <s v="6SH016"/>
    <s v="Profession och vetenskap för ämneslärare"/>
    <n v="64901"/>
    <s v="LYAGY"/>
    <m/>
    <s v="vt"/>
    <m/>
    <s v="Umeå"/>
    <s v="Normal"/>
    <s v="MATT"/>
    <m/>
    <m/>
    <n v="7.5"/>
    <m/>
    <m/>
    <n v="8"/>
    <n v="1"/>
    <n v="0.85"/>
    <n v="0.85"/>
    <x v="16"/>
    <s v="Statsvetenskap                "/>
    <s v="Sam"/>
    <s v="Ämneslärarprogrammet - Gy"/>
    <n v="26554"/>
    <n v="33465"/>
    <n v="54999.25"/>
    <n v="6000"/>
    <n v="6000"/>
    <n v="60999.25"/>
    <n v="0"/>
    <n v="0"/>
    <n v="0"/>
    <n v="1"/>
    <n v="0"/>
    <n v="0"/>
    <n v="0"/>
    <n v="0"/>
    <n v="0"/>
    <n v="0"/>
    <n v="0"/>
    <n v="0"/>
  </r>
  <r>
    <s v="6SH016"/>
    <s v="Profession och vetenskap för ämneslärare"/>
    <n v="64901"/>
    <s v="LYAGY"/>
    <m/>
    <s v="vt"/>
    <m/>
    <s v="Umeå"/>
    <s v="Normal"/>
    <s v="MUSI"/>
    <m/>
    <m/>
    <n v="7.5"/>
    <m/>
    <m/>
    <n v="3"/>
    <n v="0.375"/>
    <n v="0.85"/>
    <n v="0.31874999999999998"/>
    <x v="16"/>
    <s v="Statsvetenskap                "/>
    <s v="Sam"/>
    <s v="Ämneslärarprogrammet - Gy"/>
    <n v="26554"/>
    <n v="33465"/>
    <n v="20624.71875"/>
    <n v="6000"/>
    <n v="2250"/>
    <n v="22874.71875"/>
    <n v="0"/>
    <n v="0"/>
    <n v="0"/>
    <n v="1"/>
    <n v="0"/>
    <n v="0"/>
    <n v="0"/>
    <n v="0"/>
    <n v="0"/>
    <n v="0"/>
    <n v="0"/>
    <n v="0"/>
  </r>
  <r>
    <s v="6SH016"/>
    <s v="Profession och vetenskap för ämneslärare"/>
    <n v="64901"/>
    <s v="LYAGY"/>
    <m/>
    <s v="vt"/>
    <m/>
    <s v="Umeå"/>
    <s v="Normal"/>
    <s v="RELK"/>
    <m/>
    <m/>
    <n v="7.5"/>
    <m/>
    <m/>
    <n v="3"/>
    <n v="0.375"/>
    <n v="0.85"/>
    <n v="0.31874999999999998"/>
    <x v="16"/>
    <s v="Statsvetenskap                "/>
    <s v="Sam"/>
    <s v="Ämneslärarprogrammet - Gy"/>
    <n v="26554"/>
    <n v="33465"/>
    <n v="20624.71875"/>
    <n v="6000"/>
    <n v="2250"/>
    <n v="22874.71875"/>
    <n v="0"/>
    <n v="0"/>
    <n v="0"/>
    <n v="1"/>
    <n v="0"/>
    <n v="0"/>
    <n v="0"/>
    <n v="0"/>
    <n v="0"/>
    <n v="0"/>
    <n v="0"/>
    <n v="0"/>
  </r>
  <r>
    <s v="6SH016"/>
    <s v="Profession och vetenskap för ämneslärare"/>
    <n v="64901"/>
    <s v="LYAGY"/>
    <m/>
    <s v="vt"/>
    <m/>
    <s v="Umeå"/>
    <s v="Normal"/>
    <s v="SAMK"/>
    <m/>
    <m/>
    <n v="7.5"/>
    <m/>
    <m/>
    <n v="3"/>
    <n v="0.375"/>
    <n v="0.85"/>
    <n v="0.31874999999999998"/>
    <x v="16"/>
    <s v="Statsvetenskap                "/>
    <s v="Sam"/>
    <s v="Ämneslärarprogrammet - Gy"/>
    <n v="26554"/>
    <n v="33465"/>
    <n v="20624.71875"/>
    <n v="6000"/>
    <n v="2250"/>
    <n v="22874.71875"/>
    <n v="0"/>
    <n v="0"/>
    <n v="0"/>
    <n v="1"/>
    <n v="0"/>
    <n v="0"/>
    <n v="0"/>
    <n v="0"/>
    <n v="0"/>
    <n v="0"/>
    <n v="0"/>
    <n v="0"/>
  </r>
  <r>
    <s v="6SH016"/>
    <s v="Profession och vetenskap för ämneslärare"/>
    <n v="64901"/>
    <s v="LYAGY"/>
    <m/>
    <s v="vt"/>
    <m/>
    <s v="Umeå"/>
    <s v="Normal"/>
    <s v="SPAN"/>
    <m/>
    <m/>
    <n v="7.5"/>
    <m/>
    <m/>
    <n v="1"/>
    <n v="0.125"/>
    <n v="0.85"/>
    <n v="0.10625"/>
    <x v="16"/>
    <s v="Statsvetenskap                "/>
    <s v="Sam"/>
    <s v="Ämneslärarprogrammet - Gy"/>
    <n v="26554"/>
    <n v="33465"/>
    <n v="6874.90625"/>
    <n v="6000"/>
    <n v="750"/>
    <n v="7624.90625"/>
    <n v="0"/>
    <n v="0"/>
    <n v="0"/>
    <n v="1"/>
    <n v="0"/>
    <n v="0"/>
    <n v="0"/>
    <n v="0"/>
    <n v="0"/>
    <n v="0"/>
    <n v="0"/>
    <n v="0"/>
  </r>
  <r>
    <s v="6SH016"/>
    <s v="Profession och vetenskap för ämneslärare"/>
    <n v="64901"/>
    <s v="LYAGY"/>
    <m/>
    <s v="vt"/>
    <m/>
    <s v="Umeå"/>
    <s v="Normal"/>
    <s v="SVAA"/>
    <m/>
    <m/>
    <n v="7.5"/>
    <m/>
    <m/>
    <n v="10"/>
    <n v="1.25"/>
    <n v="0.85"/>
    <n v="1.0625"/>
    <x v="16"/>
    <s v="Statsvetenskap                "/>
    <s v="Sam"/>
    <s v="Ämneslärarprogrammet - Gy"/>
    <n v="26554"/>
    <n v="33465"/>
    <n v="68749.0625"/>
    <n v="6000"/>
    <n v="7500"/>
    <n v="76249.0625"/>
    <n v="0"/>
    <n v="0"/>
    <n v="0"/>
    <n v="1"/>
    <n v="0"/>
    <n v="0"/>
    <n v="0"/>
    <n v="0"/>
    <n v="0"/>
    <n v="0"/>
    <n v="0"/>
    <n v="0"/>
  </r>
  <r>
    <s v="6SH016"/>
    <s v="Profession och vetenskap för ämneslärare"/>
    <n v="64901"/>
    <s v="LYAGY"/>
    <m/>
    <s v="vt"/>
    <m/>
    <s v="Umeå"/>
    <s v="Normal"/>
    <s v="SVAN"/>
    <m/>
    <m/>
    <n v="7.5"/>
    <m/>
    <m/>
    <n v="2"/>
    <n v="0.25"/>
    <n v="0.85"/>
    <n v="0.21249999999999999"/>
    <x v="16"/>
    <s v="Statsvetenskap                "/>
    <s v="Sam"/>
    <s v="Ämneslärarprogrammet - Gy"/>
    <n v="26554"/>
    <n v="33465"/>
    <n v="13749.8125"/>
    <n v="6000"/>
    <n v="1500"/>
    <n v="15249.8125"/>
    <n v="0"/>
    <n v="0"/>
    <n v="0"/>
    <n v="1"/>
    <n v="0"/>
    <n v="0"/>
    <n v="0"/>
    <n v="0"/>
    <n v="0"/>
    <n v="0"/>
    <n v="0"/>
    <n v="0"/>
  </r>
  <r>
    <s v="6SH016"/>
    <s v="Profession och vetenskap för ämneslärare"/>
    <n v="64901"/>
    <s v="LYAGY"/>
    <m/>
    <s v="vt"/>
    <m/>
    <s v="Umeå"/>
    <s v="Normal"/>
    <s v="TYSK"/>
    <m/>
    <m/>
    <n v="7.5"/>
    <m/>
    <m/>
    <n v="1"/>
    <n v="0.125"/>
    <n v="0.85"/>
    <n v="0.10625"/>
    <x v="16"/>
    <s v="Statsvetenskap                "/>
    <s v="Sam"/>
    <s v="Ämneslärarprogrammet - Gy"/>
    <n v="26554"/>
    <n v="33465"/>
    <n v="6874.90625"/>
    <n v="6000"/>
    <n v="750"/>
    <n v="7624.90625"/>
    <n v="0"/>
    <n v="0"/>
    <n v="0"/>
    <n v="1"/>
    <n v="0"/>
    <n v="0"/>
    <n v="0"/>
    <n v="0"/>
    <n v="0"/>
    <n v="0"/>
    <n v="0"/>
    <n v="0"/>
  </r>
  <r>
    <s v="6SL021"/>
    <s v="Slöjd, Trä- och metall 2a, distans"/>
    <m/>
    <s v="FRIST"/>
    <m/>
    <s v="ht"/>
    <m/>
    <m/>
    <s v="Distans"/>
    <m/>
    <m/>
    <n v="0.5"/>
    <n v="15"/>
    <m/>
    <m/>
    <n v="25"/>
    <n v="6.25"/>
    <n v="0.8"/>
    <n v="5"/>
    <x v="9"/>
    <s v="Estetiska ämnen               "/>
    <s v="Hum"/>
    <s v="Fristående och övriga kurser"/>
    <n v="20757"/>
    <n v="36082"/>
    <n v="310141.25"/>
    <n v="22600"/>
    <n v="141250"/>
    <n v="451391.25"/>
    <n v="0"/>
    <n v="0"/>
    <n v="0"/>
    <n v="0"/>
    <n v="0"/>
    <n v="0"/>
    <n v="0"/>
    <n v="1"/>
    <n v="0"/>
    <n v="0"/>
    <n v="0"/>
    <n v="0"/>
  </r>
  <r>
    <s v="6SL022"/>
    <s v="Slöjd, Trä- och metall 2b, distans"/>
    <n v="67103"/>
    <s v="FRIST"/>
    <m/>
    <s v="vt"/>
    <m/>
    <s v="Umeå"/>
    <s v="Distans"/>
    <m/>
    <m/>
    <m/>
    <n v="15"/>
    <m/>
    <m/>
    <n v="17"/>
    <n v="4.25"/>
    <n v="0.8"/>
    <n v="3.4000000000000004"/>
    <x v="9"/>
    <s v="Estetiska ämnen               "/>
    <s v="Hum"/>
    <s v="Fristående och övriga kurser"/>
    <n v="20757"/>
    <n v="36082"/>
    <n v="210896.05000000002"/>
    <n v="22600"/>
    <n v="96050"/>
    <n v="306946.05000000005"/>
    <n v="0"/>
    <n v="0"/>
    <n v="0"/>
    <n v="0"/>
    <n v="0"/>
    <n v="0"/>
    <n v="0"/>
    <n v="1"/>
    <n v="0"/>
    <n v="0"/>
    <n v="0"/>
    <n v="0"/>
  </r>
  <r>
    <s v="6SL035"/>
    <s v="Slöjd 1, trä- och metall"/>
    <n v="67001"/>
    <s v="FRIST"/>
    <m/>
    <s v="vt"/>
    <m/>
    <s v="Umeå"/>
    <s v="Distans"/>
    <m/>
    <m/>
    <m/>
    <n v="30"/>
    <m/>
    <m/>
    <n v="25"/>
    <n v="6.25"/>
    <n v="0.8"/>
    <n v="5"/>
    <x v="9"/>
    <s v="Estetiska ämnen               "/>
    <s v="Hum"/>
    <s v="Fristående och övriga kurser"/>
    <n v="20757"/>
    <n v="36082"/>
    <n v="310141.25"/>
    <n v="22600"/>
    <n v="141250"/>
    <n v="451391.25"/>
    <n v="0"/>
    <n v="0"/>
    <n v="0"/>
    <n v="0"/>
    <n v="0"/>
    <n v="0"/>
    <n v="0"/>
    <n v="1"/>
    <n v="0"/>
    <n v="0"/>
    <n v="0"/>
    <n v="0"/>
  </r>
  <r>
    <s v="6SL035"/>
    <s v="Slöjd 1, trä- och metall"/>
    <n v="67100"/>
    <s v="FRIST"/>
    <m/>
    <s v="vt"/>
    <m/>
    <s v="Umeå"/>
    <s v="Distans"/>
    <m/>
    <m/>
    <m/>
    <n v="30"/>
    <m/>
    <m/>
    <n v="12"/>
    <n v="6"/>
    <n v="0.8"/>
    <n v="4.8000000000000007"/>
    <x v="9"/>
    <s v="Estetiska ämnen               "/>
    <s v="Hum"/>
    <s v="Fristående och övriga kurser"/>
    <n v="20757"/>
    <n v="36082"/>
    <n v="297735.60000000003"/>
    <n v="22600"/>
    <n v="135600"/>
    <n v="433335.60000000003"/>
    <n v="0"/>
    <n v="0"/>
    <n v="0"/>
    <n v="0"/>
    <n v="0"/>
    <n v="0"/>
    <n v="0"/>
    <n v="1"/>
    <n v="0"/>
    <n v="0"/>
    <n v="0"/>
    <n v="0"/>
  </r>
  <r>
    <s v="6SL035"/>
    <s v="Slöjd 1, trä- och metall"/>
    <m/>
    <s v="FRIST"/>
    <m/>
    <s v="ht"/>
    <m/>
    <m/>
    <s v="Distans"/>
    <m/>
    <m/>
    <n v="0.5"/>
    <n v="15"/>
    <m/>
    <m/>
    <n v="25"/>
    <n v="6.25"/>
    <n v="0.8"/>
    <n v="5"/>
    <x v="9"/>
    <s v="Estetiska ämnen               "/>
    <s v="Hum"/>
    <s v="Fristående och övriga kurser"/>
    <n v="20757"/>
    <n v="36082"/>
    <n v="310141.25"/>
    <n v="22600"/>
    <n v="141250"/>
    <n v="451391.25"/>
    <n v="0"/>
    <n v="0"/>
    <n v="0"/>
    <n v="0"/>
    <n v="0"/>
    <n v="0"/>
    <n v="0"/>
    <n v="1"/>
    <n v="0"/>
    <n v="0"/>
    <n v="0"/>
    <n v="0"/>
  </r>
  <r>
    <s v="6SL036"/>
    <s v="Form, färg, estetik och uttryck - Utveckla ditt formspråk i trä"/>
    <m/>
    <s v="FRIST"/>
    <m/>
    <s v="ht"/>
    <m/>
    <m/>
    <s v="Distans"/>
    <m/>
    <m/>
    <n v="0.5"/>
    <n v="15"/>
    <m/>
    <m/>
    <n v="8"/>
    <n v="2"/>
    <n v="0.8"/>
    <n v="1.6"/>
    <x v="9"/>
    <s v="Estetiska ämnen               "/>
    <s v="Hum"/>
    <s v="Fristående och övriga kurser"/>
    <n v="20757"/>
    <n v="36082"/>
    <n v="99245.200000000012"/>
    <n v="22600"/>
    <n v="45200"/>
    <n v="144445.20000000001"/>
    <n v="0"/>
    <n v="0"/>
    <n v="0"/>
    <n v="0"/>
    <n v="0"/>
    <n v="0"/>
    <n v="0"/>
    <n v="1"/>
    <n v="0"/>
    <n v="0"/>
    <n v="0"/>
    <n v="0"/>
  </r>
  <r>
    <s v="6SL038"/>
    <s v="Skapandets intryck - utveckla och tala om hantverkets tysta kunskap"/>
    <n v="67104"/>
    <s v="FRIST"/>
    <m/>
    <s v="vt"/>
    <m/>
    <s v="Umeå"/>
    <s v="Distans"/>
    <m/>
    <m/>
    <m/>
    <n v="15"/>
    <m/>
    <m/>
    <n v="10"/>
    <n v="2.5"/>
    <n v="0.8"/>
    <n v="2"/>
    <x v="9"/>
    <s v="Estetiska ämnen               "/>
    <s v="Hum"/>
    <s v="Fristående och övriga kurser"/>
    <n v="20757"/>
    <n v="36082"/>
    <n v="124056.5"/>
    <n v="22600"/>
    <n v="56500"/>
    <n v="180556.5"/>
    <n v="0"/>
    <n v="0"/>
    <n v="0"/>
    <n v="0"/>
    <n v="0"/>
    <n v="0"/>
    <n v="0"/>
    <n v="1"/>
    <n v="0"/>
    <n v="0"/>
    <n v="0"/>
    <n v="0"/>
  </r>
  <r>
    <s v="6SP050"/>
    <s v="Introduktion till det specialpedagogiska fältet"/>
    <m/>
    <s v="LYSPE"/>
    <s v="H14"/>
    <s v="ht"/>
    <s v="H211-5"/>
    <s v="Umeå"/>
    <m/>
    <s v="ALLM"/>
    <m/>
    <n v="1"/>
    <n v="7.5"/>
    <m/>
    <m/>
    <n v="1"/>
    <n v="0.125"/>
    <n v="0.85"/>
    <n v="0.10625"/>
    <x v="12"/>
    <s v="Pedagogik                     "/>
    <s v="Sam"/>
    <s v="Specialpedagogprogrammet"/>
    <n v="20766"/>
    <n v="17442"/>
    <n v="4448.9624999999996"/>
    <n v="6000"/>
    <n v="750"/>
    <n v="5198.9624999999996"/>
    <n v="0"/>
    <n v="0"/>
    <n v="0"/>
    <n v="0"/>
    <n v="0"/>
    <n v="0"/>
    <n v="1"/>
    <n v="0"/>
    <n v="0"/>
    <n v="0"/>
    <n v="0"/>
    <n v="0"/>
  </r>
  <r>
    <s v="6SP050"/>
    <s v="Introduktion till det specialpedagogiska fältet"/>
    <m/>
    <s v="LYSPE"/>
    <s v="H21"/>
    <s v="ht"/>
    <m/>
    <n v="2480"/>
    <m/>
    <m/>
    <m/>
    <m/>
    <n v="7.5"/>
    <m/>
    <m/>
    <n v="46"/>
    <n v="5.75"/>
    <n v="0.85"/>
    <n v="4.8875000000000002"/>
    <x v="12"/>
    <s v="Pedagogik                     "/>
    <s v="Sam"/>
    <s v="Specialpedagogprogrammet"/>
    <n v="20766"/>
    <n v="17442"/>
    <n v="204652.27500000002"/>
    <n v="6000"/>
    <n v="34500"/>
    <n v="239152.27500000002"/>
    <n v="0"/>
    <n v="0"/>
    <n v="0"/>
    <n v="0"/>
    <n v="0"/>
    <n v="0"/>
    <n v="1"/>
    <n v="0"/>
    <n v="0"/>
    <n v="0"/>
    <n v="0"/>
    <n v="0"/>
  </r>
  <r>
    <s v="6SP050"/>
    <s v="Introduktion till det specialpedagogiska fältet"/>
    <m/>
    <s v="LYSPL"/>
    <s v="H21"/>
    <s v="ht"/>
    <m/>
    <n v="2480"/>
    <m/>
    <s v="SV+MA+UTGG"/>
    <m/>
    <m/>
    <n v="7.5"/>
    <m/>
    <m/>
    <n v="48"/>
    <n v="6"/>
    <n v="0.85"/>
    <n v="5.0999999999999996"/>
    <x v="12"/>
    <s v="Pedagogik                     "/>
    <s v="Sam"/>
    <s v="Speciallärarprogrammet"/>
    <n v="20766"/>
    <n v="17442"/>
    <n v="213550.2"/>
    <n v="6000"/>
    <n v="36000"/>
    <n v="249550.2"/>
    <n v="0"/>
    <n v="0"/>
    <n v="0"/>
    <n v="0"/>
    <n v="0"/>
    <n v="0"/>
    <n v="1"/>
    <n v="0"/>
    <n v="0"/>
    <n v="0"/>
    <n v="0"/>
    <n v="0"/>
  </r>
  <r>
    <s v="6SP051"/>
    <s v="Neuropsykiatriska svårigheter i olika lärmiljöer"/>
    <m/>
    <s v="LYSPE"/>
    <s v="H14"/>
    <s v="ht"/>
    <s v="H2116-20"/>
    <s v="Umeå"/>
    <m/>
    <s v="ALLM"/>
    <m/>
    <n v="1"/>
    <n v="7.5"/>
    <m/>
    <m/>
    <n v="1"/>
    <n v="0.125"/>
    <n v="0.85"/>
    <n v="0.10625"/>
    <x v="12"/>
    <s v="Pedagogik                     "/>
    <s v="Sam"/>
    <s v="Specialpedagogprogrammet"/>
    <n v="20766"/>
    <n v="17442"/>
    <n v="4448.9624999999996"/>
    <n v="6000"/>
    <n v="750"/>
    <n v="5198.9624999999996"/>
    <n v="0"/>
    <n v="0"/>
    <n v="0"/>
    <n v="0"/>
    <n v="0"/>
    <n v="0"/>
    <n v="1"/>
    <n v="0"/>
    <n v="0"/>
    <n v="0"/>
    <n v="0"/>
    <n v="0"/>
  </r>
  <r>
    <s v="6SP051"/>
    <s v="Neuropsykiatriska svårigheter i olika lärmiljöer"/>
    <m/>
    <s v="LYSPE"/>
    <s v="H21"/>
    <s v="ht"/>
    <m/>
    <n v="2480"/>
    <m/>
    <m/>
    <m/>
    <m/>
    <n v="7.5"/>
    <n v="-0.1"/>
    <n v="46"/>
    <n v="41.4"/>
    <n v="5.1749999999999998"/>
    <n v="0.85"/>
    <n v="4.3987499999999997"/>
    <x v="12"/>
    <s v="Pedagogik                     "/>
    <s v="Sam"/>
    <s v="Specialpedagogprogrammet"/>
    <n v="20766"/>
    <n v="17442"/>
    <n v="184187.04749999999"/>
    <n v="6000"/>
    <n v="31050"/>
    <n v="215237.04749999999"/>
    <n v="0"/>
    <n v="0"/>
    <n v="0"/>
    <n v="0"/>
    <n v="0"/>
    <n v="0"/>
    <n v="1"/>
    <n v="0"/>
    <n v="0"/>
    <n v="0"/>
    <n v="0"/>
    <n v="0"/>
  </r>
  <r>
    <s v="6SP051"/>
    <s v="Neuropsykiatriska svårigheter i olika lärmiljöer"/>
    <m/>
    <s v="LYSPL"/>
    <s v="H21"/>
    <s v="ht"/>
    <m/>
    <n v="2480"/>
    <m/>
    <s v="SV+MA+UTGG"/>
    <m/>
    <m/>
    <n v="7.5"/>
    <n v="-0.1"/>
    <n v="48"/>
    <n v="43.2"/>
    <n v="5.4"/>
    <n v="0.85"/>
    <n v="4.59"/>
    <x v="12"/>
    <s v="Pedagogik                     "/>
    <s v="Sam"/>
    <s v="Speciallärarprogrammet"/>
    <n v="20766"/>
    <n v="17442"/>
    <n v="192195.18"/>
    <n v="6000"/>
    <n v="32400.000000000004"/>
    <n v="224595.18"/>
    <n v="0"/>
    <n v="0"/>
    <n v="0"/>
    <n v="0"/>
    <n v="0"/>
    <n v="0"/>
    <n v="1"/>
    <n v="0"/>
    <n v="0"/>
    <n v="0"/>
    <n v="0"/>
    <n v="0"/>
  </r>
  <r>
    <s v="6SP052"/>
    <s v="Speciallärarens och specialpedagogens yrkesfunktion"/>
    <m/>
    <s v="LYSPE"/>
    <s v="H14"/>
    <s v="ht"/>
    <s v="H216-15"/>
    <s v="Umeå"/>
    <m/>
    <s v="ALLM"/>
    <m/>
    <n v="1"/>
    <n v="15"/>
    <m/>
    <m/>
    <n v="1"/>
    <n v="0.25"/>
    <n v="0.85"/>
    <n v="0.21249999999999999"/>
    <x v="13"/>
    <s v="TUV "/>
    <s v="Sam"/>
    <s v="Specialpedagogprogrammet"/>
    <n v="36229.199999999997"/>
    <n v="35006.800000000003"/>
    <n v="16496.244999999999"/>
    <n v="6000"/>
    <n v="1500"/>
    <n v="17996.244999999999"/>
    <n v="0"/>
    <n v="0"/>
    <n v="0"/>
    <n v="0"/>
    <n v="0"/>
    <n v="0"/>
    <n v="0.2"/>
    <n v="0"/>
    <n v="0"/>
    <n v="0"/>
    <n v="0"/>
    <n v="0.8"/>
  </r>
  <r>
    <s v="6SP052"/>
    <s v="Speciallärarens och specialpedagogens yrkesfunktion"/>
    <m/>
    <s v="LYSPE"/>
    <s v="H21"/>
    <s v="ht"/>
    <m/>
    <n v="2480"/>
    <m/>
    <m/>
    <m/>
    <m/>
    <n v="15"/>
    <n v="-0.05"/>
    <n v="46"/>
    <n v="43.7"/>
    <n v="10.925000000000001"/>
    <n v="0.85"/>
    <n v="9.2862500000000008"/>
    <x v="13"/>
    <s v="TUV "/>
    <s v="Sam"/>
    <s v="Specialpedagogprogrammet"/>
    <n v="36229.199999999997"/>
    <n v="35006.800000000003"/>
    <n v="720885.90650000004"/>
    <n v="6000"/>
    <n v="65550"/>
    <n v="786435.90650000004"/>
    <n v="0"/>
    <n v="0"/>
    <n v="0"/>
    <n v="0"/>
    <n v="0"/>
    <n v="0"/>
    <n v="0.2"/>
    <n v="0"/>
    <n v="0"/>
    <n v="0"/>
    <n v="0"/>
    <n v="0.8"/>
  </r>
  <r>
    <s v="6SP052"/>
    <s v="Speciallärarens och specialpedagogens yrkesfunktion"/>
    <m/>
    <s v="LYSPL"/>
    <s v="H21"/>
    <s v="ht"/>
    <m/>
    <n v="2480"/>
    <m/>
    <s v="SV+MA+UTGG"/>
    <m/>
    <m/>
    <n v="15"/>
    <n v="-0.05"/>
    <n v="48"/>
    <n v="45.6"/>
    <n v="11.4"/>
    <n v="0.85"/>
    <n v="9.69"/>
    <x v="13"/>
    <s v="TUV "/>
    <s v="Sam"/>
    <s v="Speciallärarprogrammet"/>
    <n v="36229.199999999997"/>
    <n v="35006.800000000003"/>
    <n v="752228.772"/>
    <n v="6000"/>
    <n v="68400"/>
    <n v="820628.772"/>
    <n v="0"/>
    <n v="0"/>
    <n v="0"/>
    <n v="0"/>
    <n v="0"/>
    <n v="0"/>
    <n v="0.2"/>
    <n v="0"/>
    <n v="0"/>
    <n v="0"/>
    <n v="0"/>
    <n v="0.8"/>
  </r>
  <r>
    <s v="6SP056"/>
    <s v="Neuropsykiatriska svårigheter - förhållningsätt, bemötande och strategier i pedagogisk verksamhet"/>
    <n v="68900"/>
    <s v="FRIST"/>
    <m/>
    <s v="vt"/>
    <m/>
    <s v="Umeå"/>
    <s v="Distans"/>
    <m/>
    <m/>
    <m/>
    <n v="15"/>
    <m/>
    <m/>
    <n v="44"/>
    <n v="11"/>
    <n v="0.8"/>
    <n v="8.8000000000000007"/>
    <x v="13"/>
    <s v="TUV "/>
    <s v="Sam"/>
    <s v="Fristående och övriga kurser"/>
    <n v="20766"/>
    <n v="17442"/>
    <n v="381915.6"/>
    <n v="6000"/>
    <n v="66000"/>
    <n v="447915.6"/>
    <n v="0"/>
    <n v="0"/>
    <n v="0"/>
    <n v="0"/>
    <n v="0"/>
    <n v="0"/>
    <n v="1"/>
    <n v="0"/>
    <n v="0"/>
    <n v="0"/>
    <n v="0"/>
    <n v="0"/>
  </r>
  <r>
    <s v="6SP057"/>
    <s v="Specialpedagogiska kunskapsområden"/>
    <n v="68901"/>
    <s v="LYSPE"/>
    <m/>
    <s v="vt"/>
    <m/>
    <s v="Umeå"/>
    <s v="Distans"/>
    <s v="ALLM"/>
    <m/>
    <m/>
    <n v="7.5"/>
    <m/>
    <m/>
    <n v="38"/>
    <n v="4.75"/>
    <n v="0.85"/>
    <n v="4.0374999999999996"/>
    <x v="13"/>
    <s v="TUV "/>
    <s v="Sam"/>
    <s v="Specialpedagogprogrammet"/>
    <n v="20766"/>
    <n v="17442"/>
    <n v="169060.57500000001"/>
    <n v="6000"/>
    <n v="28500"/>
    <n v="197560.57500000001"/>
    <n v="0"/>
    <n v="0"/>
    <n v="0"/>
    <n v="0"/>
    <n v="0"/>
    <n v="0"/>
    <n v="1"/>
    <n v="0"/>
    <n v="0"/>
    <n v="0"/>
    <n v="0"/>
    <n v="0"/>
  </r>
  <r>
    <s v="6SP057"/>
    <s v="Specialpedagogiska kunskapsområden"/>
    <n v="68901"/>
    <s v="LYSPE"/>
    <m/>
    <s v="vt"/>
    <m/>
    <s v="Umeå"/>
    <s v="Distans"/>
    <m/>
    <m/>
    <m/>
    <n v="7.5"/>
    <m/>
    <m/>
    <n v="1"/>
    <n v="0.125"/>
    <n v="0.85"/>
    <n v="0.10625"/>
    <x v="13"/>
    <s v="TUV "/>
    <s v="Sam"/>
    <s v="Specialpedagogprogrammet"/>
    <n v="20766"/>
    <n v="17442"/>
    <n v="4448.9624999999996"/>
    <n v="6000"/>
    <n v="750"/>
    <n v="5198.9624999999996"/>
    <n v="0"/>
    <n v="0"/>
    <n v="0"/>
    <n v="0"/>
    <n v="0"/>
    <n v="0"/>
    <n v="1"/>
    <n v="0"/>
    <n v="0"/>
    <n v="0"/>
    <n v="0"/>
    <n v="0"/>
  </r>
  <r>
    <s v="6SP059"/>
    <s v="Examensarbete speciallärarprogrammet med specialisering mot utvecklingsstörning"/>
    <m/>
    <s v="LYSPL"/>
    <s v="H19"/>
    <s v="ht"/>
    <s v="H216-15"/>
    <s v="Umeå"/>
    <m/>
    <s v="UTGG"/>
    <m/>
    <n v="1"/>
    <n v="15"/>
    <m/>
    <m/>
    <n v="1"/>
    <n v="0.25"/>
    <n v="0.85"/>
    <n v="0.21249999999999999"/>
    <x v="12"/>
    <s v="Pedagogik                     "/>
    <s v="Sam"/>
    <s v="Speciallärarprogrammet"/>
    <n v="20766"/>
    <n v="17442"/>
    <n v="8897.9249999999993"/>
    <n v="6000"/>
    <n v="1500"/>
    <n v="10397.924999999999"/>
    <n v="0"/>
    <n v="0"/>
    <n v="0"/>
    <n v="0"/>
    <n v="0"/>
    <n v="0"/>
    <n v="1"/>
    <n v="0"/>
    <n v="0"/>
    <n v="0"/>
    <n v="0"/>
    <n v="0"/>
  </r>
  <r>
    <s v="6SP059"/>
    <s v="Examensarbete speciallärarprogrammet med specialisering mot utvecklingsstörning"/>
    <m/>
    <s v="LYSPL"/>
    <s v="H20"/>
    <s v="ht"/>
    <s v="H216-15"/>
    <s v="Umeå"/>
    <m/>
    <s v="UTGG"/>
    <m/>
    <n v="1"/>
    <n v="15"/>
    <m/>
    <m/>
    <n v="15"/>
    <n v="3.75"/>
    <n v="0.85"/>
    <n v="3.1875"/>
    <x v="12"/>
    <s v="Pedagogik                     "/>
    <s v="Sam"/>
    <s v="Speciallärarprogrammet"/>
    <n v="20766"/>
    <n v="17442"/>
    <n v="133468.875"/>
    <n v="6000"/>
    <n v="22500"/>
    <n v="155968.875"/>
    <n v="0"/>
    <n v="0"/>
    <n v="0"/>
    <n v="0"/>
    <n v="0"/>
    <n v="0"/>
    <n v="1"/>
    <n v="0"/>
    <n v="0"/>
    <n v="0"/>
    <n v="0"/>
    <n v="0"/>
  </r>
  <r>
    <s v="6SP060"/>
    <s v="Eamensarbete specialpedagogprogrammet"/>
    <m/>
    <s v="LYSPE"/>
    <s v="H19"/>
    <s v="ht"/>
    <s v="H216-15"/>
    <s v="Umeå"/>
    <m/>
    <s v="SVGG"/>
    <m/>
    <n v="1"/>
    <n v="15"/>
    <m/>
    <m/>
    <n v="1"/>
    <n v="0.25"/>
    <n v="0.85"/>
    <n v="0.21249999999999999"/>
    <x v="12"/>
    <s v="Pedagogik                     "/>
    <s v="Sam"/>
    <s v="Specialpedagogprogrammet"/>
    <n v="20766"/>
    <n v="17442"/>
    <n v="8897.9249999999993"/>
    <n v="6000"/>
    <n v="1500"/>
    <n v="10397.924999999999"/>
    <n v="0"/>
    <n v="0"/>
    <n v="0"/>
    <n v="0"/>
    <n v="0"/>
    <n v="0"/>
    <n v="1"/>
    <n v="0"/>
    <n v="0"/>
    <n v="0"/>
    <n v="0"/>
    <n v="0"/>
  </r>
  <r>
    <s v="6SP060"/>
    <s v="Eamensarbete specialpedagogprogrammet"/>
    <m/>
    <s v="LYSPE"/>
    <s v="H20"/>
    <s v="ht"/>
    <s v="H216-15"/>
    <s v="Umeå"/>
    <m/>
    <s v="ALLM"/>
    <m/>
    <n v="1"/>
    <n v="15"/>
    <m/>
    <m/>
    <n v="36"/>
    <n v="9"/>
    <n v="0.85"/>
    <n v="7.6499999999999995"/>
    <x v="12"/>
    <s v="Pedagogik                     "/>
    <s v="Sam"/>
    <s v="Specialpedagogprogrammet"/>
    <n v="20766"/>
    <n v="17442"/>
    <n v="320325.3"/>
    <n v="6000"/>
    <n v="54000"/>
    <n v="374325.3"/>
    <n v="0"/>
    <n v="0"/>
    <n v="0"/>
    <n v="0"/>
    <n v="0"/>
    <n v="0"/>
    <n v="1"/>
    <n v="0"/>
    <n v="0"/>
    <n v="0"/>
    <n v="0"/>
    <n v="0"/>
  </r>
  <r>
    <s v="6SP061"/>
    <s v="Utvärdering, ledarskap och förändringsarbete"/>
    <n v="72007"/>
    <s v="LYSPE"/>
    <m/>
    <s v="vt"/>
    <m/>
    <s v="Umeå"/>
    <s v="Distans"/>
    <s v="ALLM"/>
    <m/>
    <m/>
    <n v="22.5"/>
    <m/>
    <m/>
    <n v="36"/>
    <n v="13.5"/>
    <n v="0.85"/>
    <n v="11.475"/>
    <x v="12"/>
    <s v="Pedagogik                     "/>
    <s v="Sam"/>
    <s v="Specialpedagogprogrammet"/>
    <n v="20766"/>
    <n v="17442"/>
    <n v="480487.94999999995"/>
    <n v="6000"/>
    <n v="81000"/>
    <n v="561487.94999999995"/>
    <n v="0"/>
    <n v="0"/>
    <n v="0"/>
    <n v="0"/>
    <n v="0"/>
    <n v="0"/>
    <n v="1"/>
    <n v="0"/>
    <n v="0"/>
    <n v="0"/>
    <n v="0"/>
    <n v="0"/>
  </r>
  <r>
    <s v="6SP061"/>
    <s v="Utvärdering, ledarskap och förändringsarbete"/>
    <n v="72007"/>
    <s v="LYSPE"/>
    <m/>
    <s v="vt"/>
    <m/>
    <s v="Umeå"/>
    <s v="Distans"/>
    <m/>
    <m/>
    <m/>
    <n v="22.5"/>
    <m/>
    <m/>
    <n v="1"/>
    <n v="0.375"/>
    <n v="0.85"/>
    <n v="0.31874999999999998"/>
    <x v="12"/>
    <s v="Pedagogik                     "/>
    <s v="Sam"/>
    <s v="Specialpedagogprogrammet"/>
    <n v="20766"/>
    <n v="17442"/>
    <n v="13346.887500000001"/>
    <n v="6000"/>
    <n v="2250"/>
    <n v="15596.887500000001"/>
    <n v="0"/>
    <n v="0"/>
    <n v="0"/>
    <n v="0"/>
    <n v="0"/>
    <n v="0"/>
    <n v="1"/>
    <n v="0"/>
    <n v="0"/>
    <n v="0"/>
    <n v="0"/>
    <n v="0"/>
  </r>
  <r>
    <s v="6SP062"/>
    <s v="Att utveckla lärande i skola och vardag för elever med intellektuell funktionsnedsättning"/>
    <n v="72011"/>
    <s v="LYSPL"/>
    <m/>
    <s v="vt"/>
    <m/>
    <s v="Umeå"/>
    <s v="Distans"/>
    <s v="UTGG"/>
    <m/>
    <m/>
    <n v="15"/>
    <m/>
    <m/>
    <n v="15"/>
    <n v="3.75"/>
    <n v="0.85"/>
    <n v="3.1875"/>
    <x v="12"/>
    <s v="Pedagogik                     "/>
    <s v="Sam"/>
    <s v="Speciallärarprogrammet"/>
    <n v="20766"/>
    <n v="17442"/>
    <n v="133468.875"/>
    <n v="6000"/>
    <n v="22500"/>
    <n v="155968.875"/>
    <n v="0"/>
    <n v="0"/>
    <n v="0"/>
    <n v="0"/>
    <n v="0"/>
    <n v="0"/>
    <n v="1"/>
    <n v="0"/>
    <n v="0"/>
    <n v="0"/>
    <n v="0"/>
    <n v="0"/>
  </r>
  <r>
    <s v="6SP062"/>
    <s v="Att utveckla lärande i skola och vardag för elever med intellektuell funktionsnedsättning"/>
    <n v="72011"/>
    <s v="LYSPL"/>
    <m/>
    <s v="vt"/>
    <m/>
    <s v="Umeå"/>
    <s v="Distans"/>
    <m/>
    <m/>
    <m/>
    <n v="15"/>
    <m/>
    <m/>
    <n v="1"/>
    <n v="0.25"/>
    <n v="0.85"/>
    <n v="0.21249999999999999"/>
    <x v="12"/>
    <s v="Pedagogik                     "/>
    <s v="Sam"/>
    <s v="Speciallärarprogrammet"/>
    <n v="20766"/>
    <n v="17442"/>
    <n v="8897.9249999999993"/>
    <n v="6000"/>
    <n v="1500"/>
    <n v="10397.924999999999"/>
    <n v="0"/>
    <n v="0"/>
    <n v="0"/>
    <n v="0"/>
    <n v="0"/>
    <n v="0"/>
    <n v="1"/>
    <n v="0"/>
    <n v="0"/>
    <n v="0"/>
    <n v="0"/>
    <n v="0"/>
  </r>
  <r>
    <s v="6SP063"/>
    <s v="Kunskap och kommunikation - att utveckla läromiljöer för elever med intellektuell funktionsnedsättning"/>
    <n v="72013"/>
    <s v="LYSPL"/>
    <m/>
    <s v="vt"/>
    <m/>
    <s v="Umeå"/>
    <s v="Distans"/>
    <s v="UTGG"/>
    <m/>
    <m/>
    <n v="15"/>
    <m/>
    <m/>
    <n v="15"/>
    <n v="3.75"/>
    <n v="0.85"/>
    <n v="3.1875"/>
    <x v="12"/>
    <s v="Pedagogik                     "/>
    <s v="Sam"/>
    <s v="Speciallärarprogrammet"/>
    <n v="20766"/>
    <n v="17442"/>
    <n v="133468.875"/>
    <n v="6000"/>
    <n v="22500"/>
    <n v="155968.875"/>
    <n v="0"/>
    <n v="0"/>
    <n v="0"/>
    <n v="0"/>
    <n v="0"/>
    <n v="0"/>
    <n v="1"/>
    <n v="0"/>
    <n v="0"/>
    <n v="0"/>
    <n v="0"/>
    <n v="0"/>
  </r>
  <r>
    <s v="6SP063"/>
    <s v="Kunskap och kommunikation - att utveckla läromiljöer för elever med intellektuell funktionsnedsättning"/>
    <n v="72013"/>
    <s v="LYSPL"/>
    <m/>
    <s v="vt"/>
    <m/>
    <s v="Umeå"/>
    <s v="Distans"/>
    <m/>
    <m/>
    <m/>
    <n v="15"/>
    <m/>
    <m/>
    <n v="2"/>
    <n v="0.5"/>
    <n v="0.85"/>
    <n v="0.42499999999999999"/>
    <x v="12"/>
    <s v="Pedagogik                     "/>
    <s v="Sam"/>
    <s v="Speciallärarprogrammet"/>
    <n v="20766"/>
    <n v="17442"/>
    <n v="17795.849999999999"/>
    <n v="6000"/>
    <n v="3000"/>
    <n v="20795.849999999999"/>
    <n v="0"/>
    <n v="0"/>
    <n v="0"/>
    <n v="0"/>
    <n v="0"/>
    <n v="0"/>
    <n v="1"/>
    <n v="0"/>
    <n v="0"/>
    <n v="0"/>
    <n v="0"/>
    <n v="0"/>
  </r>
  <r>
    <s v="6SP064"/>
    <s v="Vetenskaplig metodkurs Speciallärar- och specialpedagogprogrammen"/>
    <m/>
    <s v="LYSPE"/>
    <s v="H20"/>
    <s v="ht"/>
    <s v="H211-5"/>
    <s v="Umeå"/>
    <m/>
    <s v="ALLM"/>
    <m/>
    <n v="1"/>
    <n v="7.5"/>
    <m/>
    <m/>
    <n v="33"/>
    <n v="4.125"/>
    <n v="0.85"/>
    <n v="3.5062500000000001"/>
    <x v="12"/>
    <s v="Pedagogik                     "/>
    <s v="Sam"/>
    <s v="Specialpedagogprogrammet"/>
    <n v="20766"/>
    <n v="17442"/>
    <n v="146815.76250000001"/>
    <n v="6000"/>
    <n v="24750"/>
    <n v="171565.76250000001"/>
    <n v="0"/>
    <n v="0"/>
    <n v="0"/>
    <n v="0"/>
    <n v="0"/>
    <n v="0"/>
    <n v="1"/>
    <n v="0"/>
    <n v="0"/>
    <n v="0"/>
    <n v="0"/>
    <n v="0"/>
  </r>
  <r>
    <s v="6SP064"/>
    <s v="Vetenskaplig metodkurs Speciallärar- och specialpedagogprogrammen"/>
    <m/>
    <s v="LYSPL"/>
    <s v="H19"/>
    <s v="ht"/>
    <s v="H211-5"/>
    <s v="Umeå"/>
    <m/>
    <s v="UTGG"/>
    <m/>
    <n v="1"/>
    <n v="7.5"/>
    <m/>
    <m/>
    <n v="1"/>
    <n v="0.125"/>
    <n v="0.85"/>
    <n v="0.10625"/>
    <x v="12"/>
    <s v="Pedagogik                     "/>
    <s v="Sam"/>
    <s v="Speciallärarprogrammet"/>
    <n v="20766"/>
    <n v="17442"/>
    <n v="4448.9624999999996"/>
    <n v="6000"/>
    <n v="750"/>
    <n v="5198.9624999999996"/>
    <n v="0"/>
    <n v="0"/>
    <n v="0"/>
    <n v="0"/>
    <n v="0"/>
    <n v="0"/>
    <n v="1"/>
    <n v="0"/>
    <n v="0"/>
    <n v="0"/>
    <n v="0"/>
    <n v="0"/>
  </r>
  <r>
    <s v="6SP064"/>
    <s v="Vetenskaplig metodkurs Speciallärar- och specialpedagogprogrammen"/>
    <m/>
    <s v="LYSPL"/>
    <s v="H20"/>
    <s v="ht"/>
    <s v="H211-5"/>
    <s v="Umeå"/>
    <m/>
    <s v="MAGG"/>
    <m/>
    <n v="1"/>
    <n v="7.5"/>
    <m/>
    <m/>
    <n v="8"/>
    <n v="1"/>
    <n v="0.85"/>
    <n v="0.85"/>
    <x v="12"/>
    <s v="Pedagogik                     "/>
    <s v="Sam"/>
    <s v="Speciallärarprogrammet"/>
    <n v="20766"/>
    <n v="17442"/>
    <n v="35591.699999999997"/>
    <n v="6000"/>
    <n v="6000"/>
    <n v="41591.699999999997"/>
    <n v="0"/>
    <n v="0"/>
    <n v="0"/>
    <n v="0"/>
    <n v="0"/>
    <n v="0"/>
    <n v="1"/>
    <n v="0"/>
    <n v="0"/>
    <n v="0"/>
    <n v="0"/>
    <n v="0"/>
  </r>
  <r>
    <s v="6SP064"/>
    <s v="Vetenskaplig metodkurs Speciallärar- och specialpedagogprogrammen"/>
    <m/>
    <s v="LYSPL"/>
    <s v="H20"/>
    <s v="ht"/>
    <s v="H211-5"/>
    <s v="Umeå"/>
    <m/>
    <s v="SVGG"/>
    <m/>
    <n v="1"/>
    <n v="7.5"/>
    <m/>
    <m/>
    <n v="13"/>
    <n v="1.625"/>
    <n v="0.85"/>
    <n v="1.3812499999999999"/>
    <x v="12"/>
    <s v="Pedagogik                     "/>
    <s v="Sam"/>
    <s v="Speciallärarprogrammet"/>
    <n v="20766"/>
    <n v="17442"/>
    <n v="57836.512499999997"/>
    <n v="6000"/>
    <n v="9750"/>
    <n v="67586.512499999997"/>
    <n v="0"/>
    <n v="0"/>
    <n v="0"/>
    <n v="0"/>
    <n v="0"/>
    <n v="0"/>
    <n v="1"/>
    <n v="0"/>
    <n v="0"/>
    <n v="0"/>
    <n v="0"/>
    <n v="0"/>
  </r>
  <r>
    <s v="6SP064"/>
    <s v="Vetenskaplig metodkurs Speciallärar- och specialpedagogprogrammen"/>
    <m/>
    <s v="LYSPL"/>
    <s v="H20"/>
    <s v="ht"/>
    <s v="H211-5"/>
    <s v="Umeå"/>
    <m/>
    <s v="UTGG"/>
    <m/>
    <n v="1"/>
    <n v="7.5"/>
    <m/>
    <m/>
    <n v="14"/>
    <n v="1.75"/>
    <n v="0.85"/>
    <n v="1.4875"/>
    <x v="12"/>
    <s v="Pedagogik                     "/>
    <s v="Sam"/>
    <s v="Speciallärarprogrammet"/>
    <n v="20766"/>
    <n v="17442"/>
    <n v="62285.475000000006"/>
    <n v="6000"/>
    <n v="10500"/>
    <n v="72785.475000000006"/>
    <n v="0"/>
    <n v="0"/>
    <n v="0"/>
    <n v="0"/>
    <n v="0"/>
    <n v="0"/>
    <n v="1"/>
    <n v="0"/>
    <n v="0"/>
    <n v="0"/>
    <n v="0"/>
    <n v="0"/>
  </r>
  <r>
    <s v="6ST000"/>
    <s v="Politik och samhälle"/>
    <m/>
    <s v="LYSYV"/>
    <s v="H19"/>
    <s v="ht"/>
    <s v="H2111-20"/>
    <s v="Umeå"/>
    <s v="DIST"/>
    <m/>
    <m/>
    <n v="1"/>
    <n v="15"/>
    <m/>
    <m/>
    <n v="1"/>
    <n v="0.25"/>
    <n v="0.85"/>
    <n v="0.21249999999999999"/>
    <x v="16"/>
    <s v="Statsvetenskap                "/>
    <s v="Sam"/>
    <s v="Studie- och yrkesvägledarprogram"/>
    <n v="20766"/>
    <n v="17442"/>
    <n v="8897.9249999999993"/>
    <n v="6000"/>
    <n v="1500"/>
    <n v="10397.924999999999"/>
    <n v="0"/>
    <n v="0"/>
    <n v="0"/>
    <n v="0"/>
    <n v="0"/>
    <n v="0"/>
    <n v="1"/>
    <n v="0"/>
    <n v="0"/>
    <n v="0"/>
    <n v="0"/>
    <n v="0"/>
  </r>
  <r>
    <s v="6ST000"/>
    <s v="Politik och samhälle"/>
    <m/>
    <s v="LYSYV"/>
    <s v="H21"/>
    <s v="ht"/>
    <m/>
    <n v="2480"/>
    <s v="DIST"/>
    <m/>
    <m/>
    <m/>
    <n v="15"/>
    <m/>
    <m/>
    <n v="38"/>
    <n v="9.5"/>
    <n v="0.85"/>
    <n v="8.0749999999999993"/>
    <x v="16"/>
    <s v="Statsvetenskap                "/>
    <s v="Sam"/>
    <s v="Studie- och yrkesvägledarprogram"/>
    <n v="20766"/>
    <n v="17442"/>
    <n v="338121.15"/>
    <n v="6000"/>
    <n v="57000"/>
    <n v="395121.15"/>
    <n v="0"/>
    <n v="0"/>
    <n v="0"/>
    <n v="0"/>
    <n v="0"/>
    <n v="0"/>
    <n v="1"/>
    <n v="0"/>
    <n v="0"/>
    <n v="0"/>
    <n v="0"/>
    <n v="0"/>
  </r>
  <r>
    <s v="6ST000"/>
    <s v="Politik och samhälle"/>
    <m/>
    <s v="LYSYV"/>
    <s v="H21"/>
    <s v="ht"/>
    <m/>
    <n v="2480"/>
    <s v="REGU"/>
    <m/>
    <m/>
    <m/>
    <n v="15"/>
    <m/>
    <m/>
    <n v="34"/>
    <n v="8.5"/>
    <n v="0.85"/>
    <n v="7.2249999999999996"/>
    <x v="16"/>
    <s v="Statsvetenskap                "/>
    <s v="Sam"/>
    <s v="Studie- och yrkesvägledarprogram"/>
    <n v="20766"/>
    <n v="17442"/>
    <n v="302529.45"/>
    <n v="6000"/>
    <n v="51000"/>
    <n v="353529.45"/>
    <n v="0"/>
    <n v="0"/>
    <n v="0"/>
    <n v="0"/>
    <n v="0"/>
    <n v="0"/>
    <n v="1"/>
    <n v="0"/>
    <n v="0"/>
    <n v="0"/>
    <n v="0"/>
    <n v="0"/>
  </r>
  <r>
    <s v="6ST001"/>
    <s v="Utbildning och arbetsmarknad I"/>
    <n v="72603"/>
    <s v="LYSYV"/>
    <m/>
    <s v="vt"/>
    <m/>
    <s v="Umeå"/>
    <s v="Distans"/>
    <s v="DIST"/>
    <m/>
    <m/>
    <n v="7.5"/>
    <m/>
    <m/>
    <n v="21"/>
    <n v="2.625"/>
    <n v="0.85"/>
    <n v="2.2312499999999997"/>
    <x v="16"/>
    <s v="Statsvetenskap                "/>
    <s v="Sam"/>
    <s v="Studie- och yrkesvägledarprogram"/>
    <n v="20766"/>
    <n v="17442"/>
    <n v="93428.212499999994"/>
    <n v="6000"/>
    <n v="15750"/>
    <n v="109178.21249999999"/>
    <n v="0"/>
    <n v="0"/>
    <n v="0"/>
    <n v="0"/>
    <n v="0"/>
    <n v="0"/>
    <n v="1"/>
    <n v="0"/>
    <n v="0"/>
    <n v="0"/>
    <n v="0"/>
    <n v="0"/>
  </r>
  <r>
    <s v="6ST001"/>
    <s v="Utbildning och arbetsmarknad I"/>
    <n v="72602"/>
    <s v="LYSYV"/>
    <m/>
    <s v="vt"/>
    <m/>
    <s v="Umeå"/>
    <s v="Normal"/>
    <s v="REGU"/>
    <m/>
    <m/>
    <n v="7.5"/>
    <m/>
    <m/>
    <n v="25"/>
    <n v="3.125"/>
    <n v="0.85"/>
    <n v="2.65625"/>
    <x v="16"/>
    <s v="Statsvetenskap                "/>
    <s v="Sam"/>
    <s v="Studie- och yrkesvägledarprogram"/>
    <n v="20766"/>
    <n v="17442"/>
    <n v="111224.0625"/>
    <n v="6000"/>
    <n v="18750"/>
    <n v="129974.0625"/>
    <n v="0"/>
    <n v="0"/>
    <n v="0"/>
    <n v="0"/>
    <n v="0"/>
    <n v="0"/>
    <n v="1"/>
    <n v="0"/>
    <n v="0"/>
    <n v="0"/>
    <n v="0"/>
    <n v="0"/>
  </r>
  <r>
    <s v="6ST032"/>
    <s v="Ledarskap och organisation med inriktning mot utbildningsledarskap: Teori och analys "/>
    <m/>
    <s v="FRIST"/>
    <m/>
    <s v="ht"/>
    <m/>
    <m/>
    <s v="Distans"/>
    <m/>
    <m/>
    <n v="0.25"/>
    <n v="7.5"/>
    <m/>
    <m/>
    <n v="20"/>
    <n v="2.5"/>
    <n v="0.8"/>
    <n v="2"/>
    <x v="16"/>
    <s v="Statsvetenskap                "/>
    <s v="Sam"/>
    <s v="Fristående och övriga kurser"/>
    <n v="20766"/>
    <n v="17442"/>
    <n v="86799"/>
    <n v="6000"/>
    <n v="15000"/>
    <n v="101799"/>
    <n v="0"/>
    <n v="0"/>
    <n v="0"/>
    <n v="0"/>
    <n v="0"/>
    <n v="0"/>
    <n v="1"/>
    <n v="0"/>
    <n v="0"/>
    <n v="0"/>
    <n v="0"/>
    <n v="0"/>
  </r>
  <r>
    <s v="6ST033"/>
    <s v="Ledarskap och organisation med inriktning mot utbildningsledarskap: Forsknings- och utredningsmetodik"/>
    <n v="72604"/>
    <s v="FRIST"/>
    <m/>
    <s v="vt"/>
    <m/>
    <s v="Ortsoberoende"/>
    <s v="Distans"/>
    <m/>
    <m/>
    <m/>
    <n v="7.5"/>
    <m/>
    <m/>
    <n v="7"/>
    <n v="0.875"/>
    <n v="0.8"/>
    <n v="0.70000000000000007"/>
    <x v="16"/>
    <s v="Statsvetenskap                "/>
    <s v="Sam"/>
    <s v="Fristående och övriga kurser"/>
    <n v="20766"/>
    <n v="17442"/>
    <n v="30379.65"/>
    <n v="6000"/>
    <n v="5250"/>
    <n v="35629.65"/>
    <n v="0"/>
    <n v="0"/>
    <n v="0"/>
    <n v="0"/>
    <n v="0"/>
    <n v="0"/>
    <n v="1"/>
    <n v="0"/>
    <n v="0"/>
    <n v="0"/>
    <n v="0"/>
    <n v="0"/>
  </r>
  <r>
    <s v="6ST034"/>
    <s v="Ledarskap och organisation med inriktning mot utbildningsledarskap: Magisteruppsats (15 hp)"/>
    <m/>
    <s v="FRIST"/>
    <m/>
    <s v="ht"/>
    <m/>
    <m/>
    <s v="Distans"/>
    <m/>
    <m/>
    <n v="0.25"/>
    <n v="7.5"/>
    <m/>
    <m/>
    <n v="20"/>
    <n v="2.5"/>
    <n v="0.8"/>
    <n v="2"/>
    <x v="16"/>
    <s v="Statsvetenskap                "/>
    <s v="Sam"/>
    <s v="Fristående och övriga kurser"/>
    <n v="20766"/>
    <n v="17442"/>
    <n v="86799"/>
    <n v="6000"/>
    <n v="15000"/>
    <n v="101799"/>
    <n v="0"/>
    <n v="0"/>
    <n v="0"/>
    <n v="0"/>
    <n v="0"/>
    <n v="0"/>
    <n v="1"/>
    <n v="0"/>
    <n v="0"/>
    <n v="0"/>
    <n v="0"/>
    <n v="0"/>
  </r>
  <r>
    <s v="6SV021"/>
    <s v="Svenska för F-3, kurs 1"/>
    <n v="71806"/>
    <s v="LYGFT"/>
    <m/>
    <s v="vt"/>
    <m/>
    <s v="Umeå"/>
    <s v="Normal"/>
    <m/>
    <m/>
    <m/>
    <n v="15"/>
    <m/>
    <m/>
    <n v="50"/>
    <n v="12.5"/>
    <n v="0.85"/>
    <n v="10.625"/>
    <x v="0"/>
    <s v="Inst för språkstudier"/>
    <s v="Hum"/>
    <s v="Grundlärarprogrammet - förskoleklass och åk 1-3"/>
    <n v="20766"/>
    <n v="17442"/>
    <n v="444896.25"/>
    <n v="6000"/>
    <n v="75000"/>
    <n v="519896.25"/>
    <n v="0"/>
    <n v="1"/>
    <n v="0"/>
    <n v="0"/>
    <n v="0"/>
    <n v="0"/>
    <n v="0"/>
    <n v="0"/>
    <n v="0"/>
    <n v="0"/>
    <n v="0"/>
    <n v="0"/>
  </r>
  <r>
    <s v="6SV022"/>
    <s v="Svenska för F-3, kurs 2"/>
    <m/>
    <s v="LYGFT"/>
    <s v="H20"/>
    <s v="ht"/>
    <s v="H2116-20"/>
    <s v="Umeå"/>
    <s v="Campus"/>
    <m/>
    <m/>
    <n v="1"/>
    <n v="7.5"/>
    <m/>
    <m/>
    <n v="45"/>
    <n v="5.625"/>
    <n v="0.85"/>
    <n v="4.78125"/>
    <x v="0"/>
    <s v="Inst för språkstudier"/>
    <s v="Hum"/>
    <s v="Grundlärarprogrammet - förskoleklass och åk 1-3"/>
    <n v="20766"/>
    <n v="17442"/>
    <n v="200203.3125"/>
    <n v="6000"/>
    <n v="33750"/>
    <n v="233953.3125"/>
    <n v="0"/>
    <n v="1"/>
    <n v="0"/>
    <n v="0"/>
    <n v="0"/>
    <n v="0"/>
    <n v="0"/>
    <n v="0"/>
    <n v="0"/>
    <n v="0"/>
    <n v="0"/>
    <n v="0"/>
  </r>
  <r>
    <s v="6SV022"/>
    <s v="Svenska för F-3, kurs 2"/>
    <m/>
    <s v="LYGFT"/>
    <s v="V18"/>
    <s v="ht"/>
    <s v="H2116-20"/>
    <s v="Umeå"/>
    <s v="Campus"/>
    <m/>
    <m/>
    <n v="1"/>
    <n v="7.5"/>
    <m/>
    <m/>
    <n v="1"/>
    <n v="0.125"/>
    <n v="0.85"/>
    <n v="0.10625"/>
    <x v="0"/>
    <s v="Inst för språkstudier"/>
    <s v="Hum"/>
    <s v="Grundlärarprogrammet - förskoleklass och åk 1-3"/>
    <n v="20766"/>
    <n v="17442"/>
    <n v="4448.9624999999996"/>
    <n v="6000"/>
    <n v="750"/>
    <n v="5198.9624999999996"/>
    <n v="0"/>
    <n v="1"/>
    <n v="0"/>
    <n v="0"/>
    <n v="0"/>
    <n v="0"/>
    <n v="0"/>
    <n v="0"/>
    <n v="0"/>
    <n v="0"/>
    <n v="0"/>
    <n v="0"/>
  </r>
  <r>
    <s v="6SV023"/>
    <s v="Svenska för F-3, kurs 3"/>
    <m/>
    <s v="LYGFT"/>
    <s v="H17"/>
    <s v="ht"/>
    <s v="H2111-15"/>
    <s v="Umeå"/>
    <s v="Campus"/>
    <m/>
    <m/>
    <n v="1"/>
    <n v="7.5"/>
    <m/>
    <m/>
    <n v="1"/>
    <n v="0.125"/>
    <n v="0.85"/>
    <n v="0.10625"/>
    <x v="0"/>
    <s v="Inst för språkstudier"/>
    <s v="Hum"/>
    <s v="Grundlärarprogrammet - förskoleklass och åk 1-3"/>
    <n v="20766"/>
    <n v="17442"/>
    <n v="4448.9624999999996"/>
    <n v="6000"/>
    <n v="750"/>
    <n v="5198.9624999999996"/>
    <n v="0"/>
    <n v="1"/>
    <n v="0"/>
    <n v="0"/>
    <n v="0"/>
    <n v="0"/>
    <n v="0"/>
    <n v="0"/>
    <n v="0"/>
    <n v="0"/>
    <n v="0"/>
    <n v="0"/>
  </r>
  <r>
    <s v="6SV023"/>
    <s v="Svenska för F-3, kurs 3"/>
    <m/>
    <s v="LYGFT"/>
    <s v="H18"/>
    <s v="ht"/>
    <s v="H2111-15"/>
    <s v="Umeå"/>
    <s v="Campus"/>
    <m/>
    <m/>
    <n v="1"/>
    <n v="7.5"/>
    <m/>
    <m/>
    <n v="3"/>
    <n v="0.375"/>
    <n v="0.85"/>
    <n v="0.31874999999999998"/>
    <x v="0"/>
    <s v="Inst för språkstudier"/>
    <s v="Hum"/>
    <s v="Grundlärarprogrammet - förskoleklass och åk 1-3"/>
    <n v="20766"/>
    <n v="17442"/>
    <n v="13346.887500000001"/>
    <n v="6000"/>
    <n v="2250"/>
    <n v="15596.887500000001"/>
    <n v="0"/>
    <n v="1"/>
    <n v="0"/>
    <n v="0"/>
    <n v="0"/>
    <n v="0"/>
    <n v="0"/>
    <n v="0"/>
    <n v="0"/>
    <n v="0"/>
    <n v="0"/>
    <n v="0"/>
  </r>
  <r>
    <s v="6SV023"/>
    <s v="Svenska för F-3, kurs 3"/>
    <m/>
    <s v="LYGFT"/>
    <s v="H19"/>
    <s v="ht"/>
    <s v="H2111-15"/>
    <s v="Umeå"/>
    <s v="Campus"/>
    <m/>
    <m/>
    <n v="1"/>
    <n v="7.5"/>
    <m/>
    <m/>
    <n v="33"/>
    <n v="4.125"/>
    <n v="0.85"/>
    <n v="3.5062500000000001"/>
    <x v="0"/>
    <s v="Inst för språkstudier"/>
    <s v="Hum"/>
    <s v="Grundlärarprogrammet - förskoleklass och åk 1-3"/>
    <n v="20766"/>
    <n v="17442"/>
    <n v="146815.76250000001"/>
    <n v="6000"/>
    <n v="24750"/>
    <n v="171565.76250000001"/>
    <n v="0"/>
    <n v="1"/>
    <n v="0"/>
    <n v="0"/>
    <n v="0"/>
    <n v="0"/>
    <n v="0"/>
    <n v="0"/>
    <n v="0"/>
    <n v="0"/>
    <n v="0"/>
    <n v="0"/>
  </r>
  <r>
    <s v="6SV023"/>
    <s v="Svenska för F-3, kurs 3"/>
    <m/>
    <s v="LYGFT"/>
    <s v="H20"/>
    <s v="ht"/>
    <s v="H2111-15"/>
    <s v="Umeå"/>
    <s v="Campus"/>
    <m/>
    <m/>
    <n v="1"/>
    <n v="7.5"/>
    <m/>
    <m/>
    <n v="1"/>
    <n v="0.125"/>
    <n v="0.85"/>
    <n v="0.10625"/>
    <x v="0"/>
    <s v="Inst för språkstudier"/>
    <s v="Hum"/>
    <s v="Grundlärarprogrammet - förskoleklass och åk 1-3"/>
    <n v="20766"/>
    <n v="17442"/>
    <n v="4448.9624999999996"/>
    <n v="6000"/>
    <n v="750"/>
    <n v="5198.9624999999996"/>
    <n v="0"/>
    <n v="1"/>
    <n v="0"/>
    <n v="0"/>
    <n v="0"/>
    <n v="0"/>
    <n v="0"/>
    <n v="0"/>
    <n v="0"/>
    <n v="0"/>
    <n v="0"/>
    <n v="0"/>
  </r>
  <r>
    <s v="6SV024"/>
    <s v="Svenska för åk 4-6, kurs 1"/>
    <n v="71810"/>
    <s v="LYGRM"/>
    <m/>
    <s v="vt"/>
    <m/>
    <s v="Umeå"/>
    <s v="Normal"/>
    <m/>
    <m/>
    <m/>
    <n v="15"/>
    <m/>
    <m/>
    <n v="50"/>
    <n v="12.5"/>
    <n v="0.85"/>
    <n v="10.625"/>
    <x v="0"/>
    <s v="Inst för språkstudier"/>
    <s v="Hum"/>
    <s v="Grundlärarprogrammet - grundskolans åk 4-6"/>
    <n v="20766"/>
    <n v="17442"/>
    <n v="444896.25"/>
    <n v="6000"/>
    <n v="75000"/>
    <n v="519896.25"/>
    <n v="0"/>
    <n v="1"/>
    <n v="0"/>
    <n v="0"/>
    <n v="0"/>
    <n v="0"/>
    <n v="0"/>
    <n v="0"/>
    <n v="0"/>
    <n v="0"/>
    <n v="0"/>
    <n v="0"/>
  </r>
  <r>
    <s v="6SV025"/>
    <s v="Svenska för åk 4-6, kurs 2"/>
    <m/>
    <s v="LYGRM"/>
    <s v="H20"/>
    <s v="ht"/>
    <s v="H2116-20"/>
    <s v="Umeå"/>
    <s v="Campus"/>
    <m/>
    <m/>
    <n v="1"/>
    <n v="7.5"/>
    <m/>
    <m/>
    <n v="41"/>
    <n v="5.125"/>
    <n v="0.85"/>
    <n v="4.3562500000000002"/>
    <x v="0"/>
    <s v="Inst för språkstudier"/>
    <s v="Hum"/>
    <s v="Grundlärarprogrammet - grundskolans åk 4-6"/>
    <n v="20766"/>
    <n v="17442"/>
    <n v="182407.46250000002"/>
    <n v="6000"/>
    <n v="30750"/>
    <n v="213157.46250000002"/>
    <n v="0"/>
    <n v="1"/>
    <n v="0"/>
    <n v="0"/>
    <n v="0"/>
    <n v="0"/>
    <n v="0"/>
    <n v="0"/>
    <n v="0"/>
    <n v="0"/>
    <n v="0"/>
    <n v="0"/>
  </r>
  <r>
    <s v="6SV026"/>
    <s v="Svenska för åk 4-6, kurs 3"/>
    <m/>
    <s v="LYGRM"/>
    <s v="H17"/>
    <s v="ht"/>
    <s v="H2111-15"/>
    <s v="Umeå"/>
    <s v="Campus"/>
    <m/>
    <m/>
    <n v="1"/>
    <n v="7.5"/>
    <m/>
    <m/>
    <n v="1"/>
    <n v="0.125"/>
    <n v="0.85"/>
    <n v="0.10625"/>
    <x v="0"/>
    <s v="Inst för språkstudier"/>
    <s v="Hum"/>
    <s v="Grundlärarprogrammet - grundskolans åk 4-6"/>
    <n v="20766"/>
    <n v="17442"/>
    <n v="4448.9624999999996"/>
    <n v="6000"/>
    <n v="750"/>
    <n v="5198.9624999999996"/>
    <n v="0"/>
    <n v="1"/>
    <n v="0"/>
    <n v="0"/>
    <n v="0"/>
    <n v="0"/>
    <n v="0"/>
    <n v="0"/>
    <n v="0"/>
    <n v="0"/>
    <n v="0"/>
    <n v="0"/>
  </r>
  <r>
    <s v="6SV026"/>
    <s v="Svenska för åk 4-6, kurs 3"/>
    <m/>
    <s v="LYGRM"/>
    <s v="H19"/>
    <s v="ht"/>
    <s v="H2111-15"/>
    <s v="Umeå"/>
    <s v="Campus"/>
    <m/>
    <m/>
    <n v="1"/>
    <n v="7.5"/>
    <m/>
    <m/>
    <n v="21"/>
    <n v="2.625"/>
    <n v="0.85"/>
    <n v="2.2312499999999997"/>
    <x v="0"/>
    <s v="Inst för språkstudier"/>
    <s v="Hum"/>
    <s v="Grundlärarprogrammet - grundskolans åk 4-6"/>
    <n v="20766"/>
    <n v="17442"/>
    <n v="93428.212499999994"/>
    <n v="6000"/>
    <n v="15750"/>
    <n v="109178.21249999999"/>
    <n v="0"/>
    <n v="1"/>
    <n v="0"/>
    <n v="0"/>
    <n v="0"/>
    <n v="0"/>
    <n v="0"/>
    <n v="0"/>
    <n v="0"/>
    <n v="0"/>
    <n v="0"/>
    <n v="0"/>
  </r>
  <r>
    <s v="6SV057"/>
    <s v="Att undervisa i svenska som andraspråk (VFU)"/>
    <m/>
    <s v="LYAGY"/>
    <s v="H19"/>
    <s v="ht"/>
    <s v="H2113-16"/>
    <s v="Umeå"/>
    <m/>
    <s v="SVAN"/>
    <m/>
    <n v="1"/>
    <n v="6"/>
    <m/>
    <m/>
    <n v="2"/>
    <n v="0.2"/>
    <n v="0.85"/>
    <n v="0.17"/>
    <x v="0"/>
    <s v="Inst för språkstudier"/>
    <s v="Hum"/>
    <s v="Ämneslärarprogrammet - Gy"/>
    <n v="25235"/>
    <n v="27976"/>
    <n v="9802.92"/>
    <n v="3600"/>
    <n v="720"/>
    <n v="10522.92"/>
    <n v="0"/>
    <n v="0"/>
    <n v="0"/>
    <n v="0"/>
    <n v="0"/>
    <n v="0"/>
    <n v="0"/>
    <n v="0"/>
    <n v="1"/>
    <n v="0"/>
    <n v="0"/>
    <n v="0"/>
  </r>
  <r>
    <s v="6SV058"/>
    <s v="Att undervisa i svenska (VFU)"/>
    <m/>
    <s v="LYAGY"/>
    <s v="H19"/>
    <s v="ht"/>
    <s v="H2113-16"/>
    <s v="Umeå"/>
    <m/>
    <s v="SAMK"/>
    <m/>
    <n v="1"/>
    <n v="6"/>
    <m/>
    <m/>
    <n v="1"/>
    <n v="0.1"/>
    <n v="0.85"/>
    <n v="8.5000000000000006E-2"/>
    <x v="0"/>
    <s v="Inst för språkstudier"/>
    <s v="Hum"/>
    <s v="Ämneslärarprogrammet - Gy"/>
    <n v="25235"/>
    <n v="27976"/>
    <n v="4901.46"/>
    <n v="3600"/>
    <n v="360"/>
    <n v="5261.46"/>
    <n v="0"/>
    <n v="0"/>
    <n v="0"/>
    <n v="0"/>
    <n v="0"/>
    <n v="0"/>
    <n v="0"/>
    <n v="0"/>
    <n v="1"/>
    <n v="0"/>
    <n v="0"/>
    <n v="0"/>
  </r>
  <r>
    <s v="6SV058"/>
    <s v="Att undervisa i svenska (VFU)"/>
    <m/>
    <s v="LYAGY"/>
    <s v="H19"/>
    <s v="ht"/>
    <s v="H2113-16"/>
    <s v="Umeå"/>
    <m/>
    <s v="SVAA"/>
    <m/>
    <n v="1"/>
    <n v="6"/>
    <m/>
    <m/>
    <n v="8"/>
    <n v="0.8"/>
    <n v="0.85"/>
    <n v="0.68"/>
    <x v="0"/>
    <s v="Inst för språkstudier"/>
    <s v="Hum"/>
    <s v="Ämneslärarprogrammet - Gy"/>
    <n v="25235"/>
    <n v="27976"/>
    <n v="39211.68"/>
    <n v="3600"/>
    <n v="2880"/>
    <n v="42091.68"/>
    <n v="0"/>
    <n v="0"/>
    <n v="0"/>
    <n v="0"/>
    <n v="0"/>
    <n v="0"/>
    <n v="0"/>
    <n v="0"/>
    <n v="1"/>
    <n v="0"/>
    <n v="0"/>
    <n v="0"/>
  </r>
  <r>
    <s v="6SV060"/>
    <s v="Svenska som andraspråk A"/>
    <n v="71812"/>
    <s v="FRIST"/>
    <m/>
    <s v="vt"/>
    <m/>
    <s v="Umeå"/>
    <s v="Normal"/>
    <m/>
    <m/>
    <m/>
    <n v="30"/>
    <m/>
    <m/>
    <n v="15"/>
    <n v="7.5"/>
    <n v="0.8"/>
    <n v="6"/>
    <x v="0"/>
    <s v="Inst för språkstudier"/>
    <s v="Hum"/>
    <s v="Fristående och övriga kurser"/>
    <n v="20766"/>
    <n v="17442"/>
    <n v="260397"/>
    <n v="6000"/>
    <n v="45000"/>
    <n v="305397"/>
    <n v="0"/>
    <n v="1"/>
    <n v="0"/>
    <n v="0"/>
    <n v="0"/>
    <n v="0"/>
    <n v="0"/>
    <n v="0"/>
    <n v="0"/>
    <n v="0"/>
    <n v="0"/>
    <n v="0"/>
  </r>
  <r>
    <s v="6SV061"/>
    <s v="Svenska som andraspråk A, Det mångkulturella klassrummet och svenskans fonologi "/>
    <n v="71816"/>
    <s v="FRIST"/>
    <m/>
    <s v="vt"/>
    <m/>
    <s v="Umeå"/>
    <s v="Distans"/>
    <m/>
    <m/>
    <m/>
    <n v="15"/>
    <m/>
    <m/>
    <n v="12"/>
    <n v="1.5"/>
    <n v="0.8"/>
    <n v="1.2000000000000002"/>
    <x v="0"/>
    <s v="Inst för språkstudier"/>
    <s v="Hum"/>
    <s v="Fristående och övriga kurser"/>
    <n v="20766"/>
    <n v="17442"/>
    <n v="52079.4"/>
    <n v="6000"/>
    <n v="9000"/>
    <n v="61079.4"/>
    <n v="0"/>
    <n v="1"/>
    <n v="0"/>
    <n v="0"/>
    <n v="0"/>
    <n v="0"/>
    <n v="0"/>
    <n v="0"/>
    <n v="0"/>
    <n v="0"/>
    <n v="0"/>
    <n v="0"/>
  </r>
  <r>
    <s v="6SV062"/>
    <s v="Svenska som andraspråk A, Att lära på ett andraspråk och svenskans grammatik"/>
    <n v="71817"/>
    <s v="FRIST"/>
    <m/>
    <s v="vt"/>
    <m/>
    <s v="Umeå"/>
    <s v="Distans"/>
    <m/>
    <m/>
    <m/>
    <n v="7.5"/>
    <m/>
    <m/>
    <n v="8"/>
    <n v="1"/>
    <n v="0.8"/>
    <n v="0.8"/>
    <x v="0"/>
    <s v="Inst för språkstudier"/>
    <s v="Hum"/>
    <s v="Fristående och övriga kurser"/>
    <n v="20766"/>
    <n v="17442"/>
    <n v="34719.599999999999"/>
    <n v="6000"/>
    <n v="6000"/>
    <n v="40719.599999999999"/>
    <n v="0"/>
    <n v="1"/>
    <n v="0"/>
    <n v="0"/>
    <n v="0"/>
    <n v="0"/>
    <n v="0"/>
    <n v="0"/>
    <n v="0"/>
    <n v="0"/>
    <n v="0"/>
    <n v="0"/>
  </r>
  <r>
    <s v="6SV063"/>
    <s v="Svenska som andraspråk B"/>
    <m/>
    <s v="FRIST"/>
    <m/>
    <s v="ht"/>
    <m/>
    <m/>
    <s v="Campus"/>
    <m/>
    <m/>
    <n v="1"/>
    <n v="30"/>
    <m/>
    <m/>
    <n v="8"/>
    <n v="4"/>
    <n v="0.8"/>
    <n v="3.2"/>
    <x v="0"/>
    <s v="Inst för språkstudier"/>
    <s v="Hum"/>
    <s v="Fristående och övriga kurser"/>
    <n v="20766"/>
    <n v="17442"/>
    <n v="138878.39999999999"/>
    <n v="6000"/>
    <n v="24000"/>
    <n v="162878.39999999999"/>
    <n v="0"/>
    <n v="1"/>
    <n v="0"/>
    <n v="0"/>
    <n v="0"/>
    <n v="0"/>
    <n v="0"/>
    <n v="0"/>
    <n v="0"/>
    <n v="0"/>
    <n v="0"/>
    <n v="0"/>
  </r>
  <r>
    <s v="6SV064"/>
    <s v="Svenska som andraspråk B, Flerspråkiga inlärares litteracitet "/>
    <n v="71821"/>
    <s v="FRIST"/>
    <m/>
    <s v="vt"/>
    <m/>
    <s v="Umeå"/>
    <s v="Distans"/>
    <m/>
    <m/>
    <m/>
    <n v="7.5"/>
    <m/>
    <m/>
    <n v="2"/>
    <n v="0.25"/>
    <n v="0.8"/>
    <n v="0.2"/>
    <x v="0"/>
    <s v="Inst för språkstudier"/>
    <s v="Hum"/>
    <s v="Fristående och övriga kurser"/>
    <n v="20766"/>
    <n v="17442"/>
    <n v="8679.9"/>
    <n v="6000"/>
    <n v="1500"/>
    <n v="10179.9"/>
    <n v="0"/>
    <n v="1"/>
    <n v="0"/>
    <n v="0"/>
    <n v="0"/>
    <n v="0"/>
    <n v="0"/>
    <n v="0"/>
    <n v="0"/>
    <n v="0"/>
    <n v="0"/>
    <n v="0"/>
  </r>
  <r>
    <s v="6SV066"/>
    <s v="Svenska som andraspråk C, Diskriminerande strukturer och skönlitteratur"/>
    <n v="71809"/>
    <s v="FRIST"/>
    <m/>
    <s v="vt"/>
    <m/>
    <s v="Umeå"/>
    <s v="Distans"/>
    <m/>
    <m/>
    <m/>
    <n v="15"/>
    <m/>
    <m/>
    <n v="8"/>
    <n v="2"/>
    <n v="0.8"/>
    <n v="1.6"/>
    <x v="0"/>
    <s v="Inst för språkstudier"/>
    <s v="Hum"/>
    <s v="Fristående och övriga kurser"/>
    <n v="20766"/>
    <n v="17442"/>
    <n v="69439.199999999997"/>
    <n v="6000"/>
    <n v="12000"/>
    <n v="81439.199999999997"/>
    <n v="0"/>
    <n v="1"/>
    <n v="0"/>
    <n v="0"/>
    <n v="0"/>
    <n v="0"/>
    <n v="0"/>
    <n v="0"/>
    <n v="0"/>
    <n v="0"/>
    <n v="0"/>
    <n v="0"/>
  </r>
  <r>
    <s v="6SV067"/>
    <s v="Svenska som andraspråk C, Examensarbete för kandidatexamen"/>
    <n v="71808"/>
    <s v="FRIST"/>
    <m/>
    <s v="vt"/>
    <m/>
    <s v="Umeå"/>
    <s v="Distans"/>
    <m/>
    <m/>
    <m/>
    <n v="15"/>
    <m/>
    <m/>
    <n v="1"/>
    <n v="0.25"/>
    <n v="0.8"/>
    <n v="0.2"/>
    <x v="0"/>
    <s v="Inst för språkstudier"/>
    <s v="Hum"/>
    <s v="Fristående och övriga kurser"/>
    <n v="20766"/>
    <n v="17442"/>
    <n v="8679.9"/>
    <n v="6000"/>
    <n v="1500"/>
    <n v="10179.9"/>
    <n v="0"/>
    <n v="1"/>
    <n v="0"/>
    <n v="0"/>
    <n v="0"/>
    <n v="0"/>
    <n v="0"/>
    <n v="0"/>
    <n v="0"/>
    <n v="0"/>
    <n v="0"/>
    <n v="0"/>
  </r>
  <r>
    <s v="6SV067"/>
    <s v="Svenska som andraspråk C, Examensarbete för kandidatexamen"/>
    <m/>
    <s v="FRIST"/>
    <m/>
    <s v="ht"/>
    <m/>
    <m/>
    <s v="Distans"/>
    <m/>
    <m/>
    <n v="0.5"/>
    <n v="15"/>
    <m/>
    <m/>
    <n v="6"/>
    <n v="1.5"/>
    <n v="0.8"/>
    <n v="1.2000000000000002"/>
    <x v="0"/>
    <s v="Inst för språkstudier"/>
    <s v="Hum"/>
    <s v="Fristående och övriga kurser"/>
    <n v="20766"/>
    <n v="17442"/>
    <n v="52079.4"/>
    <n v="6000"/>
    <n v="9000"/>
    <n v="61079.4"/>
    <n v="0"/>
    <n v="1"/>
    <n v="0"/>
    <n v="0"/>
    <n v="0"/>
    <n v="0"/>
    <n v="0"/>
    <n v="0"/>
    <n v="0"/>
    <n v="0"/>
    <n v="0"/>
    <n v="0"/>
  </r>
  <r>
    <s v="6SV068"/>
    <s v="Svenska som andraspråk för ämneslärare, kurs 1"/>
    <n v="71805"/>
    <s v="LYAGR"/>
    <m/>
    <s v="vt"/>
    <m/>
    <s v="Umeå"/>
    <s v="Normal"/>
    <s v="TMAL"/>
    <m/>
    <m/>
    <n v="30"/>
    <m/>
    <m/>
    <n v="1"/>
    <n v="0.5"/>
    <n v="0.85"/>
    <n v="0.42499999999999999"/>
    <x v="0"/>
    <s v="Inst för språkstudier"/>
    <s v="Hum"/>
    <s v="Ämneslärarprogrammet - åk 7-9"/>
    <n v="20766"/>
    <n v="17442"/>
    <n v="17795.849999999999"/>
    <n v="6000"/>
    <n v="3000"/>
    <n v="20795.849999999999"/>
    <n v="0"/>
    <n v="1"/>
    <n v="0"/>
    <n v="0"/>
    <n v="0"/>
    <n v="0"/>
    <n v="0"/>
    <n v="0"/>
    <n v="0"/>
    <n v="0"/>
    <n v="0"/>
    <n v="0"/>
  </r>
  <r>
    <s v="6SV068"/>
    <s v="Svenska som andraspråk för ämneslärare, kurs 1"/>
    <n v="71805"/>
    <s v="LYAGY"/>
    <m/>
    <s v="vt"/>
    <m/>
    <s v="Umeå"/>
    <s v="Normal"/>
    <s v="ENGS"/>
    <m/>
    <m/>
    <n v="30"/>
    <m/>
    <m/>
    <n v="2"/>
    <n v="1"/>
    <n v="0.85"/>
    <n v="0.85"/>
    <x v="0"/>
    <s v="Inst för språkstudier"/>
    <s v="Hum"/>
    <s v="Ämneslärarprogrammet - Gy"/>
    <n v="20766"/>
    <n v="17442"/>
    <n v="35591.699999999997"/>
    <n v="6000"/>
    <n v="6000"/>
    <n v="41591.699999999997"/>
    <n v="0"/>
    <n v="1"/>
    <n v="0"/>
    <n v="0"/>
    <n v="0"/>
    <n v="0"/>
    <n v="0"/>
    <n v="0"/>
    <n v="0"/>
    <n v="0"/>
    <n v="0"/>
    <n v="0"/>
  </r>
  <r>
    <s v="6SV068"/>
    <s v="Svenska som andraspråk för ämneslärare, kurs 1"/>
    <n v="71805"/>
    <s v="LYAGY"/>
    <m/>
    <s v="vt"/>
    <m/>
    <s v="Umeå"/>
    <s v="Normal"/>
    <s v="IDRH"/>
    <m/>
    <m/>
    <n v="30"/>
    <m/>
    <m/>
    <n v="2"/>
    <n v="1"/>
    <n v="0.85"/>
    <n v="0.85"/>
    <x v="0"/>
    <s v="Inst för språkstudier"/>
    <s v="Hum"/>
    <s v="Ämneslärarprogrammet - Gy"/>
    <n v="20766"/>
    <n v="17442"/>
    <n v="35591.699999999997"/>
    <n v="6000"/>
    <n v="6000"/>
    <n v="41591.699999999997"/>
    <n v="0"/>
    <n v="1"/>
    <n v="0"/>
    <n v="0"/>
    <n v="0"/>
    <n v="0"/>
    <n v="0"/>
    <n v="0"/>
    <n v="0"/>
    <n v="0"/>
    <n v="0"/>
    <n v="0"/>
  </r>
  <r>
    <s v="6SV068"/>
    <s v="Svenska som andraspråk för ämneslärare, kurs 1"/>
    <n v="71805"/>
    <s v="LYAGY"/>
    <m/>
    <s v="vt"/>
    <m/>
    <s v="Umeå"/>
    <s v="Normal"/>
    <s v="SVAA"/>
    <m/>
    <m/>
    <n v="30"/>
    <m/>
    <m/>
    <n v="2"/>
    <n v="1"/>
    <n v="0.85"/>
    <n v="0.85"/>
    <x v="0"/>
    <s v="Inst för språkstudier"/>
    <s v="Hum"/>
    <s v="Ämneslärarprogrammet - Gy"/>
    <n v="20766"/>
    <n v="17442"/>
    <n v="35591.699999999997"/>
    <n v="6000"/>
    <n v="6000"/>
    <n v="41591.699999999997"/>
    <n v="0"/>
    <n v="1"/>
    <n v="0"/>
    <n v="0"/>
    <n v="0"/>
    <n v="0"/>
    <n v="0"/>
    <n v="0"/>
    <n v="0"/>
    <n v="0"/>
    <n v="0"/>
    <n v="0"/>
  </r>
  <r>
    <s v="6SV068"/>
    <s v="Svenska som andraspråk för ämneslärare, kurs 1"/>
    <n v="71805"/>
    <s v="LYAGY"/>
    <m/>
    <s v="vt"/>
    <m/>
    <s v="Umeå"/>
    <s v="Normal"/>
    <s v="SVAN"/>
    <m/>
    <m/>
    <n v="30"/>
    <m/>
    <m/>
    <n v="2"/>
    <n v="1"/>
    <n v="0.85"/>
    <n v="0.85"/>
    <x v="0"/>
    <s v="Inst för språkstudier"/>
    <s v="Hum"/>
    <s v="Ämneslärarprogrammet - Gy"/>
    <n v="20766"/>
    <n v="17442"/>
    <n v="35591.699999999997"/>
    <n v="6000"/>
    <n v="6000"/>
    <n v="41591.699999999997"/>
    <n v="0"/>
    <n v="1"/>
    <n v="0"/>
    <n v="0"/>
    <n v="0"/>
    <n v="0"/>
    <n v="0"/>
    <n v="0"/>
    <n v="0"/>
    <n v="0"/>
    <n v="0"/>
    <n v="0"/>
  </r>
  <r>
    <s v="6SV068"/>
    <s v="Svenska som andraspråk för ämneslärare, kurs 1"/>
    <n v="71805"/>
    <s v="LYAGY"/>
    <m/>
    <s v="vt"/>
    <m/>
    <s v="Umeå"/>
    <s v="Normal"/>
    <m/>
    <m/>
    <m/>
    <n v="30"/>
    <m/>
    <m/>
    <n v="1"/>
    <n v="0.5"/>
    <n v="0.85"/>
    <n v="0.42499999999999999"/>
    <x v="0"/>
    <s v="Inst för språkstudier"/>
    <s v="Hum"/>
    <s v="Ämneslärarprogrammet - Gy"/>
    <n v="20766"/>
    <n v="17442"/>
    <n v="17795.849999999999"/>
    <n v="6000"/>
    <n v="3000"/>
    <n v="20795.849999999999"/>
    <n v="0"/>
    <n v="1"/>
    <n v="0"/>
    <n v="0"/>
    <n v="0"/>
    <n v="0"/>
    <n v="0"/>
    <n v="0"/>
    <n v="0"/>
    <n v="0"/>
    <n v="0"/>
    <n v="0"/>
  </r>
  <r>
    <s v="6SV069"/>
    <s v="Svenska som andraspråk för ämneslärare, kurs 2"/>
    <m/>
    <s v="FRIST"/>
    <m/>
    <s v="ht"/>
    <m/>
    <m/>
    <s v="Campus"/>
    <m/>
    <m/>
    <n v="1"/>
    <n v="30"/>
    <m/>
    <m/>
    <n v="2"/>
    <n v="1"/>
    <n v="0.8"/>
    <n v="0.8"/>
    <x v="0"/>
    <s v="Inst för språkstudier"/>
    <s v="Hum"/>
    <s v="Fristående och övriga kurser"/>
    <n v="20766"/>
    <n v="17442"/>
    <n v="34719.599999999999"/>
    <n v="6000"/>
    <n v="6000"/>
    <n v="40719.599999999999"/>
    <n v="0"/>
    <n v="1"/>
    <n v="0"/>
    <n v="0"/>
    <n v="0"/>
    <n v="0"/>
    <n v="0"/>
    <n v="0"/>
    <n v="0"/>
    <n v="0"/>
    <n v="0"/>
    <n v="0"/>
  </r>
  <r>
    <s v="6SV069"/>
    <s v="Svenska som andraspråk för ämneslärare, kurs 2"/>
    <m/>
    <s v="LYAGR"/>
    <s v="H18"/>
    <s v="ht"/>
    <s v="H211-20"/>
    <s v="Umeå"/>
    <m/>
    <s v="TMAL"/>
    <m/>
    <n v="1"/>
    <n v="30"/>
    <m/>
    <m/>
    <n v="1"/>
    <n v="0.5"/>
    <n v="0.85"/>
    <n v="0.42499999999999999"/>
    <x v="0"/>
    <s v="Inst för språkstudier"/>
    <s v="Hum"/>
    <s v="Ämneslärarprogrammet - åk 7-9"/>
    <n v="20766"/>
    <n v="17442"/>
    <n v="17795.849999999999"/>
    <n v="6000"/>
    <n v="3000"/>
    <n v="20795.849999999999"/>
    <n v="0"/>
    <n v="1"/>
    <n v="0"/>
    <n v="0"/>
    <n v="0"/>
    <n v="0"/>
    <n v="0"/>
    <n v="0"/>
    <n v="0"/>
    <n v="0"/>
    <n v="0"/>
    <n v="0"/>
  </r>
  <r>
    <s v="6SV069"/>
    <s v="Svenska som andraspråk för ämneslärare, kurs 2"/>
    <m/>
    <s v="LYAGY"/>
    <s v="H17"/>
    <s v="ht"/>
    <s v="H211-20"/>
    <s v="Umeå"/>
    <m/>
    <s v="IDRH"/>
    <m/>
    <n v="1"/>
    <n v="30"/>
    <m/>
    <m/>
    <n v="1"/>
    <n v="0.5"/>
    <n v="0.85"/>
    <n v="0.42499999999999999"/>
    <x v="0"/>
    <s v="Inst för språkstudier"/>
    <s v="Hum"/>
    <s v="Ämneslärarprogrammet - Gy"/>
    <n v="20766"/>
    <n v="17442"/>
    <n v="17795.849999999999"/>
    <n v="6000"/>
    <n v="3000"/>
    <n v="20795.849999999999"/>
    <n v="0"/>
    <n v="1"/>
    <n v="0"/>
    <n v="0"/>
    <n v="0"/>
    <n v="0"/>
    <n v="0"/>
    <n v="0"/>
    <n v="0"/>
    <n v="0"/>
    <n v="0"/>
    <n v="0"/>
  </r>
  <r>
    <s v="6SV069"/>
    <s v="Svenska som andraspråk för ämneslärare, kurs 2"/>
    <m/>
    <s v="LYAGY"/>
    <s v="H18"/>
    <s v="ht"/>
    <s v="H211-20"/>
    <s v="Umeå"/>
    <m/>
    <s v="ENGS"/>
    <m/>
    <n v="1"/>
    <n v="30"/>
    <m/>
    <m/>
    <n v="1"/>
    <n v="0.5"/>
    <n v="0.85"/>
    <n v="0.42499999999999999"/>
    <x v="0"/>
    <s v="Inst för språkstudier"/>
    <s v="Hum"/>
    <s v="Ämneslärarprogrammet - Gy"/>
    <n v="20766"/>
    <n v="17442"/>
    <n v="17795.849999999999"/>
    <n v="6000"/>
    <n v="3000"/>
    <n v="20795.849999999999"/>
    <n v="0"/>
    <n v="1"/>
    <n v="0"/>
    <n v="0"/>
    <n v="0"/>
    <n v="0"/>
    <n v="0"/>
    <n v="0"/>
    <n v="0"/>
    <n v="0"/>
    <n v="0"/>
    <n v="0"/>
  </r>
  <r>
    <s v="6SV069"/>
    <s v="Svenska som andraspråk för ämneslärare, kurs 2"/>
    <m/>
    <s v="LYAGY"/>
    <s v="H18"/>
    <s v="ht"/>
    <s v="H211-20"/>
    <s v="Umeå"/>
    <m/>
    <s v="IDRH"/>
    <m/>
    <n v="1"/>
    <n v="30"/>
    <m/>
    <m/>
    <n v="2"/>
    <n v="1"/>
    <n v="0.85"/>
    <n v="0.85"/>
    <x v="0"/>
    <s v="Inst för språkstudier"/>
    <s v="Hum"/>
    <s v="Ämneslärarprogrammet - Gy"/>
    <n v="20766"/>
    <n v="17442"/>
    <n v="35591.699999999997"/>
    <n v="6000"/>
    <n v="6000"/>
    <n v="41591.699999999997"/>
    <n v="0"/>
    <n v="1"/>
    <n v="0"/>
    <n v="0"/>
    <n v="0"/>
    <n v="0"/>
    <n v="0"/>
    <n v="0"/>
    <n v="0"/>
    <n v="0"/>
    <n v="0"/>
    <n v="0"/>
  </r>
  <r>
    <s v="6SV069"/>
    <s v="Svenska som andraspråk för ämneslärare, kurs 2"/>
    <m/>
    <s v="LYAGY"/>
    <s v="H18"/>
    <s v="ht"/>
    <s v="H211-20"/>
    <s v="Umeå"/>
    <m/>
    <s v="SVAA"/>
    <m/>
    <n v="1"/>
    <n v="30"/>
    <m/>
    <m/>
    <n v="2"/>
    <n v="1"/>
    <n v="0.85"/>
    <n v="0.85"/>
    <x v="0"/>
    <s v="Inst för språkstudier"/>
    <s v="Hum"/>
    <s v="Ämneslärarprogrammet - Gy"/>
    <n v="20766"/>
    <n v="17442"/>
    <n v="35591.699999999997"/>
    <n v="6000"/>
    <n v="6000"/>
    <n v="41591.699999999997"/>
    <n v="0"/>
    <n v="1"/>
    <n v="0"/>
    <n v="0"/>
    <n v="0"/>
    <n v="0"/>
    <n v="0"/>
    <n v="0"/>
    <n v="0"/>
    <n v="0"/>
    <n v="0"/>
    <n v="0"/>
  </r>
  <r>
    <s v="6SV070"/>
    <s v="Svenska som andraspråk för ämneslärare, kurs 3"/>
    <n v="71807"/>
    <s v="LYAGY"/>
    <m/>
    <s v="vt"/>
    <m/>
    <s v="Umeå"/>
    <s v="Normal"/>
    <s v="ENGS"/>
    <m/>
    <m/>
    <n v="30"/>
    <m/>
    <m/>
    <n v="4"/>
    <n v="2"/>
    <n v="0.85"/>
    <n v="1.7"/>
    <x v="0"/>
    <s v="Inst för språkstudier"/>
    <s v="Hum"/>
    <s v="Ämneslärarprogrammet - Gy"/>
    <n v="20766"/>
    <n v="17442"/>
    <n v="71183.399999999994"/>
    <n v="6000"/>
    <n v="12000"/>
    <n v="83183.399999999994"/>
    <n v="0"/>
    <n v="1"/>
    <n v="0"/>
    <n v="0"/>
    <n v="0"/>
    <n v="0"/>
    <n v="0"/>
    <n v="0"/>
    <n v="0"/>
    <n v="0"/>
    <n v="0"/>
    <n v="0"/>
  </r>
  <r>
    <s v="6SV070"/>
    <s v="Svenska som andraspråk för ämneslärare, kurs 3"/>
    <n v="71807"/>
    <s v="LYAGY"/>
    <m/>
    <s v="vt"/>
    <m/>
    <s v="Umeå"/>
    <s v="Normal"/>
    <s v="IDRH"/>
    <m/>
    <m/>
    <n v="30"/>
    <m/>
    <m/>
    <n v="5"/>
    <n v="2.5"/>
    <n v="0.85"/>
    <n v="2.125"/>
    <x v="0"/>
    <s v="Inst för språkstudier"/>
    <s v="Hum"/>
    <s v="Ämneslärarprogrammet - Gy"/>
    <n v="20766"/>
    <n v="17442"/>
    <n v="88979.25"/>
    <n v="6000"/>
    <n v="15000"/>
    <n v="103979.25"/>
    <n v="0"/>
    <n v="1"/>
    <n v="0"/>
    <n v="0"/>
    <n v="0"/>
    <n v="0"/>
    <n v="0"/>
    <n v="0"/>
    <n v="0"/>
    <n v="0"/>
    <n v="0"/>
    <n v="0"/>
  </r>
  <r>
    <s v="6SV070"/>
    <s v="Svenska som andraspråk för ämneslärare, kurs 3"/>
    <n v="71807"/>
    <s v="LYAGY"/>
    <m/>
    <s v="vt"/>
    <m/>
    <s v="Umeå"/>
    <s v="Normal"/>
    <s v="MATT"/>
    <m/>
    <m/>
    <n v="30"/>
    <m/>
    <m/>
    <n v="1"/>
    <n v="0.5"/>
    <n v="0.85"/>
    <n v="0.42499999999999999"/>
    <x v="0"/>
    <s v="Inst för språkstudier"/>
    <s v="Hum"/>
    <s v="Ämneslärarprogrammet - Gy"/>
    <n v="20766"/>
    <n v="17442"/>
    <n v="17795.849999999999"/>
    <n v="6000"/>
    <n v="3000"/>
    <n v="20795.849999999999"/>
    <n v="0"/>
    <n v="1"/>
    <n v="0"/>
    <n v="0"/>
    <n v="0"/>
    <n v="0"/>
    <n v="0"/>
    <n v="0"/>
    <n v="0"/>
    <n v="0"/>
    <n v="0"/>
    <n v="0"/>
  </r>
  <r>
    <s v="6SV070"/>
    <s v="Svenska som andraspråk för ämneslärare, kurs 3"/>
    <n v="71807"/>
    <s v="LYAGY"/>
    <m/>
    <s v="vt"/>
    <m/>
    <s v="Umeå"/>
    <s v="Normal"/>
    <s v="RELK"/>
    <m/>
    <m/>
    <n v="30"/>
    <m/>
    <m/>
    <n v="1"/>
    <n v="0.5"/>
    <n v="0.85"/>
    <n v="0.42499999999999999"/>
    <x v="0"/>
    <s v="Inst för språkstudier"/>
    <s v="Hum"/>
    <s v="Ämneslärarprogrammet - Gy"/>
    <n v="20766"/>
    <n v="17442"/>
    <n v="17795.849999999999"/>
    <n v="6000"/>
    <n v="3000"/>
    <n v="20795.849999999999"/>
    <n v="0"/>
    <n v="1"/>
    <n v="0"/>
    <n v="0"/>
    <n v="0"/>
    <n v="0"/>
    <n v="0"/>
    <n v="0"/>
    <n v="0"/>
    <n v="0"/>
    <n v="0"/>
    <n v="0"/>
  </r>
  <r>
    <s v="6SV070"/>
    <s v="Svenska som andraspråk för ämneslärare, kurs 3"/>
    <n v="71807"/>
    <s v="LYAGY"/>
    <m/>
    <s v="vt"/>
    <m/>
    <s v="Umeå"/>
    <s v="Normal"/>
    <s v="SVAA"/>
    <m/>
    <m/>
    <n v="30"/>
    <m/>
    <m/>
    <n v="1"/>
    <n v="0.5"/>
    <n v="0.85"/>
    <n v="0.42499999999999999"/>
    <x v="0"/>
    <s v="Inst för språkstudier"/>
    <s v="Hum"/>
    <s v="Ämneslärarprogrammet - Gy"/>
    <n v="20766"/>
    <n v="17442"/>
    <n v="17795.849999999999"/>
    <n v="6000"/>
    <n v="3000"/>
    <n v="20795.849999999999"/>
    <n v="0"/>
    <n v="1"/>
    <n v="0"/>
    <n v="0"/>
    <n v="0"/>
    <n v="0"/>
    <n v="0"/>
    <n v="0"/>
    <n v="0"/>
    <n v="0"/>
    <n v="0"/>
    <n v="0"/>
  </r>
  <r>
    <s v="6SV070"/>
    <s v="Svenska som andraspråk för ämneslärare, kurs 3"/>
    <n v="71807"/>
    <s v="LYAGY"/>
    <m/>
    <s v="vt"/>
    <m/>
    <s v="Umeå"/>
    <s v="Normal"/>
    <s v="SVAN"/>
    <m/>
    <m/>
    <n v="30"/>
    <m/>
    <m/>
    <n v="2"/>
    <n v="1"/>
    <n v="0.85"/>
    <n v="0.85"/>
    <x v="0"/>
    <s v="Inst för språkstudier"/>
    <s v="Hum"/>
    <s v="Ämneslärarprogrammet - Gy"/>
    <n v="20766"/>
    <n v="17442"/>
    <n v="35591.699999999997"/>
    <n v="6000"/>
    <n v="6000"/>
    <n v="41591.699999999997"/>
    <n v="0"/>
    <n v="1"/>
    <n v="0"/>
    <n v="0"/>
    <n v="0"/>
    <n v="0"/>
    <n v="0"/>
    <n v="0"/>
    <n v="0"/>
    <n v="0"/>
    <n v="0"/>
    <n v="0"/>
  </r>
  <r>
    <s v="6SV070"/>
    <s v="Svenska som andraspråk för ämneslärare, kurs 3"/>
    <n v="71807"/>
    <s v="LYAGY"/>
    <m/>
    <s v="vt"/>
    <m/>
    <s v="Umeå"/>
    <s v="Normal"/>
    <m/>
    <m/>
    <m/>
    <n v="30"/>
    <m/>
    <m/>
    <n v="1"/>
    <n v="0.5"/>
    <n v="0.85"/>
    <n v="0.42499999999999999"/>
    <x v="0"/>
    <s v="Inst för språkstudier"/>
    <s v="Hum"/>
    <s v="Ämneslärarprogrammet - Gy"/>
    <n v="20766"/>
    <n v="17442"/>
    <n v="17795.849999999999"/>
    <n v="6000"/>
    <n v="3000"/>
    <n v="20795.849999999999"/>
    <n v="0"/>
    <n v="1"/>
    <n v="0"/>
    <n v="0"/>
    <n v="0"/>
    <n v="0"/>
    <n v="0"/>
    <n v="0"/>
    <n v="0"/>
    <n v="0"/>
    <n v="0"/>
    <n v="0"/>
  </r>
  <r>
    <s v="6SV072"/>
    <s v="Att läsa och skriva i lärarutbildning och läraryrket - fokus grundlärare"/>
    <m/>
    <s v="FRIST"/>
    <m/>
    <s v="sommar"/>
    <m/>
    <m/>
    <s v="Distans"/>
    <m/>
    <m/>
    <n v="0.5"/>
    <n v="7.5"/>
    <m/>
    <m/>
    <n v="20"/>
    <n v="2.5"/>
    <n v="0.8"/>
    <n v="2"/>
    <x v="0"/>
    <s v="Inst för språkstudier"/>
    <s v="Hum"/>
    <s v="Fristående och övriga kurser"/>
    <n v="20766"/>
    <n v="17442"/>
    <n v="86799"/>
    <n v="6000"/>
    <n v="15000"/>
    <n v="101799"/>
    <n v="0"/>
    <n v="1"/>
    <n v="0"/>
    <n v="0"/>
    <n v="0"/>
    <n v="0"/>
    <n v="0"/>
    <n v="0"/>
    <n v="0"/>
    <n v="0"/>
    <n v="0"/>
    <n v="0"/>
  </r>
  <r>
    <s v="6SV073"/>
    <s v="Att läsa och skriva i lärarutbildning och läraryrket - fokus ämneslärare"/>
    <m/>
    <s v="FRIST"/>
    <m/>
    <s v="sommar"/>
    <m/>
    <m/>
    <s v="Distans"/>
    <m/>
    <m/>
    <n v="0.5"/>
    <n v="7.5"/>
    <m/>
    <m/>
    <n v="20"/>
    <n v="2.5"/>
    <n v="0.8"/>
    <n v="2"/>
    <x v="0"/>
    <s v="Inst för språkstudier"/>
    <s v="Hum"/>
    <s v="Fristående och övriga kurser"/>
    <n v="20766"/>
    <n v="17442"/>
    <n v="86799"/>
    <n v="6000"/>
    <n v="15000"/>
    <n v="101799"/>
    <n v="0"/>
    <n v="1"/>
    <n v="0"/>
    <n v="0"/>
    <n v="0"/>
    <n v="0"/>
    <n v="0"/>
    <n v="0"/>
    <n v="0"/>
    <n v="0"/>
    <n v="0"/>
    <n v="0"/>
  </r>
  <r>
    <s v="6SV074"/>
    <s v="Flerspråkighet i förskoleklassen och grundskolans tidiga år"/>
    <m/>
    <s v="FRIST"/>
    <m/>
    <s v="sommar"/>
    <m/>
    <m/>
    <s v="Distans"/>
    <m/>
    <m/>
    <n v="0.5"/>
    <n v="7.5"/>
    <m/>
    <m/>
    <n v="30"/>
    <n v="3.75"/>
    <n v="0.8"/>
    <n v="3"/>
    <x v="0"/>
    <s v="Inst för språkstudier"/>
    <s v="Hum"/>
    <s v="Fristående och övriga kurser"/>
    <n v="20766"/>
    <n v="17442"/>
    <n v="130198.5"/>
    <n v="6000"/>
    <n v="22500"/>
    <n v="152698.5"/>
    <n v="0"/>
    <n v="1"/>
    <n v="0"/>
    <n v="0"/>
    <n v="0"/>
    <n v="0"/>
    <n v="0"/>
    <n v="0"/>
    <n v="0"/>
    <n v="0"/>
    <n v="0"/>
    <n v="0"/>
  </r>
  <r>
    <s v="6SV075"/>
    <s v="Svenska för ämneslärare, kurs 1"/>
    <n v="71800"/>
    <s v="LYAGY"/>
    <m/>
    <s v="vt"/>
    <m/>
    <s v="Umeå"/>
    <s v="Normal"/>
    <s v="BILÄ"/>
    <m/>
    <m/>
    <n v="30"/>
    <m/>
    <m/>
    <n v="1"/>
    <n v="0.5"/>
    <n v="0.85"/>
    <n v="0.42499999999999999"/>
    <x v="0"/>
    <s v="Inst för språkstudier"/>
    <s v="Hum"/>
    <s v="Ämneslärarprogrammet - Gy"/>
    <n v="20766"/>
    <n v="17442"/>
    <n v="17795.849999999999"/>
    <n v="6000"/>
    <n v="3000"/>
    <n v="20795.849999999999"/>
    <n v="0"/>
    <n v="1"/>
    <n v="0"/>
    <n v="0"/>
    <n v="0"/>
    <n v="0"/>
    <n v="0"/>
    <n v="0"/>
    <n v="0"/>
    <n v="0"/>
    <n v="0"/>
    <n v="0"/>
  </r>
  <r>
    <s v="6SV075"/>
    <s v="Svenska för ämneslärare, kurs 1"/>
    <n v="71800"/>
    <s v="LYAGY"/>
    <m/>
    <s v="vt"/>
    <m/>
    <s v="Umeå"/>
    <s v="Normal"/>
    <s v="BIOL"/>
    <m/>
    <m/>
    <n v="30"/>
    <m/>
    <m/>
    <n v="1"/>
    <n v="0.5"/>
    <n v="0.85"/>
    <n v="0.42499999999999999"/>
    <x v="0"/>
    <s v="Inst för språkstudier"/>
    <s v="Hum"/>
    <s v="Ämneslärarprogrammet - Gy"/>
    <n v="20766"/>
    <n v="17442"/>
    <n v="17795.849999999999"/>
    <n v="6000"/>
    <n v="3000"/>
    <n v="20795.849999999999"/>
    <n v="0"/>
    <n v="1"/>
    <n v="0"/>
    <n v="0"/>
    <n v="0"/>
    <n v="0"/>
    <n v="0"/>
    <n v="0"/>
    <n v="0"/>
    <n v="0"/>
    <n v="0"/>
    <n v="0"/>
  </r>
  <r>
    <s v="6SV075"/>
    <s v="Svenska för ämneslärare, kurs 1"/>
    <n v="71800"/>
    <s v="LYAGY"/>
    <m/>
    <s v="vt"/>
    <m/>
    <s v="Umeå"/>
    <s v="Normal"/>
    <s v="ENGS"/>
    <m/>
    <m/>
    <n v="30"/>
    <m/>
    <m/>
    <n v="7"/>
    <n v="3.5"/>
    <n v="0.85"/>
    <n v="2.9750000000000001"/>
    <x v="0"/>
    <s v="Inst för språkstudier"/>
    <s v="Hum"/>
    <s v="Ämneslärarprogrammet - Gy"/>
    <n v="20766"/>
    <n v="17442"/>
    <n v="124570.95000000001"/>
    <n v="6000"/>
    <n v="21000"/>
    <n v="145570.95000000001"/>
    <n v="0"/>
    <n v="1"/>
    <n v="0"/>
    <n v="0"/>
    <n v="0"/>
    <n v="0"/>
    <n v="0"/>
    <n v="0"/>
    <n v="0"/>
    <n v="0"/>
    <n v="0"/>
    <n v="0"/>
  </r>
  <r>
    <s v="6SV075"/>
    <s v="Svenska för ämneslärare, kurs 1"/>
    <n v="71800"/>
    <s v="LYAGY"/>
    <m/>
    <s v="vt"/>
    <m/>
    <s v="Umeå"/>
    <s v="Normal"/>
    <s v="HIST"/>
    <m/>
    <m/>
    <n v="30"/>
    <m/>
    <m/>
    <n v="4"/>
    <n v="2"/>
    <n v="0.85"/>
    <n v="1.7"/>
    <x v="0"/>
    <s v="Inst för språkstudier"/>
    <s v="Hum"/>
    <s v="Ämneslärarprogrammet - Gy"/>
    <n v="20766"/>
    <n v="17442"/>
    <n v="71183.399999999994"/>
    <n v="6000"/>
    <n v="12000"/>
    <n v="83183.399999999994"/>
    <n v="0"/>
    <n v="1"/>
    <n v="0"/>
    <n v="0"/>
    <n v="0"/>
    <n v="0"/>
    <n v="0"/>
    <n v="0"/>
    <n v="0"/>
    <n v="0"/>
    <n v="0"/>
    <n v="0"/>
  </r>
  <r>
    <s v="6SV075"/>
    <s v="Svenska för ämneslärare, kurs 1"/>
    <n v="71800"/>
    <s v="LYAGY"/>
    <m/>
    <s v="vt"/>
    <m/>
    <s v="Umeå"/>
    <s v="Normal"/>
    <s v="SAMK"/>
    <m/>
    <m/>
    <n v="30"/>
    <m/>
    <m/>
    <n v="2"/>
    <n v="1"/>
    <n v="0.85"/>
    <n v="0.85"/>
    <x v="0"/>
    <s v="Inst för språkstudier"/>
    <s v="Hum"/>
    <s v="Ämneslärarprogrammet - Gy"/>
    <n v="20766"/>
    <n v="17442"/>
    <n v="35591.699999999997"/>
    <n v="6000"/>
    <n v="6000"/>
    <n v="41591.699999999997"/>
    <n v="0"/>
    <n v="1"/>
    <n v="0"/>
    <n v="0"/>
    <n v="0"/>
    <n v="0"/>
    <n v="0"/>
    <n v="0"/>
    <n v="0"/>
    <n v="0"/>
    <n v="0"/>
    <n v="0"/>
  </r>
  <r>
    <s v="6SV075"/>
    <s v="Svenska för ämneslärare, kurs 1"/>
    <n v="71800"/>
    <s v="LYAGY"/>
    <m/>
    <s v="vt"/>
    <m/>
    <s v="Umeå"/>
    <s v="Normal"/>
    <s v="SVAA"/>
    <m/>
    <m/>
    <n v="30"/>
    <m/>
    <m/>
    <n v="25"/>
    <n v="12.5"/>
    <n v="0.85"/>
    <n v="10.625"/>
    <x v="0"/>
    <s v="Inst för språkstudier"/>
    <s v="Hum"/>
    <s v="Ämneslärarprogrammet - Gy"/>
    <n v="20766"/>
    <n v="17442"/>
    <n v="444896.25"/>
    <n v="6000"/>
    <n v="75000"/>
    <n v="519896.25"/>
    <n v="0"/>
    <n v="1"/>
    <n v="0"/>
    <n v="0"/>
    <n v="0"/>
    <n v="0"/>
    <n v="0"/>
    <n v="0"/>
    <n v="0"/>
    <n v="0"/>
    <n v="0"/>
    <n v="0"/>
  </r>
  <r>
    <s v="6SV078"/>
    <s v="Svenska för ämneslärare, kurs 2"/>
    <m/>
    <s v="LYAGY"/>
    <s v="H17"/>
    <s v="ht"/>
    <s v="H211-20"/>
    <s v="Umeå"/>
    <m/>
    <s v="HIST"/>
    <m/>
    <n v="1"/>
    <n v="30"/>
    <m/>
    <m/>
    <n v="2"/>
    <n v="1"/>
    <n v="0.85"/>
    <n v="0.85"/>
    <x v="0"/>
    <s v="Inst för språkstudier"/>
    <s v="Hum"/>
    <s v="Ämneslärarprogrammet - Gy"/>
    <n v="20766"/>
    <n v="17442"/>
    <n v="35591.699999999997"/>
    <n v="6000"/>
    <n v="6000"/>
    <n v="41591.699999999997"/>
    <n v="0"/>
    <n v="1"/>
    <n v="0"/>
    <n v="0"/>
    <n v="0"/>
    <n v="0"/>
    <n v="0"/>
    <n v="0"/>
    <n v="0"/>
    <n v="0"/>
    <n v="0"/>
    <n v="0"/>
  </r>
  <r>
    <s v="6SV078"/>
    <s v="Svenska för ämneslärare, kurs 2"/>
    <m/>
    <s v="LYAGY"/>
    <s v="H17"/>
    <s v="ht"/>
    <s v="H211-20"/>
    <s v="Umeå"/>
    <m/>
    <s v="SVAA"/>
    <m/>
    <n v="1"/>
    <n v="30"/>
    <m/>
    <m/>
    <n v="1"/>
    <n v="0.5"/>
    <n v="0.85"/>
    <n v="0.42499999999999999"/>
    <x v="0"/>
    <s v="Inst för språkstudier"/>
    <s v="Hum"/>
    <s v="Ämneslärarprogrammet - Gy"/>
    <n v="20766"/>
    <n v="17442"/>
    <n v="17795.849999999999"/>
    <n v="6000"/>
    <n v="3000"/>
    <n v="20795.849999999999"/>
    <n v="0"/>
    <n v="1"/>
    <n v="0"/>
    <n v="0"/>
    <n v="0"/>
    <n v="0"/>
    <n v="0"/>
    <n v="0"/>
    <n v="0"/>
    <n v="0"/>
    <n v="0"/>
    <n v="0"/>
  </r>
  <r>
    <s v="6SV078"/>
    <s v="Svenska för ämneslärare, kurs 2"/>
    <m/>
    <s v="LYAGY"/>
    <s v="H18"/>
    <s v="ht"/>
    <s v="H211-20"/>
    <s v="Umeå"/>
    <m/>
    <s v="BIOL"/>
    <m/>
    <n v="1"/>
    <n v="30"/>
    <m/>
    <m/>
    <n v="1"/>
    <n v="0.5"/>
    <n v="0.85"/>
    <n v="0.42499999999999999"/>
    <x v="0"/>
    <s v="Inst för språkstudier"/>
    <s v="Hum"/>
    <s v="Ämneslärarprogrammet - Gy"/>
    <n v="20766"/>
    <n v="17442"/>
    <n v="17795.849999999999"/>
    <n v="6000"/>
    <n v="3000"/>
    <n v="20795.849999999999"/>
    <n v="0"/>
    <n v="1"/>
    <n v="0"/>
    <n v="0"/>
    <n v="0"/>
    <n v="0"/>
    <n v="0"/>
    <n v="0"/>
    <n v="0"/>
    <n v="0"/>
    <n v="0"/>
    <n v="0"/>
  </r>
  <r>
    <s v="6SV078"/>
    <s v="Svenska för ämneslärare, kurs 2"/>
    <m/>
    <s v="LYAGY"/>
    <s v="H18"/>
    <s v="ht"/>
    <s v="H211-20"/>
    <s v="Umeå"/>
    <m/>
    <s v="ENGS"/>
    <m/>
    <n v="1"/>
    <n v="30"/>
    <m/>
    <m/>
    <n v="6"/>
    <n v="3"/>
    <n v="0.85"/>
    <n v="2.5499999999999998"/>
    <x v="0"/>
    <s v="Inst för språkstudier"/>
    <s v="Hum"/>
    <s v="Ämneslärarprogrammet - Gy"/>
    <n v="20766"/>
    <n v="17442"/>
    <n v="106775.1"/>
    <n v="6000"/>
    <n v="18000"/>
    <n v="124775.1"/>
    <n v="0"/>
    <n v="1"/>
    <n v="0"/>
    <n v="0"/>
    <n v="0"/>
    <n v="0"/>
    <n v="0"/>
    <n v="0"/>
    <n v="0"/>
    <n v="0"/>
    <n v="0"/>
    <n v="0"/>
  </r>
  <r>
    <s v="6SV078"/>
    <s v="Svenska för ämneslärare, kurs 2"/>
    <m/>
    <s v="LYAGY"/>
    <s v="H18"/>
    <s v="ht"/>
    <s v="H211-20"/>
    <s v="Umeå"/>
    <m/>
    <s v="HIST"/>
    <m/>
    <n v="1"/>
    <n v="30"/>
    <m/>
    <m/>
    <n v="2"/>
    <n v="1"/>
    <n v="0.85"/>
    <n v="0.85"/>
    <x v="0"/>
    <s v="Inst för språkstudier"/>
    <s v="Hum"/>
    <s v="Ämneslärarprogrammet - Gy"/>
    <n v="20766"/>
    <n v="17442"/>
    <n v="35591.699999999997"/>
    <n v="6000"/>
    <n v="6000"/>
    <n v="41591.699999999997"/>
    <n v="0"/>
    <n v="1"/>
    <n v="0"/>
    <n v="0"/>
    <n v="0"/>
    <n v="0"/>
    <n v="0"/>
    <n v="0"/>
    <n v="0"/>
    <n v="0"/>
    <n v="0"/>
    <n v="0"/>
  </r>
  <r>
    <s v="6SV078"/>
    <s v="Svenska för ämneslärare, kurs 2"/>
    <m/>
    <s v="LYAGY"/>
    <s v="H18"/>
    <s v="ht"/>
    <s v="H211-20"/>
    <s v="Umeå"/>
    <m/>
    <s v="SAMK"/>
    <m/>
    <n v="1"/>
    <n v="30"/>
    <m/>
    <m/>
    <n v="1"/>
    <n v="0.5"/>
    <n v="0.85"/>
    <n v="0.42499999999999999"/>
    <x v="0"/>
    <s v="Inst för språkstudier"/>
    <s v="Hum"/>
    <s v="Ämneslärarprogrammet - Gy"/>
    <n v="20766"/>
    <n v="17442"/>
    <n v="17795.849999999999"/>
    <n v="6000"/>
    <n v="3000"/>
    <n v="20795.849999999999"/>
    <n v="0"/>
    <n v="1"/>
    <n v="0"/>
    <n v="0"/>
    <n v="0"/>
    <n v="0"/>
    <n v="0"/>
    <n v="0"/>
    <n v="0"/>
    <n v="0"/>
    <n v="0"/>
    <n v="0"/>
  </r>
  <r>
    <s v="6SV078"/>
    <s v="Svenska för ämneslärare, kurs 2"/>
    <m/>
    <s v="LYAGY"/>
    <s v="H19"/>
    <s v="ht"/>
    <s v="H211-20"/>
    <s v="Umeå"/>
    <m/>
    <s v="SVAA"/>
    <m/>
    <n v="1"/>
    <n v="30"/>
    <m/>
    <m/>
    <n v="2"/>
    <n v="1"/>
    <n v="0.85"/>
    <n v="0.85"/>
    <x v="0"/>
    <s v="Inst för språkstudier"/>
    <s v="Hum"/>
    <s v="Ämneslärarprogrammet - Gy"/>
    <n v="20766"/>
    <n v="17442"/>
    <n v="35591.699999999997"/>
    <n v="6000"/>
    <n v="6000"/>
    <n v="41591.699999999997"/>
    <n v="0"/>
    <n v="1"/>
    <n v="0"/>
    <n v="0"/>
    <n v="0"/>
    <n v="0"/>
    <n v="0"/>
    <n v="0"/>
    <n v="0"/>
    <n v="0"/>
    <n v="0"/>
    <n v="0"/>
  </r>
  <r>
    <s v="6SV078"/>
    <s v="Svenska för ämneslärare, kurs 2"/>
    <m/>
    <s v="LYAGY"/>
    <s v="H20"/>
    <s v="ht"/>
    <s v="H211-20"/>
    <s v="Umeå"/>
    <m/>
    <s v="SVAA"/>
    <m/>
    <n v="1"/>
    <n v="30"/>
    <m/>
    <m/>
    <n v="16"/>
    <n v="8"/>
    <n v="0.85"/>
    <n v="6.8"/>
    <x v="0"/>
    <s v="Inst för språkstudier"/>
    <s v="Hum"/>
    <s v="Ämneslärarprogrammet - Gy"/>
    <n v="20766"/>
    <n v="17442"/>
    <n v="284733.59999999998"/>
    <n v="6000"/>
    <n v="48000"/>
    <n v="332733.59999999998"/>
    <n v="0"/>
    <n v="1"/>
    <n v="0"/>
    <n v="0"/>
    <n v="0"/>
    <n v="0"/>
    <n v="0"/>
    <n v="0"/>
    <n v="0"/>
    <n v="0"/>
    <n v="0"/>
    <n v="0"/>
  </r>
  <r>
    <s v="6SV079"/>
    <s v="Svenska för ämneslärare, kurs 3"/>
    <n v="71813"/>
    <s v="LYAGY"/>
    <m/>
    <s v="vt"/>
    <m/>
    <s v="Umeå"/>
    <s v="Normal"/>
    <s v="ENGS"/>
    <m/>
    <m/>
    <n v="30"/>
    <m/>
    <m/>
    <n v="2"/>
    <n v="1"/>
    <n v="0.85"/>
    <n v="0.85"/>
    <x v="0"/>
    <s v="Inst för språkstudier"/>
    <s v="Hum"/>
    <s v="Ämneslärarprogrammet - Gy"/>
    <n v="20766"/>
    <n v="17442"/>
    <n v="35591.699999999997"/>
    <n v="6000"/>
    <n v="6000"/>
    <n v="41591.699999999997"/>
    <n v="0"/>
    <n v="1"/>
    <n v="0"/>
    <n v="0"/>
    <n v="0"/>
    <n v="0"/>
    <n v="0"/>
    <n v="0"/>
    <n v="0"/>
    <n v="0"/>
    <n v="0"/>
    <n v="0"/>
  </r>
  <r>
    <s v="6SV079"/>
    <s v="Svenska för ämneslärare, kurs 3"/>
    <n v="71813"/>
    <s v="LYAGY"/>
    <m/>
    <s v="vt"/>
    <m/>
    <s v="Umeå"/>
    <s v="Normal"/>
    <s v="RELK"/>
    <m/>
    <m/>
    <n v="30"/>
    <m/>
    <m/>
    <n v="1"/>
    <n v="0.5"/>
    <n v="0.85"/>
    <n v="0.42499999999999999"/>
    <x v="0"/>
    <s v="Inst för språkstudier"/>
    <s v="Hum"/>
    <s v="Ämneslärarprogrammet - Gy"/>
    <n v="20766"/>
    <n v="17442"/>
    <n v="17795.849999999999"/>
    <n v="6000"/>
    <n v="3000"/>
    <n v="20795.849999999999"/>
    <n v="0"/>
    <n v="1"/>
    <n v="0"/>
    <n v="0"/>
    <n v="0"/>
    <n v="0"/>
    <n v="0"/>
    <n v="0"/>
    <n v="0"/>
    <n v="0"/>
    <n v="0"/>
    <n v="0"/>
  </r>
  <r>
    <s v="6SV079"/>
    <s v="Svenska för ämneslärare, kurs 3"/>
    <n v="71813"/>
    <s v="LYAGY"/>
    <m/>
    <s v="vt"/>
    <m/>
    <s v="Umeå"/>
    <s v="Normal"/>
    <s v="SAMK"/>
    <m/>
    <m/>
    <n v="30"/>
    <m/>
    <m/>
    <n v="2"/>
    <n v="1"/>
    <n v="0.85"/>
    <n v="0.85"/>
    <x v="0"/>
    <s v="Inst för språkstudier"/>
    <s v="Hum"/>
    <s v="Ämneslärarprogrammet - Gy"/>
    <n v="20766"/>
    <n v="17442"/>
    <n v="35591.699999999997"/>
    <n v="6000"/>
    <n v="6000"/>
    <n v="41591.699999999997"/>
    <n v="0"/>
    <n v="1"/>
    <n v="0"/>
    <n v="0"/>
    <n v="0"/>
    <n v="0"/>
    <n v="0"/>
    <n v="0"/>
    <n v="0"/>
    <n v="0"/>
    <n v="0"/>
    <n v="0"/>
  </r>
  <r>
    <s v="6SV079"/>
    <s v="Svenska för ämneslärare, kurs 3"/>
    <n v="71813"/>
    <s v="LYAGY"/>
    <m/>
    <s v="vt"/>
    <m/>
    <s v="Umeå"/>
    <s v="Normal"/>
    <s v="SVAA"/>
    <m/>
    <m/>
    <n v="30"/>
    <m/>
    <m/>
    <n v="8"/>
    <n v="4"/>
    <n v="0.85"/>
    <n v="3.4"/>
    <x v="0"/>
    <s v="Inst för språkstudier"/>
    <s v="Hum"/>
    <s v="Ämneslärarprogrammet - Gy"/>
    <n v="20766"/>
    <n v="17442"/>
    <n v="142366.79999999999"/>
    <n v="6000"/>
    <n v="24000"/>
    <n v="166366.79999999999"/>
    <n v="0"/>
    <n v="1"/>
    <n v="0"/>
    <n v="0"/>
    <n v="0"/>
    <n v="0"/>
    <n v="0"/>
    <n v="0"/>
    <n v="0"/>
    <n v="0"/>
    <n v="0"/>
    <n v="0"/>
  </r>
  <r>
    <s v="6SV079"/>
    <s v="Svenska för ämneslärare, kurs 3"/>
    <n v="71813"/>
    <s v="LYAGY"/>
    <m/>
    <s v="vt"/>
    <m/>
    <s v="Umeå"/>
    <s v="Normal"/>
    <s v="TYSK"/>
    <m/>
    <m/>
    <n v="30"/>
    <m/>
    <m/>
    <n v="1"/>
    <n v="0.5"/>
    <n v="0.85"/>
    <n v="0.42499999999999999"/>
    <x v="0"/>
    <s v="Inst för språkstudier"/>
    <s v="Hum"/>
    <s v="Ämneslärarprogrammet - Gy"/>
    <n v="20766"/>
    <n v="17442"/>
    <n v="17795.849999999999"/>
    <n v="6000"/>
    <n v="3000"/>
    <n v="20795.849999999999"/>
    <n v="0"/>
    <n v="1"/>
    <n v="0"/>
    <n v="0"/>
    <n v="0"/>
    <n v="0"/>
    <n v="0"/>
    <n v="0"/>
    <n v="0"/>
    <n v="0"/>
    <n v="0"/>
    <n v="0"/>
  </r>
  <r>
    <s v="6SV083"/>
    <s v="Ett flerspråkighetsperspektiv på berättande i F-3 och 4-6"/>
    <m/>
    <s v="FRIST"/>
    <m/>
    <s v="sommar"/>
    <m/>
    <m/>
    <s v="Distans"/>
    <m/>
    <m/>
    <m/>
    <n v="7.5"/>
    <m/>
    <m/>
    <n v="30"/>
    <n v="3.75"/>
    <n v="0.8"/>
    <n v="3"/>
    <x v="0"/>
    <s v="Inst för språkstudier"/>
    <s v="Hum"/>
    <s v="Fristående och övriga kurser"/>
    <n v="20766"/>
    <n v="17442"/>
    <n v="130198.5"/>
    <n v="6000"/>
    <n v="22500"/>
    <n v="152698.5"/>
    <n v="0"/>
    <n v="1"/>
    <n v="0"/>
    <n v="0"/>
    <n v="0"/>
    <n v="0"/>
    <n v="0"/>
    <n v="0"/>
    <n v="0"/>
    <n v="0"/>
    <n v="0"/>
    <n v="0"/>
  </r>
  <r>
    <s v="6SY003"/>
    <s v="Studie- och yrkesvägledningens grunder"/>
    <m/>
    <s v="LYSYV"/>
    <s v="H21"/>
    <s v="ht"/>
    <m/>
    <n v="2480"/>
    <s v="DIST"/>
    <m/>
    <m/>
    <m/>
    <n v="15"/>
    <m/>
    <m/>
    <n v="38"/>
    <n v="9.5"/>
    <n v="0.85"/>
    <n v="8.0749999999999993"/>
    <x v="13"/>
    <s v="TUV "/>
    <s v="Sam"/>
    <s v="Studie- och yrkesvägledarprogram"/>
    <n v="24631.8"/>
    <n v="21833.200000000001"/>
    <n v="410305.19"/>
    <n v="6000"/>
    <n v="57000"/>
    <n v="467305.19"/>
    <n v="0"/>
    <n v="0"/>
    <n v="0"/>
    <n v="0"/>
    <n v="0"/>
    <n v="0"/>
    <n v="0.8"/>
    <n v="0"/>
    <n v="0"/>
    <n v="0"/>
    <n v="0"/>
    <n v="0.2"/>
  </r>
  <r>
    <s v="6SY003"/>
    <s v="Studie- och yrkesvägledningens grunder"/>
    <m/>
    <s v="LYSYV"/>
    <s v="H21"/>
    <s v="ht"/>
    <m/>
    <n v="2480"/>
    <s v="REGU"/>
    <m/>
    <m/>
    <m/>
    <n v="15"/>
    <m/>
    <m/>
    <n v="34"/>
    <n v="8.5"/>
    <n v="0.85"/>
    <n v="7.2249999999999996"/>
    <x v="13"/>
    <s v="TUV "/>
    <s v="Sam"/>
    <s v="Studie- och yrkesvägledarprogram"/>
    <n v="24631.8"/>
    <n v="21833.200000000001"/>
    <n v="367115.17"/>
    <n v="6000"/>
    <n v="51000"/>
    <n v="418115.17"/>
    <n v="0"/>
    <n v="0"/>
    <n v="0"/>
    <n v="0"/>
    <n v="0"/>
    <n v="0"/>
    <n v="0.8"/>
    <n v="0"/>
    <n v="0"/>
    <n v="0"/>
    <n v="0"/>
    <n v="0.2"/>
  </r>
  <r>
    <s v="6SY013"/>
    <s v="Vetenskapliga perspektiv på studie- och yrkesvägledning"/>
    <n v="69102"/>
    <s v="LYSYV"/>
    <m/>
    <s v="vt"/>
    <m/>
    <s v="Umeå"/>
    <s v="Distans"/>
    <s v="DIST"/>
    <m/>
    <m/>
    <n v="7.5"/>
    <m/>
    <m/>
    <n v="21"/>
    <n v="2.625"/>
    <n v="0.85"/>
    <n v="2.2312499999999997"/>
    <x v="13"/>
    <s v="TUV "/>
    <s v="Sam"/>
    <s v="Studie- och yrkesvägledarprogram"/>
    <n v="20766"/>
    <n v="17442"/>
    <n v="93428.212499999994"/>
    <n v="6000"/>
    <n v="15750"/>
    <n v="109178.21249999999"/>
    <n v="0"/>
    <n v="0"/>
    <n v="0"/>
    <n v="0"/>
    <n v="0"/>
    <n v="0"/>
    <n v="1"/>
    <n v="0"/>
    <n v="0"/>
    <n v="0"/>
    <n v="0"/>
    <n v="0"/>
  </r>
  <r>
    <s v="6SY013"/>
    <s v="Vetenskapliga perspektiv på studie- och yrkesvägledning"/>
    <n v="69102"/>
    <s v="LYSYV"/>
    <m/>
    <s v="vt"/>
    <m/>
    <s v="Umeå"/>
    <s v="Distans"/>
    <s v="REGU"/>
    <m/>
    <m/>
    <n v="7.5"/>
    <m/>
    <m/>
    <n v="1"/>
    <n v="0.125"/>
    <n v="0.85"/>
    <n v="0.10625"/>
    <x v="13"/>
    <s v="TUV "/>
    <s v="Sam"/>
    <s v="Studie- och yrkesvägledarprogram"/>
    <n v="20766"/>
    <n v="17442"/>
    <n v="4448.9624999999996"/>
    <n v="6000"/>
    <n v="750"/>
    <n v="5198.9624999999996"/>
    <n v="0"/>
    <n v="0"/>
    <n v="0"/>
    <n v="0"/>
    <n v="0"/>
    <n v="0"/>
    <n v="1"/>
    <n v="0"/>
    <n v="0"/>
    <n v="0"/>
    <n v="0"/>
    <n v="0"/>
  </r>
  <r>
    <s v="6SY013"/>
    <s v="Vetenskapliga perspektiv på studie- och yrkesvägledning"/>
    <n v="69103"/>
    <s v="LYSYV"/>
    <m/>
    <s v="vt"/>
    <m/>
    <s v="Umeå"/>
    <s v="Normal"/>
    <s v="REGU"/>
    <m/>
    <m/>
    <n v="7.5"/>
    <m/>
    <m/>
    <n v="26"/>
    <n v="3.25"/>
    <n v="0.85"/>
    <n v="2.7624999999999997"/>
    <x v="13"/>
    <s v="TUV "/>
    <s v="Sam"/>
    <s v="Studie- och yrkesvägledarprogram"/>
    <n v="20766"/>
    <n v="17442"/>
    <n v="115673.02499999999"/>
    <n v="6000"/>
    <n v="19500"/>
    <n v="135173.02499999999"/>
    <n v="0"/>
    <n v="0"/>
    <n v="0"/>
    <n v="0"/>
    <n v="0"/>
    <n v="0"/>
    <n v="1"/>
    <n v="0"/>
    <n v="0"/>
    <n v="0"/>
    <n v="0"/>
    <n v="0"/>
  </r>
  <r>
    <s v="6SY018"/>
    <s v="Studie- och yrkesvägledningens praktik"/>
    <n v="69107"/>
    <s v="LYSYV"/>
    <m/>
    <s v="vt"/>
    <m/>
    <s v="Umeå"/>
    <s v="Distans"/>
    <s v="DIOB"/>
    <m/>
    <m/>
    <n v="15"/>
    <m/>
    <m/>
    <n v="27"/>
    <n v="6.75"/>
    <n v="0.85"/>
    <n v="5.7374999999999998"/>
    <x v="13"/>
    <s v="TUV "/>
    <s v="Sam"/>
    <s v="Studie- och yrkesvägledarprogram"/>
    <n v="26564.699999999997"/>
    <n v="24028.799999999999"/>
    <n v="317176.96499999997"/>
    <n v="6000"/>
    <n v="40500"/>
    <n v="357676.96499999997"/>
    <n v="0"/>
    <n v="0"/>
    <n v="0"/>
    <n v="0"/>
    <n v="0"/>
    <n v="0"/>
    <n v="0.7"/>
    <n v="0"/>
    <n v="0"/>
    <n v="0"/>
    <n v="0"/>
    <n v="0.3"/>
  </r>
  <r>
    <s v="6SY018"/>
    <s v="Studie- och yrkesvägledningens praktik"/>
    <s v="0079I"/>
    <s v="LYSYV"/>
    <m/>
    <s v="vt"/>
    <m/>
    <s v="Umeå"/>
    <s v="Distans"/>
    <s v="DIOB"/>
    <m/>
    <m/>
    <n v="15"/>
    <m/>
    <m/>
    <n v="1"/>
    <n v="0.25"/>
    <n v="0.85"/>
    <n v="0.21249999999999999"/>
    <x v="13"/>
    <s v="TUV "/>
    <s v="Sam"/>
    <s v="Studie- och yrkesvägledarprogram"/>
    <n v="26564.699999999997"/>
    <n v="24028.799999999999"/>
    <n v="11747.294999999998"/>
    <n v="6000"/>
    <n v="1500"/>
    <n v="13247.294999999998"/>
    <n v="0"/>
    <n v="0"/>
    <n v="0"/>
    <n v="0"/>
    <n v="0"/>
    <n v="0"/>
    <n v="0.7"/>
    <n v="0"/>
    <n v="0"/>
    <n v="0"/>
    <n v="0"/>
    <n v="0.3"/>
  </r>
  <r>
    <s v="6SY018"/>
    <s v="Studie- och yrkesvägledningens praktik"/>
    <n v="69107"/>
    <s v="LYSYV"/>
    <m/>
    <s v="vt"/>
    <m/>
    <s v="Umeå"/>
    <s v="Distans"/>
    <s v="DIST"/>
    <m/>
    <m/>
    <n v="15"/>
    <m/>
    <m/>
    <n v="20"/>
    <n v="5"/>
    <n v="0.85"/>
    <n v="4.25"/>
    <x v="13"/>
    <s v="TUV "/>
    <s v="Sam"/>
    <s v="Studie- och yrkesvägledarprogram"/>
    <n v="26564.699999999997"/>
    <n v="24028.799999999999"/>
    <n v="234945.9"/>
    <n v="6000"/>
    <n v="30000"/>
    <n v="264945.90000000002"/>
    <n v="0"/>
    <n v="0"/>
    <n v="0"/>
    <n v="0"/>
    <n v="0"/>
    <n v="0"/>
    <n v="0.7"/>
    <n v="0"/>
    <n v="0"/>
    <n v="0"/>
    <n v="0"/>
    <n v="0.3"/>
  </r>
  <r>
    <s v="6SY018"/>
    <s v="Studie- och yrkesvägledningens praktik"/>
    <s v="0074I"/>
    <s v="LYSYV"/>
    <m/>
    <s v="vt"/>
    <m/>
    <s v="Umeå"/>
    <s v="Distans"/>
    <s v="DIST"/>
    <m/>
    <m/>
    <n v="15"/>
    <m/>
    <m/>
    <n v="1"/>
    <n v="0.25"/>
    <n v="0.85"/>
    <n v="0.21249999999999999"/>
    <x v="13"/>
    <s v="TUV "/>
    <s v="Sam"/>
    <s v="Studie- och yrkesvägledarprogram"/>
    <n v="26564.699999999997"/>
    <n v="24028.799999999999"/>
    <n v="11747.294999999998"/>
    <n v="6000"/>
    <n v="1500"/>
    <n v="13247.294999999998"/>
    <n v="0"/>
    <n v="0"/>
    <n v="0"/>
    <n v="0"/>
    <n v="0"/>
    <n v="0"/>
    <n v="0.7"/>
    <n v="0"/>
    <n v="0"/>
    <n v="0"/>
    <n v="0"/>
    <n v="0.3"/>
  </r>
  <r>
    <s v="6SY018"/>
    <s v="Studie- och yrkesvägledningens praktik"/>
    <n v="69108"/>
    <s v="LYSYV"/>
    <m/>
    <s v="vt"/>
    <m/>
    <s v="Umeå"/>
    <s v="Normal"/>
    <s v="REGU"/>
    <m/>
    <m/>
    <n v="15"/>
    <m/>
    <m/>
    <n v="19"/>
    <n v="4.75"/>
    <n v="0.85"/>
    <n v="4.0374999999999996"/>
    <x v="13"/>
    <s v="TUV "/>
    <s v="Sam"/>
    <s v="Studie- och yrkesvägledarprogram"/>
    <n v="26564.699999999997"/>
    <n v="24028.799999999999"/>
    <n v="223198.60499999998"/>
    <n v="6000"/>
    <n v="28500"/>
    <n v="251698.60499999998"/>
    <n v="0"/>
    <n v="0"/>
    <n v="0"/>
    <n v="0"/>
    <n v="0"/>
    <n v="0"/>
    <n v="0.7"/>
    <n v="0"/>
    <n v="0"/>
    <n v="0"/>
    <n v="0"/>
    <n v="0.3"/>
  </r>
  <r>
    <s v="6SY018"/>
    <s v="Studie- och yrkesvägledningens praktik"/>
    <n v="69107"/>
    <s v="LYSYV"/>
    <m/>
    <s v="vt"/>
    <m/>
    <s v="Umeå"/>
    <s v="Distans"/>
    <m/>
    <m/>
    <m/>
    <n v="15"/>
    <m/>
    <m/>
    <n v="1"/>
    <n v="0.25"/>
    <n v="0.85"/>
    <n v="0.21249999999999999"/>
    <x v="13"/>
    <s v="TUV "/>
    <s v="Sam"/>
    <s v="Studie- och yrkesvägledarprogram"/>
    <n v="26564.699999999997"/>
    <n v="24028.799999999999"/>
    <n v="11747.294999999998"/>
    <n v="6000"/>
    <n v="1500"/>
    <n v="13247.294999999998"/>
    <n v="0"/>
    <n v="0"/>
    <n v="0"/>
    <n v="0"/>
    <n v="0"/>
    <n v="0"/>
    <n v="0.7"/>
    <n v="0"/>
    <n v="0"/>
    <n v="0"/>
    <n v="0"/>
    <n v="0.3"/>
  </r>
  <r>
    <s v="6SY028"/>
    <s v="Karriärutveckling i socialt och kulturellt perspektiv"/>
    <n v="69104"/>
    <s v="LYSYV"/>
    <m/>
    <s v="vt"/>
    <m/>
    <s v="Umeå"/>
    <s v="Distans"/>
    <s v="DIST"/>
    <m/>
    <m/>
    <n v="15"/>
    <m/>
    <m/>
    <n v="18"/>
    <n v="4.5"/>
    <n v="0.85"/>
    <n v="3.8249999999999997"/>
    <x v="13"/>
    <s v="TUV "/>
    <s v="Sam"/>
    <s v="Studie- och yrkesvägledarprogram"/>
    <n v="20766"/>
    <n v="17442"/>
    <n v="160162.65"/>
    <n v="6000"/>
    <n v="27000"/>
    <n v="187162.65"/>
    <n v="0"/>
    <n v="0"/>
    <n v="0"/>
    <n v="0"/>
    <n v="0"/>
    <n v="0"/>
    <n v="1"/>
    <n v="0"/>
    <n v="0"/>
    <n v="0"/>
    <n v="0"/>
    <n v="0"/>
  </r>
  <r>
    <s v="6SY028"/>
    <s v="Karriärutveckling i socialt och kulturellt perspektiv"/>
    <n v="69106"/>
    <s v="LYSYV"/>
    <m/>
    <s v="vt"/>
    <m/>
    <s v="Umeå"/>
    <s v="Normal"/>
    <s v="REGU"/>
    <m/>
    <m/>
    <n v="15"/>
    <m/>
    <m/>
    <n v="30"/>
    <n v="7.5"/>
    <n v="0.85"/>
    <n v="6.375"/>
    <x v="13"/>
    <s v="TUV "/>
    <s v="Sam"/>
    <s v="Studie- och yrkesvägledarprogram"/>
    <n v="20766"/>
    <n v="17442"/>
    <n v="266937.75"/>
    <n v="6000"/>
    <n v="45000"/>
    <n v="311937.75"/>
    <n v="0"/>
    <n v="0"/>
    <n v="0"/>
    <n v="0"/>
    <n v="0"/>
    <n v="0"/>
    <n v="1"/>
    <n v="0"/>
    <n v="0"/>
    <n v="0"/>
    <n v="0"/>
    <n v="0"/>
  </r>
  <r>
    <s v="6SY029"/>
    <s v="Karriärvägledning och andra insatser för människor i behov av särskilt stöd"/>
    <m/>
    <s v="LYSYV"/>
    <s v="H16"/>
    <s v="ht"/>
    <s v="H211-10"/>
    <s v="Umeå"/>
    <s v="REGU"/>
    <m/>
    <m/>
    <n v="1"/>
    <n v="10"/>
    <m/>
    <m/>
    <n v="1"/>
    <n v="0.16666666666666666"/>
    <n v="0.85"/>
    <n v="0.14166666666666666"/>
    <x v="13"/>
    <s v="TUV "/>
    <s v="Sam"/>
    <s v="Studie- och yrkesvägledarprogram"/>
    <n v="24631.8"/>
    <n v="21833.200000000001"/>
    <n v="7198.3366666666661"/>
    <n v="6000"/>
    <n v="1000"/>
    <n v="8198.3366666666661"/>
    <n v="0"/>
    <n v="0"/>
    <n v="0"/>
    <n v="0"/>
    <n v="0"/>
    <n v="0"/>
    <n v="0.8"/>
    <n v="0"/>
    <n v="0"/>
    <n v="0"/>
    <n v="0"/>
    <n v="0.2"/>
  </r>
  <r>
    <s v="6SY029"/>
    <s v="Karriärvägledning och andra insatser för människor i behov av särskilt stöd"/>
    <m/>
    <s v="LYSYV"/>
    <s v="H18"/>
    <s v="ht"/>
    <s v="H211-10"/>
    <s v="Umeå"/>
    <s v="REGU"/>
    <m/>
    <m/>
    <n v="1"/>
    <n v="10"/>
    <m/>
    <m/>
    <n v="1"/>
    <n v="0.16666666666666666"/>
    <n v="0.85"/>
    <n v="0.14166666666666666"/>
    <x v="13"/>
    <s v="TUV "/>
    <s v="Sam"/>
    <s v="Studie- och yrkesvägledarprogram"/>
    <n v="24631.8"/>
    <n v="21833.200000000001"/>
    <n v="7198.3366666666661"/>
    <n v="6000"/>
    <n v="1000"/>
    <n v="8198.3366666666661"/>
    <n v="0"/>
    <n v="0"/>
    <n v="0"/>
    <n v="0"/>
    <n v="0"/>
    <n v="0"/>
    <n v="0.8"/>
    <n v="0"/>
    <n v="0"/>
    <n v="0"/>
    <n v="0"/>
    <n v="0.2"/>
  </r>
  <r>
    <s v="6SY029"/>
    <s v="Karriärvägledning och andra insatser för människor i behov av särskilt stöd"/>
    <m/>
    <s v="LYSYV"/>
    <s v="H19"/>
    <s v="ht"/>
    <s v="H211-10"/>
    <s v="Umeå"/>
    <s v="DIST"/>
    <m/>
    <m/>
    <n v="1"/>
    <n v="10"/>
    <m/>
    <m/>
    <n v="19"/>
    <n v="3.1666666666666665"/>
    <n v="0.85"/>
    <n v="2.6916666666666664"/>
    <x v="13"/>
    <s v="TUV "/>
    <s v="Sam"/>
    <s v="Studie- och yrkesvägledarprogram"/>
    <n v="24631.8"/>
    <n v="21833.200000000001"/>
    <n v="136768.39666666667"/>
    <n v="6000"/>
    <n v="19000"/>
    <n v="155768.39666666667"/>
    <n v="0"/>
    <n v="0"/>
    <n v="0"/>
    <n v="0"/>
    <n v="0"/>
    <n v="0"/>
    <n v="0.8"/>
    <n v="0"/>
    <n v="0"/>
    <n v="0"/>
    <n v="0"/>
    <n v="0.2"/>
  </r>
  <r>
    <s v="6SY029"/>
    <s v="Karriärvägledning och andra insatser för människor i behov av särskilt stöd"/>
    <m/>
    <s v="LYSYV"/>
    <s v="H19"/>
    <s v="ht"/>
    <s v="H211-10"/>
    <s v="Umeå"/>
    <s v="REGU"/>
    <m/>
    <m/>
    <n v="1"/>
    <n v="10"/>
    <m/>
    <m/>
    <n v="29"/>
    <n v="4.833333333333333"/>
    <n v="0.85"/>
    <n v="4.1083333333333334"/>
    <x v="13"/>
    <s v="TUV "/>
    <s v="Sam"/>
    <s v="Studie- och yrkesvägledarprogram"/>
    <n v="24631.8"/>
    <n v="21833.200000000001"/>
    <n v="208751.76333333331"/>
    <n v="6000"/>
    <n v="29000"/>
    <n v="237751.76333333331"/>
    <n v="0"/>
    <n v="0"/>
    <n v="0"/>
    <n v="0"/>
    <n v="0"/>
    <n v="0"/>
    <n v="0.8"/>
    <n v="0"/>
    <n v="0"/>
    <n v="0"/>
    <n v="0"/>
    <n v="0.2"/>
  </r>
  <r>
    <s v="6SY029"/>
    <s v="Karriärvägledning och andra insatser för människor i behov av särskilt stöd"/>
    <m/>
    <s v="LYSYV"/>
    <s v="H21"/>
    <s v="ht"/>
    <m/>
    <n v="2480"/>
    <s v="DIST"/>
    <s v="DIOB"/>
    <m/>
    <m/>
    <n v="10"/>
    <m/>
    <m/>
    <n v="27"/>
    <n v="4.5"/>
    <n v="0.85"/>
    <n v="3.8249999999999997"/>
    <x v="13"/>
    <s v="TUV "/>
    <s v="Sam"/>
    <s v="Studie- och yrkesvägledarprogram"/>
    <n v="24631.8"/>
    <n v="21833.200000000001"/>
    <n v="194355.08999999997"/>
    <n v="6000"/>
    <n v="27000"/>
    <n v="221355.08999999997"/>
    <n v="0"/>
    <n v="0"/>
    <n v="0"/>
    <n v="0"/>
    <n v="0"/>
    <n v="0"/>
    <n v="0.8"/>
    <n v="0"/>
    <n v="0"/>
    <n v="0"/>
    <n v="0"/>
    <n v="0.2"/>
  </r>
  <r>
    <s v="6SY030"/>
    <s v="Karriärteori och vägledning"/>
    <m/>
    <s v="LYSYV"/>
    <s v="H16"/>
    <s v="ht"/>
    <s v="H2116-20"/>
    <s v="Umeå"/>
    <s v="REGU"/>
    <m/>
    <m/>
    <n v="1"/>
    <n v="12.5"/>
    <m/>
    <m/>
    <n v="1"/>
    <n v="0.20833333333333334"/>
    <n v="0.85"/>
    <n v="0.17708333333333334"/>
    <x v="13"/>
    <s v="TUV "/>
    <s v="Sam"/>
    <s v="Studie- och yrkesvägledarprogram"/>
    <n v="20766"/>
    <n v="17442"/>
    <n v="7414.9375"/>
    <n v="6000"/>
    <n v="1250"/>
    <n v="8664.9375"/>
    <n v="0"/>
    <n v="0"/>
    <n v="0"/>
    <n v="0"/>
    <n v="0"/>
    <n v="0"/>
    <n v="1"/>
    <n v="0"/>
    <n v="0"/>
    <n v="0"/>
    <n v="0"/>
    <n v="0"/>
  </r>
  <r>
    <s v="6SY030"/>
    <s v="Karriärteori och vägledning"/>
    <m/>
    <s v="LYSYV"/>
    <s v="H18"/>
    <s v="ht"/>
    <s v="H2116-20"/>
    <s v="Umeå"/>
    <s v="REGU"/>
    <m/>
    <m/>
    <n v="1"/>
    <n v="12.5"/>
    <m/>
    <m/>
    <n v="1"/>
    <n v="0.20833333333333334"/>
    <n v="0.85"/>
    <n v="0.17708333333333334"/>
    <x v="13"/>
    <s v="TUV "/>
    <s v="Sam"/>
    <s v="Studie- och yrkesvägledarprogram"/>
    <n v="20766"/>
    <n v="17442"/>
    <n v="7414.9375"/>
    <n v="6000"/>
    <n v="1250"/>
    <n v="8664.9375"/>
    <n v="0"/>
    <n v="0"/>
    <n v="0"/>
    <n v="0"/>
    <n v="0"/>
    <n v="0"/>
    <n v="1"/>
    <n v="0"/>
    <n v="0"/>
    <n v="0"/>
    <n v="0"/>
    <n v="0"/>
  </r>
  <r>
    <s v="6SY030"/>
    <s v="Karriärteori och vägledning"/>
    <m/>
    <s v="LYSYV"/>
    <s v="H19"/>
    <s v="ht"/>
    <s v="H2116-20"/>
    <s v="Umeå"/>
    <s v="DIST"/>
    <m/>
    <m/>
    <n v="1"/>
    <n v="12.5"/>
    <m/>
    <m/>
    <n v="19"/>
    <n v="3.9583333333333335"/>
    <n v="0.85"/>
    <n v="3.3645833333333335"/>
    <x v="13"/>
    <s v="TUV "/>
    <s v="Sam"/>
    <s v="Studie- och yrkesvägledarprogram"/>
    <n v="20766"/>
    <n v="17442"/>
    <n v="140883.8125"/>
    <n v="6000"/>
    <n v="23750"/>
    <n v="164633.8125"/>
    <n v="0"/>
    <n v="0"/>
    <n v="0"/>
    <n v="0"/>
    <n v="0"/>
    <n v="0"/>
    <n v="1"/>
    <n v="0"/>
    <n v="0"/>
    <n v="0"/>
    <n v="0"/>
    <n v="0"/>
  </r>
  <r>
    <s v="6SY030"/>
    <s v="Karriärteori och vägledning"/>
    <m/>
    <s v="LYSYV"/>
    <s v="H19"/>
    <s v="ht"/>
    <s v="H2116-20"/>
    <s v="Umeå"/>
    <s v="REGU"/>
    <m/>
    <m/>
    <n v="1"/>
    <n v="12.5"/>
    <m/>
    <m/>
    <n v="29"/>
    <n v="6.041666666666667"/>
    <n v="0.85"/>
    <n v="5.135416666666667"/>
    <x v="13"/>
    <s v="TUV "/>
    <s v="Sam"/>
    <s v="Studie- och yrkesvägledarprogram"/>
    <n v="20766"/>
    <n v="17442"/>
    <n v="215033.1875"/>
    <n v="6000"/>
    <n v="36250"/>
    <n v="251283.1875"/>
    <n v="0"/>
    <n v="0"/>
    <n v="0"/>
    <n v="0"/>
    <n v="0"/>
    <n v="0"/>
    <n v="1"/>
    <n v="0"/>
    <n v="0"/>
    <n v="0"/>
    <n v="0"/>
    <n v="0"/>
  </r>
  <r>
    <s v="6SY030"/>
    <s v="Karriärteori och vägledning"/>
    <m/>
    <s v="LYSYV"/>
    <s v="H21"/>
    <s v="ht"/>
    <m/>
    <n v="2480"/>
    <s v="DIST"/>
    <s v="DIOB"/>
    <m/>
    <m/>
    <n v="12.5"/>
    <n v="-0.05"/>
    <n v="27"/>
    <n v="25.65"/>
    <n v="5.34375"/>
    <n v="0.85"/>
    <n v="4.5421874999999998"/>
    <x v="13"/>
    <s v="TUV "/>
    <s v="Sam"/>
    <s v="Studie- och yrkesvägledarprogram"/>
    <n v="20766"/>
    <n v="17442"/>
    <n v="190193.14687499998"/>
    <n v="6000"/>
    <n v="32062.5"/>
    <n v="222255.64687499998"/>
    <n v="0"/>
    <n v="0"/>
    <n v="0"/>
    <n v="0"/>
    <n v="0"/>
    <n v="0"/>
    <n v="1"/>
    <n v="0"/>
    <n v="0"/>
    <n v="0"/>
    <n v="0"/>
    <n v="0"/>
  </r>
  <r>
    <s v="6SY031"/>
    <s v="Gruppvägledning med inriktning mot karriärutveckling"/>
    <m/>
    <s v="LYSYV"/>
    <s v="H16"/>
    <s v="ht"/>
    <s v="H2111-15"/>
    <s v="Umeå"/>
    <s v="REGU"/>
    <m/>
    <m/>
    <n v="1"/>
    <n v="7.5"/>
    <m/>
    <m/>
    <n v="1"/>
    <n v="0.125"/>
    <n v="0.85"/>
    <n v="0.10625"/>
    <x v="13"/>
    <s v="TUV "/>
    <s v="Sam"/>
    <s v="Studie- och yrkesvägledarprogram"/>
    <n v="36229.199999999997"/>
    <n v="35006.800000000003"/>
    <n v="8248.1224999999995"/>
    <n v="6000"/>
    <n v="750"/>
    <n v="8998.1224999999995"/>
    <n v="0"/>
    <n v="0"/>
    <n v="0"/>
    <n v="0"/>
    <n v="0"/>
    <n v="0"/>
    <n v="0.2"/>
    <n v="0"/>
    <n v="0"/>
    <n v="0"/>
    <n v="0"/>
    <n v="0.8"/>
  </r>
  <r>
    <s v="6SY031"/>
    <s v="Gruppvägledning med inriktning mot karriärutveckling"/>
    <m/>
    <s v="LYSYV"/>
    <s v="H18"/>
    <s v="ht"/>
    <s v="H2111-15"/>
    <s v="Umeå"/>
    <s v="REGU"/>
    <m/>
    <m/>
    <n v="1"/>
    <n v="7.5"/>
    <m/>
    <m/>
    <n v="1"/>
    <n v="0.125"/>
    <n v="0.85"/>
    <n v="0.10625"/>
    <x v="13"/>
    <s v="TUV "/>
    <s v="Sam"/>
    <s v="Studie- och yrkesvägledarprogram"/>
    <n v="36229.199999999997"/>
    <n v="35006.800000000003"/>
    <n v="8248.1224999999995"/>
    <n v="6000"/>
    <n v="750"/>
    <n v="8998.1224999999995"/>
    <n v="0"/>
    <n v="0"/>
    <n v="0"/>
    <n v="0"/>
    <n v="0"/>
    <n v="0"/>
    <n v="0.2"/>
    <n v="0"/>
    <n v="0"/>
    <n v="0"/>
    <n v="0"/>
    <n v="0.8"/>
  </r>
  <r>
    <s v="6SY031"/>
    <s v="Gruppvägledning med inriktning mot karriärutveckling"/>
    <m/>
    <s v="LYSYV"/>
    <s v="H19"/>
    <s v="ht"/>
    <s v="H2111-15"/>
    <s v="Umeå"/>
    <s v="DIST"/>
    <s v="DIOB"/>
    <m/>
    <n v="1"/>
    <n v="7.5"/>
    <m/>
    <m/>
    <n v="1"/>
    <n v="0.125"/>
    <n v="0.85"/>
    <n v="0.10625"/>
    <x v="13"/>
    <s v="TUV "/>
    <s v="Sam"/>
    <s v="Studie- och yrkesvägledarprogram"/>
    <n v="36229.199999999997"/>
    <n v="35006.800000000003"/>
    <n v="8248.1224999999995"/>
    <n v="6000"/>
    <n v="750"/>
    <n v="8998.1224999999995"/>
    <n v="0"/>
    <n v="0"/>
    <n v="0"/>
    <n v="0"/>
    <n v="0"/>
    <n v="0"/>
    <n v="0.2"/>
    <n v="0"/>
    <n v="0"/>
    <n v="0"/>
    <n v="0"/>
    <n v="0.8"/>
  </r>
  <r>
    <s v="6SY031"/>
    <s v="Gruppvägledning med inriktning mot karriärutveckling"/>
    <m/>
    <s v="LYSYV"/>
    <s v="H19"/>
    <s v="ht"/>
    <s v="H2111-15"/>
    <s v="Umeå"/>
    <s v="DIST"/>
    <m/>
    <m/>
    <n v="1"/>
    <n v="7.5"/>
    <m/>
    <m/>
    <n v="19"/>
    <n v="2.375"/>
    <n v="0.85"/>
    <n v="2.0187499999999998"/>
    <x v="13"/>
    <s v="TUV "/>
    <s v="Sam"/>
    <s v="Studie- och yrkesvägledarprogram"/>
    <n v="36229.199999999997"/>
    <n v="35006.800000000003"/>
    <n v="156714.32749999998"/>
    <n v="6000"/>
    <n v="14250"/>
    <n v="170964.32749999998"/>
    <n v="0"/>
    <n v="0"/>
    <n v="0"/>
    <n v="0"/>
    <n v="0"/>
    <n v="0"/>
    <n v="0.2"/>
    <n v="0"/>
    <n v="0"/>
    <n v="0"/>
    <n v="0"/>
    <n v="0.8"/>
  </r>
  <r>
    <s v="6SY031"/>
    <s v="Gruppvägledning med inriktning mot karriärutveckling"/>
    <m/>
    <s v="LYSYV"/>
    <s v="H19"/>
    <s v="ht"/>
    <s v="H2111-15"/>
    <s v="Umeå"/>
    <s v="REGU"/>
    <m/>
    <m/>
    <n v="1"/>
    <n v="7.5"/>
    <m/>
    <m/>
    <n v="28"/>
    <n v="3.5"/>
    <n v="0.85"/>
    <n v="2.9750000000000001"/>
    <x v="13"/>
    <s v="TUV "/>
    <s v="Sam"/>
    <s v="Studie- och yrkesvägledarprogram"/>
    <n v="36229.199999999997"/>
    <n v="35006.800000000003"/>
    <n v="230947.43"/>
    <n v="6000"/>
    <n v="21000"/>
    <n v="251947.43"/>
    <n v="0"/>
    <n v="0"/>
    <n v="0"/>
    <n v="0"/>
    <n v="0"/>
    <n v="0"/>
    <n v="0.2"/>
    <n v="0"/>
    <n v="0"/>
    <n v="0"/>
    <n v="0"/>
    <n v="0.8"/>
  </r>
  <r>
    <s v="6SY031"/>
    <s v="Gruppvägledning med inriktning mot karriärutveckling"/>
    <m/>
    <s v="LYSYV"/>
    <s v="H21"/>
    <s v="ht"/>
    <m/>
    <n v="2480"/>
    <s v="DIST"/>
    <s v="DIOB"/>
    <m/>
    <m/>
    <n v="7.5"/>
    <n v="-0.05"/>
    <n v="27"/>
    <n v="25.65"/>
    <n v="3.2062499999999998"/>
    <n v="0.85"/>
    <n v="2.7253124999999998"/>
    <x v="13"/>
    <s v="TUV "/>
    <s v="Sam"/>
    <s v="Studie- och yrkesvägledarprogram"/>
    <n v="36229.199999999997"/>
    <n v="35006.800000000003"/>
    <n v="211564.34212499997"/>
    <n v="6000"/>
    <n v="19237.5"/>
    <n v="230801.84212499997"/>
    <n v="0"/>
    <n v="0"/>
    <n v="0"/>
    <n v="0"/>
    <n v="0"/>
    <n v="0"/>
    <n v="0.2"/>
    <n v="0"/>
    <n v="0"/>
    <n v="0"/>
    <n v="0"/>
    <n v="0.8"/>
  </r>
  <r>
    <s v="6SY032"/>
    <s v="Kommunikation och undervisning"/>
    <n v="64703"/>
    <s v="LYSYV"/>
    <m/>
    <s v="vt"/>
    <m/>
    <s v="Umeå"/>
    <s v="Distans"/>
    <s v="DIST"/>
    <m/>
    <m/>
    <n v="7.5"/>
    <m/>
    <m/>
    <n v="22"/>
    <n v="2.75"/>
    <n v="0.85"/>
    <n v="2.3374999999999999"/>
    <x v="12"/>
    <s v="Pedagogik                     "/>
    <s v="Sam"/>
    <s v="Studie- och yrkesvägledarprogram"/>
    <n v="20766"/>
    <n v="17442"/>
    <n v="97877.174999999988"/>
    <n v="6000"/>
    <n v="16500"/>
    <n v="114377.17499999999"/>
    <n v="0"/>
    <n v="0"/>
    <n v="0"/>
    <n v="0"/>
    <n v="0"/>
    <n v="0"/>
    <n v="1"/>
    <n v="0"/>
    <n v="0"/>
    <n v="0"/>
    <n v="0"/>
    <n v="0"/>
  </r>
  <r>
    <s v="6SY032"/>
    <s v="Kommunikation och undervisning"/>
    <n v="64700"/>
    <s v="LYSYV"/>
    <m/>
    <s v="vt"/>
    <m/>
    <s v="Umeå"/>
    <s v="Normal"/>
    <s v="REGU"/>
    <m/>
    <m/>
    <n v="7.5"/>
    <m/>
    <m/>
    <n v="26"/>
    <n v="3.25"/>
    <n v="0.85"/>
    <n v="2.7624999999999997"/>
    <x v="12"/>
    <s v="Pedagogik                     "/>
    <s v="Sam"/>
    <s v="Studie- och yrkesvägledarprogram"/>
    <n v="20766"/>
    <n v="17442"/>
    <n v="115673.02499999999"/>
    <n v="6000"/>
    <n v="19500"/>
    <n v="135173.02499999999"/>
    <n v="0"/>
    <n v="0"/>
    <n v="0"/>
    <n v="0"/>
    <n v="0"/>
    <n v="0"/>
    <n v="1"/>
    <n v="0"/>
    <n v="0"/>
    <n v="0"/>
    <n v="0"/>
    <n v="0"/>
  </r>
  <r>
    <s v="6SY033"/>
    <s v="Introduktion till studie- och yrkesvägledning"/>
    <n v="69100"/>
    <s v="FRIST"/>
    <m/>
    <s v="vt"/>
    <m/>
    <s v="Umeå"/>
    <s v="Distans"/>
    <s v="DIOB"/>
    <m/>
    <m/>
    <n v="12.5"/>
    <m/>
    <m/>
    <n v="34"/>
    <n v="7.0830000000000002"/>
    <n v="0.85"/>
    <n v="6.0205500000000001"/>
    <x v="13"/>
    <s v="TUV "/>
    <s v="Sam"/>
    <s v="Fristående och övriga kurser"/>
    <n v="20766"/>
    <n v="17442"/>
    <n v="252096.0111"/>
    <n v="6000"/>
    <n v="42498"/>
    <n v="294594.0111"/>
    <n v="0"/>
    <n v="0"/>
    <n v="0"/>
    <n v="0"/>
    <n v="0"/>
    <n v="0"/>
    <n v="1"/>
    <n v="0"/>
    <n v="0"/>
    <n v="0"/>
    <n v="0"/>
    <n v="0"/>
  </r>
  <r>
    <s v="6SY034"/>
    <s v="Teorier, modeller och metoder för karriärvägledning"/>
    <n v="69101"/>
    <s v="FRIST"/>
    <m/>
    <s v="vt"/>
    <m/>
    <s v="Umeå"/>
    <s v="Distans"/>
    <s v="DIOB"/>
    <m/>
    <m/>
    <n v="7.5"/>
    <m/>
    <m/>
    <n v="32"/>
    <n v="4"/>
    <n v="0.85"/>
    <n v="3.4"/>
    <x v="13"/>
    <s v="TUV "/>
    <s v="Sam"/>
    <s v="Fristående och övriga kurser"/>
    <n v="20766"/>
    <n v="17442"/>
    <n v="142366.79999999999"/>
    <n v="6000"/>
    <n v="24000"/>
    <n v="166366.79999999999"/>
    <n v="0"/>
    <n v="0"/>
    <n v="0"/>
    <n v="0"/>
    <n v="0"/>
    <n v="0"/>
    <n v="1"/>
    <n v="0"/>
    <n v="0"/>
    <n v="0"/>
    <n v="0"/>
    <n v="0"/>
  </r>
  <r>
    <s v="6SY035"/>
    <s v="Samhällsvetenskap"/>
    <n v="69105"/>
    <s v="FRIST"/>
    <m/>
    <s v="vt"/>
    <m/>
    <s v="Umeå"/>
    <s v="Distans"/>
    <s v="DIOB"/>
    <m/>
    <m/>
    <n v="10"/>
    <m/>
    <m/>
    <n v="31"/>
    <n v="5.1669999999999998"/>
    <n v="0.85"/>
    <n v="4.3919499999999996"/>
    <x v="13"/>
    <s v="TUV "/>
    <s v="Sam"/>
    <s v="Fristående och övriga kurser"/>
    <n v="20766"/>
    <n v="17442"/>
    <n v="183902.31389999998"/>
    <n v="6000"/>
    <n v="31002"/>
    <n v="214904.31389999998"/>
    <n v="0"/>
    <n v="0"/>
    <n v="0"/>
    <n v="0"/>
    <n v="0"/>
    <n v="0"/>
    <n v="1"/>
    <n v="0"/>
    <n v="0"/>
    <n v="0"/>
    <n v="0"/>
    <n v="0"/>
  </r>
  <r>
    <s v="6SY036"/>
    <s v="Arbetsliv och lärande"/>
    <n v="64705"/>
    <s v="LYSYV"/>
    <m/>
    <s v="vt"/>
    <m/>
    <s v="Umeå"/>
    <s v="Distans"/>
    <s v="DIST"/>
    <m/>
    <m/>
    <n v="7.5"/>
    <m/>
    <m/>
    <n v="18"/>
    <n v="2.25"/>
    <n v="0.85"/>
    <n v="1.9124999999999999"/>
    <x v="12"/>
    <s v="Pedagogik                     "/>
    <s v="Sam"/>
    <s v="Studie- och yrkesvägledarprogram"/>
    <n v="20766"/>
    <n v="17442"/>
    <n v="80081.324999999997"/>
    <n v="6000"/>
    <n v="13500"/>
    <n v="93581.324999999997"/>
    <n v="0"/>
    <n v="0"/>
    <n v="0"/>
    <n v="0"/>
    <n v="0"/>
    <n v="0"/>
    <n v="1"/>
    <n v="0"/>
    <n v="0"/>
    <n v="0"/>
    <n v="0"/>
    <n v="0"/>
  </r>
  <r>
    <s v="6SY036"/>
    <s v="Arbetsliv och lärande"/>
    <n v="64701"/>
    <s v="LYSYV"/>
    <m/>
    <s v="vt"/>
    <m/>
    <s v="Umeå"/>
    <s v="Normal"/>
    <s v="REGU"/>
    <m/>
    <m/>
    <n v="7.5"/>
    <m/>
    <m/>
    <n v="30"/>
    <n v="3.75"/>
    <n v="0.85"/>
    <n v="3.1875"/>
    <x v="12"/>
    <s v="Pedagogik                     "/>
    <s v="Sam"/>
    <s v="Studie- och yrkesvägledarprogram"/>
    <n v="20766"/>
    <n v="17442"/>
    <n v="133468.875"/>
    <n v="6000"/>
    <n v="22500"/>
    <n v="155968.875"/>
    <n v="0"/>
    <n v="0"/>
    <n v="0"/>
    <n v="0"/>
    <n v="0"/>
    <n v="0"/>
    <n v="1"/>
    <n v="0"/>
    <n v="0"/>
    <n v="0"/>
    <n v="0"/>
    <n v="0"/>
  </r>
  <r>
    <s v="6SY037"/>
    <s v="Teorier, modeller och metoder för vägledning och dess praktik"/>
    <m/>
    <s v="LYSYV"/>
    <s v="H19"/>
    <s v="ht"/>
    <s v="H219-20"/>
    <s v="Umeå"/>
    <s v="DIST"/>
    <m/>
    <m/>
    <n v="1"/>
    <n v="20"/>
    <m/>
    <m/>
    <n v="1"/>
    <n v="0.33333333333333331"/>
    <n v="0.85"/>
    <n v="0.28333333333333333"/>
    <x v="13"/>
    <s v="TUV "/>
    <s v="Sam"/>
    <s v="Studie- och yrkesvägledarprogram"/>
    <n v="29464.050000000003"/>
    <n v="27322.200000000004"/>
    <n v="17562.64"/>
    <n v="6000"/>
    <n v="2000"/>
    <n v="19562.64"/>
    <n v="0"/>
    <n v="0"/>
    <n v="0"/>
    <n v="0"/>
    <n v="0"/>
    <n v="0"/>
    <n v="0.55000000000000004"/>
    <n v="0"/>
    <n v="0"/>
    <n v="0"/>
    <n v="0"/>
    <n v="0.45"/>
  </r>
  <r>
    <s v="6SY037"/>
    <s v="Teorier, modeller och metoder för vägledning och dess praktik"/>
    <m/>
    <s v="LYSYV"/>
    <s v="H20"/>
    <s v="ht"/>
    <s v="H219-20"/>
    <s v="Umeå"/>
    <s v="DIST"/>
    <m/>
    <m/>
    <n v="1"/>
    <n v="20"/>
    <m/>
    <m/>
    <n v="21"/>
    <n v="7"/>
    <n v="0.85"/>
    <n v="5.95"/>
    <x v="13"/>
    <s v="TUV "/>
    <s v="Sam"/>
    <s v="Studie- och yrkesvägledarprogram"/>
    <n v="29464.050000000003"/>
    <n v="27322.200000000004"/>
    <n v="368815.44000000006"/>
    <n v="6000"/>
    <n v="42000"/>
    <n v="410815.44000000006"/>
    <n v="0"/>
    <n v="0"/>
    <n v="0"/>
    <n v="0"/>
    <n v="0"/>
    <n v="0"/>
    <n v="0.55000000000000004"/>
    <n v="0"/>
    <n v="0"/>
    <n v="0"/>
    <n v="0"/>
    <n v="0.45"/>
  </r>
  <r>
    <s v="6SY037"/>
    <s v="Teorier, modeller och metoder för vägledning och dess praktik"/>
    <m/>
    <s v="LYSYV"/>
    <s v="H20"/>
    <s v="ht"/>
    <s v="H219-20"/>
    <s v="Umeå"/>
    <s v="REGU"/>
    <m/>
    <m/>
    <n v="1"/>
    <n v="20"/>
    <m/>
    <m/>
    <n v="21"/>
    <n v="7"/>
    <n v="0.85"/>
    <n v="5.95"/>
    <x v="13"/>
    <s v="TUV "/>
    <s v="Sam"/>
    <s v="Studie- och yrkesvägledarprogram"/>
    <n v="29464.050000000003"/>
    <n v="27322.200000000004"/>
    <n v="368815.44000000006"/>
    <n v="6000"/>
    <n v="42000"/>
    <n v="410815.44000000006"/>
    <n v="0"/>
    <n v="0"/>
    <n v="0"/>
    <n v="0"/>
    <n v="0"/>
    <n v="0"/>
    <n v="0.55000000000000004"/>
    <n v="0"/>
    <n v="0"/>
    <n v="0"/>
    <n v="0"/>
    <n v="0.45"/>
  </r>
  <r>
    <s v="6SY037"/>
    <s v="Teorier, modeller och metoder för vägledning och dess praktik"/>
    <m/>
    <s v="LYSYV"/>
    <s v="V20"/>
    <s v="ht"/>
    <s v="H219-20"/>
    <s v="Umeå"/>
    <s v="REGU"/>
    <m/>
    <m/>
    <n v="1"/>
    <n v="20"/>
    <m/>
    <m/>
    <n v="1"/>
    <n v="0.33333333333333331"/>
    <n v="0.85"/>
    <n v="0.28333333333333333"/>
    <x v="13"/>
    <s v="TUV "/>
    <s v="Sam"/>
    <s v="Studie- och yrkesvägledarprogram"/>
    <n v="29464.050000000003"/>
    <n v="27322.200000000004"/>
    <n v="17562.64"/>
    <n v="6000"/>
    <n v="2000"/>
    <n v="19562.64"/>
    <n v="0"/>
    <n v="0"/>
    <n v="0"/>
    <n v="0"/>
    <n v="0"/>
    <n v="0"/>
    <n v="0.55000000000000004"/>
    <n v="0"/>
    <n v="0"/>
    <n v="0"/>
    <n v="0"/>
    <n v="0.45"/>
  </r>
  <r>
    <s v="6SY042"/>
    <s v="Beteendevetenskapliga grunder för karriärvägledning"/>
    <m/>
    <s v="LYSYV"/>
    <s v="H20"/>
    <s v="ht"/>
    <s v="H211-5"/>
    <s v="Umeå"/>
    <s v="DIST"/>
    <m/>
    <m/>
    <n v="1"/>
    <n v="5"/>
    <m/>
    <m/>
    <n v="21"/>
    <n v="1.75"/>
    <n v="0.85"/>
    <n v="1.4875"/>
    <x v="13"/>
    <s v="TUV "/>
    <s v="Sam"/>
    <s v="Studie- och yrkesvägledarprogram"/>
    <n v="20766"/>
    <n v="17442"/>
    <n v="62285.475000000006"/>
    <n v="6000"/>
    <n v="10500"/>
    <n v="72785.475000000006"/>
    <n v="0"/>
    <n v="0"/>
    <n v="0"/>
    <n v="0"/>
    <n v="0"/>
    <n v="0"/>
    <n v="1"/>
    <n v="0"/>
    <n v="0"/>
    <n v="0"/>
    <n v="0"/>
    <n v="0"/>
  </r>
  <r>
    <s v="6SY042"/>
    <s v="Beteendevetenskapliga grunder för karriärvägledning"/>
    <m/>
    <s v="LYSYV"/>
    <s v="H20"/>
    <s v="ht"/>
    <s v="H211-5"/>
    <s v="Umeå"/>
    <s v="REGU"/>
    <m/>
    <m/>
    <n v="1"/>
    <n v="5"/>
    <m/>
    <m/>
    <n v="21"/>
    <n v="1.75"/>
    <n v="0.85"/>
    <n v="1.4875"/>
    <x v="13"/>
    <s v="TUV "/>
    <s v="Sam"/>
    <s v="Studie- och yrkesvägledarprogram"/>
    <n v="20766"/>
    <n v="17442"/>
    <n v="62285.475000000006"/>
    <n v="6000"/>
    <n v="10500"/>
    <n v="72785.475000000006"/>
    <n v="0"/>
    <n v="0"/>
    <n v="0"/>
    <n v="0"/>
    <n v="0"/>
    <n v="0"/>
    <n v="1"/>
    <n v="0"/>
    <n v="0"/>
    <n v="0"/>
    <n v="0"/>
    <n v="0"/>
  </r>
  <r>
    <s v="6SY042"/>
    <s v="Beteendevetenskapliga grunder för karriärvägledning"/>
    <m/>
    <s v="LYSYV"/>
    <s v="V20"/>
    <s v="ht"/>
    <s v="H211-5"/>
    <s v="Umeå"/>
    <s v="REGU"/>
    <m/>
    <m/>
    <n v="1"/>
    <n v="5"/>
    <m/>
    <m/>
    <n v="1"/>
    <n v="8.3333333333333329E-2"/>
    <n v="0.85"/>
    <n v="7.0833333333333331E-2"/>
    <x v="13"/>
    <s v="TUV "/>
    <s v="Sam"/>
    <s v="Studie- och yrkesvägledarprogram"/>
    <n v="20766"/>
    <n v="17442"/>
    <n v="2965.9749999999999"/>
    <n v="6000"/>
    <n v="500"/>
    <n v="3465.9749999999999"/>
    <n v="0"/>
    <n v="0"/>
    <n v="0"/>
    <n v="0"/>
    <n v="0"/>
    <n v="0"/>
    <n v="1"/>
    <n v="0"/>
    <n v="0"/>
    <n v="0"/>
    <n v="0"/>
    <n v="0"/>
  </r>
  <r>
    <s v="6SY043"/>
    <s v="Utbildningssystem"/>
    <m/>
    <s v="LYSYV"/>
    <s v="H20"/>
    <s v="ht"/>
    <s v="H216-10"/>
    <s v="Umeå"/>
    <s v="DIST"/>
    <m/>
    <m/>
    <n v="1"/>
    <n v="5"/>
    <m/>
    <m/>
    <n v="20"/>
    <n v="1.6666666666666665"/>
    <n v="0.85"/>
    <n v="1.4166666666666665"/>
    <x v="13"/>
    <s v="TUV "/>
    <s v="Sam"/>
    <s v="Studie- och yrkesvägledarprogram"/>
    <n v="20766"/>
    <n v="17442"/>
    <n v="59319.5"/>
    <n v="6000"/>
    <n v="10000"/>
    <n v="69319.5"/>
    <n v="0"/>
    <n v="0"/>
    <n v="0"/>
    <n v="0"/>
    <n v="0"/>
    <n v="0"/>
    <n v="1"/>
    <n v="0"/>
    <n v="0"/>
    <n v="0"/>
    <n v="0"/>
    <n v="0"/>
  </r>
  <r>
    <s v="6SY043"/>
    <s v="Utbildningssystem"/>
    <m/>
    <s v="LYSYV"/>
    <s v="H20"/>
    <s v="ht"/>
    <s v="H216-10"/>
    <s v="Umeå"/>
    <s v="REGU"/>
    <m/>
    <m/>
    <n v="1"/>
    <n v="5"/>
    <m/>
    <m/>
    <n v="21"/>
    <n v="1.75"/>
    <n v="0.85"/>
    <n v="1.4875"/>
    <x v="13"/>
    <s v="TUV "/>
    <s v="Sam"/>
    <s v="Studie- och yrkesvägledarprogram"/>
    <n v="20766"/>
    <n v="17442"/>
    <n v="62285.475000000006"/>
    <n v="6000"/>
    <n v="10500"/>
    <n v="72785.475000000006"/>
    <n v="0"/>
    <n v="0"/>
    <n v="0"/>
    <n v="0"/>
    <n v="0"/>
    <n v="0"/>
    <n v="1"/>
    <n v="0"/>
    <n v="0"/>
    <n v="0"/>
    <n v="0"/>
    <n v="0"/>
  </r>
  <r>
    <s v="6SY043"/>
    <s v="Utbildningssystem"/>
    <m/>
    <s v="LYSYV"/>
    <s v="V20"/>
    <s v="ht"/>
    <s v="H216-10"/>
    <s v="Umeå"/>
    <s v="REGU"/>
    <m/>
    <m/>
    <n v="1"/>
    <n v="5"/>
    <m/>
    <m/>
    <n v="1"/>
    <n v="8.3333333333333329E-2"/>
    <n v="0.85"/>
    <n v="7.0833333333333331E-2"/>
    <x v="13"/>
    <s v="TUV "/>
    <s v="Sam"/>
    <s v="Studie- och yrkesvägledarprogram"/>
    <n v="20766"/>
    <n v="17442"/>
    <n v="2965.9749999999999"/>
    <n v="6000"/>
    <n v="500"/>
    <n v="3465.9749999999999"/>
    <n v="0"/>
    <n v="0"/>
    <n v="0"/>
    <n v="0"/>
    <n v="0"/>
    <n v="0"/>
    <n v="1"/>
    <n v="0"/>
    <n v="0"/>
    <n v="0"/>
    <n v="0"/>
    <n v="0"/>
  </r>
  <r>
    <s v="6TX016"/>
    <s v="Slöjd, textil 2a, distans"/>
    <m/>
    <s v="FRIST"/>
    <m/>
    <s v="ht"/>
    <m/>
    <m/>
    <s v="Distans"/>
    <m/>
    <m/>
    <n v="0.5"/>
    <n v="15"/>
    <m/>
    <m/>
    <n v="32"/>
    <n v="8"/>
    <n v="0.8"/>
    <n v="6.4"/>
    <x v="9"/>
    <s v="Estetiska ämnen               "/>
    <s v="Hum"/>
    <s v="Fristående och övriga kurser"/>
    <n v="20757"/>
    <n v="36082"/>
    <n v="396980.80000000005"/>
    <n v="22600"/>
    <n v="180800"/>
    <n v="577780.80000000005"/>
    <n v="0"/>
    <n v="0"/>
    <n v="0"/>
    <n v="0"/>
    <n v="0"/>
    <n v="0"/>
    <n v="0"/>
    <n v="1"/>
    <n v="0"/>
    <n v="0"/>
    <n v="0"/>
    <n v="0"/>
  </r>
  <r>
    <s v="6TX020"/>
    <s v="Slöjd, textil 2b, distans"/>
    <n v="67304"/>
    <s v="FRIST"/>
    <m/>
    <s v="vt"/>
    <m/>
    <s v="Umeå"/>
    <s v="Distans"/>
    <m/>
    <m/>
    <m/>
    <n v="15"/>
    <m/>
    <m/>
    <n v="15"/>
    <n v="3.75"/>
    <n v="0.8"/>
    <n v="3"/>
    <x v="9"/>
    <s v="Estetiska ämnen               "/>
    <s v="Hum"/>
    <s v="Fristående och övriga kurser"/>
    <n v="20757"/>
    <n v="36082"/>
    <n v="186084.75"/>
    <n v="22600"/>
    <n v="84750"/>
    <n v="270834.75"/>
    <n v="0"/>
    <n v="0"/>
    <n v="0"/>
    <n v="0"/>
    <n v="0"/>
    <n v="0"/>
    <n v="0"/>
    <n v="1"/>
    <n v="0"/>
    <n v="0"/>
    <n v="0"/>
    <n v="0"/>
  </r>
  <r>
    <s v="6TX025"/>
    <s v="Textila uttryck"/>
    <n v="67201"/>
    <s v="FRIST"/>
    <m/>
    <s v="vt"/>
    <m/>
    <s v="Umeå"/>
    <s v="Distans"/>
    <m/>
    <m/>
    <m/>
    <n v="15"/>
    <m/>
    <m/>
    <n v="16"/>
    <n v="4"/>
    <n v="0.8"/>
    <n v="3.2"/>
    <x v="9"/>
    <s v="Estetiska ämnen               "/>
    <s v="Hum"/>
    <s v="Fristående och övriga kurser"/>
    <n v="20757"/>
    <n v="36082"/>
    <n v="198490.40000000002"/>
    <n v="22600"/>
    <n v="90400"/>
    <n v="288890.40000000002"/>
    <n v="0"/>
    <n v="0"/>
    <n v="0"/>
    <n v="0"/>
    <n v="0"/>
    <n v="0"/>
    <n v="0"/>
    <n v="1"/>
    <n v="0"/>
    <n v="0"/>
    <n v="0"/>
    <n v="0"/>
  </r>
  <r>
    <s v="6TX025"/>
    <s v="Textila uttryck"/>
    <m/>
    <s v="FRIST"/>
    <m/>
    <s v="ht"/>
    <m/>
    <m/>
    <s v="Distans"/>
    <m/>
    <m/>
    <n v="0.5"/>
    <n v="15"/>
    <m/>
    <m/>
    <n v="16"/>
    <n v="4"/>
    <n v="0.8"/>
    <n v="3.2"/>
    <x v="9"/>
    <s v="Estetiska ämnen               "/>
    <s v="Hum"/>
    <s v="Fristående och övriga kurser"/>
    <n v="20757"/>
    <n v="36082"/>
    <n v="198490.40000000002"/>
    <n v="22600"/>
    <n v="90400"/>
    <n v="288890.40000000002"/>
    <n v="0"/>
    <n v="0"/>
    <n v="0"/>
    <n v="0"/>
    <n v="0"/>
    <n v="0"/>
    <n v="0"/>
    <n v="1"/>
    <n v="0"/>
    <n v="0"/>
    <n v="0"/>
    <n v="0"/>
  </r>
  <r>
    <s v="6TX026"/>
    <s v="Slöjd 1, textil"/>
    <n v="67204"/>
    <s v="FRIST"/>
    <m/>
    <s v="vt"/>
    <m/>
    <s v="Umeå"/>
    <s v="Distans"/>
    <m/>
    <m/>
    <m/>
    <n v="15"/>
    <m/>
    <m/>
    <n v="31"/>
    <n v="7.75"/>
    <n v="0.8"/>
    <n v="6.2"/>
    <x v="9"/>
    <s v="Estetiska ämnen               "/>
    <s v="Hum"/>
    <s v="Fristående och övriga kurser"/>
    <n v="20757"/>
    <n v="36082"/>
    <n v="384575.15"/>
    <n v="22600"/>
    <n v="175150"/>
    <n v="559725.15"/>
    <n v="0"/>
    <n v="0"/>
    <n v="0"/>
    <n v="0"/>
    <n v="0"/>
    <n v="0"/>
    <n v="0"/>
    <n v="1"/>
    <n v="0"/>
    <n v="0"/>
    <n v="0"/>
    <n v="0"/>
  </r>
  <r>
    <s v="6TX026"/>
    <s v="Slöjd 1, textil"/>
    <n v="67301"/>
    <s v="FRIST"/>
    <m/>
    <s v="vt"/>
    <m/>
    <s v="Umeå"/>
    <s v="Distans"/>
    <m/>
    <m/>
    <m/>
    <n v="30"/>
    <m/>
    <m/>
    <n v="17"/>
    <n v="8.5"/>
    <n v="0.8"/>
    <n v="6.8000000000000007"/>
    <x v="9"/>
    <s v="Estetiska ämnen               "/>
    <s v="Hum"/>
    <s v="Fristående och övriga kurser"/>
    <n v="20757"/>
    <n v="36082"/>
    <n v="421792.10000000003"/>
    <n v="22600"/>
    <n v="192100"/>
    <n v="613892.10000000009"/>
    <n v="0"/>
    <n v="0"/>
    <n v="0"/>
    <n v="0"/>
    <n v="0"/>
    <n v="0"/>
    <n v="0"/>
    <n v="1"/>
    <n v="0"/>
    <n v="0"/>
    <n v="0"/>
    <n v="0"/>
  </r>
  <r>
    <s v="6TX026"/>
    <s v="Slöjd 1, textil"/>
    <m/>
    <s v="FRIST"/>
    <m/>
    <s v="ht"/>
    <m/>
    <m/>
    <s v="Distans"/>
    <m/>
    <m/>
    <n v="0.5"/>
    <n v="15"/>
    <m/>
    <m/>
    <n v="34"/>
    <n v="8.5"/>
    <n v="0.8"/>
    <n v="6.8000000000000007"/>
    <x v="9"/>
    <s v="Estetiska ämnen               "/>
    <s v="Hum"/>
    <s v="Fristående och övriga kurser"/>
    <n v="20757"/>
    <n v="36082"/>
    <n v="421792.10000000003"/>
    <n v="22600"/>
    <n v="192100"/>
    <n v="613892.10000000009"/>
    <n v="0"/>
    <n v="0"/>
    <n v="0"/>
    <n v="0"/>
    <n v="0"/>
    <n v="0"/>
    <n v="0"/>
    <n v="1"/>
    <n v="0"/>
    <n v="0"/>
    <n v="0"/>
    <n v="0"/>
  </r>
  <r>
    <s v="6TX026"/>
    <s v="Slöjd 1, textil"/>
    <n v="67204"/>
    <s v="LYLÄP"/>
    <m/>
    <s v="vt"/>
    <m/>
    <s v="Umeå"/>
    <s v="Distans"/>
    <s v="UVV3"/>
    <m/>
    <m/>
    <n v="15"/>
    <m/>
    <m/>
    <n v="1"/>
    <n v="0.25"/>
    <n v="0.85"/>
    <n v="0.21249999999999999"/>
    <x v="9"/>
    <s v="Estetiska ämnen               "/>
    <s v="Hum"/>
    <s v="VAL-projektet"/>
    <n v="20757"/>
    <n v="36082"/>
    <n v="12856.674999999999"/>
    <n v="22600"/>
    <n v="5650"/>
    <n v="18506.674999999999"/>
    <n v="0"/>
    <n v="0"/>
    <n v="0"/>
    <n v="0"/>
    <n v="0"/>
    <n v="0"/>
    <n v="0"/>
    <n v="1"/>
    <n v="0"/>
    <n v="0"/>
    <n v="0"/>
    <n v="0"/>
  </r>
  <r>
    <s v="6TX030"/>
    <s v="Väv- och kläddesign fördjupning"/>
    <n v="67300"/>
    <s v="FRIST"/>
    <m/>
    <s v="vt"/>
    <m/>
    <s v="Umeå"/>
    <s v="Distans"/>
    <m/>
    <m/>
    <m/>
    <n v="15"/>
    <m/>
    <m/>
    <n v="10"/>
    <n v="2.5"/>
    <n v="0.8"/>
    <n v="2"/>
    <x v="9"/>
    <s v="Estetiska ämnen               "/>
    <s v="Hum"/>
    <s v="Fristående och övriga kurser"/>
    <n v="20766"/>
    <n v="17442"/>
    <n v="86799"/>
    <n v="6000"/>
    <n v="15000"/>
    <n v="101799"/>
    <n v="0"/>
    <n v="1"/>
    <n v="0"/>
    <n v="0"/>
    <n v="0"/>
    <n v="0"/>
    <n v="0"/>
    <n v="0"/>
    <n v="0"/>
    <n v="0"/>
    <n v="0"/>
    <n v="0"/>
  </r>
  <r>
    <s v="6TX037"/>
    <s v="Kläddesign"/>
    <m/>
    <s v="FRIST"/>
    <m/>
    <s v="ht"/>
    <m/>
    <m/>
    <s v="Distans"/>
    <m/>
    <m/>
    <n v="0.5"/>
    <n v="15"/>
    <m/>
    <m/>
    <n v="16"/>
    <n v="4"/>
    <n v="0.8"/>
    <n v="3.2"/>
    <x v="9"/>
    <s v="Estetiska ämnen               "/>
    <s v="Hum"/>
    <s v="Fristående och övriga kurser"/>
    <n v="20757"/>
    <n v="36082"/>
    <n v="198490.40000000002"/>
    <n v="22600"/>
    <n v="90400"/>
    <n v="288890.40000000002"/>
    <n v="0"/>
    <n v="0"/>
    <n v="0"/>
    <n v="0"/>
    <n v="0"/>
    <n v="0"/>
    <n v="0"/>
    <n v="1"/>
    <n v="0"/>
    <n v="0"/>
    <n v="0"/>
    <n v="0"/>
  </r>
  <r>
    <s v="6TX038"/>
    <s v="Vävdesign"/>
    <m/>
    <s v="FRIST"/>
    <m/>
    <s v="ht"/>
    <m/>
    <m/>
    <s v="Distans"/>
    <m/>
    <m/>
    <n v="0.5"/>
    <n v="15"/>
    <m/>
    <m/>
    <n v="8"/>
    <n v="2"/>
    <n v="0.8"/>
    <n v="1.6"/>
    <x v="9"/>
    <s v="Estetiska ämnen               "/>
    <s v="Hum"/>
    <s v="Fristående och övriga kurser"/>
    <n v="20757"/>
    <n v="36082"/>
    <n v="99245.200000000012"/>
    <n v="22600"/>
    <n v="45200"/>
    <n v="144445.20000000001"/>
    <n v="0"/>
    <n v="0"/>
    <n v="0"/>
    <n v="0"/>
    <n v="0"/>
    <n v="0"/>
    <n v="0"/>
    <n v="1"/>
    <n v="0"/>
    <n v="0"/>
    <n v="0"/>
    <n v="0"/>
  </r>
  <r>
    <s v="6TX039"/>
    <s v="Virk- och stickdesign"/>
    <m/>
    <s v="FRIST"/>
    <m/>
    <s v="ht"/>
    <m/>
    <m/>
    <s v="Distans"/>
    <m/>
    <m/>
    <n v="0.5"/>
    <n v="15"/>
    <m/>
    <m/>
    <n v="16"/>
    <n v="4"/>
    <n v="0.8"/>
    <n v="3.2"/>
    <x v="9"/>
    <s v="Estetiska ämnen               "/>
    <s v="Hum"/>
    <s v="Fristående och övriga kurser"/>
    <n v="20757"/>
    <n v="36082"/>
    <n v="198490.40000000002"/>
    <n v="22600"/>
    <n v="90400"/>
    <n v="288890.40000000002"/>
    <n v="0"/>
    <n v="0"/>
    <n v="0"/>
    <n v="0"/>
    <n v="0"/>
    <n v="0"/>
    <n v="0"/>
    <n v="1"/>
    <n v="0"/>
    <n v="0"/>
    <n v="0"/>
    <n v="0"/>
  </r>
  <r>
    <s v="6TY014"/>
    <s v="Tyska III för ämneslärare med inriktning mot gymnasiet"/>
    <n v="71404"/>
    <s v="FRIST"/>
    <m/>
    <s v="vt"/>
    <m/>
    <s v="Umeå"/>
    <s v="Normal"/>
    <m/>
    <m/>
    <m/>
    <n v="30"/>
    <m/>
    <m/>
    <n v="3"/>
    <n v="1.5"/>
    <n v="0.8"/>
    <n v="1.2000000000000002"/>
    <x v="0"/>
    <s v="Inst för språkstudier"/>
    <s v="Hum"/>
    <s v="Fristående och övriga kurser"/>
    <n v="20766"/>
    <n v="17442"/>
    <n v="52079.4"/>
    <n v="6000"/>
    <n v="9000"/>
    <n v="61079.4"/>
    <n v="0"/>
    <n v="1"/>
    <n v="0"/>
    <n v="0"/>
    <n v="0"/>
    <n v="0"/>
    <n v="0"/>
    <n v="0"/>
    <n v="0"/>
    <n v="0"/>
    <n v="0"/>
    <n v="0"/>
  </r>
  <r>
    <s v="6TY014"/>
    <s v="Tyska III för ämneslärare med inriktning mot gymnasiet"/>
    <n v="71404"/>
    <s v="LYAGY"/>
    <m/>
    <s v="vt"/>
    <m/>
    <s v="Umeå"/>
    <s v="Normal"/>
    <s v="ENGS"/>
    <m/>
    <m/>
    <n v="30"/>
    <m/>
    <m/>
    <n v="1"/>
    <n v="0.5"/>
    <n v="0.85"/>
    <n v="0.42499999999999999"/>
    <x v="0"/>
    <s v="Inst för språkstudier"/>
    <s v="Hum"/>
    <s v="Ämneslärarprogrammet - Gy"/>
    <n v="20766"/>
    <n v="17442"/>
    <n v="17795.849999999999"/>
    <n v="6000"/>
    <n v="3000"/>
    <n v="20795.849999999999"/>
    <n v="0"/>
    <n v="1"/>
    <n v="0"/>
    <n v="0"/>
    <n v="0"/>
    <n v="0"/>
    <n v="0"/>
    <n v="0"/>
    <n v="0"/>
    <n v="0"/>
    <n v="0"/>
    <n v="0"/>
  </r>
  <r>
    <s v="6TY021"/>
    <s v="Att undervisa i tyska (VFU)"/>
    <m/>
    <s v="LYAGY"/>
    <s v="H19"/>
    <s v="ht"/>
    <s v="H2113-16"/>
    <s v="Umeå"/>
    <m/>
    <s v="TYSK"/>
    <m/>
    <n v="1"/>
    <n v="6"/>
    <m/>
    <m/>
    <n v="1"/>
    <n v="0.1"/>
    <n v="0.85"/>
    <n v="8.5000000000000006E-2"/>
    <x v="0"/>
    <s v="Inst för språkstudier"/>
    <s v="Hum"/>
    <s v="Ämneslärarprogrammet - Gy"/>
    <n v="25235"/>
    <n v="27976"/>
    <n v="4901.46"/>
    <n v="3600"/>
    <n v="360"/>
    <n v="5261.46"/>
    <n v="0"/>
    <n v="0"/>
    <n v="0"/>
    <n v="0"/>
    <n v="0"/>
    <n v="0"/>
    <n v="0"/>
    <n v="0"/>
    <n v="1"/>
    <n v="0"/>
    <n v="0"/>
    <n v="0"/>
  </r>
  <r>
    <s v="6TY022"/>
    <s v="Tyska för ämneslärare, kurs 1"/>
    <n v="71414"/>
    <s v="FRIST"/>
    <m/>
    <s v="vt"/>
    <m/>
    <s v="Umeå"/>
    <s v="Normal"/>
    <m/>
    <m/>
    <m/>
    <n v="30"/>
    <m/>
    <m/>
    <n v="2"/>
    <n v="1"/>
    <n v="0.8"/>
    <n v="0.8"/>
    <x v="0"/>
    <s v="Inst för språkstudier"/>
    <s v="Hum"/>
    <s v="Fristående och övriga kurser"/>
    <n v="20766"/>
    <n v="17442"/>
    <n v="34719.599999999999"/>
    <n v="6000"/>
    <n v="6000"/>
    <n v="40719.599999999999"/>
    <n v="0"/>
    <n v="1"/>
    <n v="0"/>
    <n v="0"/>
    <n v="0"/>
    <n v="0"/>
    <n v="0"/>
    <n v="0"/>
    <n v="0"/>
    <n v="0"/>
    <n v="0"/>
    <n v="0"/>
  </r>
  <r>
    <s v="6TY022"/>
    <s v="Tyska för ämneslärare, kurs 1"/>
    <n v="71414"/>
    <s v="LYAGY"/>
    <m/>
    <s v="vt"/>
    <m/>
    <s v="Umeå"/>
    <s v="Normal"/>
    <s v="SVAA"/>
    <m/>
    <m/>
    <n v="30"/>
    <m/>
    <m/>
    <n v="1"/>
    <n v="0.5"/>
    <n v="0.85"/>
    <n v="0.42499999999999999"/>
    <x v="0"/>
    <s v="Inst för språkstudier"/>
    <s v="Hum"/>
    <s v="Ämneslärarprogrammet - Gy"/>
    <n v="20766"/>
    <n v="17442"/>
    <n v="17795.849999999999"/>
    <n v="6000"/>
    <n v="3000"/>
    <n v="20795.849999999999"/>
    <n v="0"/>
    <n v="1"/>
    <n v="0"/>
    <n v="0"/>
    <n v="0"/>
    <n v="0"/>
    <n v="0"/>
    <n v="0"/>
    <n v="0"/>
    <n v="0"/>
    <n v="0"/>
    <n v="0"/>
  </r>
  <r>
    <s v="6TY023"/>
    <s v="Tyska för ämneslärare, kurs 2"/>
    <m/>
    <s v="FRIST"/>
    <m/>
    <s v="ht"/>
    <m/>
    <m/>
    <s v="Campus"/>
    <m/>
    <m/>
    <n v="1"/>
    <n v="30"/>
    <m/>
    <m/>
    <n v="1"/>
    <n v="0.5"/>
    <n v="0.8"/>
    <n v="0.4"/>
    <x v="0"/>
    <s v="Inst för språkstudier"/>
    <s v="Hum"/>
    <s v="Fristående och övriga kurser"/>
    <n v="20766"/>
    <n v="17442"/>
    <n v="17359.8"/>
    <n v="6000"/>
    <n v="3000"/>
    <n v="20359.8"/>
    <n v="0"/>
    <n v="1"/>
    <n v="0"/>
    <n v="0"/>
    <n v="0"/>
    <n v="0"/>
    <n v="0"/>
    <n v="0"/>
    <n v="0"/>
    <n v="0"/>
    <n v="0"/>
    <n v="0"/>
  </r>
  <r>
    <s v="6TY023"/>
    <s v="Tyska för ämneslärare, kurs 2"/>
    <m/>
    <s v="LYAGY"/>
    <s v="H18"/>
    <s v="ht"/>
    <s v="H211-20"/>
    <s v="Umeå"/>
    <m/>
    <s v="SVAA"/>
    <m/>
    <n v="1"/>
    <n v="30"/>
    <m/>
    <m/>
    <n v="1"/>
    <n v="0.5"/>
    <n v="0.85"/>
    <n v="0.42499999999999999"/>
    <x v="0"/>
    <s v="Inst för språkstudier"/>
    <s v="Hum"/>
    <s v="Ämneslärarprogrammet - Gy"/>
    <n v="20766"/>
    <n v="17442"/>
    <n v="17795.849999999999"/>
    <n v="6000"/>
    <n v="3000"/>
    <n v="20795.849999999999"/>
    <n v="0"/>
    <n v="1"/>
    <n v="0"/>
    <n v="0"/>
    <n v="0"/>
    <n v="0"/>
    <n v="0"/>
    <n v="0"/>
    <n v="0"/>
    <n v="0"/>
    <n v="0"/>
    <n v="0"/>
  </r>
  <r>
    <s v="6TY023"/>
    <s v="Tyska för ämneslärare, kurs 2"/>
    <m/>
    <s v="LYAGY"/>
    <s v="H20"/>
    <s v="ht"/>
    <s v="H211-20"/>
    <s v="Umeå"/>
    <m/>
    <s v="TYSK"/>
    <m/>
    <n v="1"/>
    <n v="30"/>
    <m/>
    <m/>
    <n v="1"/>
    <n v="0.5"/>
    <n v="0.85"/>
    <n v="0.42499999999999999"/>
    <x v="0"/>
    <s v="Inst för språkstudier"/>
    <s v="Hum"/>
    <s v="Ämneslärarprogrammet - Gy"/>
    <n v="20766"/>
    <n v="17442"/>
    <n v="17795.849999999999"/>
    <n v="6000"/>
    <n v="3000"/>
    <n v="20795.849999999999"/>
    <n v="0"/>
    <n v="1"/>
    <n v="0"/>
    <n v="0"/>
    <n v="0"/>
    <n v="0"/>
    <n v="0"/>
    <n v="0"/>
    <n v="0"/>
    <n v="0"/>
    <n v="0"/>
    <n v="0"/>
  </r>
  <r>
    <s v="6ÖÄ003"/>
    <s v="Examensarbete"/>
    <s v="ÖÄ003"/>
    <s v="LGRSY"/>
    <m/>
    <s v="vt"/>
    <m/>
    <s v="Umeå"/>
    <s v="Distans"/>
    <s v="SVEN"/>
    <m/>
    <m/>
    <n v="15"/>
    <m/>
    <m/>
    <n v="1"/>
    <n v="0.25"/>
    <n v="0.85"/>
    <n v="0.21249999999999999"/>
    <x v="13"/>
    <s v="TUV "/>
    <s v="Sam"/>
    <s v="Fristående och övriga kurser"/>
    <n v="26554"/>
    <n v="33465"/>
    <n v="13749.8125"/>
    <n v="6000"/>
    <n v="1500"/>
    <n v="15249.8125"/>
    <n v="0"/>
    <n v="0"/>
    <n v="0"/>
    <n v="1"/>
    <n v="0"/>
    <n v="0"/>
    <n v="0"/>
    <n v="0"/>
    <n v="0"/>
    <n v="0"/>
    <n v="0"/>
    <n v="0"/>
  </r>
  <r>
    <s v="6ÖÄ003"/>
    <s v="Examensarbete"/>
    <s v="ÖÄ003"/>
    <s v="LYLÄR"/>
    <m/>
    <s v="vt"/>
    <m/>
    <s v="Umeå"/>
    <s v="Distans"/>
    <s v="TIDA"/>
    <m/>
    <m/>
    <n v="15"/>
    <m/>
    <m/>
    <n v="1"/>
    <n v="0.25"/>
    <n v="0.85"/>
    <n v="0.21249999999999999"/>
    <x v="13"/>
    <s v="TUV "/>
    <s v="Sam"/>
    <s v="Lärarprogram långa - före ht11"/>
    <n v="26554"/>
    <n v="33465"/>
    <n v="13749.8125"/>
    <n v="6000"/>
    <n v="1500"/>
    <n v="15249.8125"/>
    <n v="0"/>
    <n v="0"/>
    <n v="0"/>
    <n v="1"/>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1" cacheId="2"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26:AL48" firstHeaderRow="1" firstDataRow="2" firstDataCol="1"/>
  <pivotFields count="20">
    <pivotField compact="0" outline="0" showAll="0"/>
    <pivotField compact="0" outline="0" showAll="0"/>
    <pivotField axis="axisRow" compact="0" outline="0" showAll="0" sortType="ascending" defaultSubtotal="0">
      <items count="23">
        <item x="7"/>
        <item m="1" x="21"/>
        <item x="8"/>
        <item x="15"/>
        <item x="0"/>
        <item x="1"/>
        <item x="11"/>
        <item x="18"/>
        <item x="17"/>
        <item x="13"/>
        <item x="9"/>
        <item x="16"/>
        <item x="2"/>
        <item x="12"/>
        <item x="4"/>
        <item m="1" x="20"/>
        <item x="3"/>
        <item m="1" x="22"/>
        <item x="5"/>
        <item x="6"/>
        <item x="14"/>
        <item x="10"/>
        <item x="19"/>
      </items>
    </pivotField>
    <pivotField compact="0" outline="0" showAll="0" sortType="ascending"/>
    <pivotField compact="0" outline="0" showAll="0"/>
    <pivotField compact="0" numFmtId="9" outline="0" showAll="0" defaultSubtotal="0"/>
    <pivotField compact="0" outline="0" showAll="0"/>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2"/>
  </rowFields>
  <rowItems count="21">
    <i>
      <x/>
    </i>
    <i>
      <x v="2"/>
    </i>
    <i>
      <x v="3"/>
    </i>
    <i>
      <x v="4"/>
    </i>
    <i>
      <x v="5"/>
    </i>
    <i>
      <x v="6"/>
    </i>
    <i>
      <x v="7"/>
    </i>
    <i>
      <x v="8"/>
    </i>
    <i>
      <x v="9"/>
    </i>
    <i>
      <x v="10"/>
    </i>
    <i>
      <x v="11"/>
    </i>
    <i>
      <x v="12"/>
    </i>
    <i>
      <x v="13"/>
    </i>
    <i>
      <x v="14"/>
    </i>
    <i>
      <x v="16"/>
    </i>
    <i>
      <x v="18"/>
    </i>
    <i>
      <x v="19"/>
    </i>
    <i>
      <x v="20"/>
    </i>
    <i>
      <x v="21"/>
    </i>
    <i>
      <x v="22"/>
    </i>
    <i t="grand">
      <x/>
    </i>
  </rowItems>
  <colFields count="1">
    <field x="-2"/>
  </colFields>
  <colItems count="4">
    <i>
      <x/>
    </i>
    <i i="1">
      <x v="1"/>
    </i>
    <i i="2">
      <x v="2"/>
    </i>
    <i i="3">
      <x v="3"/>
    </i>
  </colItems>
  <dataFields count="4">
    <dataField name="Summa av Lokalintäkt" fld="19" baseField="2" baseItem="5" numFmtId="171"/>
    <dataField name=" Kursintäkt efter avdrag" fld="18" baseField="0" baseItem="0" numFmtId="171"/>
    <dataField name=" HST medv" fld="10" baseField="0" baseItem="0" numFmtId="3"/>
    <dataField name=" HPr medv" fld="12" baseField="0" baseItem="0" numFmtId="3"/>
  </dataFields>
  <formats count="1">
    <format dxfId="71">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2.xml><?xml version="1.0" encoding="utf-8"?>
<pivotTableDefinition xmlns="http://schemas.openxmlformats.org/spreadsheetml/2006/main" name="Pivottabell2" cacheId="2"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51:AL62" firstHeaderRow="1" firstDataRow="2" firstDataCol="1"/>
  <pivotFields count="20">
    <pivotField compact="0" outline="0" showAll="0"/>
    <pivotField compact="0" outline="0" showAll="0"/>
    <pivotField compact="0" outline="0" showAll="0" defaultSubtotal="0"/>
    <pivotField compact="0" outline="0" showAll="0"/>
    <pivotField compact="0" outline="0" showAll="0"/>
    <pivotField compact="0" numFmtId="9" outline="0" showAll="0" defaultSubtotal="0"/>
    <pivotField axis="axisRow" compact="0" outline="0" showAll="0" sortType="ascending">
      <items count="11">
        <item x="5"/>
        <item x="1"/>
        <item x="0"/>
        <item x="2"/>
        <item x="6"/>
        <item x="7"/>
        <item x="3"/>
        <item m="1" x="9"/>
        <item x="4"/>
        <item x="8"/>
        <item t="default"/>
      </items>
    </pivotField>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6"/>
  </rowFields>
  <rowItems count="10">
    <i>
      <x/>
    </i>
    <i>
      <x v="1"/>
    </i>
    <i>
      <x v="2"/>
    </i>
    <i>
      <x v="3"/>
    </i>
    <i>
      <x v="4"/>
    </i>
    <i>
      <x v="5"/>
    </i>
    <i>
      <x v="6"/>
    </i>
    <i>
      <x v="8"/>
    </i>
    <i>
      <x v="9"/>
    </i>
    <i t="grand">
      <x/>
    </i>
  </rowItems>
  <colFields count="1">
    <field x="-2"/>
  </colFields>
  <colItems count="4">
    <i>
      <x/>
    </i>
    <i i="1">
      <x v="1"/>
    </i>
    <i i="2">
      <x v="2"/>
    </i>
    <i i="3">
      <x v="3"/>
    </i>
  </colItems>
  <dataFields count="4">
    <dataField name="Summa av Lokalintäkt" fld="19" baseField="6" baseItem="4" numFmtId="171"/>
    <dataField name=" Kursintäkt efter avdrag" fld="18" baseField="0" baseItem="0" numFmtId="171"/>
    <dataField name=" HST medv" fld="10" baseField="0" baseItem="0" numFmtId="3"/>
    <dataField name=" HPR medv" fld="12" baseField="0" baseItem="0" numFmtId="3"/>
  </dataFields>
  <formats count="3">
    <format dxfId="74">
      <pivotArea outline="0" fieldPosition="0">
        <references count="1">
          <reference field="4294967294" count="1">
            <x v="1"/>
          </reference>
        </references>
      </pivotArea>
    </format>
    <format dxfId="73">
      <pivotArea outline="0" fieldPosition="0">
        <references count="1">
          <reference field="4294967294" count="1">
            <x v="0"/>
          </reference>
        </references>
      </pivotArea>
    </format>
    <format dxfId="72">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3.xml><?xml version="1.0" encoding="utf-8"?>
<pivotTableDefinition xmlns="http://schemas.openxmlformats.org/spreadsheetml/2006/main" name="Pivottabell3" cacheId="3"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H1:AL20" firstHeaderRow="1" firstDataRow="2" firstDataCol="1"/>
  <pivotFields count="4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axis="axisRow" compact="0" outline="0" subtotalTop="0" showAll="0" includeNewItemsInFilter="1" sortType="ascending">
      <items count="18">
        <item x="0"/>
        <item x="11"/>
        <item x="9"/>
        <item x="12"/>
        <item x="13"/>
        <item x="1"/>
        <item x="16"/>
        <item x="14"/>
        <item x="15"/>
        <item x="3"/>
        <item x="2"/>
        <item x="4"/>
        <item x="5"/>
        <item x="8"/>
        <item x="6"/>
        <item x="7"/>
        <item x="10"/>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8">
    <i>
      <x/>
    </i>
    <i>
      <x v="1"/>
    </i>
    <i>
      <x v="2"/>
    </i>
    <i>
      <x v="3"/>
    </i>
    <i>
      <x v="4"/>
    </i>
    <i>
      <x v="5"/>
    </i>
    <i>
      <x v="6"/>
    </i>
    <i>
      <x v="7"/>
    </i>
    <i>
      <x v="8"/>
    </i>
    <i>
      <x v="9"/>
    </i>
    <i>
      <x v="10"/>
    </i>
    <i>
      <x v="11"/>
    </i>
    <i>
      <x v="12"/>
    </i>
    <i>
      <x v="13"/>
    </i>
    <i>
      <x v="14"/>
    </i>
    <i>
      <x v="15"/>
    </i>
    <i>
      <x v="16"/>
    </i>
    <i t="grand">
      <x/>
    </i>
  </rowItems>
  <colFields count="1">
    <field x="-2"/>
  </colFields>
  <colItems count="4">
    <i>
      <x/>
    </i>
    <i i="1">
      <x v="1"/>
    </i>
    <i i="2">
      <x v="2"/>
    </i>
    <i i="3">
      <x v="3"/>
    </i>
  </colItems>
  <dataFields count="4">
    <dataField name=" Lokalintäkt" fld="27" baseField="0" baseItem="0" numFmtId="171"/>
    <dataField name=" Kursintäkt" fld="25" baseField="0" baseItem="0" numFmtId="171"/>
    <dataField name=" HST" fld="16" baseField="0" baseItem="0" numFmtId="3"/>
    <dataField name=" HPR" fld="18" baseField="0" baseItem="0" numFmtId="3"/>
  </dataFields>
  <pivotTableStyleInfo showRowHeaders="1" showColHeaders="1" showRowStripes="0" showColStripes="0" showLastColumn="1"/>
</pivotTableDefinition>
</file>

<file path=xl/pivotTables/pivotTable4.xml><?xml version="1.0" encoding="utf-8"?>
<pivotTableDefinition xmlns="http://schemas.openxmlformats.org/spreadsheetml/2006/main" name="Pivottabell2" cacheId="2"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2:K148" firstHeaderRow="1" firstDataRow="2" firstDataCol="7"/>
  <pivotFields count="20">
    <pivotField axis="axisRow" compact="0" outline="0" subtotalTop="0" showAll="0" includeNewItemsInFilter="1" defaultSubtotal="0">
      <items count="146">
        <item m="1" x="128"/>
        <item x="13"/>
        <item m="1" x="138"/>
        <item m="1" x="117"/>
        <item m="1" x="145"/>
        <item m="1" x="88"/>
        <item m="1" x="97"/>
        <item m="1" x="102"/>
        <item m="1" x="108"/>
        <item m="1" x="129"/>
        <item m="1" x="91"/>
        <item x="28"/>
        <item m="1" x="99"/>
        <item m="1" x="103"/>
        <item x="67"/>
        <item x="68"/>
        <item x="69"/>
        <item m="1" x="89"/>
        <item m="1" x="109"/>
        <item m="1" x="114"/>
        <item m="1" x="111"/>
        <item x="19"/>
        <item x="20"/>
        <item m="1" x="104"/>
        <item m="1" x="137"/>
        <item m="1" x="116"/>
        <item m="1" x="96"/>
        <item m="1" x="143"/>
        <item m="1" x="83"/>
        <item m="1" x="85"/>
        <item m="1" x="90"/>
        <item m="1" x="94"/>
        <item m="1" x="125"/>
        <item x="15"/>
        <item m="1" x="115"/>
        <item m="1" x="119"/>
        <item m="1" x="106"/>
        <item m="1" x="113"/>
        <item m="1" x="121"/>
        <item m="1" x="126"/>
        <item m="1" x="134"/>
        <item x="78"/>
        <item m="1" x="86"/>
        <item m="1" x="141"/>
        <item m="1" x="135"/>
        <item m="1" x="133"/>
        <item m="1" x="120"/>
        <item m="1" x="144"/>
        <item m="1" x="82"/>
        <item m="1" x="123"/>
        <item m="1" x="127"/>
        <item m="1" x="130"/>
        <item m="1" x="136"/>
        <item m="1" x="140"/>
        <item m="1" x="95"/>
        <item m="1" x="132"/>
        <item x="29"/>
        <item x="16"/>
        <item x="17"/>
        <item m="1" x="107"/>
        <item x="30"/>
        <item x="31"/>
        <item m="1" x="112"/>
        <item m="1" x="84"/>
        <item m="1" x="139"/>
        <item m="1" x="93"/>
        <item x="70"/>
        <item x="23"/>
        <item x="24"/>
        <item x="25"/>
        <item m="1" x="92"/>
        <item x="32"/>
        <item m="1" x="98"/>
        <item x="0"/>
        <item x="5"/>
        <item m="1" x="101"/>
        <item m="1" x="118"/>
        <item x="26"/>
        <item x="34"/>
        <item x="35"/>
        <item x="36"/>
        <item x="37"/>
        <item x="38"/>
        <item x="39"/>
        <item x="41"/>
        <item x="42"/>
        <item x="44"/>
        <item x="46"/>
        <item sd="0" x="47"/>
        <item x="66"/>
        <item x="79"/>
        <item x="40"/>
        <item x="43"/>
        <item x="48"/>
        <item x="21"/>
        <item x="45"/>
        <item x="49"/>
        <item x="50"/>
        <item x="51"/>
        <item m="1" x="122"/>
        <item m="1" x="131"/>
        <item x="8"/>
        <item x="6"/>
        <item x="56"/>
        <item x="57"/>
        <item x="55"/>
        <item x="58"/>
        <item x="52"/>
        <item x="33"/>
        <item m="1" x="142"/>
        <item m="1" x="87"/>
        <item x="12"/>
        <item x="53"/>
        <item x="54"/>
        <item x="71"/>
        <item x="72"/>
        <item x="73"/>
        <item x="27"/>
        <item x="4"/>
        <item m="1" x="124"/>
        <item x="59"/>
        <item m="1" x="100"/>
        <item m="1" x="105"/>
        <item x="75"/>
        <item x="1"/>
        <item x="63"/>
        <item x="9"/>
        <item x="10"/>
        <item x="61"/>
        <item x="62"/>
        <item x="76"/>
        <item x="18"/>
        <item x="11"/>
        <item x="14"/>
        <item x="22"/>
        <item x="64"/>
        <item x="65"/>
        <item x="74"/>
        <item x="77"/>
        <item m="1" x="110"/>
        <item x="81"/>
        <item x="7"/>
        <item x="60"/>
        <item x="80"/>
        <item x="2"/>
        <item x="3"/>
      </items>
    </pivotField>
    <pivotField axis="axisRow" compact="0" outline="0" subtotalTop="0" showAll="0" includeNewItemsInFilter="1" defaultSubtotal="0">
      <items count="139">
        <item x="71"/>
        <item x="12"/>
        <item m="1" x="105"/>
        <item m="1" x="108"/>
        <item m="1" x="115"/>
        <item m="1" x="91"/>
        <item m="1" x="95"/>
        <item m="1" x="92"/>
        <item m="1" x="117"/>
        <item m="1" x="138"/>
        <item x="27"/>
        <item m="1" x="103"/>
        <item m="1" x="99"/>
        <item x="64"/>
        <item x="65"/>
        <item x="66"/>
        <item m="1" x="111"/>
        <item m="1" x="86"/>
        <item m="1" x="137"/>
        <item m="1" x="97"/>
        <item m="1" x="118"/>
        <item x="18"/>
        <item x="19"/>
        <item m="1" x="133"/>
        <item m="1" x="112"/>
        <item m="1" x="88"/>
        <item m="1" x="107"/>
        <item m="1" x="79"/>
        <item m="1" x="120"/>
        <item m="1" x="131"/>
        <item m="1" x="125"/>
        <item x="15"/>
        <item x="16"/>
        <item m="1" x="89"/>
        <item m="1" x="101"/>
        <item x="11"/>
        <item x="14"/>
        <item m="1" x="124"/>
        <item m="1" x="132"/>
        <item m="1" x="129"/>
        <item m="1" x="109"/>
        <item m="1" x="128"/>
        <item m="1" x="122"/>
        <item m="1" x="104"/>
        <item m="1" x="84"/>
        <item m="1" x="93"/>
        <item m="1" x="130"/>
        <item m="1" x="113"/>
        <item m="1" x="80"/>
        <item m="1" x="134"/>
        <item x="55"/>
        <item m="1" x="94"/>
        <item m="1" x="135"/>
        <item m="1" x="127"/>
        <item x="28"/>
        <item m="1" x="123"/>
        <item x="76"/>
        <item x="75"/>
        <item x="29"/>
        <item x="30"/>
        <item m="1" x="121"/>
        <item m="1" x="85"/>
        <item m="1" x="96"/>
        <item m="1" x="100"/>
        <item x="67"/>
        <item x="31"/>
        <item x="25"/>
        <item x="22"/>
        <item x="23"/>
        <item x="24"/>
        <item m="1" x="110"/>
        <item m="1" x="87"/>
        <item x="52"/>
        <item x="57"/>
        <item x="0"/>
        <item x="4"/>
        <item m="1" x="90"/>
        <item m="1" x="106"/>
        <item x="33"/>
        <item x="34"/>
        <item x="35"/>
        <item x="36"/>
        <item x="37"/>
        <item x="38"/>
        <item x="40"/>
        <item x="41"/>
        <item x="43"/>
        <item x="45"/>
        <item x="46"/>
        <item x="63"/>
        <item x="39"/>
        <item x="42"/>
        <item x="47"/>
        <item x="20"/>
        <item x="44"/>
        <item m="1" x="116"/>
        <item x="48"/>
        <item x="49"/>
        <item x="50"/>
        <item x="7"/>
        <item m="1" x="136"/>
        <item x="5"/>
        <item x="54"/>
        <item x="51"/>
        <item x="32"/>
        <item m="1" x="83"/>
        <item x="53"/>
        <item x="68"/>
        <item x="69"/>
        <item x="70"/>
        <item x="26"/>
        <item m="1" x="114"/>
        <item x="3"/>
        <item x="58"/>
        <item m="1" x="102"/>
        <item m="1" x="82"/>
        <item x="72"/>
        <item x="1"/>
        <item m="1" x="81"/>
        <item m="1" x="119"/>
        <item m="1" x="98"/>
        <item m="1" x="126"/>
        <item x="60"/>
        <item x="61"/>
        <item x="73"/>
        <item x="17"/>
        <item x="8"/>
        <item x="9"/>
        <item x="10"/>
        <item x="13"/>
        <item x="21"/>
        <item x="62"/>
        <item x="74"/>
        <item x="78"/>
        <item x="6"/>
        <item x="59"/>
        <item x="56"/>
        <item x="77"/>
        <item x="2"/>
      </items>
    </pivotField>
    <pivotField axis="axisRow" compact="0" outline="0" showAll="0">
      <items count="24">
        <item x="7"/>
        <item m="1" x="21"/>
        <item x="8"/>
        <item x="15"/>
        <item x="0"/>
        <item x="1"/>
        <item x="11"/>
        <item x="18"/>
        <item x="17"/>
        <item x="13"/>
        <item x="9"/>
        <item x="16"/>
        <item x="2"/>
        <item x="12"/>
        <item m="1" x="20"/>
        <item x="3"/>
        <item m="1" x="22"/>
        <item x="6"/>
        <item x="14"/>
        <item x="10"/>
        <item x="5"/>
        <item x="4"/>
        <item x="19"/>
        <item t="default"/>
      </items>
    </pivotField>
    <pivotField axis="axisRow" compact="0" outline="0" subtotalTop="0" showAll="0" includeNewItemsInFilter="1" defaultSubtotal="0">
      <items count="23">
        <item x="2"/>
        <item x="15"/>
        <item x="3"/>
        <item m="1" x="22"/>
        <item x="8"/>
        <item x="14"/>
        <item x="7"/>
        <item m="1" x="20"/>
        <item x="17"/>
        <item x="0"/>
        <item x="18"/>
        <item x="11"/>
        <item x="10"/>
        <item x="13"/>
        <item m="1" x="21"/>
        <item x="5"/>
        <item x="6"/>
        <item x="16"/>
        <item x="1"/>
        <item x="9"/>
        <item x="12"/>
        <item x="4"/>
        <item x="19"/>
      </items>
    </pivotField>
    <pivotField axis="axisRow" compact="0" outline="0" subtotalTop="0" showAll="0" includeNewItemsInFilter="1">
      <items count="6">
        <item x="3"/>
        <item x="1"/>
        <item x="0"/>
        <item x="2"/>
        <item x="4"/>
        <item t="default"/>
      </items>
    </pivotField>
    <pivotField axis="axisRow" compact="0" outline="0" showAll="0" defaultSubtotal="0">
      <items count="37">
        <item x="1"/>
        <item x="3"/>
        <item x="0"/>
        <item x="2"/>
        <item x="19"/>
        <item x="12"/>
        <item x="5"/>
        <item x="25"/>
        <item m="1" x="35"/>
        <item m="1" x="30"/>
        <item x="10"/>
        <item m="1" x="32"/>
        <item x="27"/>
        <item x="11"/>
        <item m="1" x="31"/>
        <item m="1" x="34"/>
        <item x="26"/>
        <item x="20"/>
        <item x="6"/>
        <item x="8"/>
        <item m="1" x="36"/>
        <item m="1" x="29"/>
        <item x="4"/>
        <item m="1" x="33"/>
        <item x="13"/>
        <item x="16"/>
        <item x="17"/>
        <item x="18"/>
        <item x="9"/>
        <item x="14"/>
        <item x="15"/>
        <item x="21"/>
        <item x="22"/>
        <item x="23"/>
        <item x="24"/>
        <item x="7"/>
        <item x="28"/>
      </items>
    </pivotField>
    <pivotField compact="0" outline="0" subtotalTop="0" showAll="0" includeNewItemsInFilter="1">
      <items count="11">
        <item x="5"/>
        <item x="1"/>
        <item sd="0" x="2"/>
        <item x="0"/>
        <item x="4"/>
        <item x="6"/>
        <item x="7"/>
        <item x="3"/>
        <item m="1" x="9"/>
        <item x="8"/>
        <item t="default"/>
      </items>
    </pivotField>
    <pivotField axis="axisRow" compact="0" outline="0" subtotalTop="0" showAll="0" includeNewItemsInFilter="1" defaultSubtotal="0">
      <items count="12">
        <item x="0"/>
        <item x="1"/>
        <item x="5"/>
        <item x="2"/>
        <item x="7"/>
        <item x="4"/>
        <item m="1" x="10"/>
        <item x="6"/>
        <item m="1" x="9"/>
        <item m="1" x="11"/>
        <item x="3"/>
        <item x="8"/>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ubtotalTop="0" showAll="0"/>
    <pivotField compact="0" outline="0" showAll="0" defaultSubtotal="0"/>
    <pivotField compact="0" outline="0" subtotalTop="0" showAll="0" includeNewItemsInFilter="1"/>
    <pivotField dataField="1" compact="0" outline="0" showAll="0" defaultSubtotal="0"/>
    <pivotField dataField="1" compact="0" outline="0" subtotalTop="0" showAll="0"/>
  </pivotFields>
  <rowFields count="7">
    <field x="4"/>
    <field x="2"/>
    <field x="3"/>
    <field x="0"/>
    <field x="1"/>
    <field x="7"/>
    <field x="5"/>
  </rowFields>
  <rowItems count="145">
    <i>
      <x/>
      <x/>
      <x v="6"/>
      <x v="97"/>
      <x v="97"/>
      <x v="5"/>
      <x v="17"/>
    </i>
    <i r="3">
      <x v="98"/>
      <x v="98"/>
      <x v="5"/>
      <x v="5"/>
    </i>
    <i r="3">
      <x v="103"/>
      <x v="50"/>
      <x v="5"/>
      <x v="5"/>
    </i>
    <i r="3">
      <x v="104"/>
      <x v="136"/>
      <x v="5"/>
      <x v="5"/>
    </i>
    <i r="3">
      <x v="105"/>
      <x v="102"/>
      <x v="5"/>
      <x v="29"/>
    </i>
    <i r="3">
      <x v="106"/>
      <x v="73"/>
      <x v="5"/>
      <x v="10"/>
    </i>
    <i r="3">
      <x v="114"/>
      <x v="107"/>
      <x v="3"/>
      <x v="2"/>
    </i>
    <i r="3">
      <x v="120"/>
      <x v="113"/>
      <x v="5"/>
      <x v="19"/>
    </i>
    <i r="3">
      <x v="127"/>
      <x v="127"/>
      <x v="1"/>
      <x v="2"/>
    </i>
    <i t="default" r="1">
      <x/>
    </i>
    <i r="1">
      <x v="2"/>
      <x v="4"/>
      <x v="1"/>
      <x v="1"/>
      <x v="1"/>
      <x v="6"/>
    </i>
    <i r="3">
      <x v="58"/>
      <x v="32"/>
      <x v="1"/>
      <x v="19"/>
    </i>
    <i r="3">
      <x v="89"/>
      <x v="89"/>
      <x v="2"/>
      <x v="6"/>
    </i>
    <i r="3">
      <x v="123"/>
      <x v="116"/>
      <x v="2"/>
      <x v="6"/>
    </i>
    <i r="3">
      <x v="127"/>
      <x v="127"/>
      <x v="1"/>
      <x v="18"/>
    </i>
    <i r="3">
      <x v="130"/>
      <x v="124"/>
      <x v="2"/>
      <x v="6"/>
    </i>
    <i r="3">
      <x v="131"/>
      <x v="125"/>
      <x v="1"/>
      <x v="28"/>
    </i>
    <i r="3">
      <x v="134"/>
      <x v="130"/>
      <x v="2"/>
      <x v="22"/>
    </i>
    <i r="3">
      <x v="138"/>
      <x v="132"/>
      <x v="2"/>
      <x v="6"/>
    </i>
    <i t="default" r="1">
      <x v="2"/>
    </i>
    <i r="1">
      <x v="3"/>
      <x v="1"/>
      <x v="11"/>
      <x v="10"/>
      <x v="7"/>
      <x v="5"/>
    </i>
    <i r="3">
      <x v="96"/>
      <x v="96"/>
      <x v="5"/>
      <x v="13"/>
    </i>
    <i r="3">
      <x v="105"/>
      <x v="102"/>
      <x v="5"/>
      <x v="22"/>
    </i>
    <i r="3">
      <x v="106"/>
      <x v="73"/>
      <x v="5"/>
      <x v="10"/>
    </i>
    <i t="default" r="1">
      <x v="3"/>
    </i>
    <i t="default">
      <x/>
    </i>
    <i>
      <x v="1"/>
      <x v="15"/>
      <x v="2"/>
      <x v="74"/>
      <x v="75"/>
      <x v="3"/>
      <x v="3"/>
    </i>
    <i r="3">
      <x v="141"/>
      <x v="134"/>
      <x v="3"/>
      <x v="3"/>
    </i>
    <i t="default" r="1">
      <x v="15"/>
    </i>
    <i r="1">
      <x v="20"/>
      <x v="15"/>
      <x v="102"/>
      <x v="101"/>
      <x v="3"/>
      <x v="22"/>
    </i>
    <i t="default" r="1">
      <x v="20"/>
    </i>
    <i t="default">
      <x v="1"/>
    </i>
    <i>
      <x v="2"/>
      <x v="4"/>
      <x v="9"/>
      <x v="14"/>
      <x v="13"/>
      <x v="4"/>
      <x v="2"/>
    </i>
    <i r="3">
      <x v="15"/>
      <x v="14"/>
      <x v="4"/>
      <x v="2"/>
    </i>
    <i r="3">
      <x v="16"/>
      <x v="15"/>
      <x v="4"/>
      <x v="7"/>
    </i>
    <i r="3">
      <x v="33"/>
      <x v="36"/>
      <x v="1"/>
      <x v="6"/>
    </i>
    <i r="3">
      <x v="41"/>
      <x v="57"/>
      <x v="7"/>
      <x v="4"/>
    </i>
    <i r="3">
      <x v="57"/>
      <x v="31"/>
      <x v="1"/>
      <x v="18"/>
    </i>
    <i r="3">
      <x v="71"/>
      <x v="65"/>
      <x v="7"/>
      <x v="2"/>
    </i>
    <i r="3">
      <x v="73"/>
      <x v="74"/>
      <x/>
      <x v="2"/>
    </i>
    <i r="3">
      <x v="78"/>
      <x v="78"/>
      <x v="5"/>
      <x v="13"/>
    </i>
    <i r="3">
      <x v="80"/>
      <x v="80"/>
      <x v="7"/>
      <x v="13"/>
    </i>
    <i r="3">
      <x v="81"/>
      <x v="81"/>
      <x v="7"/>
      <x v="24"/>
    </i>
    <i r="3">
      <x v="82"/>
      <x v="82"/>
      <x v="7"/>
      <x v="29"/>
    </i>
    <i r="3">
      <x v="87"/>
      <x v="87"/>
      <x v="5"/>
      <x v="26"/>
    </i>
    <i r="3">
      <x v="90"/>
      <x v="56"/>
      <x v="7"/>
      <x v="12"/>
    </i>
    <i r="3">
      <x v="93"/>
      <x v="92"/>
      <x v="5"/>
      <x v="26"/>
    </i>
    <i r="3">
      <x v="95"/>
      <x v="94"/>
      <x v="7"/>
      <x v="2"/>
    </i>
    <i r="3">
      <x v="96"/>
      <x v="96"/>
      <x v="5"/>
      <x v="2"/>
    </i>
    <i r="3">
      <x v="97"/>
      <x v="97"/>
      <x v="5"/>
      <x v="18"/>
    </i>
    <i r="3">
      <x v="107"/>
      <x v="103"/>
      <x v="7"/>
      <x v="4"/>
    </i>
    <i r="3">
      <x v="112"/>
      <x v="72"/>
      <x v="7"/>
      <x v="19"/>
    </i>
    <i r="3">
      <x v="113"/>
      <x v="106"/>
      <x v="7"/>
      <x v="19"/>
    </i>
    <i r="3">
      <x v="116"/>
      <x v="109"/>
      <x v="7"/>
      <x v="10"/>
    </i>
    <i r="3">
      <x v="124"/>
      <x v="117"/>
      <x/>
      <x/>
    </i>
    <i r="3">
      <x v="125"/>
      <x v="123"/>
      <x v="7"/>
      <x v="19"/>
    </i>
    <i r="3">
      <x v="132"/>
      <x v="128"/>
      <x v="5"/>
      <x v="2"/>
    </i>
    <i r="3">
      <x v="135"/>
      <x v="84"/>
      <x v="7"/>
      <x v="25"/>
    </i>
    <i r="3">
      <x v="142"/>
      <x v="135"/>
      <x v="7"/>
      <x v="5"/>
    </i>
    <i r="3">
      <x v="143"/>
      <x v="137"/>
      <x v="7"/>
      <x v="5"/>
    </i>
    <i r="3">
      <x v="144"/>
      <x v="138"/>
      <x/>
      <x v="2"/>
    </i>
    <i r="3">
      <x v="145"/>
      <x v="74"/>
      <x/>
      <x/>
    </i>
    <i t="default" r="1">
      <x v="4"/>
    </i>
    <i r="1">
      <x v="5"/>
      <x v="18"/>
      <x v="73"/>
      <x v="74"/>
      <x/>
      <x v="2"/>
    </i>
    <i r="3">
      <x v="77"/>
      <x v="66"/>
      <x v="5"/>
      <x v="13"/>
    </i>
    <i r="3">
      <x v="78"/>
      <x v="78"/>
      <x v="5"/>
      <x v="13"/>
    </i>
    <i r="3">
      <x v="83"/>
      <x v="83"/>
      <x v="3"/>
      <x v="5"/>
    </i>
    <i r="3">
      <x v="84"/>
      <x v="84"/>
      <x v="3"/>
      <x v="25"/>
    </i>
    <i r="3">
      <x v="86"/>
      <x v="86"/>
      <x v="3"/>
      <x v="13"/>
    </i>
    <i r="3">
      <x v="87"/>
      <x v="87"/>
      <x v="5"/>
      <x v="26"/>
    </i>
    <i r="3">
      <x v="88"/>
    </i>
    <i r="3">
      <x v="91"/>
      <x v="90"/>
      <x v="3"/>
      <x v="5"/>
    </i>
    <i r="3">
      <x v="93"/>
      <x v="92"/>
      <x v="5"/>
      <x v="26"/>
    </i>
    <i r="3">
      <x v="94"/>
      <x v="93"/>
      <x v="2"/>
      <x v="10"/>
    </i>
    <i r="3">
      <x v="96"/>
      <x v="96"/>
      <x v="5"/>
      <x v="2"/>
    </i>
    <i r="3">
      <x v="108"/>
      <x v="104"/>
      <x v="3"/>
      <x v="6"/>
    </i>
    <i r="3">
      <x v="115"/>
      <x v="108"/>
      <x v="3"/>
      <x v="13"/>
    </i>
    <i r="3">
      <x v="117"/>
      <x v="110"/>
      <x v="5"/>
      <x v="2"/>
    </i>
    <i r="3">
      <x v="124"/>
      <x v="117"/>
      <x/>
      <x/>
    </i>
    <i r="3">
      <x v="126"/>
      <x v="126"/>
      <x v="3"/>
      <x v="2"/>
    </i>
    <i r="3">
      <x v="128"/>
      <x v="122"/>
      <x v="3"/>
      <x v="5"/>
    </i>
    <i r="3">
      <x v="129"/>
      <x v="104"/>
      <x v="3"/>
      <x v="6"/>
    </i>
    <i r="3">
      <x v="132"/>
      <x v="128"/>
      <x v="5"/>
      <x v="2"/>
    </i>
    <i r="3">
      <x v="136"/>
      <x v="131"/>
      <x v="3"/>
      <x v="5"/>
    </i>
    <i r="3">
      <x v="144"/>
      <x v="138"/>
      <x/>
      <x v="2"/>
    </i>
    <i r="3">
      <x v="145"/>
      <x v="74"/>
      <x/>
      <x/>
    </i>
    <i t="default" r="1">
      <x v="5"/>
    </i>
    <i r="1">
      <x v="6"/>
      <x v="11"/>
      <x v="61"/>
      <x v="59"/>
      <x v="3"/>
      <x v="5"/>
    </i>
    <i r="3">
      <x v="81"/>
      <x v="81"/>
      <x v="7"/>
      <x v="3"/>
    </i>
    <i r="3">
      <x v="82"/>
      <x v="82"/>
      <x v="7"/>
      <x v="30"/>
    </i>
    <i r="3">
      <x v="83"/>
      <x v="83"/>
      <x v="3"/>
      <x/>
    </i>
    <i r="3">
      <x v="84"/>
      <x v="84"/>
      <x v="3"/>
      <x v="3"/>
    </i>
    <i r="3">
      <x v="85"/>
      <x v="85"/>
      <x v="3"/>
      <x v="3"/>
    </i>
    <i r="3">
      <x v="91"/>
      <x v="90"/>
      <x v="3"/>
      <x/>
    </i>
    <i r="3">
      <x v="92"/>
      <x v="91"/>
      <x v="3"/>
      <x v="3"/>
    </i>
    <i r="3">
      <x v="114"/>
      <x v="107"/>
      <x v="3"/>
      <x v="2"/>
    </i>
    <i r="3">
      <x v="115"/>
      <x v="108"/>
      <x v="3"/>
      <x v="13"/>
    </i>
    <i r="3">
      <x v="133"/>
      <x v="129"/>
      <x v="1"/>
      <x v="2"/>
    </i>
    <i r="3">
      <x v="137"/>
      <x/>
      <x v="3"/>
      <x v="6"/>
    </i>
    <i t="default" r="1">
      <x v="6"/>
    </i>
    <i r="1">
      <x v="7"/>
      <x v="10"/>
      <x v="15"/>
      <x v="14"/>
      <x v="4"/>
      <x v="5"/>
    </i>
    <i t="default" r="1">
      <x v="7"/>
    </i>
    <i r="1">
      <x v="8"/>
      <x v="8"/>
      <x v="14"/>
      <x v="13"/>
      <x v="4"/>
      <x v="32"/>
    </i>
    <i r="3">
      <x v="16"/>
      <x v="15"/>
      <x v="4"/>
      <x v="34"/>
    </i>
    <i t="default" r="1">
      <x v="8"/>
    </i>
    <i r="1">
      <x v="9"/>
      <x v="13"/>
      <x v="57"/>
      <x v="31"/>
      <x v="1"/>
      <x v="2"/>
    </i>
    <i t="default" r="1">
      <x v="9"/>
    </i>
    <i r="1">
      <x v="10"/>
      <x v="19"/>
      <x v="56"/>
      <x v="54"/>
      <x v="7"/>
      <x v="3"/>
    </i>
    <i r="3">
      <x v="60"/>
      <x v="58"/>
      <x v="3"/>
      <x v="3"/>
    </i>
    <i r="3">
      <x v="66"/>
      <x v="64"/>
      <x v="4"/>
      <x v="6"/>
    </i>
    <i r="3">
      <x v="87"/>
      <x v="87"/>
      <x v="5"/>
      <x v="27"/>
    </i>
    <i r="3">
      <x v="88"/>
    </i>
    <i r="3">
      <x v="93"/>
      <x v="92"/>
      <x v="5"/>
      <x v="27"/>
    </i>
    <i r="3">
      <x v="127"/>
      <x v="127"/>
      <x v="1"/>
      <x v="35"/>
    </i>
    <i t="default" r="1">
      <x v="10"/>
    </i>
    <i r="1">
      <x v="11"/>
      <x v="17"/>
      <x v="41"/>
      <x v="57"/>
      <x v="7"/>
      <x v="16"/>
    </i>
    <i r="3">
      <x v="79"/>
      <x v="79"/>
      <x v="7"/>
      <x v="2"/>
    </i>
    <i t="default" r="1">
      <x v="11"/>
    </i>
    <i r="1">
      <x v="12"/>
      <x/>
      <x v="14"/>
      <x v="13"/>
      <x v="4"/>
      <x v="31"/>
    </i>
    <i r="3">
      <x v="16"/>
      <x v="15"/>
      <x v="4"/>
      <x v="33"/>
    </i>
    <i r="3">
      <x v="118"/>
      <x v="112"/>
      <x v="1"/>
      <x v="3"/>
    </i>
    <i t="default" r="1">
      <x v="12"/>
    </i>
    <i r="1">
      <x v="13"/>
      <x v="20"/>
      <x v="33"/>
      <x v="36"/>
      <x v="1"/>
      <x v="22"/>
    </i>
    <i t="default" r="1">
      <x v="13"/>
    </i>
    <i r="1">
      <x v="21"/>
      <x v="21"/>
      <x v="74"/>
      <x v="75"/>
      <x v="3"/>
      <x v="1"/>
    </i>
    <i t="default" r="1">
      <x v="21"/>
    </i>
    <i t="default">
      <x v="2"/>
    </i>
    <i>
      <x v="3"/>
      <x v="17"/>
      <x v="16"/>
      <x v="101"/>
      <x v="99"/>
      <x v="10"/>
      <x v="6"/>
    </i>
    <i t="default" r="1">
      <x v="17"/>
    </i>
    <i r="1">
      <x v="18"/>
      <x v="5"/>
      <x v="67"/>
      <x v="67"/>
      <x v="5"/>
      <x v="10"/>
    </i>
    <i r="3">
      <x v="68"/>
      <x v="68"/>
      <x v="5"/>
      <x v="10"/>
    </i>
    <i r="3">
      <x v="69"/>
      <x v="69"/>
      <x v="5"/>
      <x v="10"/>
    </i>
    <i t="default" r="1">
      <x v="18"/>
    </i>
    <i r="1">
      <x v="19"/>
      <x v="12"/>
      <x v="21"/>
      <x v="21"/>
      <x v="2"/>
      <x v="10"/>
    </i>
    <i r="3">
      <x v="22"/>
      <x v="22"/>
      <x v="2"/>
      <x v="10"/>
    </i>
    <i r="3">
      <x v="85"/>
      <x v="85"/>
      <x v="3"/>
      <x v="25"/>
    </i>
    <i r="3">
      <x v="92"/>
      <x v="91"/>
      <x v="3"/>
      <x v="24"/>
    </i>
    <i r="3">
      <x v="107"/>
      <x v="103"/>
      <x v="7"/>
      <x v="18"/>
    </i>
    <i r="3">
      <x v="111"/>
      <x v="35"/>
      <x v="2"/>
      <x v="6"/>
    </i>
    <i t="default" r="1">
      <x v="19"/>
    </i>
    <i t="default">
      <x v="3"/>
    </i>
    <i>
      <x v="4"/>
      <x v="22"/>
      <x v="22"/>
      <x v="140"/>
      <x v="133"/>
      <x v="11"/>
      <x v="36"/>
    </i>
    <i t="default" r="1">
      <x v="22"/>
    </i>
    <i t="default">
      <x v="4"/>
    </i>
    <i t="grand">
      <x/>
    </i>
  </rowItems>
  <colFields count="1">
    <field x="-2"/>
  </colFields>
  <colItems count="4">
    <i>
      <x/>
    </i>
    <i i="1">
      <x v="1"/>
    </i>
    <i i="2">
      <x v="2"/>
    </i>
    <i i="3">
      <x v="3"/>
    </i>
  </colItems>
  <dataFields count="4">
    <dataField name=" HST medv" fld="10" baseField="5" baseItem="2" numFmtId="165"/>
    <dataField name="Summa av HPR Medv" fld="12" baseField="5" baseItem="30" numFmtId="165"/>
    <dataField name=" Kursintäkt efter avdrag" fld="18" baseField="0" baseItem="0" numFmtId="171"/>
    <dataField name="Summa av Lokalintäkt" fld="19" baseField="5" baseItem="4" numFmtId="171"/>
  </dataFields>
  <formats count="49">
    <format dxfId="70">
      <pivotArea dataOnly="0" labelOnly="1" grandRow="1" outline="0" fieldPosition="0"/>
    </format>
    <format dxfId="69">
      <pivotArea field="7" type="button" dataOnly="0" labelOnly="1" outline="0" axis="axisRow" fieldPosition="5"/>
    </format>
    <format dxfId="68">
      <pivotArea field="0" type="button" dataOnly="0" labelOnly="1" outline="0" axis="axisRow" fieldPosition="3"/>
    </format>
    <format dxfId="67">
      <pivotArea field="1" type="button" dataOnly="0" labelOnly="1" outline="0" axis="axisRow" fieldPosition="4"/>
    </format>
    <format dxfId="66">
      <pivotArea type="origin" dataOnly="0" labelOnly="1" outline="0" fieldPosition="0"/>
    </format>
    <format dxfId="65">
      <pivotArea dataOnly="0" labelOnly="1" outline="0" fieldPosition="0">
        <references count="1">
          <reference field="3" count="0"/>
        </references>
      </pivotArea>
    </format>
    <format dxfId="64">
      <pivotArea dataOnly="0" labelOnly="1" grandRow="1" outline="0" fieldPosition="0"/>
    </format>
    <format dxfId="63">
      <pivotArea field="3" type="button" dataOnly="0" labelOnly="1" outline="0" axis="axisRow" fieldPosition="2"/>
    </format>
    <format dxfId="62">
      <pivotArea field="6" type="button" dataOnly="0" labelOnly="1" outline="0"/>
    </format>
    <format dxfId="61">
      <pivotArea field="7" type="button" dataOnly="0" labelOnly="1" outline="0" axis="axisRow" fieldPosition="5"/>
    </format>
    <format dxfId="60">
      <pivotArea field="0" type="button" dataOnly="0" labelOnly="1" outline="0" axis="axisRow" fieldPosition="3"/>
    </format>
    <format dxfId="59">
      <pivotArea field="1" type="button" dataOnly="0" labelOnly="1" outline="0" axis="axisRow" fieldPosition="4"/>
    </format>
    <format dxfId="58">
      <pivotArea outline="0" fieldPosition="0">
        <references count="1">
          <reference field="4294967294" count="1">
            <x v="2"/>
          </reference>
        </references>
      </pivotArea>
    </format>
    <format dxfId="57">
      <pivotArea field="4" type="button" dataOnly="0" labelOnly="1" outline="0" axis="axisRow" fieldPosition="0"/>
    </format>
    <format dxfId="56">
      <pivotArea field="3" type="button" dataOnly="0" labelOnly="1" outline="0" axis="axisRow" fieldPosition="2"/>
    </format>
    <format dxfId="55">
      <pivotArea field="0" type="button" dataOnly="0" labelOnly="1" outline="0" axis="axisRow" fieldPosition="3"/>
    </format>
    <format dxfId="54">
      <pivotArea field="7" type="button" dataOnly="0" labelOnly="1" outline="0" axis="axisRow" fieldPosition="5"/>
    </format>
    <format dxfId="53">
      <pivotArea field="5" type="button" dataOnly="0" labelOnly="1" outline="0" axis="axisRow" fieldPosition="6"/>
    </format>
    <format dxfId="52">
      <pivotArea dataOnly="0" labelOnly="1" outline="0" fieldPosition="0">
        <references count="1">
          <reference field="4294967294" count="2">
            <x v="0"/>
            <x v="2"/>
          </reference>
        </references>
      </pivotArea>
    </format>
    <format dxfId="51">
      <pivotArea dataOnly="0" labelOnly="1" outline="0" fieldPosition="0">
        <references count="1">
          <reference field="4294967294" count="1">
            <x v="1"/>
          </reference>
        </references>
      </pivotArea>
    </format>
    <format dxfId="50">
      <pivotArea dataOnly="0" labelOnly="1" outline="0" fieldPosition="0">
        <references count="1">
          <reference field="4" count="1" defaultSubtotal="1">
            <x v="0"/>
          </reference>
        </references>
      </pivotArea>
    </format>
    <format dxfId="49">
      <pivotArea dataOnly="0" labelOnly="1" outline="0" fieldPosition="0">
        <references count="1">
          <reference field="4" count="1" defaultSubtotal="1">
            <x v="1"/>
          </reference>
        </references>
      </pivotArea>
    </format>
    <format dxfId="48">
      <pivotArea dataOnly="0" labelOnly="1" outline="0" fieldPosition="0">
        <references count="1">
          <reference field="4" count="1" defaultSubtotal="1">
            <x v="2"/>
          </reference>
        </references>
      </pivotArea>
    </format>
    <format dxfId="47">
      <pivotArea dataOnly="0" labelOnly="1" outline="0" fieldPosition="0">
        <references count="1">
          <reference field="4" count="1" defaultSubtotal="1">
            <x v="3"/>
          </reference>
        </references>
      </pivotArea>
    </format>
    <format dxfId="46">
      <pivotArea dataOnly="0" labelOnly="1" grandRow="1" outline="0" fieldPosition="0"/>
    </format>
    <format dxfId="45">
      <pivotArea dataOnly="0" labelOnly="1" outline="0" fieldPosition="0">
        <references count="2">
          <reference field="3" count="1" defaultSubtotal="1">
            <x v="1"/>
          </reference>
          <reference field="4" count="1" selected="0">
            <x v="0"/>
          </reference>
        </references>
      </pivotArea>
    </format>
    <format dxfId="44">
      <pivotArea dataOnly="0" labelOnly="1" outline="0" fieldPosition="0">
        <references count="2">
          <reference field="3" count="1" defaultSubtotal="1">
            <x v="3"/>
          </reference>
          <reference field="4" count="1" selected="0">
            <x v="0"/>
          </reference>
        </references>
      </pivotArea>
    </format>
    <format dxfId="43">
      <pivotArea dataOnly="0" labelOnly="1" outline="0" fieldPosition="0">
        <references count="2">
          <reference field="3" count="1" defaultSubtotal="1">
            <x v="4"/>
          </reference>
          <reference field="4" count="1" selected="0">
            <x v="0"/>
          </reference>
        </references>
      </pivotArea>
    </format>
    <format dxfId="42">
      <pivotArea dataOnly="0" labelOnly="1" outline="0" fieldPosition="0">
        <references count="2">
          <reference field="3" count="1" defaultSubtotal="1">
            <x v="6"/>
          </reference>
          <reference field="4" count="1" selected="0">
            <x v="0"/>
          </reference>
        </references>
      </pivotArea>
    </format>
    <format dxfId="41">
      <pivotArea dataOnly="0" labelOnly="1" outline="0" fieldPosition="0">
        <references count="2">
          <reference field="3" count="1" defaultSubtotal="1">
            <x v="2"/>
          </reference>
          <reference field="4" count="1" selected="0">
            <x v="1"/>
          </reference>
        </references>
      </pivotArea>
    </format>
    <format dxfId="40">
      <pivotArea dataOnly="0" labelOnly="1" outline="0" fieldPosition="0">
        <references count="2">
          <reference field="3" count="1" defaultSubtotal="1">
            <x v="15"/>
          </reference>
          <reference field="4" count="1" selected="0">
            <x v="1"/>
          </reference>
        </references>
      </pivotArea>
    </format>
    <format dxfId="39">
      <pivotArea dataOnly="0" labelOnly="1" outline="0" fieldPosition="0">
        <references count="2">
          <reference field="3" count="1" defaultSubtotal="1">
            <x v="0"/>
          </reference>
          <reference field="4" count="1" selected="0">
            <x v="2"/>
          </reference>
        </references>
      </pivotArea>
    </format>
    <format dxfId="38">
      <pivotArea dataOnly="0" labelOnly="1" outline="0" fieldPosition="0">
        <references count="2">
          <reference field="3" count="1" defaultSubtotal="1">
            <x v="7"/>
          </reference>
          <reference field="4" count="1" selected="0">
            <x v="2"/>
          </reference>
        </references>
      </pivotArea>
    </format>
    <format dxfId="37">
      <pivotArea dataOnly="0" labelOnly="1" outline="0" fieldPosition="0">
        <references count="2">
          <reference field="3" count="1" defaultSubtotal="1">
            <x v="8"/>
          </reference>
          <reference field="4" count="1" selected="0">
            <x v="2"/>
          </reference>
        </references>
      </pivotArea>
    </format>
    <format dxfId="36">
      <pivotArea dataOnly="0" labelOnly="1" outline="0" fieldPosition="0">
        <references count="2">
          <reference field="3" count="1" defaultSubtotal="1">
            <x v="9"/>
          </reference>
          <reference field="4" count="1" selected="0">
            <x v="2"/>
          </reference>
        </references>
      </pivotArea>
    </format>
    <format dxfId="35">
      <pivotArea dataOnly="0" labelOnly="1" outline="0" fieldPosition="0">
        <references count="2">
          <reference field="3" count="1" defaultSubtotal="1">
            <x v="10"/>
          </reference>
          <reference field="4" count="1" selected="0">
            <x v="2"/>
          </reference>
        </references>
      </pivotArea>
    </format>
    <format dxfId="34">
      <pivotArea dataOnly="0" labelOnly="1" outline="0" fieldPosition="0">
        <references count="2">
          <reference field="3" count="1" defaultSubtotal="1">
            <x v="11"/>
          </reference>
          <reference field="4" count="1" selected="0">
            <x v="2"/>
          </reference>
        </references>
      </pivotArea>
    </format>
    <format dxfId="33">
      <pivotArea dataOnly="0" labelOnly="1" outline="0" fieldPosition="0">
        <references count="2">
          <reference field="3" count="1" defaultSubtotal="1">
            <x v="13"/>
          </reference>
          <reference field="4" count="1" selected="0">
            <x v="2"/>
          </reference>
        </references>
      </pivotArea>
    </format>
    <format dxfId="32">
      <pivotArea dataOnly="0" labelOnly="1" outline="0" fieldPosition="0">
        <references count="2">
          <reference field="3" count="1" defaultSubtotal="1">
            <x v="14"/>
          </reference>
          <reference field="4" count="1" selected="0">
            <x v="2"/>
          </reference>
        </references>
      </pivotArea>
    </format>
    <format dxfId="31">
      <pivotArea dataOnly="0" labelOnly="1" outline="0" fieldPosition="0">
        <references count="2">
          <reference field="3" count="1" defaultSubtotal="1">
            <x v="17"/>
          </reference>
          <reference field="4" count="1" selected="0">
            <x v="2"/>
          </reference>
        </references>
      </pivotArea>
    </format>
    <format dxfId="30">
      <pivotArea dataOnly="0" labelOnly="1" outline="0" fieldPosition="0">
        <references count="2">
          <reference field="3" count="1" defaultSubtotal="1">
            <x v="18"/>
          </reference>
          <reference field="4" count="1" selected="0">
            <x v="2"/>
          </reference>
        </references>
      </pivotArea>
    </format>
    <format dxfId="29">
      <pivotArea dataOnly="0" labelOnly="1" outline="0" fieldPosition="0">
        <references count="2">
          <reference field="3" count="1" defaultSubtotal="1">
            <x v="5"/>
          </reference>
          <reference field="4" count="1" selected="0">
            <x v="3"/>
          </reference>
        </references>
      </pivotArea>
    </format>
    <format dxfId="28">
      <pivotArea dataOnly="0" labelOnly="1" outline="0" fieldPosition="0">
        <references count="2">
          <reference field="3" count="1" defaultSubtotal="1">
            <x v="12"/>
          </reference>
          <reference field="4" count="1" selected="0">
            <x v="3"/>
          </reference>
        </references>
      </pivotArea>
    </format>
    <format dxfId="27">
      <pivotArea dataOnly="0" labelOnly="1" outline="0" fieldPosition="0">
        <references count="2">
          <reference field="3" count="1" defaultSubtotal="1">
            <x v="16"/>
          </reference>
          <reference field="4" count="1" selected="0">
            <x v="3"/>
          </reference>
        </references>
      </pivotArea>
    </format>
    <format dxfId="26">
      <pivotArea dataOnly="0" labelOnly="1" outline="0" fieldPosition="0">
        <references count="1">
          <reference field="5" count="0"/>
        </references>
      </pivotArea>
    </format>
    <format dxfId="25">
      <pivotArea outline="0" fieldPosition="0">
        <references count="1">
          <reference field="4294967294" count="1">
            <x v="3"/>
          </reference>
        </references>
      </pivotArea>
    </format>
    <format dxfId="24">
      <pivotArea dataOnly="0" labelOnly="1" outline="0" fieldPosition="0">
        <references count="1">
          <reference field="4294967294" count="1">
            <x v="3"/>
          </reference>
        </references>
      </pivotArea>
    </format>
    <format dxfId="23">
      <pivotArea outline="0" fieldPosition="0">
        <references count="1">
          <reference field="4294967294" count="1">
            <x v="0"/>
          </reference>
        </references>
      </pivotArea>
    </format>
    <format dxfId="22">
      <pivotArea outline="0" fieldPosition="0">
        <references count="1">
          <reference field="4294967294" count="1">
            <x v="1"/>
          </reference>
        </references>
      </pivotArea>
    </format>
  </formats>
  <pivotTableStyleInfo name="PivotStyleMedium1" showRowHeaders="1" showColHeaders="1" showRowStripes="0" showColStripes="0" showLastColumn="1"/>
</pivotTableDefinition>
</file>

<file path=xl/pivotTables/pivotTable5.xml><?xml version="1.0" encoding="utf-8"?>
<pivotTableDefinition xmlns="http://schemas.openxmlformats.org/spreadsheetml/2006/main" name="Pivottabell3" cacheId="2"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3:K133" firstHeaderRow="1" firstDataRow="2" firstDataCol="5"/>
  <pivotFields count="20">
    <pivotField axis="axisRow" compact="0" outline="0" subtotalTop="0" showAll="0" includeNewItemsInFilter="1" defaultSubtotal="0">
      <items count="146">
        <item m="1" x="128"/>
        <item x="13"/>
        <item m="1" x="138"/>
        <item m="1" x="117"/>
        <item m="1" x="145"/>
        <item m="1" x="88"/>
        <item m="1" x="97"/>
        <item m="1" x="102"/>
        <item m="1" x="108"/>
        <item m="1" x="129"/>
        <item m="1" x="91"/>
        <item x="28"/>
        <item m="1" x="99"/>
        <item m="1" x="103"/>
        <item x="67"/>
        <item x="68"/>
        <item x="69"/>
        <item m="1" x="89"/>
        <item m="1" x="109"/>
        <item m="1" x="114"/>
        <item m="1" x="111"/>
        <item x="19"/>
        <item x="20"/>
        <item m="1" x="104"/>
        <item m="1" x="137"/>
        <item m="1" x="116"/>
        <item m="1" x="96"/>
        <item m="1" x="143"/>
        <item m="1" x="83"/>
        <item m="1" x="85"/>
        <item m="1" x="90"/>
        <item m="1" x="94"/>
        <item m="1" x="125"/>
        <item x="15"/>
        <item m="1" x="115"/>
        <item m="1" x="119"/>
        <item m="1" x="106"/>
        <item m="1" x="113"/>
        <item m="1" x="121"/>
        <item m="1" x="126"/>
        <item m="1" x="134"/>
        <item x="78"/>
        <item m="1" x="86"/>
        <item m="1" x="141"/>
        <item m="1" x="135"/>
        <item m="1" x="133"/>
        <item m="1" x="120"/>
        <item m="1" x="144"/>
        <item m="1" x="82"/>
        <item m="1" x="123"/>
        <item m="1" x="127"/>
        <item m="1" x="130"/>
        <item m="1" x="136"/>
        <item m="1" x="140"/>
        <item m="1" x="95"/>
        <item m="1" x="132"/>
        <item x="29"/>
        <item x="16"/>
        <item x="17"/>
        <item m="1" x="107"/>
        <item x="30"/>
        <item x="31"/>
        <item m="1" x="112"/>
        <item m="1" x="84"/>
        <item m="1" x="139"/>
        <item m="1" x="93"/>
        <item x="70"/>
        <item x="23"/>
        <item x="24"/>
        <item x="25"/>
        <item m="1" x="92"/>
        <item x="32"/>
        <item m="1" x="98"/>
        <item x="0"/>
        <item x="5"/>
        <item m="1" x="101"/>
        <item m="1" x="118"/>
        <item x="26"/>
        <item x="34"/>
        <item x="35"/>
        <item x="36"/>
        <item x="37"/>
        <item x="38"/>
        <item x="39"/>
        <item x="41"/>
        <item x="42"/>
        <item x="44"/>
        <item x="46"/>
        <item x="47"/>
        <item x="66"/>
        <item x="79"/>
        <item x="40"/>
        <item x="43"/>
        <item x="48"/>
        <item x="21"/>
        <item x="45"/>
        <item x="49"/>
        <item x="50"/>
        <item x="51"/>
        <item m="1" x="122"/>
        <item m="1" x="131"/>
        <item x="8"/>
        <item x="6"/>
        <item x="56"/>
        <item x="57"/>
        <item x="55"/>
        <item x="58"/>
        <item x="52"/>
        <item x="33"/>
        <item m="1" x="142"/>
        <item m="1" x="87"/>
        <item x="12"/>
        <item x="53"/>
        <item x="54"/>
        <item x="71"/>
        <item x="72"/>
        <item x="73"/>
        <item x="27"/>
        <item x="4"/>
        <item m="1" x="124"/>
        <item x="59"/>
        <item m="1" x="100"/>
        <item m="1" x="105"/>
        <item x="75"/>
        <item x="1"/>
        <item x="63"/>
        <item x="9"/>
        <item x="10"/>
        <item x="61"/>
        <item x="62"/>
        <item x="76"/>
        <item x="18"/>
        <item x="11"/>
        <item x="14"/>
        <item x="22"/>
        <item x="64"/>
        <item x="65"/>
        <item x="74"/>
        <item x="77"/>
        <item m="1" x="110"/>
        <item x="81"/>
        <item x="7"/>
        <item x="60"/>
        <item x="80"/>
        <item x="2"/>
        <item x="3"/>
      </items>
    </pivotField>
    <pivotField axis="axisRow" compact="0" outline="0" subtotalTop="0" showAll="0" includeNewItemsInFilter="1" defaultSubtotal="0">
      <items count="139">
        <item x="19"/>
        <item x="18"/>
        <item m="1" x="117"/>
        <item m="1" x="138"/>
        <item m="1" x="133"/>
        <item m="1" x="99"/>
        <item x="12"/>
        <item x="27"/>
        <item m="1" x="118"/>
        <item m="1" x="115"/>
        <item m="1" x="105"/>
        <item m="1" x="103"/>
        <item m="1" x="88"/>
        <item m="1" x="107"/>
        <item m="1" x="79"/>
        <item m="1" x="112"/>
        <item m="1" x="97"/>
        <item m="1" x="95"/>
        <item m="1" x="92"/>
        <item m="1" x="91"/>
        <item m="1" x="108"/>
        <item x="64"/>
        <item x="65"/>
        <item x="66"/>
        <item m="1" x="111"/>
        <item m="1" x="86"/>
        <item m="1" x="137"/>
        <item x="71"/>
        <item m="1" x="120"/>
        <item m="1" x="131"/>
        <item m="1" x="125"/>
        <item x="15"/>
        <item x="16"/>
        <item m="1" x="89"/>
        <item m="1" x="101"/>
        <item x="11"/>
        <item x="14"/>
        <item m="1" x="124"/>
        <item m="1" x="132"/>
        <item m="1" x="129"/>
        <item m="1" x="109"/>
        <item m="1" x="128"/>
        <item m="1" x="122"/>
        <item m="1" x="104"/>
        <item m="1" x="84"/>
        <item m="1" x="93"/>
        <item m="1" x="130"/>
        <item m="1" x="113"/>
        <item m="1" x="80"/>
        <item m="1" x="134"/>
        <item x="55"/>
        <item m="1" x="94"/>
        <item m="1" x="135"/>
        <item m="1" x="127"/>
        <item x="28"/>
        <item m="1" x="123"/>
        <item x="76"/>
        <item x="75"/>
        <item x="29"/>
        <item x="30"/>
        <item m="1" x="121"/>
        <item m="1" x="85"/>
        <item m="1" x="96"/>
        <item m="1" x="100"/>
        <item x="67"/>
        <item x="31"/>
        <item x="25"/>
        <item x="22"/>
        <item x="23"/>
        <item x="24"/>
        <item m="1" x="110"/>
        <item m="1" x="87"/>
        <item x="52"/>
        <item x="57"/>
        <item x="0"/>
        <item x="4"/>
        <item m="1" x="90"/>
        <item m="1" x="106"/>
        <item x="33"/>
        <item x="34"/>
        <item x="35"/>
        <item x="36"/>
        <item x="37"/>
        <item x="38"/>
        <item x="40"/>
        <item x="41"/>
        <item x="43"/>
        <item x="45"/>
        <item x="46"/>
        <item x="63"/>
        <item x="39"/>
        <item x="42"/>
        <item x="47"/>
        <item x="20"/>
        <item x="44"/>
        <item m="1" x="116"/>
        <item x="48"/>
        <item x="49"/>
        <item x="50"/>
        <item x="7"/>
        <item m="1" x="136"/>
        <item x="5"/>
        <item x="54"/>
        <item x="51"/>
        <item x="32"/>
        <item m="1" x="83"/>
        <item x="53"/>
        <item x="68"/>
        <item x="69"/>
        <item x="70"/>
        <item x="26"/>
        <item m="1" x="114"/>
        <item x="3"/>
        <item x="58"/>
        <item m="1" x="102"/>
        <item m="1" x="82"/>
        <item x="72"/>
        <item x="1"/>
        <item m="1" x="81"/>
        <item m="1" x="119"/>
        <item m="1" x="98"/>
        <item m="1" x="126"/>
        <item x="60"/>
        <item x="61"/>
        <item x="73"/>
        <item x="17"/>
        <item x="8"/>
        <item x="9"/>
        <item x="10"/>
        <item x="13"/>
        <item x="21"/>
        <item x="62"/>
        <item x="74"/>
        <item x="78"/>
        <item x="6"/>
        <item x="59"/>
        <item x="56"/>
        <item x="77"/>
        <item x="2"/>
      </items>
    </pivotField>
    <pivotField compact="0" outline="0" showAll="0" defaultSubtotal="0"/>
    <pivotField axis="axisRow" compact="0" outline="0" subtotalTop="0" showAll="0" includeNewItemsInFilter="1" defaultSubtotal="0">
      <items count="23">
        <item x="2"/>
        <item x="15"/>
        <item x="3"/>
        <item m="1" x="22"/>
        <item x="8"/>
        <item x="14"/>
        <item x="7"/>
        <item m="1" x="20"/>
        <item x="17"/>
        <item x="0"/>
        <item x="18"/>
        <item x="11"/>
        <item x="10"/>
        <item x="13"/>
        <item m="1" x="21"/>
        <item x="5"/>
        <item x="6"/>
        <item x="16"/>
        <item x="1"/>
        <item x="9"/>
        <item x="12"/>
        <item x="4"/>
        <item x="19"/>
      </items>
    </pivotField>
    <pivotField compact="0" outline="0" subtotalTop="0" multipleItemSelectionAllowed="1" showAll="0" includeNewItemsInFilter="1"/>
    <pivotField compact="0" outline="0" showAll="0" defaultSubtotal="0"/>
    <pivotField axis="axisRow" compact="0" outline="0" subtotalTop="0" showAll="0" includeNewItemsInFilter="1" sortType="ascending">
      <items count="11">
        <item x="5"/>
        <item x="1"/>
        <item x="0"/>
        <item x="2"/>
        <item x="6"/>
        <item x="7"/>
        <item x="3"/>
        <item m="1" x="9"/>
        <item x="4"/>
        <item x="8"/>
        <item t="default"/>
      </items>
    </pivotField>
    <pivotField axis="axisRow" compact="0" outline="0" subtotalTop="0" showAll="0" includeNewItemsInFilter="1" defaultSubtotal="0">
      <items count="12">
        <item x="0"/>
        <item x="1"/>
        <item x="5"/>
        <item x="2"/>
        <item x="7"/>
        <item x="4"/>
        <item m="1" x="10"/>
        <item x="6"/>
        <item m="1" x="9"/>
        <item m="1" x="11"/>
        <item x="3"/>
        <item x="8"/>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howAll="0" defaultSubtotal="0"/>
    <pivotField name="Kursintäkt2" dataField="1" compact="0" outline="0" showAll="0" defaultSubtotal="0"/>
    <pivotField dataField="1" compact="0" outline="0" subtotalTop="0" showAll="0" includeNewItemsInFilter="1"/>
    <pivotField dataField="1" compact="0" outline="0" showAll="0" defaultSubtotal="0"/>
    <pivotField dataField="1" compact="0" numFmtId="168" outline="0" subtotalTop="0" showAll="0" includeNewItemsInFilter="1"/>
  </pivotFields>
  <rowFields count="5">
    <field x="6"/>
    <field x="7"/>
    <field x="0"/>
    <field x="1"/>
    <field x="3"/>
  </rowFields>
  <rowItems count="129">
    <i>
      <x/>
      <x v="2"/>
      <x v="21"/>
      <x v="1"/>
      <x v="12"/>
    </i>
    <i r="2">
      <x v="22"/>
      <x/>
      <x v="12"/>
    </i>
    <i r="2">
      <x v="89"/>
      <x v="89"/>
      <x v="4"/>
    </i>
    <i r="2">
      <x v="94"/>
      <x v="93"/>
      <x v="18"/>
    </i>
    <i r="2">
      <x v="111"/>
      <x v="35"/>
      <x v="12"/>
    </i>
    <i r="2">
      <x v="123"/>
      <x v="116"/>
      <x v="4"/>
    </i>
    <i r="2">
      <x v="130"/>
      <x v="124"/>
      <x v="4"/>
    </i>
    <i r="2">
      <x v="134"/>
      <x v="130"/>
      <x v="4"/>
    </i>
    <i r="2">
      <x v="138"/>
      <x v="132"/>
      <x v="4"/>
    </i>
    <i t="default">
      <x/>
    </i>
    <i>
      <x v="1"/>
      <x v="1"/>
      <x v="1"/>
      <x v="6"/>
      <x v="4"/>
    </i>
    <i r="2">
      <x v="33"/>
      <x v="36"/>
      <x v="9"/>
    </i>
    <i r="4">
      <x v="20"/>
    </i>
    <i r="2">
      <x v="57"/>
      <x v="31"/>
      <x v="9"/>
    </i>
    <i r="4">
      <x v="13"/>
    </i>
    <i r="2">
      <x v="58"/>
      <x v="32"/>
      <x v="4"/>
    </i>
    <i r="2">
      <x v="118"/>
      <x v="112"/>
      <x/>
    </i>
    <i r="2">
      <x v="127"/>
      <x v="127"/>
      <x v="4"/>
    </i>
    <i r="4">
      <x v="6"/>
    </i>
    <i r="4">
      <x v="19"/>
    </i>
    <i r="2">
      <x v="131"/>
      <x v="125"/>
      <x v="4"/>
    </i>
    <i r="2">
      <x v="133"/>
      <x v="129"/>
      <x v="11"/>
    </i>
    <i t="default">
      <x v="1"/>
    </i>
    <i>
      <x v="2"/>
      <x/>
      <x v="73"/>
      <x v="74"/>
      <x v="9"/>
    </i>
    <i r="4">
      <x v="18"/>
    </i>
    <i r="2">
      <x v="124"/>
      <x v="117"/>
      <x v="9"/>
    </i>
    <i r="4">
      <x v="18"/>
    </i>
    <i r="2">
      <x v="144"/>
      <x v="138"/>
      <x v="9"/>
    </i>
    <i r="4">
      <x v="18"/>
    </i>
    <i r="2">
      <x v="145"/>
      <x v="74"/>
      <x v="9"/>
    </i>
    <i r="4">
      <x v="18"/>
    </i>
    <i t="default">
      <x v="2"/>
    </i>
    <i>
      <x v="3"/>
      <x v="3"/>
      <x v="60"/>
      <x v="58"/>
      <x v="19"/>
    </i>
    <i r="2">
      <x v="61"/>
      <x v="59"/>
      <x v="11"/>
    </i>
    <i r="2">
      <x v="74"/>
      <x v="75"/>
      <x v="2"/>
    </i>
    <i r="4">
      <x v="21"/>
    </i>
    <i r="2">
      <x v="83"/>
      <x v="83"/>
      <x v="11"/>
    </i>
    <i r="4">
      <x v="18"/>
    </i>
    <i r="2">
      <x v="84"/>
      <x v="84"/>
      <x v="11"/>
    </i>
    <i r="4">
      <x v="18"/>
    </i>
    <i r="2">
      <x v="85"/>
      <x v="85"/>
      <x v="11"/>
    </i>
    <i r="4">
      <x v="12"/>
    </i>
    <i r="2">
      <x v="86"/>
      <x v="86"/>
      <x v="18"/>
    </i>
    <i r="2">
      <x v="91"/>
      <x v="90"/>
      <x v="11"/>
    </i>
    <i r="4">
      <x v="18"/>
    </i>
    <i r="2">
      <x v="92"/>
      <x v="91"/>
      <x v="11"/>
    </i>
    <i r="4">
      <x v="12"/>
    </i>
    <i r="2">
      <x v="102"/>
      <x v="101"/>
      <x v="15"/>
    </i>
    <i r="2">
      <x v="108"/>
      <x v="104"/>
      <x v="18"/>
    </i>
    <i r="2">
      <x v="114"/>
      <x v="107"/>
      <x v="6"/>
    </i>
    <i r="4">
      <x v="11"/>
    </i>
    <i r="2">
      <x v="115"/>
      <x v="108"/>
      <x v="11"/>
    </i>
    <i r="4">
      <x v="18"/>
    </i>
    <i r="2">
      <x v="126"/>
      <x v="126"/>
      <x v="18"/>
    </i>
    <i r="2">
      <x v="128"/>
      <x v="122"/>
      <x v="18"/>
    </i>
    <i r="2">
      <x v="129"/>
      <x v="104"/>
      <x v="18"/>
    </i>
    <i r="2">
      <x v="136"/>
      <x v="131"/>
      <x v="18"/>
    </i>
    <i r="2">
      <x v="137"/>
      <x v="27"/>
      <x v="11"/>
    </i>
    <i r="2">
      <x v="141"/>
      <x v="134"/>
      <x v="2"/>
    </i>
    <i t="default">
      <x v="3"/>
    </i>
    <i>
      <x v="4"/>
      <x v="7"/>
      <x v="11"/>
      <x v="7"/>
      <x v="1"/>
    </i>
    <i r="2">
      <x v="41"/>
      <x v="57"/>
      <x v="9"/>
    </i>
    <i r="4">
      <x v="17"/>
    </i>
    <i r="2">
      <x v="56"/>
      <x v="54"/>
      <x v="19"/>
    </i>
    <i r="2">
      <x v="71"/>
      <x v="65"/>
      <x v="9"/>
    </i>
    <i r="2">
      <x v="79"/>
      <x v="79"/>
      <x v="17"/>
    </i>
    <i r="2">
      <x v="80"/>
      <x v="80"/>
      <x v="9"/>
    </i>
    <i r="2">
      <x v="81"/>
      <x v="81"/>
      <x v="9"/>
    </i>
    <i r="4">
      <x v="11"/>
    </i>
    <i r="2">
      <x v="82"/>
      <x v="82"/>
      <x v="9"/>
    </i>
    <i r="4">
      <x v="11"/>
    </i>
    <i r="2">
      <x v="90"/>
      <x v="56"/>
      <x v="9"/>
    </i>
    <i r="2">
      <x v="95"/>
      <x v="94"/>
      <x v="9"/>
    </i>
    <i r="2">
      <x v="107"/>
      <x v="103"/>
      <x v="9"/>
    </i>
    <i r="4">
      <x v="12"/>
    </i>
    <i r="2">
      <x v="112"/>
      <x v="72"/>
      <x v="9"/>
    </i>
    <i r="2">
      <x v="113"/>
      <x v="106"/>
      <x v="9"/>
    </i>
    <i r="2">
      <x v="116"/>
      <x v="109"/>
      <x v="9"/>
    </i>
    <i r="2">
      <x v="125"/>
      <x v="123"/>
      <x v="9"/>
    </i>
    <i r="2">
      <x v="135"/>
      <x v="84"/>
      <x v="9"/>
    </i>
    <i r="2">
      <x v="142"/>
      <x v="135"/>
      <x v="9"/>
    </i>
    <i r="2">
      <x v="143"/>
      <x v="137"/>
      <x v="9"/>
    </i>
    <i t="default">
      <x v="4"/>
    </i>
    <i>
      <x v="5"/>
      <x v="4"/>
      <x v="14"/>
      <x v="21"/>
      <x/>
    </i>
    <i r="4">
      <x v="8"/>
    </i>
    <i r="4">
      <x v="9"/>
    </i>
    <i r="2">
      <x v="15"/>
      <x v="22"/>
      <x v="9"/>
    </i>
    <i r="4">
      <x v="10"/>
    </i>
    <i r="2">
      <x v="16"/>
      <x v="23"/>
      <x/>
    </i>
    <i r="4">
      <x v="8"/>
    </i>
    <i r="4">
      <x v="9"/>
    </i>
    <i r="2">
      <x v="66"/>
      <x v="64"/>
      <x v="19"/>
    </i>
    <i t="default">
      <x v="5"/>
    </i>
    <i>
      <x v="6"/>
      <x v="10"/>
      <x v="101"/>
      <x v="99"/>
      <x v="16"/>
    </i>
    <i t="default">
      <x v="6"/>
    </i>
    <i>
      <x v="8"/>
      <x v="5"/>
      <x v="67"/>
      <x v="67"/>
      <x v="5"/>
    </i>
    <i r="2">
      <x v="68"/>
      <x v="68"/>
      <x v="5"/>
    </i>
    <i r="2">
      <x v="69"/>
      <x v="69"/>
      <x v="5"/>
    </i>
    <i r="2">
      <x v="77"/>
      <x v="66"/>
      <x v="18"/>
    </i>
    <i r="2">
      <x v="78"/>
      <x v="78"/>
      <x v="9"/>
    </i>
    <i r="4">
      <x v="18"/>
    </i>
    <i r="2">
      <x v="87"/>
      <x v="87"/>
      <x v="9"/>
    </i>
    <i r="4">
      <x v="18"/>
    </i>
    <i r="4">
      <x v="19"/>
    </i>
    <i r="2">
      <x v="88"/>
      <x v="88"/>
      <x v="18"/>
    </i>
    <i r="4">
      <x v="19"/>
    </i>
    <i r="2">
      <x v="93"/>
      <x v="92"/>
      <x v="9"/>
    </i>
    <i r="4">
      <x v="18"/>
    </i>
    <i r="4">
      <x v="19"/>
    </i>
    <i r="2">
      <x v="96"/>
      <x v="96"/>
      <x v="1"/>
    </i>
    <i r="4">
      <x v="9"/>
    </i>
    <i r="4">
      <x v="18"/>
    </i>
    <i r="2">
      <x v="97"/>
      <x v="97"/>
      <x v="6"/>
    </i>
    <i r="4">
      <x v="9"/>
    </i>
    <i r="2">
      <x v="98"/>
      <x v="98"/>
      <x v="6"/>
    </i>
    <i r="2">
      <x v="103"/>
      <x v="50"/>
      <x v="6"/>
    </i>
    <i r="2">
      <x v="104"/>
      <x v="136"/>
      <x v="6"/>
    </i>
    <i r="2">
      <x v="105"/>
      <x v="102"/>
      <x v="1"/>
    </i>
    <i r="4">
      <x v="6"/>
    </i>
    <i r="2">
      <x v="106"/>
      <x v="73"/>
      <x v="1"/>
    </i>
    <i r="4">
      <x v="6"/>
    </i>
    <i r="2">
      <x v="117"/>
      <x v="110"/>
      <x v="18"/>
    </i>
    <i r="2">
      <x v="120"/>
      <x v="113"/>
      <x v="6"/>
    </i>
    <i r="2">
      <x v="132"/>
      <x v="128"/>
      <x v="9"/>
    </i>
    <i r="4">
      <x v="18"/>
    </i>
    <i t="default">
      <x v="8"/>
    </i>
    <i>
      <x v="9"/>
      <x v="11"/>
      <x v="140"/>
      <x v="133"/>
      <x v="22"/>
    </i>
    <i t="default">
      <x v="9"/>
    </i>
    <i t="grand">
      <x/>
    </i>
  </rowItems>
  <colFields count="1">
    <field x="-2"/>
  </colFields>
  <colItems count="6">
    <i>
      <x/>
    </i>
    <i i="1">
      <x v="1"/>
    </i>
    <i i="2">
      <x v="2"/>
    </i>
    <i i="3">
      <x v="3"/>
    </i>
    <i i="4">
      <x v="4"/>
    </i>
    <i i="5">
      <x v="5"/>
    </i>
  </colItems>
  <dataFields count="6">
    <dataField name=" Kursintäkt" fld="16" baseField="0" baseItem="0" numFmtId="171"/>
    <dataField name="Kurs-ansvar" fld="17" baseField="0" baseItem="0" numFmtId="171"/>
    <dataField name=" Kursintäkt efter avdrag" fld="18" baseField="0" baseItem="0" numFmtId="171"/>
    <dataField name="Summa av Lokalintäkt" fld="19" baseField="3" baseItem="4" numFmtId="171"/>
    <dataField name="HST" fld="10" baseField="0" baseItem="0" numFmtId="172"/>
    <dataField name="HPR" fld="12" baseField="0" baseItem="0" numFmtId="172"/>
  </dataFields>
  <formats count="13">
    <format dxfId="21">
      <pivotArea type="all" dataOnly="0" outline="0" fieldPosition="0"/>
    </format>
    <format dxfId="20">
      <pivotArea type="all" dataOnly="0" outline="0" fieldPosition="0"/>
    </format>
    <format dxfId="19">
      <pivotArea field="0" type="button" dataOnly="0" labelOnly="1" outline="0" axis="axisRow" fieldPosition="2"/>
    </format>
    <format dxfId="18">
      <pivotArea field="6" type="button" dataOnly="0" labelOnly="1" outline="0" axis="axisRow" fieldPosition="0"/>
    </format>
    <format dxfId="17">
      <pivotArea field="7" type="button" dataOnly="0" labelOnly="1" outline="0" axis="axisRow" fieldPosition="1"/>
    </format>
    <format dxfId="16">
      <pivotArea field="3" type="button" dataOnly="0" labelOnly="1" outline="0" axis="axisRow" fieldPosition="4"/>
    </format>
    <format dxfId="15">
      <pivotArea dataOnly="0" labelOnly="1" outline="0" fieldPosition="0">
        <references count="1">
          <reference field="4294967294" count="0"/>
        </references>
      </pivotArea>
    </format>
    <format dxfId="14">
      <pivotArea outline="0" fieldPosition="0">
        <references count="1">
          <reference field="4294967294" count="1">
            <x v="1"/>
          </reference>
        </references>
      </pivotArea>
    </format>
    <format dxfId="13">
      <pivotArea outline="0" fieldPosition="0">
        <references count="1">
          <reference field="4294967294" count="1">
            <x v="4"/>
          </reference>
        </references>
      </pivotArea>
    </format>
    <format dxfId="12">
      <pivotArea outline="0" fieldPosition="0">
        <references count="1">
          <reference field="4294967294" count="1">
            <x v="5"/>
          </reference>
        </references>
      </pivotArea>
    </format>
    <format dxfId="11">
      <pivotArea outline="0" fieldPosition="0">
        <references count="1">
          <reference field="4294967294" count="1">
            <x v="0"/>
          </reference>
        </references>
      </pivotArea>
    </format>
    <format dxfId="10">
      <pivotArea outline="0" fieldPosition="0">
        <references count="1">
          <reference field="4294967294" count="1">
            <x v="2"/>
          </reference>
        </references>
      </pivotArea>
    </format>
    <format dxfId="9">
      <pivotArea outline="0" fieldPosition="0">
        <references count="1">
          <reference field="4294967294" count="1">
            <x v="3"/>
          </reference>
        </references>
      </pivotArea>
    </format>
  </formats>
  <pivotTableStyleInfo name="PivotStyleMedium1" showRowHeaders="1" showColHeaders="1" showRowStripes="0" showColStripes="0" showLastColumn="1"/>
</pivotTableDefinition>
</file>

<file path=xl/pivotTables/pivotTable6.xml><?xml version="1.0" encoding="utf-8"?>
<pivotTableDefinition xmlns="http://schemas.openxmlformats.org/spreadsheetml/2006/main" name="Pivottabell1" cacheId="1"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J101" firstHeaderRow="0" firstDataRow="1" firstDataCol="6" rowPageCount="1" colPageCount="1"/>
  <pivotFields count="67">
    <pivotField axis="axisRow" compact="0" outline="0" showAll="0" defaultSubtotal="0">
      <items count="410">
        <item x="3"/>
        <item m="1" x="377"/>
        <item m="1" x="386"/>
        <item x="10"/>
        <item m="1" x="391"/>
        <item x="20"/>
        <item x="21"/>
        <item m="1" x="394"/>
        <item x="23"/>
        <item x="33"/>
        <item x="34"/>
        <item x="36"/>
        <item x="37"/>
        <item x="38"/>
        <item x="41"/>
        <item x="42"/>
        <item x="43"/>
        <item x="44"/>
        <item x="71"/>
        <item x="73"/>
        <item x="74"/>
        <item x="85"/>
        <item x="86"/>
        <item x="87"/>
        <item x="88"/>
        <item m="1" x="395"/>
        <item m="1" x="398"/>
        <item x="125"/>
        <item x="126"/>
        <item x="127"/>
        <item x="130"/>
        <item x="131"/>
        <item x="132"/>
        <item x="133"/>
        <item x="134"/>
        <item x="142"/>
        <item x="143"/>
        <item x="144"/>
        <item x="159"/>
        <item x="160"/>
        <item x="161"/>
        <item x="162"/>
        <item x="163"/>
        <item x="164"/>
        <item x="165"/>
        <item x="173"/>
        <item x="180"/>
        <item x="186"/>
        <item x="187"/>
        <item x="188"/>
        <item x="193"/>
        <item x="194"/>
        <item x="195"/>
        <item x="198"/>
        <item x="199"/>
        <item x="200"/>
        <item x="201"/>
        <item x="202"/>
        <item x="203"/>
        <item x="204"/>
        <item x="209"/>
        <item x="210"/>
        <item x="211"/>
        <item x="212"/>
        <item x="213"/>
        <item x="214"/>
        <item x="215"/>
        <item x="216"/>
        <item x="217"/>
        <item x="219"/>
        <item x="220"/>
        <item x="221"/>
        <item x="222"/>
        <item x="223"/>
        <item x="224"/>
        <item x="225"/>
        <item x="226"/>
        <item x="227"/>
        <item x="228"/>
        <item x="229"/>
        <item x="230"/>
        <item x="231"/>
        <item x="238"/>
        <item x="239"/>
        <item x="240"/>
        <item x="241"/>
        <item x="242"/>
        <item x="244"/>
        <item x="245"/>
        <item x="275"/>
        <item x="281"/>
        <item x="282"/>
        <item x="284"/>
        <item x="285"/>
        <item x="291"/>
        <item x="292"/>
        <item x="293"/>
        <item x="294"/>
        <item x="312"/>
        <item x="313"/>
        <item x="317"/>
        <item x="318"/>
        <item x="319"/>
        <item x="320"/>
        <item x="321"/>
        <item x="322"/>
        <item x="342"/>
        <item x="343"/>
        <item x="344"/>
        <item x="345"/>
        <item x="346"/>
        <item x="347"/>
        <item x="348"/>
        <item x="349"/>
        <item x="350"/>
        <item x="351"/>
        <item x="352"/>
        <item x="353"/>
        <item x="354"/>
        <item x="365"/>
        <item x="9"/>
        <item x="89"/>
        <item x="184"/>
        <item x="185"/>
        <item x="276"/>
        <item x="246"/>
        <item x="11"/>
        <item x="76"/>
        <item x="96"/>
        <item x="145"/>
        <item x="146"/>
        <item x="147"/>
        <item x="189"/>
        <item x="247"/>
        <item x="248"/>
        <item x="250"/>
        <item x="251"/>
        <item x="249"/>
        <item x="24"/>
        <item x="252"/>
        <item m="1" x="400"/>
        <item x="323"/>
        <item x="324"/>
        <item x="366"/>
        <item x="153"/>
        <item x="25"/>
        <item x="26"/>
        <item x="218"/>
        <item m="1" x="393"/>
        <item x="16"/>
        <item x="17"/>
        <item x="62"/>
        <item x="75"/>
        <item x="77"/>
        <item x="81"/>
        <item x="82"/>
        <item x="97"/>
        <item x="98"/>
        <item x="124"/>
        <item x="148"/>
        <item x="149"/>
        <item x="150"/>
        <item x="151"/>
        <item x="154"/>
        <item x="169"/>
        <item x="170"/>
        <item x="171"/>
        <item x="254"/>
        <item x="255"/>
        <item x="277"/>
        <item x="278"/>
        <item x="301"/>
        <item x="302"/>
        <item x="303"/>
        <item x="27"/>
        <item x="28"/>
        <item x="29"/>
        <item m="1" x="379"/>
        <item x="22"/>
        <item x="152"/>
        <item x="155"/>
        <item x="166"/>
        <item x="167"/>
        <item x="168"/>
        <item x="172"/>
        <item x="325"/>
        <item x="328"/>
        <item x="330"/>
        <item x="331"/>
        <item x="332"/>
        <item x="333"/>
        <item x="334"/>
        <item m="1" x="397"/>
        <item x="45"/>
        <item x="35"/>
        <item m="1" x="384"/>
        <item x="360"/>
        <item x="357"/>
        <item x="358"/>
        <item m="1" x="396"/>
        <item x="298"/>
        <item x="296"/>
        <item x="297"/>
        <item x="299"/>
        <item x="300"/>
        <item x="174"/>
        <item m="1" x="370"/>
        <item m="1" x="388"/>
        <item x="39"/>
        <item m="1" x="372"/>
        <item x="65"/>
        <item x="40"/>
        <item x="92"/>
        <item x="93"/>
        <item x="196"/>
        <item x="197"/>
        <item x="232"/>
        <item x="233"/>
        <item x="234"/>
        <item x="235"/>
        <item x="286"/>
        <item m="1" x="381"/>
        <item x="205"/>
        <item x="206"/>
        <item x="207"/>
        <item x="208"/>
        <item m="1" x="374"/>
        <item m="1" x="385"/>
        <item x="123"/>
        <item m="1" x="371"/>
        <item x="5"/>
        <item x="4"/>
        <item x="305"/>
        <item x="287"/>
        <item x="47"/>
        <item x="48"/>
        <item x="49"/>
        <item x="51"/>
        <item x="78"/>
        <item x="83"/>
        <item x="84"/>
        <item x="95"/>
        <item x="99"/>
        <item x="253"/>
        <item x="279"/>
        <item m="1" x="407"/>
        <item x="102"/>
        <item m="1" x="401"/>
        <item x="307"/>
        <item x="306"/>
        <item x="259"/>
        <item x="261"/>
        <item x="262"/>
        <item x="288"/>
        <item x="289"/>
        <item x="52"/>
        <item x="280"/>
        <item x="100"/>
        <item x="179"/>
        <item x="256"/>
        <item m="1" x="382"/>
        <item x="260"/>
        <item x="304"/>
        <item x="12"/>
        <item x="53"/>
        <item x="63"/>
        <item x="236"/>
        <item x="237"/>
        <item x="257"/>
        <item x="258"/>
        <item x="359"/>
        <item x="335"/>
        <item x="336"/>
        <item m="1" x="389"/>
        <item x="283"/>
        <item x="368"/>
        <item x="31"/>
        <item x="50"/>
        <item x="64"/>
        <item x="80"/>
        <item x="175"/>
        <item x="367"/>
        <item x="30"/>
        <item x="55"/>
        <item m="1" x="406"/>
        <item x="68"/>
        <item x="69"/>
        <item x="104"/>
        <item x="105"/>
        <item x="176"/>
        <item x="177"/>
        <item x="178"/>
        <item x="327"/>
        <item x="337"/>
        <item x="338"/>
        <item x="138"/>
        <item x="268"/>
        <item x="269"/>
        <item x="270"/>
        <item x="94"/>
        <item x="109"/>
        <item x="110"/>
        <item x="192"/>
        <item x="8"/>
        <item x="18"/>
        <item x="19"/>
        <item m="1" x="373"/>
        <item x="106"/>
        <item x="107"/>
        <item x="265"/>
        <item x="267"/>
        <item x="339"/>
        <item x="128"/>
        <item x="271"/>
        <item m="1" x="408"/>
        <item m="1" x="376"/>
        <item x="135"/>
        <item x="136"/>
        <item x="137"/>
        <item m="1" x="409"/>
        <item x="340"/>
        <item x="181"/>
        <item x="266"/>
        <item x="129"/>
        <item m="1" x="403"/>
        <item x="32"/>
        <item m="1" x="387"/>
        <item x="54"/>
        <item x="70"/>
        <item x="103"/>
        <item x="111"/>
        <item x="112"/>
        <item m="1" x="392"/>
        <item x="139"/>
        <item x="140"/>
        <item x="156"/>
        <item x="190"/>
        <item x="191"/>
        <item x="295"/>
        <item x="308"/>
        <item x="309"/>
        <item x="310"/>
        <item x="314"/>
        <item x="315"/>
        <item x="316"/>
        <item x="362"/>
        <item x="363"/>
        <item x="364"/>
        <item m="1" x="405"/>
        <item x="66"/>
        <item x="67"/>
        <item x="90"/>
        <item x="263"/>
        <item x="157"/>
        <item m="1" x="390"/>
        <item m="1" x="383"/>
        <item x="13"/>
        <item x="14"/>
        <item x="101"/>
        <item m="1" x="378"/>
        <item m="1" x="380"/>
        <item x="264"/>
        <item m="1" x="404"/>
        <item x="290"/>
        <item x="341"/>
        <item x="355"/>
        <item x="356"/>
        <item x="272"/>
        <item x="61"/>
        <item x="60"/>
        <item x="273"/>
        <item x="274"/>
        <item x="6"/>
        <item x="0"/>
        <item x="1"/>
        <item x="2"/>
        <item x="7"/>
        <item x="15"/>
        <item x="46"/>
        <item m="1" x="399"/>
        <item x="56"/>
        <item x="57"/>
        <item x="58"/>
        <item x="59"/>
        <item m="1" x="402"/>
        <item x="72"/>
        <item x="79"/>
        <item x="91"/>
        <item x="108"/>
        <item x="113"/>
        <item x="114"/>
        <item x="115"/>
        <item x="116"/>
        <item x="117"/>
        <item x="118"/>
        <item x="119"/>
        <item x="120"/>
        <item x="121"/>
        <item x="122"/>
        <item x="141"/>
        <item x="158"/>
        <item x="182"/>
        <item x="183"/>
        <item m="1" x="375"/>
        <item x="311"/>
        <item x="326"/>
        <item x="329"/>
        <item x="361"/>
        <item x="369"/>
        <item x="243"/>
      </items>
    </pivotField>
    <pivotField axis="axisRow" compact="0" outline="0" showAll="0" defaultSubtotal="0">
      <items count="393">
        <item m="1" x="368"/>
        <item x="139"/>
        <item x="10"/>
        <item x="341"/>
        <item x="70"/>
        <item x="126"/>
        <item x="209"/>
        <item x="230"/>
        <item x="125"/>
        <item x="193"/>
        <item x="242"/>
        <item x="195"/>
        <item x="219"/>
        <item x="205"/>
        <item x="222"/>
        <item x="223"/>
        <item x="221"/>
        <item x="52"/>
        <item x="47"/>
        <item x="48"/>
        <item x="53"/>
        <item x="9"/>
        <item x="20"/>
        <item x="21"/>
        <item x="144"/>
        <item x="4"/>
        <item x="5"/>
        <item x="229"/>
        <item x="23"/>
        <item m="1" x="388"/>
        <item x="25"/>
        <item x="27"/>
        <item x="26"/>
        <item x="28"/>
        <item x="29"/>
        <item x="122"/>
        <item x="282"/>
        <item x="34"/>
        <item x="211"/>
        <item x="212"/>
        <item x="185"/>
        <item m="1" x="385"/>
        <item x="263"/>
        <item x="187"/>
        <item x="84"/>
        <item x="273"/>
        <item x="272"/>
        <item x="38"/>
        <item x="146"/>
        <item x="72"/>
        <item x="73"/>
        <item x="3"/>
        <item x="206"/>
        <item x="231"/>
        <item x="192"/>
        <item x="19"/>
        <item x="186"/>
        <item x="336"/>
        <item x="208"/>
        <item x="210"/>
        <item x="202"/>
        <item x="87"/>
        <item x="338"/>
        <item x="335"/>
        <item x="333"/>
        <item x="334"/>
        <item m="1" x="365"/>
        <item m="1" x="366"/>
        <item x="129"/>
        <item x="337"/>
        <item x="121"/>
        <item x="15"/>
        <item x="196"/>
        <item x="127"/>
        <item x="204"/>
        <item x="137"/>
        <item x="207"/>
        <item x="128"/>
        <item x="33"/>
        <item x="220"/>
        <item x="44"/>
        <item x="232"/>
        <item x="258"/>
        <item x="234"/>
        <item x="235"/>
        <item x="173"/>
        <item x="152"/>
        <item x="138"/>
        <item x="150"/>
        <item x="155"/>
        <item x="153"/>
        <item x="156"/>
        <item x="154"/>
        <item x="157"/>
        <item x="158"/>
        <item x="178"/>
        <item x="201"/>
        <item x="141"/>
        <item x="166"/>
        <item x="172"/>
        <item x="74"/>
        <item x="179"/>
        <item x="180"/>
        <item x="300"/>
        <item x="42"/>
        <item x="43"/>
        <item x="86"/>
        <item x="85"/>
        <item x="240"/>
        <item x="279"/>
        <item x="280"/>
        <item x="281"/>
        <item x="120"/>
        <item x="190"/>
        <item x="340"/>
        <item x="191"/>
        <item x="41"/>
        <item x="270"/>
        <item x="269"/>
        <item x="216"/>
        <item x="214"/>
        <item x="215"/>
        <item x="119"/>
        <item x="293"/>
        <item x="275"/>
        <item x="164"/>
        <item x="330"/>
        <item x="332"/>
        <item x="203"/>
        <item x="305"/>
        <item x="306"/>
        <item x="307"/>
        <item x="308"/>
        <item x="309"/>
        <item x="310"/>
        <item x="339"/>
        <item x="342"/>
        <item m="1" x="392"/>
        <item x="353"/>
        <item x="301"/>
        <item x="218"/>
        <item x="213"/>
        <item x="261"/>
        <item x="217"/>
        <item x="296"/>
        <item x="257"/>
        <item x="331"/>
        <item x="36"/>
        <item x="37"/>
        <item x="194"/>
        <item x="243"/>
        <item x="75"/>
        <item x="95"/>
        <item x="96"/>
        <item x="76"/>
        <item x="97"/>
        <item x="88"/>
        <item x="176"/>
        <item x="177"/>
        <item x="260"/>
        <item x="264"/>
        <item x="237"/>
        <item x="49"/>
        <item x="236"/>
        <item x="11"/>
        <item x="140"/>
        <item x="181"/>
        <item x="238"/>
        <item x="239"/>
        <item x="24"/>
        <item m="1" x="382"/>
        <item x="311"/>
        <item x="312"/>
        <item x="354"/>
        <item x="147"/>
        <item m="1" x="391"/>
        <item x="16"/>
        <item x="17"/>
        <item x="18"/>
        <item x="61"/>
        <item x="99"/>
        <item x="98"/>
        <item x="94"/>
        <item x="77"/>
        <item x="80"/>
        <item x="81"/>
        <item x="142"/>
        <item x="143"/>
        <item x="145"/>
        <item x="148"/>
        <item x="162"/>
        <item x="244"/>
        <item x="245"/>
        <item x="265"/>
        <item x="266"/>
        <item x="289"/>
        <item x="290"/>
        <item x="291"/>
        <item x="249"/>
        <item x="22"/>
        <item x="101"/>
        <item x="103"/>
        <item x="104"/>
        <item x="149"/>
        <item x="159"/>
        <item x="160"/>
        <item x="161"/>
        <item x="165"/>
        <item x="313"/>
        <item x="316"/>
        <item x="318"/>
        <item x="319"/>
        <item x="320"/>
        <item x="321"/>
        <item x="322"/>
        <item x="45"/>
        <item x="35"/>
        <item x="46"/>
        <item x="55"/>
        <item x="348"/>
        <item x="345"/>
        <item x="346"/>
        <item x="350"/>
        <item x="351"/>
        <item m="1" x="384"/>
        <item x="286"/>
        <item x="284"/>
        <item x="285"/>
        <item x="287"/>
        <item x="288"/>
        <item x="167"/>
        <item m="1" x="362"/>
        <item m="1" x="375"/>
        <item x="39"/>
        <item m="1" x="357"/>
        <item x="40"/>
        <item x="91"/>
        <item x="92"/>
        <item x="188"/>
        <item x="189"/>
        <item x="227"/>
        <item x="228"/>
        <item x="224"/>
        <item x="225"/>
        <item x="226"/>
        <item x="274"/>
        <item m="1" x="380"/>
        <item x="292"/>
        <item x="197"/>
        <item x="198"/>
        <item x="199"/>
        <item x="200"/>
        <item m="1" x="369"/>
        <item m="1" x="372"/>
        <item x="118"/>
        <item m="1" x="367"/>
        <item x="93"/>
        <item x="246"/>
        <item x="51"/>
        <item x="82"/>
        <item x="83"/>
        <item x="163"/>
        <item x="267"/>
        <item x="250"/>
        <item x="299"/>
        <item x="295"/>
        <item x="294"/>
        <item x="251"/>
        <item x="252"/>
        <item x="276"/>
        <item x="277"/>
        <item x="268"/>
        <item x="12"/>
        <item x="62"/>
        <item x="247"/>
        <item x="248"/>
        <item x="347"/>
        <item x="323"/>
        <item x="324"/>
        <item m="1" x="361"/>
        <item x="271"/>
        <item x="356"/>
        <item x="31"/>
        <item x="50"/>
        <item x="63"/>
        <item x="79"/>
        <item x="168"/>
        <item x="132"/>
        <item x="355"/>
        <item x="131"/>
        <item x="30"/>
        <item m="1" x="364"/>
        <item x="69"/>
        <item x="169"/>
        <item x="170"/>
        <item x="171"/>
        <item x="130"/>
        <item x="315"/>
        <item x="325"/>
        <item x="326"/>
        <item x="133"/>
        <item x="184"/>
        <item x="8"/>
        <item x="107"/>
        <item x="105"/>
        <item x="106"/>
        <item x="255"/>
        <item x="259"/>
        <item x="327"/>
        <item x="123"/>
        <item m="1" x="374"/>
        <item m="1" x="376"/>
        <item m="1" x="386"/>
        <item x="328"/>
        <item x="2"/>
        <item x="256"/>
        <item x="124"/>
        <item x="108"/>
        <item x="111"/>
        <item x="109"/>
        <item x="110"/>
        <item m="1" x="390"/>
        <item m="1" x="370"/>
        <item x="32"/>
        <item m="1" x="360"/>
        <item x="54"/>
        <item x="64"/>
        <item x="90"/>
        <item x="262"/>
        <item m="1" x="377"/>
        <item m="1" x="371"/>
        <item x="67"/>
        <item x="68"/>
        <item x="102"/>
        <item x="134"/>
        <item x="135"/>
        <item x="182"/>
        <item x="183"/>
        <item x="283"/>
        <item x="297"/>
        <item x="298"/>
        <item x="302"/>
        <item x="303"/>
        <item x="304"/>
        <item x="352"/>
        <item m="1" x="387"/>
        <item x="65"/>
        <item x="66"/>
        <item x="89"/>
        <item x="253"/>
        <item m="1" x="389"/>
        <item m="1" x="373"/>
        <item x="13"/>
        <item x="14"/>
        <item x="100"/>
        <item m="1" x="378"/>
        <item m="1" x="383"/>
        <item x="241"/>
        <item x="254"/>
        <item m="1" x="358"/>
        <item x="278"/>
        <item x="329"/>
        <item x="343"/>
        <item x="344"/>
        <item m="1" x="379"/>
        <item x="60"/>
        <item x="6"/>
        <item x="0"/>
        <item x="1"/>
        <item x="7"/>
        <item m="1" x="381"/>
        <item x="56"/>
        <item x="57"/>
        <item x="58"/>
        <item x="59"/>
        <item m="1" x="363"/>
        <item x="71"/>
        <item x="78"/>
        <item x="112"/>
        <item x="113"/>
        <item x="114"/>
        <item x="115"/>
        <item x="116"/>
        <item x="117"/>
        <item m="1" x="359"/>
        <item x="151"/>
        <item x="174"/>
        <item x="175"/>
        <item x="314"/>
        <item x="317"/>
        <item x="349"/>
        <item x="136"/>
        <item x="233"/>
      </items>
    </pivotField>
    <pivotField compact="0" outline="0" showAll="0"/>
    <pivotField axis="axisRow" compact="0" outline="0" showAll="0" defaultSubtotal="0">
      <items count="19">
        <item x="3"/>
        <item x="6"/>
        <item x="0"/>
        <item x="11"/>
        <item x="12"/>
        <item x="4"/>
        <item x="5"/>
        <item x="7"/>
        <item x="8"/>
        <item x="16"/>
        <item x="15"/>
        <item x="1"/>
        <item x="14"/>
        <item x="2"/>
        <item x="13"/>
        <item x="9"/>
        <item x="10"/>
        <item x="17"/>
        <item x="18"/>
      </items>
    </pivotField>
    <pivotField compact="0" outline="0" showAll="0"/>
    <pivotField axis="axisRow" compact="0" outline="0" showAll="0" sortType="descending">
      <items count="4">
        <item x="0"/>
        <item x="2"/>
        <item x="1"/>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7">
        <item x="8"/>
        <item x="5"/>
        <item x="11"/>
        <item x="12"/>
        <item x="6"/>
        <item x="4"/>
        <item x="0"/>
        <item x="9"/>
        <item x="7"/>
        <item x="13"/>
        <item x="10"/>
        <item x="14"/>
        <item x="1"/>
        <item x="15"/>
        <item x="2"/>
        <item x="3"/>
        <item t="default"/>
      </items>
    </pivotField>
    <pivotField compact="0" outline="0" showAll="0"/>
    <pivotField compact="0" outline="0" showAll="0"/>
    <pivotField dataField="1" compact="0" outline="0" showAll="0"/>
    <pivotField dataField="1" compact="0" numFmtId="2" outline="0" showAll="0"/>
    <pivotField compact="0" numFmtId="9" outline="0" showAll="0"/>
    <pivotField dataField="1" compact="0" numFmtId="2" outline="0" showAll="0"/>
    <pivotField compact="0" outline="0" showAll="0"/>
    <pivotField axis="axisPage" compact="0" outline="0" multipleItemSelectionAllowed="1" showAll="0">
      <items count="19">
        <item h="1" x="3"/>
        <item h="1" x="9"/>
        <item h="1" x="4"/>
        <item h="1" x="2"/>
        <item h="1" x="11"/>
        <item h="1" x="6"/>
        <item x="0"/>
        <item h="1" x="5"/>
        <item h="1" x="1"/>
        <item h="1" x="7"/>
        <item h="1" x="12"/>
        <item h="1" x="16"/>
        <item h="1" x="13"/>
        <item h="1" x="10"/>
        <item h="1" x="8"/>
        <item h="1" x="14"/>
        <item h="1" x="15"/>
        <item h="1" m="1" x="17"/>
        <item t="default"/>
      </items>
    </pivotField>
    <pivotField compact="0" outline="0" showAll="0"/>
    <pivotField axis="axisRow" compact="0" outline="0" showAll="0" defaultSubtotal="0">
      <items count="17">
        <item x="3"/>
        <item x="11"/>
        <item x="12"/>
        <item x="4"/>
        <item x="5"/>
        <item x="8"/>
        <item x="7"/>
        <item x="14"/>
        <item x="15"/>
        <item x="1"/>
        <item x="13"/>
        <item x="0"/>
        <item x="6"/>
        <item x="2"/>
        <item x="9"/>
        <item x="10"/>
        <item x="16"/>
      </items>
    </pivotField>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outline="0" showAll="0"/>
    <pivotField compact="0" numFmtId="167" outline="0" showAll="0"/>
    <pivotField compact="0" numFmtId="2"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defaultSubtotal="0"/>
    <pivotField compact="0" outline="0" showAll="0"/>
    <pivotField compact="0" numFmtId="167" outline="0" showAll="0"/>
    <pivotField compact="0" outline="0" showAll="0"/>
    <pivotField compact="0" numFmtId="167" outline="0" showAll="0"/>
  </pivotFields>
  <rowFields count="6">
    <field x="5"/>
    <field x="3"/>
    <field x="22"/>
    <field x="0"/>
    <field x="1"/>
    <field x="12"/>
  </rowFields>
  <rowItems count="98">
    <i>
      <x/>
      <x/>
      <x/>
      <x v="90"/>
      <x v="118"/>
      <x v="15"/>
    </i>
    <i r="3">
      <x v="119"/>
      <x v="138"/>
      <x v="15"/>
    </i>
    <i r="3">
      <x v="185"/>
      <x v="208"/>
      <x v="15"/>
    </i>
    <i r="3">
      <x v="187"/>
      <x v="210"/>
      <x v="12"/>
    </i>
    <i r="3">
      <x v="188"/>
      <x v="211"/>
      <x v="12"/>
    </i>
    <i r="3">
      <x v="228"/>
      <x v="254"/>
      <x v="15"/>
    </i>
    <i r="3">
      <x v="276"/>
      <x v="282"/>
      <x v="15"/>
    </i>
    <i r="3">
      <x v="281"/>
      <x v="288"/>
      <x v="15"/>
    </i>
    <i r="3">
      <x v="292"/>
      <x v="297"/>
      <x v="6"/>
    </i>
    <i r="3">
      <x v="363"/>
      <x v="360"/>
      <x v="6"/>
    </i>
    <i r="3">
      <x v="405"/>
      <x v="388"/>
      <x v="12"/>
    </i>
    <i r="3">
      <x v="406"/>
      <x v="389"/>
      <x v="6"/>
    </i>
    <i r="1">
      <x v="1"/>
      <x v="12"/>
      <x v="189"/>
      <x v="212"/>
      <x v="15"/>
    </i>
    <i r="1">
      <x v="2"/>
      <x v="11"/>
      <x v="32"/>
      <x v="73"/>
      <x v="14"/>
    </i>
    <i r="3">
      <x v="33"/>
      <x v="77"/>
      <x v="14"/>
    </i>
    <i r="3">
      <x v="90"/>
      <x v="118"/>
      <x v="15"/>
    </i>
    <i r="3">
      <x v="91"/>
      <x v="117"/>
      <x v="15"/>
    </i>
    <i r="3">
      <x v="119"/>
      <x v="138"/>
      <x v="15"/>
    </i>
    <i r="3">
      <x v="189"/>
      <x v="212"/>
      <x v="15"/>
    </i>
    <i r="3">
      <x v="191"/>
      <x v="214"/>
      <x v="15"/>
    </i>
    <i r="3">
      <x v="265"/>
      <x v="273"/>
      <x v="15"/>
    </i>
    <i r="3">
      <x v="276"/>
      <x v="282"/>
      <x v="15"/>
    </i>
    <i r="3">
      <x v="281"/>
      <x v="288"/>
      <x v="15"/>
    </i>
    <i r="3">
      <x v="294"/>
      <x v="299"/>
      <x v="15"/>
    </i>
    <i r="3">
      <x v="316"/>
      <x v="296"/>
      <x v="14"/>
    </i>
    <i r="3">
      <x v="317"/>
      <x v="289"/>
      <x v="14"/>
    </i>
    <i r="3">
      <x v="318"/>
      <x v="287"/>
      <x v="14"/>
    </i>
    <i r="3">
      <x v="320"/>
      <x v="313"/>
      <x v="15"/>
    </i>
    <i r="3">
      <x v="325"/>
      <x v="323"/>
      <x v="15"/>
    </i>
    <i r="3">
      <x v="373"/>
      <x v="367"/>
      <x v="6"/>
    </i>
    <i r="3">
      <x v="374"/>
      <x v="368"/>
      <x v="6"/>
    </i>
    <i r="1">
      <x v="3"/>
      <x v="1"/>
      <x v="295"/>
      <x v="300"/>
      <x v="12"/>
    </i>
    <i r="1">
      <x v="4"/>
      <x v="2"/>
      <x v="34"/>
      <x v="68"/>
      <x v="6"/>
    </i>
    <i r="1">
      <x v="5"/>
      <x v="3"/>
      <x v="31"/>
      <x v="5"/>
      <x v="5"/>
    </i>
    <i r="3">
      <x v="100"/>
      <x v="129"/>
      <x v="12"/>
    </i>
    <i r="3">
      <x v="145"/>
      <x v="30"/>
      <x v="6"/>
    </i>
    <i r="1">
      <x v="6"/>
      <x v="4"/>
      <x v="30"/>
      <x v="8"/>
      <x v="5"/>
    </i>
    <i r="3">
      <x v="103"/>
      <x v="132"/>
      <x v="12"/>
    </i>
    <i r="3">
      <x v="146"/>
      <x v="32"/>
      <x v="6"/>
    </i>
    <i r="1">
      <x v="10"/>
      <x v="7"/>
      <x v="233"/>
      <x v="124"/>
      <x v="15"/>
    </i>
    <i t="default">
      <x/>
    </i>
    <i>
      <x v="1"/>
      <x/>
      <x/>
      <x v="271"/>
      <x v="277"/>
      <x v="6"/>
    </i>
    <i r="3">
      <x v="272"/>
      <x v="278"/>
      <x v="6"/>
    </i>
    <i r="3">
      <x v="282"/>
      <x v="290"/>
      <x v="6"/>
    </i>
    <i r="3">
      <x v="293"/>
      <x v="298"/>
      <x v="6"/>
    </i>
    <i r="3">
      <x v="349"/>
      <x v="346"/>
      <x v="6"/>
    </i>
    <i r="3">
      <x v="350"/>
      <x v="347"/>
      <x v="6"/>
    </i>
    <i r="3">
      <x v="364"/>
      <x v="361"/>
      <x v="6"/>
    </i>
    <i t="default">
      <x v="1"/>
    </i>
    <i>
      <x v="2"/>
      <x/>
      <x/>
      <x v="8"/>
      <x v="28"/>
      <x v="15"/>
    </i>
    <i r="3">
      <x v="93"/>
      <x v="45"/>
      <x v="6"/>
    </i>
    <i r="3">
      <x v="186"/>
      <x v="209"/>
      <x v="15"/>
    </i>
    <i r="3">
      <x v="188"/>
      <x v="211"/>
      <x v="12"/>
    </i>
    <i r="3">
      <x v="190"/>
      <x v="213"/>
      <x v="15"/>
    </i>
    <i r="3">
      <x v="220"/>
      <x v="245"/>
      <x v="6"/>
    </i>
    <i r="3">
      <x v="228"/>
      <x v="254"/>
      <x v="12"/>
    </i>
    <i r="3">
      <x v="274"/>
      <x v="280"/>
      <x v="15"/>
    </i>
    <i r="3">
      <x v="275"/>
      <x v="281"/>
      <x v="15"/>
    </i>
    <i r="3">
      <x v="278"/>
      <x v="284"/>
      <x v="15"/>
    </i>
    <i r="3">
      <x v="285"/>
      <x v="331"/>
      <x v="6"/>
    </i>
    <i r="3">
      <x v="286"/>
      <x v="332"/>
      <x v="6"/>
    </i>
    <i r="3">
      <x v="328"/>
      <x v="292"/>
      <x v="6"/>
    </i>
    <i r="3">
      <x v="333"/>
      <x v="334"/>
      <x v="6"/>
    </i>
    <i r="3">
      <x v="334"/>
      <x v="335"/>
      <x v="6"/>
    </i>
    <i r="3">
      <x v="399"/>
      <x v="391"/>
      <x v="6"/>
    </i>
    <i r="1">
      <x v="1"/>
      <x v="12"/>
      <x v="190"/>
      <x v="213"/>
      <x v="15"/>
    </i>
    <i r="1">
      <x v="2"/>
      <x v="11"/>
      <x v="8"/>
      <x v="28"/>
      <x v="15"/>
    </i>
    <i r="3">
      <x v="32"/>
      <x v="73"/>
      <x v="14"/>
    </i>
    <i r="3">
      <x v="33"/>
      <x v="77"/>
      <x v="14"/>
    </i>
    <i r="3">
      <x v="92"/>
      <x v="46"/>
      <x v="6"/>
    </i>
    <i r="3">
      <x v="93"/>
      <x v="45"/>
      <x v="6"/>
    </i>
    <i r="3">
      <x v="138"/>
      <x v="169"/>
      <x v="5"/>
    </i>
    <i r="3">
      <x v="141"/>
      <x v="171"/>
      <x v="5"/>
    </i>
    <i r="3">
      <x v="142"/>
      <x v="172"/>
      <x v="5"/>
    </i>
    <i r="3">
      <x v="143"/>
      <x v="173"/>
      <x v="5"/>
    </i>
    <i r="3">
      <x v="190"/>
      <x v="213"/>
      <x v="15"/>
    </i>
    <i r="3">
      <x v="274"/>
      <x v="280"/>
      <x v="15"/>
    </i>
    <i r="3">
      <x v="275"/>
      <x v="281"/>
      <x v="15"/>
    </i>
    <i r="3">
      <x v="278"/>
      <x v="284"/>
      <x v="15"/>
    </i>
    <i r="3">
      <x v="311"/>
      <x v="308"/>
      <x v="15"/>
    </i>
    <i r="3">
      <x v="317"/>
      <x v="289"/>
      <x v="14"/>
    </i>
    <i r="1">
      <x v="3"/>
      <x v="1"/>
      <x v="295"/>
      <x v="300"/>
      <x v="12"/>
    </i>
    <i r="1">
      <x v="5"/>
      <x v="3"/>
      <x v="101"/>
      <x v="130"/>
      <x v="6"/>
    </i>
    <i r="3">
      <x v="102"/>
      <x v="131"/>
      <x v="6"/>
    </i>
    <i r="3">
      <x v="158"/>
      <x v="122"/>
      <x v="12"/>
    </i>
    <i r="3">
      <x v="174"/>
      <x v="31"/>
      <x v="6"/>
    </i>
    <i r="1">
      <x v="6"/>
      <x v="4"/>
      <x v="104"/>
      <x v="133"/>
      <x v="6"/>
    </i>
    <i r="3">
      <x v="105"/>
      <x v="134"/>
      <x v="6"/>
    </i>
    <i r="3">
      <x v="175"/>
      <x v="33"/>
      <x v="6"/>
    </i>
    <i r="3">
      <x v="176"/>
      <x v="34"/>
      <x v="12"/>
    </i>
    <i r="1">
      <x v="9"/>
      <x v="8"/>
      <x v="253"/>
      <x v="269"/>
      <x v="12"/>
    </i>
    <i r="1">
      <x v="10"/>
      <x v="7"/>
      <x v="253"/>
      <x v="269"/>
      <x v="12"/>
    </i>
    <i r="3">
      <x v="254"/>
      <x v="270"/>
      <x v="6"/>
    </i>
    <i r="1">
      <x v="13"/>
      <x v="13"/>
      <x v="138"/>
      <x v="169"/>
      <x v="5"/>
    </i>
    <i r="3">
      <x v="393"/>
      <x v="382"/>
      <x v="12"/>
    </i>
    <i r="3">
      <x v="394"/>
      <x v="378"/>
      <x v="12"/>
    </i>
    <i t="default">
      <x v="2"/>
    </i>
    <i t="grand">
      <x/>
    </i>
  </rowItems>
  <colFields count="1">
    <field x="-2"/>
  </colFields>
  <colItems count="4">
    <i>
      <x/>
    </i>
    <i i="1">
      <x v="1"/>
    </i>
    <i i="2">
      <x v="2"/>
    </i>
    <i i="3">
      <x v="3"/>
    </i>
  </colItems>
  <pageFields count="1">
    <pageField fld="20" hier="-1"/>
  </pageFields>
  <dataFields count="4">
    <dataField name="Summa av Ant" fld="15" baseField="0" baseItem="0"/>
    <dataField name="Summa av HST" fld="16" baseField="12" baseItem="24" numFmtId="174"/>
    <dataField name="Summa av HPR" fld="18" baseField="12" baseItem="24" numFmtId="174"/>
    <dataField name="Summa av Totala intäkter" fld="28" baseField="12" baseItem="20" numFmtId="3"/>
  </dataFields>
  <formats count="9">
    <format dxfId="8">
      <pivotArea field="5" type="button" dataOnly="0" labelOnly="1" outline="0" axis="axisRow" fieldPosition="0"/>
    </format>
    <format dxfId="7">
      <pivotArea field="3" type="button" dataOnly="0" labelOnly="1" outline="0" axis="axisRow" fieldPosition="1"/>
    </format>
    <format dxfId="6">
      <pivotArea field="22" type="button" dataOnly="0" labelOnly="1" outline="0" axis="axisRow" fieldPosition="2"/>
    </format>
    <format dxfId="5">
      <pivotArea field="0" type="button" dataOnly="0" labelOnly="1" outline="0" axis="axisRow" fieldPosition="3"/>
    </format>
    <format dxfId="4">
      <pivotArea field="1" type="button" dataOnly="0" labelOnly="1" outline="0" axis="axisRow" fieldPosition="4"/>
    </format>
    <format dxfId="3">
      <pivotArea field="12" type="button" dataOnly="0" labelOnly="1" outline="0" axis="axisRow" fieldPosition="5"/>
    </format>
    <format dxfId="2">
      <pivotArea dataOnly="0" labelOnly="1" outline="0" fieldPosition="0">
        <references count="1">
          <reference field="4294967294" count="3">
            <x v="0"/>
            <x v="1"/>
            <x v="2"/>
          </reference>
        </references>
      </pivotArea>
    </format>
    <format dxfId="1">
      <pivotArea outline="0" fieldPosition="0">
        <references count="1">
          <reference field="4294967294" count="1">
            <x v="3"/>
          </reference>
        </references>
      </pivotArea>
    </format>
    <format dxfId="0">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1" cacheId="1"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4:D376" firstHeaderRow="1" firstDataRow="2" firstDataCol="1"/>
  <pivotFields count="67">
    <pivotField axis="axisRow" compact="0" outline="0" subtotalTop="0" showAll="0" includeNewItemsInFilter="1" sortType="ascending" defaultSubtotal="0">
      <items count="410">
        <item x="0"/>
        <item x="1"/>
        <item m="1" x="390"/>
        <item x="2"/>
        <item x="3"/>
        <item x="4"/>
        <item x="5"/>
        <item x="6"/>
        <item m="1" x="377"/>
        <item m="1" x="393"/>
        <item x="7"/>
        <item x="8"/>
        <item m="1" x="386"/>
        <item x="9"/>
        <item x="10"/>
        <item x="11"/>
        <item x="12"/>
        <item m="1" x="383"/>
        <item x="13"/>
        <item x="14"/>
        <item x="15"/>
        <item m="1" x="391"/>
        <item x="16"/>
        <item x="17"/>
        <item x="18"/>
        <item x="19"/>
        <item x="20"/>
        <item x="21"/>
        <item x="22"/>
        <item m="1" x="394"/>
        <item x="23"/>
        <item x="24"/>
        <item x="25"/>
        <item x="26"/>
        <item x="27"/>
        <item x="28"/>
        <item x="29"/>
        <item x="30"/>
        <item x="31"/>
        <item x="32"/>
        <item x="33"/>
        <item x="34"/>
        <item x="35"/>
        <item m="1" x="384"/>
        <item m="1" x="387"/>
        <item x="36"/>
        <item x="37"/>
        <item x="38"/>
        <item m="1" x="388"/>
        <item x="39"/>
        <item x="40"/>
        <item x="41"/>
        <item x="42"/>
        <item x="43"/>
        <item x="44"/>
        <item x="45"/>
        <item m="1" x="408"/>
        <item m="1" x="372"/>
        <item m="1" x="376"/>
        <item x="46"/>
        <item x="47"/>
        <item x="48"/>
        <item x="49"/>
        <item x="50"/>
        <item x="51"/>
        <item x="52"/>
        <item x="53"/>
        <item x="54"/>
        <item x="55"/>
        <item m="1" x="399"/>
        <item x="56"/>
        <item x="57"/>
        <item x="58"/>
        <item x="59"/>
        <item x="60"/>
        <item x="61"/>
        <item x="62"/>
        <item x="63"/>
        <item x="64"/>
        <item m="1" x="406"/>
        <item m="1" x="402"/>
        <item x="65"/>
        <item m="1" x="379"/>
        <item m="1" x="371"/>
        <item m="1" x="397"/>
        <item x="66"/>
        <item x="67"/>
        <item m="1" x="407"/>
        <item x="68"/>
        <item x="69"/>
        <item x="70"/>
        <item x="71"/>
        <item x="72"/>
        <item x="73"/>
        <item x="74"/>
        <item x="75"/>
        <item x="76"/>
        <item x="77"/>
        <item x="78"/>
        <item x="79"/>
        <item x="80"/>
        <item x="81"/>
        <item x="82"/>
        <item x="83"/>
        <item x="84"/>
        <item x="85"/>
        <item x="86"/>
        <item x="87"/>
        <item x="88"/>
        <item x="89"/>
        <item x="90"/>
        <item x="91"/>
        <item x="92"/>
        <item x="93"/>
        <item x="94"/>
        <item m="1" x="395"/>
        <item m="1" x="398"/>
        <item x="95"/>
        <item x="96"/>
        <item x="97"/>
        <item x="98"/>
        <item x="99"/>
        <item x="100"/>
        <item x="101"/>
        <item x="102"/>
        <item x="103"/>
        <item x="104"/>
        <item x="105"/>
        <item m="1" x="373"/>
        <item x="106"/>
        <item x="107"/>
        <item x="108"/>
        <item x="109"/>
        <item x="110"/>
        <item x="111"/>
        <item x="112"/>
        <item x="113"/>
        <item x="114"/>
        <item x="115"/>
        <item x="116"/>
        <item x="117"/>
        <item x="118"/>
        <item x="119"/>
        <item x="120"/>
        <item x="121"/>
        <item x="122"/>
        <item m="1" x="403"/>
        <item m="1" x="392"/>
        <item x="123"/>
        <item x="124"/>
        <item x="125"/>
        <item x="126"/>
        <item x="127"/>
        <item x="128"/>
        <item x="129"/>
        <item x="130"/>
        <item x="131"/>
        <item x="132"/>
        <item x="133"/>
        <item x="134"/>
        <item x="135"/>
        <item x="136"/>
        <item x="137"/>
        <item x="138"/>
        <item x="139"/>
        <item x="140"/>
        <item m="1" x="378"/>
        <item m="1" x="38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m="1" x="370"/>
        <item x="175"/>
        <item x="176"/>
        <item x="177"/>
        <item x="178"/>
        <item x="179"/>
        <item m="1" x="409"/>
        <item x="180"/>
        <item x="181"/>
        <item m="1" x="389"/>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m="1" x="374"/>
        <item x="232"/>
        <item x="233"/>
        <item x="234"/>
        <item x="235"/>
        <item x="236"/>
        <item x="237"/>
        <item x="238"/>
        <item x="239"/>
        <item x="240"/>
        <item x="241"/>
        <item x="242"/>
        <item x="243"/>
        <item x="244"/>
        <item x="245"/>
        <item x="246"/>
        <item x="247"/>
        <item x="248"/>
        <item m="1" x="385"/>
        <item x="249"/>
        <item x="250"/>
        <item x="251"/>
        <item x="252"/>
        <item x="253"/>
        <item m="1" x="375"/>
        <item x="254"/>
        <item x="255"/>
        <item x="256"/>
        <item m="1" x="382"/>
        <item x="257"/>
        <item x="258"/>
        <item x="259"/>
        <item x="260"/>
        <item x="261"/>
        <item x="262"/>
        <item x="263"/>
        <item x="264"/>
        <item x="265"/>
        <item x="266"/>
        <item x="267"/>
        <item x="268"/>
        <item x="269"/>
        <item x="270"/>
        <item x="271"/>
        <item x="272"/>
        <item x="273"/>
        <item x="274"/>
        <item x="275"/>
        <item x="276"/>
        <item x="277"/>
        <item x="278"/>
        <item x="279"/>
        <item x="280"/>
        <item x="281"/>
        <item x="282"/>
        <item m="1" x="400"/>
        <item x="283"/>
        <item m="1" x="404"/>
        <item x="284"/>
        <item x="285"/>
        <item x="286"/>
        <item m="1" x="381"/>
        <item x="287"/>
        <item x="288"/>
        <item x="289"/>
        <item x="290"/>
        <item x="291"/>
        <item x="292"/>
        <item x="293"/>
        <item x="294"/>
        <item x="295"/>
        <item x="296"/>
        <item x="297"/>
        <item x="298"/>
        <item x="299"/>
        <item x="300"/>
        <item x="301"/>
        <item x="302"/>
        <item x="303"/>
        <item x="304"/>
        <item x="305"/>
        <item m="1" x="401"/>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m="1" x="396"/>
        <item x="359"/>
        <item x="360"/>
        <item x="361"/>
        <item x="362"/>
        <item x="363"/>
        <item x="364"/>
        <item x="365"/>
        <item x="366"/>
        <item x="367"/>
        <item x="368"/>
        <item m="1" x="405"/>
        <item x="369"/>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multipleItemSelectionAllowed="1"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7"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0"/>
  </rowFields>
  <rowItems count="371">
    <i>
      <x/>
    </i>
    <i>
      <x v="1"/>
    </i>
    <i>
      <x v="3"/>
    </i>
    <i>
      <x v="4"/>
    </i>
    <i>
      <x v="5"/>
    </i>
    <i>
      <x v="6"/>
    </i>
    <i>
      <x v="7"/>
    </i>
    <i>
      <x v="10"/>
    </i>
    <i>
      <x v="11"/>
    </i>
    <i>
      <x v="13"/>
    </i>
    <i>
      <x v="14"/>
    </i>
    <i>
      <x v="15"/>
    </i>
    <i>
      <x v="16"/>
    </i>
    <i>
      <x v="18"/>
    </i>
    <i>
      <x v="19"/>
    </i>
    <i>
      <x v="20"/>
    </i>
    <i>
      <x v="22"/>
    </i>
    <i>
      <x v="23"/>
    </i>
    <i>
      <x v="24"/>
    </i>
    <i>
      <x v="25"/>
    </i>
    <i>
      <x v="26"/>
    </i>
    <i>
      <x v="27"/>
    </i>
    <i>
      <x v="28"/>
    </i>
    <i>
      <x v="30"/>
    </i>
    <i>
      <x v="31"/>
    </i>
    <i>
      <x v="32"/>
    </i>
    <i>
      <x v="33"/>
    </i>
    <i>
      <x v="34"/>
    </i>
    <i>
      <x v="35"/>
    </i>
    <i>
      <x v="36"/>
    </i>
    <i>
      <x v="37"/>
    </i>
    <i>
      <x v="38"/>
    </i>
    <i>
      <x v="39"/>
    </i>
    <i>
      <x v="40"/>
    </i>
    <i>
      <x v="41"/>
    </i>
    <i>
      <x v="42"/>
    </i>
    <i>
      <x v="45"/>
    </i>
    <i>
      <x v="46"/>
    </i>
    <i>
      <x v="47"/>
    </i>
    <i>
      <x v="49"/>
    </i>
    <i>
      <x v="50"/>
    </i>
    <i>
      <x v="51"/>
    </i>
    <i>
      <x v="52"/>
    </i>
    <i>
      <x v="53"/>
    </i>
    <i>
      <x v="54"/>
    </i>
    <i>
      <x v="55"/>
    </i>
    <i>
      <x v="59"/>
    </i>
    <i>
      <x v="60"/>
    </i>
    <i>
      <x v="61"/>
    </i>
    <i>
      <x v="62"/>
    </i>
    <i>
      <x v="63"/>
    </i>
    <i>
      <x v="64"/>
    </i>
    <i>
      <x v="65"/>
    </i>
    <i>
      <x v="66"/>
    </i>
    <i>
      <x v="67"/>
    </i>
    <i>
      <x v="68"/>
    </i>
    <i>
      <x v="70"/>
    </i>
    <i>
      <x v="71"/>
    </i>
    <i>
      <x v="72"/>
    </i>
    <i>
      <x v="73"/>
    </i>
    <i>
      <x v="74"/>
    </i>
    <i>
      <x v="75"/>
    </i>
    <i>
      <x v="76"/>
    </i>
    <i>
      <x v="77"/>
    </i>
    <i>
      <x v="78"/>
    </i>
    <i>
      <x v="81"/>
    </i>
    <i>
      <x v="85"/>
    </i>
    <i>
      <x v="86"/>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7"/>
    </i>
    <i>
      <x v="118"/>
    </i>
    <i>
      <x v="119"/>
    </i>
    <i>
      <x v="120"/>
    </i>
    <i>
      <x v="121"/>
    </i>
    <i>
      <x v="122"/>
    </i>
    <i>
      <x v="123"/>
    </i>
    <i>
      <x v="124"/>
    </i>
    <i>
      <x v="125"/>
    </i>
    <i>
      <x v="126"/>
    </i>
    <i>
      <x v="127"/>
    </i>
    <i>
      <x v="129"/>
    </i>
    <i>
      <x v="130"/>
    </i>
    <i>
      <x v="131"/>
    </i>
    <i>
      <x v="132"/>
    </i>
    <i>
      <x v="133"/>
    </i>
    <i>
      <x v="134"/>
    </i>
    <i>
      <x v="135"/>
    </i>
    <i>
      <x v="136"/>
    </i>
    <i>
      <x v="137"/>
    </i>
    <i>
      <x v="138"/>
    </i>
    <i>
      <x v="139"/>
    </i>
    <i>
      <x v="140"/>
    </i>
    <i>
      <x v="141"/>
    </i>
    <i>
      <x v="142"/>
    </i>
    <i>
      <x v="143"/>
    </i>
    <i>
      <x v="144"/>
    </i>
    <i>
      <x v="145"/>
    </i>
    <i>
      <x v="148"/>
    </i>
    <i>
      <x v="149"/>
    </i>
    <i>
      <x v="150"/>
    </i>
    <i>
      <x v="151"/>
    </i>
    <i>
      <x v="152"/>
    </i>
    <i>
      <x v="153"/>
    </i>
    <i>
      <x v="154"/>
    </i>
    <i>
      <x v="155"/>
    </i>
    <i>
      <x v="156"/>
    </i>
    <i>
      <x v="157"/>
    </i>
    <i>
      <x v="158"/>
    </i>
    <i>
      <x v="159"/>
    </i>
    <i>
      <x v="160"/>
    </i>
    <i>
      <x v="161"/>
    </i>
    <i>
      <x v="162"/>
    </i>
    <i>
      <x v="163"/>
    </i>
    <i>
      <x v="164"/>
    </i>
    <i>
      <x v="165"/>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3"/>
    </i>
    <i>
      <x v="204"/>
    </i>
    <i>
      <x v="205"/>
    </i>
    <i>
      <x v="206"/>
    </i>
    <i>
      <x v="207"/>
    </i>
    <i>
      <x v="209"/>
    </i>
    <i>
      <x v="210"/>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3"/>
    </i>
    <i>
      <x v="264"/>
    </i>
    <i>
      <x v="265"/>
    </i>
    <i>
      <x v="266"/>
    </i>
    <i>
      <x v="267"/>
    </i>
    <i>
      <x v="268"/>
    </i>
    <i>
      <x v="269"/>
    </i>
    <i>
      <x v="270"/>
    </i>
    <i>
      <x v="271"/>
    </i>
    <i>
      <x v="272"/>
    </i>
    <i>
      <x v="273"/>
    </i>
    <i>
      <x v="274"/>
    </i>
    <i>
      <x v="275"/>
    </i>
    <i>
      <x v="276"/>
    </i>
    <i>
      <x v="277"/>
    </i>
    <i>
      <x v="278"/>
    </i>
    <i>
      <x v="279"/>
    </i>
    <i>
      <x v="281"/>
    </i>
    <i>
      <x v="282"/>
    </i>
    <i>
      <x v="283"/>
    </i>
    <i>
      <x v="284"/>
    </i>
    <i>
      <x v="285"/>
    </i>
    <i>
      <x v="287"/>
    </i>
    <i>
      <x v="288"/>
    </i>
    <i>
      <x v="289"/>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8"/>
    </i>
    <i>
      <x v="320"/>
    </i>
    <i>
      <x v="321"/>
    </i>
    <i>
      <x v="322"/>
    </i>
    <i>
      <x v="324"/>
    </i>
    <i>
      <x v="325"/>
    </i>
    <i>
      <x v="326"/>
    </i>
    <i>
      <x v="327"/>
    </i>
    <i>
      <x v="328"/>
    </i>
    <i>
      <x v="329"/>
    </i>
    <i>
      <x v="330"/>
    </i>
    <i>
      <x v="331"/>
    </i>
    <i>
      <x v="332"/>
    </i>
    <i>
      <x v="333"/>
    </i>
    <i>
      <x v="334"/>
    </i>
    <i>
      <x v="335"/>
    </i>
    <i>
      <x v="336"/>
    </i>
    <i>
      <x v="337"/>
    </i>
    <i>
      <x v="338"/>
    </i>
    <i>
      <x v="339"/>
    </i>
    <i>
      <x v="340"/>
    </i>
    <i>
      <x v="341"/>
    </i>
    <i>
      <x v="342"/>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8"/>
    </i>
    <i>
      <x v="399"/>
    </i>
    <i>
      <x v="400"/>
    </i>
    <i>
      <x v="401"/>
    </i>
    <i>
      <x v="402"/>
    </i>
    <i>
      <x v="403"/>
    </i>
    <i>
      <x v="404"/>
    </i>
    <i>
      <x v="405"/>
    </i>
    <i>
      <x v="406"/>
    </i>
    <i>
      <x v="407"/>
    </i>
    <i>
      <x v="409"/>
    </i>
    <i t="grand">
      <x/>
    </i>
  </rowItems>
  <colFields count="1">
    <field x="-2"/>
  </colFields>
  <colItems count="3">
    <i>
      <x/>
    </i>
    <i i="1">
      <x v="1"/>
    </i>
    <i i="2">
      <x v="2"/>
    </i>
  </colItems>
  <dataFields count="3">
    <dataField name=" HST" fld="16" baseField="0" baseItem="342" numFmtId="2"/>
    <dataField name=" HPR" fld="18" baseField="0" baseItem="342" numFmtId="2"/>
    <dataField name="Summa av Totala intäkter" fld="28" baseField="0" baseItem="89" numFmtId="3"/>
  </dataFields>
  <pivotTableStyleInfo showRowHeaders="1" showColHeaders="1" showRowStripes="0" showColStripes="0" showLastColumn="1"/>
</pivotTableDefinition>
</file>

<file path=xl/pivotTables/pivotTable8.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23" firstHeaderRow="1" firstDataRow="1" firstDataCol="5"/>
  <pivotFields count="20">
    <pivotField axis="axisRow" compact="0" outline="0" showAll="0" sortType="ascending" defaultSubtotal="0">
      <items count="146">
        <item x="0"/>
        <item x="1"/>
        <item x="2"/>
        <item x="3"/>
        <item m="1" x="122"/>
        <item m="1" x="131"/>
        <item m="1" x="142"/>
        <item m="1" x="107"/>
        <item x="4"/>
        <item x="5"/>
        <item x="6"/>
        <item x="7"/>
        <item m="1" x="117"/>
        <item m="1" x="111"/>
        <item m="1" x="141"/>
        <item x="8"/>
        <item m="1" x="87"/>
        <item x="9"/>
        <item x="10"/>
        <item x="11"/>
        <item m="1" x="100"/>
        <item m="1" x="105"/>
        <item m="1" x="125"/>
        <item x="12"/>
        <item x="13"/>
        <item m="1" x="138"/>
        <item x="15"/>
        <item x="16"/>
        <item x="17"/>
        <item x="18"/>
        <item x="14"/>
        <item m="1" x="115"/>
        <item x="19"/>
        <item m="1" x="119"/>
        <item x="20"/>
        <item m="1" x="101"/>
        <item x="21"/>
        <item x="22"/>
        <item m="1" x="145"/>
        <item m="1" x="88"/>
        <item x="23"/>
        <item m="1" x="118"/>
        <item x="24"/>
        <item x="25"/>
        <item x="26"/>
        <item x="27"/>
        <item m="1" x="97"/>
        <item m="1" x="102"/>
        <item m="1" x="106"/>
        <item m="1" x="108"/>
        <item m="1" x="113"/>
        <item m="1" x="121"/>
        <item m="1" x="126"/>
        <item m="1" x="129"/>
        <item m="1" x="91"/>
        <item x="28"/>
        <item m="1" x="99"/>
        <item m="1" x="103"/>
        <item m="1" x="104"/>
        <item m="1" x="134"/>
        <item m="1" x="137"/>
        <item m="1" x="84"/>
        <item m="1" x="86"/>
        <item m="1" x="133"/>
        <item m="1" x="135"/>
        <item m="1" x="139"/>
        <item m="1" x="144"/>
        <item m="1" x="82"/>
        <item m="1" x="120"/>
        <item m="1" x="123"/>
        <item m="1" x="127"/>
        <item m="1" x="130"/>
        <item m="1" x="136"/>
        <item m="1" x="140"/>
        <item m="1" x="132"/>
        <item m="1" x="95"/>
        <item x="29"/>
        <item x="30"/>
        <item x="31"/>
        <item m="1" x="112"/>
        <item m="1" x="92"/>
        <item x="32"/>
        <item x="33"/>
        <item m="1" x="98"/>
        <item x="34"/>
        <item x="35"/>
        <item x="36"/>
        <item x="37"/>
        <item x="38"/>
        <item x="39"/>
        <item x="40"/>
        <item x="41"/>
        <item x="42"/>
        <item x="43"/>
        <item x="44"/>
        <item x="45"/>
        <item x="46"/>
        <item x="47"/>
        <item x="48"/>
        <item x="49"/>
        <item x="50"/>
        <item x="51"/>
        <item x="52"/>
        <item x="53"/>
        <item x="54"/>
        <item x="55"/>
        <item x="56"/>
        <item x="57"/>
        <item x="58"/>
        <item x="59"/>
        <item x="60"/>
        <item x="61"/>
        <item x="65"/>
        <item x="62"/>
        <item x="63"/>
        <item x="64"/>
        <item m="1" x="93"/>
        <item m="1" x="96"/>
        <item m="1" x="143"/>
        <item m="1" x="83"/>
        <item m="1" x="85"/>
        <item m="1" x="90"/>
        <item m="1" x="94"/>
        <item x="66"/>
        <item x="67"/>
        <item x="68"/>
        <item x="69"/>
        <item x="70"/>
        <item m="1" x="128"/>
        <item x="71"/>
        <item x="72"/>
        <item x="73"/>
        <item m="1" x="124"/>
        <item x="74"/>
        <item m="1" x="89"/>
        <item m="1" x="109"/>
        <item m="1" x="114"/>
        <item x="75"/>
        <item x="76"/>
        <item x="77"/>
        <item m="1" x="116"/>
        <item x="78"/>
        <item x="79"/>
        <item x="80"/>
        <item m="1" x="110"/>
        <item x="81"/>
      </items>
    </pivotField>
    <pivotField axis="axisRow" compact="0" outline="0" showAll="0" sortType="ascending" defaultSubtotal="0">
      <items count="139">
        <item x="19"/>
        <item x="18"/>
        <item x="57"/>
        <item m="1" x="117"/>
        <item x="44"/>
        <item x="31"/>
        <item m="1" x="138"/>
        <item m="1" x="130"/>
        <item x="33"/>
        <item m="1" x="87"/>
        <item m="1" x="125"/>
        <item m="1" x="133"/>
        <item m="1" x="99"/>
        <item x="46"/>
        <item x="10"/>
        <item x="47"/>
        <item x="45"/>
        <item x="76"/>
        <item x="77"/>
        <item x="12"/>
        <item x="35"/>
        <item x="43"/>
        <item m="1" x="113"/>
        <item m="1" x="134"/>
        <item x="16"/>
        <item m="1" x="135"/>
        <item x="63"/>
        <item m="1" x="98"/>
        <item x="61"/>
        <item x="28"/>
        <item m="1" x="101"/>
        <item m="1" x="121"/>
        <item x="54"/>
        <item x="27"/>
        <item x="3"/>
        <item m="1" x="89"/>
        <item x="4"/>
        <item x="6"/>
        <item x="5"/>
        <item m="1" x="118"/>
        <item m="1" x="115"/>
        <item x="68"/>
        <item x="7"/>
        <item m="1" x="136"/>
        <item x="20"/>
        <item m="1" x="104"/>
        <item m="1" x="124"/>
        <item x="13"/>
        <item x="48"/>
        <item x="60"/>
        <item m="1" x="110"/>
        <item m="1" x="129"/>
        <item m="1" x="105"/>
        <item m="1" x="103"/>
        <item m="1" x="85"/>
        <item m="1" x="88"/>
        <item m="1" x="107"/>
        <item m="1" x="79"/>
        <item m="1" x="112"/>
        <item m="1" x="123"/>
        <item m="1" x="97"/>
        <item x="15"/>
        <item x="30"/>
        <item m="1" x="82"/>
        <item m="1" x="119"/>
        <item m="1" x="95"/>
        <item m="1" x="92"/>
        <item m="1" x="120"/>
        <item m="1" x="102"/>
        <item m="1" x="122"/>
        <item x="49"/>
        <item x="50"/>
        <item m="1" x="128"/>
        <item m="1" x="106"/>
        <item x="23"/>
        <item x="22"/>
        <item x="24"/>
        <item x="25"/>
        <item m="1" x="91"/>
        <item m="1" x="132"/>
        <item x="26"/>
        <item x="69"/>
        <item m="1" x="108"/>
        <item x="62"/>
        <item x="67"/>
        <item m="1" x="94"/>
        <item x="53"/>
        <item x="52"/>
        <item x="56"/>
        <item m="1" x="109"/>
        <item x="55"/>
        <item m="1" x="131"/>
        <item x="64"/>
        <item x="65"/>
        <item x="66"/>
        <item x="51"/>
        <item x="14"/>
        <item x="75"/>
        <item x="2"/>
        <item x="0"/>
        <item x="1"/>
        <item m="1" x="81"/>
        <item x="9"/>
        <item x="70"/>
        <item x="39"/>
        <item x="37"/>
        <item x="38"/>
        <item x="11"/>
        <item x="58"/>
        <item m="1" x="90"/>
        <item x="21"/>
        <item x="72"/>
        <item x="73"/>
        <item x="74"/>
        <item m="1" x="111"/>
        <item m="1" x="86"/>
        <item m="1" x="137"/>
        <item m="1" x="126"/>
        <item x="8"/>
        <item m="1" x="80"/>
        <item x="34"/>
        <item x="42"/>
        <item x="36"/>
        <item x="40"/>
        <item x="41"/>
        <item x="71"/>
        <item m="1" x="127"/>
        <item m="1" x="100"/>
        <item x="32"/>
        <item m="1" x="93"/>
        <item m="1" x="116"/>
        <item m="1" x="83"/>
        <item x="17"/>
        <item m="1" x="96"/>
        <item x="59"/>
        <item m="1" x="84"/>
        <item x="29"/>
        <item m="1" x="114"/>
        <item x="78"/>
      </items>
    </pivotField>
    <pivotField compact="0" outline="0" showAll="0"/>
    <pivotField axis="axisRow" compact="0" outline="0" showAll="0" defaultSubtotal="0">
      <items count="23">
        <item x="2"/>
        <item x="5"/>
        <item x="15"/>
        <item m="1" x="21"/>
        <item x="3"/>
        <item m="1" x="22"/>
        <item x="8"/>
        <item x="14"/>
        <item x="11"/>
        <item x="7"/>
        <item m="1" x="20"/>
        <item x="17"/>
        <item x="10"/>
        <item x="0"/>
        <item x="18"/>
        <item x="13"/>
        <item x="6"/>
        <item x="16"/>
        <item x="1"/>
        <item x="9"/>
        <item x="19"/>
        <item x="12"/>
        <item x="4"/>
      </items>
    </pivotField>
    <pivotField compact="0" outline="0" showAll="0"/>
    <pivotField axis="axisRow" compact="0" numFmtId="10" outline="0" showAll="0">
      <items count="38">
        <item x="25"/>
        <item x="1"/>
        <item x="3"/>
        <item x="0"/>
        <item x="2"/>
        <item m="1" x="30"/>
        <item x="19"/>
        <item x="12"/>
        <item x="5"/>
        <item m="1" x="35"/>
        <item x="10"/>
        <item m="1" x="32"/>
        <item x="11"/>
        <item x="27"/>
        <item m="1" x="31"/>
        <item m="1" x="34"/>
        <item x="20"/>
        <item x="6"/>
        <item x="26"/>
        <item x="8"/>
        <item m="1" x="36"/>
        <item m="1" x="29"/>
        <item x="4"/>
        <item m="1" x="33"/>
        <item x="13"/>
        <item x="16"/>
        <item x="17"/>
        <item x="18"/>
        <item x="9"/>
        <item x="28"/>
        <item x="14"/>
        <item x="15"/>
        <item x="21"/>
        <item x="22"/>
        <item x="23"/>
        <item x="24"/>
        <item x="7"/>
        <item t="default"/>
      </items>
    </pivotField>
    <pivotField compact="0" outline="0" showAll="0"/>
    <pivotField axis="axisRow" compact="0" outline="0" showAll="0" defaultSubtotal="0">
      <items count="12">
        <item x="1"/>
        <item x="5"/>
        <item x="4"/>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0"/>
    <field x="1"/>
    <field x="7"/>
    <field x="3"/>
    <field x="5"/>
  </rowFields>
  <rowItems count="120">
    <i>
      <x/>
      <x v="99"/>
      <x v="7"/>
      <x v="13"/>
      <x v="3"/>
    </i>
    <i r="3">
      <x v="18"/>
      <x v="3"/>
    </i>
    <i>
      <x v="1"/>
      <x v="100"/>
      <x v="7"/>
      <x v="13"/>
      <x v="1"/>
    </i>
    <i r="3">
      <x v="18"/>
      <x v="1"/>
    </i>
    <i>
      <x v="2"/>
      <x v="98"/>
      <x v="7"/>
      <x v="13"/>
      <x v="3"/>
    </i>
    <i r="3">
      <x v="18"/>
      <x v="3"/>
    </i>
    <i>
      <x v="3"/>
      <x v="99"/>
      <x v="7"/>
      <x v="13"/>
      <x v="1"/>
    </i>
    <i r="3">
      <x v="18"/>
      <x v="1"/>
    </i>
    <i>
      <x v="8"/>
      <x v="34"/>
      <x/>
      <x/>
      <x v="4"/>
    </i>
    <i>
      <x v="9"/>
      <x v="36"/>
      <x v="3"/>
      <x v="4"/>
      <x v="4"/>
    </i>
    <i r="3">
      <x v="22"/>
      <x v="2"/>
    </i>
    <i>
      <x v="10"/>
      <x v="38"/>
      <x v="3"/>
      <x v="1"/>
      <x v="22"/>
    </i>
    <i>
      <x v="11"/>
      <x v="37"/>
      <x v="3"/>
      <x v="4"/>
      <x v="4"/>
    </i>
    <i>
      <x v="15"/>
      <x v="42"/>
      <x v="11"/>
      <x v="16"/>
      <x v="8"/>
    </i>
    <i>
      <x v="17"/>
      <x v="118"/>
      <x v="3"/>
      <x v="18"/>
      <x v="3"/>
    </i>
    <i>
      <x v="18"/>
      <x v="102"/>
      <x/>
      <x v="6"/>
      <x v="17"/>
    </i>
    <i r="3">
      <x v="9"/>
      <x v="3"/>
    </i>
    <i r="3">
      <x v="19"/>
      <x v="36"/>
    </i>
    <i>
      <x v="19"/>
      <x v="14"/>
      <x v="2"/>
      <x v="13"/>
      <x v="3"/>
    </i>
    <i r="3">
      <x v="18"/>
      <x v="3"/>
    </i>
    <i>
      <x v="23"/>
      <x v="107"/>
      <x v="1"/>
      <x v="12"/>
      <x v="8"/>
    </i>
    <i>
      <x v="24"/>
      <x v="19"/>
      <x/>
      <x v="6"/>
      <x v="8"/>
    </i>
    <i>
      <x v="26"/>
      <x v="96"/>
      <x/>
      <x v="13"/>
      <x v="8"/>
    </i>
    <i r="3">
      <x v="21"/>
      <x v="22"/>
    </i>
    <i>
      <x v="27"/>
      <x v="61"/>
      <x/>
      <x v="13"/>
      <x v="17"/>
    </i>
    <i r="3">
      <x v="15"/>
      <x v="3"/>
    </i>
    <i>
      <x v="28"/>
      <x v="24"/>
      <x/>
      <x v="6"/>
      <x v="19"/>
    </i>
    <i>
      <x v="29"/>
      <x v="132"/>
      <x/>
      <x v="6"/>
      <x v="28"/>
    </i>
    <i>
      <x v="30"/>
      <x v="47"/>
      <x/>
      <x v="8"/>
      <x v="3"/>
    </i>
    <i>
      <x v="32"/>
      <x v="1"/>
      <x v="1"/>
      <x v="12"/>
      <x v="10"/>
    </i>
    <i>
      <x v="34"/>
      <x/>
      <x v="1"/>
      <x v="12"/>
      <x v="10"/>
    </i>
    <i>
      <x v="36"/>
      <x v="44"/>
      <x v="1"/>
      <x v="18"/>
      <x v="10"/>
    </i>
    <i>
      <x v="37"/>
      <x v="110"/>
      <x v="1"/>
      <x v="6"/>
      <x v="22"/>
    </i>
    <i>
      <x v="40"/>
      <x v="75"/>
      <x v="2"/>
      <x v="7"/>
      <x v="10"/>
    </i>
    <i>
      <x v="42"/>
      <x v="74"/>
      <x v="2"/>
      <x v="7"/>
      <x v="10"/>
    </i>
    <i>
      <x v="43"/>
      <x v="76"/>
      <x v="2"/>
      <x v="7"/>
      <x v="10"/>
    </i>
    <i>
      <x v="44"/>
      <x v="77"/>
      <x v="2"/>
      <x v="18"/>
      <x v="12"/>
    </i>
    <i>
      <x v="45"/>
      <x v="80"/>
      <x v="2"/>
      <x v="18"/>
      <x v="3"/>
    </i>
    <i>
      <x v="55"/>
      <x v="33"/>
      <x v="6"/>
      <x v="2"/>
      <x v="7"/>
    </i>
    <i>
      <x v="76"/>
      <x v="29"/>
      <x v="6"/>
      <x v="19"/>
      <x v="4"/>
    </i>
    <i>
      <x v="77"/>
      <x v="136"/>
      <x v="3"/>
      <x v="19"/>
      <x v="4"/>
    </i>
    <i>
      <x v="78"/>
      <x v="62"/>
      <x v="3"/>
      <x v="8"/>
      <x v="7"/>
    </i>
    <i>
      <x v="81"/>
      <x v="5"/>
      <x v="6"/>
      <x v="13"/>
      <x v="3"/>
    </i>
    <i>
      <x v="82"/>
      <x v="128"/>
      <x v="3"/>
      <x v="18"/>
      <x v="8"/>
    </i>
    <i>
      <x v="84"/>
      <x v="8"/>
      <x v="2"/>
      <x v="13"/>
      <x v="12"/>
    </i>
    <i r="3">
      <x v="18"/>
      <x v="12"/>
    </i>
    <i>
      <x v="85"/>
      <x v="120"/>
      <x v="6"/>
      <x v="17"/>
      <x v="3"/>
    </i>
    <i>
      <x v="86"/>
      <x v="20"/>
      <x v="6"/>
      <x v="13"/>
      <x v="12"/>
    </i>
    <i>
      <x v="87"/>
      <x v="122"/>
      <x v="6"/>
      <x v="8"/>
      <x v="4"/>
    </i>
    <i r="3">
      <x v="13"/>
      <x v="24"/>
    </i>
    <i>
      <x v="88"/>
      <x v="105"/>
      <x v="6"/>
      <x v="8"/>
      <x v="31"/>
    </i>
    <i r="3">
      <x v="13"/>
      <x v="30"/>
    </i>
    <i>
      <x v="89"/>
      <x v="106"/>
      <x v="3"/>
      <x v="8"/>
      <x v="1"/>
    </i>
    <i r="3">
      <x v="18"/>
      <x v="7"/>
    </i>
    <i>
      <x v="90"/>
      <x v="104"/>
      <x v="3"/>
      <x v="8"/>
      <x v="1"/>
    </i>
    <i r="3">
      <x v="18"/>
      <x v="7"/>
    </i>
    <i>
      <x v="91"/>
      <x v="123"/>
      <x v="3"/>
      <x v="8"/>
      <x v="4"/>
    </i>
    <i r="3">
      <x v="18"/>
      <x v="25"/>
    </i>
    <i>
      <x v="92"/>
      <x v="124"/>
      <x v="3"/>
      <x v="8"/>
      <x v="4"/>
    </i>
    <i r="3">
      <x v="12"/>
      <x v="25"/>
    </i>
    <i>
      <x v="93"/>
      <x v="121"/>
      <x v="3"/>
      <x v="8"/>
      <x v="4"/>
    </i>
    <i r="3">
      <x v="12"/>
      <x v="24"/>
    </i>
    <i>
      <x v="94"/>
      <x v="21"/>
      <x v="3"/>
      <x v="18"/>
      <x v="12"/>
    </i>
    <i>
      <x v="95"/>
      <x v="4"/>
      <x v="6"/>
      <x v="13"/>
      <x v="3"/>
    </i>
    <i>
      <x v="96"/>
      <x v="16"/>
      <x v="2"/>
      <x v="13"/>
      <x v="26"/>
    </i>
    <i r="3">
      <x v="18"/>
      <x v="26"/>
    </i>
    <i r="3">
      <x v="19"/>
      <x v="27"/>
    </i>
    <i>
      <x v="97"/>
      <x v="13"/>
      <x v="2"/>
      <x v="18"/>
      <x v="6"/>
    </i>
    <i r="3">
      <x v="19"/>
      <x v="1"/>
    </i>
    <i>
      <x v="98"/>
      <x v="15"/>
      <x v="2"/>
      <x v="13"/>
      <x v="26"/>
    </i>
    <i r="3">
      <x v="18"/>
      <x v="26"/>
    </i>
    <i r="3">
      <x v="19"/>
      <x v="27"/>
    </i>
    <i>
      <x v="99"/>
      <x v="48"/>
      <x v="2"/>
      <x v="2"/>
      <x v="12"/>
    </i>
    <i r="3">
      <x v="13"/>
      <x v="3"/>
    </i>
    <i r="3">
      <x v="18"/>
      <x v="3"/>
    </i>
    <i>
      <x v="100"/>
      <x v="70"/>
      <x v="2"/>
      <x v="9"/>
      <x v="16"/>
    </i>
    <i r="3">
      <x v="13"/>
      <x v="17"/>
    </i>
    <i>
      <x v="101"/>
      <x v="71"/>
      <x v="2"/>
      <x v="9"/>
      <x v="7"/>
    </i>
    <i>
      <x v="102"/>
      <x v="95"/>
      <x v="6"/>
      <x v="12"/>
      <x v="17"/>
    </i>
    <i r="3">
      <x v="13"/>
      <x v="6"/>
    </i>
    <i>
      <x v="103"/>
      <x v="87"/>
      <x v="6"/>
      <x v="13"/>
      <x v="19"/>
    </i>
    <i>
      <x v="104"/>
      <x v="86"/>
      <x v="6"/>
      <x v="13"/>
      <x v="19"/>
    </i>
    <i>
      <x v="105"/>
      <x v="32"/>
      <x v="2"/>
      <x v="2"/>
      <x v="22"/>
    </i>
    <i r="3">
      <x v="9"/>
      <x v="30"/>
    </i>
    <i>
      <x v="106"/>
      <x v="90"/>
      <x v="2"/>
      <x v="9"/>
      <x v="7"/>
    </i>
    <i>
      <x v="107"/>
      <x v="88"/>
      <x v="2"/>
      <x v="9"/>
      <x v="7"/>
    </i>
    <i>
      <x v="108"/>
      <x v="2"/>
      <x v="2"/>
      <x v="2"/>
      <x v="10"/>
    </i>
    <i r="3">
      <x v="9"/>
      <x v="10"/>
    </i>
    <i>
      <x v="109"/>
      <x v="108"/>
      <x v="2"/>
      <x v="9"/>
      <x v="19"/>
    </i>
    <i>
      <x v="110"/>
      <x v="134"/>
      <x v="6"/>
      <x v="13"/>
      <x v="7"/>
    </i>
    <i>
      <x v="111"/>
      <x v="49"/>
      <x v="3"/>
      <x v="18"/>
      <x v="7"/>
    </i>
    <i>
      <x v="112"/>
      <x v="83"/>
      <x v="3"/>
      <x v="18"/>
      <x v="7"/>
    </i>
    <i>
      <x v="113"/>
      <x v="128"/>
      <x v="3"/>
      <x v="18"/>
      <x v="8"/>
    </i>
    <i>
      <x v="114"/>
      <x v="28"/>
      <x v="6"/>
      <x v="13"/>
      <x v="19"/>
    </i>
    <i>
      <x v="115"/>
      <x v="123"/>
      <x v="6"/>
      <x v="13"/>
      <x v="25"/>
    </i>
    <i>
      <x v="123"/>
      <x v="26"/>
      <x v="1"/>
      <x v="6"/>
      <x v="8"/>
    </i>
    <i>
      <x v="124"/>
      <x v="92"/>
      <x v="4"/>
      <x/>
      <x v="32"/>
    </i>
    <i r="3">
      <x v="11"/>
      <x v="33"/>
    </i>
    <i r="3">
      <x v="13"/>
      <x v="3"/>
    </i>
    <i>
      <x v="125"/>
      <x v="93"/>
      <x v="4"/>
      <x v="13"/>
      <x v="3"/>
    </i>
    <i r="3">
      <x v="14"/>
      <x v="7"/>
    </i>
    <i>
      <x v="126"/>
      <x v="94"/>
      <x v="4"/>
      <x/>
      <x v="34"/>
    </i>
    <i r="3">
      <x v="11"/>
      <x v="35"/>
    </i>
    <i r="3">
      <x v="13"/>
      <x/>
    </i>
    <i>
      <x v="127"/>
      <x v="84"/>
      <x v="4"/>
      <x v="19"/>
      <x v="8"/>
    </i>
    <i>
      <x v="129"/>
      <x v="41"/>
      <x v="3"/>
      <x v="8"/>
      <x v="3"/>
    </i>
    <i r="3">
      <x v="9"/>
      <x v="3"/>
    </i>
    <i>
      <x v="130"/>
      <x v="81"/>
      <x v="3"/>
      <x v="8"/>
      <x v="12"/>
    </i>
    <i r="3">
      <x v="18"/>
      <x v="12"/>
    </i>
    <i>
      <x v="131"/>
      <x v="103"/>
      <x v="6"/>
      <x v="13"/>
      <x v="10"/>
    </i>
    <i>
      <x v="133"/>
      <x v="125"/>
      <x v="3"/>
      <x v="8"/>
      <x v="8"/>
    </i>
    <i>
      <x v="137"/>
      <x v="111"/>
      <x v="1"/>
      <x v="6"/>
      <x v="8"/>
    </i>
    <i>
      <x v="138"/>
      <x v="112"/>
      <x v="1"/>
      <x v="6"/>
      <x v="8"/>
    </i>
    <i>
      <x v="139"/>
      <x v="113"/>
      <x v="1"/>
      <x v="6"/>
      <x v="8"/>
    </i>
    <i>
      <x v="141"/>
      <x v="97"/>
      <x v="6"/>
      <x v="13"/>
      <x v="6"/>
    </i>
    <i r="3">
      <x v="17"/>
      <x v="18"/>
    </i>
    <i>
      <x v="142"/>
      <x v="17"/>
      <x v="6"/>
      <x v="13"/>
      <x v="13"/>
    </i>
    <i>
      <x v="143"/>
      <x v="18"/>
      <x v="6"/>
      <x v="13"/>
      <x v="7"/>
    </i>
    <i>
      <x v="145"/>
      <x v="138"/>
      <x v="8"/>
      <x v="20"/>
      <x v="29"/>
    </i>
    <i t="grand">
      <x/>
    </i>
  </rowItems>
  <colItems count="1">
    <i/>
  </colItem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19" firstHeaderRow="1" firstDataRow="1" firstDataCol="5"/>
  <pivotFields count="20">
    <pivotField axis="axisRow" compact="0" outline="0" showAll="0" defaultSubtotal="0">
      <items count="146">
        <item m="1" x="117"/>
        <item m="1" x="111"/>
        <item x="13"/>
        <item m="1" x="138"/>
        <item m="1" x="145"/>
        <item m="1" x="88"/>
        <item m="1" x="97"/>
        <item m="1" x="102"/>
        <item m="1" x="108"/>
        <item m="1" x="129"/>
        <item m="1" x="91"/>
        <item x="28"/>
        <item m="1" x="99"/>
        <item m="1" x="103"/>
        <item x="67"/>
        <item x="68"/>
        <item x="69"/>
        <item m="1" x="128"/>
        <item m="1" x="89"/>
        <item m="1" x="109"/>
        <item m="1" x="114"/>
        <item x="19"/>
        <item x="20"/>
        <item m="1" x="104"/>
        <item m="1" x="137"/>
        <item m="1" x="96"/>
        <item m="1" x="143"/>
        <item m="1" x="83"/>
        <item m="1" x="85"/>
        <item m="1" x="90"/>
        <item m="1" x="94"/>
        <item m="1" x="125"/>
        <item x="15"/>
        <item m="1" x="115"/>
        <item m="1" x="119"/>
        <item m="1" x="106"/>
        <item m="1" x="113"/>
        <item m="1" x="121"/>
        <item m="1" x="126"/>
        <item m="1" x="134"/>
        <item m="1" x="86"/>
        <item m="1" x="141"/>
        <item m="1" x="135"/>
        <item m="1" x="133"/>
        <item m="1" x="120"/>
        <item m="1" x="144"/>
        <item m="1" x="82"/>
        <item m="1" x="123"/>
        <item m="1" x="127"/>
        <item m="1" x="130"/>
        <item m="1" x="136"/>
        <item m="1" x="140"/>
        <item m="1" x="95"/>
        <item m="1" x="132"/>
        <item m="1" x="116"/>
        <item x="78"/>
        <item x="29"/>
        <item x="16"/>
        <item x="17"/>
        <item m="1" x="107"/>
        <item x="30"/>
        <item x="31"/>
        <item m="1" x="112"/>
        <item m="1" x="84"/>
        <item m="1" x="139"/>
        <item m="1" x="93"/>
        <item x="70"/>
        <item x="23"/>
        <item x="24"/>
        <item x="25"/>
        <item m="1" x="92"/>
        <item x="32"/>
        <item m="1" x="98"/>
        <item x="0"/>
        <item x="5"/>
        <item m="1" x="101"/>
        <item m="1" x="118"/>
        <item x="26"/>
        <item x="34"/>
        <item x="35"/>
        <item x="36"/>
        <item x="37"/>
        <item x="38"/>
        <item x="39"/>
        <item x="41"/>
        <item x="42"/>
        <item x="44"/>
        <item x="46"/>
        <item x="47"/>
        <item x="66"/>
        <item x="79"/>
        <item x="81"/>
        <item x="40"/>
        <item x="43"/>
        <item x="48"/>
        <item x="21"/>
        <item x="45"/>
        <item x="49"/>
        <item x="50"/>
        <item x="51"/>
        <item m="1" x="122"/>
        <item m="1" x="131"/>
        <item x="6"/>
        <item x="8"/>
        <item x="52"/>
        <item x="55"/>
        <item x="56"/>
        <item x="57"/>
        <item x="58"/>
        <item x="33"/>
        <item m="1" x="142"/>
        <item m="1" x="87"/>
        <item x="12"/>
        <item x="53"/>
        <item x="54"/>
        <item x="71"/>
        <item x="72"/>
        <item x="73"/>
        <item x="27"/>
        <item x="4"/>
        <item m="1" x="124"/>
        <item x="59"/>
        <item m="1" x="100"/>
        <item m="1" x="105"/>
        <item x="75"/>
        <item x="1"/>
        <item x="63"/>
        <item x="9"/>
        <item x="10"/>
        <item x="61"/>
        <item x="62"/>
        <item x="76"/>
        <item x="18"/>
        <item x="7"/>
        <item x="11"/>
        <item x="14"/>
        <item x="22"/>
        <item x="64"/>
        <item x="65"/>
        <item x="74"/>
        <item x="77"/>
        <item m="1" x="110"/>
        <item x="60"/>
        <item x="80"/>
        <item x="2"/>
        <item x="3"/>
      </items>
    </pivotField>
    <pivotField axis="axisRow" compact="0" outline="0" showAll="0" sortType="ascending" defaultSubtotal="0">
      <items count="139">
        <item x="19"/>
        <item x="18"/>
        <item x="57"/>
        <item m="1" x="117"/>
        <item x="44"/>
        <item x="31"/>
        <item m="1" x="138"/>
        <item m="1" x="130"/>
        <item x="33"/>
        <item m="1" x="87"/>
        <item m="1" x="125"/>
        <item m="1" x="133"/>
        <item m="1" x="99"/>
        <item x="46"/>
        <item x="10"/>
        <item x="47"/>
        <item x="45"/>
        <item x="76"/>
        <item x="77"/>
        <item x="12"/>
        <item x="35"/>
        <item x="43"/>
        <item m="1" x="113"/>
        <item m="1" x="134"/>
        <item x="16"/>
        <item m="1" x="135"/>
        <item x="63"/>
        <item m="1" x="98"/>
        <item x="61"/>
        <item x="28"/>
        <item m="1" x="101"/>
        <item m="1" x="121"/>
        <item x="54"/>
        <item x="27"/>
        <item x="3"/>
        <item m="1" x="89"/>
        <item x="4"/>
        <item x="6"/>
        <item x="5"/>
        <item m="1" x="118"/>
        <item m="1" x="115"/>
        <item x="68"/>
        <item x="7"/>
        <item m="1" x="136"/>
        <item x="20"/>
        <item m="1" x="104"/>
        <item m="1" x="124"/>
        <item x="13"/>
        <item x="48"/>
        <item x="60"/>
        <item m="1" x="110"/>
        <item m="1" x="129"/>
        <item m="1" x="105"/>
        <item m="1" x="103"/>
        <item m="1" x="85"/>
        <item m="1" x="88"/>
        <item m="1" x="107"/>
        <item m="1" x="79"/>
        <item m="1" x="112"/>
        <item m="1" x="123"/>
        <item m="1" x="97"/>
        <item x="15"/>
        <item x="30"/>
        <item m="1" x="82"/>
        <item m="1" x="119"/>
        <item m="1" x="95"/>
        <item m="1" x="92"/>
        <item m="1" x="120"/>
        <item m="1" x="102"/>
        <item m="1" x="122"/>
        <item x="49"/>
        <item x="50"/>
        <item m="1" x="128"/>
        <item m="1" x="106"/>
        <item x="23"/>
        <item x="22"/>
        <item x="24"/>
        <item x="25"/>
        <item m="1" x="91"/>
        <item m="1" x="132"/>
        <item x="26"/>
        <item x="69"/>
        <item m="1" x="108"/>
        <item x="62"/>
        <item x="67"/>
        <item m="1" x="94"/>
        <item x="53"/>
        <item x="52"/>
        <item x="56"/>
        <item m="1" x="109"/>
        <item x="55"/>
        <item m="1" x="131"/>
        <item x="64"/>
        <item x="65"/>
        <item x="66"/>
        <item x="51"/>
        <item x="14"/>
        <item x="75"/>
        <item x="2"/>
        <item x="0"/>
        <item x="1"/>
        <item m="1" x="81"/>
        <item x="9"/>
        <item x="70"/>
        <item x="39"/>
        <item x="37"/>
        <item x="38"/>
        <item x="11"/>
        <item x="58"/>
        <item m="1" x="90"/>
        <item x="21"/>
        <item x="72"/>
        <item x="73"/>
        <item x="74"/>
        <item m="1" x="111"/>
        <item m="1" x="86"/>
        <item m="1" x="137"/>
        <item m="1" x="126"/>
        <item x="8"/>
        <item m="1" x="80"/>
        <item x="34"/>
        <item x="42"/>
        <item x="36"/>
        <item x="40"/>
        <item x="41"/>
        <item x="71"/>
        <item m="1" x="127"/>
        <item m="1" x="100"/>
        <item x="32"/>
        <item m="1" x="93"/>
        <item m="1" x="116"/>
        <item m="1" x="83"/>
        <item x="17"/>
        <item m="1" x="96"/>
        <item x="59"/>
        <item m="1" x="84"/>
        <item x="29"/>
        <item m="1" x="114"/>
        <item x="78"/>
      </items>
    </pivotField>
    <pivotField compact="0" outline="0" showAll="0"/>
    <pivotField axis="axisRow" compact="0" outline="0" showAll="0" defaultSubtotal="0">
      <items count="23">
        <item x="2"/>
        <item x="5"/>
        <item x="15"/>
        <item m="1" x="21"/>
        <item x="3"/>
        <item m="1" x="22"/>
        <item x="8"/>
        <item x="14"/>
        <item x="11"/>
        <item x="7"/>
        <item m="1" x="20"/>
        <item x="17"/>
        <item x="10"/>
        <item x="0"/>
        <item x="18"/>
        <item x="13"/>
        <item x="6"/>
        <item x="16"/>
        <item x="1"/>
        <item x="9"/>
        <item x="19"/>
        <item x="12"/>
        <item x="4"/>
      </items>
    </pivotField>
    <pivotField compact="0" outline="0" showAll="0"/>
    <pivotField axis="axisRow" compact="0" numFmtId="173" outline="0" showAll="0">
      <items count="38">
        <item x="25"/>
        <item x="1"/>
        <item x="3"/>
        <item x="0"/>
        <item x="2"/>
        <item m="1" x="30"/>
        <item x="19"/>
        <item x="12"/>
        <item x="5"/>
        <item m="1" x="35"/>
        <item x="10"/>
        <item m="1" x="32"/>
        <item x="11"/>
        <item x="27"/>
        <item m="1" x="31"/>
        <item m="1" x="34"/>
        <item x="20"/>
        <item x="6"/>
        <item x="26"/>
        <item x="8"/>
        <item m="1" x="36"/>
        <item m="1" x="29"/>
        <item x="4"/>
        <item m="1" x="33"/>
        <item x="13"/>
        <item x="16"/>
        <item x="17"/>
        <item x="18"/>
        <item x="9"/>
        <item x="28"/>
        <item x="14"/>
        <item x="15"/>
        <item x="21"/>
        <item x="22"/>
        <item x="23"/>
        <item x="24"/>
        <item x="7"/>
        <item t="default"/>
      </items>
    </pivotField>
    <pivotField compact="0" outline="0" showAll="0"/>
    <pivotField axis="axisRow" compact="0" outline="0" showAll="0" defaultSubtotal="0">
      <items count="12">
        <item sd="0" x="1"/>
        <item sd="0" x="5"/>
        <item x="4"/>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1"/>
    <field x="0"/>
    <field x="7"/>
    <field x="3"/>
    <field x="5"/>
  </rowFields>
  <rowItems count="116">
    <i>
      <x/>
      <x v="22"/>
      <x v="1"/>
    </i>
    <i>
      <x v="1"/>
      <x v="21"/>
      <x v="1"/>
    </i>
    <i>
      <x v="2"/>
      <x v="108"/>
      <x v="2"/>
      <x v="2"/>
      <x v="10"/>
    </i>
    <i r="3">
      <x v="9"/>
      <x v="10"/>
    </i>
    <i>
      <x v="4"/>
      <x v="96"/>
      <x v="6"/>
      <x v="13"/>
      <x v="3"/>
    </i>
    <i>
      <x v="5"/>
      <x v="71"/>
      <x v="6"/>
      <x v="13"/>
      <x v="3"/>
    </i>
    <i>
      <x v="8"/>
      <x v="78"/>
      <x v="2"/>
      <x v="13"/>
      <x v="12"/>
    </i>
    <i r="3">
      <x v="18"/>
      <x v="12"/>
    </i>
    <i>
      <x v="13"/>
      <x v="88"/>
      <x v="2"/>
      <x v="18"/>
      <x v="6"/>
    </i>
    <i r="3">
      <x v="19"/>
      <x v="1"/>
    </i>
    <i>
      <x v="14"/>
      <x v="134"/>
      <x v="2"/>
      <x v="13"/>
      <x v="3"/>
    </i>
    <i r="3">
      <x v="18"/>
      <x v="3"/>
    </i>
    <i>
      <x v="15"/>
      <x v="94"/>
      <x v="2"/>
      <x v="13"/>
      <x v="26"/>
    </i>
    <i r="3">
      <x v="18"/>
      <x v="26"/>
    </i>
    <i r="3">
      <x v="19"/>
      <x v="27"/>
    </i>
    <i>
      <x v="16"/>
      <x v="87"/>
      <x v="2"/>
      <x v="13"/>
      <x v="26"/>
    </i>
    <i r="3">
      <x v="18"/>
      <x v="26"/>
    </i>
    <i r="3">
      <x v="19"/>
      <x v="27"/>
    </i>
    <i>
      <x v="17"/>
      <x v="90"/>
      <x v="6"/>
      <x v="13"/>
      <x v="13"/>
    </i>
    <i>
      <x v="18"/>
      <x v="143"/>
      <x v="6"/>
      <x v="13"/>
      <x v="7"/>
    </i>
    <i>
      <x v="19"/>
      <x v="2"/>
      <x/>
    </i>
    <i>
      <x v="20"/>
      <x v="80"/>
      <x v="6"/>
      <x v="13"/>
      <x v="12"/>
    </i>
    <i>
      <x v="21"/>
      <x v="86"/>
      <x v="3"/>
      <x v="18"/>
      <x v="12"/>
    </i>
    <i>
      <x v="24"/>
      <x v="58"/>
      <x/>
    </i>
    <i>
      <x v="26"/>
      <x v="89"/>
      <x v="1"/>
    </i>
    <i>
      <x v="28"/>
      <x v="126"/>
      <x v="6"/>
      <x v="13"/>
      <x v="19"/>
    </i>
    <i>
      <x v="29"/>
      <x v="56"/>
      <x v="6"/>
      <x v="19"/>
      <x v="4"/>
    </i>
    <i>
      <x v="32"/>
      <x v="105"/>
      <x v="2"/>
      <x v="2"/>
      <x v="22"/>
    </i>
    <i r="3">
      <x v="9"/>
      <x v="30"/>
    </i>
    <i>
      <x v="33"/>
      <x v="11"/>
      <x v="6"/>
      <x v="2"/>
      <x v="7"/>
    </i>
    <i>
      <x v="34"/>
      <x v="119"/>
      <x/>
    </i>
    <i>
      <x v="36"/>
      <x v="74"/>
      <x v="3"/>
      <x v="4"/>
      <x v="4"/>
    </i>
    <i r="3">
      <x v="22"/>
      <x v="2"/>
    </i>
    <i>
      <x v="37"/>
      <x v="133"/>
      <x v="3"/>
      <x v="4"/>
      <x v="4"/>
    </i>
    <i>
      <x v="38"/>
      <x v="102"/>
      <x v="3"/>
      <x v="1"/>
      <x v="22"/>
    </i>
    <i>
      <x v="41"/>
      <x v="115"/>
      <x v="3"/>
      <x v="8"/>
      <x v="3"/>
    </i>
    <i r="3">
      <x v="9"/>
      <x v="3"/>
    </i>
    <i>
      <x v="42"/>
      <x v="103"/>
      <x v="11"/>
      <x v="16"/>
      <x v="8"/>
    </i>
    <i>
      <x v="44"/>
      <x v="95"/>
      <x v="1"/>
    </i>
    <i>
      <x v="47"/>
      <x v="135"/>
      <x/>
    </i>
    <i>
      <x v="48"/>
      <x v="97"/>
      <x v="2"/>
      <x v="2"/>
      <x v="12"/>
    </i>
    <i r="3">
      <x v="13"/>
      <x v="3"/>
    </i>
    <i r="3">
      <x v="18"/>
      <x v="3"/>
    </i>
    <i>
      <x v="49"/>
      <x v="129"/>
      <x v="3"/>
      <x v="18"/>
      <x v="7"/>
    </i>
    <i>
      <x v="61"/>
      <x v="57"/>
      <x/>
    </i>
    <i>
      <x v="62"/>
      <x v="61"/>
      <x v="3"/>
      <x v="8"/>
      <x v="7"/>
    </i>
    <i>
      <x v="70"/>
      <x v="98"/>
      <x v="2"/>
      <x v="9"/>
      <x v="16"/>
    </i>
    <i r="3">
      <x v="13"/>
      <x v="17"/>
    </i>
    <i>
      <x v="71"/>
      <x v="99"/>
      <x v="2"/>
      <x v="9"/>
      <x v="7"/>
    </i>
    <i>
      <x v="74"/>
      <x v="68"/>
      <x v="2"/>
      <x v="7"/>
      <x v="10"/>
    </i>
    <i>
      <x v="75"/>
      <x v="67"/>
      <x v="2"/>
      <x v="7"/>
      <x v="10"/>
    </i>
    <i>
      <x v="76"/>
      <x v="69"/>
      <x v="2"/>
      <x v="7"/>
      <x v="10"/>
    </i>
    <i>
      <x v="77"/>
      <x v="77"/>
      <x v="2"/>
      <x v="18"/>
      <x v="12"/>
    </i>
    <i>
      <x v="80"/>
      <x v="118"/>
      <x v="2"/>
      <x v="18"/>
      <x v="3"/>
    </i>
    <i>
      <x v="81"/>
      <x v="116"/>
      <x v="3"/>
      <x v="8"/>
      <x v="12"/>
    </i>
    <i r="3">
      <x v="18"/>
      <x v="12"/>
    </i>
    <i>
      <x v="83"/>
      <x v="138"/>
      <x v="3"/>
      <x v="18"/>
      <x v="7"/>
    </i>
    <i>
      <x v="84"/>
      <x v="66"/>
      <x v="4"/>
      <x v="19"/>
      <x v="8"/>
    </i>
    <i>
      <x v="86"/>
      <x v="114"/>
      <x v="6"/>
      <x v="13"/>
      <x v="19"/>
    </i>
    <i>
      <x v="87"/>
      <x v="113"/>
      <x v="6"/>
      <x v="13"/>
      <x v="19"/>
    </i>
    <i>
      <x v="88"/>
      <x v="107"/>
      <x v="2"/>
      <x v="9"/>
      <x v="7"/>
    </i>
    <i>
      <x v="90"/>
      <x v="106"/>
      <x v="2"/>
      <x v="9"/>
      <x v="7"/>
    </i>
    <i>
      <x v="92"/>
      <x v="14"/>
      <x v="4"/>
      <x/>
      <x v="32"/>
    </i>
    <i r="3">
      <x v="11"/>
      <x v="33"/>
    </i>
    <i r="3">
      <x v="13"/>
      <x v="3"/>
    </i>
    <i>
      <x v="93"/>
      <x v="15"/>
      <x v="4"/>
      <x v="13"/>
      <x v="3"/>
    </i>
    <i r="3">
      <x v="14"/>
      <x v="7"/>
    </i>
    <i>
      <x v="94"/>
      <x v="16"/>
      <x v="4"/>
      <x/>
      <x v="34"/>
    </i>
    <i r="3">
      <x v="11"/>
      <x v="35"/>
    </i>
    <i r="3">
      <x v="13"/>
      <x/>
    </i>
    <i>
      <x v="95"/>
      <x v="104"/>
      <x v="6"/>
      <x v="12"/>
      <x v="17"/>
    </i>
    <i r="3">
      <x v="13"/>
      <x v="6"/>
    </i>
    <i>
      <x v="96"/>
      <x v="32"/>
      <x/>
    </i>
    <i>
      <x v="97"/>
      <x v="55"/>
      <x v="6"/>
      <x v="13"/>
      <x v="6"/>
    </i>
    <i r="3">
      <x v="17"/>
      <x v="18"/>
    </i>
    <i>
      <x v="98"/>
      <x v="144"/>
      <x v="7"/>
      <x v="13"/>
      <x v="3"/>
    </i>
    <i r="3">
      <x v="18"/>
      <x v="3"/>
    </i>
    <i>
      <x v="99"/>
      <x v="73"/>
      <x v="7"/>
      <x v="13"/>
      <x v="3"/>
    </i>
    <i r="3">
      <x v="18"/>
      <x v="3"/>
    </i>
    <i r="1">
      <x v="145"/>
      <x v="7"/>
      <x v="13"/>
      <x v="1"/>
    </i>
    <i r="3">
      <x v="18"/>
      <x v="1"/>
    </i>
    <i>
      <x v="100"/>
      <x v="125"/>
      <x v="7"/>
      <x v="13"/>
      <x v="1"/>
    </i>
    <i r="3">
      <x v="18"/>
      <x v="1"/>
    </i>
    <i>
      <x v="102"/>
      <x v="128"/>
      <x/>
    </i>
    <i>
      <x v="103"/>
      <x v="117"/>
      <x v="6"/>
      <x v="13"/>
      <x v="10"/>
    </i>
    <i>
      <x v="104"/>
      <x v="92"/>
      <x v="3"/>
      <x v="8"/>
      <x v="1"/>
    </i>
    <i r="3">
      <x v="18"/>
      <x v="7"/>
    </i>
    <i>
      <x v="105"/>
      <x v="82"/>
      <x v="6"/>
      <x v="8"/>
      <x v="31"/>
    </i>
    <i r="3">
      <x v="13"/>
      <x v="30"/>
    </i>
    <i>
      <x v="106"/>
      <x v="83"/>
      <x v="3"/>
      <x v="8"/>
      <x v="1"/>
    </i>
    <i r="3">
      <x v="18"/>
      <x v="7"/>
    </i>
    <i>
      <x v="107"/>
      <x v="112"/>
      <x v="1"/>
    </i>
    <i>
      <x v="108"/>
      <x v="121"/>
      <x v="2"/>
      <x v="9"/>
      <x v="19"/>
    </i>
    <i>
      <x v="110"/>
      <x v="136"/>
      <x v="1"/>
    </i>
    <i>
      <x v="111"/>
      <x v="124"/>
      <x v="1"/>
    </i>
    <i>
      <x v="112"/>
      <x v="131"/>
      <x v="1"/>
    </i>
    <i>
      <x v="113"/>
      <x v="140"/>
      <x v="1"/>
    </i>
    <i>
      <x v="118"/>
      <x v="127"/>
      <x v="3"/>
      <x v="18"/>
      <x v="3"/>
    </i>
    <i>
      <x v="120"/>
      <x v="79"/>
      <x v="6"/>
      <x v="17"/>
      <x v="3"/>
    </i>
    <i>
      <x v="121"/>
      <x v="93"/>
      <x v="3"/>
      <x v="8"/>
      <x v="4"/>
    </i>
    <i r="3">
      <x v="12"/>
      <x v="24"/>
    </i>
    <i>
      <x v="122"/>
      <x v="81"/>
      <x v="6"/>
      <x v="8"/>
      <x v="4"/>
    </i>
    <i r="3">
      <x v="13"/>
      <x v="24"/>
    </i>
    <i>
      <x v="123"/>
      <x v="84"/>
      <x v="3"/>
      <x v="8"/>
      <x v="4"/>
    </i>
    <i r="3">
      <x v="18"/>
      <x v="25"/>
    </i>
    <i r="1">
      <x v="137"/>
      <x v="6"/>
      <x v="13"/>
      <x v="25"/>
    </i>
    <i>
      <x v="124"/>
      <x v="85"/>
      <x v="3"/>
      <x v="8"/>
      <x v="4"/>
    </i>
    <i r="3">
      <x v="12"/>
      <x v="25"/>
    </i>
    <i>
      <x v="125"/>
      <x v="139"/>
      <x v="3"/>
      <x v="8"/>
      <x v="8"/>
    </i>
    <i>
      <x v="128"/>
      <x v="109"/>
      <x v="3"/>
      <x v="18"/>
      <x v="8"/>
    </i>
    <i r="1">
      <x v="130"/>
      <x v="3"/>
      <x v="18"/>
      <x v="8"/>
    </i>
    <i>
      <x v="132"/>
      <x v="132"/>
      <x/>
    </i>
    <i>
      <x v="134"/>
      <x v="142"/>
      <x v="6"/>
      <x v="13"/>
      <x v="7"/>
    </i>
    <i>
      <x v="136"/>
      <x v="60"/>
      <x v="3"/>
      <x v="19"/>
      <x v="4"/>
    </i>
    <i>
      <x v="138"/>
      <x v="91"/>
      <x v="8"/>
      <x v="20"/>
      <x v="29"/>
    </i>
    <i t="grand">
      <x/>
    </i>
  </rowItems>
  <colItems count="1">
    <i/>
  </colItem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5.bin"/><Relationship Id="rId1" Type="http://schemas.openxmlformats.org/officeDocument/2006/relationships/pivotTable" Target="../pivotTables/pivotTable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gnetha.simm@umu.s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7.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8.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9.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pageSetUpPr fitToPage="1"/>
  </sheetPr>
  <dimension ref="A1:X132"/>
  <sheetViews>
    <sheetView zoomScaleNormal="100" workbookViewId="0">
      <selection activeCell="B54" sqref="B54"/>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1532</v>
      </c>
      <c r="B2" t="str">
        <f>VLOOKUP(A2,kurspris!$A$1:$Q$907,2,FALSE)</f>
        <v>Skapande lek i förskolan 1</v>
      </c>
      <c r="C2" s="31">
        <v>2180</v>
      </c>
      <c r="D2" t="str">
        <f>VLOOKUP(C2,Orgenheter!$A$1:$B$214,2)</f>
        <v xml:space="preserve">Pedagogik                     </v>
      </c>
      <c r="E2" t="str">
        <f>VLOOKUP(C2,Orgenheter!$A$1:$C$166,3,FALSE)</f>
        <v>Sam</v>
      </c>
      <c r="F2" s="262">
        <f>1.5/7.5</f>
        <v>0.2</v>
      </c>
      <c r="G2">
        <f>VLOOKUP(A2,'Ansvar kurs'!$A$98:$C$1072,2,FALSE)</f>
        <v>1650</v>
      </c>
      <c r="H2" t="str">
        <f>VLOOKUP(G2,Orgenheter!$A$1:$B$214,2)</f>
        <v xml:space="preserve">Estetiska ämnen               </v>
      </c>
      <c r="I2" t="str">
        <f>VLOOKUP(G2,Orgenheter!$A$1:$C$166,3,FALSE)</f>
        <v>Hum</v>
      </c>
      <c r="J2" s="192">
        <f>IF(ISERROR(VLOOKUP(A2,'Totalt pivot'!$A$5:$C$397,2,FALSE)),0,(VLOOKUP(A2,'Totalt pivot'!$A$5:$C$397,2,FALSE)))</f>
        <v>2.75</v>
      </c>
      <c r="K2" s="192">
        <f t="shared" ref="K2:K65" si="0">F2*J2</f>
        <v>0.55000000000000004</v>
      </c>
      <c r="L2" s="192">
        <f>IF(ISERROR(VLOOKUP(A2,'Totalt pivot'!$A$5:$C$397,3,FALSE)),0,(VLOOKUP(A2,'Totalt pivot'!$A$5:$C$397,3,FALSE)))</f>
        <v>2.3374999999999999</v>
      </c>
      <c r="M2" s="192">
        <f t="shared" ref="M2:M65" si="1">F2*L2</f>
        <v>0.46750000000000003</v>
      </c>
      <c r="N2" s="26">
        <f>VLOOKUP(A2,kurspris!$A$1:$Q$907,15)</f>
        <v>16920</v>
      </c>
      <c r="O2" s="26">
        <f>VLOOKUP(A2,kurspris!$A$1:$Q$907,16)</f>
        <v>27913</v>
      </c>
      <c r="P2" s="26">
        <f>VLOOKUP(A2,kurspris!$A$1:$Q$907,17)</f>
        <v>17900</v>
      </c>
      <c r="Q2" s="26">
        <f t="shared" ref="Q2:Q65" si="2">K2*N2+M2*O2</f>
        <v>22355.327499999999</v>
      </c>
      <c r="R2" s="26">
        <f>(Q2*Prislapp!$R$5)*-1</f>
        <v>-1564.8729250000001</v>
      </c>
      <c r="S2" s="26">
        <f t="shared" ref="S2:S65" si="3">Q2+R2</f>
        <v>20790.454575</v>
      </c>
      <c r="T2" s="26">
        <f t="shared" ref="T2:T65" si="4">K2*P2</f>
        <v>9845</v>
      </c>
    </row>
    <row r="3" spans="1:22" x14ac:dyDescent="0.25">
      <c r="A3" s="31" t="s">
        <v>1532</v>
      </c>
      <c r="B3" t="str">
        <f>VLOOKUP(A3,kurspris!$A$1:$Q$907,2,FALSE)</f>
        <v>Skapande lek i förskolan 1</v>
      </c>
      <c r="C3" s="31">
        <v>2193</v>
      </c>
      <c r="D3" t="str">
        <f>VLOOKUP(C3,Orgenheter!$A$1:$B$214,2)</f>
        <v xml:space="preserve">TUV </v>
      </c>
      <c r="E3" t="str">
        <f>VLOOKUP(C3,Orgenheter!$A$1:$C$166,3,FALSE)</f>
        <v>Sam</v>
      </c>
      <c r="F3" s="262">
        <f>1.5/7.5</f>
        <v>0.2</v>
      </c>
      <c r="G3">
        <f>VLOOKUP(A3,'Ansvar kurs'!$A$98:$C$1072,2,FALSE)</f>
        <v>1650</v>
      </c>
      <c r="H3" t="str">
        <f>VLOOKUP(G3,Orgenheter!$A$1:$B$214,2)</f>
        <v xml:space="preserve">Estetiska ämnen               </v>
      </c>
      <c r="I3" t="str">
        <f>VLOOKUP(G3,Orgenheter!$A$1:$C$166,3,FALSE)</f>
        <v>Hum</v>
      </c>
      <c r="J3" s="192">
        <f>IF(ISERROR(VLOOKUP(A3,'Totalt pivot'!$A$5:$C$397,2,FALSE)),0,(VLOOKUP(A3,'Totalt pivot'!$A$5:$C$397,2,FALSE)))</f>
        <v>2.75</v>
      </c>
      <c r="K3" s="192">
        <f t="shared" si="0"/>
        <v>0.55000000000000004</v>
      </c>
      <c r="L3" s="192">
        <f>IF(ISERROR(VLOOKUP(A3,'Totalt pivot'!$A$5:$C$397,3,FALSE)),0,(VLOOKUP(A3,'Totalt pivot'!$A$5:$C$397,3,FALSE)))</f>
        <v>2.3374999999999999</v>
      </c>
      <c r="M3" s="192">
        <f t="shared" si="1"/>
        <v>0.46750000000000003</v>
      </c>
      <c r="N3" s="26">
        <f>VLOOKUP(A3,kurspris!$A$1:$Q$907,15)</f>
        <v>16920</v>
      </c>
      <c r="O3" s="26">
        <f>VLOOKUP(A3,kurspris!$A$1:$Q$907,16)</f>
        <v>27913</v>
      </c>
      <c r="P3" s="26">
        <f>VLOOKUP(A3,kurspris!$A$1:$Q$907,17)</f>
        <v>17900</v>
      </c>
      <c r="Q3" s="26">
        <f t="shared" si="2"/>
        <v>22355.327499999999</v>
      </c>
      <c r="R3" s="26">
        <f>(Q3*Prislapp!$R$5)*-1</f>
        <v>-1564.8729250000001</v>
      </c>
      <c r="S3" s="26">
        <f t="shared" si="3"/>
        <v>20790.454575</v>
      </c>
      <c r="T3" s="26">
        <f t="shared" si="4"/>
        <v>9845</v>
      </c>
    </row>
    <row r="4" spans="1:22" x14ac:dyDescent="0.25">
      <c r="A4" s="31" t="s">
        <v>771</v>
      </c>
      <c r="B4" t="str">
        <f>VLOOKUP(A4,kurspris!$A$1:$Q$907,2,FALSE)</f>
        <v>Historia III forts.</v>
      </c>
      <c r="C4" s="31">
        <v>2360</v>
      </c>
      <c r="D4" t="str">
        <f>VLOOKUP(C4,Orgenheter!$A$1:$B$214,2)</f>
        <v xml:space="preserve">Ekonomisk historia            </v>
      </c>
      <c r="E4" t="str">
        <f>VLOOKUP(C4,Orgenheter!$A$1:$C$166,3,FALSE)</f>
        <v>Sam</v>
      </c>
      <c r="F4" s="262">
        <f>7.5/30</f>
        <v>0.25</v>
      </c>
      <c r="G4">
        <f>VLOOKUP(A4,'Ansvar kurs'!$A$98:$C$1072,2,FALSE)</f>
        <v>1630</v>
      </c>
      <c r="H4" t="str">
        <f>VLOOKUP(G4,Orgenheter!$A$1:$B$214,2)</f>
        <v>Inst för ide- o samhällsstudier</v>
      </c>
      <c r="I4" t="str">
        <f>VLOOKUP(G4,Orgenheter!$A$1:$C$166,3,FALSE)</f>
        <v>Hum</v>
      </c>
      <c r="J4" s="192">
        <f>IF(ISERROR(VLOOKUP(A4,'Totalt pivot'!$A$5:$C$397,2,FALSE)),0,(VLOOKUP(A4,'Totalt pivot'!$A$5:$C$397,2,FALSE)))</f>
        <v>0</v>
      </c>
      <c r="K4" s="192">
        <f t="shared" si="0"/>
        <v>0</v>
      </c>
      <c r="L4" s="192">
        <f>IF(ISERROR(VLOOKUP(A4,'Totalt pivot'!$A$5:$C$397,3,FALSE)),0,(VLOOKUP(A4,'Totalt pivot'!$A$5:$C$397,3,FALSE)))</f>
        <v>0</v>
      </c>
      <c r="M4" s="192">
        <f t="shared" si="1"/>
        <v>0</v>
      </c>
      <c r="N4" s="26">
        <f>VLOOKUP(A4,kurspris!$A$1:$Q$907,15)</f>
        <v>20766</v>
      </c>
      <c r="O4" s="26">
        <f>VLOOKUP(A4,kurspris!$A$1:$Q$907,16)</f>
        <v>17442</v>
      </c>
      <c r="P4" s="26">
        <f>VLOOKUP(A4,kurspris!$A$1:$Q$907,17)</f>
        <v>6000</v>
      </c>
      <c r="Q4" s="26">
        <f t="shared" si="2"/>
        <v>0</v>
      </c>
      <c r="R4" s="26">
        <f>(Q4*Prislapp!$R$5)*-1</f>
        <v>0</v>
      </c>
      <c r="S4" s="26">
        <f t="shared" si="3"/>
        <v>0</v>
      </c>
      <c r="T4" s="26">
        <f t="shared" si="4"/>
        <v>0</v>
      </c>
      <c r="V4" t="s">
        <v>1127</v>
      </c>
    </row>
    <row r="5" spans="1:22" x14ac:dyDescent="0.25">
      <c r="A5" s="31" t="s">
        <v>1982</v>
      </c>
      <c r="B5" t="s">
        <v>1997</v>
      </c>
      <c r="C5" s="31">
        <v>2360</v>
      </c>
      <c r="D5" t="str">
        <f>VLOOKUP(C5,Orgenheter!$A$1:$B$214,2)</f>
        <v xml:space="preserve">Ekonomisk historia            </v>
      </c>
      <c r="E5" t="str">
        <f>VLOOKUP(C5,Orgenheter!$A$1:$C$166,3,FALSE)</f>
        <v>Sam</v>
      </c>
      <c r="F5" s="262">
        <f>7.5/30</f>
        <v>0.25</v>
      </c>
      <c r="G5">
        <f>VLOOKUP(A5,'Ansvar kurs'!$A$98:$C$1072,2,FALSE)</f>
        <v>1630</v>
      </c>
      <c r="H5" t="str">
        <f>VLOOKUP(G5,Orgenheter!$A$1:$B$214,2)</f>
        <v>Inst för ide- o samhällsstudier</v>
      </c>
      <c r="I5" t="str">
        <f>VLOOKUP(G5,Orgenheter!$A$1:$C$166,3,FALSE)</f>
        <v>Hum</v>
      </c>
      <c r="J5" s="192">
        <f>IF(ISERROR(VLOOKUP(A5,'Totalt pivot'!$A$5:$C$397,2,FALSE)),0,(VLOOKUP(A5,'Totalt pivot'!$A$5:$C$397,2,FALSE)))</f>
        <v>17.5</v>
      </c>
      <c r="K5" s="192">
        <f t="shared" si="0"/>
        <v>4.375</v>
      </c>
      <c r="L5" s="192">
        <f>IF(ISERROR(VLOOKUP(A5,'Totalt pivot'!$A$5:$C$397,3,FALSE)),0,(VLOOKUP(A5,'Totalt pivot'!$A$5:$C$397,3,FALSE)))</f>
        <v>14.875</v>
      </c>
      <c r="M5" s="192">
        <f t="shared" si="1"/>
        <v>3.71875</v>
      </c>
      <c r="N5" s="26">
        <f>VLOOKUP(A5,kurspris!$A$1:$Q$907,15)</f>
        <v>20766</v>
      </c>
      <c r="O5" s="26">
        <f>VLOOKUP(A5,kurspris!$A$1:$Q$907,16)</f>
        <v>17442</v>
      </c>
      <c r="P5" s="26">
        <f>VLOOKUP(A5,kurspris!$A$1:$Q$907,17)</f>
        <v>6000</v>
      </c>
      <c r="Q5" s="26">
        <f t="shared" si="2"/>
        <v>155713.6875</v>
      </c>
      <c r="R5" s="26">
        <f>(Q5*Prislapp!$R$5)*-1</f>
        <v>-10899.958125000001</v>
      </c>
      <c r="S5" s="26">
        <f t="shared" si="3"/>
        <v>144813.729375</v>
      </c>
      <c r="T5" s="26">
        <f t="shared" si="4"/>
        <v>26250</v>
      </c>
    </row>
    <row r="6" spans="1:22" x14ac:dyDescent="0.25">
      <c r="A6" s="57" t="s">
        <v>1550</v>
      </c>
      <c r="B6" t="str">
        <f>VLOOKUP(A6,kurspris!$A$1:$Q$907,2,FALSE)</f>
        <v>Idrott och hälsa 1</v>
      </c>
      <c r="C6" s="31">
        <v>3306</v>
      </c>
      <c r="D6" t="str">
        <f>VLOOKUP(C6,Orgenheter!$A$1:$B$214,2)</f>
        <v xml:space="preserve">Idrottsmedicin                </v>
      </c>
      <c r="E6" t="str">
        <f>VLOOKUP(C6,Orgenheter!$A$1:$C$166,3,FALSE)</f>
        <v>Med</v>
      </c>
      <c r="F6" s="262">
        <v>0.25</v>
      </c>
      <c r="G6">
        <f>VLOOKUP(A6,'Ansvar kurs'!$A$98:$C$1072,2,FALSE)</f>
        <v>2180</v>
      </c>
      <c r="H6" t="str">
        <f>VLOOKUP(G6,Orgenheter!$A$1:$B$214,2)</f>
        <v xml:space="preserve">Pedagogik                     </v>
      </c>
      <c r="I6" t="str">
        <f>VLOOKUP(G6,Orgenheter!$A$1:$C$166,3,FALSE)</f>
        <v>Sam</v>
      </c>
      <c r="J6" s="192">
        <f>IF(ISERROR(VLOOKUP(A6,'Totalt pivot'!$A$5:$C$397,2,FALSE)),0,(VLOOKUP(A6,'Totalt pivot'!$A$5:$C$397,2,FALSE)))</f>
        <v>25.5</v>
      </c>
      <c r="K6" s="192">
        <f t="shared" si="0"/>
        <v>6.375</v>
      </c>
      <c r="L6" s="192">
        <f>IF(ISERROR(VLOOKUP(A6,'Totalt pivot'!$A$5:$C$397,3,FALSE)),0,(VLOOKUP(A6,'Totalt pivot'!$A$5:$C$397,3,FALSE)))</f>
        <v>21.425000000000001</v>
      </c>
      <c r="M6" s="192">
        <f t="shared" si="1"/>
        <v>5.3562500000000002</v>
      </c>
      <c r="N6" s="26">
        <f>VLOOKUP(A6,kurspris!$A$1:$Q$907,15)</f>
        <v>47928</v>
      </c>
      <c r="O6" s="26">
        <f>VLOOKUP(A6,kurspris!$A$1:$Q$907,16)</f>
        <v>35430</v>
      </c>
      <c r="P6" s="26">
        <f>VLOOKUP(A6,kurspris!$A$1:$Q$907,17)</f>
        <v>35700</v>
      </c>
      <c r="Q6" s="26">
        <f t="shared" si="2"/>
        <v>495312.9375</v>
      </c>
      <c r="R6" s="26">
        <f>(Q6*Prislapp!$R$5)*-1</f>
        <v>-34671.905625000007</v>
      </c>
      <c r="S6" s="26">
        <f t="shared" si="3"/>
        <v>460641.03187499999</v>
      </c>
      <c r="T6" s="26">
        <f t="shared" si="4"/>
        <v>227587.5</v>
      </c>
    </row>
    <row r="7" spans="1:22" x14ac:dyDescent="0.25">
      <c r="A7" s="57" t="s">
        <v>1550</v>
      </c>
      <c r="B7" t="str">
        <f>VLOOKUP(A7,kurspris!$A$1:$Q$907,2,FALSE)</f>
        <v>Idrott och hälsa 1</v>
      </c>
      <c r="C7" s="31">
        <v>2750</v>
      </c>
      <c r="D7" t="str">
        <f>VLOOKUP(C7,Orgenheter!$A$1:$B$214,2)</f>
        <v xml:space="preserve">Kostvetenskap                 </v>
      </c>
      <c r="E7" t="str">
        <f>VLOOKUP(C7,Orgenheter!$A$1:$C$166,3,FALSE)</f>
        <v>Sam</v>
      </c>
      <c r="F7" s="262">
        <v>0.15</v>
      </c>
      <c r="G7">
        <f>VLOOKUP(A7,'Ansvar kurs'!$A$98:$C$1072,2,FALSE)</f>
        <v>2180</v>
      </c>
      <c r="H7" t="str">
        <f>VLOOKUP(G7,Orgenheter!$A$1:$B$214,2)</f>
        <v xml:space="preserve">Pedagogik                     </v>
      </c>
      <c r="I7" t="str">
        <f>VLOOKUP(G7,Orgenheter!$A$1:$C$166,3,FALSE)</f>
        <v>Sam</v>
      </c>
      <c r="J7" s="192">
        <f>IF(ISERROR(VLOOKUP(A7,'Totalt pivot'!$A$5:$C$397,2,FALSE)),0,(VLOOKUP(A7,'Totalt pivot'!$A$5:$C$397,2,FALSE)))</f>
        <v>25.5</v>
      </c>
      <c r="K7" s="192">
        <f t="shared" si="0"/>
        <v>3.8249999999999997</v>
      </c>
      <c r="L7" s="192">
        <f>IF(ISERROR(VLOOKUP(A7,'Totalt pivot'!$A$5:$C$397,3,FALSE)),0,(VLOOKUP(A7,'Totalt pivot'!$A$5:$C$397,3,FALSE)))</f>
        <v>21.425000000000001</v>
      </c>
      <c r="M7" s="192">
        <f t="shared" si="1"/>
        <v>3.2137500000000001</v>
      </c>
      <c r="N7" s="26">
        <f>VLOOKUP(A7,kurspris!$A$1:$Q$907,15)</f>
        <v>47928</v>
      </c>
      <c r="O7" s="26">
        <f>VLOOKUP(A7,kurspris!$A$1:$Q$907,16)</f>
        <v>35430</v>
      </c>
      <c r="P7" s="26">
        <f>VLOOKUP(A7,kurspris!$A$1:$Q$907,17)</f>
        <v>35700</v>
      </c>
      <c r="Q7" s="26">
        <f t="shared" si="2"/>
        <v>297187.76249999995</v>
      </c>
      <c r="R7" s="26">
        <f>(Q7*Prislapp!$R$5)*-1</f>
        <v>-20803.143375</v>
      </c>
      <c r="S7" s="26">
        <f t="shared" si="3"/>
        <v>276384.61912499997</v>
      </c>
      <c r="T7" s="26">
        <f t="shared" si="4"/>
        <v>136552.5</v>
      </c>
    </row>
    <row r="8" spans="1:22" x14ac:dyDescent="0.25">
      <c r="A8" s="57" t="s">
        <v>1764</v>
      </c>
      <c r="B8" t="str">
        <f>VLOOKUP(A8,kurspris!$A$1:$Q$907,2,FALSE)</f>
        <v>Idrott och hälsa 3</v>
      </c>
      <c r="C8" s="31">
        <v>3850</v>
      </c>
      <c r="D8" t="str">
        <f>VLOOKUP(C8,Orgenheter!$A$1:$B$214,2)</f>
        <v>Epidemiologi och global hälsa</v>
      </c>
      <c r="E8" t="str">
        <f>VLOOKUP(C8,Orgenheter!$A$1:$C$166,3,FALSE)</f>
        <v>Med</v>
      </c>
      <c r="F8" s="262">
        <f>5/30</f>
        <v>0.16666666666666666</v>
      </c>
      <c r="G8">
        <f>VLOOKUP(A8,'Ansvar kurs'!$A$98:$C$1072,2,FALSE)</f>
        <v>2180</v>
      </c>
      <c r="H8" t="str">
        <f>VLOOKUP(G8,Orgenheter!$A$1:$B$214,2)</f>
        <v xml:space="preserve">Pedagogik                     </v>
      </c>
      <c r="I8" t="str">
        <f>VLOOKUP(G8,Orgenheter!$A$1:$C$166,3,FALSE)</f>
        <v>Sam</v>
      </c>
      <c r="J8" s="192">
        <f>IF(ISERROR(VLOOKUP(A8,'Totalt pivot'!$A$5:$C$397,2,FALSE)),0,(VLOOKUP(A8,'Totalt pivot'!$A$5:$C$397,2,FALSE)))</f>
        <v>13.5</v>
      </c>
      <c r="K8" s="192">
        <f t="shared" si="0"/>
        <v>2.25</v>
      </c>
      <c r="L8" s="192">
        <f>IF(ISERROR(VLOOKUP(A8,'Totalt pivot'!$A$5:$C$397,3,FALSE)),0,(VLOOKUP(A8,'Totalt pivot'!$A$5:$C$397,3,FALSE)))</f>
        <v>11.425000000000001</v>
      </c>
      <c r="M8" s="192">
        <f t="shared" si="1"/>
        <v>1.9041666666666668</v>
      </c>
      <c r="N8" s="26">
        <f>VLOOKUP(A8,kurspris!$A$1:$Q$907,15)</f>
        <v>47928</v>
      </c>
      <c r="O8" s="26">
        <f>VLOOKUP(A8,kurspris!$A$1:$Q$907,16)</f>
        <v>35430</v>
      </c>
      <c r="P8" s="26">
        <f>VLOOKUP(A8,kurspris!$A$1:$Q$907,17)</f>
        <v>35700</v>
      </c>
      <c r="Q8" s="26">
        <f t="shared" si="2"/>
        <v>175302.625</v>
      </c>
      <c r="R8" s="26">
        <f>(Q8*Prislapp!$R$5)*-1</f>
        <v>-12271.183750000002</v>
      </c>
      <c r="S8" s="26">
        <f t="shared" si="3"/>
        <v>163031.44125</v>
      </c>
      <c r="T8" s="26">
        <f t="shared" si="4"/>
        <v>80325</v>
      </c>
      <c r="V8" t="s">
        <v>1825</v>
      </c>
    </row>
    <row r="9" spans="1:22" x14ac:dyDescent="0.25">
      <c r="A9" s="31" t="s">
        <v>581</v>
      </c>
      <c r="B9" t="str">
        <f>VLOOKUP(A9,kurspris!$A$1:$Q$907,2,FALSE)</f>
        <v>Idrott och hälsa III</v>
      </c>
      <c r="C9" s="31">
        <v>3850</v>
      </c>
      <c r="D9" t="str">
        <f>VLOOKUP(C9,Orgenheter!$A$1:$B$214,2)</f>
        <v>Epidemiologi och global hälsa</v>
      </c>
      <c r="E9" t="str">
        <f>VLOOKUP(C9,Orgenheter!$A$1:$C$166,3,FALSE)</f>
        <v>Med</v>
      </c>
      <c r="F9" s="262">
        <f>5/30</f>
        <v>0.16666666666666666</v>
      </c>
      <c r="G9">
        <f>VLOOKUP(A9,'Ansvar kurs'!$A$98:$C$1072,2,FALSE)</f>
        <v>2180</v>
      </c>
      <c r="H9" t="str">
        <f>VLOOKUP(G9,Orgenheter!$A$1:$B$214,2)</f>
        <v xml:space="preserve">Pedagogik                     </v>
      </c>
      <c r="I9" t="str">
        <f>VLOOKUP(G9,Orgenheter!$A$1:$C$166,3,FALSE)</f>
        <v>Sam</v>
      </c>
      <c r="J9" s="192">
        <f>IF(ISERROR(VLOOKUP(A9,'Totalt pivot'!$A$5:$C$397,2,FALSE)),0,(VLOOKUP(A9,'Totalt pivot'!$A$5:$C$397,2,FALSE)))</f>
        <v>0</v>
      </c>
      <c r="K9" s="192">
        <f t="shared" si="0"/>
        <v>0</v>
      </c>
      <c r="L9" s="192">
        <f>IF(ISERROR(VLOOKUP(A9,'Totalt pivot'!$A$5:$C$397,3,FALSE)),0,(VLOOKUP(A9,'Totalt pivot'!$A$5:$C$397,3,FALSE)))</f>
        <v>0</v>
      </c>
      <c r="M9" s="192">
        <f t="shared" si="1"/>
        <v>0</v>
      </c>
      <c r="N9" s="26">
        <f>VLOOKUP(A9,kurspris!$A$1:$Q$907,15)</f>
        <v>47928</v>
      </c>
      <c r="O9" s="26">
        <f>VLOOKUP(A9,kurspris!$A$1:$Q$907,16)</f>
        <v>35430</v>
      </c>
      <c r="P9" s="26">
        <f>VLOOKUP(A9,kurspris!$A$1:$Q$907,17)</f>
        <v>35700</v>
      </c>
      <c r="Q9" s="26">
        <f t="shared" si="2"/>
        <v>0</v>
      </c>
      <c r="R9" s="26">
        <f>(Q9*Prislapp!$R$5)*-1</f>
        <v>0</v>
      </c>
      <c r="S9" s="26">
        <f t="shared" si="3"/>
        <v>0</v>
      </c>
      <c r="T9" s="26">
        <f t="shared" si="4"/>
        <v>0</v>
      </c>
    </row>
    <row r="10" spans="1:22" x14ac:dyDescent="0.25">
      <c r="A10" s="31" t="s">
        <v>583</v>
      </c>
      <c r="B10" t="e">
        <f>VLOOKUP(A10,kurspris!$A$1:$Q$907,2,FALSE)</f>
        <v>#N/A</v>
      </c>
      <c r="C10" s="31">
        <v>3306</v>
      </c>
      <c r="D10" t="str">
        <f>VLOOKUP(C10,Orgenheter!$A$1:$B$214,2)</f>
        <v xml:space="preserve">Idrottsmedicin                </v>
      </c>
      <c r="E10" t="str">
        <f>VLOOKUP(C10,Orgenheter!$A$1:$C$166,3,FALSE)</f>
        <v>Med</v>
      </c>
      <c r="F10" s="262">
        <v>0.25</v>
      </c>
      <c r="G10" t="e">
        <f>VLOOKUP(A10,'Ansvar kurs'!$A$98:$C$1072,2,FALSE)</f>
        <v>#N/A</v>
      </c>
      <c r="H10" t="e">
        <f>VLOOKUP(G10,Orgenheter!$A$1:$B$214,2)</f>
        <v>#N/A</v>
      </c>
      <c r="I10" t="e">
        <f>VLOOKUP(G10,Orgenheter!$A$1:$C$166,3,FALSE)</f>
        <v>#N/A</v>
      </c>
      <c r="J10" s="192">
        <f>IF(ISERROR(VLOOKUP(A10,'Totalt pivot'!$A$5:$C$397,2,FALSE)),0,(VLOOKUP(A10,'Totalt pivot'!$A$5:$C$397,2,FALSE)))</f>
        <v>0</v>
      </c>
      <c r="K10" s="192">
        <f t="shared" si="0"/>
        <v>0</v>
      </c>
      <c r="L10" s="192">
        <f>IF(ISERROR(VLOOKUP(A10,'Totalt pivot'!$A$5:$C$397,3,FALSE)),0,(VLOOKUP(A10,'Totalt pivot'!$A$5:$C$397,3,FALSE)))</f>
        <v>0</v>
      </c>
      <c r="M10" s="192">
        <f t="shared" si="1"/>
        <v>0</v>
      </c>
      <c r="N10" s="26">
        <f>VLOOKUP(A10,kurspris!$A$1:$Q$907,15)</f>
        <v>47928</v>
      </c>
      <c r="O10" s="26">
        <f>VLOOKUP(A10,kurspris!$A$1:$Q$907,16)</f>
        <v>35430</v>
      </c>
      <c r="P10" s="26">
        <f>VLOOKUP(A10,kurspris!$A$1:$Q$907,17)</f>
        <v>35700</v>
      </c>
      <c r="Q10" s="26">
        <f t="shared" si="2"/>
        <v>0</v>
      </c>
      <c r="R10" s="26">
        <f>(Q10*Prislapp!$R$5)*-1</f>
        <v>0</v>
      </c>
      <c r="S10" s="26">
        <f t="shared" si="3"/>
        <v>0</v>
      </c>
      <c r="T10" s="26">
        <f t="shared" si="4"/>
        <v>0</v>
      </c>
    </row>
    <row r="11" spans="1:22" x14ac:dyDescent="0.25">
      <c r="A11" s="31" t="s">
        <v>924</v>
      </c>
      <c r="B11" t="str">
        <f>VLOOKUP(A11,kurspris!$A$1:$Q$907,2,FALSE)</f>
        <v>Geografi II</v>
      </c>
      <c r="C11" s="31">
        <v>5100</v>
      </c>
      <c r="D11" t="str">
        <f>VLOOKUP(C11,Orgenheter!$A$1:$B$214,2)</f>
        <v>EMG</v>
      </c>
      <c r="E11" t="str">
        <f>VLOOKUP(C11,Orgenheter!$A$1:$C$166,3,FALSE)</f>
        <v>TekNat</v>
      </c>
      <c r="F11" s="262">
        <v>0.5</v>
      </c>
      <c r="G11">
        <f>VLOOKUP(A11,'Ansvar kurs'!$A$98:$C$1072,2,FALSE)</f>
        <v>2500</v>
      </c>
      <c r="H11" t="str">
        <f>VLOOKUP(G11,Orgenheter!$A$1:$B$214,2)</f>
        <v>Geografi</v>
      </c>
      <c r="I11" t="str">
        <f>VLOOKUP(G11,Orgenheter!$A$1:$C$166,3,FALSE)</f>
        <v>Sam</v>
      </c>
      <c r="J11" s="192">
        <f>IF(ISERROR(VLOOKUP(A11,'Totalt pivot'!$A$5:$C$397,2,FALSE)),0,(VLOOKUP(A11,'Totalt pivot'!$A$5:$C$397,2,FALSE)))</f>
        <v>0</v>
      </c>
      <c r="K11" s="192">
        <f t="shared" si="0"/>
        <v>0</v>
      </c>
      <c r="L11" s="192">
        <f>IF(ISERROR(VLOOKUP(A11,'Totalt pivot'!$A$5:$C$397,3,FALSE)),0,(VLOOKUP(A11,'Totalt pivot'!$A$5:$C$397,3,FALSE)))</f>
        <v>0</v>
      </c>
      <c r="M11" s="192">
        <f t="shared" si="1"/>
        <v>0</v>
      </c>
      <c r="N11" s="26">
        <f>VLOOKUP(A11,kurspris!$A$1:$Q$907,15)</f>
        <v>20761.5</v>
      </c>
      <c r="O11" s="26">
        <f>VLOOKUP(A11,kurspris!$A$1:$Q$907,16)</f>
        <v>26762</v>
      </c>
      <c r="P11" s="26">
        <f>VLOOKUP(A11,kurspris!$A$1:$Q$907,17)</f>
        <v>14300</v>
      </c>
      <c r="Q11" s="26">
        <f t="shared" si="2"/>
        <v>0</v>
      </c>
      <c r="R11" s="26">
        <f>(Q11*Prislapp!$R$5)*-1</f>
        <v>0</v>
      </c>
      <c r="S11" s="26">
        <f t="shared" si="3"/>
        <v>0</v>
      </c>
      <c r="T11" s="26">
        <f t="shared" si="4"/>
        <v>0</v>
      </c>
      <c r="V11" t="s">
        <v>943</v>
      </c>
    </row>
    <row r="12" spans="1:22" x14ac:dyDescent="0.25">
      <c r="A12" s="31" t="s">
        <v>1800</v>
      </c>
      <c r="B12" t="str">
        <f>VLOOKUP(A12,kurspris!$A$1:$Q$907,2,FALSE)</f>
        <v>Introduktion till geografi</v>
      </c>
      <c r="C12" s="31">
        <v>5100</v>
      </c>
      <c r="D12" t="str">
        <f>VLOOKUP(C12,Orgenheter!$A$1:$B$214,2)</f>
        <v>EMG</v>
      </c>
      <c r="E12" t="str">
        <f>VLOOKUP(C12,Orgenheter!$A$1:$C$166,3,FALSE)</f>
        <v>TekNat</v>
      </c>
      <c r="F12" s="262">
        <v>0.5</v>
      </c>
      <c r="G12">
        <f>VLOOKUP(A12,'Ansvar kurs'!$A$98:$C$1072,2,FALSE)</f>
        <v>2500</v>
      </c>
      <c r="H12" t="str">
        <f>VLOOKUP(G12,Orgenheter!$A$1:$B$214,2)</f>
        <v>Geografi</v>
      </c>
      <c r="I12" t="str">
        <f>VLOOKUP(G12,Orgenheter!$A$1:$C$166,3,FALSE)</f>
        <v>Sam</v>
      </c>
      <c r="J12" s="192">
        <f>IF(ISERROR(VLOOKUP(A12,'Totalt pivot'!$A$5:$C$397,2,FALSE)),0,(VLOOKUP(A12,'Totalt pivot'!$A$5:$C$397,2,FALSE)))</f>
        <v>0</v>
      </c>
      <c r="K12" s="192">
        <f t="shared" si="0"/>
        <v>0</v>
      </c>
      <c r="L12" s="192">
        <f>IF(ISERROR(VLOOKUP(A12,'Totalt pivot'!$A$5:$C$397,3,FALSE)),0,(VLOOKUP(A12,'Totalt pivot'!$A$5:$C$397,3,FALSE)))</f>
        <v>0</v>
      </c>
      <c r="M12" s="192">
        <f t="shared" si="1"/>
        <v>0</v>
      </c>
      <c r="N12" s="26">
        <f>VLOOKUP(A12,kurspris!$A$1:$Q$907,15)</f>
        <v>20766</v>
      </c>
      <c r="O12" s="26">
        <f>VLOOKUP(A12,kurspris!$A$1:$Q$907,16)</f>
        <v>17442</v>
      </c>
      <c r="P12" s="26">
        <f>VLOOKUP(A12,kurspris!$A$1:$Q$907,17)</f>
        <v>6000</v>
      </c>
      <c r="Q12" s="26">
        <f t="shared" si="2"/>
        <v>0</v>
      </c>
      <c r="R12" s="26">
        <f>(Q12*Prislapp!$R$5)*-1</f>
        <v>0</v>
      </c>
      <c r="S12" s="26">
        <f t="shared" si="3"/>
        <v>0</v>
      </c>
      <c r="T12" s="26">
        <f t="shared" si="4"/>
        <v>0</v>
      </c>
    </row>
    <row r="13" spans="1:22" x14ac:dyDescent="0.25">
      <c r="A13" s="31" t="s">
        <v>1875</v>
      </c>
      <c r="B13" t="str">
        <f>VLOOKUP(A13,kurspris!$A$1:$Q$907,2,FALSE)</f>
        <v>Kartor och GIS</v>
      </c>
      <c r="C13" s="31">
        <v>5100</v>
      </c>
      <c r="D13" t="str">
        <f>VLOOKUP(C13,Orgenheter!$A$1:$B$214,2)</f>
        <v>EMG</v>
      </c>
      <c r="E13" t="str">
        <f>VLOOKUP(C13,Orgenheter!$A$1:$C$166,3,FALSE)</f>
        <v>TekNat</v>
      </c>
      <c r="F13" s="262">
        <v>0.5</v>
      </c>
      <c r="G13">
        <f>VLOOKUP(A13,'Ansvar kurs'!$A$98:$C$1072,2,FALSE)</f>
        <v>2500</v>
      </c>
      <c r="H13" t="str">
        <f>VLOOKUP(G13,Orgenheter!$A$1:$B$214,2)</f>
        <v>Geografi</v>
      </c>
      <c r="I13" t="str">
        <f>VLOOKUP(G13,Orgenheter!$A$1:$C$166,3,FALSE)</f>
        <v>Sam</v>
      </c>
      <c r="J13" s="192">
        <f>IF(ISERROR(VLOOKUP(A13,'Totalt pivot'!$A$5:$C$397,2,FALSE)),0,(VLOOKUP(A13,'Totalt pivot'!$A$5:$C$397,2,FALSE)))</f>
        <v>0.5</v>
      </c>
      <c r="K13" s="192">
        <f t="shared" si="0"/>
        <v>0.25</v>
      </c>
      <c r="L13" s="192">
        <f>IF(ISERROR(VLOOKUP(A13,'Totalt pivot'!$A$5:$C$397,3,FALSE)),0,(VLOOKUP(A13,'Totalt pivot'!$A$5:$C$397,3,FALSE)))</f>
        <v>0.42499999999999999</v>
      </c>
      <c r="M13" s="192">
        <f t="shared" si="1"/>
        <v>0.21249999999999999</v>
      </c>
      <c r="N13" s="26">
        <f>VLOOKUP(A13,kurspris!$A$1:$Q$907,15)</f>
        <v>20761.5</v>
      </c>
      <c r="O13" s="26">
        <f>VLOOKUP(A13,kurspris!$A$1:$Q$907,16)</f>
        <v>26762</v>
      </c>
      <c r="P13" s="26">
        <f>VLOOKUP(A13,kurspris!$A$1:$Q$907,17)</f>
        <v>14300</v>
      </c>
      <c r="Q13" s="26">
        <f t="shared" si="2"/>
        <v>10877.3</v>
      </c>
      <c r="R13" s="26">
        <f>(Q13*Prislapp!$R$5)*-1</f>
        <v>-761.41100000000006</v>
      </c>
      <c r="S13" s="26">
        <f t="shared" si="3"/>
        <v>10115.888999999999</v>
      </c>
      <c r="T13" s="26">
        <f t="shared" si="4"/>
        <v>3575</v>
      </c>
    </row>
    <row r="14" spans="1:22" x14ac:dyDescent="0.25">
      <c r="A14" s="31" t="s">
        <v>767</v>
      </c>
      <c r="B14" t="str">
        <f>VLOOKUP(A14,kurspris!$A$1:$Q$907,2,FALSE)</f>
        <v>Specialpedagogik med fokus på svenska och matematik för F-3</v>
      </c>
      <c r="C14" s="31">
        <v>5740</v>
      </c>
      <c r="D14" t="str">
        <f>VLOOKUP(C14,Orgenheter!$A$1:$B$214,2)</f>
        <v>NMD</v>
      </c>
      <c r="E14" t="str">
        <f>VLOOKUP(C14,Orgenheter!$A$1:$C$166,3,FALSE)</f>
        <v>TekNat</v>
      </c>
      <c r="F14" s="262">
        <v>0.5</v>
      </c>
      <c r="G14">
        <f>VLOOKUP(A14,'Ansvar kurs'!$A$98:$C$1072,2,FALSE)</f>
        <v>1620</v>
      </c>
      <c r="H14" t="str">
        <f>VLOOKUP(G14,Orgenheter!$A$1:$B$214,2)</f>
        <v>Inst för språkstudier</v>
      </c>
      <c r="I14" t="str">
        <f>VLOOKUP(G14,Orgenheter!$A$1:$C$166,3,FALSE)</f>
        <v>Hum</v>
      </c>
      <c r="J14" s="192">
        <f>IF(ISERROR(VLOOKUP(A14,'Totalt pivot'!$A$5:$C$397,2,FALSE)),0,(VLOOKUP(A14,'Totalt pivot'!$A$5:$C$397,2,FALSE)))</f>
        <v>0</v>
      </c>
      <c r="K14" s="192">
        <f t="shared" si="0"/>
        <v>0</v>
      </c>
      <c r="L14" s="192">
        <f>IF(ISERROR(VLOOKUP(A14,'Totalt pivot'!$A$5:$C$397,3,FALSE)),0,(VLOOKUP(A14,'Totalt pivot'!$A$5:$C$397,3,FALSE)))</f>
        <v>0</v>
      </c>
      <c r="M14" s="192">
        <f t="shared" si="1"/>
        <v>0</v>
      </c>
      <c r="N14" s="26">
        <f>VLOOKUP(A14,kurspris!$A$1:$Q$907,15)</f>
        <v>20766</v>
      </c>
      <c r="O14" s="26">
        <f>VLOOKUP(A14,kurspris!$A$1:$Q$907,16)</f>
        <v>17442</v>
      </c>
      <c r="P14" s="26">
        <f>VLOOKUP(A14,kurspris!$A$1:$Q$907,17)</f>
        <v>6000</v>
      </c>
      <c r="Q14" s="26">
        <f t="shared" si="2"/>
        <v>0</v>
      </c>
      <c r="R14" s="26">
        <f>(Q14*Prislapp!$R$5)*-1</f>
        <v>0</v>
      </c>
      <c r="S14" s="26">
        <f t="shared" si="3"/>
        <v>0</v>
      </c>
      <c r="T14" s="26">
        <f t="shared" si="4"/>
        <v>0</v>
      </c>
      <c r="V14" t="s">
        <v>816</v>
      </c>
    </row>
    <row r="15" spans="1:22" x14ac:dyDescent="0.25">
      <c r="A15" s="222" t="s">
        <v>1891</v>
      </c>
      <c r="B15" t="str">
        <f>VLOOKUP(A15,kurspris!$A$1:$Q$907,2,FALSE)</f>
        <v>Specialpedagogik med fokus på svenska och matematik för F-3</v>
      </c>
      <c r="C15" s="31">
        <v>5740</v>
      </c>
      <c r="D15" t="str">
        <f>VLOOKUP(C15,Orgenheter!$A$1:$B$214,2)</f>
        <v>NMD</v>
      </c>
      <c r="E15" t="str">
        <f>VLOOKUP(C15,Orgenheter!$A$1:$C$166,3,FALSE)</f>
        <v>TekNat</v>
      </c>
      <c r="F15" s="262">
        <v>0.5</v>
      </c>
      <c r="G15">
        <f>VLOOKUP(A15,'Ansvar kurs'!$A$98:$C$1072,2,FALSE)</f>
        <v>1620</v>
      </c>
      <c r="H15" t="str">
        <f>VLOOKUP(G15,Orgenheter!$A$1:$B$214,2)</f>
        <v>Inst för språkstudier</v>
      </c>
      <c r="I15" t="str">
        <f>VLOOKUP(G15,Orgenheter!$A$1:$C$166,3,FALSE)</f>
        <v>Hum</v>
      </c>
      <c r="J15" s="192">
        <f>IF(ISERROR(VLOOKUP(A15,'Totalt pivot'!$A$5:$C$397,2,FALSE)),0,(VLOOKUP(A15,'Totalt pivot'!$A$5:$C$397,2,FALSE)))</f>
        <v>8.5</v>
      </c>
      <c r="K15" s="192">
        <f t="shared" si="0"/>
        <v>4.25</v>
      </c>
      <c r="L15" s="192">
        <f>IF(ISERROR(VLOOKUP(A15,'Totalt pivot'!$A$5:$C$397,3,FALSE)),0,(VLOOKUP(A15,'Totalt pivot'!$A$5:$C$397,3,FALSE)))</f>
        <v>7.2249999999999996</v>
      </c>
      <c r="M15" s="192">
        <f t="shared" si="1"/>
        <v>3.6124999999999998</v>
      </c>
      <c r="N15" s="26">
        <f>VLOOKUP(A15,kurspris!$A$1:$Q$907,15)</f>
        <v>20766</v>
      </c>
      <c r="O15" s="26">
        <f>VLOOKUP(A15,kurspris!$A$1:$Q$907,16)</f>
        <v>17442</v>
      </c>
      <c r="P15" s="26">
        <f>VLOOKUP(A15,kurspris!$A$1:$Q$907,17)</f>
        <v>6000</v>
      </c>
      <c r="Q15" s="26">
        <f t="shared" si="2"/>
        <v>151264.72500000001</v>
      </c>
      <c r="R15" s="26">
        <f>(Q15*Prislapp!$R$5)*-1</f>
        <v>-10588.530750000002</v>
      </c>
      <c r="S15" s="26">
        <f t="shared" si="3"/>
        <v>140676.19425</v>
      </c>
      <c r="T15" s="26">
        <f t="shared" si="4"/>
        <v>25500</v>
      </c>
    </row>
    <row r="16" spans="1:22" x14ac:dyDescent="0.25">
      <c r="A16" s="31" t="s">
        <v>470</v>
      </c>
      <c r="B16" t="str">
        <f>VLOOKUP(A16,kurspris!$A$1:$Q$907,2,FALSE)</f>
        <v>Demokrati, individ och samhälle</v>
      </c>
      <c r="C16" s="31">
        <v>1640</v>
      </c>
      <c r="D16" t="str">
        <f>VLOOKUP(C16,Orgenheter!$A$1:$B$214,2)</f>
        <v>Inst för kultur- o medievetenskap</v>
      </c>
      <c r="E16" t="str">
        <f>VLOOKUP(C16,Orgenheter!$A$1:$C$166,3,FALSE)</f>
        <v>Hum</v>
      </c>
      <c r="F16" s="262">
        <v>0.5</v>
      </c>
      <c r="G16">
        <f>VLOOKUP(A16,'Ansvar kurs'!$A$98:$C$1072,2,FALSE)</f>
        <v>1630</v>
      </c>
      <c r="H16" t="str">
        <f>VLOOKUP(G16,Orgenheter!$A$1:$B$214,2)</f>
        <v>Inst för ide- o samhällsstudier</v>
      </c>
      <c r="I16" t="str">
        <f>VLOOKUP(G16,Orgenheter!$A$1:$C$166,3,FALSE)</f>
        <v>Hum</v>
      </c>
      <c r="J16" s="192">
        <f>IF(ISERROR(VLOOKUP(A16,'Totalt pivot'!$A$5:$C$397,2,FALSE)),0,(VLOOKUP(A16,'Totalt pivot'!$A$5:$C$397,2,FALSE)))</f>
        <v>0</v>
      </c>
      <c r="K16" s="192">
        <f t="shared" si="0"/>
        <v>0</v>
      </c>
      <c r="L16" s="192">
        <f>IF(ISERROR(VLOOKUP(A16,'Totalt pivot'!$A$5:$C$397,3,FALSE)),0,(VLOOKUP(A16,'Totalt pivot'!$A$5:$C$397,3,FALSE)))</f>
        <v>0</v>
      </c>
      <c r="M16" s="192">
        <f t="shared" si="1"/>
        <v>0</v>
      </c>
      <c r="N16" s="26">
        <f>VLOOKUP(A16,kurspris!$A$1:$Q$907,15)</f>
        <v>26554</v>
      </c>
      <c r="O16" s="26">
        <f>VLOOKUP(A16,kurspris!$A$1:$Q$907,16)</f>
        <v>33465</v>
      </c>
      <c r="P16" s="26">
        <f>VLOOKUP(A16,kurspris!$A$1:$Q$907,17)</f>
        <v>6000</v>
      </c>
      <c r="Q16" s="26">
        <f t="shared" si="2"/>
        <v>0</v>
      </c>
      <c r="R16" s="26">
        <f>(Q16*Prislapp!$R$5)*-1</f>
        <v>0</v>
      </c>
      <c r="S16" s="26">
        <f t="shared" si="3"/>
        <v>0</v>
      </c>
      <c r="T16" s="26">
        <f t="shared" si="4"/>
        <v>0</v>
      </c>
    </row>
    <row r="17" spans="1:22" x14ac:dyDescent="0.25">
      <c r="A17" s="60" t="s">
        <v>471</v>
      </c>
      <c r="B17" t="e">
        <f>VLOOKUP(A17,kurspris!$A$1:$Q$907,2,FALSE)</f>
        <v>#N/A</v>
      </c>
      <c r="C17" s="31">
        <v>2200</v>
      </c>
      <c r="D17" t="str">
        <f>VLOOKUP(C17,Orgenheter!$A$1:$B$214,2)</f>
        <v xml:space="preserve">Inst för psykologi            </v>
      </c>
      <c r="E17" t="str">
        <f>VLOOKUP(C17,Orgenheter!$A$1:$C$166,3,FALSE)</f>
        <v>Sam</v>
      </c>
      <c r="F17" s="262">
        <v>0.2</v>
      </c>
      <c r="G17" t="e">
        <f>VLOOKUP(A17,'Ansvar kurs'!$A$98:$C$1072,2,FALSE)</f>
        <v>#N/A</v>
      </c>
      <c r="H17" t="e">
        <f>VLOOKUP(G17,Orgenheter!$A$1:$B$214,2)</f>
        <v>#N/A</v>
      </c>
      <c r="I17" t="e">
        <f>VLOOKUP(G17,Orgenheter!$A$1:$C$166,3,FALSE)</f>
        <v>#N/A</v>
      </c>
      <c r="J17" s="192">
        <f>IF(ISERROR(VLOOKUP(A17,'Totalt pivot'!$A$5:$C$397,2,FALSE)),0,(VLOOKUP(A17,'Totalt pivot'!$A$5:$C$397,2,FALSE)))</f>
        <v>0</v>
      </c>
      <c r="K17" s="192">
        <f t="shared" si="0"/>
        <v>0</v>
      </c>
      <c r="L17" s="192">
        <f>IF(ISERROR(VLOOKUP(A17,'Totalt pivot'!$A$5:$C$397,3,FALSE)),0,(VLOOKUP(A17,'Totalt pivot'!$A$5:$C$397,3,FALSE)))</f>
        <v>0</v>
      </c>
      <c r="M17" s="192">
        <f t="shared" si="1"/>
        <v>0</v>
      </c>
      <c r="N17" s="26">
        <f>VLOOKUP(A17,kurspris!$A$1:$Q$907,15)</f>
        <v>26554</v>
      </c>
      <c r="O17" s="26">
        <f>VLOOKUP(A17,kurspris!$A$1:$Q$907,16)</f>
        <v>33465</v>
      </c>
      <c r="P17" s="26">
        <f>VLOOKUP(A17,kurspris!$A$1:$Q$907,17)</f>
        <v>6000</v>
      </c>
      <c r="Q17" s="26">
        <f t="shared" si="2"/>
        <v>0</v>
      </c>
      <c r="R17" s="26">
        <f>(Q17*Prislapp!$R$5)*-1</f>
        <v>0</v>
      </c>
      <c r="S17" s="26">
        <f t="shared" si="3"/>
        <v>0</v>
      </c>
      <c r="T17" s="26">
        <f t="shared" si="4"/>
        <v>0</v>
      </c>
    </row>
    <row r="18" spans="1:22" x14ac:dyDescent="0.25">
      <c r="A18" s="60" t="s">
        <v>471</v>
      </c>
      <c r="B18" t="e">
        <f>VLOOKUP(A18,kurspris!$A$1:$Q$907,2,FALSE)</f>
        <v>#N/A</v>
      </c>
      <c r="C18" s="31">
        <v>2272</v>
      </c>
      <c r="D18" t="str">
        <f>VLOOKUP(C18,Orgenheter!$A$1:$B$214,2)</f>
        <v xml:space="preserve">Statistik                     </v>
      </c>
      <c r="E18" t="str">
        <f>VLOOKUP(C18,Orgenheter!$A$1:$C$166,3,FALSE)</f>
        <v>Sam</v>
      </c>
      <c r="F18" s="262">
        <v>0.05</v>
      </c>
      <c r="G18" t="e">
        <f>VLOOKUP(A18,'Ansvar kurs'!$A$98:$C$1072,2,FALSE)</f>
        <v>#N/A</v>
      </c>
      <c r="H18" t="e">
        <f>VLOOKUP(G18,Orgenheter!$A$1:$B$214,2)</f>
        <v>#N/A</v>
      </c>
      <c r="I18" t="e">
        <f>VLOOKUP(G18,Orgenheter!$A$1:$C$166,3,FALSE)</f>
        <v>#N/A</v>
      </c>
      <c r="J18" s="192">
        <f>IF(ISERROR(VLOOKUP(A18,'Totalt pivot'!$A$5:$C$397,2,FALSE)),0,(VLOOKUP(A18,'Totalt pivot'!$A$5:$C$397,2,FALSE)))</f>
        <v>0</v>
      </c>
      <c r="K18" s="192">
        <f t="shared" si="0"/>
        <v>0</v>
      </c>
      <c r="L18" s="192">
        <f>IF(ISERROR(VLOOKUP(A18,'Totalt pivot'!$A$5:$C$397,3,FALSE)),0,(VLOOKUP(A18,'Totalt pivot'!$A$5:$C$397,3,FALSE)))</f>
        <v>0</v>
      </c>
      <c r="M18" s="192">
        <f t="shared" si="1"/>
        <v>0</v>
      </c>
      <c r="N18" s="26">
        <f>VLOOKUP(A18,kurspris!$A$1:$Q$907,15)</f>
        <v>26554</v>
      </c>
      <c r="O18" s="26">
        <f>VLOOKUP(A18,kurspris!$A$1:$Q$907,16)</f>
        <v>33465</v>
      </c>
      <c r="P18" s="26">
        <f>VLOOKUP(A18,kurspris!$A$1:$Q$907,17)</f>
        <v>6000</v>
      </c>
      <c r="Q18" s="26">
        <f t="shared" si="2"/>
        <v>0</v>
      </c>
      <c r="R18" s="26">
        <f>(Q18*Prislapp!$R$5)*-1</f>
        <v>0</v>
      </c>
      <c r="S18" s="26">
        <f t="shared" si="3"/>
        <v>0</v>
      </c>
      <c r="T18" s="26">
        <f t="shared" si="4"/>
        <v>0</v>
      </c>
    </row>
    <row r="19" spans="1:22" x14ac:dyDescent="0.25">
      <c r="A19" s="60" t="s">
        <v>849</v>
      </c>
      <c r="B19" t="str">
        <f>VLOOKUP(A19,kurspris!$A$1:$Q$907,2,FALSE)</f>
        <v>Samhällsorientering åk 4-6</v>
      </c>
      <c r="C19" s="31">
        <v>2500</v>
      </c>
      <c r="D19" t="str">
        <f>VLOOKUP(C19,Orgenheter!$A$1:$B$214,2)</f>
        <v>Geografi</v>
      </c>
      <c r="E19" t="str">
        <f>VLOOKUP(C19,Orgenheter!$A$1:$C$166,3,FALSE)</f>
        <v>Sam</v>
      </c>
      <c r="F19" s="262">
        <f>5/30</f>
        <v>0.16666666666666666</v>
      </c>
      <c r="G19">
        <f>VLOOKUP(A19,'Ansvar kurs'!$A$98:$C$1072,2,FALSE)</f>
        <v>1630</v>
      </c>
      <c r="H19" t="str">
        <f>VLOOKUP(G19,Orgenheter!$A$1:$B$214,2)</f>
        <v>Inst för ide- o samhällsstudier</v>
      </c>
      <c r="I19" t="str">
        <f>VLOOKUP(G19,Orgenheter!$A$1:$C$166,3,FALSE)</f>
        <v>Hum</v>
      </c>
      <c r="J19" s="192">
        <f>IF(ISERROR(VLOOKUP(A19,'Totalt pivot'!$A$5:$C$397,2,FALSE)),0,(VLOOKUP(A19,'Totalt pivot'!$A$5:$C$397,2,FALSE)))</f>
        <v>6.5</v>
      </c>
      <c r="K19" s="192">
        <f t="shared" si="0"/>
        <v>1.0833333333333333</v>
      </c>
      <c r="L19" s="192">
        <f>IF(ISERROR(VLOOKUP(A19,'Totalt pivot'!$A$5:$C$397,3,FALSE)),0,(VLOOKUP(A19,'Totalt pivot'!$A$5:$C$397,3,FALSE)))</f>
        <v>5.4749999999999996</v>
      </c>
      <c r="M19" s="192">
        <f t="shared" si="1"/>
        <v>0.91249999999999987</v>
      </c>
      <c r="N19" s="26">
        <f>VLOOKUP(A19,kurspris!$A$1:$Q$907,15)</f>
        <v>20766</v>
      </c>
      <c r="O19" s="26">
        <f>VLOOKUP(A19,kurspris!$A$1:$Q$907,16)</f>
        <v>17442</v>
      </c>
      <c r="P19" s="26">
        <f>VLOOKUP(A19,kurspris!$A$1:$Q$907,17)</f>
        <v>6000</v>
      </c>
      <c r="Q19" s="26">
        <f t="shared" si="2"/>
        <v>38412.324999999997</v>
      </c>
      <c r="R19" s="26">
        <f>(Q19*Prislapp!$R$5)*-1</f>
        <v>-2688.8627500000002</v>
      </c>
      <c r="S19" s="26">
        <f t="shared" si="3"/>
        <v>35723.462249999997</v>
      </c>
      <c r="T19" s="26">
        <f t="shared" si="4"/>
        <v>6500</v>
      </c>
      <c r="V19" s="37" t="s">
        <v>874</v>
      </c>
    </row>
    <row r="20" spans="1:22" x14ac:dyDescent="0.25">
      <c r="A20" s="60" t="s">
        <v>849</v>
      </c>
      <c r="B20" t="str">
        <f>VLOOKUP(A20,kurspris!$A$1:$Q$907,2,FALSE)</f>
        <v>Samhällsorientering åk 4-6</v>
      </c>
      <c r="C20" s="31">
        <v>2180</v>
      </c>
      <c r="D20" t="str">
        <f>VLOOKUP(C20,Orgenheter!$A$1:$B$214,2)</f>
        <v xml:space="preserve">Pedagogik                     </v>
      </c>
      <c r="E20" t="str">
        <f>VLOOKUP(C20,Orgenheter!$A$1:$C$166,3,FALSE)</f>
        <v>Sam</v>
      </c>
      <c r="F20" s="262">
        <v>0.5</v>
      </c>
      <c r="G20">
        <f>VLOOKUP(A20,'Ansvar kurs'!$A$98:$C$1072,2,FALSE)</f>
        <v>1630</v>
      </c>
      <c r="H20" t="str">
        <f>VLOOKUP(G20,Orgenheter!$A$1:$B$214,2)</f>
        <v>Inst för ide- o samhällsstudier</v>
      </c>
      <c r="I20" t="str">
        <f>VLOOKUP(G20,Orgenheter!$A$1:$C$166,3,FALSE)</f>
        <v>Hum</v>
      </c>
      <c r="J20" s="192">
        <f>IF(ISERROR(VLOOKUP(A20,'Totalt pivot'!$A$5:$C$397,2,FALSE)),0,(VLOOKUP(A20,'Totalt pivot'!$A$5:$C$397,2,FALSE)))</f>
        <v>6.5</v>
      </c>
      <c r="K20" s="192">
        <f t="shared" si="0"/>
        <v>3.25</v>
      </c>
      <c r="L20" s="192">
        <f>IF(ISERROR(VLOOKUP(A20,'Totalt pivot'!$A$5:$C$397,3,FALSE)),0,(VLOOKUP(A20,'Totalt pivot'!$A$5:$C$397,3,FALSE)))</f>
        <v>5.4749999999999996</v>
      </c>
      <c r="M20" s="192">
        <f t="shared" si="1"/>
        <v>2.7374999999999998</v>
      </c>
      <c r="N20" s="26">
        <f>VLOOKUP(A20,kurspris!$A$1:$Q$907,15)</f>
        <v>20766</v>
      </c>
      <c r="O20" s="26">
        <f>VLOOKUP(A20,kurspris!$A$1:$Q$907,16)</f>
        <v>17442</v>
      </c>
      <c r="P20" s="26">
        <f>VLOOKUP(A20,kurspris!$A$1:$Q$907,17)</f>
        <v>6000</v>
      </c>
      <c r="Q20" s="26">
        <f t="shared" si="2"/>
        <v>115236.97500000001</v>
      </c>
      <c r="R20" s="26">
        <f>(Q20*Prislapp!$R$5)*-1</f>
        <v>-8066.5882500000016</v>
      </c>
      <c r="S20" s="26">
        <f t="shared" si="3"/>
        <v>107170.38675000001</v>
      </c>
      <c r="T20" s="26">
        <f t="shared" si="4"/>
        <v>19500</v>
      </c>
    </row>
    <row r="21" spans="1:22" x14ac:dyDescent="0.25">
      <c r="A21" s="60" t="s">
        <v>1124</v>
      </c>
      <c r="B21" t="str">
        <f>VLOOKUP(A21,kurspris!$A$1:$Q$907,2,FALSE)</f>
        <v>Kunskap, vetenskap och forskningsmetodik, 7,5 hp</v>
      </c>
      <c r="C21" s="31">
        <v>2272</v>
      </c>
      <c r="D21" t="str">
        <f>VLOOKUP(C21,Orgenheter!$A$1:$B$214,2)</f>
        <v xml:space="preserve">Statistik                     </v>
      </c>
      <c r="E21" t="str">
        <f>VLOOKUP(C21,Orgenheter!$A$1:$C$166,3,FALSE)</f>
        <v>Sam</v>
      </c>
      <c r="F21" s="262">
        <f>1.5/7.5</f>
        <v>0.2</v>
      </c>
      <c r="G21">
        <f>VLOOKUP(A21,'Ansvar kurs'!$A$98:$C$1072,2,FALSE)</f>
        <v>1630</v>
      </c>
      <c r="H21" t="str">
        <f>VLOOKUP(G21,Orgenheter!$A$1:$B$214,2)</f>
        <v>Inst för ide- o samhällsstudier</v>
      </c>
      <c r="I21" t="str">
        <f>VLOOKUP(G21,Orgenheter!$A$1:$C$166,3,FALSE)</f>
        <v>Hum</v>
      </c>
      <c r="J21" s="192">
        <f>IF(ISERROR(VLOOKUP(A21,'Totalt pivot'!$A$5:$C$397,2,FALSE)),0,(VLOOKUP(A21,'Totalt pivot'!$A$5:$C$397,2,FALSE)))</f>
        <v>43.11</v>
      </c>
      <c r="K21" s="192">
        <f t="shared" si="0"/>
        <v>8.6219999999999999</v>
      </c>
      <c r="L21" s="192">
        <f>IF(ISERROR(VLOOKUP(A21,'Totalt pivot'!$A$5:$C$397,3,FALSE)),0,(VLOOKUP(A21,'Totalt pivot'!$A$5:$C$397,3,FALSE)))</f>
        <v>36.643499999999996</v>
      </c>
      <c r="M21" s="192">
        <f t="shared" si="1"/>
        <v>7.3286999999999995</v>
      </c>
      <c r="N21" s="26">
        <f>VLOOKUP(A21,kurspris!$A$1:$Q$907,15)</f>
        <v>26554</v>
      </c>
      <c r="O21" s="26">
        <f>VLOOKUP(A21,kurspris!$A$1:$Q$907,16)</f>
        <v>33465</v>
      </c>
      <c r="P21" s="26">
        <f>VLOOKUP(A21,kurspris!$A$1:$Q$907,17)</f>
        <v>6000</v>
      </c>
      <c r="Q21" s="26">
        <f t="shared" si="2"/>
        <v>474203.53349999996</v>
      </c>
      <c r="R21" s="26">
        <f>(Q21*Prislapp!$R$5)*-1</f>
        <v>-33194.247345000003</v>
      </c>
      <c r="S21" s="26">
        <f t="shared" si="3"/>
        <v>441009.28615499998</v>
      </c>
      <c r="T21" s="26">
        <f t="shared" si="4"/>
        <v>51732</v>
      </c>
      <c r="V21" t="s">
        <v>1112</v>
      </c>
    </row>
    <row r="22" spans="1:22" x14ac:dyDescent="0.25">
      <c r="A22" s="60" t="s">
        <v>1124</v>
      </c>
      <c r="B22" t="str">
        <f>VLOOKUP(A22,kurspris!$A$1:$Q$907,2,FALSE)</f>
        <v>Kunskap, vetenskap och forskningsmetodik, 7,5 hp</v>
      </c>
      <c r="C22" s="31">
        <v>2180</v>
      </c>
      <c r="D22" t="str">
        <f>VLOOKUP(C22,Orgenheter!$A$1:$B$214,2)</f>
        <v xml:space="preserve">Pedagogik                     </v>
      </c>
      <c r="E22" t="str">
        <f>VLOOKUP(C22,Orgenheter!$A$1:$C$166,3,FALSE)</f>
        <v>Sam</v>
      </c>
      <c r="F22" s="262">
        <f>1/7.5</f>
        <v>0.13333333333333333</v>
      </c>
      <c r="G22">
        <f>VLOOKUP(A22,'Ansvar kurs'!$A$98:$C$1072,2,FALSE)</f>
        <v>1630</v>
      </c>
      <c r="H22" t="str">
        <f>VLOOKUP(G22,Orgenheter!$A$1:$B$214,2)</f>
        <v>Inst för ide- o samhällsstudier</v>
      </c>
      <c r="I22" t="str">
        <f>VLOOKUP(G22,Orgenheter!$A$1:$C$166,3,FALSE)</f>
        <v>Hum</v>
      </c>
      <c r="J22" s="192">
        <f>IF(ISERROR(VLOOKUP(A22,'Totalt pivot'!$A$5:$C$397,2,FALSE)),0,(VLOOKUP(A22,'Totalt pivot'!$A$5:$C$397,2,FALSE)))</f>
        <v>43.11</v>
      </c>
      <c r="K22" s="192">
        <f t="shared" si="0"/>
        <v>5.7480000000000002</v>
      </c>
      <c r="L22" s="192">
        <f>IF(ISERROR(VLOOKUP(A22,'Totalt pivot'!$A$5:$C$397,3,FALSE)),0,(VLOOKUP(A22,'Totalt pivot'!$A$5:$C$397,3,FALSE)))</f>
        <v>36.643499999999996</v>
      </c>
      <c r="M22" s="192">
        <f t="shared" si="1"/>
        <v>4.8857999999999997</v>
      </c>
      <c r="N22" s="26">
        <f>VLOOKUP(A22,kurspris!$A$1:$Q$907,15)</f>
        <v>26554</v>
      </c>
      <c r="O22" s="26">
        <f>VLOOKUP(A22,kurspris!$A$1:$Q$907,16)</f>
        <v>33465</v>
      </c>
      <c r="P22" s="26">
        <f>VLOOKUP(A22,kurspris!$A$1:$Q$907,17)</f>
        <v>6000</v>
      </c>
      <c r="Q22" s="26">
        <f t="shared" si="2"/>
        <v>316135.68900000001</v>
      </c>
      <c r="R22" s="26">
        <f>(Q22*Prislapp!$R$5)*-1</f>
        <v>-22129.498230000005</v>
      </c>
      <c r="S22" s="26">
        <f t="shared" si="3"/>
        <v>294006.19076999999</v>
      </c>
      <c r="T22" s="26">
        <f t="shared" si="4"/>
        <v>34488</v>
      </c>
      <c r="V22" t="s">
        <v>1112</v>
      </c>
    </row>
    <row r="23" spans="1:22" x14ac:dyDescent="0.25">
      <c r="A23" s="60" t="s">
        <v>1126</v>
      </c>
      <c r="B23" t="str">
        <f>VLOOKUP(A23,kurspris!$A$1:$Q$907,2,FALSE)</f>
        <v>Etik, demokrati och det heterogena klassrummet, 7,5 hp</v>
      </c>
      <c r="C23" s="31">
        <v>1640</v>
      </c>
      <c r="D23" t="str">
        <f>VLOOKUP(C23,Orgenheter!$A$1:$B$214,2)</f>
        <v>Inst för kultur- o medievetenskap</v>
      </c>
      <c r="E23" t="str">
        <f>VLOOKUP(C23,Orgenheter!$A$1:$C$166,3,FALSE)</f>
        <v>Hum</v>
      </c>
      <c r="F23" s="262">
        <f>3.5/7.5</f>
        <v>0.46666666666666667</v>
      </c>
      <c r="G23">
        <f>VLOOKUP(A23,'Ansvar kurs'!$A$98:$C$1072,2,FALSE)</f>
        <v>1630</v>
      </c>
      <c r="H23" t="str">
        <f>VLOOKUP(G23,Orgenheter!$A$1:$B$214,2)</f>
        <v>Inst för ide- o samhällsstudier</v>
      </c>
      <c r="I23" t="str">
        <f>VLOOKUP(G23,Orgenheter!$A$1:$C$166,3,FALSE)</f>
        <v>Hum</v>
      </c>
      <c r="J23" s="192">
        <f>IF(ISERROR(VLOOKUP(A23,'Totalt pivot'!$A$5:$C$397,2,FALSE)),0,(VLOOKUP(A23,'Totalt pivot'!$A$5:$C$397,2,FALSE)))</f>
        <v>40.232500000000002</v>
      </c>
      <c r="K23" s="192">
        <f t="shared" si="0"/>
        <v>18.775166666666667</v>
      </c>
      <c r="L23" s="192">
        <f>IF(ISERROR(VLOOKUP(A23,'Totalt pivot'!$A$5:$C$397,3,FALSE)),0,(VLOOKUP(A23,'Totalt pivot'!$A$5:$C$397,3,FALSE)))</f>
        <v>34.197625000000002</v>
      </c>
      <c r="M23" s="192">
        <f t="shared" si="1"/>
        <v>15.958891666666668</v>
      </c>
      <c r="N23" s="26">
        <f>VLOOKUP(A23,kurspris!$A$1:$Q$907,15)</f>
        <v>26554</v>
      </c>
      <c r="O23" s="26">
        <f>VLOOKUP(A23,kurspris!$A$1:$Q$907,16)</f>
        <v>33465</v>
      </c>
      <c r="P23" s="26">
        <f>VLOOKUP(A23,kurspris!$A$1:$Q$907,17)</f>
        <v>6000</v>
      </c>
      <c r="Q23" s="26">
        <f t="shared" si="2"/>
        <v>1032620.0852916667</v>
      </c>
      <c r="R23" s="26">
        <f>(Q23*Prislapp!$R$5)*-1</f>
        <v>-72283.405970416672</v>
      </c>
      <c r="S23" s="26">
        <f t="shared" si="3"/>
        <v>960336.67932124995</v>
      </c>
      <c r="T23" s="26">
        <f t="shared" si="4"/>
        <v>112651</v>
      </c>
      <c r="V23" t="s">
        <v>1112</v>
      </c>
    </row>
    <row r="24" spans="1:22" x14ac:dyDescent="0.25">
      <c r="A24" s="60" t="s">
        <v>815</v>
      </c>
      <c r="B24" t="str">
        <f>VLOOKUP(A24,kurspris!$A$1:$Q$907,2,FALSE)</f>
        <v>Att undervisa i åk 4-6</v>
      </c>
      <c r="C24" s="31">
        <v>5740</v>
      </c>
      <c r="D24" t="str">
        <f>VLOOKUP(C24,Orgenheter!$A$1:$B$214,2)</f>
        <v>NMD</v>
      </c>
      <c r="E24" t="str">
        <f>VLOOKUP(C24,Orgenheter!$A$1:$C$166,3,FALSE)</f>
        <v>TekNat</v>
      </c>
      <c r="F24" s="262">
        <f>2/6</f>
        <v>0.33333333333333331</v>
      </c>
      <c r="G24">
        <f>VLOOKUP(A24,'Ansvar kurs'!$A$98:$C$1072,2,FALSE)</f>
        <v>1620</v>
      </c>
      <c r="H24" t="str">
        <f>VLOOKUP(G24,Orgenheter!$A$1:$B$214,2)</f>
        <v>Inst för språkstudier</v>
      </c>
      <c r="I24" t="str">
        <f>VLOOKUP(G24,Orgenheter!$A$1:$C$166,3,FALSE)</f>
        <v>Hum</v>
      </c>
      <c r="J24" s="192">
        <f>IF(ISERROR(VLOOKUP(A24,'Totalt pivot'!$A$5:$C$397,2,FALSE)),0,(VLOOKUP(A24,'Totalt pivot'!$A$5:$C$397,2,FALSE)))</f>
        <v>1.9</v>
      </c>
      <c r="K24" s="192">
        <f t="shared" si="0"/>
        <v>0.6333333333333333</v>
      </c>
      <c r="L24" s="192">
        <f>IF(ISERROR(VLOOKUP(A24,'Totalt pivot'!$A$5:$C$397,3,FALSE)),0,(VLOOKUP(A24,'Totalt pivot'!$A$5:$C$397,3,FALSE)))</f>
        <v>1.615</v>
      </c>
      <c r="M24" s="192">
        <f t="shared" si="1"/>
        <v>0.53833333333333333</v>
      </c>
      <c r="N24" s="26">
        <f>VLOOKUP(A24,kurspris!$A$1:$Q$907,15)</f>
        <v>25235</v>
      </c>
      <c r="O24" s="26">
        <f>VLOOKUP(A24,kurspris!$A$1:$Q$907,16)</f>
        <v>27976</v>
      </c>
      <c r="P24" s="26">
        <f>VLOOKUP(A24,kurspris!$A$1:$Q$907,17)</f>
        <v>3600</v>
      </c>
      <c r="Q24" s="26">
        <f t="shared" si="2"/>
        <v>31042.58</v>
      </c>
      <c r="R24" s="26">
        <f>(Q24*Prislapp!$R$5)*-1</f>
        <v>-2172.9806000000003</v>
      </c>
      <c r="S24" s="26">
        <f t="shared" si="3"/>
        <v>28869.599400000003</v>
      </c>
      <c r="T24" s="26">
        <f t="shared" si="4"/>
        <v>2280</v>
      </c>
      <c r="V24" s="37" t="s">
        <v>816</v>
      </c>
    </row>
    <row r="25" spans="1:22" x14ac:dyDescent="0.25">
      <c r="A25" s="60" t="s">
        <v>814</v>
      </c>
      <c r="B25" t="str">
        <f>VLOOKUP(A25,kurspris!$A$1:$Q$907,2,FALSE)</f>
        <v>Att undervisa i F-3</v>
      </c>
      <c r="C25" s="31">
        <v>5740</v>
      </c>
      <c r="D25" t="str">
        <f>VLOOKUP(C25,Orgenheter!$A$1:$B$214,2)</f>
        <v>NMD</v>
      </c>
      <c r="E25" t="str">
        <f>VLOOKUP(C25,Orgenheter!$A$1:$C$166,3,FALSE)</f>
        <v>TekNat</v>
      </c>
      <c r="F25" s="262">
        <f>2/6</f>
        <v>0.33333333333333331</v>
      </c>
      <c r="G25">
        <f>VLOOKUP(A25,'Ansvar kurs'!$A$98:$C$1072,2,FALSE)</f>
        <v>1620</v>
      </c>
      <c r="H25" t="str">
        <f>VLOOKUP(G25,Orgenheter!$A$1:$B$214,2)</f>
        <v>Inst för språkstudier</v>
      </c>
      <c r="I25" t="str">
        <f>VLOOKUP(G25,Orgenheter!$A$1:$C$166,3,FALSE)</f>
        <v>Hum</v>
      </c>
      <c r="J25" s="192">
        <f>IF(ISERROR(VLOOKUP(A25,'Totalt pivot'!$A$5:$C$397,2,FALSE)),0,(VLOOKUP(A25,'Totalt pivot'!$A$5:$C$397,2,FALSE)))</f>
        <v>3.8</v>
      </c>
      <c r="K25" s="192">
        <f t="shared" si="0"/>
        <v>1.2666666666666666</v>
      </c>
      <c r="L25" s="192">
        <f>IF(ISERROR(VLOOKUP(A25,'Totalt pivot'!$A$5:$C$397,3,FALSE)),0,(VLOOKUP(A25,'Totalt pivot'!$A$5:$C$397,3,FALSE)))</f>
        <v>3.23</v>
      </c>
      <c r="M25" s="192">
        <f t="shared" si="1"/>
        <v>1.0766666666666667</v>
      </c>
      <c r="N25" s="26">
        <f>VLOOKUP(A25,kurspris!$A$1:$Q$907,15)</f>
        <v>25235</v>
      </c>
      <c r="O25" s="26">
        <f>VLOOKUP(A25,kurspris!$A$1:$Q$907,16)</f>
        <v>27976</v>
      </c>
      <c r="P25" s="26">
        <f>VLOOKUP(A25,kurspris!$A$1:$Q$907,17)</f>
        <v>3600</v>
      </c>
      <c r="Q25" s="26">
        <f t="shared" si="2"/>
        <v>62085.16</v>
      </c>
      <c r="R25" s="26">
        <f>(Q25*Prislapp!$R$5)*-1</f>
        <v>-4345.9612000000006</v>
      </c>
      <c r="S25" s="26">
        <f t="shared" si="3"/>
        <v>57739.198800000006</v>
      </c>
      <c r="T25" s="26">
        <f t="shared" si="4"/>
        <v>4560</v>
      </c>
      <c r="V25" s="37" t="s">
        <v>816</v>
      </c>
    </row>
    <row r="26" spans="1:22" x14ac:dyDescent="0.25">
      <c r="A26" s="60" t="s">
        <v>1529</v>
      </c>
      <c r="B26" t="str">
        <f>VLOOKUP(A26,kurspris!$A$1:$Q$907,2,FALSE)</f>
        <v>Språk, kommunikation och språkutveckling i förskolans verksamhet</v>
      </c>
      <c r="C26" s="31">
        <v>2193</v>
      </c>
      <c r="D26" t="str">
        <f>VLOOKUP(C26,Orgenheter!$A$1:$B$214,2)</f>
        <v xml:space="preserve">TUV </v>
      </c>
      <c r="E26" t="str">
        <f>VLOOKUP(C26,Orgenheter!$A$1:$C$166,3,FALSE)</f>
        <v>Sam</v>
      </c>
      <c r="F26" s="262">
        <f>3/15</f>
        <v>0.2</v>
      </c>
      <c r="G26">
        <f>VLOOKUP(A26,'Ansvar kurs'!$A$98:$C$1072,2,FALSE)</f>
        <v>1620</v>
      </c>
      <c r="H26" t="str">
        <f>VLOOKUP(G26,Orgenheter!$A$1:$B$214,2)</f>
        <v>Inst för språkstudier</v>
      </c>
      <c r="I26" t="str">
        <f>VLOOKUP(G26,Orgenheter!$A$1:$C$166,3,FALSE)</f>
        <v>Hum</v>
      </c>
      <c r="J26" s="192">
        <f>IF(ISERROR(VLOOKUP(A26,'Totalt pivot'!$A$5:$C$397,2,FALSE)),0,(VLOOKUP(A26,'Totalt pivot'!$A$5:$C$397,2,FALSE)))</f>
        <v>0</v>
      </c>
      <c r="K26" s="192">
        <f t="shared" si="0"/>
        <v>0</v>
      </c>
      <c r="L26" s="192">
        <f>IF(ISERROR(VLOOKUP(A26,'Totalt pivot'!$A$5:$C$397,3,FALSE)),0,(VLOOKUP(A26,'Totalt pivot'!$A$5:$C$397,3,FALSE)))</f>
        <v>0</v>
      </c>
      <c r="M26" s="192">
        <f t="shared" si="1"/>
        <v>0</v>
      </c>
      <c r="N26" s="26">
        <f>VLOOKUP(A26,kurspris!$A$1:$Q$907,15)</f>
        <v>20766</v>
      </c>
      <c r="O26" s="26">
        <f>VLOOKUP(A26,kurspris!$A$1:$Q$907,16)</f>
        <v>17442</v>
      </c>
      <c r="P26" s="26">
        <f>VLOOKUP(A26,kurspris!$A$1:$Q$907,17)</f>
        <v>6000</v>
      </c>
      <c r="Q26" s="26">
        <f t="shared" si="2"/>
        <v>0</v>
      </c>
      <c r="R26" s="26">
        <f>(Q26*Prislapp!$R$5)*-1</f>
        <v>0</v>
      </c>
      <c r="S26" s="26">
        <f t="shared" si="3"/>
        <v>0</v>
      </c>
      <c r="T26" s="26">
        <f t="shared" si="4"/>
        <v>0</v>
      </c>
      <c r="V26" s="37"/>
    </row>
    <row r="27" spans="1:22" x14ac:dyDescent="0.25">
      <c r="A27" s="60" t="s">
        <v>1634</v>
      </c>
      <c r="B27" t="str">
        <f>VLOOKUP(A27,kurspris!$A$1:$Q$907,2,FALSE)</f>
        <v>Kommunikation och språkutveckling för fritidshem</v>
      </c>
      <c r="C27" s="31">
        <v>2193</v>
      </c>
      <c r="D27" t="str">
        <f>VLOOKUP(C27,Orgenheter!$A$1:$B$214,2)</f>
        <v xml:space="preserve">TUV </v>
      </c>
      <c r="E27" t="str">
        <f>VLOOKUP(C27,Orgenheter!$A$1:$C$166,3,FALSE)</f>
        <v>Sam</v>
      </c>
      <c r="F27" s="262">
        <f>2.5/7.5</f>
        <v>0.33333333333333331</v>
      </c>
      <c r="G27">
        <f>VLOOKUP(A27,'Ansvar kurs'!$A$98:$C$1072,2,FALSE)</f>
        <v>1620</v>
      </c>
      <c r="H27" t="str">
        <f>VLOOKUP(G27,Orgenheter!$A$1:$B$214,2)</f>
        <v>Inst för språkstudier</v>
      </c>
      <c r="I27" t="str">
        <f>VLOOKUP(G27,Orgenheter!$A$1:$C$166,3,FALSE)</f>
        <v>Hum</v>
      </c>
      <c r="J27" s="192">
        <f>IF(ISERROR(VLOOKUP(A27,'Totalt pivot'!$A$5:$C$397,2,FALSE)),0,(VLOOKUP(A27,'Totalt pivot'!$A$5:$C$397,2,FALSE)))</f>
        <v>2.625</v>
      </c>
      <c r="K27" s="192">
        <f t="shared" si="0"/>
        <v>0.875</v>
      </c>
      <c r="L27" s="192">
        <f>IF(ISERROR(VLOOKUP(A27,'Totalt pivot'!$A$5:$C$397,3,FALSE)),0,(VLOOKUP(A27,'Totalt pivot'!$A$5:$C$397,3,FALSE)))</f>
        <v>2.2312499999999997</v>
      </c>
      <c r="M27" s="192">
        <f t="shared" si="1"/>
        <v>0.74374999999999991</v>
      </c>
      <c r="N27" s="26">
        <f>VLOOKUP(A27,kurspris!$A$1:$Q$907,15)</f>
        <v>20766</v>
      </c>
      <c r="O27" s="26">
        <f>VLOOKUP(A27,kurspris!$A$1:$Q$907,16)</f>
        <v>17442</v>
      </c>
      <c r="P27" s="26">
        <f>VLOOKUP(A27,kurspris!$A$1:$Q$907,17)</f>
        <v>6000</v>
      </c>
      <c r="Q27" s="26">
        <f t="shared" si="2"/>
        <v>31142.737499999999</v>
      </c>
      <c r="R27" s="26">
        <f>(Q27*Prislapp!$R$5)*-1</f>
        <v>-2179.9916250000001</v>
      </c>
      <c r="S27" s="26">
        <f t="shared" si="3"/>
        <v>28962.745875000001</v>
      </c>
      <c r="T27" s="26">
        <f t="shared" si="4"/>
        <v>5250</v>
      </c>
      <c r="V27" s="37" t="s">
        <v>1673</v>
      </c>
    </row>
    <row r="28" spans="1:22" x14ac:dyDescent="0.25">
      <c r="A28" s="31" t="s">
        <v>1422</v>
      </c>
      <c r="B28" t="str">
        <f>VLOOKUP(A28,kurspris!$A$1:$Q$907,2,FALSE)</f>
        <v>Matematik 4 för förskoleklass och grundskolans årskurs 1-3</v>
      </c>
      <c r="C28" s="31">
        <v>5730</v>
      </c>
      <c r="D28" t="str">
        <f>VLOOKUP(C28,Orgenheter!$A$1:$B$214,2)</f>
        <v>Inst för MA och MA statistik</v>
      </c>
      <c r="E28" t="str">
        <f>VLOOKUP(C28,Orgenheter!$A$1:$C$166,3,FALSE)</f>
        <v>TekNat</v>
      </c>
      <c r="F28" s="263">
        <f>2.5/7.5</f>
        <v>0.33333333333333331</v>
      </c>
      <c r="G28">
        <f>VLOOKUP(A28,'Ansvar kurs'!$A$98:$C$1072,2,FALSE)</f>
        <v>5740</v>
      </c>
      <c r="H28" t="str">
        <f>VLOOKUP(G28,Orgenheter!$A$1:$B$214,2)</f>
        <v>NMD</v>
      </c>
      <c r="I28" t="str">
        <f>VLOOKUP(G28,Orgenheter!$A$1:$C$166,3,FALSE)</f>
        <v>TekNat</v>
      </c>
      <c r="J28" s="192">
        <f>IF(ISERROR(VLOOKUP(A28,'Totalt pivot'!$A$5:$C$397,2,FALSE)),0,(VLOOKUP(A28,'Totalt pivot'!$A$5:$C$397,2,FALSE)))</f>
        <v>4.75</v>
      </c>
      <c r="K28" s="192">
        <f t="shared" si="0"/>
        <v>1.5833333333333333</v>
      </c>
      <c r="L28" s="192">
        <f>IF(ISERROR(VLOOKUP(A28,'Totalt pivot'!$A$5:$C$397,3,FALSE)),0,(VLOOKUP(A28,'Totalt pivot'!$A$5:$C$397,3,FALSE)))</f>
        <v>4.0375000000000005</v>
      </c>
      <c r="M28" s="192">
        <f t="shared" si="1"/>
        <v>1.3458333333333334</v>
      </c>
      <c r="N28" s="26">
        <f>VLOOKUP(A28,kurspris!$A$1:$Q$907,15)</f>
        <v>20757</v>
      </c>
      <c r="O28" s="26">
        <f>VLOOKUP(A28,kurspris!$A$1:$Q$907,16)</f>
        <v>36082</v>
      </c>
      <c r="P28" s="26">
        <f>VLOOKUP(A28,kurspris!$A$1:$Q$907,17)</f>
        <v>22600</v>
      </c>
      <c r="Q28" s="26">
        <f t="shared" si="2"/>
        <v>81425.608333333337</v>
      </c>
      <c r="R28" s="26">
        <f>(Q28*Prislapp!$R$5)*-1</f>
        <v>-5699.7925833333338</v>
      </c>
      <c r="S28" s="26">
        <f t="shared" si="3"/>
        <v>75725.815750000009</v>
      </c>
      <c r="T28" s="26">
        <f t="shared" si="4"/>
        <v>35783.333333333328</v>
      </c>
    </row>
    <row r="29" spans="1:22" x14ac:dyDescent="0.25">
      <c r="A29" s="31" t="s">
        <v>1426</v>
      </c>
      <c r="B29" t="str">
        <f>VLOOKUP(A29,kurspris!$A$1:$Q$907,2,FALSE)</f>
        <v>Matematik 3 för grundskolans årskurs 4-6</v>
      </c>
      <c r="C29" s="31">
        <v>5730</v>
      </c>
      <c r="D29" t="str">
        <f>VLOOKUP(C29,Orgenheter!$A$1:$B$214,2)</f>
        <v>Inst för MA och MA statistik</v>
      </c>
      <c r="E29" t="str">
        <f>VLOOKUP(C29,Orgenheter!$A$1:$C$166,3,FALSE)</f>
        <v>TekNat</v>
      </c>
      <c r="F29" s="263">
        <f>2.5/7.5</f>
        <v>0.33333333333333331</v>
      </c>
      <c r="G29">
        <f>VLOOKUP(A29,'Ansvar kurs'!$A$98:$C$1072,2,FALSE)</f>
        <v>5740</v>
      </c>
      <c r="H29" t="str">
        <f>VLOOKUP(G29,Orgenheter!$A$1:$B$214,2)</f>
        <v>NMD</v>
      </c>
      <c r="I29" t="str">
        <f>VLOOKUP(G29,Orgenheter!$A$1:$C$166,3,FALSE)</f>
        <v>TekNat</v>
      </c>
      <c r="J29" s="192">
        <f>IF(ISERROR(VLOOKUP(A29,'Totalt pivot'!$A$5:$C$397,2,FALSE)),0,(VLOOKUP(A29,'Totalt pivot'!$A$5:$C$397,2,FALSE)))</f>
        <v>5.125</v>
      </c>
      <c r="K29" s="192">
        <f t="shared" si="0"/>
        <v>1.7083333333333333</v>
      </c>
      <c r="L29" s="192">
        <f>IF(ISERROR(VLOOKUP(A29,'Totalt pivot'!$A$5:$C$397,3,FALSE)),0,(VLOOKUP(A29,'Totalt pivot'!$A$5:$C$397,3,FALSE)))</f>
        <v>4.3562500000000002</v>
      </c>
      <c r="M29" s="192">
        <f>F29*L29</f>
        <v>1.4520833333333334</v>
      </c>
      <c r="N29" s="26">
        <f>VLOOKUP(A29,kurspris!$A$1:$Q$907,15)</f>
        <v>20757</v>
      </c>
      <c r="O29" s="26">
        <f>VLOOKUP(A29,kurspris!$A$1:$Q$907,16)</f>
        <v>36082</v>
      </c>
      <c r="P29" s="26">
        <f>VLOOKUP(A29,kurspris!$A$1:$Q$907,17)</f>
        <v>22600</v>
      </c>
      <c r="Q29" s="26">
        <f>K29*N29+M29*O29</f>
        <v>87853.945833333331</v>
      </c>
      <c r="R29" s="26">
        <f>(Q29*Prislapp!$R$5)*-1</f>
        <v>-6149.7762083333337</v>
      </c>
      <c r="S29" s="26">
        <f>Q29+R29</f>
        <v>81704.169624999995</v>
      </c>
      <c r="T29" s="26">
        <f>K29*P29</f>
        <v>38608.333333333328</v>
      </c>
      <c r="V29" t="s">
        <v>1436</v>
      </c>
    </row>
    <row r="30" spans="1:22" x14ac:dyDescent="0.25">
      <c r="A30" s="31" t="s">
        <v>1428</v>
      </c>
      <c r="B30" t="str">
        <f>VLOOKUP(A30,kurspris!$A$1:$Q$907,2,FALSE)</f>
        <v>Matematik 4 för grundskolans årskurs 4-6</v>
      </c>
      <c r="C30" s="31">
        <v>5730</v>
      </c>
      <c r="D30" t="str">
        <f>VLOOKUP(C30,Orgenheter!$A$1:$B$214,2)</f>
        <v>Inst för MA och MA statistik</v>
      </c>
      <c r="E30" t="str">
        <f>VLOOKUP(C30,Orgenheter!$A$1:$C$166,3,FALSE)</f>
        <v>TekNat</v>
      </c>
      <c r="F30" s="263">
        <f>2.5/7.5</f>
        <v>0.33333333333333331</v>
      </c>
      <c r="G30">
        <f>VLOOKUP(A30,'Ansvar kurs'!$A$98:$C$1072,2,FALSE)</f>
        <v>5740</v>
      </c>
      <c r="H30" t="str">
        <f>VLOOKUP(G30,Orgenheter!$A$1:$B$214,2)</f>
        <v>NMD</v>
      </c>
      <c r="I30" t="str">
        <f>VLOOKUP(G30,Orgenheter!$A$1:$C$166,3,FALSE)</f>
        <v>TekNat</v>
      </c>
      <c r="J30" s="192">
        <f>IF(ISERROR(VLOOKUP(A30,'Totalt pivot'!$A$5:$C$397,2,FALSE)),0,(VLOOKUP(A30,'Totalt pivot'!$A$5:$C$397,2,FALSE)))</f>
        <v>2.875</v>
      </c>
      <c r="K30" s="192">
        <f t="shared" si="0"/>
        <v>0.95833333333333326</v>
      </c>
      <c r="L30" s="192">
        <f>IF(ISERROR(VLOOKUP(A30,'Totalt pivot'!$A$5:$C$397,3,FALSE)),0,(VLOOKUP(A30,'Totalt pivot'!$A$5:$C$397,3,FALSE)))</f>
        <v>2.4437500000000001</v>
      </c>
      <c r="M30" s="192">
        <f>F30*L30</f>
        <v>0.81458333333333333</v>
      </c>
      <c r="N30" s="26">
        <f>VLOOKUP(A30,kurspris!$A$1:$Q$907,15)</f>
        <v>20757</v>
      </c>
      <c r="O30" s="26">
        <f>VLOOKUP(A30,kurspris!$A$1:$Q$907,16)</f>
        <v>36082</v>
      </c>
      <c r="P30" s="26">
        <f>VLOOKUP(A30,kurspris!$A$1:$Q$907,17)</f>
        <v>22600</v>
      </c>
      <c r="Q30" s="26">
        <f>K30*N30+M30*O30</f>
        <v>49283.920833333337</v>
      </c>
      <c r="R30" s="26">
        <f>(Q30*Prislapp!$R$5)*-1</f>
        <v>-3449.8744583333341</v>
      </c>
      <c r="S30" s="26">
        <f>Q30+R30</f>
        <v>45834.046375000005</v>
      </c>
      <c r="T30" s="26">
        <f>K30*P30</f>
        <v>21658.333333333332</v>
      </c>
    </row>
    <row r="31" spans="1:22" x14ac:dyDescent="0.25">
      <c r="A31" s="31" t="s">
        <v>1530</v>
      </c>
      <c r="B31" t="str">
        <f>VLOOKUP(A31,kurspris!$A$1:$Q$907,2,FALSE)</f>
        <v>Matematik för förskolan</v>
      </c>
      <c r="C31" s="31">
        <v>2193</v>
      </c>
      <c r="D31" t="str">
        <f>VLOOKUP(C31,Orgenheter!$A$1:$B$214,2)</f>
        <v xml:space="preserve">TUV </v>
      </c>
      <c r="E31" t="str">
        <f>VLOOKUP(C31,Orgenheter!$A$1:$C$166,3,FALSE)</f>
        <v>Sam</v>
      </c>
      <c r="F31" s="263">
        <f>2/7.5</f>
        <v>0.26666666666666666</v>
      </c>
      <c r="G31">
        <f>VLOOKUP(A31,'Ansvar kurs'!$A$98:$C$1072,2,FALSE)</f>
        <v>5740</v>
      </c>
      <c r="H31" t="str">
        <f>VLOOKUP(G31,Orgenheter!$A$1:$B$214,2)</f>
        <v>NMD</v>
      </c>
      <c r="I31" t="str">
        <f>VLOOKUP(G31,Orgenheter!$A$1:$C$166,3,FALSE)</f>
        <v>TekNat</v>
      </c>
      <c r="J31" s="192">
        <f>IF(ISERROR(VLOOKUP(A31,'Totalt pivot'!$A$5:$C$397,2,FALSE)),0,(VLOOKUP(A31,'Totalt pivot'!$A$5:$C$397,2,FALSE)))</f>
        <v>7.125</v>
      </c>
      <c r="K31" s="192">
        <f t="shared" si="0"/>
        <v>1.9</v>
      </c>
      <c r="L31" s="192">
        <f>IF(ISERROR(VLOOKUP(A31,'Totalt pivot'!$A$5:$C$397,3,FALSE)),0,(VLOOKUP(A31,'Totalt pivot'!$A$5:$C$397,3,FALSE)))</f>
        <v>6.0562499999999995</v>
      </c>
      <c r="M31" s="192">
        <f>F31*L31</f>
        <v>1.6149999999999998</v>
      </c>
      <c r="N31" s="26">
        <f>VLOOKUP(A31,kurspris!$A$1:$Q$907,15)</f>
        <v>20757</v>
      </c>
      <c r="O31" s="26">
        <f>VLOOKUP(A31,kurspris!$A$1:$Q$907,16)</f>
        <v>36082</v>
      </c>
      <c r="P31" s="26">
        <f>VLOOKUP(A31,kurspris!$A$1:$Q$907,17)</f>
        <v>22600</v>
      </c>
      <c r="Q31" s="26">
        <f>K31*N31+M31*O31</f>
        <v>97710.729999999981</v>
      </c>
      <c r="R31" s="26">
        <f>(Q31*Prislapp!$R$5)*-1</f>
        <v>-6839.7510999999995</v>
      </c>
      <c r="S31" s="26">
        <f>Q31+R31</f>
        <v>90870.978899999987</v>
      </c>
      <c r="T31" s="26">
        <f>K31*P31</f>
        <v>42940</v>
      </c>
    </row>
    <row r="32" spans="1:22" x14ac:dyDescent="0.25">
      <c r="A32" s="60" t="s">
        <v>1805</v>
      </c>
      <c r="B32" t="str">
        <f>VLOOKUP(A32,kurspris!$A$1:$Q$907,2,FALSE)</f>
        <v>Naturvetenskap och teknik i förskolan</v>
      </c>
      <c r="C32" s="31">
        <v>2193</v>
      </c>
      <c r="D32" t="str">
        <f>VLOOKUP(C32,Orgenheter!$A$1:$B$214,2)</f>
        <v xml:space="preserve">TUV </v>
      </c>
      <c r="E32" t="str">
        <f>VLOOKUP(C32,Orgenheter!$A$1:$C$166,3,FALSE)</f>
        <v>Sam</v>
      </c>
      <c r="F32" s="263">
        <f>3/15</f>
        <v>0.2</v>
      </c>
      <c r="G32">
        <f>VLOOKUP(A32,'Ansvar kurs'!$A$98:$C$1072,2,FALSE)</f>
        <v>5740</v>
      </c>
      <c r="H32" t="str">
        <f>VLOOKUP(G32,Orgenheter!$A$1:$B$214,2)</f>
        <v>NMD</v>
      </c>
      <c r="I32" t="str">
        <f>VLOOKUP(G32,Orgenheter!$A$1:$C$166,3,FALSE)</f>
        <v>TekNat</v>
      </c>
      <c r="J32" s="192">
        <f>IF(ISERROR(VLOOKUP(A32,'Totalt pivot'!$A$5:$C$397,2,FALSE)),0,(VLOOKUP(A32,'Totalt pivot'!$A$5:$C$397,2,FALSE)))</f>
        <v>13.25</v>
      </c>
      <c r="K32" s="192">
        <f t="shared" si="0"/>
        <v>2.6500000000000004</v>
      </c>
      <c r="L32" s="192">
        <f>IF(ISERROR(VLOOKUP(A32,'Totalt pivot'!$A$5:$C$397,3,FALSE)),0,(VLOOKUP(A32,'Totalt pivot'!$A$5:$C$397,3,FALSE)))</f>
        <v>11.262499999999999</v>
      </c>
      <c r="M32" s="192">
        <f>F32*L32</f>
        <v>2.2524999999999999</v>
      </c>
      <c r="N32" s="26">
        <f>VLOOKUP(A32,kurspris!$A$1:$Q$907,15)</f>
        <v>20757</v>
      </c>
      <c r="O32" s="26">
        <f>VLOOKUP(A32,kurspris!$A$1:$Q$907,16)</f>
        <v>36082</v>
      </c>
      <c r="P32" s="26">
        <f>VLOOKUP(A32,kurspris!$A$1:$Q$907,17)</f>
        <v>22600</v>
      </c>
      <c r="Q32" s="26">
        <f>K32*N32+M32*O32</f>
        <v>136280.755</v>
      </c>
      <c r="R32" s="26">
        <f>(Q32*Prislapp!$R$5)*-1</f>
        <v>-9539.6528500000004</v>
      </c>
      <c r="S32" s="26">
        <f>Q32+R32</f>
        <v>126741.10215000001</v>
      </c>
      <c r="T32" s="26">
        <f>K32*P32</f>
        <v>59890.000000000007</v>
      </c>
    </row>
    <row r="33" spans="1:20" x14ac:dyDescent="0.25">
      <c r="A33" s="31" t="s">
        <v>590</v>
      </c>
      <c r="B33" t="str">
        <f>VLOOKUP(A33,kurspris!$A$1:$Q$907,2,FALSE)</f>
        <v>Kunskap, undervisning och lärande för förskolan (UK)</v>
      </c>
      <c r="C33" s="31">
        <v>2180</v>
      </c>
      <c r="D33" t="str">
        <f>VLOOKUP(C33,Orgenheter!$A$1:$B$214,2)</f>
        <v xml:space="preserve">Pedagogik                     </v>
      </c>
      <c r="E33" t="str">
        <f>VLOOKUP(C33,Orgenheter!$A$1:$C$166,3,FALSE)</f>
        <v>Sam</v>
      </c>
      <c r="F33" s="263">
        <v>0.4</v>
      </c>
      <c r="G33">
        <f>VLOOKUP(A33,'Ansvar kurs'!$A$98:$C$1072,2,FALSE)</f>
        <v>2193</v>
      </c>
      <c r="H33" t="str">
        <f>VLOOKUP(G33,Orgenheter!$A$1:$B$214,2)</f>
        <v xml:space="preserve">TUV </v>
      </c>
      <c r="I33" t="str">
        <f>VLOOKUP(G33,Orgenheter!$A$1:$C$166,3,FALSE)</f>
        <v>Sam</v>
      </c>
      <c r="J33" s="192">
        <f>IF(ISERROR(VLOOKUP(A33,'Totalt pivot'!$A$5:$C$397,2,FALSE)),0,(VLOOKUP(A33,'Totalt pivot'!$A$5:$C$397,2,FALSE)))</f>
        <v>0</v>
      </c>
      <c r="K33" s="192">
        <f t="shared" si="0"/>
        <v>0</v>
      </c>
      <c r="L33" s="192">
        <f>IF(ISERROR(VLOOKUP(A33,'Totalt pivot'!$A$5:$C$397,3,FALSE)),0,(VLOOKUP(A33,'Totalt pivot'!$A$5:$C$397,3,FALSE)))</f>
        <v>0</v>
      </c>
      <c r="M33" s="192">
        <f t="shared" si="1"/>
        <v>0</v>
      </c>
      <c r="N33" s="26">
        <f>VLOOKUP(A33,kurspris!$A$1:$Q$907,15)</f>
        <v>26554</v>
      </c>
      <c r="O33" s="26">
        <f>VLOOKUP(A33,kurspris!$A$1:$Q$907,16)</f>
        <v>33465</v>
      </c>
      <c r="P33" s="26">
        <f>VLOOKUP(A33,kurspris!$A$1:$Q$907,17)</f>
        <v>6000</v>
      </c>
      <c r="Q33" s="26">
        <f t="shared" si="2"/>
        <v>0</v>
      </c>
      <c r="R33" s="26">
        <f>(Q33*Prislapp!$R$5)*-1</f>
        <v>0</v>
      </c>
      <c r="S33" s="26">
        <f t="shared" si="3"/>
        <v>0</v>
      </c>
      <c r="T33" s="26">
        <f t="shared" si="4"/>
        <v>0</v>
      </c>
    </row>
    <row r="34" spans="1:20" x14ac:dyDescent="0.25">
      <c r="A34" s="31" t="s">
        <v>501</v>
      </c>
      <c r="B34" t="str">
        <f>VLOOKUP(A34,kurspris!$A$1:$Q$907,2,FALSE)</f>
        <v>Lärande, lek och utveckling i förskolan I</v>
      </c>
      <c r="C34" s="31">
        <v>5740</v>
      </c>
      <c r="D34" t="str">
        <f>VLOOKUP(C34,Orgenheter!$A$1:$B$214,2)</f>
        <v>NMD</v>
      </c>
      <c r="E34" t="str">
        <f>VLOOKUP(C34,Orgenheter!$A$1:$C$166,3,FALSE)</f>
        <v>TekNat</v>
      </c>
      <c r="F34" s="263">
        <f>5.5/60</f>
        <v>9.166666666666666E-2</v>
      </c>
      <c r="G34">
        <f>VLOOKUP(A34,'Ansvar kurs'!$A$98:$C$1072,2,FALSE)</f>
        <v>2193</v>
      </c>
      <c r="H34" t="str">
        <f>VLOOKUP(G34,Orgenheter!$A$1:$B$214,2)</f>
        <v xml:space="preserve">TUV </v>
      </c>
      <c r="I34" t="str">
        <f>VLOOKUP(G34,Orgenheter!$A$1:$C$166,3,FALSE)</f>
        <v>Sam</v>
      </c>
      <c r="J34" s="192">
        <f>IF(ISERROR(VLOOKUP(A34,'Totalt pivot'!$A$5:$C$397,2,FALSE)),0,(VLOOKUP(A34,'Totalt pivot'!$A$5:$C$397,2,FALSE)))</f>
        <v>0</v>
      </c>
      <c r="K34" s="192">
        <f t="shared" si="0"/>
        <v>0</v>
      </c>
      <c r="L34" s="192">
        <f>IF(ISERROR(VLOOKUP(A34,'Totalt pivot'!$A$5:$C$397,3,FALSE)),0,(VLOOKUP(A34,'Totalt pivot'!$A$5:$C$397,3,FALSE)))</f>
        <v>0</v>
      </c>
      <c r="M34" s="192">
        <f t="shared" si="1"/>
        <v>0</v>
      </c>
      <c r="N34" s="26">
        <f>VLOOKUP(A34,kurspris!$A$1:$Q$907,15)</f>
        <v>20764.920000000002</v>
      </c>
      <c r="O34" s="26">
        <f>VLOOKUP(A34,kurspris!$A$1:$Q$907,16)</f>
        <v>19678.800000000003</v>
      </c>
      <c r="P34" s="26">
        <f>VLOOKUP(A34,kurspris!$A$1:$Q$907,17)</f>
        <v>7992</v>
      </c>
      <c r="Q34" s="26">
        <f t="shared" si="2"/>
        <v>0</v>
      </c>
      <c r="R34" s="26">
        <f>(Q34*Prislapp!$R$5)*-1</f>
        <v>0</v>
      </c>
      <c r="S34" s="26">
        <f t="shared" si="3"/>
        <v>0</v>
      </c>
      <c r="T34" s="26">
        <f t="shared" si="4"/>
        <v>0</v>
      </c>
    </row>
    <row r="35" spans="1:20" x14ac:dyDescent="0.25">
      <c r="A35" s="31" t="s">
        <v>501</v>
      </c>
      <c r="B35" t="str">
        <f>VLOOKUP(A35,kurspris!$A$1:$Q$907,2,FALSE)</f>
        <v>Lärande, lek och utveckling i förskolan I</v>
      </c>
      <c r="C35" s="31">
        <v>1620</v>
      </c>
      <c r="D35" t="str">
        <f>VLOOKUP(C35,Orgenheter!$A$1:$B$214,2)</f>
        <v>Inst för språkstudier</v>
      </c>
      <c r="E35" t="str">
        <f>VLOOKUP(C35,Orgenheter!$A$1:$C$166,3,FALSE)</f>
        <v>Hum</v>
      </c>
      <c r="F35" s="263">
        <f>12/60</f>
        <v>0.2</v>
      </c>
      <c r="G35">
        <f>VLOOKUP(A35,'Ansvar kurs'!$A$98:$C$1072,2,FALSE)</f>
        <v>2193</v>
      </c>
      <c r="H35" t="str">
        <f>VLOOKUP(G35,Orgenheter!$A$1:$B$214,2)</f>
        <v xml:space="preserve">TUV </v>
      </c>
      <c r="I35" t="str">
        <f>VLOOKUP(G35,Orgenheter!$A$1:$C$166,3,FALSE)</f>
        <v>Sam</v>
      </c>
      <c r="J35" s="192">
        <f>IF(ISERROR(VLOOKUP(A35,'Totalt pivot'!$A$5:$C$397,2,FALSE)),0,(VLOOKUP(A35,'Totalt pivot'!$A$5:$C$397,2,FALSE)))</f>
        <v>0</v>
      </c>
      <c r="K35" s="192">
        <f t="shared" si="0"/>
        <v>0</v>
      </c>
      <c r="L35" s="192">
        <f>IF(ISERROR(VLOOKUP(A35,'Totalt pivot'!$A$5:$C$397,3,FALSE)),0,(VLOOKUP(A35,'Totalt pivot'!$A$5:$C$397,3,FALSE)))</f>
        <v>0</v>
      </c>
      <c r="M35" s="192">
        <f t="shared" si="1"/>
        <v>0</v>
      </c>
      <c r="N35" s="26">
        <f>VLOOKUP(A35,kurspris!$A$1:$Q$907,15)</f>
        <v>20764.920000000002</v>
      </c>
      <c r="O35" s="26">
        <f>VLOOKUP(A35,kurspris!$A$1:$Q$907,16)</f>
        <v>19678.800000000003</v>
      </c>
      <c r="P35" s="26">
        <f>VLOOKUP(A35,kurspris!$A$1:$Q$907,17)</f>
        <v>7992</v>
      </c>
      <c r="Q35" s="26">
        <f t="shared" si="2"/>
        <v>0</v>
      </c>
      <c r="R35" s="26">
        <f>(Q35*Prislapp!$R$5)*-1</f>
        <v>0</v>
      </c>
      <c r="S35" s="26">
        <f t="shared" si="3"/>
        <v>0</v>
      </c>
      <c r="T35" s="26">
        <f t="shared" si="4"/>
        <v>0</v>
      </c>
    </row>
    <row r="36" spans="1:20" x14ac:dyDescent="0.25">
      <c r="A36" s="31" t="s">
        <v>501</v>
      </c>
      <c r="B36" t="str">
        <f>VLOOKUP(A36,kurspris!$A$1:$Q$907,2,FALSE)</f>
        <v>Lärande, lek och utveckling i förskolan I</v>
      </c>
      <c r="C36" s="31">
        <v>1650</v>
      </c>
      <c r="D36" t="str">
        <f>VLOOKUP(C36,Orgenheter!$A$1:$B$214,2)</f>
        <v xml:space="preserve">Estetiska ämnen               </v>
      </c>
      <c r="E36" t="str">
        <f>VLOOKUP(C36,Orgenheter!$A$1:$C$166,3,FALSE)</f>
        <v>Hum</v>
      </c>
      <c r="F36" s="263">
        <f>4.5/60</f>
        <v>7.4999999999999997E-2</v>
      </c>
      <c r="G36">
        <f>VLOOKUP(A36,'Ansvar kurs'!$A$98:$C$1072,2,FALSE)</f>
        <v>2193</v>
      </c>
      <c r="H36" t="str">
        <f>VLOOKUP(G36,Orgenheter!$A$1:$B$214,2)</f>
        <v xml:space="preserve">TUV </v>
      </c>
      <c r="I36" t="str">
        <f>VLOOKUP(G36,Orgenheter!$A$1:$C$166,3,FALSE)</f>
        <v>Sam</v>
      </c>
      <c r="J36" s="192">
        <f>IF(ISERROR(VLOOKUP(A36,'Totalt pivot'!$A$5:$C$397,2,FALSE)),0,(VLOOKUP(A36,'Totalt pivot'!$A$5:$C$397,2,FALSE)))</f>
        <v>0</v>
      </c>
      <c r="K36" s="192">
        <f t="shared" si="0"/>
        <v>0</v>
      </c>
      <c r="L36" s="192">
        <f>IF(ISERROR(VLOOKUP(A36,'Totalt pivot'!$A$5:$C$397,3,FALSE)),0,(VLOOKUP(A36,'Totalt pivot'!$A$5:$C$397,3,FALSE)))</f>
        <v>0</v>
      </c>
      <c r="M36" s="192">
        <f t="shared" si="1"/>
        <v>0</v>
      </c>
      <c r="N36" s="26">
        <f>VLOOKUP(A36,kurspris!$A$1:$Q$907,15)</f>
        <v>20764.920000000002</v>
      </c>
      <c r="O36" s="26">
        <f>VLOOKUP(A36,kurspris!$A$1:$Q$907,16)</f>
        <v>19678.800000000003</v>
      </c>
      <c r="P36" s="26">
        <f>VLOOKUP(A36,kurspris!$A$1:$Q$907,17)</f>
        <v>7992</v>
      </c>
      <c r="Q36" s="26">
        <f t="shared" si="2"/>
        <v>0</v>
      </c>
      <c r="R36" s="26">
        <f>(Q36*Prislapp!$R$5)*-1</f>
        <v>0</v>
      </c>
      <c r="S36" s="26">
        <f t="shared" si="3"/>
        <v>0</v>
      </c>
      <c r="T36" s="26">
        <f t="shared" si="4"/>
        <v>0</v>
      </c>
    </row>
    <row r="37" spans="1:20" x14ac:dyDescent="0.25">
      <c r="A37" s="31" t="s">
        <v>501</v>
      </c>
      <c r="B37" t="str">
        <f>VLOOKUP(A37,kurspris!$A$1:$Q$907,2,FALSE)</f>
        <v>Lärande, lek och utveckling i förskolan I</v>
      </c>
      <c r="C37" s="31">
        <v>2180</v>
      </c>
      <c r="D37" t="str">
        <f>VLOOKUP(C37,Orgenheter!$A$1:$B$214,2)</f>
        <v xml:space="preserve">Pedagogik                     </v>
      </c>
      <c r="E37" t="str">
        <f>VLOOKUP(C37,Orgenheter!$A$1:$C$166,3,FALSE)</f>
        <v>Sam</v>
      </c>
      <c r="F37" s="263">
        <f>4.5/60</f>
        <v>7.4999999999999997E-2</v>
      </c>
      <c r="G37">
        <f>VLOOKUP(A37,'Ansvar kurs'!$A$98:$C$1072,2,FALSE)</f>
        <v>2193</v>
      </c>
      <c r="H37" t="str">
        <f>VLOOKUP(G37,Orgenheter!$A$1:$B$214,2)</f>
        <v xml:space="preserve">TUV </v>
      </c>
      <c r="I37" t="str">
        <f>VLOOKUP(G37,Orgenheter!$A$1:$C$166,3,FALSE)</f>
        <v>Sam</v>
      </c>
      <c r="J37" s="192">
        <f>IF(ISERROR(VLOOKUP(A37,'Totalt pivot'!$A$5:$C$397,2,FALSE)),0,(VLOOKUP(A37,'Totalt pivot'!$A$5:$C$397,2,FALSE)))</f>
        <v>0</v>
      </c>
      <c r="K37" s="192">
        <f t="shared" si="0"/>
        <v>0</v>
      </c>
      <c r="L37" s="192">
        <f>IF(ISERROR(VLOOKUP(A37,'Totalt pivot'!$A$5:$C$397,3,FALSE)),0,(VLOOKUP(A37,'Totalt pivot'!$A$5:$C$397,3,FALSE)))</f>
        <v>0</v>
      </c>
      <c r="M37" s="192">
        <f t="shared" si="1"/>
        <v>0</v>
      </c>
      <c r="N37" s="26">
        <f>VLOOKUP(A37,kurspris!$A$1:$Q$907,15)</f>
        <v>20764.920000000002</v>
      </c>
      <c r="O37" s="26">
        <f>VLOOKUP(A37,kurspris!$A$1:$Q$907,16)</f>
        <v>19678.800000000003</v>
      </c>
      <c r="P37" s="26">
        <f>VLOOKUP(A37,kurspris!$A$1:$Q$907,17)</f>
        <v>7992</v>
      </c>
      <c r="Q37" s="26">
        <f t="shared" si="2"/>
        <v>0</v>
      </c>
      <c r="R37" s="26">
        <f>(Q37*Prislapp!$R$5)*-1</f>
        <v>0</v>
      </c>
      <c r="S37" s="26">
        <f t="shared" si="3"/>
        <v>0</v>
      </c>
      <c r="T37" s="26">
        <f t="shared" si="4"/>
        <v>0</v>
      </c>
    </row>
    <row r="38" spans="1:20" x14ac:dyDescent="0.25">
      <c r="A38" s="31" t="s">
        <v>591</v>
      </c>
      <c r="B38" t="str">
        <f>VLOOKUP(A38,kurspris!$A$1:$Q$907,2,FALSE)</f>
        <v>Bedömning för lärande för förskolan 1 (UK)</v>
      </c>
      <c r="C38" s="31">
        <v>2180</v>
      </c>
      <c r="D38" t="str">
        <f>VLOOKUP(C38,Orgenheter!$A$1:$B$214,2)</f>
        <v xml:space="preserve">Pedagogik                     </v>
      </c>
      <c r="E38" t="str">
        <f>VLOOKUP(C38,Orgenheter!$A$1:$C$166,3,FALSE)</f>
        <v>Sam</v>
      </c>
      <c r="F38" s="263">
        <v>0.5</v>
      </c>
      <c r="G38">
        <f>VLOOKUP(A38,'Ansvar kurs'!$A$98:$C$1072,2,FALSE)</f>
        <v>2193</v>
      </c>
      <c r="H38" t="str">
        <f>VLOOKUP(G38,Orgenheter!$A$1:$B$214,2)</f>
        <v xml:space="preserve">TUV </v>
      </c>
      <c r="I38" t="str">
        <f>VLOOKUP(G38,Orgenheter!$A$1:$C$166,3,FALSE)</f>
        <v>Sam</v>
      </c>
      <c r="J38" s="192">
        <f>IF(ISERROR(VLOOKUP(A38,'Totalt pivot'!$A$5:$C$397,2,FALSE)),0,(VLOOKUP(A38,'Totalt pivot'!$A$5:$C$397,2,FALSE)))</f>
        <v>0</v>
      </c>
      <c r="K38" s="192">
        <f t="shared" si="0"/>
        <v>0</v>
      </c>
      <c r="L38" s="192">
        <f>IF(ISERROR(VLOOKUP(A38,'Totalt pivot'!$A$5:$C$397,3,FALSE)),0,(VLOOKUP(A38,'Totalt pivot'!$A$5:$C$397,3,FALSE)))</f>
        <v>0</v>
      </c>
      <c r="M38" s="192">
        <f t="shared" si="1"/>
        <v>0</v>
      </c>
      <c r="N38" s="26">
        <f>VLOOKUP(A38,kurspris!$A$1:$Q$907,15)</f>
        <v>26554</v>
      </c>
      <c r="O38" s="26">
        <f>VLOOKUP(A38,kurspris!$A$1:$Q$907,16)</f>
        <v>33465</v>
      </c>
      <c r="P38" s="26">
        <f>VLOOKUP(A38,kurspris!$A$1:$Q$907,17)</f>
        <v>6000</v>
      </c>
      <c r="Q38" s="26">
        <f t="shared" si="2"/>
        <v>0</v>
      </c>
      <c r="R38" s="26">
        <f>(Q38*Prislapp!$R$5)*-1</f>
        <v>0</v>
      </c>
      <c r="S38" s="26">
        <f t="shared" si="3"/>
        <v>0</v>
      </c>
      <c r="T38" s="26">
        <f t="shared" si="4"/>
        <v>0</v>
      </c>
    </row>
    <row r="39" spans="1:20" x14ac:dyDescent="0.25">
      <c r="A39" s="31" t="s">
        <v>594</v>
      </c>
      <c r="B39" t="str">
        <f>VLOOKUP(A39,kurspris!$A$1:$Q$907,2,FALSE)</f>
        <v>Lärande, lek och utveckling i förskolan II</v>
      </c>
      <c r="C39" s="31">
        <v>5740</v>
      </c>
      <c r="D39" t="str">
        <f>VLOOKUP(C39,Orgenheter!$A$1:$B$214,2)</f>
        <v>NMD</v>
      </c>
      <c r="E39" t="str">
        <f>VLOOKUP(C39,Orgenheter!$A$1:$C$166,3,FALSE)</f>
        <v>TekNat</v>
      </c>
      <c r="F39" s="263">
        <f>14/30</f>
        <v>0.46666666666666667</v>
      </c>
      <c r="G39">
        <f>VLOOKUP(A39,'Ansvar kurs'!$A$98:$C$1072,2,FALSE)</f>
        <v>2193</v>
      </c>
      <c r="H39" t="str">
        <f>VLOOKUP(G39,Orgenheter!$A$1:$B$214,2)</f>
        <v xml:space="preserve">TUV </v>
      </c>
      <c r="I39" t="str">
        <f>VLOOKUP(G39,Orgenheter!$A$1:$C$166,3,FALSE)</f>
        <v>Sam</v>
      </c>
      <c r="J39" s="192">
        <f>IF(ISERROR(VLOOKUP(A39,'Totalt pivot'!$A$5:$C$397,2,FALSE)),0,(VLOOKUP(A39,'Totalt pivot'!$A$5:$C$397,2,FALSE)))</f>
        <v>0</v>
      </c>
      <c r="K39" s="192">
        <f t="shared" si="0"/>
        <v>0</v>
      </c>
      <c r="L39" s="192">
        <f>IF(ISERROR(VLOOKUP(A39,'Totalt pivot'!$A$5:$C$397,3,FALSE)),0,(VLOOKUP(A39,'Totalt pivot'!$A$5:$C$397,3,FALSE)))</f>
        <v>0</v>
      </c>
      <c r="M39" s="192">
        <f t="shared" si="1"/>
        <v>0</v>
      </c>
      <c r="N39" s="26">
        <f>VLOOKUP(A39,kurspris!$A$1:$Q$907,15)</f>
        <v>20761.77</v>
      </c>
      <c r="O39" s="26">
        <f>VLOOKUP(A39,kurspris!$A$1:$Q$907,16)</f>
        <v>26202.799999999996</v>
      </c>
      <c r="P39" s="26">
        <f>VLOOKUP(A39,kurspris!$A$1:$Q$907,17)</f>
        <v>13802</v>
      </c>
      <c r="Q39" s="26">
        <f t="shared" si="2"/>
        <v>0</v>
      </c>
      <c r="R39" s="26">
        <f>(Q39*Prislapp!$R$5)*-1</f>
        <v>0</v>
      </c>
      <c r="S39" s="26">
        <f t="shared" si="3"/>
        <v>0</v>
      </c>
      <c r="T39" s="26">
        <f t="shared" si="4"/>
        <v>0</v>
      </c>
    </row>
    <row r="40" spans="1:20" x14ac:dyDescent="0.25">
      <c r="A40" s="31" t="s">
        <v>594</v>
      </c>
      <c r="B40" t="str">
        <f>VLOOKUP(A40,kurspris!$A$1:$Q$907,2,FALSE)</f>
        <v>Lärande, lek och utveckling i förskolan II</v>
      </c>
      <c r="C40" s="31">
        <v>2180</v>
      </c>
      <c r="D40" t="str">
        <f>VLOOKUP(C40,Orgenheter!$A$1:$B$214,2)</f>
        <v xml:space="preserve">Pedagogik                     </v>
      </c>
      <c r="E40" t="str">
        <f>VLOOKUP(C40,Orgenheter!$A$1:$C$166,3,FALSE)</f>
        <v>Sam</v>
      </c>
      <c r="F40" s="263">
        <f>4.5/30</f>
        <v>0.15</v>
      </c>
      <c r="G40">
        <f>VLOOKUP(A40,'Ansvar kurs'!$A$98:$C$1072,2,FALSE)</f>
        <v>2193</v>
      </c>
      <c r="H40" t="str">
        <f>VLOOKUP(G40,Orgenheter!$A$1:$B$214,2)</f>
        <v xml:space="preserve">TUV </v>
      </c>
      <c r="I40" t="str">
        <f>VLOOKUP(G40,Orgenheter!$A$1:$C$166,3,FALSE)</f>
        <v>Sam</v>
      </c>
      <c r="J40" s="192">
        <f>IF(ISERROR(VLOOKUP(A40,'Totalt pivot'!$A$5:$C$397,2,FALSE)),0,(VLOOKUP(A40,'Totalt pivot'!$A$5:$C$397,2,FALSE)))</f>
        <v>0</v>
      </c>
      <c r="K40" s="192">
        <f t="shared" si="0"/>
        <v>0</v>
      </c>
      <c r="L40" s="192">
        <f>IF(ISERROR(VLOOKUP(A40,'Totalt pivot'!$A$5:$C$397,3,FALSE)),0,(VLOOKUP(A40,'Totalt pivot'!$A$5:$C$397,3,FALSE)))</f>
        <v>0</v>
      </c>
      <c r="M40" s="192">
        <f t="shared" si="1"/>
        <v>0</v>
      </c>
      <c r="N40" s="26">
        <f>VLOOKUP(A40,kurspris!$A$1:$Q$907,15)</f>
        <v>20761.77</v>
      </c>
      <c r="O40" s="26">
        <f>VLOOKUP(A40,kurspris!$A$1:$Q$907,16)</f>
        <v>26202.799999999996</v>
      </c>
      <c r="P40" s="26">
        <f>VLOOKUP(A40,kurspris!$A$1:$Q$907,17)</f>
        <v>13802</v>
      </c>
      <c r="Q40" s="26">
        <f t="shared" si="2"/>
        <v>0</v>
      </c>
      <c r="R40" s="26">
        <f>(Q40*Prislapp!$R$5)*-1</f>
        <v>0</v>
      </c>
      <c r="S40" s="26">
        <f t="shared" si="3"/>
        <v>0</v>
      </c>
      <c r="T40" s="26">
        <f t="shared" si="4"/>
        <v>0</v>
      </c>
    </row>
    <row r="41" spans="1:20" x14ac:dyDescent="0.25">
      <c r="A41" s="31" t="s">
        <v>854</v>
      </c>
      <c r="B41" t="str">
        <f>VLOOKUP(A41,kurspris!$A$1:$Q$907,2,FALSE)</f>
        <v>Lärande, lek och utveckling i förskolan III. Skapande och lek i förskolan I:II</v>
      </c>
      <c r="C41" s="31">
        <v>1650</v>
      </c>
      <c r="D41" t="str">
        <f>VLOOKUP(C41,Orgenheter!$A$1:$B$214,2)</f>
        <v xml:space="preserve">Estetiska ämnen               </v>
      </c>
      <c r="E41" t="str">
        <f>VLOOKUP(C41,Orgenheter!$A$1:$C$166,3,FALSE)</f>
        <v>Hum</v>
      </c>
      <c r="F41" s="263">
        <v>0.8</v>
      </c>
      <c r="G41">
        <f>VLOOKUP(A41,'Ansvar kurs'!$A$98:$C$1072,2,FALSE)</f>
        <v>2193</v>
      </c>
      <c r="H41" t="str">
        <f>VLOOKUP(G41,Orgenheter!$A$1:$B$214,2)</f>
        <v xml:space="preserve">TUV </v>
      </c>
      <c r="I41" t="str">
        <f>VLOOKUP(G41,Orgenheter!$A$1:$C$166,3,FALSE)</f>
        <v>Sam</v>
      </c>
      <c r="J41" s="192">
        <f>IF(ISERROR(VLOOKUP(A41,'Totalt pivot'!$A$5:$C$397,2,FALSE)),0,(VLOOKUP(A41,'Totalt pivot'!$A$5:$C$397,2,FALSE)))</f>
        <v>0</v>
      </c>
      <c r="K41" s="192">
        <f t="shared" si="0"/>
        <v>0</v>
      </c>
      <c r="L41" s="192">
        <f>IF(ISERROR(VLOOKUP(A41,'Totalt pivot'!$A$5:$C$397,3,FALSE)),0,(VLOOKUP(A41,'Totalt pivot'!$A$5:$C$397,3,FALSE)))</f>
        <v>0</v>
      </c>
      <c r="M41" s="192">
        <f t="shared" si="1"/>
        <v>0</v>
      </c>
      <c r="N41" s="26">
        <f>VLOOKUP(A41,kurspris!$A$1:$Q$907,15)</f>
        <v>20766</v>
      </c>
      <c r="O41" s="26">
        <f>VLOOKUP(A41,kurspris!$A$1:$Q$907,16)</f>
        <v>17442</v>
      </c>
      <c r="P41" s="26">
        <f>VLOOKUP(A41,kurspris!$A$1:$Q$907,17)</f>
        <v>6000</v>
      </c>
      <c r="Q41" s="26">
        <f t="shared" si="2"/>
        <v>0</v>
      </c>
      <c r="R41" s="26">
        <f>(Q41*Prislapp!$R$5)*-1</f>
        <v>0</v>
      </c>
      <c r="S41" s="26">
        <f t="shared" si="3"/>
        <v>0</v>
      </c>
      <c r="T41" s="26">
        <f t="shared" si="4"/>
        <v>0</v>
      </c>
    </row>
    <row r="42" spans="1:20" x14ac:dyDescent="0.25">
      <c r="A42" s="31" t="s">
        <v>854</v>
      </c>
      <c r="B42" t="str">
        <f>VLOOKUP(A42,kurspris!$A$1:$Q$907,2,FALSE)</f>
        <v>Lärande, lek och utveckling i förskolan III. Skapande och lek i förskolan I:II</v>
      </c>
      <c r="C42" s="31">
        <v>2180</v>
      </c>
      <c r="D42" t="str">
        <f>VLOOKUP(C42,Orgenheter!$A$1:$B$214,2)</f>
        <v xml:space="preserve">Pedagogik                     </v>
      </c>
      <c r="E42" t="str">
        <f>VLOOKUP(C42,Orgenheter!$A$1:$C$166,3,FALSE)</f>
        <v>Sam</v>
      </c>
      <c r="F42" s="263">
        <v>0.1</v>
      </c>
      <c r="G42">
        <f>VLOOKUP(A42,'Ansvar kurs'!$A$98:$C$1072,2,FALSE)</f>
        <v>2193</v>
      </c>
      <c r="H42" t="str">
        <f>VLOOKUP(G42,Orgenheter!$A$1:$B$214,2)</f>
        <v xml:space="preserve">TUV </v>
      </c>
      <c r="I42" t="str">
        <f>VLOOKUP(G42,Orgenheter!$A$1:$C$166,3,FALSE)</f>
        <v>Sam</v>
      </c>
      <c r="J42" s="192">
        <f>IF(ISERROR(VLOOKUP(A42,'Totalt pivot'!$A$5:$C$397,2,FALSE)),0,(VLOOKUP(A42,'Totalt pivot'!$A$5:$C$397,2,FALSE)))</f>
        <v>0</v>
      </c>
      <c r="K42" s="192">
        <f t="shared" si="0"/>
        <v>0</v>
      </c>
      <c r="L42" s="192">
        <f>IF(ISERROR(VLOOKUP(A42,'Totalt pivot'!$A$5:$C$397,3,FALSE)),0,(VLOOKUP(A42,'Totalt pivot'!$A$5:$C$397,3,FALSE)))</f>
        <v>0</v>
      </c>
      <c r="M42" s="192">
        <f t="shared" si="1"/>
        <v>0</v>
      </c>
      <c r="N42" s="26">
        <f>VLOOKUP(A42,kurspris!$A$1:$Q$907,15)</f>
        <v>20766</v>
      </c>
      <c r="O42" s="26">
        <f>VLOOKUP(A42,kurspris!$A$1:$Q$907,16)</f>
        <v>17442</v>
      </c>
      <c r="P42" s="26">
        <f>VLOOKUP(A42,kurspris!$A$1:$Q$907,17)</f>
        <v>6000</v>
      </c>
      <c r="Q42" s="26">
        <f t="shared" si="2"/>
        <v>0</v>
      </c>
      <c r="R42" s="26">
        <f>(Q42*Prislapp!$R$5)*-1</f>
        <v>0</v>
      </c>
      <c r="S42" s="26">
        <f t="shared" si="3"/>
        <v>0</v>
      </c>
      <c r="T42" s="26">
        <f t="shared" si="4"/>
        <v>0</v>
      </c>
    </row>
    <row r="43" spans="1:20" x14ac:dyDescent="0.25">
      <c r="A43" s="31" t="s">
        <v>857</v>
      </c>
      <c r="B43" t="str">
        <f>VLOOKUP(A43,kurspris!$A$1:$Q$907,2,FALSE)</f>
        <v>Profession och vetenskap för förskolan (UK)</v>
      </c>
      <c r="C43" s="31">
        <v>2180</v>
      </c>
      <c r="D43" t="str">
        <f>VLOOKUP(C43,Orgenheter!$A$1:$B$214,2)</f>
        <v xml:space="preserve">Pedagogik                     </v>
      </c>
      <c r="E43" t="str">
        <f>VLOOKUP(C43,Orgenheter!$A$1:$C$166,3,FALSE)</f>
        <v>Sam</v>
      </c>
      <c r="F43" s="263">
        <f>3.5/7.5</f>
        <v>0.46666666666666667</v>
      </c>
      <c r="G43">
        <f>VLOOKUP(A43,'Ansvar kurs'!$A$98:$C$1072,2,FALSE)</f>
        <v>2193</v>
      </c>
      <c r="H43" t="str">
        <f>VLOOKUP(G43,Orgenheter!$A$1:$B$214,2)</f>
        <v xml:space="preserve">TUV </v>
      </c>
      <c r="I43" t="str">
        <f>VLOOKUP(G43,Orgenheter!$A$1:$C$166,3,FALSE)</f>
        <v>Sam</v>
      </c>
      <c r="J43" s="192">
        <f>IF(ISERROR(VLOOKUP(A43,'Totalt pivot'!$A$5:$C$397,2,FALSE)),0,(VLOOKUP(A43,'Totalt pivot'!$A$5:$C$397,2,FALSE)))</f>
        <v>0</v>
      </c>
      <c r="K43" s="192">
        <f t="shared" si="0"/>
        <v>0</v>
      </c>
      <c r="L43" s="192">
        <f>IF(ISERROR(VLOOKUP(A43,'Totalt pivot'!$A$5:$C$397,3,FALSE)),0,(VLOOKUP(A43,'Totalt pivot'!$A$5:$C$397,3,FALSE)))</f>
        <v>0</v>
      </c>
      <c r="M43" s="192">
        <f t="shared" si="1"/>
        <v>0</v>
      </c>
      <c r="N43" s="26">
        <f>VLOOKUP(A43,kurspris!$A$1:$Q$907,15)</f>
        <v>26554</v>
      </c>
      <c r="O43" s="26">
        <f>VLOOKUP(A43,kurspris!$A$1:$Q$907,16)</f>
        <v>33465</v>
      </c>
      <c r="P43" s="26">
        <f>VLOOKUP(A43,kurspris!$A$1:$Q$907,17)</f>
        <v>6000</v>
      </c>
      <c r="Q43" s="26">
        <f t="shared" si="2"/>
        <v>0</v>
      </c>
      <c r="R43" s="26">
        <f>(Q43*Prislapp!$R$5)*-1</f>
        <v>0</v>
      </c>
      <c r="S43" s="26">
        <f t="shared" si="3"/>
        <v>0</v>
      </c>
      <c r="T43" s="26">
        <f t="shared" si="4"/>
        <v>0</v>
      </c>
    </row>
    <row r="44" spans="1:20" x14ac:dyDescent="0.25">
      <c r="A44" s="31" t="s">
        <v>858</v>
      </c>
      <c r="B44" t="str">
        <f>VLOOKUP(A44,kurspris!$A$1:$Q$907,2,FALSE)</f>
        <v>Profession och vetenskap i fritidshem (UK III)</v>
      </c>
      <c r="C44" s="31">
        <v>2180</v>
      </c>
      <c r="D44" t="str">
        <f>VLOOKUP(C44,Orgenheter!$A$1:$B$214,2)</f>
        <v xml:space="preserve">Pedagogik                     </v>
      </c>
      <c r="E44" t="str">
        <f>VLOOKUP(C44,Orgenheter!$A$1:$C$166,3,FALSE)</f>
        <v>Sam</v>
      </c>
      <c r="F44" s="263">
        <f>3.5/7.5</f>
        <v>0.46666666666666667</v>
      </c>
      <c r="G44">
        <f>VLOOKUP(A44,'Ansvar kurs'!$A$98:$C$1072,2,FALSE)</f>
        <v>2193</v>
      </c>
      <c r="H44" t="str">
        <f>VLOOKUP(G44,Orgenheter!$A$1:$B$214,2)</f>
        <v xml:space="preserve">TUV </v>
      </c>
      <c r="I44" t="str">
        <f>VLOOKUP(G44,Orgenheter!$A$1:$C$166,3,FALSE)</f>
        <v>Sam</v>
      </c>
      <c r="J44" s="192">
        <f>IF(ISERROR(VLOOKUP(A44,'Totalt pivot'!$A$5:$C$397,2,FALSE)),0,(VLOOKUP(A44,'Totalt pivot'!$A$5:$C$397,2,FALSE)))</f>
        <v>0</v>
      </c>
      <c r="K44" s="192">
        <f t="shared" si="0"/>
        <v>0</v>
      </c>
      <c r="L44" s="192">
        <f>IF(ISERROR(VLOOKUP(A44,'Totalt pivot'!$A$5:$C$397,3,FALSE)),0,(VLOOKUP(A44,'Totalt pivot'!$A$5:$C$397,3,FALSE)))</f>
        <v>0</v>
      </c>
      <c r="M44" s="192">
        <f t="shared" si="1"/>
        <v>0</v>
      </c>
      <c r="N44" s="26">
        <f>VLOOKUP(A44,kurspris!$A$1:$Q$907,15)</f>
        <v>26554</v>
      </c>
      <c r="O44" s="26">
        <f>VLOOKUP(A44,kurspris!$A$1:$Q$907,16)</f>
        <v>33465</v>
      </c>
      <c r="P44" s="26">
        <f>VLOOKUP(A44,kurspris!$A$1:$Q$907,17)</f>
        <v>6000</v>
      </c>
      <c r="Q44" s="26">
        <f t="shared" si="2"/>
        <v>0</v>
      </c>
      <c r="R44" s="26">
        <f>(Q44*Prislapp!$R$5)*-1</f>
        <v>0</v>
      </c>
      <c r="S44" s="26">
        <f t="shared" si="3"/>
        <v>0</v>
      </c>
      <c r="T44" s="26">
        <f t="shared" si="4"/>
        <v>0</v>
      </c>
    </row>
    <row r="45" spans="1:20" x14ac:dyDescent="0.25">
      <c r="A45" s="31" t="s">
        <v>505</v>
      </c>
      <c r="B45" t="str">
        <f>VLOOKUP(A45,kurspris!$A$1:$Q$907,2,FALSE)</f>
        <v>Grupprocesser och samverkan ur ett fritidshemsperspektiv</v>
      </c>
      <c r="C45" s="31">
        <v>1650</v>
      </c>
      <c r="D45" t="str">
        <f>VLOOKUP(C45,Orgenheter!$A$1:$B$214,2)</f>
        <v xml:space="preserve">Estetiska ämnen               </v>
      </c>
      <c r="E45" t="str">
        <f>VLOOKUP(C45,Orgenheter!$A$1:$C$166,3,FALSE)</f>
        <v>Hum</v>
      </c>
      <c r="F45" s="263">
        <v>0.4</v>
      </c>
      <c r="G45">
        <f>VLOOKUP(A45,'Ansvar kurs'!$A$98:$C$1072,2,FALSE)</f>
        <v>2193</v>
      </c>
      <c r="H45" t="str">
        <f>VLOOKUP(G45,Orgenheter!$A$1:$B$214,2)</f>
        <v xml:space="preserve">TUV </v>
      </c>
      <c r="I45" t="str">
        <f>VLOOKUP(G45,Orgenheter!$A$1:$C$166,3,FALSE)</f>
        <v>Sam</v>
      </c>
      <c r="J45" s="192">
        <f>IF(ISERROR(VLOOKUP(A45,'Totalt pivot'!$A$5:$C$397,2,FALSE)),0,(VLOOKUP(A45,'Totalt pivot'!$A$5:$C$397,2,FALSE)))</f>
        <v>2.25</v>
      </c>
      <c r="K45" s="192">
        <f t="shared" si="0"/>
        <v>0.9</v>
      </c>
      <c r="L45" s="192">
        <f>IF(ISERROR(VLOOKUP(A45,'Totalt pivot'!$A$5:$C$397,3,FALSE)),0,(VLOOKUP(A45,'Totalt pivot'!$A$5:$C$397,3,FALSE)))</f>
        <v>1.9124999999999999</v>
      </c>
      <c r="M45" s="192">
        <f t="shared" si="1"/>
        <v>0.76500000000000001</v>
      </c>
      <c r="N45" s="26">
        <f>VLOOKUP(A45,kurspris!$A$1:$Q$907,15)</f>
        <v>20766</v>
      </c>
      <c r="O45" s="26">
        <f>VLOOKUP(A45,kurspris!$A$1:$Q$907,16)</f>
        <v>17442</v>
      </c>
      <c r="P45" s="26">
        <f>VLOOKUP(A45,kurspris!$A$1:$Q$907,17)</f>
        <v>6000</v>
      </c>
      <c r="Q45" s="26">
        <f t="shared" si="2"/>
        <v>32032.530000000002</v>
      </c>
      <c r="R45" s="26">
        <f>(Q45*Prislapp!$R$5)*-1</f>
        <v>-2242.2771000000002</v>
      </c>
      <c r="S45" s="26">
        <f t="shared" si="3"/>
        <v>29790.252900000003</v>
      </c>
      <c r="T45" s="26">
        <f t="shared" si="4"/>
        <v>5400</v>
      </c>
    </row>
    <row r="46" spans="1:20" x14ac:dyDescent="0.25">
      <c r="A46" s="31" t="s">
        <v>595</v>
      </c>
      <c r="B46" t="str">
        <f>VLOOKUP(A46,kurspris!$A$1:$Q$907,2,FALSE)</f>
        <v>Bedömning för lärande i fritidshem (UK II)</v>
      </c>
      <c r="C46" s="31">
        <v>2180</v>
      </c>
      <c r="D46" t="str">
        <f>VLOOKUP(C46,Orgenheter!$A$1:$B$214,2)</f>
        <v xml:space="preserve">Pedagogik                     </v>
      </c>
      <c r="E46" t="str">
        <f>VLOOKUP(C46,Orgenheter!$A$1:$C$166,3,FALSE)</f>
        <v>Sam</v>
      </c>
      <c r="F46" s="263">
        <f>5/15</f>
        <v>0.33333333333333331</v>
      </c>
      <c r="G46">
        <f>VLOOKUP(A46,'Ansvar kurs'!$A$98:$C$1072,2,FALSE)</f>
        <v>2193</v>
      </c>
      <c r="H46" t="str">
        <f>VLOOKUP(G46,Orgenheter!$A$1:$B$214,2)</f>
        <v xml:space="preserve">TUV </v>
      </c>
      <c r="I46" t="str">
        <f>VLOOKUP(G46,Orgenheter!$A$1:$C$166,3,FALSE)</f>
        <v>Sam</v>
      </c>
      <c r="J46" s="192">
        <f>IF(ISERROR(VLOOKUP(A46,'Totalt pivot'!$A$5:$C$397,2,FALSE)),0,(VLOOKUP(A46,'Totalt pivot'!$A$5:$C$397,2,FALSE)))</f>
        <v>0</v>
      </c>
      <c r="K46" s="192">
        <f t="shared" si="0"/>
        <v>0</v>
      </c>
      <c r="L46" s="192">
        <f>IF(ISERROR(VLOOKUP(A46,'Totalt pivot'!$A$5:$C$397,3,FALSE)),0,(VLOOKUP(A46,'Totalt pivot'!$A$5:$C$397,3,FALSE)))</f>
        <v>0</v>
      </c>
      <c r="M46" s="192">
        <f t="shared" si="1"/>
        <v>0</v>
      </c>
      <c r="N46" s="26">
        <f>VLOOKUP(A46,kurspris!$A$1:$Q$907,15)</f>
        <v>26554</v>
      </c>
      <c r="O46" s="26">
        <f>VLOOKUP(A46,kurspris!$A$1:$Q$907,16)</f>
        <v>33465</v>
      </c>
      <c r="P46" s="26">
        <f>VLOOKUP(A46,kurspris!$A$1:$Q$907,17)</f>
        <v>6000</v>
      </c>
      <c r="Q46" s="26">
        <f t="shared" si="2"/>
        <v>0</v>
      </c>
      <c r="R46" s="26">
        <f>(Q46*Prislapp!$R$5)*-1</f>
        <v>0</v>
      </c>
      <c r="S46" s="26">
        <f t="shared" si="3"/>
        <v>0</v>
      </c>
      <c r="T46" s="26">
        <f t="shared" si="4"/>
        <v>0</v>
      </c>
    </row>
    <row r="47" spans="1:20" x14ac:dyDescent="0.25">
      <c r="A47" s="31" t="s">
        <v>822</v>
      </c>
      <c r="B47" t="e">
        <f>VLOOKUP(A47,kurspris!$A$1:$Q$907,2,FALSE)</f>
        <v>#N/A</v>
      </c>
      <c r="C47" s="31">
        <v>2193</v>
      </c>
      <c r="D47" t="str">
        <f>VLOOKUP(C47,Orgenheter!$A$1:$B$214,2)</f>
        <v xml:space="preserve">TUV </v>
      </c>
      <c r="E47" t="str">
        <f>VLOOKUP(C47,Orgenheter!$A$1:$C$166,3,FALSE)</f>
        <v>Sam</v>
      </c>
      <c r="F47" s="263">
        <f>6/15</f>
        <v>0.4</v>
      </c>
      <c r="G47" t="e">
        <f>VLOOKUP(A47,'Ansvar kurs'!$A$98:$C$1072,2,FALSE)</f>
        <v>#N/A</v>
      </c>
      <c r="H47" t="e">
        <f>VLOOKUP(G47,Orgenheter!$A$1:$B$214,2)</f>
        <v>#N/A</v>
      </c>
      <c r="I47" t="e">
        <f>VLOOKUP(G47,Orgenheter!$A$1:$C$166,3,FALSE)</f>
        <v>#N/A</v>
      </c>
      <c r="J47" s="192">
        <f>IF(ISERROR(VLOOKUP(A47,'Totalt pivot'!$A$5:$C$397,2,FALSE)),0,(VLOOKUP(A47,'Totalt pivot'!$A$5:$C$397,2,FALSE)))</f>
        <v>0</v>
      </c>
      <c r="K47" s="192">
        <f t="shared" si="0"/>
        <v>0</v>
      </c>
      <c r="L47" s="192">
        <f>IF(ISERROR(VLOOKUP(A47,'Totalt pivot'!$A$5:$C$397,3,FALSE)),0,(VLOOKUP(A47,'Totalt pivot'!$A$5:$C$397,3,FALSE)))</f>
        <v>0</v>
      </c>
      <c r="M47" s="192">
        <f t="shared" si="1"/>
        <v>0</v>
      </c>
      <c r="N47" s="26">
        <f>VLOOKUP(A47,kurspris!$A$1:$Q$907,15)</f>
        <v>20766</v>
      </c>
      <c r="O47" s="26">
        <f>VLOOKUP(A47,kurspris!$A$1:$Q$907,16)</f>
        <v>17442</v>
      </c>
      <c r="P47" s="26">
        <f>VLOOKUP(A47,kurspris!$A$1:$Q$907,17)</f>
        <v>6000</v>
      </c>
      <c r="Q47" s="26">
        <f t="shared" si="2"/>
        <v>0</v>
      </c>
      <c r="R47" s="26">
        <f>(Q47*Prislapp!$R$5)*-1</f>
        <v>0</v>
      </c>
      <c r="S47" s="26">
        <f t="shared" si="3"/>
        <v>0</v>
      </c>
      <c r="T47" s="26">
        <f t="shared" si="4"/>
        <v>0</v>
      </c>
    </row>
    <row r="48" spans="1:20" x14ac:dyDescent="0.25">
      <c r="A48" s="60" t="s">
        <v>811</v>
      </c>
      <c r="B48" t="str">
        <f>VLOOKUP(A48,kurspris!$A$1:$Q$907,2,FALSE)</f>
        <v>Bedömning för lärande för ämneslärare för åk 7-9 och gymnasium</v>
      </c>
      <c r="C48" s="31">
        <v>2193</v>
      </c>
      <c r="D48" t="str">
        <f>VLOOKUP(C48,Orgenheter!$A$1:$B$214,2)</f>
        <v xml:space="preserve">TUV </v>
      </c>
      <c r="E48" t="str">
        <f>VLOOKUP(C48,Orgenheter!$A$1:$C$166,3,FALSE)</f>
        <v>Sam</v>
      </c>
      <c r="F48" s="263">
        <f>2.5/14</f>
        <v>0.17857142857142858</v>
      </c>
      <c r="G48">
        <f>VLOOKUP(A48,'Ansvar kurs'!$A$98:$C$1072,2,FALSE)</f>
        <v>5740</v>
      </c>
      <c r="H48" t="str">
        <f>VLOOKUP(G48,Orgenheter!$A$1:$B$214,2)</f>
        <v>NMD</v>
      </c>
      <c r="I48" t="str">
        <f>VLOOKUP(G48,Orgenheter!$A$1:$C$166,3,FALSE)</f>
        <v>TekNat</v>
      </c>
      <c r="J48" s="192">
        <f>IF(ISERROR(VLOOKUP(A48,'Totalt pivot'!$A$5:$C$397,2,FALSE)),0,(VLOOKUP(A48,'Totalt pivot'!$A$5:$C$397,2,FALSE)))</f>
        <v>0</v>
      </c>
      <c r="K48" s="192">
        <f t="shared" si="0"/>
        <v>0</v>
      </c>
      <c r="L48" s="192">
        <f>IF(ISERROR(VLOOKUP(A48,'Totalt pivot'!$A$5:$C$397,3,FALSE)),0,(VLOOKUP(A48,'Totalt pivot'!$A$5:$C$397,3,FALSE)))</f>
        <v>0</v>
      </c>
      <c r="M48" s="192">
        <f t="shared" si="1"/>
        <v>0</v>
      </c>
      <c r="N48" s="26">
        <f>VLOOKUP(A48,kurspris!$A$1:$Q$907,15)</f>
        <v>26554</v>
      </c>
      <c r="O48" s="26">
        <f>VLOOKUP(A48,kurspris!$A$1:$Q$907,16)</f>
        <v>33465</v>
      </c>
      <c r="P48" s="26">
        <f>VLOOKUP(A48,kurspris!$A$1:$Q$907,17)</f>
        <v>6000</v>
      </c>
      <c r="Q48" s="26">
        <f t="shared" si="2"/>
        <v>0</v>
      </c>
      <c r="R48" s="26">
        <f>(Q48*Prislapp!$R$5)*-1</f>
        <v>0</v>
      </c>
      <c r="S48" s="26">
        <f t="shared" si="3"/>
        <v>0</v>
      </c>
      <c r="T48" s="26">
        <f t="shared" si="4"/>
        <v>0</v>
      </c>
    </row>
    <row r="49" spans="1:24" x14ac:dyDescent="0.25">
      <c r="A49" s="60" t="s">
        <v>811</v>
      </c>
      <c r="B49" t="str">
        <f>VLOOKUP(A49,kurspris!$A$1:$Q$907,2,FALSE)</f>
        <v>Bedömning för lärande för ämneslärare för åk 7-9 och gymnasium</v>
      </c>
      <c r="C49" s="31">
        <v>2180</v>
      </c>
      <c r="D49" t="str">
        <f>VLOOKUP(C49,Orgenheter!$A$1:$B$214,2)</f>
        <v xml:space="preserve">Pedagogik                     </v>
      </c>
      <c r="E49" t="str">
        <f>VLOOKUP(C49,Orgenheter!$A$1:$C$166,3,FALSE)</f>
        <v>Sam</v>
      </c>
      <c r="F49" s="263">
        <f>2.5/14</f>
        <v>0.17857142857142858</v>
      </c>
      <c r="G49">
        <f>VLOOKUP(A49,'Ansvar kurs'!$A$98:$C$1072,2,FALSE)</f>
        <v>5740</v>
      </c>
      <c r="H49" t="str">
        <f>VLOOKUP(G49,Orgenheter!$A$1:$B$214,2)</f>
        <v>NMD</v>
      </c>
      <c r="I49" t="str">
        <f>VLOOKUP(G49,Orgenheter!$A$1:$C$166,3,FALSE)</f>
        <v>TekNat</v>
      </c>
      <c r="J49" s="192">
        <f>IF(ISERROR(VLOOKUP(A49,'Totalt pivot'!$A$5:$C$397,2,FALSE)),0,(VLOOKUP(A49,'Totalt pivot'!$A$5:$C$397,2,FALSE)))</f>
        <v>0</v>
      </c>
      <c r="K49" s="192">
        <f t="shared" si="0"/>
        <v>0</v>
      </c>
      <c r="L49" s="192">
        <f>IF(ISERROR(VLOOKUP(A49,'Totalt pivot'!$A$5:$C$397,3,FALSE)),0,(VLOOKUP(A49,'Totalt pivot'!$A$5:$C$397,3,FALSE)))</f>
        <v>0</v>
      </c>
      <c r="M49" s="192">
        <f t="shared" si="1"/>
        <v>0</v>
      </c>
      <c r="N49" s="26">
        <f>VLOOKUP(A49,kurspris!$A$1:$Q$907,15)</f>
        <v>26554</v>
      </c>
      <c r="O49" s="26">
        <f>VLOOKUP(A49,kurspris!$A$1:$Q$907,16)</f>
        <v>33465</v>
      </c>
      <c r="P49" s="26">
        <f>VLOOKUP(A49,kurspris!$A$1:$Q$907,17)</f>
        <v>6000</v>
      </c>
      <c r="Q49" s="26">
        <f t="shared" si="2"/>
        <v>0</v>
      </c>
      <c r="R49" s="26">
        <f>(Q49*Prislapp!$R$5)*-1</f>
        <v>0</v>
      </c>
      <c r="S49" s="26">
        <f t="shared" si="3"/>
        <v>0</v>
      </c>
      <c r="T49" s="26">
        <f t="shared" si="4"/>
        <v>0</v>
      </c>
    </row>
    <row r="50" spans="1:24" x14ac:dyDescent="0.25">
      <c r="A50" s="60" t="s">
        <v>895</v>
      </c>
      <c r="B50" t="e">
        <f>VLOOKUP(A50,kurspris!$A$1:$Q$907,2,FALSE)</f>
        <v>#N/A</v>
      </c>
      <c r="C50" s="31">
        <v>2180</v>
      </c>
      <c r="D50" t="str">
        <f>VLOOKUP(C50,Orgenheter!$A$1:$B$214,2)</f>
        <v xml:space="preserve">Pedagogik                     </v>
      </c>
      <c r="E50" t="str">
        <f>VLOOKUP(C50,Orgenheter!$A$1:$C$166,3,FALSE)</f>
        <v>Sam</v>
      </c>
      <c r="F50" s="263">
        <f>4/10</f>
        <v>0.4</v>
      </c>
      <c r="G50" t="e">
        <f>VLOOKUP(A50,'Ansvar kurs'!$A$98:$C$1072,2,FALSE)</f>
        <v>#N/A</v>
      </c>
      <c r="H50" t="e">
        <f>VLOOKUP(G50,Orgenheter!$A$1:$B$214,2)</f>
        <v>#N/A</v>
      </c>
      <c r="I50" t="e">
        <f>VLOOKUP(G50,Orgenheter!$A$1:$C$166,3,FALSE)</f>
        <v>#N/A</v>
      </c>
      <c r="J50" s="192">
        <f>IF(ISERROR(VLOOKUP(A50,'Totalt pivot'!$A$5:$C$397,2,FALSE)),0,(VLOOKUP(A50,'Totalt pivot'!$A$5:$C$397,2,FALSE)))</f>
        <v>0</v>
      </c>
      <c r="K50" s="192">
        <f t="shared" si="0"/>
        <v>0</v>
      </c>
      <c r="L50" s="192">
        <f>IF(ISERROR(VLOOKUP(A50,'Totalt pivot'!$A$5:$C$397,3,FALSE)),0,(VLOOKUP(A50,'Totalt pivot'!$A$5:$C$397,3,FALSE)))</f>
        <v>0</v>
      </c>
      <c r="M50" s="192">
        <f>F50*L50</f>
        <v>0</v>
      </c>
      <c r="N50" s="26">
        <f>VLOOKUP(A50,kurspris!$A$1:$Q$907,15)</f>
        <v>20766</v>
      </c>
      <c r="O50" s="26">
        <f>VLOOKUP(A50,kurspris!$A$1:$Q$907,16)</f>
        <v>17442</v>
      </c>
      <c r="P50" s="26">
        <f>VLOOKUP(A50,kurspris!$A$1:$Q$907,17)</f>
        <v>6000</v>
      </c>
      <c r="Q50" s="26">
        <f>K50*N50+M50*O50</f>
        <v>0</v>
      </c>
      <c r="R50" s="26">
        <f>(Q50*Prislapp!$R$5)*-1</f>
        <v>0</v>
      </c>
      <c r="S50" s="26">
        <f>Q50+R50</f>
        <v>0</v>
      </c>
      <c r="T50" s="26">
        <f>K50*P50</f>
        <v>0</v>
      </c>
      <c r="V50" t="s">
        <v>1269</v>
      </c>
    </row>
    <row r="51" spans="1:24" x14ac:dyDescent="0.25">
      <c r="A51" s="60" t="s">
        <v>896</v>
      </c>
      <c r="B51" t="e">
        <f>VLOOKUP(A51,kurspris!$A$1:$Q$907,2,FALSE)</f>
        <v>#N/A</v>
      </c>
      <c r="C51" s="31">
        <v>2180</v>
      </c>
      <c r="D51" t="str">
        <f>VLOOKUP(C51,Orgenheter!$A$1:$B$214,2)</f>
        <v xml:space="preserve">Pedagogik                     </v>
      </c>
      <c r="E51" t="str">
        <f>VLOOKUP(C51,Orgenheter!$A$1:$C$166,3,FALSE)</f>
        <v>Sam</v>
      </c>
      <c r="F51" s="263">
        <f>2/5</f>
        <v>0.4</v>
      </c>
      <c r="G51" t="e">
        <f>VLOOKUP(A51,'Ansvar kurs'!$A$98:$C$1072,2,FALSE)</f>
        <v>#N/A</v>
      </c>
      <c r="H51" t="e">
        <f>VLOOKUP(G51,Orgenheter!$A$1:$B$214,2)</f>
        <v>#N/A</v>
      </c>
      <c r="I51" t="e">
        <f>VLOOKUP(G51,Orgenheter!$A$1:$C$166,3,FALSE)</f>
        <v>#N/A</v>
      </c>
      <c r="J51" s="192">
        <f>IF(ISERROR(VLOOKUP(A51,'Totalt pivot'!$A$5:$C$397,2,FALSE)),0,(VLOOKUP(A51,'Totalt pivot'!$A$5:$C$397,2,FALSE)))</f>
        <v>0</v>
      </c>
      <c r="K51" s="192">
        <f t="shared" si="0"/>
        <v>0</v>
      </c>
      <c r="L51" s="192">
        <f>IF(ISERROR(VLOOKUP(A51,'Totalt pivot'!$A$5:$C$397,3,FALSE)),0,(VLOOKUP(A51,'Totalt pivot'!$A$5:$C$397,3,FALSE)))</f>
        <v>0</v>
      </c>
      <c r="M51" s="192">
        <f t="shared" si="1"/>
        <v>0</v>
      </c>
      <c r="N51" s="26">
        <f>VLOOKUP(A51,kurspris!$A$1:$Q$907,15)</f>
        <v>20766</v>
      </c>
      <c r="O51" s="26">
        <f>VLOOKUP(A51,kurspris!$A$1:$Q$907,16)</f>
        <v>17442</v>
      </c>
      <c r="P51" s="26">
        <f>VLOOKUP(A51,kurspris!$A$1:$Q$907,17)</f>
        <v>6000</v>
      </c>
      <c r="Q51" s="26">
        <f t="shared" si="2"/>
        <v>0</v>
      </c>
      <c r="R51" s="26">
        <f>(Q51*Prislapp!$R$5)*-1</f>
        <v>0</v>
      </c>
      <c r="S51" s="26">
        <f t="shared" si="3"/>
        <v>0</v>
      </c>
      <c r="T51" s="26">
        <f t="shared" si="4"/>
        <v>0</v>
      </c>
      <c r="V51" s="37" t="s">
        <v>816</v>
      </c>
    </row>
    <row r="52" spans="1:24" x14ac:dyDescent="0.25">
      <c r="A52" s="60" t="s">
        <v>960</v>
      </c>
      <c r="B52" t="str">
        <f>VLOOKUP(A52,kurspris!$A$1:$Q$907,2,FALSE)</f>
        <v>Läraryrkets dimensioner för åk 4-6 (VFU III)</v>
      </c>
      <c r="C52" s="31">
        <v>1620</v>
      </c>
      <c r="D52" t="str">
        <f>VLOOKUP(C52,Orgenheter!$A$1:$B$214,2)</f>
        <v>Inst för språkstudier</v>
      </c>
      <c r="E52" t="str">
        <f>VLOOKUP(C52,Orgenheter!$A$1:$C$166,3,FALSE)</f>
        <v>Hum</v>
      </c>
      <c r="F52" s="263">
        <f>8/22.5</f>
        <v>0.35555555555555557</v>
      </c>
      <c r="G52">
        <f>VLOOKUP(A52,'Ansvar kurs'!$A$98:$C$1072,2,FALSE)</f>
        <v>5740</v>
      </c>
      <c r="H52" t="str">
        <f>VLOOKUP(G52,Orgenheter!$A$1:$B$214,2)</f>
        <v>NMD</v>
      </c>
      <c r="I52" t="str">
        <f>VLOOKUP(G52,Orgenheter!$A$1:$C$166,3,FALSE)</f>
        <v>TekNat</v>
      </c>
      <c r="J52" s="192">
        <f>IF(ISERROR(VLOOKUP(A52,'Totalt pivot'!$A$5:$C$397,2,FALSE)),0,(VLOOKUP(A52,'Totalt pivot'!$A$5:$C$397,2,FALSE)))</f>
        <v>0</v>
      </c>
      <c r="K52" s="192">
        <f t="shared" si="0"/>
        <v>0</v>
      </c>
      <c r="L52" s="192">
        <f>IF(ISERROR(VLOOKUP(A52,'Totalt pivot'!$A$5:$C$397,3,FALSE)),0,(VLOOKUP(A52,'Totalt pivot'!$A$5:$C$397,3,FALSE)))</f>
        <v>0</v>
      </c>
      <c r="M52" s="192">
        <f t="shared" si="1"/>
        <v>0</v>
      </c>
      <c r="N52" s="26">
        <f>VLOOKUP(A52,kurspris!$A$1:$Q$907,15)</f>
        <v>25235</v>
      </c>
      <c r="O52" s="26">
        <f>VLOOKUP(A52,kurspris!$A$1:$Q$907,16)</f>
        <v>27976</v>
      </c>
      <c r="P52" s="26">
        <f>VLOOKUP(A52,kurspris!$A$1:$Q$907,17)</f>
        <v>3600</v>
      </c>
      <c r="Q52" s="26">
        <f t="shared" si="2"/>
        <v>0</v>
      </c>
      <c r="R52" s="26">
        <f>(Q52*Prislapp!$R$5)*-1</f>
        <v>0</v>
      </c>
      <c r="S52" s="26">
        <f t="shared" si="3"/>
        <v>0</v>
      </c>
      <c r="T52" s="26">
        <f t="shared" si="4"/>
        <v>0</v>
      </c>
      <c r="V52" s="279" t="s">
        <v>975</v>
      </c>
      <c r="W52" s="244">
        <v>160226</v>
      </c>
      <c r="X52" s="279" t="s">
        <v>1492</v>
      </c>
    </row>
    <row r="53" spans="1:24" x14ac:dyDescent="0.25">
      <c r="A53" s="60" t="s">
        <v>960</v>
      </c>
      <c r="B53" t="str">
        <f>VLOOKUP(A53,kurspris!$A$1:$Q$907,2,FALSE)</f>
        <v>Läraryrkets dimensioner för åk 4-6 (VFU III)</v>
      </c>
      <c r="C53" s="31">
        <v>2180</v>
      </c>
      <c r="D53" t="str">
        <f>VLOOKUP(C53,Orgenheter!$A$1:$B$214,2)</f>
        <v xml:space="preserve">Pedagogik                     </v>
      </c>
      <c r="E53" t="str">
        <f>VLOOKUP(C53,Orgenheter!$A$1:$C$166,3,FALSE)</f>
        <v>Sam</v>
      </c>
      <c r="F53" s="263">
        <f>3/22.5</f>
        <v>0.13333333333333333</v>
      </c>
      <c r="G53">
        <f>VLOOKUP(A53,'Ansvar kurs'!$A$98:$C$1072,2,FALSE)</f>
        <v>5740</v>
      </c>
      <c r="H53" t="str">
        <f>VLOOKUP(G53,Orgenheter!$A$1:$B$214,2)</f>
        <v>NMD</v>
      </c>
      <c r="I53" t="str">
        <f>VLOOKUP(G53,Orgenheter!$A$1:$C$166,3,FALSE)</f>
        <v>TekNat</v>
      </c>
      <c r="J53" s="192">
        <f>IF(ISERROR(VLOOKUP(A53,'Totalt pivot'!$A$5:$C$397,2,FALSE)),0,(VLOOKUP(A53,'Totalt pivot'!$A$5:$C$397,2,FALSE)))</f>
        <v>0</v>
      </c>
      <c r="K53" s="192">
        <f t="shared" si="0"/>
        <v>0</v>
      </c>
      <c r="L53" s="192">
        <f>IF(ISERROR(VLOOKUP(A53,'Totalt pivot'!$A$5:$C$397,3,FALSE)),0,(VLOOKUP(A53,'Totalt pivot'!$A$5:$C$397,3,FALSE)))</f>
        <v>0</v>
      </c>
      <c r="M53" s="192">
        <f>F53*L53</f>
        <v>0</v>
      </c>
      <c r="N53" s="26">
        <f>VLOOKUP(A53,kurspris!$A$1:$Q$907,15)</f>
        <v>25235</v>
      </c>
      <c r="O53" s="26">
        <f>VLOOKUP(A53,kurspris!$A$1:$Q$907,16)</f>
        <v>27976</v>
      </c>
      <c r="P53" s="26">
        <f>VLOOKUP(A53,kurspris!$A$1:$Q$907,17)</f>
        <v>3600</v>
      </c>
      <c r="Q53" s="26">
        <f>K53*N53+M53*O53</f>
        <v>0</v>
      </c>
      <c r="R53" s="26">
        <f>(Q53*Prislapp!$R$5)*-1</f>
        <v>0</v>
      </c>
      <c r="S53" s="26">
        <f>Q53+R53</f>
        <v>0</v>
      </c>
      <c r="T53" s="26">
        <f>K53*P53</f>
        <v>0</v>
      </c>
      <c r="V53" s="279" t="s">
        <v>975</v>
      </c>
      <c r="W53" s="244">
        <v>160226</v>
      </c>
      <c r="X53" s="279" t="s">
        <v>1492</v>
      </c>
    </row>
    <row r="54" spans="1:24" x14ac:dyDescent="0.25">
      <c r="A54" s="60" t="s">
        <v>959</v>
      </c>
      <c r="B54" t="str">
        <f>VLOOKUP(A54,kurspris!$A$1:$Q$907,2,FALSE)</f>
        <v>Läraryrkets dimensioner för F-3 (VFU III)</v>
      </c>
      <c r="C54" s="31">
        <v>1620</v>
      </c>
      <c r="D54" t="str">
        <f>VLOOKUP(C54,Orgenheter!$A$1:$B$214,2)</f>
        <v>Inst för språkstudier</v>
      </c>
      <c r="E54" t="str">
        <f>VLOOKUP(C54,Orgenheter!$A$1:$C$166,3,FALSE)</f>
        <v>Hum</v>
      </c>
      <c r="F54" s="263">
        <f>11/22.5</f>
        <v>0.48888888888888887</v>
      </c>
      <c r="G54">
        <f>VLOOKUP(A54,'Ansvar kurs'!$A$98:$C$1072,2,FALSE)</f>
        <v>5740</v>
      </c>
      <c r="H54" t="str">
        <f>VLOOKUP(G54,Orgenheter!$A$1:$B$214,2)</f>
        <v>NMD</v>
      </c>
      <c r="I54" t="str">
        <f>VLOOKUP(G54,Orgenheter!$A$1:$C$166,3,FALSE)</f>
        <v>TekNat</v>
      </c>
      <c r="J54" s="192">
        <f>IF(ISERROR(VLOOKUP(A54,'Totalt pivot'!$A$5:$C$397,2,FALSE)),0,(VLOOKUP(A54,'Totalt pivot'!$A$5:$C$397,2,FALSE)))</f>
        <v>0</v>
      </c>
      <c r="K54" s="192">
        <f t="shared" si="0"/>
        <v>0</v>
      </c>
      <c r="L54" s="192">
        <f>IF(ISERROR(VLOOKUP(A54,'Totalt pivot'!$A$5:$C$397,3,FALSE)),0,(VLOOKUP(A54,'Totalt pivot'!$A$5:$C$397,3,FALSE)))</f>
        <v>0</v>
      </c>
      <c r="M54" s="192">
        <f t="shared" si="1"/>
        <v>0</v>
      </c>
      <c r="N54" s="26">
        <f>VLOOKUP(A54,kurspris!$A$1:$Q$907,15)</f>
        <v>25235</v>
      </c>
      <c r="O54" s="26">
        <f>VLOOKUP(A54,kurspris!$A$1:$Q$907,16)</f>
        <v>27976</v>
      </c>
      <c r="P54" s="26">
        <f>VLOOKUP(A54,kurspris!$A$1:$Q$907,17)</f>
        <v>3600</v>
      </c>
      <c r="Q54" s="26">
        <f t="shared" si="2"/>
        <v>0</v>
      </c>
      <c r="R54" s="26">
        <f>(Q54*Prislapp!$R$5)*-1</f>
        <v>0</v>
      </c>
      <c r="S54" s="26">
        <f t="shared" si="3"/>
        <v>0</v>
      </c>
      <c r="T54" s="26">
        <f t="shared" si="4"/>
        <v>0</v>
      </c>
      <c r="V54" s="279" t="s">
        <v>975</v>
      </c>
      <c r="W54" s="244">
        <v>160226</v>
      </c>
      <c r="X54" s="279" t="s">
        <v>1492</v>
      </c>
    </row>
    <row r="55" spans="1:24" x14ac:dyDescent="0.25">
      <c r="A55" s="60" t="s">
        <v>954</v>
      </c>
      <c r="B55" t="str">
        <f>VLOOKUP(A55,kurspris!$A$1:$Q$907,2,FALSE)</f>
        <v>Verksamhetsförlagd utbildning för yrkeslärare</v>
      </c>
      <c r="C55" s="31">
        <v>2193</v>
      </c>
      <c r="D55" t="str">
        <f>VLOOKUP(C55,Orgenheter!$A$1:$B$214,2)</f>
        <v xml:space="preserve">TUV </v>
      </c>
      <c r="E55" t="str">
        <f>VLOOKUP(C55,Orgenheter!$A$1:$C$166,3,FALSE)</f>
        <v>Sam</v>
      </c>
      <c r="F55" s="263">
        <f>15/30</f>
        <v>0.5</v>
      </c>
      <c r="G55">
        <f>VLOOKUP(A55,'Ansvar kurs'!$A$98:$C$1072,2,FALSE)</f>
        <v>2180</v>
      </c>
      <c r="H55" t="str">
        <f>VLOOKUP(G55,Orgenheter!$A$1:$B$214,2)</f>
        <v xml:space="preserve">Pedagogik                     </v>
      </c>
      <c r="I55" t="str">
        <f>VLOOKUP(G55,Orgenheter!$A$1:$C$166,3,FALSE)</f>
        <v>Sam</v>
      </c>
      <c r="J55" s="192">
        <f>IF(ISERROR(VLOOKUP(A55,'Totalt pivot'!$A$5:$C$397,2,FALSE)),0,(VLOOKUP(A55,'Totalt pivot'!$A$5:$C$397,2,FALSE)))</f>
        <v>0</v>
      </c>
      <c r="K55" s="192">
        <f t="shared" si="0"/>
        <v>0</v>
      </c>
      <c r="L55" s="192">
        <f>IF(ISERROR(VLOOKUP(A55,'Totalt pivot'!$A$5:$C$397,3,FALSE)),0,(VLOOKUP(A55,'Totalt pivot'!$A$5:$C$397,3,FALSE)))</f>
        <v>0</v>
      </c>
      <c r="M55" s="192">
        <f>F55*L55</f>
        <v>0</v>
      </c>
      <c r="N55" s="26">
        <f>VLOOKUP(A55,kurspris!$A$1:$Q$907,15)</f>
        <v>25235</v>
      </c>
      <c r="O55" s="26">
        <f>VLOOKUP(A55,kurspris!$A$1:$Q$907,16)</f>
        <v>27976</v>
      </c>
      <c r="P55" s="26">
        <f>VLOOKUP(A55,kurspris!$A$1:$Q$907,17)</f>
        <v>3600</v>
      </c>
      <c r="Q55" s="26">
        <f>K55*N55+M55*O55</f>
        <v>0</v>
      </c>
      <c r="R55" s="26">
        <f>(Q55*Prislapp!$R$5)*-1</f>
        <v>0</v>
      </c>
      <c r="S55" s="26">
        <f>Q55+R55</f>
        <v>0</v>
      </c>
      <c r="T55" s="26">
        <f>K55*P55</f>
        <v>0</v>
      </c>
      <c r="V55" t="s">
        <v>1269</v>
      </c>
    </row>
    <row r="56" spans="1:24" x14ac:dyDescent="0.25">
      <c r="A56" s="60" t="s">
        <v>973</v>
      </c>
      <c r="B56" t="str">
        <f>VLOOKUP(A56,kurspris!$A$1:$Q$907,2,FALSE)</f>
        <v>Kunskap undervisning och lärande II</v>
      </c>
      <c r="C56" s="31">
        <v>1650</v>
      </c>
      <c r="D56" t="str">
        <f>VLOOKUP(C56,Orgenheter!$A$1:$B$214,2)</f>
        <v xml:space="preserve">Estetiska ämnen               </v>
      </c>
      <c r="E56" t="str">
        <f>VLOOKUP(C56,Orgenheter!$A$1:$C$166,3,FALSE)</f>
        <v>Hum</v>
      </c>
      <c r="F56" s="263">
        <f>4/15</f>
        <v>0.26666666666666666</v>
      </c>
      <c r="G56">
        <f>VLOOKUP(A56,'Ansvar kurs'!$A$98:$C$1072,2,FALSE)</f>
        <v>5740</v>
      </c>
      <c r="H56" t="str">
        <f>VLOOKUP(G56,Orgenheter!$A$1:$B$214,2)</f>
        <v>NMD</v>
      </c>
      <c r="I56" t="str">
        <f>VLOOKUP(G56,Orgenheter!$A$1:$C$166,3,FALSE)</f>
        <v>TekNat</v>
      </c>
      <c r="J56" s="192">
        <f>IF(ISERROR(VLOOKUP(A56,'Totalt pivot'!$A$5:$C$397,2,FALSE)),0,(VLOOKUP(A56,'Totalt pivot'!$A$5:$C$397,2,FALSE)))</f>
        <v>0</v>
      </c>
      <c r="K56" s="192">
        <f t="shared" si="0"/>
        <v>0</v>
      </c>
      <c r="L56" s="192">
        <f>IF(ISERROR(VLOOKUP(A56,'Totalt pivot'!$A$5:$C$397,3,FALSE)),0,(VLOOKUP(A56,'Totalt pivot'!$A$5:$C$397,3,FALSE)))</f>
        <v>0</v>
      </c>
      <c r="M56" s="192">
        <f t="shared" si="1"/>
        <v>0</v>
      </c>
      <c r="N56" s="26">
        <f>VLOOKUP(A56,kurspris!$A$1:$Q$907,15)</f>
        <v>26554</v>
      </c>
      <c r="O56" s="26">
        <f>VLOOKUP(A56,kurspris!$A$1:$Q$907,16)</f>
        <v>33465</v>
      </c>
      <c r="P56" s="26">
        <f>VLOOKUP(A56,kurspris!$A$1:$Q$907,17)</f>
        <v>6000</v>
      </c>
      <c r="Q56" s="26">
        <f t="shared" si="2"/>
        <v>0</v>
      </c>
      <c r="R56" s="26">
        <f>(Q56*Prislapp!$R$5)*-1</f>
        <v>0</v>
      </c>
      <c r="S56" s="26">
        <f t="shared" si="3"/>
        <v>0</v>
      </c>
      <c r="T56" s="26">
        <f t="shared" si="4"/>
        <v>0</v>
      </c>
      <c r="V56" s="37" t="s">
        <v>975</v>
      </c>
      <c r="W56">
        <v>140310</v>
      </c>
      <c r="X56" t="s">
        <v>974</v>
      </c>
    </row>
    <row r="57" spans="1:24" x14ac:dyDescent="0.25">
      <c r="A57" s="60" t="s">
        <v>973</v>
      </c>
      <c r="B57" t="str">
        <f>VLOOKUP(A57,kurspris!$A$1:$Q$907,2,FALSE)</f>
        <v>Kunskap undervisning och lärande II</v>
      </c>
      <c r="C57" s="31">
        <v>2193</v>
      </c>
      <c r="D57" t="str">
        <f>VLOOKUP(C57,Orgenheter!$A$1:$B$214,2)</f>
        <v xml:space="preserve">TUV </v>
      </c>
      <c r="E57" t="str">
        <f>VLOOKUP(C57,Orgenheter!$A$1:$C$166,3,FALSE)</f>
        <v>Sam</v>
      </c>
      <c r="F57" s="263">
        <f>3/15</f>
        <v>0.2</v>
      </c>
      <c r="G57">
        <f>VLOOKUP(A57,'Ansvar kurs'!$A$98:$C$1072,2,FALSE)</f>
        <v>5740</v>
      </c>
      <c r="H57" t="str">
        <f>VLOOKUP(G57,Orgenheter!$A$1:$B$214,2)</f>
        <v>NMD</v>
      </c>
      <c r="I57" t="str">
        <f>VLOOKUP(G57,Orgenheter!$A$1:$C$166,3,FALSE)</f>
        <v>TekNat</v>
      </c>
      <c r="J57" s="192">
        <f>IF(ISERROR(VLOOKUP(A57,'Totalt pivot'!$A$5:$C$397,2,FALSE)),0,(VLOOKUP(A57,'Totalt pivot'!$A$5:$C$397,2,FALSE)))</f>
        <v>0</v>
      </c>
      <c r="K57" s="192">
        <f t="shared" si="0"/>
        <v>0</v>
      </c>
      <c r="L57" s="192">
        <f>IF(ISERROR(VLOOKUP(A57,'Totalt pivot'!$A$5:$C$397,3,FALSE)),0,(VLOOKUP(A57,'Totalt pivot'!$A$5:$C$397,3,FALSE)))</f>
        <v>0</v>
      </c>
      <c r="M57" s="192">
        <f t="shared" si="1"/>
        <v>0</v>
      </c>
      <c r="N57" s="26">
        <f>VLOOKUP(A57,kurspris!$A$1:$Q$907,15)</f>
        <v>26554</v>
      </c>
      <c r="O57" s="26">
        <f>VLOOKUP(A57,kurspris!$A$1:$Q$907,16)</f>
        <v>33465</v>
      </c>
      <c r="P57" s="26">
        <f>VLOOKUP(A57,kurspris!$A$1:$Q$907,17)</f>
        <v>6000</v>
      </c>
      <c r="Q57" s="26">
        <f t="shared" si="2"/>
        <v>0</v>
      </c>
      <c r="R57" s="26">
        <f>(Q57*Prislapp!$R$5)*-1</f>
        <v>0</v>
      </c>
      <c r="S57" s="26">
        <f t="shared" si="3"/>
        <v>0</v>
      </c>
      <c r="T57" s="26">
        <f t="shared" si="4"/>
        <v>0</v>
      </c>
      <c r="V57" s="37" t="s">
        <v>975</v>
      </c>
      <c r="W57">
        <v>140310</v>
      </c>
      <c r="X57" t="s">
        <v>974</v>
      </c>
    </row>
    <row r="58" spans="1:24" x14ac:dyDescent="0.25">
      <c r="A58" s="60" t="s">
        <v>973</v>
      </c>
      <c r="B58" t="str">
        <f>VLOOKUP(A58,kurspris!$A$1:$Q$907,2,FALSE)</f>
        <v>Kunskap undervisning och lärande II</v>
      </c>
      <c r="C58" s="31">
        <v>2180</v>
      </c>
      <c r="D58" t="str">
        <f>VLOOKUP(C58,Orgenheter!$A$1:$B$214,2)</f>
        <v xml:space="preserve">Pedagogik                     </v>
      </c>
      <c r="E58" t="str">
        <f>VLOOKUP(C58,Orgenheter!$A$1:$C$166,3,FALSE)</f>
        <v>Sam</v>
      </c>
      <c r="F58" s="263">
        <f>3/15</f>
        <v>0.2</v>
      </c>
      <c r="G58">
        <f>VLOOKUP(A58,'Ansvar kurs'!$A$98:$C$1072,2,FALSE)</f>
        <v>5740</v>
      </c>
      <c r="H58" t="str">
        <f>VLOOKUP(G58,Orgenheter!$A$1:$B$214,2)</f>
        <v>NMD</v>
      </c>
      <c r="I58" t="str">
        <f>VLOOKUP(G58,Orgenheter!$A$1:$C$166,3,FALSE)</f>
        <v>TekNat</v>
      </c>
      <c r="J58" s="192">
        <f>IF(ISERROR(VLOOKUP(A58,'Totalt pivot'!$A$5:$C$397,2,FALSE)),0,(VLOOKUP(A58,'Totalt pivot'!$A$5:$C$397,2,FALSE)))</f>
        <v>0</v>
      </c>
      <c r="K58" s="192">
        <f t="shared" si="0"/>
        <v>0</v>
      </c>
      <c r="L58" s="192">
        <f>IF(ISERROR(VLOOKUP(A58,'Totalt pivot'!$A$5:$C$397,3,FALSE)),0,(VLOOKUP(A58,'Totalt pivot'!$A$5:$C$397,3,FALSE)))</f>
        <v>0</v>
      </c>
      <c r="M58" s="192">
        <f t="shared" si="1"/>
        <v>0</v>
      </c>
      <c r="N58" s="26">
        <f>VLOOKUP(A58,kurspris!$A$1:$Q$907,15)</f>
        <v>26554</v>
      </c>
      <c r="O58" s="26">
        <f>VLOOKUP(A58,kurspris!$A$1:$Q$907,16)</f>
        <v>33465</v>
      </c>
      <c r="P58" s="26">
        <f>VLOOKUP(A58,kurspris!$A$1:$Q$907,17)</f>
        <v>6000</v>
      </c>
      <c r="Q58" s="26">
        <f t="shared" si="2"/>
        <v>0</v>
      </c>
      <c r="R58" s="26">
        <f>(Q58*Prislapp!$R$5)*-1</f>
        <v>0</v>
      </c>
      <c r="S58" s="26">
        <f t="shared" si="3"/>
        <v>0</v>
      </c>
      <c r="T58" s="26">
        <f t="shared" si="4"/>
        <v>0</v>
      </c>
      <c r="V58" s="37" t="s">
        <v>975</v>
      </c>
      <c r="W58">
        <v>140310</v>
      </c>
      <c r="X58" t="s">
        <v>974</v>
      </c>
    </row>
    <row r="59" spans="1:24" x14ac:dyDescent="0.25">
      <c r="A59" s="57" t="s">
        <v>1122</v>
      </c>
      <c r="B59" t="str">
        <f>VLOOKUP(A59,kurspris!$A$1:$Q$907,2,FALSE)</f>
        <v>Förskollärare som profession</v>
      </c>
      <c r="C59" s="31">
        <v>2300</v>
      </c>
      <c r="D59" t="str">
        <f>VLOOKUP(C59,Orgenheter!$A$1:$B$214,2)</f>
        <v xml:space="preserve">Juridiska institutionen       </v>
      </c>
      <c r="E59" t="str">
        <f>VLOOKUP(C59,Orgenheter!$A$1:$C$166,3,FALSE)</f>
        <v>Sam</v>
      </c>
      <c r="F59" s="262">
        <f>1.5/6</f>
        <v>0.25</v>
      </c>
      <c r="G59">
        <f>VLOOKUP(A59,'Ansvar kurs'!$A$98:$C$1072,2,FALSE)</f>
        <v>2193</v>
      </c>
      <c r="H59" t="str">
        <f>VLOOKUP(G59,Orgenheter!$A$1:$B$214,2)</f>
        <v xml:space="preserve">TUV </v>
      </c>
      <c r="I59" t="str">
        <f>VLOOKUP(G59,Orgenheter!$A$1:$C$166,3,FALSE)</f>
        <v>Sam</v>
      </c>
      <c r="J59" s="192">
        <f>IF(ISERROR(VLOOKUP(A59,'Totalt pivot'!$A$5:$C$397,2,FALSE)),0,(VLOOKUP(A59,'Totalt pivot'!$A$5:$C$397,2,FALSE)))</f>
        <v>8.8000000000000007</v>
      </c>
      <c r="K59" s="192">
        <f t="shared" si="0"/>
        <v>2.2000000000000002</v>
      </c>
      <c r="L59" s="192">
        <f>IF(ISERROR(VLOOKUP(A59,'Totalt pivot'!$A$5:$C$397,3,FALSE)),0,(VLOOKUP(A59,'Totalt pivot'!$A$5:$C$397,3,FALSE)))</f>
        <v>7.48</v>
      </c>
      <c r="M59" s="192">
        <f t="shared" si="1"/>
        <v>1.87</v>
      </c>
      <c r="N59" s="26">
        <f>VLOOKUP(A59,kurspris!$A$1:$Q$907,15)</f>
        <v>26554</v>
      </c>
      <c r="O59" s="26">
        <f>VLOOKUP(A59,kurspris!$A$1:$Q$907,16)</f>
        <v>33465</v>
      </c>
      <c r="P59" s="26">
        <f>VLOOKUP(A59,kurspris!$A$1:$Q$907,17)</f>
        <v>6000</v>
      </c>
      <c r="Q59" s="26">
        <f t="shared" si="2"/>
        <v>120998.35</v>
      </c>
      <c r="R59" s="26">
        <f>(Q59*Prislapp!$R$5)*-1</f>
        <v>-8469.8845000000019</v>
      </c>
      <c r="S59" s="26">
        <f t="shared" si="3"/>
        <v>112528.46550000001</v>
      </c>
      <c r="T59" s="26">
        <f t="shared" si="4"/>
        <v>13200.000000000002</v>
      </c>
      <c r="V59" t="s">
        <v>1112</v>
      </c>
    </row>
    <row r="60" spans="1:24" x14ac:dyDescent="0.25">
      <c r="A60" s="60" t="s">
        <v>1254</v>
      </c>
      <c r="B60" t="str">
        <f>VLOOKUP(A60,kurspris!$A$1:$Q$907,2,FALSE)</f>
        <v>Ämneslärare som profession</v>
      </c>
      <c r="C60" s="31">
        <v>2300</v>
      </c>
      <c r="D60" t="str">
        <f>VLOOKUP(C60,Orgenheter!$A$1:$B$214,2)</f>
        <v xml:space="preserve">Juridiska institutionen       </v>
      </c>
      <c r="E60" t="str">
        <f>VLOOKUP(C60,Orgenheter!$A$1:$C$166,3,FALSE)</f>
        <v>Sam</v>
      </c>
      <c r="F60" s="262">
        <f>1.5/6</f>
        <v>0.25</v>
      </c>
      <c r="G60">
        <f>VLOOKUP(A60,'Ansvar kurs'!$A$98:$C$1072,2,FALSE)</f>
        <v>2180</v>
      </c>
      <c r="H60" t="str">
        <f>VLOOKUP(G60,Orgenheter!$A$1:$B$214,2)</f>
        <v xml:space="preserve">Pedagogik                     </v>
      </c>
      <c r="I60" t="str">
        <f>VLOOKUP(G60,Orgenheter!$A$1:$C$166,3,FALSE)</f>
        <v>Sam</v>
      </c>
      <c r="J60" s="192">
        <f>IF(ISERROR(VLOOKUP(A60,'Totalt pivot'!$A$5:$C$397,2,FALSE)),0,(VLOOKUP(A60,'Totalt pivot'!$A$5:$C$397,2,FALSE)))</f>
        <v>15</v>
      </c>
      <c r="K60" s="192">
        <f t="shared" si="0"/>
        <v>3.75</v>
      </c>
      <c r="L60" s="192">
        <f>IF(ISERROR(VLOOKUP(A60,'Totalt pivot'!$A$5:$C$397,3,FALSE)),0,(VLOOKUP(A60,'Totalt pivot'!$A$5:$C$397,3,FALSE)))</f>
        <v>12.75</v>
      </c>
      <c r="M60" s="192">
        <f t="shared" si="1"/>
        <v>3.1875</v>
      </c>
      <c r="N60" s="26">
        <f>VLOOKUP(A60,kurspris!$A$1:$Q$907,15)</f>
        <v>26554</v>
      </c>
      <c r="O60" s="26">
        <f>VLOOKUP(A60,kurspris!$A$1:$Q$907,16)</f>
        <v>33465</v>
      </c>
      <c r="P60" s="26">
        <f>VLOOKUP(A60,kurspris!$A$1:$Q$907,17)</f>
        <v>6000</v>
      </c>
      <c r="Q60" s="26">
        <f t="shared" si="2"/>
        <v>206247.1875</v>
      </c>
      <c r="R60" s="26">
        <f>(Q60*Prislapp!$R$5)*-1</f>
        <v>-14437.303125000002</v>
      </c>
      <c r="S60" s="26">
        <f t="shared" si="3"/>
        <v>191809.88437499999</v>
      </c>
      <c r="T60" s="26">
        <f t="shared" si="4"/>
        <v>22500</v>
      </c>
      <c r="V60" t="s">
        <v>1112</v>
      </c>
    </row>
    <row r="61" spans="1:24" x14ac:dyDescent="0.25">
      <c r="A61" s="60" t="s">
        <v>1252</v>
      </c>
      <c r="B61" t="str">
        <f>VLOOKUP(A61,kurspris!$A$1:$Q$907,2,FALSE)</f>
        <v>Lärande och undervisning</v>
      </c>
      <c r="C61" s="31">
        <v>2200</v>
      </c>
      <c r="D61" t="str">
        <f>VLOOKUP(C61,Orgenheter!$A$1:$B$214,2)</f>
        <v xml:space="preserve">Inst för psykologi            </v>
      </c>
      <c r="E61" t="str">
        <f>VLOOKUP(C61,Orgenheter!$A$1:$C$166,3,FALSE)</f>
        <v>Sam</v>
      </c>
      <c r="F61" s="262">
        <f>3/7.5</f>
        <v>0.4</v>
      </c>
      <c r="G61">
        <f>VLOOKUP(A61,'Ansvar kurs'!$A$98:$C$1072,2,FALSE)</f>
        <v>2180</v>
      </c>
      <c r="H61" t="str">
        <f>VLOOKUP(G61,Orgenheter!$A$1:$B$214,2)</f>
        <v xml:space="preserve">Pedagogik                     </v>
      </c>
      <c r="I61" t="str">
        <f>VLOOKUP(G61,Orgenheter!$A$1:$C$166,3,FALSE)</f>
        <v>Sam</v>
      </c>
      <c r="J61" s="192">
        <f>IF(ISERROR(VLOOKUP(A61,'Totalt pivot'!$A$5:$C$397,2,FALSE)),0,(VLOOKUP(A61,'Totalt pivot'!$A$5:$C$397,2,FALSE)))</f>
        <v>43.524999999999999</v>
      </c>
      <c r="K61" s="192">
        <f t="shared" si="0"/>
        <v>17.41</v>
      </c>
      <c r="L61" s="192">
        <f>IF(ISERROR(VLOOKUP(A61,'Totalt pivot'!$A$5:$C$397,3,FALSE)),0,(VLOOKUP(A61,'Totalt pivot'!$A$5:$C$397,3,FALSE)))</f>
        <v>36.996249999999996</v>
      </c>
      <c r="M61" s="192">
        <f t="shared" si="1"/>
        <v>14.798499999999999</v>
      </c>
      <c r="N61" s="26">
        <f>VLOOKUP(A61,kurspris!$A$1:$Q$907,15)</f>
        <v>26554</v>
      </c>
      <c r="O61" s="26">
        <f>VLOOKUP(A61,kurspris!$A$1:$Q$907,16)</f>
        <v>33465</v>
      </c>
      <c r="P61" s="26">
        <f>VLOOKUP(A61,kurspris!$A$1:$Q$907,17)</f>
        <v>6000</v>
      </c>
      <c r="Q61" s="26">
        <f t="shared" si="2"/>
        <v>957536.9425</v>
      </c>
      <c r="R61" s="26">
        <f>(Q61*Prislapp!$R$5)*-1</f>
        <v>-67027.585975000009</v>
      </c>
      <c r="S61" s="26">
        <f t="shared" si="3"/>
        <v>890509.35652499995</v>
      </c>
      <c r="T61" s="26">
        <f t="shared" si="4"/>
        <v>104460</v>
      </c>
      <c r="V61" t="s">
        <v>1112</v>
      </c>
    </row>
    <row r="62" spans="1:24" x14ac:dyDescent="0.25">
      <c r="A62" s="31" t="s">
        <v>1407</v>
      </c>
      <c r="B62" t="str">
        <f>VLOOKUP(A62,kurspris!$A$1:$Q$907,2,FALSE)</f>
        <v>Barns lärande och omsorg</v>
      </c>
      <c r="C62" s="31">
        <v>2180</v>
      </c>
      <c r="D62" t="str">
        <f>VLOOKUP(C62,Orgenheter!$A$1:$B$214,2)</f>
        <v xml:space="preserve">Pedagogik                     </v>
      </c>
      <c r="E62" t="str">
        <f>VLOOKUP(C62,Orgenheter!$A$1:$C$166,3,FALSE)</f>
        <v>Sam</v>
      </c>
      <c r="F62" s="262">
        <f>3/15</f>
        <v>0.2</v>
      </c>
      <c r="G62">
        <f>VLOOKUP(A62,'Ansvar kurs'!$A$98:$C$1072,2,FALSE)</f>
        <v>2193</v>
      </c>
      <c r="H62" t="str">
        <f>VLOOKUP(G62,Orgenheter!$A$1:$B$214,2)</f>
        <v xml:space="preserve">TUV </v>
      </c>
      <c r="I62" t="str">
        <f>VLOOKUP(G62,Orgenheter!$A$1:$C$166,3,FALSE)</f>
        <v>Sam</v>
      </c>
      <c r="J62" s="192">
        <f>IF(ISERROR(VLOOKUP(A62,'Totalt pivot'!$A$5:$C$397,2,FALSE)),0,(VLOOKUP(A62,'Totalt pivot'!$A$5:$C$397,2,FALSE)))</f>
        <v>17.75</v>
      </c>
      <c r="K62" s="192">
        <f t="shared" si="0"/>
        <v>3.5500000000000003</v>
      </c>
      <c r="L62" s="192">
        <f>IF(ISERROR(VLOOKUP(A62,'Totalt pivot'!$A$5:$C$397,3,FALSE)),0,(VLOOKUP(A62,'Totalt pivot'!$A$5:$C$397,3,FALSE)))</f>
        <v>15.087499999999999</v>
      </c>
      <c r="M62" s="192">
        <f t="shared" si="1"/>
        <v>3.0175000000000001</v>
      </c>
      <c r="N62" s="26">
        <f>VLOOKUP(A62,kurspris!$A$1:$Q$907,15)</f>
        <v>20766</v>
      </c>
      <c r="O62" s="26">
        <f>VLOOKUP(A62,kurspris!$A$1:$Q$907,16)</f>
        <v>17442</v>
      </c>
      <c r="P62" s="26">
        <f>VLOOKUP(A62,kurspris!$A$1:$Q$907,17)</f>
        <v>6000</v>
      </c>
      <c r="Q62" s="26">
        <f t="shared" si="2"/>
        <v>126350.535</v>
      </c>
      <c r="R62" s="26">
        <f>(Q62*Prislapp!$R$5)*-1</f>
        <v>-8844.5374500000016</v>
      </c>
      <c r="S62" s="26">
        <f t="shared" si="3"/>
        <v>117505.99755</v>
      </c>
      <c r="T62" s="26">
        <f t="shared" si="4"/>
        <v>21300</v>
      </c>
    </row>
    <row r="63" spans="1:24" x14ac:dyDescent="0.25">
      <c r="A63" s="31" t="s">
        <v>1444</v>
      </c>
      <c r="B63" t="str">
        <f>VLOOKUP(A63,kurspris!$A$1:$Q$907,2,FALSE)</f>
        <v>Verksamhetsförlagd utbildning för yrkeslärare (VFU)</v>
      </c>
      <c r="C63" s="31">
        <v>2193</v>
      </c>
      <c r="D63" t="str">
        <f>VLOOKUP(C63,Orgenheter!$A$1:$B$214,2)</f>
        <v xml:space="preserve">TUV </v>
      </c>
      <c r="E63" t="str">
        <f>VLOOKUP(C63,Orgenheter!$A$1:$C$166,3,FALSE)</f>
        <v>Sam</v>
      </c>
      <c r="F63" s="262">
        <f>15/30</f>
        <v>0.5</v>
      </c>
      <c r="G63">
        <f>VLOOKUP(A63,'Ansvar kurs'!$A$98:$C$1072,2,FALSE)</f>
        <v>2180</v>
      </c>
      <c r="H63" t="str">
        <f>VLOOKUP(G63,Orgenheter!$A$1:$B$214,2)</f>
        <v xml:space="preserve">Pedagogik                     </v>
      </c>
      <c r="I63" t="str">
        <f>VLOOKUP(G63,Orgenheter!$A$1:$C$166,3,FALSE)</f>
        <v>Sam</v>
      </c>
      <c r="J63" s="192">
        <f>IF(ISERROR(VLOOKUP(A63,'Totalt pivot'!$A$5:$C$397,2,FALSE)),0,(VLOOKUP(A63,'Totalt pivot'!$A$5:$C$397,2,FALSE)))</f>
        <v>0</v>
      </c>
      <c r="K63" s="192">
        <f t="shared" si="0"/>
        <v>0</v>
      </c>
      <c r="L63" s="192">
        <f>IF(ISERROR(VLOOKUP(A63,'Totalt pivot'!$A$5:$C$397,3,FALSE)),0,(VLOOKUP(A63,'Totalt pivot'!$A$5:$C$397,3,FALSE)))</f>
        <v>0</v>
      </c>
      <c r="M63" s="192">
        <f t="shared" si="1"/>
        <v>0</v>
      </c>
      <c r="N63" s="26">
        <f>VLOOKUP(A63,kurspris!$A$1:$Q$907,15)</f>
        <v>25235</v>
      </c>
      <c r="O63" s="26">
        <f>VLOOKUP(A63,kurspris!$A$1:$Q$907,16)</f>
        <v>27976</v>
      </c>
      <c r="P63" s="26">
        <f>VLOOKUP(A63,kurspris!$A$1:$Q$907,17)</f>
        <v>3600</v>
      </c>
      <c r="Q63" s="26">
        <f t="shared" si="2"/>
        <v>0</v>
      </c>
      <c r="R63" s="26">
        <f>(Q63*Prislapp!$R$5)*-1</f>
        <v>0</v>
      </c>
      <c r="S63" s="26">
        <f t="shared" si="3"/>
        <v>0</v>
      </c>
      <c r="T63" s="26">
        <f t="shared" si="4"/>
        <v>0</v>
      </c>
      <c r="V63" t="s">
        <v>1862</v>
      </c>
    </row>
    <row r="64" spans="1:24" x14ac:dyDescent="0.25">
      <c r="A64" s="31" t="s">
        <v>1489</v>
      </c>
      <c r="B64" t="str">
        <f>VLOOKUP(A64,kurspris!$A$1:$Q$907,2,FALSE)</f>
        <v>Vetenskap och kunskap (UK)</v>
      </c>
      <c r="C64" s="31">
        <v>1630</v>
      </c>
      <c r="D64" t="str">
        <f>VLOOKUP(C64,Orgenheter!$A$1:$B$214,2)</f>
        <v>Inst för ide- o samhällsstudier</v>
      </c>
      <c r="E64" t="str">
        <f>VLOOKUP(C64,Orgenheter!$A$1:$C$166,3,FALSE)</f>
        <v>Hum</v>
      </c>
      <c r="F64" s="262">
        <f>2.5/7.5</f>
        <v>0.33333333333333331</v>
      </c>
      <c r="G64">
        <f>VLOOKUP(A64,'Ansvar kurs'!$A$98:$C$1072,2,FALSE)</f>
        <v>5740</v>
      </c>
      <c r="H64" t="str">
        <f>VLOOKUP(G64,Orgenheter!$A$1:$B$214,2)</f>
        <v>NMD</v>
      </c>
      <c r="I64" t="str">
        <f>VLOOKUP(G64,Orgenheter!$A$1:$C$166,3,FALSE)</f>
        <v>TekNat</v>
      </c>
      <c r="J64" s="192">
        <f>IF(ISERROR(VLOOKUP(A64,'Totalt pivot'!$A$5:$C$397,2,FALSE)),0,(VLOOKUP(A64,'Totalt pivot'!$A$5:$C$397,2,FALSE)))</f>
        <v>0</v>
      </c>
      <c r="K64" s="192">
        <f t="shared" si="0"/>
        <v>0</v>
      </c>
      <c r="L64" s="192">
        <f>IF(ISERROR(VLOOKUP(A64,'Totalt pivot'!$A$5:$C$397,3,FALSE)),0,(VLOOKUP(A64,'Totalt pivot'!$A$5:$C$397,3,FALSE)))</f>
        <v>0</v>
      </c>
      <c r="M64" s="192">
        <f t="shared" si="1"/>
        <v>0</v>
      </c>
      <c r="N64" s="26">
        <f>VLOOKUP(A64,kurspris!$A$1:$Q$907,15)</f>
        <v>26554</v>
      </c>
      <c r="O64" s="26">
        <f>VLOOKUP(A64,kurspris!$A$1:$Q$907,16)</f>
        <v>33465</v>
      </c>
      <c r="P64" s="26">
        <f>VLOOKUP(A64,kurspris!$A$1:$Q$907,17)</f>
        <v>6000</v>
      </c>
      <c r="Q64" s="26">
        <f t="shared" si="2"/>
        <v>0</v>
      </c>
      <c r="R64" s="26">
        <f>(Q64*Prislapp!$R$5)*-1</f>
        <v>0</v>
      </c>
      <c r="S64" s="26">
        <f t="shared" si="3"/>
        <v>0</v>
      </c>
      <c r="T64" s="26">
        <f t="shared" si="4"/>
        <v>0</v>
      </c>
    </row>
    <row r="65" spans="1:22" x14ac:dyDescent="0.25">
      <c r="A65" s="31" t="s">
        <v>1502</v>
      </c>
      <c r="B65" t="str">
        <f>VLOOKUP(A65,kurspris!$A$1:$Q$907,2,FALSE)</f>
        <v>Bedömning (UK)</v>
      </c>
      <c r="C65" s="31">
        <v>2193</v>
      </c>
      <c r="D65" t="str">
        <f>VLOOKUP(C65,Orgenheter!$A$1:$B$214,2)</f>
        <v xml:space="preserve">TUV </v>
      </c>
      <c r="E65" t="str">
        <f>VLOOKUP(C65,Orgenheter!$A$1:$C$166,3,FALSE)</f>
        <v>Sam</v>
      </c>
      <c r="F65" s="262">
        <f>2/7.5</f>
        <v>0.26666666666666666</v>
      </c>
      <c r="G65">
        <f>VLOOKUP(A65,'Ansvar kurs'!$A$98:$C$1072,2,FALSE)</f>
        <v>5740</v>
      </c>
      <c r="H65" t="str">
        <f>VLOOKUP(G65,Orgenheter!$A$1:$B$214,2)</f>
        <v>NMD</v>
      </c>
      <c r="I65" t="str">
        <f>VLOOKUP(G65,Orgenheter!$A$1:$C$166,3,FALSE)</f>
        <v>TekNat</v>
      </c>
      <c r="J65" s="192">
        <f>IF(ISERROR(VLOOKUP(A65,'Totalt pivot'!$A$5:$C$397,2,FALSE)),0,(VLOOKUP(A65,'Totalt pivot'!$A$5:$C$397,2,FALSE)))</f>
        <v>0</v>
      </c>
      <c r="K65" s="192">
        <f t="shared" si="0"/>
        <v>0</v>
      </c>
      <c r="L65" s="192">
        <f>IF(ISERROR(VLOOKUP(A65,'Totalt pivot'!$A$5:$C$397,3,FALSE)),0,(VLOOKUP(A65,'Totalt pivot'!$A$5:$C$397,3,FALSE)))</f>
        <v>0</v>
      </c>
      <c r="M65" s="192">
        <f t="shared" si="1"/>
        <v>0</v>
      </c>
      <c r="N65" s="26">
        <f>VLOOKUP(A65,kurspris!$A$1:$Q$907,15)</f>
        <v>26554</v>
      </c>
      <c r="O65" s="26">
        <f>VLOOKUP(A65,kurspris!$A$1:$Q$907,16)</f>
        <v>33465</v>
      </c>
      <c r="P65" s="26">
        <f>VLOOKUP(A65,kurspris!$A$1:$Q$907,17)</f>
        <v>6000</v>
      </c>
      <c r="Q65" s="26">
        <f t="shared" si="2"/>
        <v>0</v>
      </c>
      <c r="R65" s="26">
        <f>(Q65*Prislapp!$R$5)*-1</f>
        <v>0</v>
      </c>
      <c r="S65" s="26">
        <f t="shared" si="3"/>
        <v>0</v>
      </c>
      <c r="T65" s="26">
        <f t="shared" si="4"/>
        <v>0</v>
      </c>
    </row>
    <row r="66" spans="1:22" x14ac:dyDescent="0.25">
      <c r="A66" s="31" t="s">
        <v>1502</v>
      </c>
      <c r="B66" t="str">
        <f>VLOOKUP(A66,kurspris!$A$1:$Q$907,2,FALSE)</f>
        <v>Bedömning (UK)</v>
      </c>
      <c r="C66" s="31">
        <v>2180</v>
      </c>
      <c r="D66" t="str">
        <f>VLOOKUP(C66,Orgenheter!$A$1:$B$214,2)</f>
        <v xml:space="preserve">Pedagogik                     </v>
      </c>
      <c r="E66" t="str">
        <f>VLOOKUP(C66,Orgenheter!$A$1:$C$166,3,FALSE)</f>
        <v>Sam</v>
      </c>
      <c r="F66" s="262">
        <f>2/7.5</f>
        <v>0.26666666666666666</v>
      </c>
      <c r="G66">
        <f>VLOOKUP(A66,'Ansvar kurs'!$A$98:$C$1072,2,FALSE)</f>
        <v>5740</v>
      </c>
      <c r="H66" t="str">
        <f>VLOOKUP(G66,Orgenheter!$A$1:$B$214,2)</f>
        <v>NMD</v>
      </c>
      <c r="I66" t="str">
        <f>VLOOKUP(G66,Orgenheter!$A$1:$C$166,3,FALSE)</f>
        <v>TekNat</v>
      </c>
      <c r="J66" s="192">
        <f>IF(ISERROR(VLOOKUP(A66,'Totalt pivot'!$A$5:$C$397,2,FALSE)),0,(VLOOKUP(A66,'Totalt pivot'!$A$5:$C$397,2,FALSE)))</f>
        <v>0</v>
      </c>
      <c r="K66" s="192">
        <f t="shared" ref="K66:K132" si="5">F66*J66</f>
        <v>0</v>
      </c>
      <c r="L66" s="192">
        <f>IF(ISERROR(VLOOKUP(A66,'Totalt pivot'!$A$5:$C$397,3,FALSE)),0,(VLOOKUP(A66,'Totalt pivot'!$A$5:$C$397,3,FALSE)))</f>
        <v>0</v>
      </c>
      <c r="M66" s="192">
        <f t="shared" ref="M66:M129" si="6">F66*L66</f>
        <v>0</v>
      </c>
      <c r="N66" s="26">
        <f>VLOOKUP(A66,kurspris!$A$1:$Q$907,15)</f>
        <v>26554</v>
      </c>
      <c r="O66" s="26">
        <f>VLOOKUP(A66,kurspris!$A$1:$Q$907,16)</f>
        <v>33465</v>
      </c>
      <c r="P66" s="26">
        <f>VLOOKUP(A66,kurspris!$A$1:$Q$907,17)</f>
        <v>6000</v>
      </c>
      <c r="Q66" s="26">
        <f t="shared" ref="Q66:Q129" si="7">K66*N66+M66*O66</f>
        <v>0</v>
      </c>
      <c r="R66" s="26">
        <f>(Q66*Prislapp!$R$5)*-1</f>
        <v>0</v>
      </c>
      <c r="S66" s="26">
        <f t="shared" ref="S66:S129" si="8">Q66+R66</f>
        <v>0</v>
      </c>
      <c r="T66" s="26">
        <f t="shared" ref="T66:T129" si="9">K66*P66</f>
        <v>0</v>
      </c>
    </row>
    <row r="67" spans="1:22" x14ac:dyDescent="0.25">
      <c r="A67" s="31" t="s">
        <v>1578</v>
      </c>
      <c r="B67" t="str">
        <f>VLOOKUP(A67,kurspris!$A$1:$Q$907,2,FALSE)</f>
        <v>Utbildningens villkor och samhälleliga funktion (UK)</v>
      </c>
      <c r="C67" s="31">
        <v>2340</v>
      </c>
      <c r="D67" t="str">
        <f>VLOOKUP(C67,Orgenheter!$A$1:$B$214,2)</f>
        <v xml:space="preserve">Statsvetenskap                </v>
      </c>
      <c r="E67" t="str">
        <f>VLOOKUP(C67,Orgenheter!$A$1:$C$166,3,FALSE)</f>
        <v>Sam</v>
      </c>
      <c r="F67" s="262">
        <f>1.5/7.5</f>
        <v>0.2</v>
      </c>
      <c r="G67">
        <f>VLOOKUP(A67,'Ansvar kurs'!$A$98:$C$1072,2,FALSE)</f>
        <v>2193</v>
      </c>
      <c r="H67" t="str">
        <f>VLOOKUP(G67,Orgenheter!$A$1:$B$214,2)</f>
        <v xml:space="preserve">TUV </v>
      </c>
      <c r="I67" t="str">
        <f>VLOOKUP(G67,Orgenheter!$A$1:$C$166,3,FALSE)</f>
        <v>Sam</v>
      </c>
      <c r="J67" s="192">
        <f>IF(ISERROR(VLOOKUP(A67,'Totalt pivot'!$A$5:$C$397,2,FALSE)),0,(VLOOKUP(A67,'Totalt pivot'!$A$5:$C$397,2,FALSE)))</f>
        <v>0</v>
      </c>
      <c r="K67" s="192">
        <f t="shared" si="5"/>
        <v>0</v>
      </c>
      <c r="L67" s="192">
        <f>IF(ISERROR(VLOOKUP(A67,'Totalt pivot'!$A$5:$C$397,3,FALSE)),0,(VLOOKUP(A67,'Totalt pivot'!$A$5:$C$397,3,FALSE)))</f>
        <v>0</v>
      </c>
      <c r="M67" s="192">
        <f t="shared" si="6"/>
        <v>0</v>
      </c>
      <c r="N67" s="26">
        <f>VLOOKUP(A67,kurspris!$A$1:$Q$907,15)</f>
        <v>26554</v>
      </c>
      <c r="O67" s="26">
        <f>VLOOKUP(A67,kurspris!$A$1:$Q$907,16)</f>
        <v>33465</v>
      </c>
      <c r="P67" s="26">
        <f>VLOOKUP(A67,kurspris!$A$1:$Q$907,17)</f>
        <v>6000</v>
      </c>
      <c r="Q67" s="26">
        <f t="shared" si="7"/>
        <v>0</v>
      </c>
      <c r="R67" s="26">
        <f>(Q67*Prislapp!$R$5)*-1</f>
        <v>0</v>
      </c>
      <c r="S67" s="26">
        <f t="shared" si="8"/>
        <v>0</v>
      </c>
      <c r="T67" s="26">
        <f t="shared" si="9"/>
        <v>0</v>
      </c>
      <c r="V67" s="281" t="s">
        <v>1580</v>
      </c>
    </row>
    <row r="68" spans="1:22" x14ac:dyDescent="0.25">
      <c r="A68" s="31" t="s">
        <v>1581</v>
      </c>
      <c r="B68" t="str">
        <f>VLOOKUP(A68,kurspris!$A$1:$Q$907,2,FALSE)</f>
        <v>Den professionella läraren 1: Barns utveckling, specialpedagogik, sociala relationer och kommunikation (UK)</v>
      </c>
      <c r="C68" s="31">
        <v>2180</v>
      </c>
      <c r="D68" t="str">
        <f>VLOOKUP(C68,Orgenheter!$A$1:$B$214,2)</f>
        <v xml:space="preserve">Pedagogik                     </v>
      </c>
      <c r="E68" t="str">
        <f>VLOOKUP(C68,Orgenheter!$A$1:$C$166,3,FALSE)</f>
        <v>Sam</v>
      </c>
      <c r="F68" s="262">
        <f>2/7.5</f>
        <v>0.26666666666666666</v>
      </c>
      <c r="G68">
        <f>VLOOKUP(A68,'Ansvar kurs'!$A$98:$C$1072,2,FALSE)</f>
        <v>2193</v>
      </c>
      <c r="H68" t="str">
        <f>VLOOKUP(G68,Orgenheter!$A$1:$B$214,2)</f>
        <v xml:space="preserve">TUV </v>
      </c>
      <c r="I68" t="str">
        <f>VLOOKUP(G68,Orgenheter!$A$1:$C$166,3,FALSE)</f>
        <v>Sam</v>
      </c>
      <c r="J68" s="192">
        <f>IF(ISERROR(VLOOKUP(A68,'Totalt pivot'!$A$5:$C$397,2,FALSE)),0,(VLOOKUP(A68,'Totalt pivot'!$A$5:$C$397,2,FALSE)))</f>
        <v>0</v>
      </c>
      <c r="K68" s="192">
        <f t="shared" si="5"/>
        <v>0</v>
      </c>
      <c r="L68" s="192">
        <f>IF(ISERROR(VLOOKUP(A68,'Totalt pivot'!$A$5:$C$397,3,FALSE)),0,(VLOOKUP(A68,'Totalt pivot'!$A$5:$C$397,3,FALSE)))</f>
        <v>0</v>
      </c>
      <c r="M68" s="192">
        <f t="shared" si="6"/>
        <v>0</v>
      </c>
      <c r="N68" s="26">
        <f>VLOOKUP(A68,kurspris!$A$1:$Q$907,15)</f>
        <v>26554</v>
      </c>
      <c r="O68" s="26">
        <f>VLOOKUP(A68,kurspris!$A$1:$Q$907,16)</f>
        <v>33465</v>
      </c>
      <c r="P68" s="26">
        <f>VLOOKUP(A68,kurspris!$A$1:$Q$907,17)</f>
        <v>6000</v>
      </c>
      <c r="Q68" s="26">
        <f t="shared" si="7"/>
        <v>0</v>
      </c>
      <c r="R68" s="26">
        <f>(Q68*Prislapp!$R$5)*-1</f>
        <v>0</v>
      </c>
      <c r="S68" s="26">
        <f t="shared" si="8"/>
        <v>0</v>
      </c>
      <c r="T68" s="26">
        <f t="shared" si="9"/>
        <v>0</v>
      </c>
      <c r="V68" s="281" t="s">
        <v>1580</v>
      </c>
    </row>
    <row r="69" spans="1:22" x14ac:dyDescent="0.25">
      <c r="A69" s="31" t="s">
        <v>1534</v>
      </c>
      <c r="B69" t="str">
        <f>VLOOKUP(A69,kurspris!$A$1:$Q$907,2,FALSE)</f>
        <v>Utbildningsvetenskap, undervisning och lärande för förskolan (UK)</v>
      </c>
      <c r="C69" s="31">
        <v>2180</v>
      </c>
      <c r="D69" t="str">
        <f>VLOOKUP(C69,Orgenheter!$A$1:$B$214,2)</f>
        <v xml:space="preserve">Pedagogik                     </v>
      </c>
      <c r="E69" t="str">
        <f>VLOOKUP(C69,Orgenheter!$A$1:$C$166,3,FALSE)</f>
        <v>Sam</v>
      </c>
      <c r="F69" s="262">
        <f>1/8</f>
        <v>0.125</v>
      </c>
      <c r="G69">
        <f>VLOOKUP(A69,'Ansvar kurs'!$A$98:$C$1072,2,FALSE)</f>
        <v>2193</v>
      </c>
      <c r="H69" t="str">
        <f>VLOOKUP(G69,Orgenheter!$A$1:$B$214,2)</f>
        <v xml:space="preserve">TUV </v>
      </c>
      <c r="I69" t="str">
        <f>VLOOKUP(G69,Orgenheter!$A$1:$C$166,3,FALSE)</f>
        <v>Sam</v>
      </c>
      <c r="J69" s="192">
        <f>IF(ISERROR(VLOOKUP(A69,'Totalt pivot'!$A$5:$C$397,2,FALSE)),0,(VLOOKUP(A69,'Totalt pivot'!$A$5:$C$397,2,FALSE)))</f>
        <v>7.8663333333333334</v>
      </c>
      <c r="K69" s="192">
        <f t="shared" si="5"/>
        <v>0.98329166666666667</v>
      </c>
      <c r="L69" s="192">
        <f>IF(ISERROR(VLOOKUP(A69,'Totalt pivot'!$A$5:$C$397,3,FALSE)),0,(VLOOKUP(A69,'Totalt pivot'!$A$5:$C$397,3,FALSE)))</f>
        <v>6.6863833333333327</v>
      </c>
      <c r="M69" s="192">
        <f t="shared" si="6"/>
        <v>0.83579791666666658</v>
      </c>
      <c r="N69" s="26">
        <f>VLOOKUP(A69,kurspris!$A$1:$Q$907,15)</f>
        <v>26554</v>
      </c>
      <c r="O69" s="26">
        <f>VLOOKUP(A69,kurspris!$A$1:$Q$907,16)</f>
        <v>33465</v>
      </c>
      <c r="P69" s="26">
        <f>VLOOKUP(A69,kurspris!$A$1:$Q$907,17)</f>
        <v>6000</v>
      </c>
      <c r="Q69" s="26">
        <f t="shared" si="7"/>
        <v>54080.304197916666</v>
      </c>
      <c r="R69" s="26">
        <f>(Q69*Prislapp!$R$5)*-1</f>
        <v>-3785.6212938541671</v>
      </c>
      <c r="S69" s="26">
        <f t="shared" si="8"/>
        <v>50294.682904062502</v>
      </c>
      <c r="T69" s="26">
        <f t="shared" si="9"/>
        <v>5899.75</v>
      </c>
    </row>
    <row r="70" spans="1:22" x14ac:dyDescent="0.25">
      <c r="A70" s="31" t="s">
        <v>1534</v>
      </c>
      <c r="B70" t="str">
        <f>VLOOKUP(A70,kurspris!$A$1:$Q$907,2,FALSE)</f>
        <v>Utbildningsvetenskap, undervisning och lärande för förskolan (UK)</v>
      </c>
      <c r="C70" s="31">
        <v>2200</v>
      </c>
      <c r="D70" t="str">
        <f>VLOOKUP(C70,Orgenheter!$A$1:$B$214,2)</f>
        <v xml:space="preserve">Inst för psykologi            </v>
      </c>
      <c r="E70" t="str">
        <f>VLOOKUP(C70,Orgenheter!$A$1:$C$166,3,FALSE)</f>
        <v>Sam</v>
      </c>
      <c r="F70" s="262">
        <f>2/8</f>
        <v>0.25</v>
      </c>
      <c r="G70">
        <f>VLOOKUP(A70,'Ansvar kurs'!$A$98:$C$1072,2,FALSE)</f>
        <v>2193</v>
      </c>
      <c r="H70" t="str">
        <f>VLOOKUP(G70,Orgenheter!$A$1:$B$214,2)</f>
        <v xml:space="preserve">TUV </v>
      </c>
      <c r="I70" t="str">
        <f>VLOOKUP(G70,Orgenheter!$A$1:$C$166,3,FALSE)</f>
        <v>Sam</v>
      </c>
      <c r="J70" s="192">
        <f>IF(ISERROR(VLOOKUP(A70,'Totalt pivot'!$A$5:$C$397,2,FALSE)),0,(VLOOKUP(A70,'Totalt pivot'!$A$5:$C$397,2,FALSE)))</f>
        <v>7.8663333333333334</v>
      </c>
      <c r="K70" s="192">
        <f t="shared" si="5"/>
        <v>1.9665833333333333</v>
      </c>
      <c r="L70" s="192">
        <f>IF(ISERROR(VLOOKUP(A70,'Totalt pivot'!$A$5:$C$397,3,FALSE)),0,(VLOOKUP(A70,'Totalt pivot'!$A$5:$C$397,3,FALSE)))</f>
        <v>6.6863833333333327</v>
      </c>
      <c r="M70" s="192">
        <f t="shared" si="6"/>
        <v>1.6715958333333332</v>
      </c>
      <c r="N70" s="26">
        <f>VLOOKUP(A70,kurspris!$A$1:$Q$907,15)</f>
        <v>26554</v>
      </c>
      <c r="O70" s="26">
        <f>VLOOKUP(A70,kurspris!$A$1:$Q$907,16)</f>
        <v>33465</v>
      </c>
      <c r="P70" s="26">
        <f>VLOOKUP(A70,kurspris!$A$1:$Q$907,17)</f>
        <v>6000</v>
      </c>
      <c r="Q70" s="26">
        <f t="shared" si="7"/>
        <v>108160.60839583333</v>
      </c>
      <c r="R70" s="26">
        <f>(Q70*Prislapp!$R$5)*-1</f>
        <v>-7571.2425877083342</v>
      </c>
      <c r="S70" s="26">
        <f t="shared" si="8"/>
        <v>100589.365808125</v>
      </c>
      <c r="T70" s="26">
        <f t="shared" si="9"/>
        <v>11799.5</v>
      </c>
    </row>
    <row r="71" spans="1:22" x14ac:dyDescent="0.25">
      <c r="A71" s="31" t="s">
        <v>1531</v>
      </c>
      <c r="B71" t="str">
        <f>VLOOKUP(A71,kurspris!$A$1:$Q$907,2,FALSE)</f>
        <v>Specialpedagogik för förskolan (UK)</v>
      </c>
      <c r="C71" s="31">
        <v>2180</v>
      </c>
      <c r="D71" t="str">
        <f>VLOOKUP(C71,Orgenheter!$A$1:$B$214,2)</f>
        <v xml:space="preserve">Pedagogik                     </v>
      </c>
      <c r="E71" t="str">
        <f>VLOOKUP(C71,Orgenheter!$A$1:$C$166,3,FALSE)</f>
        <v>Sam</v>
      </c>
      <c r="F71" s="262">
        <f>2.5/6</f>
        <v>0.41666666666666669</v>
      </c>
      <c r="G71">
        <f>VLOOKUP(A71,'Ansvar kurs'!$A$98:$C$1072,2,FALSE)</f>
        <v>2193</v>
      </c>
      <c r="H71" t="str">
        <f>VLOOKUP(G71,Orgenheter!$A$1:$B$214,2)</f>
        <v xml:space="preserve">TUV </v>
      </c>
      <c r="I71" t="str">
        <f>VLOOKUP(G71,Orgenheter!$A$1:$C$166,3,FALSE)</f>
        <v>Sam</v>
      </c>
      <c r="J71" s="192">
        <f>IF(ISERROR(VLOOKUP(A71,'Totalt pivot'!$A$5:$C$397,2,FALSE)),0,(VLOOKUP(A71,'Totalt pivot'!$A$5:$C$397,2,FALSE)))</f>
        <v>6.2</v>
      </c>
      <c r="K71" s="192">
        <f t="shared" si="5"/>
        <v>2.5833333333333335</v>
      </c>
      <c r="L71" s="192">
        <f>IF(ISERROR(VLOOKUP(A71,'Totalt pivot'!$A$5:$C$397,3,FALSE)),0,(VLOOKUP(A71,'Totalt pivot'!$A$5:$C$397,3,FALSE)))</f>
        <v>5.27</v>
      </c>
      <c r="M71" s="192">
        <f t="shared" si="6"/>
        <v>2.1958333333333333</v>
      </c>
      <c r="N71" s="26">
        <f>VLOOKUP(A71,kurspris!$A$1:$Q$907,15)</f>
        <v>26554</v>
      </c>
      <c r="O71" s="26">
        <f>VLOOKUP(A71,kurspris!$A$1:$Q$907,16)</f>
        <v>33465</v>
      </c>
      <c r="P71" s="26">
        <f>VLOOKUP(A71,kurspris!$A$1:$Q$907,17)</f>
        <v>6000</v>
      </c>
      <c r="Q71" s="26">
        <f t="shared" si="7"/>
        <v>142081.39583333334</v>
      </c>
      <c r="R71" s="26">
        <f>(Q71*Prislapp!$R$5)*-1</f>
        <v>-9945.697708333335</v>
      </c>
      <c r="S71" s="26">
        <f t="shared" si="8"/>
        <v>132135.698125</v>
      </c>
      <c r="T71" s="26">
        <f t="shared" si="9"/>
        <v>15500</v>
      </c>
      <c r="V71" t="s">
        <v>1676</v>
      </c>
    </row>
    <row r="72" spans="1:22" x14ac:dyDescent="0.25">
      <c r="A72" s="31" t="s">
        <v>1531</v>
      </c>
      <c r="B72" t="str">
        <f>VLOOKUP(A72,kurspris!$A$1:$Q$907,2,FALSE)</f>
        <v>Specialpedagogik för förskolan (UK)</v>
      </c>
      <c r="C72" s="31">
        <v>2200</v>
      </c>
      <c r="D72" t="str">
        <f>VLOOKUP(C72,Orgenheter!$A$1:$B$214,2)</f>
        <v xml:space="preserve">Inst för psykologi            </v>
      </c>
      <c r="E72" t="str">
        <f>VLOOKUP(C72,Orgenheter!$A$1:$C$166,3,FALSE)</f>
        <v>Sam</v>
      </c>
      <c r="F72" s="262">
        <f>0.5/6</f>
        <v>8.3333333333333329E-2</v>
      </c>
      <c r="G72">
        <f>VLOOKUP(A72,'Ansvar kurs'!$A$98:$C$1072,2,FALSE)</f>
        <v>2193</v>
      </c>
      <c r="H72" t="str">
        <f>VLOOKUP(G72,Orgenheter!$A$1:$B$214,2)</f>
        <v xml:space="preserve">TUV </v>
      </c>
      <c r="I72" t="str">
        <f>VLOOKUP(G72,Orgenheter!$A$1:$C$166,3,FALSE)</f>
        <v>Sam</v>
      </c>
      <c r="J72" s="192">
        <f>IF(ISERROR(VLOOKUP(A72,'Totalt pivot'!$A$5:$C$397,2,FALSE)),0,(VLOOKUP(A72,'Totalt pivot'!$A$5:$C$397,2,FALSE)))</f>
        <v>6.2</v>
      </c>
      <c r="K72" s="192">
        <f t="shared" si="5"/>
        <v>0.51666666666666661</v>
      </c>
      <c r="L72" s="192">
        <f>IF(ISERROR(VLOOKUP(A72,'Totalt pivot'!$A$5:$C$397,3,FALSE)),0,(VLOOKUP(A72,'Totalt pivot'!$A$5:$C$397,3,FALSE)))</f>
        <v>5.27</v>
      </c>
      <c r="M72" s="192">
        <f t="shared" si="6"/>
        <v>0.43916666666666659</v>
      </c>
      <c r="N72" s="26">
        <f>VLOOKUP(A72,kurspris!$A$1:$Q$907,15)</f>
        <v>26554</v>
      </c>
      <c r="O72" s="26">
        <f>VLOOKUP(A72,kurspris!$A$1:$Q$907,16)</f>
        <v>33465</v>
      </c>
      <c r="P72" s="26">
        <f>VLOOKUP(A72,kurspris!$A$1:$Q$907,17)</f>
        <v>6000</v>
      </c>
      <c r="Q72" s="26">
        <f t="shared" si="7"/>
        <v>28416.279166666664</v>
      </c>
      <c r="R72" s="26">
        <f>(Q72*Prislapp!$R$5)*-1</f>
        <v>-1989.1395416666667</v>
      </c>
      <c r="S72" s="26">
        <f t="shared" si="8"/>
        <v>26427.139624999996</v>
      </c>
      <c r="T72" s="26">
        <f t="shared" si="9"/>
        <v>3099.9999999999995</v>
      </c>
    </row>
    <row r="73" spans="1:22" x14ac:dyDescent="0.25">
      <c r="A73" s="31" t="s">
        <v>1523</v>
      </c>
      <c r="B73" t="str">
        <f>VLOOKUP(A73,kurspris!$A$1:$Q$907,2,FALSE)</f>
        <v>Specialpedagogik för grundskolan (UK)</v>
      </c>
      <c r="C73" s="31">
        <v>2193</v>
      </c>
      <c r="D73" t="str">
        <f>VLOOKUP(C73,Orgenheter!$A$1:$B$214,2)</f>
        <v xml:space="preserve">TUV </v>
      </c>
      <c r="E73" t="str">
        <f>VLOOKUP(C73,Orgenheter!$A$1:$C$166,3,FALSE)</f>
        <v>Sam</v>
      </c>
      <c r="F73" s="262">
        <f>2/5</f>
        <v>0.4</v>
      </c>
      <c r="G73">
        <f>VLOOKUP(A73,'Ansvar kurs'!$A$98:$C$1072,2,FALSE)</f>
        <v>2180</v>
      </c>
      <c r="H73" t="str">
        <f>VLOOKUP(G73,Orgenheter!$A$1:$B$214,2)</f>
        <v xml:space="preserve">Pedagogik                     </v>
      </c>
      <c r="I73" t="str">
        <f>VLOOKUP(G73,Orgenheter!$A$1:$C$166,3,FALSE)</f>
        <v>Sam</v>
      </c>
      <c r="J73" s="192">
        <f>IF(ISERROR(VLOOKUP(A73,'Totalt pivot'!$A$5:$C$397,2,FALSE)),0,(VLOOKUP(A73,'Totalt pivot'!$A$5:$C$397,2,FALSE)))</f>
        <v>6.7493333333333334</v>
      </c>
      <c r="K73" s="192">
        <f t="shared" si="5"/>
        <v>2.6997333333333335</v>
      </c>
      <c r="L73" s="192">
        <f>IF(ISERROR(VLOOKUP(A73,'Totalt pivot'!$A$5:$C$397,3,FALSE)),0,(VLOOKUP(A73,'Totalt pivot'!$A$5:$C$397,3,FALSE)))</f>
        <v>5.736933333333333</v>
      </c>
      <c r="M73" s="192">
        <f t="shared" si="6"/>
        <v>2.2947733333333331</v>
      </c>
      <c r="N73" s="26">
        <f>VLOOKUP(A73,kurspris!$A$1:$Q$907,15)</f>
        <v>26554</v>
      </c>
      <c r="O73" s="26">
        <f>VLOOKUP(A73,kurspris!$A$1:$Q$907,16)</f>
        <v>33465</v>
      </c>
      <c r="P73" s="26">
        <f>VLOOKUP(A73,kurspris!$A$1:$Q$907,17)</f>
        <v>6000</v>
      </c>
      <c r="Q73" s="26">
        <f t="shared" si="7"/>
        <v>148483.30853333333</v>
      </c>
      <c r="R73" s="26">
        <f>(Q73*Prislapp!$R$5)*-1</f>
        <v>-10393.831597333334</v>
      </c>
      <c r="S73" s="26">
        <f t="shared" si="8"/>
        <v>138089.47693599999</v>
      </c>
      <c r="T73" s="26">
        <f t="shared" si="9"/>
        <v>16198.400000000001</v>
      </c>
    </row>
    <row r="74" spans="1:22" x14ac:dyDescent="0.25">
      <c r="A74" s="31" t="s">
        <v>1523</v>
      </c>
      <c r="B74" t="str">
        <f>VLOOKUP(A74,kurspris!$A$1:$Q$907,2,FALSE)</f>
        <v>Specialpedagogik för grundskolan (UK)</v>
      </c>
      <c r="C74" s="31">
        <v>2200</v>
      </c>
      <c r="D74" t="str">
        <f>VLOOKUP(C74,Orgenheter!$A$1:$B$214,2)</f>
        <v xml:space="preserve">Inst för psykologi            </v>
      </c>
      <c r="E74" t="str">
        <f>VLOOKUP(C74,Orgenheter!$A$1:$C$166,3,FALSE)</f>
        <v>Sam</v>
      </c>
      <c r="F74" s="262">
        <f>0.5/5</f>
        <v>0.1</v>
      </c>
      <c r="G74">
        <f>VLOOKUP(A74,'Ansvar kurs'!$A$98:$C$1072,2,FALSE)</f>
        <v>2180</v>
      </c>
      <c r="H74" t="str">
        <f>VLOOKUP(G74,Orgenheter!$A$1:$B$214,2)</f>
        <v xml:space="preserve">Pedagogik                     </v>
      </c>
      <c r="I74" t="str">
        <f>VLOOKUP(G74,Orgenheter!$A$1:$C$166,3,FALSE)</f>
        <v>Sam</v>
      </c>
      <c r="J74" s="192">
        <f>IF(ISERROR(VLOOKUP(A74,'Totalt pivot'!$A$5:$C$397,2,FALSE)),0,(VLOOKUP(A74,'Totalt pivot'!$A$5:$C$397,2,FALSE)))</f>
        <v>6.7493333333333334</v>
      </c>
      <c r="K74" s="192">
        <f t="shared" si="5"/>
        <v>0.67493333333333339</v>
      </c>
      <c r="L74" s="192">
        <f>IF(ISERROR(VLOOKUP(A74,'Totalt pivot'!$A$5:$C$397,3,FALSE)),0,(VLOOKUP(A74,'Totalt pivot'!$A$5:$C$397,3,FALSE)))</f>
        <v>5.736933333333333</v>
      </c>
      <c r="M74" s="192">
        <f t="shared" si="6"/>
        <v>0.57369333333333328</v>
      </c>
      <c r="N74" s="26">
        <f>VLOOKUP(A74,kurspris!$A$1:$Q$907,15)</f>
        <v>26554</v>
      </c>
      <c r="O74" s="26">
        <f>VLOOKUP(A74,kurspris!$A$1:$Q$907,16)</f>
        <v>33465</v>
      </c>
      <c r="P74" s="26">
        <f>VLOOKUP(A74,kurspris!$A$1:$Q$907,17)</f>
        <v>6000</v>
      </c>
      <c r="Q74" s="26">
        <f t="shared" si="7"/>
        <v>37120.827133333332</v>
      </c>
      <c r="R74" s="26">
        <f>(Q74*Prislapp!$R$5)*-1</f>
        <v>-2598.4578993333334</v>
      </c>
      <c r="S74" s="26">
        <f t="shared" si="8"/>
        <v>34522.369233999998</v>
      </c>
      <c r="T74" s="26">
        <f t="shared" si="9"/>
        <v>4049.6000000000004</v>
      </c>
    </row>
    <row r="75" spans="1:22" x14ac:dyDescent="0.25">
      <c r="A75" s="31" t="s">
        <v>1610</v>
      </c>
      <c r="B75" t="str">
        <f>VLOOKUP(A75,kurspris!$A$1:$Q$907,2,FALSE)</f>
        <v>Specialpedagogik - åk 7-9 och gymnasieskolan (UK)</v>
      </c>
      <c r="C75" s="31">
        <v>2193</v>
      </c>
      <c r="D75" t="str">
        <f>VLOOKUP(C75,Orgenheter!$A$1:$B$214,2)</f>
        <v xml:space="preserve">TUV </v>
      </c>
      <c r="E75" t="str">
        <f>VLOOKUP(C75,Orgenheter!$A$1:$C$166,3,FALSE)</f>
        <v>Sam</v>
      </c>
      <c r="F75" s="262">
        <f>2/5</f>
        <v>0.4</v>
      </c>
      <c r="G75">
        <f>VLOOKUP(A75,'Ansvar kurs'!$A$98:$C$1072,2,FALSE)</f>
        <v>2180</v>
      </c>
      <c r="H75" t="str">
        <f>VLOOKUP(G75,Orgenheter!$A$1:$B$214,2)</f>
        <v xml:space="preserve">Pedagogik                     </v>
      </c>
      <c r="I75" t="str">
        <f>VLOOKUP(G75,Orgenheter!$A$1:$C$166,3,FALSE)</f>
        <v>Sam</v>
      </c>
      <c r="J75" s="192">
        <f>IF(ISERROR(VLOOKUP(A75,'Totalt pivot'!$A$5:$C$397,2,FALSE)),0,(VLOOKUP(A75,'Totalt pivot'!$A$5:$C$397,2,FALSE)))</f>
        <v>8.4166666666666679</v>
      </c>
      <c r="K75" s="192">
        <f t="shared" si="5"/>
        <v>3.3666666666666671</v>
      </c>
      <c r="L75" s="192">
        <f>IF(ISERROR(VLOOKUP(A75,'Totalt pivot'!$A$5:$C$397,3,FALSE)),0,(VLOOKUP(A75,'Totalt pivot'!$A$5:$C$397,3,FALSE)))</f>
        <v>7.1541666666666668</v>
      </c>
      <c r="M75" s="192">
        <f t="shared" si="6"/>
        <v>2.8616666666666668</v>
      </c>
      <c r="N75" s="26">
        <f>VLOOKUP(A75,kurspris!$A$1:$Q$907,15)</f>
        <v>26554</v>
      </c>
      <c r="O75" s="26">
        <f>VLOOKUP(A75,kurspris!$A$1:$Q$907,16)</f>
        <v>33465</v>
      </c>
      <c r="P75" s="26">
        <f>VLOOKUP(A75,kurspris!$A$1:$Q$907,17)</f>
        <v>6000</v>
      </c>
      <c r="Q75" s="26">
        <f t="shared" si="7"/>
        <v>185164.14166666666</v>
      </c>
      <c r="R75" s="26">
        <f>(Q75*Prislapp!$R$5)*-1</f>
        <v>-12961.489916666667</v>
      </c>
      <c r="S75" s="26">
        <f t="shared" si="8"/>
        <v>172202.65174999999</v>
      </c>
      <c r="T75" s="26">
        <f t="shared" si="9"/>
        <v>20200.000000000004</v>
      </c>
      <c r="V75" t="s">
        <v>1644</v>
      </c>
    </row>
    <row r="76" spans="1:22" x14ac:dyDescent="0.25">
      <c r="A76" s="31" t="s">
        <v>1610</v>
      </c>
      <c r="B76" t="str">
        <f>VLOOKUP(A76,kurspris!$A$1:$Q$907,2,FALSE)</f>
        <v>Specialpedagogik - åk 7-9 och gymnasieskolan (UK)</v>
      </c>
      <c r="C76" s="31">
        <v>2200</v>
      </c>
      <c r="D76" t="str">
        <f>VLOOKUP(C76,Orgenheter!$A$1:$B$214,2)</f>
        <v xml:space="preserve">Inst för psykologi            </v>
      </c>
      <c r="E76" t="str">
        <f>VLOOKUP(C76,Orgenheter!$A$1:$C$166,3,FALSE)</f>
        <v>Sam</v>
      </c>
      <c r="F76" s="262">
        <f>0.5/5</f>
        <v>0.1</v>
      </c>
      <c r="G76">
        <f>VLOOKUP(A76,'Ansvar kurs'!$A$98:$C$1072,2,FALSE)</f>
        <v>2180</v>
      </c>
      <c r="H76" t="str">
        <f>VLOOKUP(G76,Orgenheter!$A$1:$B$214,2)</f>
        <v xml:space="preserve">Pedagogik                     </v>
      </c>
      <c r="I76" t="str">
        <f>VLOOKUP(G76,Orgenheter!$A$1:$C$166,3,FALSE)</f>
        <v>Sam</v>
      </c>
      <c r="J76" s="192">
        <f>IF(ISERROR(VLOOKUP(A76,'Totalt pivot'!$A$5:$C$397,2,FALSE)),0,(VLOOKUP(A76,'Totalt pivot'!$A$5:$C$397,2,FALSE)))</f>
        <v>8.4166666666666679</v>
      </c>
      <c r="K76" s="192">
        <f t="shared" si="5"/>
        <v>0.84166666666666679</v>
      </c>
      <c r="L76" s="192">
        <f>IF(ISERROR(VLOOKUP(A76,'Totalt pivot'!$A$5:$C$397,3,FALSE)),0,(VLOOKUP(A76,'Totalt pivot'!$A$5:$C$397,3,FALSE)))</f>
        <v>7.1541666666666668</v>
      </c>
      <c r="M76" s="192">
        <f t="shared" si="6"/>
        <v>0.7154166666666667</v>
      </c>
      <c r="N76" s="26">
        <f>VLOOKUP(A76,kurspris!$A$1:$Q$907,15)</f>
        <v>26554</v>
      </c>
      <c r="O76" s="26">
        <f>VLOOKUP(A76,kurspris!$A$1:$Q$907,16)</f>
        <v>33465</v>
      </c>
      <c r="P76" s="26">
        <f>VLOOKUP(A76,kurspris!$A$1:$Q$907,17)</f>
        <v>6000</v>
      </c>
      <c r="Q76" s="26">
        <f t="shared" si="7"/>
        <v>46291.035416666666</v>
      </c>
      <c r="R76" s="26">
        <f>(Q76*Prislapp!$R$5)*-1</f>
        <v>-3240.3724791666668</v>
      </c>
      <c r="S76" s="26">
        <f t="shared" si="8"/>
        <v>43050.662937499997</v>
      </c>
      <c r="T76" s="26">
        <f t="shared" si="9"/>
        <v>5050.0000000000009</v>
      </c>
      <c r="V76" t="s">
        <v>1644</v>
      </c>
    </row>
    <row r="77" spans="1:22" x14ac:dyDescent="0.25">
      <c r="A77" s="31" t="s">
        <v>1540</v>
      </c>
      <c r="B77" t="str">
        <f>VLOOKUP(A77,kurspris!$A$1:$Q$907,2,FALSE)</f>
        <v>Utbildningsvetenskap, undervisning och lärande för grundskolan - fritidshem (UK)</v>
      </c>
      <c r="C77" s="31">
        <v>2193</v>
      </c>
      <c r="D77" t="str">
        <f>VLOOKUP(C77,Orgenheter!$A$1:$B$214,2)</f>
        <v xml:space="preserve">TUV </v>
      </c>
      <c r="E77" t="str">
        <f>VLOOKUP(C77,Orgenheter!$A$1:$C$166,3,FALSE)</f>
        <v>Sam</v>
      </c>
      <c r="F77" s="262">
        <f>3/8</f>
        <v>0.375</v>
      </c>
      <c r="G77">
        <f>VLOOKUP(A77,'Ansvar kurs'!$A$98:$C$1072,2,FALSE)</f>
        <v>2180</v>
      </c>
      <c r="H77" t="str">
        <f>VLOOKUP(G77,Orgenheter!$A$1:$B$214,2)</f>
        <v xml:space="preserve">Pedagogik                     </v>
      </c>
      <c r="I77" t="str">
        <f>VLOOKUP(G77,Orgenheter!$A$1:$C$166,3,FALSE)</f>
        <v>Sam</v>
      </c>
      <c r="J77" s="192">
        <f>IF(ISERROR(VLOOKUP(A77,'Totalt pivot'!$A$5:$C$397,2,FALSE)),0,(VLOOKUP(A77,'Totalt pivot'!$A$5:$C$397,2,FALSE)))</f>
        <v>0</v>
      </c>
      <c r="K77" s="192">
        <f t="shared" si="5"/>
        <v>0</v>
      </c>
      <c r="L77" s="192">
        <f>IF(ISERROR(VLOOKUP(A77,'Totalt pivot'!$A$5:$C$397,3,FALSE)),0,(VLOOKUP(A77,'Totalt pivot'!$A$5:$C$397,3,FALSE)))</f>
        <v>0</v>
      </c>
      <c r="M77" s="192">
        <f t="shared" si="6"/>
        <v>0</v>
      </c>
      <c r="N77" s="26">
        <f>VLOOKUP(A77,kurspris!$A$1:$Q$907,15)</f>
        <v>26554</v>
      </c>
      <c r="O77" s="26">
        <f>VLOOKUP(A77,kurspris!$A$1:$Q$907,16)</f>
        <v>33465</v>
      </c>
      <c r="P77" s="26">
        <f>VLOOKUP(A77,kurspris!$A$1:$Q$907,17)</f>
        <v>6000</v>
      </c>
      <c r="Q77" s="26">
        <f t="shared" si="7"/>
        <v>0</v>
      </c>
      <c r="R77" s="26">
        <f>(Q77*Prislapp!$R$5)*-1</f>
        <v>0</v>
      </c>
      <c r="S77" s="26">
        <f t="shared" si="8"/>
        <v>0</v>
      </c>
      <c r="T77" s="26">
        <f t="shared" si="9"/>
        <v>0</v>
      </c>
    </row>
    <row r="78" spans="1:22" x14ac:dyDescent="0.25">
      <c r="A78" s="31" t="s">
        <v>1540</v>
      </c>
      <c r="B78" t="str">
        <f>VLOOKUP(A78,kurspris!$A$1:$Q$907,2,FALSE)</f>
        <v>Utbildningsvetenskap, undervisning och lärande för grundskolan - fritidshem (UK)</v>
      </c>
      <c r="C78" s="31">
        <v>2200</v>
      </c>
      <c r="D78" t="str">
        <f>VLOOKUP(C78,Orgenheter!$A$1:$B$214,2)</f>
        <v xml:space="preserve">Inst för psykologi            </v>
      </c>
      <c r="E78" t="str">
        <f>VLOOKUP(C78,Orgenheter!$A$1:$C$166,3,FALSE)</f>
        <v>Sam</v>
      </c>
      <c r="F78" s="262">
        <f>2/8</f>
        <v>0.25</v>
      </c>
      <c r="G78">
        <f>VLOOKUP(A78,'Ansvar kurs'!$A$98:$C$1072,2,FALSE)</f>
        <v>2180</v>
      </c>
      <c r="H78" t="str">
        <f>VLOOKUP(G78,Orgenheter!$A$1:$B$214,2)</f>
        <v xml:space="preserve">Pedagogik                     </v>
      </c>
      <c r="I78" t="str">
        <f>VLOOKUP(G78,Orgenheter!$A$1:$C$166,3,FALSE)</f>
        <v>Sam</v>
      </c>
      <c r="J78" s="192">
        <f>IF(ISERROR(VLOOKUP(A78,'Totalt pivot'!$A$5:$C$397,2,FALSE)),0,(VLOOKUP(A78,'Totalt pivot'!$A$5:$C$397,2,FALSE)))</f>
        <v>0</v>
      </c>
      <c r="K78" s="192">
        <f t="shared" si="5"/>
        <v>0</v>
      </c>
      <c r="L78" s="192">
        <f>IF(ISERROR(VLOOKUP(A78,'Totalt pivot'!$A$5:$C$397,3,FALSE)),0,(VLOOKUP(A78,'Totalt pivot'!$A$5:$C$397,3,FALSE)))</f>
        <v>0</v>
      </c>
      <c r="M78" s="192">
        <f t="shared" si="6"/>
        <v>0</v>
      </c>
      <c r="N78" s="26">
        <f>VLOOKUP(A78,kurspris!$A$1:$Q$907,15)</f>
        <v>26554</v>
      </c>
      <c r="O78" s="26">
        <f>VLOOKUP(A78,kurspris!$A$1:$Q$907,16)</f>
        <v>33465</v>
      </c>
      <c r="P78" s="26">
        <f>VLOOKUP(A78,kurspris!$A$1:$Q$907,17)</f>
        <v>6000</v>
      </c>
      <c r="Q78" s="26">
        <f t="shared" si="7"/>
        <v>0</v>
      </c>
      <c r="R78" s="26">
        <f>(Q78*Prislapp!$R$5)*-1</f>
        <v>0</v>
      </c>
      <c r="S78" s="26">
        <f t="shared" si="8"/>
        <v>0</v>
      </c>
      <c r="T78" s="26">
        <f t="shared" si="9"/>
        <v>0</v>
      </c>
    </row>
    <row r="79" spans="1:22" x14ac:dyDescent="0.25">
      <c r="A79" s="31" t="s">
        <v>1541</v>
      </c>
      <c r="B79" t="str">
        <f>VLOOKUP(A79,kurspris!$A$1:$Q$907,2,FALSE)</f>
        <v>Utbildningsvetenskap, undervisning och lärande för grundskolan (UK)</v>
      </c>
      <c r="C79" s="31">
        <v>5740</v>
      </c>
      <c r="D79" t="str">
        <f>VLOOKUP(C79,Orgenheter!$A$1:$B$214,2)</f>
        <v>NMD</v>
      </c>
      <c r="E79" t="str">
        <f>VLOOKUP(C79,Orgenheter!$A$1:$C$166,3,FALSE)</f>
        <v>TekNat</v>
      </c>
      <c r="F79" s="262">
        <f>3/8</f>
        <v>0.375</v>
      </c>
      <c r="G79">
        <f>VLOOKUP(A79,'Ansvar kurs'!$A$98:$C$1072,2,FALSE)</f>
        <v>2180</v>
      </c>
      <c r="H79" t="str">
        <f>VLOOKUP(G79,Orgenheter!$A$1:$B$214,2)</f>
        <v xml:space="preserve">Pedagogik                     </v>
      </c>
      <c r="I79" t="str">
        <f>VLOOKUP(G79,Orgenheter!$A$1:$C$166,3,FALSE)</f>
        <v>Sam</v>
      </c>
      <c r="J79" s="192">
        <f>IF(ISERROR(VLOOKUP(A79,'Totalt pivot'!$A$5:$C$397,2,FALSE)),0,(VLOOKUP(A79,'Totalt pivot'!$A$5:$C$397,2,FALSE)))</f>
        <v>8.8000000000000007</v>
      </c>
      <c r="K79" s="192">
        <f t="shared" si="5"/>
        <v>3.3000000000000003</v>
      </c>
      <c r="L79" s="192">
        <f>IF(ISERROR(VLOOKUP(A79,'Totalt pivot'!$A$5:$C$397,3,FALSE)),0,(VLOOKUP(A79,'Totalt pivot'!$A$5:$C$397,3,FALSE)))</f>
        <v>7.48</v>
      </c>
      <c r="M79" s="192">
        <f t="shared" si="6"/>
        <v>2.8050000000000002</v>
      </c>
      <c r="N79" s="26">
        <f>VLOOKUP(A79,kurspris!$A$1:$Q$907,15)</f>
        <v>26554</v>
      </c>
      <c r="O79" s="26">
        <f>VLOOKUP(A79,kurspris!$A$1:$Q$907,16)</f>
        <v>33465</v>
      </c>
      <c r="P79" s="26">
        <f>VLOOKUP(A79,kurspris!$A$1:$Q$907,17)</f>
        <v>6000</v>
      </c>
      <c r="Q79" s="26">
        <f t="shared" si="7"/>
        <v>181497.52500000002</v>
      </c>
      <c r="R79" s="26">
        <f>(Q79*Prislapp!$R$5)*-1</f>
        <v>-12704.826750000002</v>
      </c>
      <c r="S79" s="26">
        <f t="shared" si="8"/>
        <v>168792.69825000002</v>
      </c>
      <c r="T79" s="26">
        <f t="shared" si="9"/>
        <v>19800</v>
      </c>
    </row>
    <row r="80" spans="1:22" x14ac:dyDescent="0.25">
      <c r="A80" s="31" t="s">
        <v>1541</v>
      </c>
      <c r="B80" t="str">
        <f>VLOOKUP(A80,kurspris!$A$1:$Q$907,2,FALSE)</f>
        <v>Utbildningsvetenskap, undervisning och lärande för grundskolan (UK)</v>
      </c>
      <c r="C80" s="31">
        <v>2200</v>
      </c>
      <c r="D80" t="str">
        <f>VLOOKUP(C80,Orgenheter!$A$1:$B$214,2)</f>
        <v xml:space="preserve">Inst för psykologi            </v>
      </c>
      <c r="E80" t="str">
        <f>VLOOKUP(C80,Orgenheter!$A$1:$C$166,3,FALSE)</f>
        <v>Sam</v>
      </c>
      <c r="F80" s="262">
        <f>2/8</f>
        <v>0.25</v>
      </c>
      <c r="G80">
        <f>VLOOKUP(A80,'Ansvar kurs'!$A$98:$C$1072,2,FALSE)</f>
        <v>2180</v>
      </c>
      <c r="H80" t="str">
        <f>VLOOKUP(G80,Orgenheter!$A$1:$B$214,2)</f>
        <v xml:space="preserve">Pedagogik                     </v>
      </c>
      <c r="I80" t="str">
        <f>VLOOKUP(G80,Orgenheter!$A$1:$C$166,3,FALSE)</f>
        <v>Sam</v>
      </c>
      <c r="J80" s="192">
        <f>IF(ISERROR(VLOOKUP(A80,'Totalt pivot'!$A$5:$C$397,2,FALSE)),0,(VLOOKUP(A80,'Totalt pivot'!$A$5:$C$397,2,FALSE)))</f>
        <v>8.8000000000000007</v>
      </c>
      <c r="K80" s="192">
        <f t="shared" si="5"/>
        <v>2.2000000000000002</v>
      </c>
      <c r="L80" s="192">
        <f>IF(ISERROR(VLOOKUP(A80,'Totalt pivot'!$A$5:$C$397,3,FALSE)),0,(VLOOKUP(A80,'Totalt pivot'!$A$5:$C$397,3,FALSE)))</f>
        <v>7.48</v>
      </c>
      <c r="M80" s="192">
        <f t="shared" si="6"/>
        <v>1.87</v>
      </c>
      <c r="N80" s="26">
        <f>VLOOKUP(A80,kurspris!$A$1:$Q$907,15)</f>
        <v>26554</v>
      </c>
      <c r="O80" s="26">
        <f>VLOOKUP(A80,kurspris!$A$1:$Q$907,16)</f>
        <v>33465</v>
      </c>
      <c r="P80" s="26">
        <f>VLOOKUP(A80,kurspris!$A$1:$Q$907,17)</f>
        <v>6000</v>
      </c>
      <c r="Q80" s="26">
        <f t="shared" si="7"/>
        <v>120998.35</v>
      </c>
      <c r="R80" s="26">
        <f>(Q80*Prislapp!$R$5)*-1</f>
        <v>-8469.8845000000019</v>
      </c>
      <c r="S80" s="26">
        <f t="shared" si="8"/>
        <v>112528.46550000001</v>
      </c>
      <c r="T80" s="26">
        <f t="shared" si="9"/>
        <v>13200.000000000002</v>
      </c>
    </row>
    <row r="81" spans="1:23" x14ac:dyDescent="0.25">
      <c r="A81" s="31" t="s">
        <v>1642</v>
      </c>
      <c r="B81" t="str">
        <f>VLOOKUP(A81,kurspris!$A$1:$Q$907,2,FALSE)</f>
        <v>Utbildningsvetenskap, undervisning och lärande - Ämneslärarprogrammet (UK)</v>
      </c>
      <c r="C81" s="31">
        <v>2200</v>
      </c>
      <c r="D81" t="str">
        <f>VLOOKUP(C81,Orgenheter!$A$1:$B$214,2)</f>
        <v xml:space="preserve">Inst för psykologi            </v>
      </c>
      <c r="E81" t="str">
        <f>VLOOKUP(C81,Orgenheter!$A$1:$C$166,3,FALSE)</f>
        <v>Sam</v>
      </c>
      <c r="F81" s="262">
        <f>2/8</f>
        <v>0.25</v>
      </c>
      <c r="G81">
        <f>VLOOKUP(A81,'Ansvar kurs'!$A$98:$C$1072,2,FALSE)</f>
        <v>2180</v>
      </c>
      <c r="H81" t="str">
        <f>VLOOKUP(G81,Orgenheter!$A$1:$B$214,2)</f>
        <v xml:space="preserve">Pedagogik                     </v>
      </c>
      <c r="I81" t="str">
        <f>VLOOKUP(G81,Orgenheter!$A$1:$C$166,3,FALSE)</f>
        <v>Sam</v>
      </c>
      <c r="J81" s="192">
        <f>IF(ISERROR(VLOOKUP(A81,'Totalt pivot'!$A$5:$C$397,2,FALSE)),0,(VLOOKUP(A81,'Totalt pivot'!$A$5:$C$397,2,FALSE)))</f>
        <v>13.333333333333332</v>
      </c>
      <c r="K81" s="192">
        <f t="shared" si="5"/>
        <v>3.333333333333333</v>
      </c>
      <c r="L81" s="192">
        <f>IF(ISERROR(VLOOKUP(A81,'Totalt pivot'!$A$5:$C$397,3,FALSE)),0,(VLOOKUP(A81,'Totalt pivot'!$A$5:$C$397,3,FALSE)))</f>
        <v>11.333333333333332</v>
      </c>
      <c r="M81" s="192">
        <f t="shared" si="6"/>
        <v>2.833333333333333</v>
      </c>
      <c r="N81" s="26">
        <f>VLOOKUP(A81,kurspris!$A$1:$Q$907,15)</f>
        <v>26554</v>
      </c>
      <c r="O81" s="26">
        <f>VLOOKUP(A81,kurspris!$A$1:$Q$907,16)</f>
        <v>33465</v>
      </c>
      <c r="P81" s="26">
        <f>VLOOKUP(A81,kurspris!$A$1:$Q$907,17)</f>
        <v>6000</v>
      </c>
      <c r="Q81" s="26">
        <f t="shared" si="7"/>
        <v>183330.83333333331</v>
      </c>
      <c r="R81" s="26">
        <f>(Q81*Prislapp!$R$5)*-1</f>
        <v>-12833.158333333333</v>
      </c>
      <c r="S81" s="26">
        <f t="shared" si="8"/>
        <v>170497.67499999999</v>
      </c>
      <c r="T81" s="26">
        <f t="shared" si="9"/>
        <v>20000</v>
      </c>
      <c r="V81" t="s">
        <v>1644</v>
      </c>
    </row>
    <row r="82" spans="1:23" x14ac:dyDescent="0.25">
      <c r="A82" s="31" t="s">
        <v>1642</v>
      </c>
      <c r="B82" t="str">
        <f>VLOOKUP(A82,kurspris!$A$1:$Q$907,2,FALSE)</f>
        <v>Utbildningsvetenskap, undervisning och lärande - Ämneslärarprogrammet (UK)</v>
      </c>
      <c r="C82" s="31">
        <v>5740</v>
      </c>
      <c r="D82" t="str">
        <f>VLOOKUP(C82,Orgenheter!$A$1:$B$214,2)</f>
        <v>NMD</v>
      </c>
      <c r="E82" t="str">
        <f>VLOOKUP(C82,Orgenheter!$A$1:$C$166,3,FALSE)</f>
        <v>TekNat</v>
      </c>
      <c r="F82" s="262">
        <f>1/8</f>
        <v>0.125</v>
      </c>
      <c r="G82">
        <f>VLOOKUP(A82,'Ansvar kurs'!$A$98:$C$1072,2,FALSE)</f>
        <v>2180</v>
      </c>
      <c r="H82" t="str">
        <f>VLOOKUP(G82,Orgenheter!$A$1:$B$214,2)</f>
        <v xml:space="preserve">Pedagogik                     </v>
      </c>
      <c r="I82" t="str">
        <f>VLOOKUP(G82,Orgenheter!$A$1:$C$166,3,FALSE)</f>
        <v>Sam</v>
      </c>
      <c r="J82" s="192">
        <f>IF(ISERROR(VLOOKUP(A82,'Totalt pivot'!$A$5:$C$397,2,FALSE)),0,(VLOOKUP(A82,'Totalt pivot'!$A$5:$C$397,2,FALSE)))</f>
        <v>13.333333333333332</v>
      </c>
      <c r="K82" s="192">
        <f t="shared" si="5"/>
        <v>1.6666666666666665</v>
      </c>
      <c r="L82" s="192">
        <f>IF(ISERROR(VLOOKUP(A82,'Totalt pivot'!$A$5:$C$397,3,FALSE)),0,(VLOOKUP(A82,'Totalt pivot'!$A$5:$C$397,3,FALSE)))</f>
        <v>11.333333333333332</v>
      </c>
      <c r="M82" s="192">
        <f t="shared" si="6"/>
        <v>1.4166666666666665</v>
      </c>
      <c r="N82" s="26">
        <f>VLOOKUP(A82,kurspris!$A$1:$Q$907,15)</f>
        <v>26554</v>
      </c>
      <c r="O82" s="26">
        <f>VLOOKUP(A82,kurspris!$A$1:$Q$907,16)</f>
        <v>33465</v>
      </c>
      <c r="P82" s="26">
        <f>VLOOKUP(A82,kurspris!$A$1:$Q$907,17)</f>
        <v>6000</v>
      </c>
      <c r="Q82" s="26">
        <f t="shared" si="7"/>
        <v>91665.416666666657</v>
      </c>
      <c r="R82" s="26">
        <f>(Q82*Prislapp!$R$5)*-1</f>
        <v>-6416.5791666666664</v>
      </c>
      <c r="S82" s="26">
        <f t="shared" si="8"/>
        <v>85248.837499999994</v>
      </c>
      <c r="T82" s="26">
        <f t="shared" si="9"/>
        <v>10000</v>
      </c>
      <c r="V82" t="s">
        <v>1644</v>
      </c>
    </row>
    <row r="83" spans="1:23" x14ac:dyDescent="0.25">
      <c r="A83" s="31" t="s">
        <v>1583</v>
      </c>
      <c r="B83" t="str">
        <f>VLOOKUP(A83,kurspris!$A$1:$Q$907,2,FALSE)</f>
        <v>Den professionella läraren 2: Uppdrag, ledarskap och undervisning (UK)</v>
      </c>
      <c r="C83" s="31">
        <v>2193</v>
      </c>
      <c r="D83" t="str">
        <f>VLOOKUP(C83,Orgenheter!$A$1:$B$214,2)</f>
        <v xml:space="preserve">TUV </v>
      </c>
      <c r="E83" t="str">
        <f>VLOOKUP(C83,Orgenheter!$A$1:$C$166,3,FALSE)</f>
        <v>Sam</v>
      </c>
      <c r="F83" s="262">
        <f>2/7.5</f>
        <v>0.26666666666666666</v>
      </c>
      <c r="G83">
        <f>VLOOKUP(A83,'Ansvar kurs'!$A$98:$C$1072,2,FALSE)</f>
        <v>2180</v>
      </c>
      <c r="H83" t="str">
        <f>VLOOKUP(G83,Orgenheter!$A$1:$B$214,2)</f>
        <v xml:space="preserve">Pedagogik                     </v>
      </c>
      <c r="I83" t="str">
        <f>VLOOKUP(G83,Orgenheter!$A$1:$C$166,3,FALSE)</f>
        <v>Sam</v>
      </c>
      <c r="J83" s="192">
        <f>IF(ISERROR(VLOOKUP(A83,'Totalt pivot'!$A$5:$C$397,2,FALSE)),0,(VLOOKUP(A83,'Totalt pivot'!$A$5:$C$397,2,FALSE)))</f>
        <v>0</v>
      </c>
      <c r="K83" s="192">
        <f t="shared" si="5"/>
        <v>0</v>
      </c>
      <c r="L83" s="192">
        <f>IF(ISERROR(VLOOKUP(A83,'Totalt pivot'!$A$5:$C$397,3,FALSE)),0,(VLOOKUP(A83,'Totalt pivot'!$A$5:$C$397,3,FALSE)))</f>
        <v>0</v>
      </c>
      <c r="M83" s="192">
        <f t="shared" si="6"/>
        <v>0</v>
      </c>
      <c r="N83" s="26">
        <f>VLOOKUP(A83,kurspris!$A$1:$Q$907,15)</f>
        <v>26554</v>
      </c>
      <c r="O83" s="26">
        <f>VLOOKUP(A83,kurspris!$A$1:$Q$907,16)</f>
        <v>33465</v>
      </c>
      <c r="P83" s="26">
        <f>VLOOKUP(A83,kurspris!$A$1:$Q$907,17)</f>
        <v>6000</v>
      </c>
      <c r="Q83" s="26">
        <f t="shared" si="7"/>
        <v>0</v>
      </c>
      <c r="R83" s="26">
        <f>(Q83*Prislapp!$R$5)*-1</f>
        <v>0</v>
      </c>
      <c r="S83" s="26">
        <f t="shared" si="8"/>
        <v>0</v>
      </c>
      <c r="T83" s="26">
        <f t="shared" si="9"/>
        <v>0</v>
      </c>
      <c r="V83" s="281" t="s">
        <v>1580</v>
      </c>
    </row>
    <row r="84" spans="1:23" x14ac:dyDescent="0.25">
      <c r="A84" s="31" t="s">
        <v>1536</v>
      </c>
      <c r="B84" t="str">
        <f>VLOOKUP(A84,kurspris!$A$1:$Q$907,2,FALSE)</f>
        <v>Barnet, omvärlden och fritidshemmets uppdrag</v>
      </c>
      <c r="C84" s="31">
        <v>2180</v>
      </c>
      <c r="D84" t="str">
        <f>VLOOKUP(C84,Orgenheter!$A$1:$B$214,2)</f>
        <v xml:space="preserve">Pedagogik                     </v>
      </c>
      <c r="E84" t="str">
        <f>VLOOKUP(C84,Orgenheter!$A$1:$C$166,3,FALSE)</f>
        <v>Sam</v>
      </c>
      <c r="F84" s="262">
        <f>3/15</f>
        <v>0.2</v>
      </c>
      <c r="G84">
        <f>VLOOKUP(A84,'Ansvar kurs'!$A$98:$C$1072,2,FALSE)</f>
        <v>2193</v>
      </c>
      <c r="H84" t="str">
        <f>VLOOKUP(G84,Orgenheter!$A$1:$B$214,2)</f>
        <v xml:space="preserve">TUV </v>
      </c>
      <c r="I84" t="str">
        <f>VLOOKUP(G84,Orgenheter!$A$1:$C$166,3,FALSE)</f>
        <v>Sam</v>
      </c>
      <c r="J84" s="192">
        <f>IF(ISERROR(VLOOKUP(A84,'Totalt pivot'!$A$5:$C$397,2,FALSE)),0,(VLOOKUP(A84,'Totalt pivot'!$A$5:$C$397,2,FALSE)))</f>
        <v>6</v>
      </c>
      <c r="K84" s="192">
        <f t="shared" si="5"/>
        <v>1.2000000000000002</v>
      </c>
      <c r="L84" s="192">
        <f>IF(ISERROR(VLOOKUP(A84,'Totalt pivot'!$A$5:$C$397,3,FALSE)),0,(VLOOKUP(A84,'Totalt pivot'!$A$5:$C$397,3,FALSE)))</f>
        <v>5.0999999999999996</v>
      </c>
      <c r="M84" s="192">
        <f t="shared" si="6"/>
        <v>1.02</v>
      </c>
      <c r="N84" s="26">
        <f>VLOOKUP(A84,kurspris!$A$1:$Q$907,15)</f>
        <v>20766</v>
      </c>
      <c r="O84" s="26">
        <f>VLOOKUP(A84,kurspris!$A$1:$Q$907,16)</f>
        <v>17442</v>
      </c>
      <c r="P84" s="26">
        <f>VLOOKUP(A84,kurspris!$A$1:$Q$907,17)</f>
        <v>6000</v>
      </c>
      <c r="Q84" s="26">
        <f t="shared" si="7"/>
        <v>42710.040000000008</v>
      </c>
      <c r="R84" s="26">
        <f>(Q84*Prislapp!$R$5)*-1</f>
        <v>-2989.7028000000009</v>
      </c>
      <c r="S84" s="26">
        <f t="shared" si="8"/>
        <v>39720.337200000009</v>
      </c>
      <c r="T84" s="26">
        <f t="shared" si="9"/>
        <v>7200.0000000000009</v>
      </c>
      <c r="V84" s="173" t="s">
        <v>1673</v>
      </c>
      <c r="W84" s="173"/>
    </row>
    <row r="85" spans="1:23" x14ac:dyDescent="0.25">
      <c r="A85" s="31" t="s">
        <v>1542</v>
      </c>
      <c r="B85" t="str">
        <f>VLOOKUP(A85,kurspris!$A$1:$Q$907,2,FALSE)</f>
        <v>Bedömning för och av lärande i grundskolan (UK)</v>
      </c>
      <c r="C85" s="31">
        <v>2180</v>
      </c>
      <c r="D85" t="str">
        <f>VLOOKUP(C85,Orgenheter!$A$1:$B$214,2)</f>
        <v xml:space="preserve">Pedagogik                     </v>
      </c>
      <c r="E85" t="str">
        <f>VLOOKUP(C85,Orgenheter!$A$1:$C$166,3,FALSE)</f>
        <v>Sam</v>
      </c>
      <c r="F85" s="262">
        <f>2.5/11</f>
        <v>0.22727272727272727</v>
      </c>
      <c r="G85">
        <f>VLOOKUP(A85,'Ansvar kurs'!$A$98:$C$1072,2,FALSE)</f>
        <v>5740</v>
      </c>
      <c r="H85" t="str">
        <f>VLOOKUP(G85,Orgenheter!$A$1:$B$214,2)</f>
        <v>NMD</v>
      </c>
      <c r="I85" t="str">
        <f>VLOOKUP(G85,Orgenheter!$A$1:$C$166,3,FALSE)</f>
        <v>TekNat</v>
      </c>
      <c r="J85" s="192">
        <f>IF(ISERROR(VLOOKUP(A85,'Totalt pivot'!$A$5:$C$397,2,FALSE)),0,(VLOOKUP(A85,'Totalt pivot'!$A$5:$C$397,2,FALSE)))</f>
        <v>15.032999999999999</v>
      </c>
      <c r="K85" s="192">
        <f t="shared" si="5"/>
        <v>3.416590909090909</v>
      </c>
      <c r="L85" s="192">
        <f>IF(ISERROR(VLOOKUP(A85,'Totalt pivot'!$A$5:$C$397,3,FALSE)),0,(VLOOKUP(A85,'Totalt pivot'!$A$5:$C$397,3,FALSE)))</f>
        <v>12.77805</v>
      </c>
      <c r="M85" s="192">
        <f t="shared" si="6"/>
        <v>2.9041022727272727</v>
      </c>
      <c r="N85" s="26">
        <f>VLOOKUP(A85,kurspris!$A$1:$Q$907,15)</f>
        <v>26554</v>
      </c>
      <c r="O85" s="26">
        <f>VLOOKUP(A85,kurspris!$A$1:$Q$907,16)</f>
        <v>33465</v>
      </c>
      <c r="P85" s="26">
        <f>VLOOKUP(A85,kurspris!$A$1:$Q$907,17)</f>
        <v>6000</v>
      </c>
      <c r="Q85" s="26">
        <f t="shared" si="7"/>
        <v>187909.93755681819</v>
      </c>
      <c r="R85" s="26">
        <f>(Q85*Prislapp!$R$5)*-1</f>
        <v>-13153.695628977273</v>
      </c>
      <c r="S85" s="26">
        <f t="shared" si="8"/>
        <v>174756.24192784092</v>
      </c>
      <c r="T85" s="26">
        <f t="shared" si="9"/>
        <v>20499.545454545456</v>
      </c>
    </row>
    <row r="86" spans="1:23" x14ac:dyDescent="0.25">
      <c r="A86" s="31" t="s">
        <v>1542</v>
      </c>
      <c r="B86" t="str">
        <f>VLOOKUP(A86,kurspris!$A$1:$Q$907,2,FALSE)</f>
        <v>Bedömning för och av lärande i grundskolan (UK)</v>
      </c>
      <c r="C86" s="31">
        <v>2193</v>
      </c>
      <c r="D86" t="str">
        <f>VLOOKUP(C86,Orgenheter!$A$1:$B$214,2)</f>
        <v xml:space="preserve">TUV </v>
      </c>
      <c r="E86" t="str">
        <f>VLOOKUP(C86,Orgenheter!$A$1:$C$166,3,FALSE)</f>
        <v>Sam</v>
      </c>
      <c r="F86" s="262">
        <f>2.5/11</f>
        <v>0.22727272727272727</v>
      </c>
      <c r="G86">
        <f>VLOOKUP(A86,'Ansvar kurs'!$A$98:$C$1072,2,FALSE)</f>
        <v>5740</v>
      </c>
      <c r="H86" t="str">
        <f>VLOOKUP(G86,Orgenheter!$A$1:$B$214,2)</f>
        <v>NMD</v>
      </c>
      <c r="I86" t="str">
        <f>VLOOKUP(G86,Orgenheter!$A$1:$C$166,3,FALSE)</f>
        <v>TekNat</v>
      </c>
      <c r="J86" s="192">
        <f>IF(ISERROR(VLOOKUP(A86,'Totalt pivot'!$A$5:$C$397,2,FALSE)),0,(VLOOKUP(A86,'Totalt pivot'!$A$5:$C$397,2,FALSE)))</f>
        <v>15.032999999999999</v>
      </c>
      <c r="K86" s="192">
        <f t="shared" si="5"/>
        <v>3.416590909090909</v>
      </c>
      <c r="L86" s="192">
        <f>IF(ISERROR(VLOOKUP(A86,'Totalt pivot'!$A$5:$C$397,3,FALSE)),0,(VLOOKUP(A86,'Totalt pivot'!$A$5:$C$397,3,FALSE)))</f>
        <v>12.77805</v>
      </c>
      <c r="M86" s="192">
        <f t="shared" si="6"/>
        <v>2.9041022727272727</v>
      </c>
      <c r="N86" s="26">
        <f>VLOOKUP(A86,kurspris!$A$1:$Q$907,15)</f>
        <v>26554</v>
      </c>
      <c r="O86" s="26">
        <f>VLOOKUP(A86,kurspris!$A$1:$Q$907,16)</f>
        <v>33465</v>
      </c>
      <c r="P86" s="26">
        <f>VLOOKUP(A86,kurspris!$A$1:$Q$907,17)</f>
        <v>6000</v>
      </c>
      <c r="Q86" s="26">
        <f t="shared" si="7"/>
        <v>187909.93755681819</v>
      </c>
      <c r="R86" s="26">
        <f>(Q86*Prislapp!$R$5)*-1</f>
        <v>-13153.695628977273</v>
      </c>
      <c r="S86" s="26">
        <f t="shared" si="8"/>
        <v>174756.24192784092</v>
      </c>
      <c r="T86" s="26">
        <f t="shared" si="9"/>
        <v>20499.545454545456</v>
      </c>
    </row>
    <row r="87" spans="1:23" x14ac:dyDescent="0.25">
      <c r="A87" s="31" t="s">
        <v>1542</v>
      </c>
      <c r="B87" t="str">
        <f>VLOOKUP(A87,kurspris!$A$1:$Q$907,2,FALSE)</f>
        <v>Bedömning för och av lärande i grundskolan (UK)</v>
      </c>
      <c r="C87" s="31">
        <v>2300</v>
      </c>
      <c r="D87" t="str">
        <f>VLOOKUP(C87,Orgenheter!$A$1:$B$214,2)</f>
        <v xml:space="preserve">Juridiska institutionen       </v>
      </c>
      <c r="E87" t="str">
        <f>VLOOKUP(C87,Orgenheter!$A$1:$C$166,3,FALSE)</f>
        <v>Sam</v>
      </c>
      <c r="F87" s="262">
        <f>1/11</f>
        <v>9.0909090909090912E-2</v>
      </c>
      <c r="G87">
        <f>VLOOKUP(A87,'Ansvar kurs'!$A$98:$C$1072,2,FALSE)</f>
        <v>5740</v>
      </c>
      <c r="H87" t="str">
        <f>VLOOKUP(G87,Orgenheter!$A$1:$B$214,2)</f>
        <v>NMD</v>
      </c>
      <c r="I87" t="str">
        <f>VLOOKUP(G87,Orgenheter!$A$1:$C$166,3,FALSE)</f>
        <v>TekNat</v>
      </c>
      <c r="J87" s="192">
        <f>IF(ISERROR(VLOOKUP(A87,'Totalt pivot'!$A$5:$C$397,2,FALSE)),0,(VLOOKUP(A87,'Totalt pivot'!$A$5:$C$397,2,FALSE)))</f>
        <v>15.032999999999999</v>
      </c>
      <c r="K87" s="192">
        <f t="shared" si="5"/>
        <v>1.3666363636363636</v>
      </c>
      <c r="L87" s="192">
        <f>IF(ISERROR(VLOOKUP(A87,'Totalt pivot'!$A$5:$C$397,3,FALSE)),0,(VLOOKUP(A87,'Totalt pivot'!$A$5:$C$397,3,FALSE)))</f>
        <v>12.77805</v>
      </c>
      <c r="M87" s="192">
        <f t="shared" si="6"/>
        <v>1.1616409090909092</v>
      </c>
      <c r="N87" s="26">
        <f>VLOOKUP(A87,kurspris!$A$1:$Q$907,15)</f>
        <v>26554</v>
      </c>
      <c r="O87" s="26">
        <f>VLOOKUP(A87,kurspris!$A$1:$Q$907,16)</f>
        <v>33465</v>
      </c>
      <c r="P87" s="26">
        <f>VLOOKUP(A87,kurspris!$A$1:$Q$907,17)</f>
        <v>6000</v>
      </c>
      <c r="Q87" s="26">
        <f t="shared" si="7"/>
        <v>75163.975022727274</v>
      </c>
      <c r="R87" s="26">
        <f>(Q87*Prislapp!$R$5)*-1</f>
        <v>-5261.4782515909101</v>
      </c>
      <c r="S87" s="26">
        <f t="shared" si="8"/>
        <v>69902.496771136357</v>
      </c>
      <c r="T87" s="26">
        <f t="shared" si="9"/>
        <v>8199.818181818182</v>
      </c>
    </row>
    <row r="88" spans="1:23" x14ac:dyDescent="0.25">
      <c r="A88" s="244" t="s">
        <v>1533</v>
      </c>
      <c r="B88" t="str">
        <f>VLOOKUP(A88,kurspris!$A$1:$Q$907,2,FALSE)</f>
        <v>Bedömning för lärande i förskolan (UK)</v>
      </c>
      <c r="C88" s="31">
        <v>2193</v>
      </c>
      <c r="D88" t="str">
        <f>VLOOKUP(C88,Orgenheter!$A$1:$B$214,2)</f>
        <v xml:space="preserve">TUV </v>
      </c>
      <c r="E88" t="str">
        <f>VLOOKUP(C88,Orgenheter!$A$1:$C$166,3,FALSE)</f>
        <v>Sam</v>
      </c>
      <c r="F88" s="262">
        <f>3/10</f>
        <v>0.3</v>
      </c>
      <c r="G88">
        <f>VLOOKUP(A88,'Ansvar kurs'!$A$98:$C$1072,2,FALSE)</f>
        <v>5740</v>
      </c>
      <c r="H88" t="str">
        <f>VLOOKUP(G88,Orgenheter!$A$1:$B$214,2)</f>
        <v>NMD</v>
      </c>
      <c r="I88" t="str">
        <f>VLOOKUP(G88,Orgenheter!$A$1:$C$166,3,FALSE)</f>
        <v>TekNat</v>
      </c>
      <c r="J88" s="192">
        <f>IF(ISERROR(VLOOKUP(A88,'Totalt pivot'!$A$5:$C$397,2,FALSE)),0,(VLOOKUP(A88,'Totalt pivot'!$A$5:$C$397,2,FALSE)))</f>
        <v>9.8003333333333327</v>
      </c>
      <c r="K88" s="192">
        <f t="shared" si="5"/>
        <v>2.9400999999999997</v>
      </c>
      <c r="L88" s="192">
        <f>IF(ISERROR(VLOOKUP(A88,'Totalt pivot'!$A$5:$C$397,3,FALSE)),0,(VLOOKUP(A88,'Totalt pivot'!$A$5:$C$397,3,FALSE)))</f>
        <v>8.3302833333333339</v>
      </c>
      <c r="M88" s="192">
        <f t="shared" si="6"/>
        <v>2.499085</v>
      </c>
      <c r="N88" s="26">
        <f>VLOOKUP(A88,kurspris!$A$1:$Q$907,15)</f>
        <v>26554</v>
      </c>
      <c r="O88" s="26">
        <f>VLOOKUP(A88,kurspris!$A$1:$Q$907,16)</f>
        <v>33465</v>
      </c>
      <c r="P88" s="26">
        <f>VLOOKUP(A88,kurspris!$A$1:$Q$907,17)</f>
        <v>6000</v>
      </c>
      <c r="Q88" s="26">
        <f t="shared" si="7"/>
        <v>161703.29492499999</v>
      </c>
      <c r="R88" s="26">
        <f>(Q88*Prislapp!$R$5)*-1</f>
        <v>-11319.230644750001</v>
      </c>
      <c r="S88" s="26">
        <f t="shared" si="8"/>
        <v>150384.06428024999</v>
      </c>
      <c r="T88" s="26">
        <f t="shared" si="9"/>
        <v>17640.599999999999</v>
      </c>
      <c r="V88" t="s">
        <v>1669</v>
      </c>
    </row>
    <row r="89" spans="1:23" x14ac:dyDescent="0.25">
      <c r="A89" s="244" t="s">
        <v>1533</v>
      </c>
      <c r="B89" t="str">
        <f>VLOOKUP(A89,kurspris!$A$1:$Q$907,2,FALSE)</f>
        <v>Bedömning för lärande i förskolan (UK)</v>
      </c>
      <c r="C89" s="31">
        <v>2300</v>
      </c>
      <c r="D89" t="str">
        <f>VLOOKUP(C89,Orgenheter!$A$1:$B$214,2)</f>
        <v xml:space="preserve">Juridiska institutionen       </v>
      </c>
      <c r="E89" t="str">
        <f>VLOOKUP(C89,Orgenheter!$A$1:$C$166,3,FALSE)</f>
        <v>Sam</v>
      </c>
      <c r="F89" s="262">
        <f>1/10</f>
        <v>0.1</v>
      </c>
      <c r="G89">
        <f>VLOOKUP(A89,'Ansvar kurs'!$A$98:$C$1072,2,FALSE)</f>
        <v>5740</v>
      </c>
      <c r="H89" t="str">
        <f>VLOOKUP(G89,Orgenheter!$A$1:$B$214,2)</f>
        <v>NMD</v>
      </c>
      <c r="I89" t="str">
        <f>VLOOKUP(G89,Orgenheter!$A$1:$C$166,3,FALSE)</f>
        <v>TekNat</v>
      </c>
      <c r="J89" s="192">
        <f>IF(ISERROR(VLOOKUP(A89,'Totalt pivot'!$A$5:$C$397,2,FALSE)),0,(VLOOKUP(A89,'Totalt pivot'!$A$5:$C$397,2,FALSE)))</f>
        <v>9.8003333333333327</v>
      </c>
      <c r="K89" s="192">
        <f t="shared" si="5"/>
        <v>0.98003333333333331</v>
      </c>
      <c r="L89" s="192">
        <f>IF(ISERROR(VLOOKUP(A89,'Totalt pivot'!$A$5:$C$397,3,FALSE)),0,(VLOOKUP(A89,'Totalt pivot'!$A$5:$C$397,3,FALSE)))</f>
        <v>8.3302833333333339</v>
      </c>
      <c r="M89" s="192">
        <f t="shared" si="6"/>
        <v>0.83302833333333348</v>
      </c>
      <c r="N89" s="26">
        <f>VLOOKUP(A89,kurspris!$A$1:$Q$907,15)</f>
        <v>26554</v>
      </c>
      <c r="O89" s="26">
        <f>VLOOKUP(A89,kurspris!$A$1:$Q$907,16)</f>
        <v>33465</v>
      </c>
      <c r="P89" s="26">
        <f>VLOOKUP(A89,kurspris!$A$1:$Q$907,17)</f>
        <v>6000</v>
      </c>
      <c r="Q89" s="26">
        <f t="shared" si="7"/>
        <v>53901.098308333341</v>
      </c>
      <c r="R89" s="26">
        <f>(Q89*Prislapp!$R$5)*-1</f>
        <v>-3773.0768815833344</v>
      </c>
      <c r="S89" s="26">
        <f t="shared" si="8"/>
        <v>50128.021426750005</v>
      </c>
      <c r="T89" s="26">
        <f t="shared" si="9"/>
        <v>5880.2</v>
      </c>
      <c r="V89" t="s">
        <v>1669</v>
      </c>
    </row>
    <row r="90" spans="1:23" x14ac:dyDescent="0.25">
      <c r="A90" s="31" t="s">
        <v>1658</v>
      </c>
      <c r="B90" t="str">
        <f>VLOOKUP(A90,kurspris!$A$1:$Q$907,2,FALSE)</f>
        <v>Bedömning för och av lärande för åk 7-9 och gymnasium (UK)</v>
      </c>
      <c r="C90" s="31">
        <v>2180</v>
      </c>
      <c r="D90" t="str">
        <f>VLOOKUP(C90,Orgenheter!$A$1:$B$214,2)</f>
        <v xml:space="preserve">Pedagogik                     </v>
      </c>
      <c r="E90" t="str">
        <f>VLOOKUP(C90,Orgenheter!$A$1:$C$166,3,FALSE)</f>
        <v>Sam</v>
      </c>
      <c r="F90" s="262">
        <f>2.5/11</f>
        <v>0.22727272727272727</v>
      </c>
      <c r="G90">
        <f>VLOOKUP(A90,'Ansvar kurs'!$A$98:$C$1072,2,FALSE)</f>
        <v>5740</v>
      </c>
      <c r="H90" t="str">
        <f>VLOOKUP(G90,Orgenheter!$A$1:$B$214,2)</f>
        <v>NMD</v>
      </c>
      <c r="I90" t="str">
        <f>VLOOKUP(G90,Orgenheter!$A$1:$C$166,3,FALSE)</f>
        <v>TekNat</v>
      </c>
      <c r="J90" s="192">
        <f>IF(ISERROR(VLOOKUP(A90,'Totalt pivot'!$A$5:$C$397,2,FALSE)),0,(VLOOKUP(A90,'Totalt pivot'!$A$5:$C$397,2,FALSE)))</f>
        <v>18.516666666666666</v>
      </c>
      <c r="K90" s="192">
        <f t="shared" si="5"/>
        <v>4.208333333333333</v>
      </c>
      <c r="L90" s="192">
        <f>IF(ISERROR(VLOOKUP(A90,'Totalt pivot'!$A$5:$C$397,3,FALSE)),0,(VLOOKUP(A90,'Totalt pivot'!$A$5:$C$397,3,FALSE)))</f>
        <v>15.739166666666666</v>
      </c>
      <c r="M90" s="192">
        <f t="shared" si="6"/>
        <v>3.5770833333333329</v>
      </c>
      <c r="N90" s="26">
        <f>VLOOKUP(A90,kurspris!$A$1:$Q$907,15)</f>
        <v>26554</v>
      </c>
      <c r="O90" s="26">
        <f>VLOOKUP(A90,kurspris!$A$1:$Q$907,16)</f>
        <v>33465</v>
      </c>
      <c r="P90" s="26">
        <f>VLOOKUP(A90,kurspris!$A$1:$Q$907,17)</f>
        <v>6000</v>
      </c>
      <c r="Q90" s="26">
        <f t="shared" si="7"/>
        <v>231455.17708333331</v>
      </c>
      <c r="R90" s="26">
        <f>(Q90*Prislapp!$R$5)*-1</f>
        <v>-16201.862395833334</v>
      </c>
      <c r="S90" s="26">
        <f t="shared" si="8"/>
        <v>215253.31468749998</v>
      </c>
      <c r="T90" s="26">
        <f t="shared" si="9"/>
        <v>25250</v>
      </c>
      <c r="V90" t="s">
        <v>1644</v>
      </c>
    </row>
    <row r="91" spans="1:23" x14ac:dyDescent="0.25">
      <c r="A91" s="31" t="s">
        <v>1658</v>
      </c>
      <c r="B91" t="str">
        <f>VLOOKUP(A91,kurspris!$A$1:$Q$907,2,FALSE)</f>
        <v>Bedömning för och av lärande för åk 7-9 och gymnasium (UK)</v>
      </c>
      <c r="C91" s="31">
        <v>2193</v>
      </c>
      <c r="D91" t="str">
        <f>VLOOKUP(C91,Orgenheter!$A$1:$B$214,2)</f>
        <v xml:space="preserve">TUV </v>
      </c>
      <c r="E91" t="str">
        <f>VLOOKUP(C91,Orgenheter!$A$1:$C$166,3,FALSE)</f>
        <v>Sam</v>
      </c>
      <c r="F91" s="262">
        <f>2.5/11</f>
        <v>0.22727272727272727</v>
      </c>
      <c r="G91">
        <f>VLOOKUP(A91,'Ansvar kurs'!$A$98:$C$1072,2,FALSE)</f>
        <v>5740</v>
      </c>
      <c r="H91" t="str">
        <f>VLOOKUP(G91,Orgenheter!$A$1:$B$214,2)</f>
        <v>NMD</v>
      </c>
      <c r="I91" t="str">
        <f>VLOOKUP(G91,Orgenheter!$A$1:$C$166,3,FALSE)</f>
        <v>TekNat</v>
      </c>
      <c r="J91" s="192">
        <f>IF(ISERROR(VLOOKUP(A91,'Totalt pivot'!$A$5:$C$397,2,FALSE)),0,(VLOOKUP(A91,'Totalt pivot'!$A$5:$C$397,2,FALSE)))</f>
        <v>18.516666666666666</v>
      </c>
      <c r="K91" s="192">
        <f t="shared" si="5"/>
        <v>4.208333333333333</v>
      </c>
      <c r="L91" s="192">
        <f>IF(ISERROR(VLOOKUP(A91,'Totalt pivot'!$A$5:$C$397,3,FALSE)),0,(VLOOKUP(A91,'Totalt pivot'!$A$5:$C$397,3,FALSE)))</f>
        <v>15.739166666666666</v>
      </c>
      <c r="M91" s="192">
        <f t="shared" si="6"/>
        <v>3.5770833333333329</v>
      </c>
      <c r="N91" s="26">
        <f>VLOOKUP(A91,kurspris!$A$1:$Q$907,15)</f>
        <v>26554</v>
      </c>
      <c r="O91" s="26">
        <f>VLOOKUP(A91,kurspris!$A$1:$Q$907,16)</f>
        <v>33465</v>
      </c>
      <c r="P91" s="26">
        <f>VLOOKUP(A91,kurspris!$A$1:$Q$907,17)</f>
        <v>6000</v>
      </c>
      <c r="Q91" s="26">
        <f t="shared" si="7"/>
        <v>231455.17708333331</v>
      </c>
      <c r="R91" s="26">
        <f>(Q91*Prislapp!$R$5)*-1</f>
        <v>-16201.862395833334</v>
      </c>
      <c r="S91" s="26">
        <f t="shared" si="8"/>
        <v>215253.31468749998</v>
      </c>
      <c r="T91" s="26">
        <f t="shared" si="9"/>
        <v>25250</v>
      </c>
      <c r="V91" t="s">
        <v>1644</v>
      </c>
    </row>
    <row r="92" spans="1:23" x14ac:dyDescent="0.25">
      <c r="A92" s="31" t="s">
        <v>1658</v>
      </c>
      <c r="B92" t="str">
        <f>VLOOKUP(A92,kurspris!$A$1:$Q$907,2,FALSE)</f>
        <v>Bedömning för och av lärande för åk 7-9 och gymnasium (UK)</v>
      </c>
      <c r="C92" s="31">
        <v>2300</v>
      </c>
      <c r="D92" t="str">
        <f>VLOOKUP(C92,Orgenheter!$A$1:$B$214,2)</f>
        <v xml:space="preserve">Juridiska institutionen       </v>
      </c>
      <c r="E92" t="str">
        <f>VLOOKUP(C92,Orgenheter!$A$1:$C$166,3,FALSE)</f>
        <v>Sam</v>
      </c>
      <c r="F92" s="262">
        <f>1/11</f>
        <v>9.0909090909090912E-2</v>
      </c>
      <c r="G92">
        <f>VLOOKUP(A92,'Ansvar kurs'!$A$98:$C$1072,2,FALSE)</f>
        <v>5740</v>
      </c>
      <c r="H92" t="str">
        <f>VLOOKUP(G92,Orgenheter!$A$1:$B$214,2)</f>
        <v>NMD</v>
      </c>
      <c r="I92" t="str">
        <f>VLOOKUP(G92,Orgenheter!$A$1:$C$166,3,FALSE)</f>
        <v>TekNat</v>
      </c>
      <c r="J92" s="192">
        <f>IF(ISERROR(VLOOKUP(A92,'Totalt pivot'!$A$5:$C$397,2,FALSE)),0,(VLOOKUP(A92,'Totalt pivot'!$A$5:$C$397,2,FALSE)))</f>
        <v>18.516666666666666</v>
      </c>
      <c r="K92" s="192">
        <f t="shared" si="5"/>
        <v>1.6833333333333333</v>
      </c>
      <c r="L92" s="192">
        <f>IF(ISERROR(VLOOKUP(A92,'Totalt pivot'!$A$5:$C$397,3,FALSE)),0,(VLOOKUP(A92,'Totalt pivot'!$A$5:$C$397,3,FALSE)))</f>
        <v>15.739166666666666</v>
      </c>
      <c r="M92" s="192">
        <f t="shared" si="6"/>
        <v>1.4308333333333334</v>
      </c>
      <c r="N92" s="26">
        <f>VLOOKUP(A92,kurspris!$A$1:$Q$907,15)</f>
        <v>26554</v>
      </c>
      <c r="O92" s="26">
        <f>VLOOKUP(A92,kurspris!$A$1:$Q$907,16)</f>
        <v>33465</v>
      </c>
      <c r="P92" s="26">
        <f>VLOOKUP(A92,kurspris!$A$1:$Q$907,17)</f>
        <v>6000</v>
      </c>
      <c r="Q92" s="26">
        <f t="shared" si="7"/>
        <v>92582.070833333331</v>
      </c>
      <c r="R92" s="26">
        <f>(Q92*Prislapp!$R$5)*-1</f>
        <v>-6480.7449583333337</v>
      </c>
      <c r="S92" s="26">
        <f t="shared" si="8"/>
        <v>86101.325874999995</v>
      </c>
      <c r="T92" s="26">
        <f t="shared" si="9"/>
        <v>10100</v>
      </c>
      <c r="V92" t="s">
        <v>1644</v>
      </c>
    </row>
    <row r="93" spans="1:23" x14ac:dyDescent="0.25">
      <c r="A93" s="60" t="s">
        <v>1715</v>
      </c>
      <c r="B93" t="str">
        <f>VLOOKUP(A93,kurspris!$A$1:$Q$907,2,FALSE)</f>
        <v>Kunskap, undervisning och lärande 2</v>
      </c>
      <c r="C93" s="31">
        <v>1650</v>
      </c>
      <c r="D93" t="str">
        <f>VLOOKUP(C93,Orgenheter!$A$1:$B$214,2)</f>
        <v xml:space="preserve">Estetiska ämnen               </v>
      </c>
      <c r="E93" t="str">
        <f>VLOOKUP(C93,Orgenheter!$A$1:$C$166,3,FALSE)</f>
        <v>Hum</v>
      </c>
      <c r="F93" s="262">
        <f>4/15</f>
        <v>0.26666666666666666</v>
      </c>
      <c r="G93">
        <f>VLOOKUP(A93,'Ansvar kurs'!$A$98:$C$1072,2,FALSE)</f>
        <v>5740</v>
      </c>
      <c r="H93" t="str">
        <f>VLOOKUP(G93,Orgenheter!$A$1:$B$214,2)</f>
        <v>NMD</v>
      </c>
      <c r="I93" t="str">
        <f>VLOOKUP(G93,Orgenheter!$A$1:$C$166,3,FALSE)</f>
        <v>TekNat</v>
      </c>
      <c r="J93" s="192">
        <f>IF(ISERROR(VLOOKUP(A93,'Totalt pivot'!$A$5:$C$397,2,FALSE)),0,(VLOOKUP(A93,'Totalt pivot'!$A$5:$C$397,2,FALSE)))</f>
        <v>0.5</v>
      </c>
      <c r="K93" s="192">
        <f t="shared" si="5"/>
        <v>0.13333333333333333</v>
      </c>
      <c r="L93" s="192">
        <f>IF(ISERROR(VLOOKUP(A93,'Totalt pivot'!$A$5:$C$397,3,FALSE)),0,(VLOOKUP(A93,'Totalt pivot'!$A$5:$C$397,3,FALSE)))</f>
        <v>0.42499999999999999</v>
      </c>
      <c r="M93" s="192">
        <f t="shared" si="6"/>
        <v>0.11333333333333333</v>
      </c>
      <c r="N93" s="26">
        <f>VLOOKUP(A93,kurspris!$A$1:$Q$907,15)</f>
        <v>26554</v>
      </c>
      <c r="O93" s="26">
        <f>VLOOKUP(A93,kurspris!$A$1:$Q$907,16)</f>
        <v>33465</v>
      </c>
      <c r="P93" s="26">
        <f>VLOOKUP(A93,kurspris!$A$1:$Q$907,17)</f>
        <v>6000</v>
      </c>
      <c r="Q93" s="26">
        <f t="shared" si="7"/>
        <v>7333.2333333333336</v>
      </c>
      <c r="R93" s="26">
        <f>(Q93*Prislapp!$R$5)*-1</f>
        <v>-513.32633333333342</v>
      </c>
      <c r="S93" s="26">
        <f t="shared" si="8"/>
        <v>6819.9070000000002</v>
      </c>
      <c r="T93" s="26">
        <f t="shared" si="9"/>
        <v>800</v>
      </c>
    </row>
    <row r="94" spans="1:23" x14ac:dyDescent="0.25">
      <c r="A94" s="60" t="s">
        <v>1715</v>
      </c>
      <c r="B94" t="str">
        <f>VLOOKUP(A94,kurspris!$A$1:$Q$907,2,FALSE)</f>
        <v>Kunskap, undervisning och lärande 2</v>
      </c>
      <c r="C94" s="31">
        <v>2193</v>
      </c>
      <c r="D94" t="str">
        <f>VLOOKUP(C94,Orgenheter!$A$1:$B$214,2)</f>
        <v xml:space="preserve">TUV </v>
      </c>
      <c r="E94" t="str">
        <f>VLOOKUP(C94,Orgenheter!$A$1:$C$166,3,FALSE)</f>
        <v>Sam</v>
      </c>
      <c r="F94" s="262">
        <f>3/15</f>
        <v>0.2</v>
      </c>
      <c r="G94">
        <f>VLOOKUP(A94,'Ansvar kurs'!$A$98:$C$1072,2,FALSE)</f>
        <v>5740</v>
      </c>
      <c r="H94" t="str">
        <f>VLOOKUP(G94,Orgenheter!$A$1:$B$214,2)</f>
        <v>NMD</v>
      </c>
      <c r="I94" t="str">
        <f>VLOOKUP(G94,Orgenheter!$A$1:$C$166,3,FALSE)</f>
        <v>TekNat</v>
      </c>
      <c r="J94" s="192">
        <f>IF(ISERROR(VLOOKUP(A94,'Totalt pivot'!$A$5:$C$397,2,FALSE)),0,(VLOOKUP(A94,'Totalt pivot'!$A$5:$C$397,2,FALSE)))</f>
        <v>0.5</v>
      </c>
      <c r="K94" s="192">
        <f t="shared" si="5"/>
        <v>0.1</v>
      </c>
      <c r="L94" s="192">
        <f>IF(ISERROR(VLOOKUP(A94,'Totalt pivot'!$A$5:$C$397,3,FALSE)),0,(VLOOKUP(A94,'Totalt pivot'!$A$5:$C$397,3,FALSE)))</f>
        <v>0.42499999999999999</v>
      </c>
      <c r="M94" s="192">
        <f t="shared" si="6"/>
        <v>8.5000000000000006E-2</v>
      </c>
      <c r="N94" s="26">
        <f>VLOOKUP(A94,kurspris!$A$1:$Q$907,15)</f>
        <v>26554</v>
      </c>
      <c r="O94" s="26">
        <f>VLOOKUP(A94,kurspris!$A$1:$Q$907,16)</f>
        <v>33465</v>
      </c>
      <c r="P94" s="26">
        <f>VLOOKUP(A94,kurspris!$A$1:$Q$907,17)</f>
        <v>6000</v>
      </c>
      <c r="Q94" s="26">
        <f t="shared" si="7"/>
        <v>5499.9250000000002</v>
      </c>
      <c r="R94" s="26">
        <f>(Q94*Prislapp!$R$5)*-1</f>
        <v>-384.99475000000007</v>
      </c>
      <c r="S94" s="26">
        <f t="shared" si="8"/>
        <v>5114.9302500000003</v>
      </c>
      <c r="T94" s="26">
        <f t="shared" si="9"/>
        <v>600</v>
      </c>
    </row>
    <row r="95" spans="1:23" x14ac:dyDescent="0.25">
      <c r="A95" s="60" t="s">
        <v>1715</v>
      </c>
      <c r="B95" t="str">
        <f>VLOOKUP(A95,kurspris!$A$1:$Q$907,2,FALSE)</f>
        <v>Kunskap, undervisning och lärande 2</v>
      </c>
      <c r="C95" s="31">
        <v>2180</v>
      </c>
      <c r="D95" t="str">
        <f>VLOOKUP(C95,Orgenheter!$A$1:$B$214,2)</f>
        <v xml:space="preserve">Pedagogik                     </v>
      </c>
      <c r="E95" t="str">
        <f>VLOOKUP(C95,Orgenheter!$A$1:$C$166,3,FALSE)</f>
        <v>Sam</v>
      </c>
      <c r="F95" s="262">
        <f>3/15</f>
        <v>0.2</v>
      </c>
      <c r="G95">
        <f>VLOOKUP(A95,'Ansvar kurs'!$A$98:$C$1072,2,FALSE)</f>
        <v>5740</v>
      </c>
      <c r="H95" t="str">
        <f>VLOOKUP(G95,Orgenheter!$A$1:$B$214,2)</f>
        <v>NMD</v>
      </c>
      <c r="I95" t="str">
        <f>VLOOKUP(G95,Orgenheter!$A$1:$C$166,3,FALSE)</f>
        <v>TekNat</v>
      </c>
      <c r="J95" s="192">
        <f>IF(ISERROR(VLOOKUP(A95,'Totalt pivot'!$A$5:$C$397,2,FALSE)),0,(VLOOKUP(A95,'Totalt pivot'!$A$5:$C$397,2,FALSE)))</f>
        <v>0.5</v>
      </c>
      <c r="K95" s="192">
        <f t="shared" si="5"/>
        <v>0.1</v>
      </c>
      <c r="L95" s="192">
        <f>IF(ISERROR(VLOOKUP(A95,'Totalt pivot'!$A$5:$C$397,3,FALSE)),0,(VLOOKUP(A95,'Totalt pivot'!$A$5:$C$397,3,FALSE)))</f>
        <v>0.42499999999999999</v>
      </c>
      <c r="M95" s="192">
        <f t="shared" si="6"/>
        <v>8.5000000000000006E-2</v>
      </c>
      <c r="N95" s="26">
        <f>VLOOKUP(A95,kurspris!$A$1:$Q$907,15)</f>
        <v>26554</v>
      </c>
      <c r="O95" s="26">
        <f>VLOOKUP(A95,kurspris!$A$1:$Q$907,16)</f>
        <v>33465</v>
      </c>
      <c r="P95" s="26">
        <f>VLOOKUP(A95,kurspris!$A$1:$Q$907,17)</f>
        <v>6000</v>
      </c>
      <c r="Q95" s="26">
        <f t="shared" si="7"/>
        <v>5499.9250000000002</v>
      </c>
      <c r="R95" s="26">
        <f>(Q95*Prislapp!$R$5)*-1</f>
        <v>-384.99475000000007</v>
      </c>
      <c r="S95" s="26">
        <f t="shared" si="8"/>
        <v>5114.9302500000003</v>
      </c>
      <c r="T95" s="26">
        <f t="shared" si="9"/>
        <v>600</v>
      </c>
    </row>
    <row r="96" spans="1:23" x14ac:dyDescent="0.25">
      <c r="A96" s="31" t="s">
        <v>1703</v>
      </c>
      <c r="B96" t="str">
        <f>VLOOKUP(A96,kurspris!$A$1:$Q$907,2,FALSE)</f>
        <v>Läraryrkets dimensioner för förskoleklass och grundskolans årskurs 1-3 (VFU)</v>
      </c>
      <c r="C96" s="31">
        <v>1620</v>
      </c>
      <c r="D96" t="str">
        <f>VLOOKUP(C96,Orgenheter!$A$1:$B$214,2)</f>
        <v>Inst för språkstudier</v>
      </c>
      <c r="E96" t="str">
        <f>VLOOKUP(C96,Orgenheter!$A$1:$C$166,3,FALSE)</f>
        <v>Hum</v>
      </c>
      <c r="F96" s="262">
        <f>8/22.5</f>
        <v>0.35555555555555557</v>
      </c>
      <c r="G96">
        <f>VLOOKUP(A96,'Ansvar kurs'!$A$98:$C$1072,2,FALSE)</f>
        <v>5740</v>
      </c>
      <c r="H96" t="str">
        <f>VLOOKUP(G96,Orgenheter!$A$1:$B$214,2)</f>
        <v>NMD</v>
      </c>
      <c r="I96" t="str">
        <f>VLOOKUP(G96,Orgenheter!$A$1:$C$166,3,FALSE)</f>
        <v>TekNat</v>
      </c>
      <c r="J96" s="192">
        <f>IF(ISERROR(VLOOKUP(A96,'Totalt pivot'!$A$5:$C$397,2,FALSE)),0,(VLOOKUP(A96,'Totalt pivot'!$A$5:$C$397,2,FALSE)))</f>
        <v>15.75</v>
      </c>
      <c r="K96" s="192">
        <f t="shared" si="5"/>
        <v>5.6000000000000005</v>
      </c>
      <c r="L96" s="192">
        <f>IF(ISERROR(VLOOKUP(A96,'Totalt pivot'!$A$5:$C$397,3,FALSE)),0,(VLOOKUP(A96,'Totalt pivot'!$A$5:$C$397,3,FALSE)))</f>
        <v>13.387499999999999</v>
      </c>
      <c r="M96" s="192">
        <f t="shared" si="6"/>
        <v>4.76</v>
      </c>
      <c r="N96" s="26">
        <f>VLOOKUP(A96,kurspris!$A$1:$Q$907,15)</f>
        <v>25235</v>
      </c>
      <c r="O96" s="26">
        <f>VLOOKUP(A96,kurspris!$A$1:$Q$907,16)</f>
        <v>27976</v>
      </c>
      <c r="P96" s="26">
        <f>VLOOKUP(A96,kurspris!$A$1:$Q$907,17)</f>
        <v>3600</v>
      </c>
      <c r="Q96" s="26">
        <f t="shared" si="7"/>
        <v>274481.76</v>
      </c>
      <c r="R96" s="26">
        <f>(Q96*Prislapp!$R$5)*-1</f>
        <v>-19213.723200000004</v>
      </c>
      <c r="S96" s="26">
        <f t="shared" si="8"/>
        <v>255268.0368</v>
      </c>
      <c r="T96" s="26">
        <f t="shared" si="9"/>
        <v>20160.000000000004</v>
      </c>
    </row>
    <row r="97" spans="1:24" x14ac:dyDescent="0.25">
      <c r="A97" s="31" t="s">
        <v>1703</v>
      </c>
      <c r="B97" t="str">
        <f>VLOOKUP(A97,kurspris!$A$1:$Q$907,2,FALSE)</f>
        <v>Läraryrkets dimensioner för förskoleklass och grundskolans årskurs 1-3 (VFU)</v>
      </c>
      <c r="C97" s="31">
        <v>2180</v>
      </c>
      <c r="D97" t="str">
        <f>VLOOKUP(C97,Orgenheter!$A$1:$B$214,2)</f>
        <v xml:space="preserve">Pedagogik                     </v>
      </c>
      <c r="E97" t="str">
        <f>VLOOKUP(C97,Orgenheter!$A$1:$C$166,3,FALSE)</f>
        <v>Sam</v>
      </c>
      <c r="F97" s="262">
        <f>3/22.5</f>
        <v>0.13333333333333333</v>
      </c>
      <c r="G97">
        <f>VLOOKUP(A97,'Ansvar kurs'!$A$98:$C$1072,2,FALSE)</f>
        <v>5740</v>
      </c>
      <c r="H97" t="str">
        <f>VLOOKUP(G97,Orgenheter!$A$1:$B$214,2)</f>
        <v>NMD</v>
      </c>
      <c r="I97" t="str">
        <f>VLOOKUP(G97,Orgenheter!$A$1:$C$166,3,FALSE)</f>
        <v>TekNat</v>
      </c>
      <c r="J97" s="192">
        <f>IF(ISERROR(VLOOKUP(A97,'Totalt pivot'!$A$5:$C$397,2,FALSE)),0,(VLOOKUP(A97,'Totalt pivot'!$A$5:$C$397,2,FALSE)))</f>
        <v>15.75</v>
      </c>
      <c r="K97" s="192">
        <f t="shared" si="5"/>
        <v>2.1</v>
      </c>
      <c r="L97" s="192">
        <f>IF(ISERROR(VLOOKUP(A97,'Totalt pivot'!$A$5:$C$397,3,FALSE)),0,(VLOOKUP(A97,'Totalt pivot'!$A$5:$C$397,3,FALSE)))</f>
        <v>13.387499999999999</v>
      </c>
      <c r="M97" s="192">
        <f t="shared" si="6"/>
        <v>1.7849999999999999</v>
      </c>
      <c r="N97" s="26">
        <f>VLOOKUP(A97,kurspris!$A$1:$Q$907,15)</f>
        <v>25235</v>
      </c>
      <c r="O97" s="26">
        <f>VLOOKUP(A97,kurspris!$A$1:$Q$907,16)</f>
        <v>27976</v>
      </c>
      <c r="P97" s="26">
        <f>VLOOKUP(A97,kurspris!$A$1:$Q$907,17)</f>
        <v>3600</v>
      </c>
      <c r="Q97" s="26">
        <f t="shared" si="7"/>
        <v>102930.66</v>
      </c>
      <c r="R97" s="26">
        <f>(Q97*Prislapp!$R$5)*-1</f>
        <v>-7205.146200000001</v>
      </c>
      <c r="S97" s="26">
        <f t="shared" si="8"/>
        <v>95725.513800000001</v>
      </c>
      <c r="T97" s="26">
        <f t="shared" si="9"/>
        <v>7560</v>
      </c>
    </row>
    <row r="98" spans="1:24" x14ac:dyDescent="0.25">
      <c r="A98" s="31" t="s">
        <v>1702</v>
      </c>
      <c r="B98" t="str">
        <f>VLOOKUP(A98,kurspris!$A$1:$Q$907,2,FALSE)</f>
        <v>Läraryrkets dimensioner för grundskolans årskurs 4-6 (VFU)</v>
      </c>
      <c r="C98" s="31">
        <v>1620</v>
      </c>
      <c r="D98" t="str">
        <f>VLOOKUP(C98,Orgenheter!$A$1:$B$214,2)</f>
        <v>Inst för språkstudier</v>
      </c>
      <c r="E98" t="str">
        <f>VLOOKUP(C98,Orgenheter!$A$1:$C$166,3,FALSE)</f>
        <v>Hum</v>
      </c>
      <c r="F98" s="262">
        <f>9/22.5</f>
        <v>0.4</v>
      </c>
      <c r="G98">
        <f>VLOOKUP(A98,'Ansvar kurs'!$A$98:$C$1072,2,FALSE)</f>
        <v>5740</v>
      </c>
      <c r="H98" t="str">
        <f>VLOOKUP(G98,Orgenheter!$A$1:$B$214,2)</f>
        <v>NMD</v>
      </c>
      <c r="I98" t="str">
        <f>VLOOKUP(G98,Orgenheter!$A$1:$C$166,3,FALSE)</f>
        <v>TekNat</v>
      </c>
      <c r="J98" s="192">
        <f>IF(ISERROR(VLOOKUP(A98,'Totalt pivot'!$A$5:$C$397,2,FALSE)),0,(VLOOKUP(A98,'Totalt pivot'!$A$5:$C$397,2,FALSE)))</f>
        <v>7.125</v>
      </c>
      <c r="K98" s="192">
        <f t="shared" si="5"/>
        <v>2.85</v>
      </c>
      <c r="L98" s="192">
        <f>IF(ISERROR(VLOOKUP(A98,'Totalt pivot'!$A$5:$C$397,3,FALSE)),0,(VLOOKUP(A98,'Totalt pivot'!$A$5:$C$397,3,FALSE)))</f>
        <v>6.0562499999999995</v>
      </c>
      <c r="M98" s="192">
        <f t="shared" si="6"/>
        <v>2.4224999999999999</v>
      </c>
      <c r="N98" s="26">
        <f>VLOOKUP(A98,kurspris!$A$1:$Q$907,15)</f>
        <v>25235</v>
      </c>
      <c r="O98" s="26">
        <f>VLOOKUP(A98,kurspris!$A$1:$Q$907,16)</f>
        <v>27976</v>
      </c>
      <c r="P98" s="26">
        <f>VLOOKUP(A98,kurspris!$A$1:$Q$907,17)</f>
        <v>3600</v>
      </c>
      <c r="Q98" s="26">
        <f t="shared" si="7"/>
        <v>139691.60999999999</v>
      </c>
      <c r="R98" s="26">
        <f>(Q98*Prislapp!$R$5)*-1</f>
        <v>-9778.4127000000008</v>
      </c>
      <c r="S98" s="26">
        <f t="shared" si="8"/>
        <v>129913.19729999999</v>
      </c>
      <c r="T98" s="26">
        <f t="shared" si="9"/>
        <v>10260</v>
      </c>
    </row>
    <row r="99" spans="1:24" x14ac:dyDescent="0.25">
      <c r="A99" s="31" t="s">
        <v>1806</v>
      </c>
      <c r="B99" t="str">
        <f>VLOOKUP(A99,kurspris!$A$1:$Q$907,2,FALSE)</f>
        <v>Samhällsorientering för förskolan</v>
      </c>
      <c r="C99" s="31">
        <v>2180</v>
      </c>
      <c r="D99" t="str">
        <f>VLOOKUP(C99,Orgenheter!$A$1:$B$214,2)</f>
        <v xml:space="preserve">Pedagogik                     </v>
      </c>
      <c r="E99" t="str">
        <f>VLOOKUP(C99,Orgenheter!$A$1:$C$166,3,FALSE)</f>
        <v>Sam</v>
      </c>
      <c r="F99" s="262">
        <f>4.5/15</f>
        <v>0.3</v>
      </c>
      <c r="G99">
        <f>VLOOKUP(A99,'Ansvar kurs'!$A$98:$C$1072,2,FALSE)</f>
        <v>2193</v>
      </c>
      <c r="H99" t="str">
        <f>VLOOKUP(G99,Orgenheter!$A$1:$B$214,2)</f>
        <v xml:space="preserve">TUV </v>
      </c>
      <c r="I99" t="str">
        <f>VLOOKUP(G99,Orgenheter!$A$1:$C$166,3,FALSE)</f>
        <v>Sam</v>
      </c>
      <c r="J99" s="192">
        <f>IF(ISERROR(VLOOKUP(A99,'Totalt pivot'!$A$5:$C$397,2,FALSE)),0,(VLOOKUP(A99,'Totalt pivot'!$A$5:$C$397,2,FALSE)))</f>
        <v>13.5</v>
      </c>
      <c r="K99" s="192">
        <f t="shared" si="5"/>
        <v>4.05</v>
      </c>
      <c r="L99" s="192">
        <f>IF(ISERROR(VLOOKUP(A99,'Totalt pivot'!$A$5:$C$397,3,FALSE)),0,(VLOOKUP(A99,'Totalt pivot'!$A$5:$C$397,3,FALSE)))</f>
        <v>11.475</v>
      </c>
      <c r="M99" s="192">
        <f t="shared" si="6"/>
        <v>3.4424999999999999</v>
      </c>
      <c r="N99" s="26">
        <f>VLOOKUP(A99,kurspris!$A$1:$Q$907,15)</f>
        <v>20766</v>
      </c>
      <c r="O99" s="26">
        <f>VLOOKUP(A99,kurspris!$A$1:$Q$907,16)</f>
        <v>17442</v>
      </c>
      <c r="P99" s="26">
        <f>VLOOKUP(A99,kurspris!$A$1:$Q$907,17)</f>
        <v>6000</v>
      </c>
      <c r="Q99" s="26">
        <f t="shared" si="7"/>
        <v>144146.38500000001</v>
      </c>
      <c r="R99" s="26">
        <f>(Q99*Prislapp!$R$5)*-1</f>
        <v>-10090.246950000002</v>
      </c>
      <c r="S99" s="26">
        <f t="shared" si="8"/>
        <v>134056.13805000001</v>
      </c>
      <c r="T99" s="26">
        <f t="shared" si="9"/>
        <v>24300</v>
      </c>
    </row>
    <row r="100" spans="1:24" x14ac:dyDescent="0.25">
      <c r="A100" s="31" t="s">
        <v>1806</v>
      </c>
      <c r="B100" t="str">
        <f>VLOOKUP(A100,kurspris!$A$1:$Q$907,2,FALSE)</f>
        <v>Samhällsorientering för förskolan</v>
      </c>
      <c r="C100" s="31">
        <v>5740</v>
      </c>
      <c r="D100" t="str">
        <f>VLOOKUP(C100,Orgenheter!$A$1:$B$214,2)</f>
        <v>NMD</v>
      </c>
      <c r="E100" t="str">
        <f>VLOOKUP(C100,Orgenheter!$A$1:$C$166,3,FALSE)</f>
        <v>TekNat</v>
      </c>
      <c r="F100" s="262">
        <f>2/15</f>
        <v>0.13333333333333333</v>
      </c>
      <c r="G100">
        <f>VLOOKUP(A100,'Ansvar kurs'!$A$98:$C$1072,2,FALSE)</f>
        <v>2193</v>
      </c>
      <c r="H100" t="str">
        <f>VLOOKUP(G100,Orgenheter!$A$1:$B$214,2)</f>
        <v xml:space="preserve">TUV </v>
      </c>
      <c r="I100" t="str">
        <f>VLOOKUP(G100,Orgenheter!$A$1:$C$166,3,FALSE)</f>
        <v>Sam</v>
      </c>
      <c r="J100" s="192">
        <f>IF(ISERROR(VLOOKUP(A100,'Totalt pivot'!$A$5:$C$397,2,FALSE)),0,(VLOOKUP(A100,'Totalt pivot'!$A$5:$C$397,2,FALSE)))</f>
        <v>13.5</v>
      </c>
      <c r="K100" s="192">
        <f t="shared" si="5"/>
        <v>1.8</v>
      </c>
      <c r="L100" s="192">
        <f>IF(ISERROR(VLOOKUP(A100,'Totalt pivot'!$A$5:$C$397,3,FALSE)),0,(VLOOKUP(A100,'Totalt pivot'!$A$5:$C$397,3,FALSE)))</f>
        <v>11.475</v>
      </c>
      <c r="M100" s="192">
        <f t="shared" si="6"/>
        <v>1.53</v>
      </c>
      <c r="N100" s="26">
        <f>VLOOKUP(A100,kurspris!$A$1:$Q$907,15)</f>
        <v>20766</v>
      </c>
      <c r="O100" s="26">
        <f>VLOOKUP(A100,kurspris!$A$1:$Q$907,16)</f>
        <v>17442</v>
      </c>
      <c r="P100" s="26">
        <f>VLOOKUP(A100,kurspris!$A$1:$Q$907,17)</f>
        <v>6000</v>
      </c>
      <c r="Q100" s="26">
        <f t="shared" si="7"/>
        <v>64065.060000000005</v>
      </c>
      <c r="R100" s="26">
        <f>(Q100*Prislapp!$R$5)*-1</f>
        <v>-4484.5542000000005</v>
      </c>
      <c r="S100" s="26">
        <f t="shared" si="8"/>
        <v>59580.505800000006</v>
      </c>
      <c r="T100" s="26">
        <f t="shared" si="9"/>
        <v>10800</v>
      </c>
    </row>
    <row r="101" spans="1:24" x14ac:dyDescent="0.25">
      <c r="A101" s="31" t="s">
        <v>1807</v>
      </c>
      <c r="B101" t="str">
        <f>VLOOKUP(A101,kurspris!$A$1:$Q$907,2,FALSE)</f>
        <v>Profession och vetenskap för förskolan (UK)</v>
      </c>
      <c r="C101" s="31">
        <v>2180</v>
      </c>
      <c r="D101" t="str">
        <f>VLOOKUP(C101,Orgenheter!$A$1:$B$214,2)</f>
        <v xml:space="preserve">Pedagogik                     </v>
      </c>
      <c r="E101" t="str">
        <f>VLOOKUP(C101,Orgenheter!$A$1:$C$166,3,FALSE)</f>
        <v>Sam</v>
      </c>
      <c r="F101" s="262">
        <f>3.5/7.5</f>
        <v>0.46666666666666667</v>
      </c>
      <c r="G101">
        <f>VLOOKUP(A101,'Ansvar kurs'!$A$98:$C$1072,2,FALSE)</f>
        <v>2193</v>
      </c>
      <c r="H101" t="str">
        <f>VLOOKUP(G101,Orgenheter!$A$1:$B$214,2)</f>
        <v xml:space="preserve">TUV </v>
      </c>
      <c r="I101" t="str">
        <f>VLOOKUP(G101,Orgenheter!$A$1:$C$166,3,FALSE)</f>
        <v>Sam</v>
      </c>
      <c r="J101" s="192">
        <f>IF(ISERROR(VLOOKUP(A101,'Totalt pivot'!$A$5:$C$397,2,FALSE)),0,(VLOOKUP(A101,'Totalt pivot'!$A$5:$C$397,2,FALSE)))</f>
        <v>0</v>
      </c>
      <c r="K101" s="192">
        <f t="shared" si="5"/>
        <v>0</v>
      </c>
      <c r="L101" s="192">
        <f>IF(ISERROR(VLOOKUP(A101,'Totalt pivot'!$A$5:$C$397,3,FALSE)),0,(VLOOKUP(A101,'Totalt pivot'!$A$5:$C$397,3,FALSE)))</f>
        <v>0</v>
      </c>
      <c r="M101" s="192">
        <f t="shared" si="6"/>
        <v>0</v>
      </c>
      <c r="N101" s="26">
        <f>VLOOKUP(A101,kurspris!$A$1:$Q$907,15)</f>
        <v>26554</v>
      </c>
      <c r="O101" s="26">
        <f>VLOOKUP(A101,kurspris!$A$1:$Q$907,16)</f>
        <v>33465</v>
      </c>
      <c r="P101" s="26">
        <f>VLOOKUP(A101,kurspris!$A$1:$Q$907,17)</f>
        <v>6000</v>
      </c>
      <c r="Q101" s="26">
        <f t="shared" si="7"/>
        <v>0</v>
      </c>
      <c r="R101" s="26">
        <f>(Q101*Prislapp!$R$5)*-1</f>
        <v>0</v>
      </c>
      <c r="S101" s="26">
        <f t="shared" si="8"/>
        <v>0</v>
      </c>
      <c r="T101" s="26">
        <f t="shared" si="9"/>
        <v>0</v>
      </c>
      <c r="V101" t="s">
        <v>1863</v>
      </c>
    </row>
    <row r="102" spans="1:24" x14ac:dyDescent="0.25">
      <c r="A102" s="31" t="s">
        <v>1808</v>
      </c>
      <c r="B102" t="str">
        <f>VLOOKUP(A102,kurspris!$A$1:$Q$907,2,FALSE)</f>
        <v>Profession och vetenskap för fritidshem (UK)</v>
      </c>
      <c r="C102" s="31">
        <v>2180</v>
      </c>
      <c r="D102" t="str">
        <f>VLOOKUP(C102,Orgenheter!$A$1:$B$214,2)</f>
        <v xml:space="preserve">Pedagogik                     </v>
      </c>
      <c r="E102" t="str">
        <f>VLOOKUP(C102,Orgenheter!$A$1:$C$166,3,FALSE)</f>
        <v>Sam</v>
      </c>
      <c r="F102" s="262">
        <f>3.5/7.5</f>
        <v>0.46666666666666667</v>
      </c>
      <c r="G102">
        <f>VLOOKUP(A102,'Ansvar kurs'!$A$98:$C$1072,2,FALSE)</f>
        <v>2193</v>
      </c>
      <c r="H102" t="str">
        <f>VLOOKUP(G102,Orgenheter!$A$1:$B$214,2)</f>
        <v xml:space="preserve">TUV </v>
      </c>
      <c r="I102" t="str">
        <f>VLOOKUP(G102,Orgenheter!$A$1:$C$166,3,FALSE)</f>
        <v>Sam</v>
      </c>
      <c r="J102" s="192">
        <f>IF(ISERROR(VLOOKUP(A102,'Totalt pivot'!$A$5:$C$397,2,FALSE)),0,(VLOOKUP(A102,'Totalt pivot'!$A$5:$C$397,2,FALSE)))</f>
        <v>2.625</v>
      </c>
      <c r="K102" s="192">
        <f t="shared" si="5"/>
        <v>1.2250000000000001</v>
      </c>
      <c r="L102" s="192">
        <f>IF(ISERROR(VLOOKUP(A102,'Totalt pivot'!$A$5:$C$397,3,FALSE)),0,(VLOOKUP(A102,'Totalt pivot'!$A$5:$C$397,3,FALSE)))</f>
        <v>2.2312499999999997</v>
      </c>
      <c r="M102" s="192">
        <f t="shared" si="6"/>
        <v>1.0412499999999998</v>
      </c>
      <c r="N102" s="26">
        <f>VLOOKUP(A102,kurspris!$A$1:$Q$907,15)</f>
        <v>26554</v>
      </c>
      <c r="O102" s="26">
        <f>VLOOKUP(A102,kurspris!$A$1:$Q$907,16)</f>
        <v>33465</v>
      </c>
      <c r="P102" s="26">
        <f>VLOOKUP(A102,kurspris!$A$1:$Q$907,17)</f>
        <v>6000</v>
      </c>
      <c r="Q102" s="26">
        <f t="shared" si="7"/>
        <v>67374.081249999988</v>
      </c>
      <c r="R102" s="26">
        <f>(Q102*Prislapp!$R$5)*-1</f>
        <v>-4716.1856874999994</v>
      </c>
      <c r="S102" s="26">
        <f t="shared" si="8"/>
        <v>62657.895562499987</v>
      </c>
      <c r="T102" s="26">
        <f t="shared" si="9"/>
        <v>7350.0000000000009</v>
      </c>
      <c r="V102" t="s">
        <v>1863</v>
      </c>
    </row>
    <row r="103" spans="1:24" x14ac:dyDescent="0.25">
      <c r="A103" s="60" t="s">
        <v>1829</v>
      </c>
      <c r="B103" t="str">
        <f>VLOOKUP(A103,kurspris!$A$1:$Q$907,2,FALSE)</f>
        <v>Grundlärare som profession (UK)</v>
      </c>
      <c r="C103" s="31">
        <v>1620</v>
      </c>
      <c r="D103" t="str">
        <f>VLOOKUP(C103,Orgenheter!$A$1:$B$214,2)</f>
        <v>Inst för språkstudier</v>
      </c>
      <c r="E103" t="str">
        <f>VLOOKUP(C103,Orgenheter!$A$1:$C$166,3,FALSE)</f>
        <v>Hum</v>
      </c>
      <c r="F103" s="262">
        <f>2.5/6</f>
        <v>0.41666666666666669</v>
      </c>
      <c r="G103">
        <f>VLOOKUP(A103,'Ansvar kurs'!$A$98:$C$1072,2,FALSE)</f>
        <v>5740</v>
      </c>
      <c r="H103" t="str">
        <f>VLOOKUP(G103,Orgenheter!$A$1:$B$214,2)</f>
        <v>NMD</v>
      </c>
      <c r="I103" t="str">
        <f>VLOOKUP(G103,Orgenheter!$A$1:$C$166,3,FALSE)</f>
        <v>TekNat</v>
      </c>
      <c r="J103" s="192">
        <f>IF(ISERROR(VLOOKUP(A103,'Totalt pivot'!$A$5:$C$397,2,FALSE)),0,(VLOOKUP(A103,'Totalt pivot'!$A$5:$C$397,2,FALSE)))</f>
        <v>13.2</v>
      </c>
      <c r="K103" s="192">
        <f t="shared" si="5"/>
        <v>5.5</v>
      </c>
      <c r="L103" s="192">
        <f>IF(ISERROR(VLOOKUP(A103,'Totalt pivot'!$A$5:$C$397,3,FALSE)),0,(VLOOKUP(A103,'Totalt pivot'!$A$5:$C$397,3,FALSE)))</f>
        <v>11.22</v>
      </c>
      <c r="M103" s="192">
        <f t="shared" si="6"/>
        <v>4.6750000000000007</v>
      </c>
      <c r="N103" s="26">
        <f>VLOOKUP(A103,kurspris!$A$1:$Q$907,15)</f>
        <v>26554</v>
      </c>
      <c r="O103" s="26">
        <f>VLOOKUP(A103,kurspris!$A$1:$Q$907,16)</f>
        <v>33465</v>
      </c>
      <c r="P103" s="26">
        <f>VLOOKUP(A103,kurspris!$A$1:$Q$907,17)</f>
        <v>6000</v>
      </c>
      <c r="Q103" s="26">
        <f t="shared" si="7"/>
        <v>302495.875</v>
      </c>
      <c r="R103" s="26">
        <f>(Q103*Prislapp!$R$5)*-1</f>
        <v>-21174.71125</v>
      </c>
      <c r="S103" s="26">
        <f t="shared" si="8"/>
        <v>281321.16375000001</v>
      </c>
      <c r="T103" s="26">
        <f t="shared" si="9"/>
        <v>33000</v>
      </c>
      <c r="V103" t="s">
        <v>1112</v>
      </c>
    </row>
    <row r="104" spans="1:24" x14ac:dyDescent="0.25">
      <c r="A104" s="60" t="s">
        <v>1829</v>
      </c>
      <c r="B104" t="str">
        <f>VLOOKUP(A104,kurspris!$A$1:$Q$907,2,FALSE)</f>
        <v>Grundlärare som profession (UK)</v>
      </c>
      <c r="C104" s="31">
        <v>1650</v>
      </c>
      <c r="D104" t="str">
        <f>VLOOKUP(C104,Orgenheter!$A$1:$B$214,2)</f>
        <v xml:space="preserve">Estetiska ämnen               </v>
      </c>
      <c r="E104" t="str">
        <f>VLOOKUP(C104,Orgenheter!$A$1:$C$166,3,FALSE)</f>
        <v>Hum</v>
      </c>
      <c r="F104" s="262">
        <f>1/6</f>
        <v>0.16666666666666666</v>
      </c>
      <c r="G104">
        <f>VLOOKUP(A104,'Ansvar kurs'!$A$98:$C$1072,2,FALSE)</f>
        <v>5740</v>
      </c>
      <c r="H104" t="str">
        <f>VLOOKUP(G104,Orgenheter!$A$1:$B$214,2)</f>
        <v>NMD</v>
      </c>
      <c r="I104" t="str">
        <f>VLOOKUP(G104,Orgenheter!$A$1:$C$166,3,FALSE)</f>
        <v>TekNat</v>
      </c>
      <c r="J104" s="192">
        <f>IF(ISERROR(VLOOKUP(A104,'Totalt pivot'!$A$5:$C$397,2,FALSE)),0,(VLOOKUP(A104,'Totalt pivot'!$A$5:$C$397,2,FALSE)))</f>
        <v>13.2</v>
      </c>
      <c r="K104" s="192">
        <f t="shared" si="5"/>
        <v>2.1999999999999997</v>
      </c>
      <c r="L104" s="192">
        <f>IF(ISERROR(VLOOKUP(A104,'Totalt pivot'!$A$5:$C$397,3,FALSE)),0,(VLOOKUP(A104,'Totalt pivot'!$A$5:$C$397,3,FALSE)))</f>
        <v>11.22</v>
      </c>
      <c r="M104" s="192">
        <f t="shared" si="6"/>
        <v>1.87</v>
      </c>
      <c r="N104" s="26">
        <f>VLOOKUP(A104,kurspris!$A$1:$Q$907,15)</f>
        <v>26554</v>
      </c>
      <c r="O104" s="26">
        <f>VLOOKUP(A104,kurspris!$A$1:$Q$907,16)</f>
        <v>33465</v>
      </c>
      <c r="P104" s="26">
        <f>VLOOKUP(A104,kurspris!$A$1:$Q$907,17)</f>
        <v>6000</v>
      </c>
      <c r="Q104" s="26">
        <f t="shared" si="7"/>
        <v>120998.35</v>
      </c>
      <c r="R104" s="26">
        <f>(Q104*Prislapp!$R$5)*-1</f>
        <v>-8469.8845000000019</v>
      </c>
      <c r="S104" s="26">
        <f t="shared" si="8"/>
        <v>112528.46550000001</v>
      </c>
      <c r="T104" s="26">
        <f t="shared" si="9"/>
        <v>13199.999999999998</v>
      </c>
      <c r="V104" t="s">
        <v>1112</v>
      </c>
    </row>
    <row r="105" spans="1:24" x14ac:dyDescent="0.25">
      <c r="A105" s="31" t="s">
        <v>1827</v>
      </c>
      <c r="B105" t="str">
        <f>VLOOKUP(A105,kurspris!$A$1:$Q$907,2,FALSE)</f>
        <v>Profession och vetenskap för åk 4-6 (UK III)</v>
      </c>
      <c r="C105" s="31">
        <v>1620</v>
      </c>
      <c r="D105" t="str">
        <f>VLOOKUP(C105,Orgenheter!$A$1:$B$214,2)</f>
        <v>Inst för språkstudier</v>
      </c>
      <c r="E105" t="str">
        <f>VLOOKUP(C105,Orgenheter!$A$1:$C$166,3,FALSE)</f>
        <v>Hum</v>
      </c>
      <c r="F105" s="262">
        <f>3/7.5</f>
        <v>0.4</v>
      </c>
      <c r="G105">
        <f>VLOOKUP(A105,'Ansvar kurs'!$A$98:$C$1072,2,FALSE)</f>
        <v>5740</v>
      </c>
      <c r="H105" t="str">
        <f>VLOOKUP(G105,Orgenheter!$A$1:$B$214,2)</f>
        <v>NMD</v>
      </c>
      <c r="I105" t="str">
        <f>VLOOKUP(G105,Orgenheter!$A$1:$C$166,3,FALSE)</f>
        <v>TekNat</v>
      </c>
      <c r="J105" s="192">
        <f>IF(ISERROR(VLOOKUP(A105,'Totalt pivot'!$A$5:$C$397,2,FALSE)),0,(VLOOKUP(A105,'Totalt pivot'!$A$5:$C$397,2,FALSE)))</f>
        <v>3.25</v>
      </c>
      <c r="K105" s="192">
        <f t="shared" si="5"/>
        <v>1.3</v>
      </c>
      <c r="L105" s="192">
        <f>IF(ISERROR(VLOOKUP(A105,'Totalt pivot'!$A$5:$C$397,3,FALSE)),0,(VLOOKUP(A105,'Totalt pivot'!$A$5:$C$397,3,FALSE)))</f>
        <v>2.7624999999999997</v>
      </c>
      <c r="M105" s="192">
        <f t="shared" si="6"/>
        <v>1.105</v>
      </c>
      <c r="N105" s="26">
        <f>VLOOKUP(A105,kurspris!$A$1:$Q$907,15)</f>
        <v>26554</v>
      </c>
      <c r="O105" s="26">
        <f>VLOOKUP(A105,kurspris!$A$1:$Q$907,16)</f>
        <v>33465</v>
      </c>
      <c r="P105" s="26">
        <f>VLOOKUP(A105,kurspris!$A$1:$Q$907,17)</f>
        <v>6000</v>
      </c>
      <c r="Q105" s="26">
        <f t="shared" si="7"/>
        <v>71499.024999999994</v>
      </c>
      <c r="R105" s="26">
        <f>(Q105*Prislapp!$R$5)*-1</f>
        <v>-5004.9317499999997</v>
      </c>
      <c r="S105" s="26">
        <f t="shared" si="8"/>
        <v>66494.093249999991</v>
      </c>
      <c r="T105" s="26">
        <f t="shared" si="9"/>
        <v>7800</v>
      </c>
      <c r="V105" s="37" t="s">
        <v>975</v>
      </c>
      <c r="W105">
        <v>141004</v>
      </c>
    </row>
    <row r="106" spans="1:24" x14ac:dyDescent="0.25">
      <c r="A106" s="31" t="s">
        <v>1828</v>
      </c>
      <c r="B106" t="str">
        <f>VLOOKUP(A106,kurspris!$A$1:$Q$907,2,FALSE)</f>
        <v>Profession och vetenskap för förskoleklass och grundskolans årskurs 1-3 (UK)</v>
      </c>
      <c r="C106" s="31">
        <v>1620</v>
      </c>
      <c r="D106" t="str">
        <f>VLOOKUP(C106,Orgenheter!$A$1:$B$214,2)</f>
        <v>Inst för språkstudier</v>
      </c>
      <c r="E106" t="str">
        <f>VLOOKUP(C106,Orgenheter!$A$1:$C$166,3,FALSE)</f>
        <v>Hum</v>
      </c>
      <c r="F106" s="262">
        <f>3/7.5</f>
        <v>0.4</v>
      </c>
      <c r="G106">
        <f>VLOOKUP(A106,'Ansvar kurs'!$A$98:$C$1072,2,FALSE)</f>
        <v>5740</v>
      </c>
      <c r="H106" t="str">
        <f>VLOOKUP(G106,Orgenheter!$A$1:$B$214,2)</f>
        <v>NMD</v>
      </c>
      <c r="I106" t="str">
        <f>VLOOKUP(G106,Orgenheter!$A$1:$C$166,3,FALSE)</f>
        <v>TekNat</v>
      </c>
      <c r="J106" s="192">
        <f>IF(ISERROR(VLOOKUP(A106,'Totalt pivot'!$A$5:$C$397,2,FALSE)),0,(VLOOKUP(A106,'Totalt pivot'!$A$5:$C$397,2,FALSE)))</f>
        <v>3.375</v>
      </c>
      <c r="K106" s="192">
        <f t="shared" si="5"/>
        <v>1.35</v>
      </c>
      <c r="L106" s="192">
        <f>IF(ISERROR(VLOOKUP(A106,'Totalt pivot'!$A$5:$C$397,3,FALSE)),0,(VLOOKUP(A106,'Totalt pivot'!$A$5:$C$397,3,FALSE)))</f>
        <v>2.8687499999999999</v>
      </c>
      <c r="M106" s="192">
        <f t="shared" si="6"/>
        <v>1.1475</v>
      </c>
      <c r="N106" s="26">
        <f>VLOOKUP(A106,kurspris!$A$1:$Q$907,15)</f>
        <v>26554</v>
      </c>
      <c r="O106" s="26">
        <f>VLOOKUP(A106,kurspris!$A$1:$Q$907,16)</f>
        <v>33465</v>
      </c>
      <c r="P106" s="26">
        <f>VLOOKUP(A106,kurspris!$A$1:$Q$907,17)</f>
        <v>6000</v>
      </c>
      <c r="Q106" s="26">
        <f t="shared" si="7"/>
        <v>74248.987500000003</v>
      </c>
      <c r="R106" s="26">
        <f>(Q106*Prislapp!$R$5)*-1</f>
        <v>-5197.4291250000006</v>
      </c>
      <c r="S106" s="26">
        <f t="shared" si="8"/>
        <v>69051.558375000008</v>
      </c>
      <c r="T106" s="26">
        <f t="shared" si="9"/>
        <v>8100.0000000000009</v>
      </c>
      <c r="V106" s="37" t="s">
        <v>975</v>
      </c>
      <c r="W106">
        <v>141004</v>
      </c>
    </row>
    <row r="107" spans="1:24" x14ac:dyDescent="0.25">
      <c r="A107" s="60" t="s">
        <v>1831</v>
      </c>
      <c r="B107" t="str">
        <f>VLOOKUP(A107,kurspris!$A$1:$Q$907,2,FALSE)</f>
        <v>Att vara grundlärare (VFU)</v>
      </c>
      <c r="C107" s="31">
        <v>1620</v>
      </c>
      <c r="D107" t="str">
        <f>VLOOKUP(C107,Orgenheter!$A$1:$B$214,2)</f>
        <v>Inst för språkstudier</v>
      </c>
      <c r="E107" t="str">
        <f>VLOOKUP(C107,Orgenheter!$A$1:$C$166,3,FALSE)</f>
        <v>Hum</v>
      </c>
      <c r="F107" s="262">
        <f>0.5/1.5</f>
        <v>0.33333333333333331</v>
      </c>
      <c r="G107">
        <f>VLOOKUP(A107,'Ansvar kurs'!$A$98:$C$1072,2,FALSE)</f>
        <v>5740</v>
      </c>
      <c r="H107" t="str">
        <f>VLOOKUP(G107,Orgenheter!$A$1:$B$214,2)</f>
        <v>NMD</v>
      </c>
      <c r="I107" t="str">
        <f>VLOOKUP(G107,Orgenheter!$A$1:$C$166,3,FALSE)</f>
        <v>TekNat</v>
      </c>
      <c r="J107" s="192">
        <f>IF(ISERROR(VLOOKUP(A107,'Totalt pivot'!$A$5:$C$397,2,FALSE)),0,(VLOOKUP(A107,'Totalt pivot'!$A$5:$C$397,2,FALSE)))</f>
        <v>3.1112500000000001</v>
      </c>
      <c r="K107" s="192">
        <f t="shared" si="5"/>
        <v>1.0370833333333334</v>
      </c>
      <c r="L107" s="192">
        <f>IF(ISERROR(VLOOKUP(A107,'Totalt pivot'!$A$5:$C$397,3,FALSE)),0,(VLOOKUP(A107,'Totalt pivot'!$A$5:$C$397,3,FALSE)))</f>
        <v>2.6445625000000001</v>
      </c>
      <c r="M107" s="192">
        <f t="shared" si="6"/>
        <v>0.88152083333333331</v>
      </c>
      <c r="N107" s="26">
        <f>VLOOKUP(A107,kurspris!$A$1:$Q$907,15)</f>
        <v>25235</v>
      </c>
      <c r="O107" s="26">
        <f>VLOOKUP(A107,kurspris!$A$1:$Q$907,16)</f>
        <v>27976</v>
      </c>
      <c r="P107" s="26">
        <f>VLOOKUP(A107,kurspris!$A$1:$Q$907,17)</f>
        <v>3600</v>
      </c>
      <c r="Q107" s="26">
        <f t="shared" si="7"/>
        <v>50832.224749999994</v>
      </c>
      <c r="R107" s="26">
        <f>(Q107*Prislapp!$R$5)*-1</f>
        <v>-3558.2557324999998</v>
      </c>
      <c r="S107" s="26">
        <f t="shared" si="8"/>
        <v>47273.969017499992</v>
      </c>
      <c r="T107" s="26">
        <f t="shared" si="9"/>
        <v>3733.5</v>
      </c>
      <c r="V107" t="s">
        <v>1436</v>
      </c>
    </row>
    <row r="108" spans="1:24" x14ac:dyDescent="0.25">
      <c r="A108" s="60" t="s">
        <v>1831</v>
      </c>
      <c r="B108" t="str">
        <f>VLOOKUP(A108,kurspris!$A$1:$Q$907,2,FALSE)</f>
        <v>Att vara grundlärare (VFU)</v>
      </c>
      <c r="C108" s="31">
        <v>1650</v>
      </c>
      <c r="D108" t="str">
        <f>VLOOKUP(C108,Orgenheter!$A$1:$B$214,2)</f>
        <v xml:space="preserve">Estetiska ämnen               </v>
      </c>
      <c r="E108" t="str">
        <f>VLOOKUP(C108,Orgenheter!$A$1:$C$166,3,FALSE)</f>
        <v>Hum</v>
      </c>
      <c r="F108" s="262">
        <f>0.5/1.5</f>
        <v>0.33333333333333331</v>
      </c>
      <c r="G108">
        <f>VLOOKUP(A108,'Ansvar kurs'!$A$98:$C$1072,2,FALSE)</f>
        <v>5740</v>
      </c>
      <c r="H108" t="str">
        <f>VLOOKUP(G108,Orgenheter!$A$1:$B$214,2)</f>
        <v>NMD</v>
      </c>
      <c r="I108" t="str">
        <f>VLOOKUP(G108,Orgenheter!$A$1:$C$166,3,FALSE)</f>
        <v>TekNat</v>
      </c>
      <c r="J108" s="192">
        <f>IF(ISERROR(VLOOKUP(A108,'Totalt pivot'!$A$5:$C$397,2,FALSE)),0,(VLOOKUP(A108,'Totalt pivot'!$A$5:$C$397,2,FALSE)))</f>
        <v>3.1112500000000001</v>
      </c>
      <c r="K108" s="192">
        <f t="shared" si="5"/>
        <v>1.0370833333333334</v>
      </c>
      <c r="L108" s="192">
        <f>IF(ISERROR(VLOOKUP(A108,'Totalt pivot'!$A$5:$C$397,3,FALSE)),0,(VLOOKUP(A108,'Totalt pivot'!$A$5:$C$397,3,FALSE)))</f>
        <v>2.6445625000000001</v>
      </c>
      <c r="M108" s="192">
        <f t="shared" si="6"/>
        <v>0.88152083333333331</v>
      </c>
      <c r="N108" s="26">
        <f>VLOOKUP(A108,kurspris!$A$1:$Q$907,15)</f>
        <v>25235</v>
      </c>
      <c r="O108" s="26">
        <f>VLOOKUP(A108,kurspris!$A$1:$Q$907,16)</f>
        <v>27976</v>
      </c>
      <c r="P108" s="26">
        <f>VLOOKUP(A108,kurspris!$A$1:$Q$907,17)</f>
        <v>3600</v>
      </c>
      <c r="Q108" s="26">
        <f t="shared" si="7"/>
        <v>50832.224749999994</v>
      </c>
      <c r="R108" s="26">
        <f>(Q108*Prislapp!$R$5)*-1</f>
        <v>-3558.2557324999998</v>
      </c>
      <c r="S108" s="26">
        <f t="shared" si="8"/>
        <v>47273.969017499992</v>
      </c>
      <c r="T108" s="26">
        <f t="shared" si="9"/>
        <v>3733.5</v>
      </c>
      <c r="V108" t="s">
        <v>1436</v>
      </c>
    </row>
    <row r="109" spans="1:24" x14ac:dyDescent="0.25">
      <c r="A109" s="60" t="s">
        <v>2007</v>
      </c>
      <c r="B109" t="str">
        <f>VLOOKUP(A109,kurspris!$A$1:$Q$907,2,FALSE)</f>
        <v>Språk och matematik i ett specialpedagogiskt perspektiv</v>
      </c>
      <c r="C109" s="31">
        <v>1620</v>
      </c>
      <c r="D109" t="str">
        <f>VLOOKUP(C109,Orgenheter!$A$1:$B$214,2)</f>
        <v>Inst för språkstudier</v>
      </c>
      <c r="E109" t="str">
        <f>VLOOKUP(C109,Orgenheter!$A$1:$C$166,3,FALSE)</f>
        <v>Hum</v>
      </c>
      <c r="F109" s="262">
        <f>3.5/7.5</f>
        <v>0.46666666666666667</v>
      </c>
      <c r="G109">
        <f>VLOOKUP(A109,'Ansvar kurs'!$A$98:$C$1072,2,FALSE)</f>
        <v>5740</v>
      </c>
      <c r="H109" t="str">
        <f>VLOOKUP(G109,Orgenheter!$A$1:$B$214,2)</f>
        <v>NMD</v>
      </c>
      <c r="I109" t="str">
        <f>VLOOKUP(G109,Orgenheter!$A$1:$C$166,3,FALSE)</f>
        <v>TekNat</v>
      </c>
      <c r="J109" s="192">
        <f>IF(ISERROR(VLOOKUP(A109,'Totalt pivot'!$A$5:$C$397,2,FALSE)),0,(VLOOKUP(A109,'Totalt pivot'!$A$5:$C$397,2,FALSE)))</f>
        <v>6.375</v>
      </c>
      <c r="K109" s="192">
        <f t="shared" si="5"/>
        <v>2.9750000000000001</v>
      </c>
      <c r="L109" s="192">
        <f>IF(ISERROR(VLOOKUP(A109,'Totalt pivot'!$A$5:$C$397,3,FALSE)),0,(VLOOKUP(A109,'Totalt pivot'!$A$5:$C$397,3,FALSE)))</f>
        <v>5.4187500000000002</v>
      </c>
      <c r="M109" s="192">
        <f t="shared" si="6"/>
        <v>2.5287500000000001</v>
      </c>
      <c r="N109" s="26">
        <f>VLOOKUP(A109,kurspris!$A$1:$Q$907,15)</f>
        <v>20757</v>
      </c>
      <c r="O109" s="26">
        <f>VLOOKUP(A109,kurspris!$A$1:$Q$907,16)</f>
        <v>36082</v>
      </c>
      <c r="P109" s="26">
        <f>VLOOKUP(A109,kurspris!$A$1:$Q$907,17)</f>
        <v>22600</v>
      </c>
      <c r="Q109" s="26">
        <f t="shared" si="7"/>
        <v>152994.4325</v>
      </c>
      <c r="R109" s="26">
        <f>(Q109*Prislapp!$R$5)*-1</f>
        <v>-10709.610275000001</v>
      </c>
      <c r="S109" s="26">
        <f t="shared" si="8"/>
        <v>142284.82222499998</v>
      </c>
      <c r="T109" s="26">
        <f t="shared" si="9"/>
        <v>67235</v>
      </c>
    </row>
    <row r="110" spans="1:24" x14ac:dyDescent="0.25">
      <c r="A110" s="60" t="s">
        <v>597</v>
      </c>
      <c r="B110" t="e">
        <f>VLOOKUP(A110,kurspris!$A$1:$Q$907,2,FALSE)</f>
        <v>#N/A</v>
      </c>
      <c r="C110" s="31">
        <v>2193</v>
      </c>
      <c r="D110" t="str">
        <f>VLOOKUP(C110,Orgenheter!$A$1:$B$214,2)</f>
        <v xml:space="preserve">TUV </v>
      </c>
      <c r="E110" t="str">
        <f>VLOOKUP(C110,Orgenheter!$A$1:$C$166,3,FALSE)</f>
        <v>Sam</v>
      </c>
      <c r="F110" s="263">
        <f>4/10</f>
        <v>0.4</v>
      </c>
      <c r="G110" t="e">
        <f>VLOOKUP(A110,'Ansvar kurs'!$A$98:$C$1072,2,FALSE)</f>
        <v>#N/A</v>
      </c>
      <c r="H110" t="e">
        <f>VLOOKUP(G110,Orgenheter!$A$1:$B$214,2)</f>
        <v>#N/A</v>
      </c>
      <c r="I110" t="e">
        <f>VLOOKUP(G110,Orgenheter!$A$1:$C$166,3,FALSE)</f>
        <v>#N/A</v>
      </c>
      <c r="J110" s="192">
        <f>IF(ISERROR(VLOOKUP(A110,'Totalt pivot'!$A$5:$C$397,2,FALSE)),0,(VLOOKUP(A110,'Totalt pivot'!$A$5:$C$397,2,FALSE)))</f>
        <v>0</v>
      </c>
      <c r="K110" s="192">
        <f t="shared" si="5"/>
        <v>0</v>
      </c>
      <c r="L110" s="192">
        <f>IF(ISERROR(VLOOKUP(A110,'Totalt pivot'!$A$5:$C$397,3,FALSE)),0,(VLOOKUP(A110,'Totalt pivot'!$A$5:$C$397,3,FALSE)))</f>
        <v>0</v>
      </c>
      <c r="M110" s="192">
        <f t="shared" si="6"/>
        <v>0</v>
      </c>
      <c r="N110" s="26">
        <f>VLOOKUP(A110,kurspris!$A$1:$Q$907,15)</f>
        <v>26554</v>
      </c>
      <c r="O110" s="26">
        <f>VLOOKUP(A110,kurspris!$A$1:$Q$907,16)</f>
        <v>33465</v>
      </c>
      <c r="P110" s="26">
        <f>VLOOKUP(A110,kurspris!$A$1:$Q$907,17)</f>
        <v>6000</v>
      </c>
      <c r="Q110" s="26">
        <f t="shared" si="7"/>
        <v>0</v>
      </c>
      <c r="R110" s="26">
        <f>(Q110*Prislapp!$R$5)*-1</f>
        <v>0</v>
      </c>
      <c r="S110" s="26">
        <f t="shared" si="8"/>
        <v>0</v>
      </c>
      <c r="T110" s="26">
        <f t="shared" si="9"/>
        <v>0</v>
      </c>
      <c r="V110" t="s">
        <v>1269</v>
      </c>
    </row>
    <row r="111" spans="1:24" x14ac:dyDescent="0.25">
      <c r="A111" s="60" t="s">
        <v>1242</v>
      </c>
      <c r="B111" t="str">
        <f>VLOOKUP(A111,kurspris!$A$1:$Q$907,2,FALSE)</f>
        <v>Examensarbete i svenska för ämneslärarexamen</v>
      </c>
      <c r="C111" s="31">
        <v>1640</v>
      </c>
      <c r="D111" t="str">
        <f>VLOOKUP(C111,Orgenheter!$A$1:$B$214,2)</f>
        <v>Inst för kultur- o medievetenskap</v>
      </c>
      <c r="E111" t="str">
        <f>VLOOKUP(C111,Orgenheter!$A$1:$C$166,3,FALSE)</f>
        <v>Hum</v>
      </c>
      <c r="F111" s="263">
        <f>15/30</f>
        <v>0.5</v>
      </c>
      <c r="G111">
        <f>VLOOKUP(A111,'Ansvar kurs'!$A$98:$C$1072,2,FALSE)</f>
        <v>1620</v>
      </c>
      <c r="H111" t="str">
        <f>VLOOKUP(G111,Orgenheter!$A$1:$B$214,2)</f>
        <v>Inst för språkstudier</v>
      </c>
      <c r="I111" t="str">
        <f>VLOOKUP(G111,Orgenheter!$A$1:$C$166,3,FALSE)</f>
        <v>Hum</v>
      </c>
      <c r="J111" s="192">
        <f>IF(ISERROR(VLOOKUP(A111,'Totalt pivot'!$A$5:$C$397,2,FALSE)),0,(VLOOKUP(A111,'Totalt pivot'!$A$5:$C$397,2,FALSE)))</f>
        <v>1.875</v>
      </c>
      <c r="K111" s="192">
        <f t="shared" si="5"/>
        <v>0.9375</v>
      </c>
      <c r="L111" s="192">
        <f>IF(ISERROR(VLOOKUP(A111,'Totalt pivot'!$A$5:$C$397,3,FALSE)),0,(VLOOKUP(A111,'Totalt pivot'!$A$5:$C$397,3,FALSE)))</f>
        <v>1.59375</v>
      </c>
      <c r="M111" s="192">
        <f t="shared" si="6"/>
        <v>0.796875</v>
      </c>
      <c r="N111" s="26">
        <f>VLOOKUP(A111,kurspris!$A$1:$Q$907,15)</f>
        <v>20766</v>
      </c>
      <c r="O111" s="26">
        <f>VLOOKUP(A111,kurspris!$A$1:$Q$907,16)</f>
        <v>17442</v>
      </c>
      <c r="P111" s="26">
        <f>VLOOKUP(A111,kurspris!$A$1:$Q$907,17)</f>
        <v>6000</v>
      </c>
      <c r="Q111" s="26">
        <f t="shared" si="7"/>
        <v>33367.21875</v>
      </c>
      <c r="R111" s="26">
        <f>(Q111*Prislapp!$R$5)*-1</f>
        <v>-2335.7053125000002</v>
      </c>
      <c r="S111" s="26">
        <f t="shared" si="8"/>
        <v>31031.513437499998</v>
      </c>
      <c r="T111" s="26">
        <f t="shared" si="9"/>
        <v>5625</v>
      </c>
      <c r="V111" s="173" t="s">
        <v>1525</v>
      </c>
      <c r="W111" s="173"/>
      <c r="X111" s="173"/>
    </row>
    <row r="112" spans="1:24" x14ac:dyDescent="0.25">
      <c r="A112" s="31" t="s">
        <v>511</v>
      </c>
      <c r="B112" t="str">
        <f>VLOOKUP(A112,kurspris!$A$1:$Q$907,2,FALSE)</f>
        <v>Samhällskunskap 1</v>
      </c>
      <c r="C112" s="31">
        <v>2360</v>
      </c>
      <c r="D112" t="str">
        <f>VLOOKUP(C112,Orgenheter!$A$1:$B$214,2)</f>
        <v xml:space="preserve">Ekonomisk historia            </v>
      </c>
      <c r="E112" t="str">
        <f>VLOOKUP(C112,Orgenheter!$A$1:$C$166,3,FALSE)</f>
        <v>Sam</v>
      </c>
      <c r="F112" s="262">
        <f>4.8/30</f>
        <v>0.16</v>
      </c>
      <c r="G112">
        <f>VLOOKUP(A112,'Ansvar kurs'!$A$98:$C$1072,2,FALSE)</f>
        <v>2340</v>
      </c>
      <c r="H112" t="str">
        <f>VLOOKUP(G112,Orgenheter!$A$1:$B$214,2)</f>
        <v xml:space="preserve">Statsvetenskap                </v>
      </c>
      <c r="I112" t="str">
        <f>VLOOKUP(G112,Orgenheter!$A$1:$C$166,3,FALSE)</f>
        <v>Sam</v>
      </c>
      <c r="J112" s="192">
        <f>IF(ISERROR(VLOOKUP(A112,'Totalt pivot'!$A$5:$C$397,2,FALSE)),0,(VLOOKUP(A112,'Totalt pivot'!$A$5:$C$397,2,FALSE)))</f>
        <v>12</v>
      </c>
      <c r="K112" s="192">
        <f t="shared" si="5"/>
        <v>1.92</v>
      </c>
      <c r="L112" s="192">
        <f>IF(ISERROR(VLOOKUP(A112,'Totalt pivot'!$A$5:$C$397,3,FALSE)),0,(VLOOKUP(A112,'Totalt pivot'!$A$5:$C$397,3,FALSE)))</f>
        <v>10.199999999999999</v>
      </c>
      <c r="M112" s="192">
        <f t="shared" si="6"/>
        <v>1.6319999999999999</v>
      </c>
      <c r="N112" s="26">
        <f>VLOOKUP(A112,kurspris!$A$1:$Q$907,15)</f>
        <v>20766</v>
      </c>
      <c r="O112" s="26">
        <f>VLOOKUP(A112,kurspris!$A$1:$Q$907,16)</f>
        <v>17442</v>
      </c>
      <c r="P112" s="26">
        <f>VLOOKUP(A112,kurspris!$A$1:$Q$907,17)</f>
        <v>6000</v>
      </c>
      <c r="Q112" s="26">
        <f t="shared" si="7"/>
        <v>68336.063999999998</v>
      </c>
      <c r="R112" s="26">
        <f>(Q112*Prislapp!$R$5)*-1</f>
        <v>-4783.52448</v>
      </c>
      <c r="S112" s="26">
        <f t="shared" si="8"/>
        <v>63552.539519999998</v>
      </c>
      <c r="T112" s="26">
        <f t="shared" si="9"/>
        <v>11520</v>
      </c>
      <c r="V112" t="s">
        <v>1780</v>
      </c>
    </row>
    <row r="113" spans="1:22" x14ac:dyDescent="0.25">
      <c r="A113" s="31" t="s">
        <v>511</v>
      </c>
      <c r="B113" t="str">
        <f>VLOOKUP(A113,kurspris!$A$1:$Q$907,2,FALSE)</f>
        <v>Samhällskunskap 1</v>
      </c>
      <c r="C113" s="31">
        <v>2271</v>
      </c>
      <c r="D113" t="str">
        <f>VLOOKUP(C113,Orgenheter!$A$1:$B$214,2)</f>
        <v xml:space="preserve">Nationalekonomi               </v>
      </c>
      <c r="E113" t="str">
        <f>VLOOKUP(C113,Orgenheter!$A$1:$C$166,3,FALSE)</f>
        <v>Sam</v>
      </c>
      <c r="F113" s="262">
        <f>7.2/30</f>
        <v>0.24000000000000002</v>
      </c>
      <c r="G113">
        <f>VLOOKUP(A113,'Ansvar kurs'!$A$98:$C$1072,2,FALSE)</f>
        <v>2340</v>
      </c>
      <c r="H113" t="str">
        <f>VLOOKUP(G113,Orgenheter!$A$1:$B$214,2)</f>
        <v xml:space="preserve">Statsvetenskap                </v>
      </c>
      <c r="I113" t="str">
        <f>VLOOKUP(G113,Orgenheter!$A$1:$C$166,3,FALSE)</f>
        <v>Sam</v>
      </c>
      <c r="J113" s="192">
        <f>IF(ISERROR(VLOOKUP(A113,'Totalt pivot'!$A$5:$C$397,2,FALSE)),0,(VLOOKUP(A113,'Totalt pivot'!$A$5:$C$397,2,FALSE)))</f>
        <v>12</v>
      </c>
      <c r="K113" s="192">
        <f t="shared" si="5"/>
        <v>2.8800000000000003</v>
      </c>
      <c r="L113" s="192">
        <f>IF(ISERROR(VLOOKUP(A113,'Totalt pivot'!$A$5:$C$397,3,FALSE)),0,(VLOOKUP(A113,'Totalt pivot'!$A$5:$C$397,3,FALSE)))</f>
        <v>10.199999999999999</v>
      </c>
      <c r="M113" s="192">
        <f t="shared" si="6"/>
        <v>2.448</v>
      </c>
      <c r="N113" s="26">
        <f>VLOOKUP(A113,kurspris!$A$1:$Q$907,15)</f>
        <v>20766</v>
      </c>
      <c r="O113" s="26">
        <f>VLOOKUP(A113,kurspris!$A$1:$Q$907,16)</f>
        <v>17442</v>
      </c>
      <c r="P113" s="26">
        <f>VLOOKUP(A113,kurspris!$A$1:$Q$907,17)</f>
        <v>6000</v>
      </c>
      <c r="Q113" s="26">
        <f t="shared" si="7"/>
        <v>102504.09600000001</v>
      </c>
      <c r="R113" s="26">
        <f>(Q113*Prislapp!$R$5)*-1</f>
        <v>-7175.286720000001</v>
      </c>
      <c r="S113" s="26">
        <f t="shared" si="8"/>
        <v>95328.809280000001</v>
      </c>
      <c r="T113" s="26">
        <f t="shared" si="9"/>
        <v>17280.000000000004</v>
      </c>
      <c r="V113" t="s">
        <v>1780</v>
      </c>
    </row>
    <row r="114" spans="1:22" x14ac:dyDescent="0.25">
      <c r="A114" s="31" t="s">
        <v>511</v>
      </c>
      <c r="B114" t="str">
        <f>VLOOKUP(A114,kurspris!$A$1:$Q$907,2,FALSE)</f>
        <v>Samhällskunskap 1</v>
      </c>
      <c r="C114" s="31">
        <v>2180</v>
      </c>
      <c r="D114" t="str">
        <f>VLOOKUP(C114,Orgenheter!$A$1:$B$214,2)</f>
        <v xml:space="preserve">Pedagogik                     </v>
      </c>
      <c r="E114" t="str">
        <f>VLOOKUP(C114,Orgenheter!$A$1:$C$166,3,FALSE)</f>
        <v>Sam</v>
      </c>
      <c r="F114" s="262">
        <f>6/30</f>
        <v>0.2</v>
      </c>
      <c r="G114">
        <f>VLOOKUP(A114,'Ansvar kurs'!$A$98:$C$1072,2,FALSE)</f>
        <v>2340</v>
      </c>
      <c r="H114" t="str">
        <f>VLOOKUP(G114,Orgenheter!$A$1:$B$214,2)</f>
        <v xml:space="preserve">Statsvetenskap                </v>
      </c>
      <c r="I114" t="str">
        <f>VLOOKUP(G114,Orgenheter!$A$1:$C$166,3,FALSE)</f>
        <v>Sam</v>
      </c>
      <c r="J114" s="192">
        <f>IF(ISERROR(VLOOKUP(A114,'Totalt pivot'!$A$5:$C$397,2,FALSE)),0,(VLOOKUP(A114,'Totalt pivot'!$A$5:$C$397,2,FALSE)))</f>
        <v>12</v>
      </c>
      <c r="K114" s="192">
        <f t="shared" si="5"/>
        <v>2.4000000000000004</v>
      </c>
      <c r="L114" s="192">
        <f>IF(ISERROR(VLOOKUP(A114,'Totalt pivot'!$A$5:$C$397,3,FALSE)),0,(VLOOKUP(A114,'Totalt pivot'!$A$5:$C$397,3,FALSE)))</f>
        <v>10.199999999999999</v>
      </c>
      <c r="M114" s="192">
        <f t="shared" si="6"/>
        <v>2.04</v>
      </c>
      <c r="N114" s="26">
        <f>VLOOKUP(A114,kurspris!$A$1:$Q$907,15)</f>
        <v>20766</v>
      </c>
      <c r="O114" s="26">
        <f>VLOOKUP(A114,kurspris!$A$1:$Q$907,16)</f>
        <v>17442</v>
      </c>
      <c r="P114" s="26">
        <f>VLOOKUP(A114,kurspris!$A$1:$Q$907,17)</f>
        <v>6000</v>
      </c>
      <c r="Q114" s="26">
        <f t="shared" si="7"/>
        <v>85420.080000000016</v>
      </c>
      <c r="R114" s="26">
        <f>(Q114*Prislapp!$R$5)*-1</f>
        <v>-5979.4056000000019</v>
      </c>
      <c r="S114" s="26">
        <f t="shared" si="8"/>
        <v>79440.674400000018</v>
      </c>
      <c r="T114" s="26">
        <f t="shared" si="9"/>
        <v>14400.000000000002</v>
      </c>
      <c r="V114" t="s">
        <v>1780</v>
      </c>
    </row>
    <row r="115" spans="1:22" x14ac:dyDescent="0.25">
      <c r="A115" s="31" t="s">
        <v>512</v>
      </c>
      <c r="B115" t="str">
        <f>VLOOKUP(A115,kurspris!$A$1:$Q$907,2,FALSE)</f>
        <v>Samhällskunskap 2</v>
      </c>
      <c r="C115" s="31">
        <v>2220</v>
      </c>
      <c r="D115" t="str">
        <f>VLOOKUP(C115,Orgenheter!$A$1:$B$214,2)</f>
        <v xml:space="preserve">Sociologi                     </v>
      </c>
      <c r="E115" t="str">
        <f>VLOOKUP(C115,Orgenheter!$A$1:$C$166,3,FALSE)</f>
        <v>Sam</v>
      </c>
      <c r="F115" s="262">
        <f>12/30</f>
        <v>0.4</v>
      </c>
      <c r="G115">
        <f>VLOOKUP(A115,'Ansvar kurs'!$A$98:$C$1072,2,FALSE)</f>
        <v>2340</v>
      </c>
      <c r="H115" t="str">
        <f>VLOOKUP(G115,Orgenheter!$A$1:$B$214,2)</f>
        <v xml:space="preserve">Statsvetenskap                </v>
      </c>
      <c r="I115" t="str">
        <f>VLOOKUP(G115,Orgenheter!$A$1:$C$166,3,FALSE)</f>
        <v>Sam</v>
      </c>
      <c r="J115" s="192">
        <f>IF(ISERROR(VLOOKUP(A115,'Totalt pivot'!$A$5:$C$397,2,FALSE)),0,(VLOOKUP(A115,'Totalt pivot'!$A$5:$C$397,2,FALSE)))</f>
        <v>9.5</v>
      </c>
      <c r="K115" s="192">
        <f t="shared" si="5"/>
        <v>3.8000000000000003</v>
      </c>
      <c r="L115" s="192">
        <f>IF(ISERROR(VLOOKUP(A115,'Totalt pivot'!$A$5:$C$397,3,FALSE)),0,(VLOOKUP(A115,'Totalt pivot'!$A$5:$C$397,3,FALSE)))</f>
        <v>8.0749999999999993</v>
      </c>
      <c r="M115" s="192">
        <f t="shared" si="6"/>
        <v>3.23</v>
      </c>
      <c r="N115" s="26">
        <f>VLOOKUP(A115,kurspris!$A$1:$Q$907,15)</f>
        <v>20766</v>
      </c>
      <c r="O115" s="26">
        <f>VLOOKUP(A115,kurspris!$A$1:$Q$907,16)</f>
        <v>17442</v>
      </c>
      <c r="P115" s="26">
        <f>VLOOKUP(A115,kurspris!$A$1:$Q$907,17)</f>
        <v>6000</v>
      </c>
      <c r="Q115" s="26">
        <f t="shared" si="7"/>
        <v>135248.46</v>
      </c>
      <c r="R115" s="26">
        <f>(Q115*Prislapp!$R$5)*-1</f>
        <v>-9467.3922000000002</v>
      </c>
      <c r="S115" s="26">
        <f t="shared" si="8"/>
        <v>125781.06779999999</v>
      </c>
      <c r="T115" s="26">
        <f t="shared" si="9"/>
        <v>22800</v>
      </c>
      <c r="V115" t="s">
        <v>1780</v>
      </c>
    </row>
    <row r="116" spans="1:22" x14ac:dyDescent="0.25">
      <c r="A116" s="31" t="s">
        <v>512</v>
      </c>
      <c r="B116" t="str">
        <f>VLOOKUP(A116,kurspris!$A$1:$Q$907,2,FALSE)</f>
        <v>Samhällskunskap 2</v>
      </c>
      <c r="C116" s="31">
        <v>2180</v>
      </c>
      <c r="D116" t="str">
        <f>VLOOKUP(C116,Orgenheter!$A$1:$B$214,2)</f>
        <v xml:space="preserve">Pedagogik                     </v>
      </c>
      <c r="E116" t="str">
        <f>VLOOKUP(C116,Orgenheter!$A$1:$C$166,3,FALSE)</f>
        <v>Sam</v>
      </c>
      <c r="F116" s="262">
        <f>6/30</f>
        <v>0.2</v>
      </c>
      <c r="G116">
        <f>VLOOKUP(A116,'Ansvar kurs'!$A$98:$C$1072,2,FALSE)</f>
        <v>2340</v>
      </c>
      <c r="H116" t="str">
        <f>VLOOKUP(G116,Orgenheter!$A$1:$B$214,2)</f>
        <v xml:space="preserve">Statsvetenskap                </v>
      </c>
      <c r="I116" t="str">
        <f>VLOOKUP(G116,Orgenheter!$A$1:$C$166,3,FALSE)</f>
        <v>Sam</v>
      </c>
      <c r="J116" s="192">
        <f>IF(ISERROR(VLOOKUP(A116,'Totalt pivot'!$A$5:$C$397,2,FALSE)),0,(VLOOKUP(A116,'Totalt pivot'!$A$5:$C$397,2,FALSE)))</f>
        <v>9.5</v>
      </c>
      <c r="K116" s="192">
        <f t="shared" si="5"/>
        <v>1.9000000000000001</v>
      </c>
      <c r="L116" s="192">
        <f>IF(ISERROR(VLOOKUP(A116,'Totalt pivot'!$A$5:$C$397,3,FALSE)),0,(VLOOKUP(A116,'Totalt pivot'!$A$5:$C$397,3,FALSE)))</f>
        <v>8.0749999999999993</v>
      </c>
      <c r="M116" s="192">
        <f t="shared" si="6"/>
        <v>1.615</v>
      </c>
      <c r="N116" s="26">
        <f>VLOOKUP(A116,kurspris!$A$1:$Q$907,15)</f>
        <v>20766</v>
      </c>
      <c r="O116" s="26">
        <f>VLOOKUP(A116,kurspris!$A$1:$Q$907,16)</f>
        <v>17442</v>
      </c>
      <c r="P116" s="26">
        <f>VLOOKUP(A116,kurspris!$A$1:$Q$907,17)</f>
        <v>6000</v>
      </c>
      <c r="Q116" s="26">
        <f t="shared" si="7"/>
        <v>67624.23</v>
      </c>
      <c r="R116" s="26">
        <f>(Q116*Prislapp!$R$5)*-1</f>
        <v>-4733.6961000000001</v>
      </c>
      <c r="S116" s="26">
        <f t="shared" si="8"/>
        <v>62890.533899999995</v>
      </c>
      <c r="T116" s="26">
        <f t="shared" si="9"/>
        <v>11400</v>
      </c>
      <c r="V116" t="s">
        <v>1780</v>
      </c>
    </row>
    <row r="117" spans="1:22" x14ac:dyDescent="0.25">
      <c r="A117" s="31" t="s">
        <v>600</v>
      </c>
      <c r="B117" t="str">
        <f>VLOOKUP(A117,kurspris!$A$1:$Q$907,2,FALSE)</f>
        <v>Samhällskunskap 3</v>
      </c>
      <c r="C117" s="31">
        <v>2360</v>
      </c>
      <c r="D117" t="str">
        <f>VLOOKUP(C117,Orgenheter!$A$1:$B$214,2)</f>
        <v xml:space="preserve">Ekonomisk historia            </v>
      </c>
      <c r="E117" t="str">
        <f>VLOOKUP(C117,Orgenheter!$A$1:$C$166,3,FALSE)</f>
        <v>Sam</v>
      </c>
      <c r="F117" s="262">
        <f>5.4/30</f>
        <v>0.18000000000000002</v>
      </c>
      <c r="G117">
        <f>VLOOKUP(A117,'Ansvar kurs'!$A$98:$C$1072,2,FALSE)</f>
        <v>2340</v>
      </c>
      <c r="H117" t="str">
        <f>VLOOKUP(G117,Orgenheter!$A$1:$B$214,2)</f>
        <v xml:space="preserve">Statsvetenskap                </v>
      </c>
      <c r="I117" t="str">
        <f>VLOOKUP(G117,Orgenheter!$A$1:$C$166,3,FALSE)</f>
        <v>Sam</v>
      </c>
      <c r="J117" s="192">
        <f>IF(ISERROR(VLOOKUP(A117,'Totalt pivot'!$A$5:$C$397,2,FALSE)),0,(VLOOKUP(A117,'Totalt pivot'!$A$5:$C$397,2,FALSE)))</f>
        <v>9.5</v>
      </c>
      <c r="K117" s="192">
        <f t="shared" si="5"/>
        <v>1.7100000000000002</v>
      </c>
      <c r="L117" s="192">
        <f>IF(ISERROR(VLOOKUP(A117,'Totalt pivot'!$A$5:$C$397,3,FALSE)),0,(VLOOKUP(A117,'Totalt pivot'!$A$5:$C$397,3,FALSE)))</f>
        <v>8.0749999999999993</v>
      </c>
      <c r="M117" s="192">
        <f t="shared" si="6"/>
        <v>1.4535</v>
      </c>
      <c r="N117" s="26">
        <f>VLOOKUP(A117,kurspris!$A$1:$Q$907,15)</f>
        <v>20766</v>
      </c>
      <c r="O117" s="26">
        <f>VLOOKUP(A117,kurspris!$A$1:$Q$907,16)</f>
        <v>17442</v>
      </c>
      <c r="P117" s="26">
        <f>VLOOKUP(A117,kurspris!$A$1:$Q$907,17)</f>
        <v>6000</v>
      </c>
      <c r="Q117" s="26">
        <f t="shared" si="7"/>
        <v>60861.807000000001</v>
      </c>
      <c r="R117" s="26">
        <f>(Q117*Prislapp!$R$5)*-1</f>
        <v>-4260.3264900000004</v>
      </c>
      <c r="S117" s="26">
        <f t="shared" si="8"/>
        <v>56601.480510000001</v>
      </c>
      <c r="T117" s="26">
        <f t="shared" si="9"/>
        <v>10260.000000000002</v>
      </c>
      <c r="V117" t="s">
        <v>1780</v>
      </c>
    </row>
    <row r="118" spans="1:22" x14ac:dyDescent="0.25">
      <c r="A118" s="31" t="s">
        <v>600</v>
      </c>
      <c r="B118" t="str">
        <f>VLOOKUP(A118,kurspris!$A$1:$Q$907,2,FALSE)</f>
        <v>Samhällskunskap 3</v>
      </c>
      <c r="C118" s="31">
        <v>2271</v>
      </c>
      <c r="D118" t="str">
        <f>VLOOKUP(C118,Orgenheter!$A$1:$B$214,2)</f>
        <v xml:space="preserve">Nationalekonomi               </v>
      </c>
      <c r="E118" t="str">
        <f>VLOOKUP(C118,Orgenheter!$A$1:$C$166,3,FALSE)</f>
        <v>Sam</v>
      </c>
      <c r="F118" s="262">
        <f>8.1/30</f>
        <v>0.26999999999999996</v>
      </c>
      <c r="G118">
        <f>VLOOKUP(A118,'Ansvar kurs'!$A$98:$C$1072,2,FALSE)</f>
        <v>2340</v>
      </c>
      <c r="H118" t="str">
        <f>VLOOKUP(G118,Orgenheter!$A$1:$B$214,2)</f>
        <v xml:space="preserve">Statsvetenskap                </v>
      </c>
      <c r="I118" t="str">
        <f>VLOOKUP(G118,Orgenheter!$A$1:$C$166,3,FALSE)</f>
        <v>Sam</v>
      </c>
      <c r="J118" s="192">
        <f>IF(ISERROR(VLOOKUP(A118,'Totalt pivot'!$A$5:$C$397,2,FALSE)),0,(VLOOKUP(A118,'Totalt pivot'!$A$5:$C$397,2,FALSE)))</f>
        <v>9.5</v>
      </c>
      <c r="K118" s="192">
        <f t="shared" si="5"/>
        <v>2.5649999999999995</v>
      </c>
      <c r="L118" s="192">
        <f>IF(ISERROR(VLOOKUP(A118,'Totalt pivot'!$A$5:$C$397,3,FALSE)),0,(VLOOKUP(A118,'Totalt pivot'!$A$5:$C$397,3,FALSE)))</f>
        <v>8.0749999999999993</v>
      </c>
      <c r="M118" s="192">
        <f t="shared" si="6"/>
        <v>2.1802499999999996</v>
      </c>
      <c r="N118" s="26">
        <f>VLOOKUP(A118,kurspris!$A$1:$Q$907,15)</f>
        <v>20766</v>
      </c>
      <c r="O118" s="26">
        <f>VLOOKUP(A118,kurspris!$A$1:$Q$907,16)</f>
        <v>17442</v>
      </c>
      <c r="P118" s="26">
        <f>VLOOKUP(A118,kurspris!$A$1:$Q$907,17)</f>
        <v>6000</v>
      </c>
      <c r="Q118" s="26">
        <f t="shared" si="7"/>
        <v>91292.710499999986</v>
      </c>
      <c r="R118" s="26">
        <f>(Q118*Prislapp!$R$5)*-1</f>
        <v>-6390.4897350000001</v>
      </c>
      <c r="S118" s="26">
        <f t="shared" si="8"/>
        <v>84902.220764999991</v>
      </c>
      <c r="T118" s="26">
        <f t="shared" si="9"/>
        <v>15389.999999999996</v>
      </c>
      <c r="V118" t="s">
        <v>1780</v>
      </c>
    </row>
    <row r="119" spans="1:22" x14ac:dyDescent="0.25">
      <c r="A119" s="31" t="s">
        <v>600</v>
      </c>
      <c r="B119" t="str">
        <f>VLOOKUP(A119,kurspris!$A$1:$Q$907,2,FALSE)</f>
        <v>Samhällskunskap 3</v>
      </c>
      <c r="C119" s="31">
        <v>2180</v>
      </c>
      <c r="D119" t="str">
        <f>VLOOKUP(C119,Orgenheter!$A$1:$B$214,2)</f>
        <v xml:space="preserve">Pedagogik                     </v>
      </c>
      <c r="E119" t="str">
        <f>VLOOKUP(C119,Orgenheter!$A$1:$C$166,3,FALSE)</f>
        <v>Sam</v>
      </c>
      <c r="F119" s="262">
        <f>1.5/30</f>
        <v>0.05</v>
      </c>
      <c r="G119">
        <f>VLOOKUP(A119,'Ansvar kurs'!$A$98:$C$1072,2,FALSE)</f>
        <v>2340</v>
      </c>
      <c r="H119" t="str">
        <f>VLOOKUP(G119,Orgenheter!$A$1:$B$214,2)</f>
        <v xml:space="preserve">Statsvetenskap                </v>
      </c>
      <c r="I119" t="str">
        <f>VLOOKUP(G119,Orgenheter!$A$1:$C$166,3,FALSE)</f>
        <v>Sam</v>
      </c>
      <c r="J119" s="192">
        <f>IF(ISERROR(VLOOKUP(A119,'Totalt pivot'!$A$5:$C$397,2,FALSE)),0,(VLOOKUP(A119,'Totalt pivot'!$A$5:$C$397,2,FALSE)))</f>
        <v>9.5</v>
      </c>
      <c r="K119" s="192">
        <f t="shared" si="5"/>
        <v>0.47500000000000003</v>
      </c>
      <c r="L119" s="192">
        <f>IF(ISERROR(VLOOKUP(A119,'Totalt pivot'!$A$5:$C$397,3,FALSE)),0,(VLOOKUP(A119,'Totalt pivot'!$A$5:$C$397,3,FALSE)))</f>
        <v>8.0749999999999993</v>
      </c>
      <c r="M119" s="192">
        <f t="shared" si="6"/>
        <v>0.40375</v>
      </c>
      <c r="N119" s="26">
        <f>VLOOKUP(A119,kurspris!$A$1:$Q$907,15)</f>
        <v>20766</v>
      </c>
      <c r="O119" s="26">
        <f>VLOOKUP(A119,kurspris!$A$1:$Q$907,16)</f>
        <v>17442</v>
      </c>
      <c r="P119" s="26">
        <f>VLOOKUP(A119,kurspris!$A$1:$Q$907,17)</f>
        <v>6000</v>
      </c>
      <c r="Q119" s="26">
        <f t="shared" si="7"/>
        <v>16906.057499999999</v>
      </c>
      <c r="R119" s="26">
        <f>(Q119*Prislapp!$R$5)*-1</f>
        <v>-1183.424025</v>
      </c>
      <c r="S119" s="26">
        <f t="shared" si="8"/>
        <v>15722.633474999999</v>
      </c>
      <c r="T119" s="26">
        <f t="shared" si="9"/>
        <v>2850</v>
      </c>
      <c r="V119" t="s">
        <v>1780</v>
      </c>
    </row>
    <row r="120" spans="1:22" x14ac:dyDescent="0.25">
      <c r="A120" s="31" t="s">
        <v>1025</v>
      </c>
      <c r="B120" t="str">
        <f>VLOOKUP(A120,kurspris!$A$1:$Q$907,2,FALSE)</f>
        <v>Profession och vetenskap</v>
      </c>
      <c r="C120" s="31">
        <v>2300</v>
      </c>
      <c r="D120" t="str">
        <f>VLOOKUP(C120,Orgenheter!$A$1:$B$214,2)</f>
        <v xml:space="preserve">Juridiska institutionen       </v>
      </c>
      <c r="E120" t="str">
        <f>VLOOKUP(C120,Orgenheter!$A$1:$C$166,3,FALSE)</f>
        <v>Sam</v>
      </c>
      <c r="F120" s="262">
        <f>3.75/7.5</f>
        <v>0.5</v>
      </c>
      <c r="G120">
        <f>VLOOKUP(A120,'Ansvar kurs'!$A$98:$C$1072,2,FALSE)</f>
        <v>2340</v>
      </c>
      <c r="H120" t="str">
        <f>VLOOKUP(G120,Orgenheter!$A$1:$B$214,2)</f>
        <v xml:space="preserve">Statsvetenskap                </v>
      </c>
      <c r="I120" t="str">
        <f>VLOOKUP(G120,Orgenheter!$A$1:$C$166,3,FALSE)</f>
        <v>Sam</v>
      </c>
      <c r="J120" s="192">
        <f>IF(ISERROR(VLOOKUP(A120,'Totalt pivot'!$A$5:$C$397,2,FALSE)),0,(VLOOKUP(A120,'Totalt pivot'!$A$5:$C$397,2,FALSE)))</f>
        <v>0</v>
      </c>
      <c r="K120" s="192">
        <f t="shared" si="5"/>
        <v>0</v>
      </c>
      <c r="L120" s="192">
        <f>IF(ISERROR(VLOOKUP(A120,'Totalt pivot'!$A$5:$C$397,3,FALSE)),0,(VLOOKUP(A120,'Totalt pivot'!$A$5:$C$397,3,FALSE)))</f>
        <v>0</v>
      </c>
      <c r="M120" s="192">
        <f t="shared" si="6"/>
        <v>0</v>
      </c>
      <c r="N120" s="26">
        <f>VLOOKUP(A120,kurspris!$A$1:$Q$907,15)</f>
        <v>26554</v>
      </c>
      <c r="O120" s="26">
        <f>VLOOKUP(A120,kurspris!$A$1:$Q$907,16)</f>
        <v>33465</v>
      </c>
      <c r="P120" s="26">
        <f>VLOOKUP(A120,kurspris!$A$1:$Q$907,17)</f>
        <v>6000</v>
      </c>
      <c r="Q120" s="26">
        <f t="shared" si="7"/>
        <v>0</v>
      </c>
      <c r="R120" s="26">
        <f>(Q120*Prislapp!$R$5)*-1</f>
        <v>0</v>
      </c>
      <c r="S120" s="26">
        <f t="shared" si="8"/>
        <v>0</v>
      </c>
      <c r="T120" s="26">
        <f t="shared" si="9"/>
        <v>0</v>
      </c>
      <c r="V120" t="s">
        <v>1386</v>
      </c>
    </row>
    <row r="121" spans="1:22" x14ac:dyDescent="0.25">
      <c r="A121" s="31" t="s">
        <v>1864</v>
      </c>
      <c r="B121" t="str">
        <f>VLOOKUP(A121,kurspris!$A$1:$Q$907,2,FALSE)</f>
        <v>Introduktion till det specialpedagogiska fältet</v>
      </c>
      <c r="C121" s="31">
        <v>1620</v>
      </c>
      <c r="D121" t="str">
        <f>VLOOKUP(C121,Orgenheter!$A$1:$B$214,2)</f>
        <v>Inst för språkstudier</v>
      </c>
      <c r="E121" t="str">
        <f>VLOOKUP(C121,Orgenheter!$A$1:$C$166,3,FALSE)</f>
        <v>Hum</v>
      </c>
      <c r="F121" s="263">
        <f>1.5/7.5</f>
        <v>0.2</v>
      </c>
      <c r="G121">
        <f>VLOOKUP(A121,'Ansvar kurs'!$A$98:$C$1072,2,FALSE)</f>
        <v>2180</v>
      </c>
      <c r="H121" t="str">
        <f>VLOOKUP(G121,Orgenheter!$A$1:$B$214,2)</f>
        <v xml:space="preserve">Pedagogik                     </v>
      </c>
      <c r="I121" t="str">
        <f>VLOOKUP(G121,Orgenheter!$A$1:$C$166,3,FALSE)</f>
        <v>Sam</v>
      </c>
      <c r="J121" s="192">
        <f>IF(ISERROR(VLOOKUP(A121,'Totalt pivot'!$A$5:$C$397,2,FALSE)),0,(VLOOKUP(A121,'Totalt pivot'!$A$5:$C$397,2,FALSE)))</f>
        <v>11.875</v>
      </c>
      <c r="K121" s="192">
        <f t="shared" si="5"/>
        <v>2.375</v>
      </c>
      <c r="L121" s="192">
        <f>IF(ISERROR(VLOOKUP(A121,'Totalt pivot'!$A$5:$C$397,3,FALSE)),0,(VLOOKUP(A121,'Totalt pivot'!$A$5:$C$397,3,FALSE)))</f>
        <v>10.09375</v>
      </c>
      <c r="M121" s="192">
        <f t="shared" si="6"/>
        <v>2.0187500000000003</v>
      </c>
      <c r="N121" s="26">
        <f>VLOOKUP(A121,kurspris!$A$1:$Q$907,15)</f>
        <v>20766</v>
      </c>
      <c r="O121" s="26">
        <f>VLOOKUP(A121,kurspris!$A$1:$Q$907,16)</f>
        <v>17442</v>
      </c>
      <c r="P121" s="26">
        <f>VLOOKUP(A121,kurspris!$A$1:$Q$907,17)</f>
        <v>6000</v>
      </c>
      <c r="Q121" s="26">
        <f t="shared" si="7"/>
        <v>84530.287500000006</v>
      </c>
      <c r="R121" s="26">
        <f>(Q121*Prislapp!$R$5)*-1</f>
        <v>-5917.1201250000013</v>
      </c>
      <c r="S121" s="26">
        <f t="shared" si="8"/>
        <v>78613.167375000005</v>
      </c>
      <c r="T121" s="26">
        <f t="shared" si="9"/>
        <v>14250</v>
      </c>
      <c r="V121" t="s">
        <v>1870</v>
      </c>
    </row>
    <row r="122" spans="1:22" x14ac:dyDescent="0.25">
      <c r="A122" s="31" t="s">
        <v>1864</v>
      </c>
      <c r="B122" t="str">
        <f>VLOOKUP(A122,kurspris!$A$1:$Q$907,2,FALSE)</f>
        <v>Introduktion till det specialpedagogiska fältet</v>
      </c>
      <c r="C122" s="31">
        <v>2200</v>
      </c>
      <c r="D122" t="str">
        <f>VLOOKUP(C122,Orgenheter!$A$1:$B$214,2)</f>
        <v xml:space="preserve">Inst för psykologi            </v>
      </c>
      <c r="E122" t="str">
        <f>VLOOKUP(C122,Orgenheter!$A$1:$C$166,3,FALSE)</f>
        <v>Sam</v>
      </c>
      <c r="F122" s="263">
        <f>1.5/7.5</f>
        <v>0.2</v>
      </c>
      <c r="G122">
        <f>VLOOKUP(A122,'Ansvar kurs'!$A$98:$C$1072,2,FALSE)</f>
        <v>2180</v>
      </c>
      <c r="H122" t="str">
        <f>VLOOKUP(G122,Orgenheter!$A$1:$B$214,2)</f>
        <v xml:space="preserve">Pedagogik                     </v>
      </c>
      <c r="I122" t="str">
        <f>VLOOKUP(G122,Orgenheter!$A$1:$C$166,3,FALSE)</f>
        <v>Sam</v>
      </c>
      <c r="J122" s="192">
        <f>IF(ISERROR(VLOOKUP(A122,'Totalt pivot'!$A$5:$C$397,2,FALSE)),0,(VLOOKUP(A122,'Totalt pivot'!$A$5:$C$397,2,FALSE)))</f>
        <v>11.875</v>
      </c>
      <c r="K122" s="192">
        <f t="shared" si="5"/>
        <v>2.375</v>
      </c>
      <c r="L122" s="192">
        <f>IF(ISERROR(VLOOKUP(A122,'Totalt pivot'!$A$5:$C$397,3,FALSE)),0,(VLOOKUP(A122,'Totalt pivot'!$A$5:$C$397,3,FALSE)))</f>
        <v>10.09375</v>
      </c>
      <c r="M122" s="192">
        <f t="shared" si="6"/>
        <v>2.0187500000000003</v>
      </c>
      <c r="N122" s="26">
        <f>VLOOKUP(A122,kurspris!$A$1:$Q$907,15)</f>
        <v>20766</v>
      </c>
      <c r="O122" s="26">
        <f>VLOOKUP(A122,kurspris!$A$1:$Q$907,16)</f>
        <v>17442</v>
      </c>
      <c r="P122" s="26">
        <f>VLOOKUP(A122,kurspris!$A$1:$Q$907,17)</f>
        <v>6000</v>
      </c>
      <c r="Q122" s="26">
        <f t="shared" si="7"/>
        <v>84530.287500000006</v>
      </c>
      <c r="R122" s="26">
        <f>(Q122*Prislapp!$R$5)*-1</f>
        <v>-5917.1201250000013</v>
      </c>
      <c r="S122" s="26">
        <f t="shared" si="8"/>
        <v>78613.167375000005</v>
      </c>
      <c r="T122" s="26">
        <f t="shared" si="9"/>
        <v>14250</v>
      </c>
      <c r="V122" t="s">
        <v>1870</v>
      </c>
    </row>
    <row r="123" spans="1:22" x14ac:dyDescent="0.25">
      <c r="A123" s="31" t="s">
        <v>1867</v>
      </c>
      <c r="B123" t="str">
        <f>VLOOKUP(A123,kurspris!$A$1:$Q$907,2,FALSE)</f>
        <v>Neuropsykiatriska svårigheter i olika lärmiljöer</v>
      </c>
      <c r="C123" s="31">
        <v>2193</v>
      </c>
      <c r="D123" t="str">
        <f>VLOOKUP(C123,Orgenheter!$A$1:$B$214,2)</f>
        <v xml:space="preserve">TUV </v>
      </c>
      <c r="E123" t="str">
        <f>VLOOKUP(C123,Orgenheter!$A$1:$C$166,3,FALSE)</f>
        <v>Sam</v>
      </c>
      <c r="F123" s="263">
        <f>2/7.5</f>
        <v>0.26666666666666666</v>
      </c>
      <c r="G123">
        <f>VLOOKUP(A123,'Ansvar kurs'!$A$98:$C$1072,2,FALSE)</f>
        <v>2180</v>
      </c>
      <c r="H123" t="str">
        <f>VLOOKUP(G123,Orgenheter!$A$1:$B$214,2)</f>
        <v xml:space="preserve">Pedagogik                     </v>
      </c>
      <c r="I123" t="str">
        <f>VLOOKUP(G123,Orgenheter!$A$1:$C$166,3,FALSE)</f>
        <v>Sam</v>
      </c>
      <c r="J123" s="192">
        <f>IF(ISERROR(VLOOKUP(A123,'Totalt pivot'!$A$5:$C$397,2,FALSE)),0,(VLOOKUP(A123,'Totalt pivot'!$A$5:$C$397,2,FALSE)))</f>
        <v>10.7</v>
      </c>
      <c r="K123" s="192">
        <f t="shared" si="5"/>
        <v>2.8533333333333331</v>
      </c>
      <c r="L123" s="192">
        <f>IF(ISERROR(VLOOKUP(A123,'Totalt pivot'!$A$5:$C$397,3,FALSE)),0,(VLOOKUP(A123,'Totalt pivot'!$A$5:$C$397,3,FALSE)))</f>
        <v>9.0949999999999989</v>
      </c>
      <c r="M123" s="192">
        <f t="shared" si="6"/>
        <v>2.4253333333333331</v>
      </c>
      <c r="N123" s="26">
        <f>VLOOKUP(A123,kurspris!$A$1:$Q$907,15)</f>
        <v>20766</v>
      </c>
      <c r="O123" s="26">
        <f>VLOOKUP(A123,kurspris!$A$1:$Q$907,16)</f>
        <v>17442</v>
      </c>
      <c r="P123" s="26">
        <f>VLOOKUP(A123,kurspris!$A$1:$Q$907,17)</f>
        <v>6000</v>
      </c>
      <c r="Q123" s="26">
        <f t="shared" si="7"/>
        <v>101554.984</v>
      </c>
      <c r="R123" s="26">
        <f>(Q123*Prislapp!$R$5)*-1</f>
        <v>-7108.8488800000005</v>
      </c>
      <c r="S123" s="26">
        <f t="shared" si="8"/>
        <v>94446.135119999992</v>
      </c>
      <c r="T123" s="26">
        <f t="shared" si="9"/>
        <v>17120</v>
      </c>
      <c r="V123" t="s">
        <v>1870</v>
      </c>
    </row>
    <row r="124" spans="1:22" x14ac:dyDescent="0.25">
      <c r="A124" s="31" t="s">
        <v>1867</v>
      </c>
      <c r="B124" t="str">
        <f>VLOOKUP(A124,kurspris!$A$1:$Q$907,2,FALSE)</f>
        <v>Neuropsykiatriska svårigheter i olika lärmiljöer</v>
      </c>
      <c r="C124" s="31">
        <v>2200</v>
      </c>
      <c r="D124" t="str">
        <f>VLOOKUP(C124,Orgenheter!$A$1:$B$214,2)</f>
        <v xml:space="preserve">Inst för psykologi            </v>
      </c>
      <c r="E124" t="str">
        <f>VLOOKUP(C124,Orgenheter!$A$1:$C$166,3,FALSE)</f>
        <v>Sam</v>
      </c>
      <c r="F124" s="263">
        <f>2/7.5</f>
        <v>0.26666666666666666</v>
      </c>
      <c r="G124">
        <f>VLOOKUP(A124,'Ansvar kurs'!$A$98:$C$1072,2,FALSE)</f>
        <v>2180</v>
      </c>
      <c r="H124" t="str">
        <f>VLOOKUP(G124,Orgenheter!$A$1:$B$214,2)</f>
        <v xml:space="preserve">Pedagogik                     </v>
      </c>
      <c r="I124" t="str">
        <f>VLOOKUP(G124,Orgenheter!$A$1:$C$166,3,FALSE)</f>
        <v>Sam</v>
      </c>
      <c r="J124" s="192">
        <f>IF(ISERROR(VLOOKUP(A124,'Totalt pivot'!$A$5:$C$397,2,FALSE)),0,(VLOOKUP(A124,'Totalt pivot'!$A$5:$C$397,2,FALSE)))</f>
        <v>10.7</v>
      </c>
      <c r="K124" s="192">
        <f t="shared" si="5"/>
        <v>2.8533333333333331</v>
      </c>
      <c r="L124" s="192">
        <f>IF(ISERROR(VLOOKUP(A124,'Totalt pivot'!$A$5:$C$397,3,FALSE)),0,(VLOOKUP(A124,'Totalt pivot'!$A$5:$C$397,3,FALSE)))</f>
        <v>9.0949999999999989</v>
      </c>
      <c r="M124" s="192">
        <f t="shared" si="6"/>
        <v>2.4253333333333331</v>
      </c>
      <c r="N124" s="26">
        <f>VLOOKUP(A124,kurspris!$A$1:$Q$907,15)</f>
        <v>20766</v>
      </c>
      <c r="O124" s="26">
        <f>VLOOKUP(A124,kurspris!$A$1:$Q$907,16)</f>
        <v>17442</v>
      </c>
      <c r="P124" s="26">
        <f>VLOOKUP(A124,kurspris!$A$1:$Q$907,17)</f>
        <v>6000</v>
      </c>
      <c r="Q124" s="26">
        <f t="shared" si="7"/>
        <v>101554.984</v>
      </c>
      <c r="R124" s="26">
        <f>(Q124*Prislapp!$R$5)*-1</f>
        <v>-7108.8488800000005</v>
      </c>
      <c r="S124" s="26">
        <f t="shared" si="8"/>
        <v>94446.135119999992</v>
      </c>
      <c r="T124" s="26">
        <f t="shared" si="9"/>
        <v>17120</v>
      </c>
      <c r="V124" t="s">
        <v>1870</v>
      </c>
    </row>
    <row r="125" spans="1:22" x14ac:dyDescent="0.25">
      <c r="A125" s="31" t="s">
        <v>1866</v>
      </c>
      <c r="B125" t="str">
        <f>VLOOKUP(A125,kurspris!$A$1:$Q$907,2,FALSE)</f>
        <v>Speciallärarens och specialpedagogens yrkesfunktion</v>
      </c>
      <c r="C125" s="31">
        <v>2180</v>
      </c>
      <c r="D125" t="str">
        <f>VLOOKUP(C125,Orgenheter!$A$1:$B$214,2)</f>
        <v xml:space="preserve">Pedagogik                     </v>
      </c>
      <c r="E125" t="str">
        <f>VLOOKUP(C125,Orgenheter!$A$1:$C$166,3,FALSE)</f>
        <v>Sam</v>
      </c>
      <c r="F125" s="263">
        <f>5/15</f>
        <v>0.33333333333333331</v>
      </c>
      <c r="G125">
        <f>VLOOKUP(A125,'Ansvar kurs'!$A$98:$C$1072,2,FALSE)</f>
        <v>2193</v>
      </c>
      <c r="H125" t="str">
        <f>VLOOKUP(G125,Orgenheter!$A$1:$B$214,2)</f>
        <v xml:space="preserve">TUV </v>
      </c>
      <c r="I125" t="str">
        <f>VLOOKUP(G125,Orgenheter!$A$1:$C$166,3,FALSE)</f>
        <v>Sam</v>
      </c>
      <c r="J125" s="192">
        <f>IF(ISERROR(VLOOKUP(A125,'Totalt pivot'!$A$5:$C$397,2,FALSE)),0,(VLOOKUP(A125,'Totalt pivot'!$A$5:$C$397,2,FALSE)))</f>
        <v>22.575000000000003</v>
      </c>
      <c r="K125" s="192">
        <f t="shared" si="5"/>
        <v>7.5250000000000004</v>
      </c>
      <c r="L125" s="192">
        <f>IF(ISERROR(VLOOKUP(A125,'Totalt pivot'!$A$5:$C$397,3,FALSE)),0,(VLOOKUP(A125,'Totalt pivot'!$A$5:$C$397,3,FALSE)))</f>
        <v>19.188749999999999</v>
      </c>
      <c r="M125" s="192">
        <f t="shared" si="6"/>
        <v>6.3962499999999993</v>
      </c>
      <c r="N125" s="26">
        <f>VLOOKUP(A125,kurspris!$A$1:$Q$907,15)</f>
        <v>36229.199999999997</v>
      </c>
      <c r="O125" s="26">
        <f>VLOOKUP(A125,kurspris!$A$1:$Q$907,16)</f>
        <v>35006.800000000003</v>
      </c>
      <c r="P125" s="26">
        <f>VLOOKUP(A125,kurspris!$A$1:$Q$907,17)</f>
        <v>6000</v>
      </c>
      <c r="Q125" s="26">
        <f t="shared" si="7"/>
        <v>496536.97450000001</v>
      </c>
      <c r="R125" s="26">
        <f>(Q125*Prislapp!$R$5)*-1</f>
        <v>-34757.588215000003</v>
      </c>
      <c r="S125" s="26">
        <f t="shared" si="8"/>
        <v>461779.38628500002</v>
      </c>
      <c r="T125" s="26">
        <f t="shared" si="9"/>
        <v>45150</v>
      </c>
      <c r="V125" t="s">
        <v>1870</v>
      </c>
    </row>
    <row r="126" spans="1:22" x14ac:dyDescent="0.25">
      <c r="A126" s="31" t="s">
        <v>1974</v>
      </c>
      <c r="B126" t="e">
        <f>VLOOKUP(A126,kurspris!$A$1:$Q$907,2,FALSE)</f>
        <v>#N/A</v>
      </c>
      <c r="C126" s="31">
        <v>2200</v>
      </c>
      <c r="D126" t="str">
        <f>VLOOKUP(C126,Orgenheter!$A$1:$B$214,2)</f>
        <v xml:space="preserve">Inst för psykologi            </v>
      </c>
      <c r="E126" t="str">
        <f>VLOOKUP(C126,Orgenheter!$A$1:$C$166,3,FALSE)</f>
        <v>Sam</v>
      </c>
      <c r="F126" s="263">
        <v>0.5</v>
      </c>
      <c r="G126" t="e">
        <f>VLOOKUP(A126,'Ansvar kurs'!$A$98:$C$1072,2,FALSE)</f>
        <v>#N/A</v>
      </c>
      <c r="H126" t="e">
        <f>VLOOKUP(G126,Orgenheter!$A$1:$B$214,2)</f>
        <v>#N/A</v>
      </c>
      <c r="I126" t="e">
        <f>VLOOKUP(G126,Orgenheter!$A$1:$C$166,3,FALSE)</f>
        <v>#N/A</v>
      </c>
      <c r="J126" s="192">
        <f>IF(ISERROR(VLOOKUP(A126,'Totalt pivot'!$A$5:$C$397,2,FALSE)),0,(VLOOKUP(A126,'Totalt pivot'!$A$5:$C$397,2,FALSE)))</f>
        <v>0</v>
      </c>
      <c r="K126" s="192">
        <f>F126*J126</f>
        <v>0</v>
      </c>
      <c r="L126" s="192">
        <f>IF(ISERROR(VLOOKUP(A126,'Totalt pivot'!$A$5:$C$397,3,FALSE)),0,(VLOOKUP(A126,'Totalt pivot'!$A$5:$C$397,3,FALSE)))</f>
        <v>0</v>
      </c>
      <c r="M126" s="192">
        <f>F126*L126</f>
        <v>0</v>
      </c>
      <c r="N126" s="26">
        <f>VLOOKUP(A126,kurspris!$A$1:$Q$907,15)</f>
        <v>36229.199999999997</v>
      </c>
      <c r="O126" s="26">
        <f>VLOOKUP(A126,kurspris!$A$1:$Q$907,16)</f>
        <v>35006.800000000003</v>
      </c>
      <c r="P126" s="26">
        <f>VLOOKUP(A126,kurspris!$A$1:$Q$907,17)</f>
        <v>6000</v>
      </c>
      <c r="Q126" s="26">
        <f>K126*N126+M126*O126</f>
        <v>0</v>
      </c>
      <c r="R126" s="26">
        <f>(Q126*Prislapp!$R$5)*-1</f>
        <v>0</v>
      </c>
      <c r="S126" s="26">
        <f>Q126+R126</f>
        <v>0</v>
      </c>
      <c r="T126" s="26">
        <f>K126*P126</f>
        <v>0</v>
      </c>
    </row>
    <row r="127" spans="1:22" x14ac:dyDescent="0.25">
      <c r="A127" s="31" t="s">
        <v>515</v>
      </c>
      <c r="B127" t="e">
        <f>VLOOKUP(A127,kurspris!$A$1:$Q$907,2,FALSE)</f>
        <v>#N/A</v>
      </c>
      <c r="C127" s="31">
        <v>1640</v>
      </c>
      <c r="D127" t="str">
        <f>VLOOKUP(C127,Orgenheter!$A$1:$B$214,2)</f>
        <v>Inst för kultur- o medievetenskap</v>
      </c>
      <c r="E127" t="str">
        <f>VLOOKUP(C127,Orgenheter!$A$1:$C$166,3,FALSE)</f>
        <v>Hum</v>
      </c>
      <c r="F127" s="262">
        <v>0.5</v>
      </c>
      <c r="G127" t="e">
        <f>VLOOKUP(A127,'Ansvar kurs'!$A$98:$C$1072,2,FALSE)</f>
        <v>#N/A</v>
      </c>
      <c r="H127" t="e">
        <f>VLOOKUP(G127,Orgenheter!$A$1:$B$214,2)</f>
        <v>#N/A</v>
      </c>
      <c r="I127" t="e">
        <f>VLOOKUP(G127,Orgenheter!$A$1:$C$166,3,FALSE)</f>
        <v>#N/A</v>
      </c>
      <c r="J127" s="192">
        <f>IF(ISERROR(VLOOKUP(A127,'Totalt pivot'!$A$5:$C$397,2,FALSE)),0,(VLOOKUP(A127,'Totalt pivot'!$A$5:$C$397,2,FALSE)))</f>
        <v>0</v>
      </c>
      <c r="K127" s="192">
        <f t="shared" si="5"/>
        <v>0</v>
      </c>
      <c r="L127" s="192">
        <f>IF(ISERROR(VLOOKUP(A127,'Totalt pivot'!$A$5:$C$397,3,FALSE)),0,(VLOOKUP(A127,'Totalt pivot'!$A$5:$C$397,3,FALSE)))</f>
        <v>0</v>
      </c>
      <c r="M127" s="192">
        <f t="shared" si="6"/>
        <v>0</v>
      </c>
      <c r="N127" s="26">
        <f>VLOOKUP(A127,kurspris!$A$1:$Q$907,15)</f>
        <v>20766</v>
      </c>
      <c r="O127" s="26">
        <f>VLOOKUP(A127,kurspris!$A$1:$Q$907,16)</f>
        <v>17442</v>
      </c>
      <c r="P127" s="26">
        <f>VLOOKUP(A127,kurspris!$A$1:$Q$907,17)</f>
        <v>6000</v>
      </c>
      <c r="Q127" s="26">
        <f t="shared" si="7"/>
        <v>0</v>
      </c>
      <c r="R127" s="26">
        <f>(Q127*Prislapp!$R$5)*-1</f>
        <v>0</v>
      </c>
      <c r="S127" s="26">
        <f t="shared" si="8"/>
        <v>0</v>
      </c>
      <c r="T127" s="26">
        <f t="shared" si="9"/>
        <v>0</v>
      </c>
    </row>
    <row r="128" spans="1:22" x14ac:dyDescent="0.25">
      <c r="A128" s="31" t="s">
        <v>520</v>
      </c>
      <c r="B128" t="e">
        <f>VLOOKUP(A128,kurspris!$A$1:$Q$907,2,FALSE)</f>
        <v>#N/A</v>
      </c>
      <c r="C128" s="31">
        <v>1640</v>
      </c>
      <c r="D128" t="str">
        <f>VLOOKUP(C128,Orgenheter!$A$1:$B$214,2)</f>
        <v>Inst för kultur- o medievetenskap</v>
      </c>
      <c r="E128" t="str">
        <f>VLOOKUP(C128,Orgenheter!$A$1:$C$166,3,FALSE)</f>
        <v>Hum</v>
      </c>
      <c r="F128" s="262">
        <v>0.5</v>
      </c>
      <c r="G128" t="e">
        <f>VLOOKUP(A128,'Ansvar kurs'!$A$98:$C$1072,2,FALSE)</f>
        <v>#N/A</v>
      </c>
      <c r="H128" t="e">
        <f>VLOOKUP(G128,Orgenheter!$A$1:$B$214,2)</f>
        <v>#N/A</v>
      </c>
      <c r="I128" t="e">
        <f>VLOOKUP(G128,Orgenheter!$A$1:$C$166,3,FALSE)</f>
        <v>#N/A</v>
      </c>
      <c r="J128" s="192">
        <f>IF(ISERROR(VLOOKUP(A128,'Totalt pivot'!$A$5:$C$397,2,FALSE)),0,(VLOOKUP(A128,'Totalt pivot'!$A$5:$C$397,2,FALSE)))</f>
        <v>0</v>
      </c>
      <c r="K128" s="192">
        <f t="shared" si="5"/>
        <v>0</v>
      </c>
      <c r="L128" s="192">
        <f>IF(ISERROR(VLOOKUP(A128,'Totalt pivot'!$A$5:$C$397,3,FALSE)),0,(VLOOKUP(A128,'Totalt pivot'!$A$5:$C$397,3,FALSE)))</f>
        <v>0</v>
      </c>
      <c r="M128" s="192">
        <f t="shared" si="6"/>
        <v>0</v>
      </c>
      <c r="N128" s="26">
        <f>VLOOKUP(A128,kurspris!$A$1:$Q$907,15)</f>
        <v>20766</v>
      </c>
      <c r="O128" s="26">
        <f>VLOOKUP(A128,kurspris!$A$1:$Q$907,16)</f>
        <v>17442</v>
      </c>
      <c r="P128" s="26">
        <f>VLOOKUP(A128,kurspris!$A$1:$Q$907,17)</f>
        <v>6000</v>
      </c>
      <c r="Q128" s="26">
        <f t="shared" si="7"/>
        <v>0</v>
      </c>
      <c r="R128" s="26">
        <f>(Q128*Prislapp!$R$5)*-1</f>
        <v>0</v>
      </c>
      <c r="S128" s="26">
        <f t="shared" si="8"/>
        <v>0</v>
      </c>
      <c r="T128" s="26">
        <f t="shared" si="9"/>
        <v>0</v>
      </c>
    </row>
    <row r="129" spans="1:20" x14ac:dyDescent="0.25">
      <c r="A129" s="31" t="s">
        <v>603</v>
      </c>
      <c r="B129" t="e">
        <f>VLOOKUP(A129,kurspris!$A$1:$Q$907,2,FALSE)</f>
        <v>#N/A</v>
      </c>
      <c r="C129" s="31">
        <v>1640</v>
      </c>
      <c r="D129" t="str">
        <f>VLOOKUP(C129,Orgenheter!$A$1:$B$214,2)</f>
        <v>Inst för kultur- o medievetenskap</v>
      </c>
      <c r="E129" t="str">
        <f>VLOOKUP(C129,Orgenheter!$A$1:$C$166,3,FALSE)</f>
        <v>Hum</v>
      </c>
      <c r="F129" s="262">
        <v>0.5</v>
      </c>
      <c r="G129" t="e">
        <f>VLOOKUP(A129,'Ansvar kurs'!$A$98:$C$1072,2,FALSE)</f>
        <v>#N/A</v>
      </c>
      <c r="H129" t="e">
        <f>VLOOKUP(G129,Orgenheter!$A$1:$B$214,2)</f>
        <v>#N/A</v>
      </c>
      <c r="I129" t="e">
        <f>VLOOKUP(G129,Orgenheter!$A$1:$C$166,3,FALSE)</f>
        <v>#N/A</v>
      </c>
      <c r="J129" s="192">
        <f>IF(ISERROR(VLOOKUP(A129,'Totalt pivot'!$A$5:$C$397,2,FALSE)),0,(VLOOKUP(A129,'Totalt pivot'!$A$5:$C$397,2,FALSE)))</f>
        <v>0</v>
      </c>
      <c r="K129" s="192">
        <f t="shared" si="5"/>
        <v>0</v>
      </c>
      <c r="L129" s="192">
        <f>IF(ISERROR(VLOOKUP(A129,'Totalt pivot'!$A$5:$C$397,3,FALSE)),0,(VLOOKUP(A129,'Totalt pivot'!$A$5:$C$397,3,FALSE)))</f>
        <v>0</v>
      </c>
      <c r="M129" s="192">
        <f t="shared" si="6"/>
        <v>0</v>
      </c>
      <c r="N129" s="26">
        <f>VLOOKUP(A129,kurspris!$A$1:$Q$907,15)</f>
        <v>20766</v>
      </c>
      <c r="O129" s="26">
        <f>VLOOKUP(A129,kurspris!$A$1:$Q$907,16)</f>
        <v>17442</v>
      </c>
      <c r="P129" s="26">
        <f>VLOOKUP(A129,kurspris!$A$1:$Q$907,17)</f>
        <v>6000</v>
      </c>
      <c r="Q129" s="26">
        <f t="shared" si="7"/>
        <v>0</v>
      </c>
      <c r="R129" s="26">
        <f>(Q129*Prislapp!$R$5)*-1</f>
        <v>0</v>
      </c>
      <c r="S129" s="26">
        <f t="shared" si="8"/>
        <v>0</v>
      </c>
      <c r="T129" s="26">
        <f t="shared" si="9"/>
        <v>0</v>
      </c>
    </row>
    <row r="130" spans="1:20" x14ac:dyDescent="0.25">
      <c r="A130" s="31" t="s">
        <v>919</v>
      </c>
      <c r="B130" t="str">
        <f>VLOOKUP(A130,kurspris!$A$1:$Q$907,2,FALSE)</f>
        <v>Samhällsvetenskap</v>
      </c>
      <c r="C130" s="31">
        <v>2340</v>
      </c>
      <c r="D130" t="str">
        <f>VLOOKUP(C130,Orgenheter!$A$1:$B$214,2)</f>
        <v xml:space="preserve">Statsvetenskap                </v>
      </c>
      <c r="E130" t="str">
        <f>VLOOKUP(C130,Orgenheter!$A$1:$C$166,3,FALSE)</f>
        <v>Sam</v>
      </c>
      <c r="F130" s="262">
        <f>7/10</f>
        <v>0.7</v>
      </c>
      <c r="G130">
        <f>VLOOKUP(A130,'Ansvar kurs'!$A$98:$C$1072,2,FALSE)</f>
        <v>2193</v>
      </c>
      <c r="H130" t="str">
        <f>VLOOKUP(G130,Orgenheter!$A$1:$B$214,2)</f>
        <v xml:space="preserve">TUV </v>
      </c>
      <c r="I130" t="str">
        <f>VLOOKUP(G130,Orgenheter!$A$1:$C$166,3,FALSE)</f>
        <v>Sam</v>
      </c>
      <c r="J130" s="192">
        <f>IF(ISERROR(VLOOKUP(A130,'Totalt pivot'!$A$5:$C$397,2,FALSE)),0,(VLOOKUP(A130,'Totalt pivot'!$A$5:$C$397,2,FALSE)))</f>
        <v>5.1669999999999998</v>
      </c>
      <c r="K130" s="192">
        <f t="shared" si="5"/>
        <v>3.6168999999999998</v>
      </c>
      <c r="L130" s="192">
        <f>IF(ISERROR(VLOOKUP(A130,'Totalt pivot'!$A$5:$C$397,3,FALSE)),0,(VLOOKUP(A130,'Totalt pivot'!$A$5:$C$397,3,FALSE)))</f>
        <v>4.3919499999999996</v>
      </c>
      <c r="M130" s="192">
        <f t="shared" ref="M130:M132" si="10">F130*L130</f>
        <v>3.0743649999999993</v>
      </c>
      <c r="N130" s="26">
        <f>VLOOKUP(A130,kurspris!$A$1:$Q$907,15)</f>
        <v>20766</v>
      </c>
      <c r="O130" s="26">
        <f>VLOOKUP(A130,kurspris!$A$1:$Q$907,16)</f>
        <v>17442</v>
      </c>
      <c r="P130" s="26">
        <f>VLOOKUP(A130,kurspris!$A$1:$Q$907,17)</f>
        <v>6000</v>
      </c>
      <c r="Q130" s="26">
        <f t="shared" ref="Q130:Q132" si="11">K130*N130+M130*O130</f>
        <v>128731.61972999999</v>
      </c>
      <c r="R130" s="26">
        <f>(Q130*Prislapp!$R$5)*-1</f>
        <v>-9011.2133811000003</v>
      </c>
      <c r="S130" s="26">
        <f t="shared" ref="S130:S132" si="12">Q130+R130</f>
        <v>119720.4063489</v>
      </c>
      <c r="T130" s="26">
        <f t="shared" ref="T130:T132" si="13">K130*P130</f>
        <v>21701.399999999998</v>
      </c>
    </row>
    <row r="131" spans="1:20" x14ac:dyDescent="0.25">
      <c r="A131" s="31" t="s">
        <v>919</v>
      </c>
      <c r="B131" t="str">
        <f>VLOOKUP(A131,kurspris!$A$1:$Q$907,2,FALSE)</f>
        <v>Samhällsvetenskap</v>
      </c>
      <c r="C131" s="31">
        <v>2180</v>
      </c>
      <c r="D131" t="str">
        <f>VLOOKUP(C131,Orgenheter!$A$1:$B$214,2)</f>
        <v xml:space="preserve">Pedagogik                     </v>
      </c>
      <c r="E131" t="str">
        <f>VLOOKUP(C131,Orgenheter!$A$1:$C$166,3,FALSE)</f>
        <v>Sam</v>
      </c>
      <c r="F131" s="262">
        <f>3/10</f>
        <v>0.3</v>
      </c>
      <c r="G131">
        <f>VLOOKUP(A131,'Ansvar kurs'!$A$98:$C$1072,2,FALSE)</f>
        <v>2193</v>
      </c>
      <c r="H131" t="str">
        <f>VLOOKUP(G131,Orgenheter!$A$1:$B$214,2)</f>
        <v xml:space="preserve">TUV </v>
      </c>
      <c r="I131" t="str">
        <f>VLOOKUP(G131,Orgenheter!$A$1:$C$166,3,FALSE)</f>
        <v>Sam</v>
      </c>
      <c r="J131" s="192">
        <f>IF(ISERROR(VLOOKUP(A131,'Totalt pivot'!$A$5:$C$397,2,FALSE)),0,(VLOOKUP(A131,'Totalt pivot'!$A$5:$C$397,2,FALSE)))</f>
        <v>5.1669999999999998</v>
      </c>
      <c r="K131" s="192">
        <f t="shared" si="5"/>
        <v>1.5500999999999998</v>
      </c>
      <c r="L131" s="192">
        <f>IF(ISERROR(VLOOKUP(A131,'Totalt pivot'!$A$5:$C$397,3,FALSE)),0,(VLOOKUP(A131,'Totalt pivot'!$A$5:$C$397,3,FALSE)))</f>
        <v>4.3919499999999996</v>
      </c>
      <c r="M131" s="192">
        <f t="shared" si="10"/>
        <v>1.3175849999999998</v>
      </c>
      <c r="N131" s="26">
        <f>VLOOKUP(A131,kurspris!$A$1:$Q$907,15)</f>
        <v>20766</v>
      </c>
      <c r="O131" s="26">
        <f>VLOOKUP(A131,kurspris!$A$1:$Q$907,16)</f>
        <v>17442</v>
      </c>
      <c r="P131" s="26">
        <f>VLOOKUP(A131,kurspris!$A$1:$Q$907,17)</f>
        <v>6000</v>
      </c>
      <c r="Q131" s="26">
        <f t="shared" si="11"/>
        <v>55170.694169999988</v>
      </c>
      <c r="R131" s="26">
        <f>(Q131*Prislapp!$R$5)*-1</f>
        <v>-3861.9485918999994</v>
      </c>
      <c r="S131" s="26">
        <f t="shared" si="12"/>
        <v>51308.745578099988</v>
      </c>
      <c r="T131" s="26">
        <f t="shared" si="13"/>
        <v>9300.5999999999985</v>
      </c>
    </row>
    <row r="132" spans="1:20" x14ac:dyDescent="0.25">
      <c r="A132" s="31" t="s">
        <v>1577</v>
      </c>
      <c r="B132" t="str">
        <f>VLOOKUP(A132,kurspris!$A$1:$Q$907,2,FALSE)</f>
        <v>Beteendevetenskapliga grunder</v>
      </c>
      <c r="C132" s="31">
        <v>2180</v>
      </c>
      <c r="D132" t="str">
        <f>VLOOKUP(C132,Orgenheter!$A$1:$B$214,2)</f>
        <v xml:space="preserve">Pedagogik                     </v>
      </c>
      <c r="E132" t="str">
        <f>VLOOKUP(C132,Orgenheter!$A$1:$C$166,3,FALSE)</f>
        <v>Sam</v>
      </c>
      <c r="F132" s="262">
        <f>4.5/7.5</f>
        <v>0.6</v>
      </c>
      <c r="G132">
        <f>VLOOKUP(A132,'Ansvar kurs'!$A$98:$C$1072,2,FALSE)</f>
        <v>2193</v>
      </c>
      <c r="H132" t="str">
        <f>VLOOKUP(G132,Orgenheter!$A$1:$B$214,2)</f>
        <v xml:space="preserve">TUV </v>
      </c>
      <c r="I132" t="str">
        <f>VLOOKUP(G132,Orgenheter!$A$1:$C$166,3,FALSE)</f>
        <v>Sam</v>
      </c>
      <c r="J132" s="192">
        <f>IF(ISERROR(VLOOKUP(A132,'Totalt pivot'!$A$5:$C$397,2,FALSE)),0,(VLOOKUP(A132,'Totalt pivot'!$A$5:$C$397,2,FALSE)))</f>
        <v>0</v>
      </c>
      <c r="K132" s="192">
        <f t="shared" si="5"/>
        <v>0</v>
      </c>
      <c r="L132" s="192">
        <f>IF(ISERROR(VLOOKUP(A132,'Totalt pivot'!$A$5:$C$397,3,FALSE)),0,(VLOOKUP(A132,'Totalt pivot'!$A$5:$C$397,3,FALSE)))</f>
        <v>0</v>
      </c>
      <c r="M132" s="192">
        <f t="shared" si="10"/>
        <v>0</v>
      </c>
      <c r="N132" s="26">
        <f>VLOOKUP(A132,kurspris!$A$1:$Q$907,15)</f>
        <v>20766</v>
      </c>
      <c r="O132" s="26">
        <f>VLOOKUP(A132,kurspris!$A$1:$Q$907,16)</f>
        <v>17442</v>
      </c>
      <c r="P132" s="26">
        <f>VLOOKUP(A132,kurspris!$A$1:$Q$907,17)</f>
        <v>6000</v>
      </c>
      <c r="Q132" s="26">
        <f t="shared" si="11"/>
        <v>0</v>
      </c>
      <c r="R132" s="26">
        <f>(Q132*Prislapp!$R$5)*-1</f>
        <v>0</v>
      </c>
      <c r="S132" s="26">
        <f t="shared" si="12"/>
        <v>0</v>
      </c>
      <c r="T132" s="26">
        <f t="shared" si="13"/>
        <v>0</v>
      </c>
    </row>
  </sheetData>
  <autoFilter ref="A1:T132"/>
  <pageMargins left="0.70866141732283472" right="0.70866141732283472" top="0.74803149606299213" bottom="0.74803149606299213" header="0.31496062992125984" footer="0.31496062992125984"/>
  <pageSetup paperSize="9" scale="51"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pageSetUpPr fitToPage="1"/>
  </sheetPr>
  <dimension ref="A1:Z73"/>
  <sheetViews>
    <sheetView topLeftCell="A58" workbookViewId="0">
      <selection activeCell="P6" sqref="P6:P55"/>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6.1406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427"/>
      <c r="O1" s="319"/>
      <c r="P1" s="319"/>
      <c r="Q1" s="319"/>
    </row>
    <row r="2" spans="1:26" ht="27.75" customHeight="1" x14ac:dyDescent="0.3">
      <c r="C2" s="428" t="s">
        <v>2183</v>
      </c>
      <c r="D2" s="429"/>
      <c r="L2" s="426" t="s">
        <v>421</v>
      </c>
      <c r="M2" s="426"/>
      <c r="N2" s="427"/>
      <c r="O2" s="319"/>
      <c r="P2" s="319"/>
      <c r="Q2" s="319"/>
    </row>
    <row r="3" spans="1:26" ht="27.75" customHeight="1" x14ac:dyDescent="0.25">
      <c r="A3" s="319"/>
      <c r="B3" s="319"/>
      <c r="O3" s="590"/>
      <c r="P3" s="591"/>
      <c r="Q3" s="591"/>
      <c r="R3" s="591"/>
      <c r="S3" s="591"/>
      <c r="T3" s="591"/>
    </row>
    <row r="4" spans="1:26" ht="51.75" customHeight="1" x14ac:dyDescent="0.25">
      <c r="A4" s="430" t="s">
        <v>71</v>
      </c>
      <c r="B4" s="430" t="s">
        <v>804</v>
      </c>
      <c r="C4" s="430" t="s">
        <v>35</v>
      </c>
      <c r="D4" s="431" t="s">
        <v>2370</v>
      </c>
      <c r="E4" s="431" t="s">
        <v>2371</v>
      </c>
      <c r="G4" s="432" t="s">
        <v>423</v>
      </c>
      <c r="H4" s="432" t="s">
        <v>424</v>
      </c>
      <c r="I4" s="432"/>
      <c r="J4" s="432" t="s">
        <v>425</v>
      </c>
      <c r="K4" s="433" t="s">
        <v>1076</v>
      </c>
      <c r="L4" s="433" t="s">
        <v>2184</v>
      </c>
      <c r="M4" s="432" t="s">
        <v>428</v>
      </c>
      <c r="N4" s="432" t="s">
        <v>426</v>
      </c>
      <c r="O4" s="434"/>
      <c r="P4" s="435"/>
      <c r="Q4" s="435"/>
      <c r="T4" s="436" t="s">
        <v>462</v>
      </c>
    </row>
    <row r="5" spans="1:26" ht="22.5" customHeight="1" x14ac:dyDescent="0.25">
      <c r="O5" s="319"/>
      <c r="P5" s="319"/>
      <c r="Q5" s="319"/>
      <c r="T5" s="317">
        <v>2021</v>
      </c>
      <c r="U5" s="317" t="s">
        <v>375</v>
      </c>
      <c r="V5" s="317" t="s">
        <v>149</v>
      </c>
      <c r="X5" s="437"/>
    </row>
    <row r="6" spans="1:26" ht="22.5" customHeight="1" x14ac:dyDescent="0.25">
      <c r="A6" s="438" t="s">
        <v>410</v>
      </c>
      <c r="B6" s="438">
        <v>1620</v>
      </c>
      <c r="C6" s="439" t="s">
        <v>176</v>
      </c>
      <c r="D6" s="440">
        <f>U6</f>
        <v>13786192.810127489</v>
      </c>
      <c r="E6" s="440">
        <f>V6</f>
        <v>2143175.5</v>
      </c>
      <c r="F6" s="441"/>
      <c r="G6" s="441">
        <v>3094</v>
      </c>
      <c r="H6" s="441">
        <v>162000100</v>
      </c>
      <c r="I6" s="441"/>
      <c r="J6" s="441">
        <v>11</v>
      </c>
      <c r="K6" s="442"/>
      <c r="L6" s="440">
        <f>(D6+E6-K6)/12*2</f>
        <v>2654894.7183545814</v>
      </c>
      <c r="M6" s="441" t="s">
        <v>805</v>
      </c>
      <c r="N6" s="441" t="s">
        <v>427</v>
      </c>
      <c r="O6" s="436"/>
      <c r="P6" s="440"/>
      <c r="Q6" s="444"/>
      <c r="S6" s="436">
        <v>1620</v>
      </c>
      <c r="T6" s="443" t="str">
        <f>VLOOKUP(S6,[1]Orgenheter!$A$3:$C$165,2,FALSE)</f>
        <v>Inst för språkstudier</v>
      </c>
      <c r="U6" s="445">
        <v>13786192.810127489</v>
      </c>
      <c r="V6" s="445">
        <v>2143175.5</v>
      </c>
      <c r="X6" s="445"/>
      <c r="Y6" s="445"/>
      <c r="Z6" s="445"/>
    </row>
    <row r="7" spans="1:26" ht="22.5" customHeight="1" x14ac:dyDescent="0.25">
      <c r="A7" s="441"/>
      <c r="B7" s="441"/>
      <c r="C7" s="438"/>
      <c r="D7" s="441"/>
      <c r="E7" s="441"/>
      <c r="F7" s="441"/>
      <c r="G7" s="441">
        <v>3094</v>
      </c>
      <c r="H7" s="441">
        <v>600011100</v>
      </c>
      <c r="I7" s="441"/>
      <c r="J7" s="441">
        <v>11</v>
      </c>
      <c r="K7" s="442"/>
      <c r="L7" s="440">
        <f>L6</f>
        <v>2654894.7183545814</v>
      </c>
      <c r="M7" s="441" t="s">
        <v>806</v>
      </c>
      <c r="N7" s="441" t="s">
        <v>427</v>
      </c>
      <c r="O7" s="319"/>
      <c r="P7" s="440"/>
      <c r="Q7" s="444"/>
      <c r="S7" s="319">
        <v>1630</v>
      </c>
      <c r="T7" s="443" t="str">
        <f>VLOOKUP(S7,[1]Orgenheter!$A$3:$C$165,2,FALSE)</f>
        <v>Inst för ide- o samhällsstudier</v>
      </c>
      <c r="U7" s="445">
        <v>9030896.04664791</v>
      </c>
      <c r="V7" s="445">
        <v>1134930</v>
      </c>
      <c r="X7" s="445"/>
      <c r="Y7" s="445"/>
      <c r="Z7" s="445"/>
    </row>
    <row r="8" spans="1:26" ht="22.5" customHeight="1" x14ac:dyDescent="0.25">
      <c r="A8" s="441"/>
      <c r="B8" s="441">
        <v>1630</v>
      </c>
      <c r="C8" s="439" t="s">
        <v>172</v>
      </c>
      <c r="D8" s="440">
        <f>U7</f>
        <v>9030896.04664791</v>
      </c>
      <c r="E8" s="440">
        <f>V7</f>
        <v>1134930</v>
      </c>
      <c r="F8" s="441"/>
      <c r="G8" s="441">
        <v>3094</v>
      </c>
      <c r="H8" s="446">
        <v>163000100</v>
      </c>
      <c r="I8" s="441"/>
      <c r="J8" s="441">
        <v>11</v>
      </c>
      <c r="K8" s="442"/>
      <c r="L8" s="440">
        <f>(D8+E8-K8)/12*2</f>
        <v>1694304.341107985</v>
      </c>
      <c r="M8" s="441" t="s">
        <v>805</v>
      </c>
      <c r="N8" s="441" t="s">
        <v>427</v>
      </c>
      <c r="O8" s="319"/>
      <c r="P8" s="440"/>
      <c r="Q8" s="444"/>
      <c r="S8" s="319">
        <v>1640</v>
      </c>
      <c r="T8" s="443" t="str">
        <f>VLOOKUP(S8,[1]Orgenheter!$A$3:$C$165,2,FALSE)</f>
        <v>Inst för kultur- o medievetenskap</v>
      </c>
      <c r="U8" s="445">
        <v>2445584.6588937496</v>
      </c>
      <c r="V8" s="445">
        <v>345320</v>
      </c>
      <c r="X8" s="445"/>
      <c r="Y8" s="445"/>
      <c r="Z8" s="445"/>
    </row>
    <row r="9" spans="1:26" ht="22.5" customHeight="1" x14ac:dyDescent="0.25">
      <c r="A9" s="441"/>
      <c r="B9" s="441"/>
      <c r="C9" s="438"/>
      <c r="D9" s="441"/>
      <c r="E9" s="441"/>
      <c r="F9" s="441"/>
      <c r="G9" s="441">
        <v>3094</v>
      </c>
      <c r="H9" s="441">
        <v>600011100</v>
      </c>
      <c r="I9" s="441"/>
      <c r="J9" s="441">
        <v>11</v>
      </c>
      <c r="K9" s="442"/>
      <c r="L9" s="440">
        <f>L8</f>
        <v>1694304.341107985</v>
      </c>
      <c r="M9" s="441" t="s">
        <v>806</v>
      </c>
      <c r="N9" s="441" t="s">
        <v>427</v>
      </c>
      <c r="O9" s="321"/>
      <c r="P9" s="440"/>
      <c r="Q9" s="444"/>
      <c r="S9" s="447">
        <v>1650</v>
      </c>
      <c r="T9" s="448" t="str">
        <f>VLOOKUP(S9,[1]Orgenheter!$A$3:$C$165,2,FALSE)</f>
        <v xml:space="preserve">Estetiska ämnen               </v>
      </c>
      <c r="U9" s="449">
        <v>16042740.474727493</v>
      </c>
      <c r="V9" s="449">
        <v>8363470.5</v>
      </c>
      <c r="X9" s="445"/>
      <c r="Y9" s="445"/>
      <c r="Z9" s="445"/>
    </row>
    <row r="10" spans="1:26" ht="22.5" customHeight="1" x14ac:dyDescent="0.25">
      <c r="A10" s="441"/>
      <c r="B10" s="441">
        <v>1640</v>
      </c>
      <c r="C10" s="450" t="s">
        <v>173</v>
      </c>
      <c r="D10" s="440">
        <f>U8</f>
        <v>2445584.6588937496</v>
      </c>
      <c r="E10" s="440">
        <f>V8</f>
        <v>345320</v>
      </c>
      <c r="F10" s="441"/>
      <c r="G10" s="441">
        <v>3094</v>
      </c>
      <c r="H10" s="441">
        <v>164016100</v>
      </c>
      <c r="I10" s="441"/>
      <c r="J10" s="441">
        <v>11</v>
      </c>
      <c r="K10" s="442"/>
      <c r="L10" s="440">
        <f>(D10+E10-K10)/12*2</f>
        <v>465150.77648229158</v>
      </c>
      <c r="M10" s="441" t="s">
        <v>805</v>
      </c>
      <c r="N10" s="441" t="s">
        <v>427</v>
      </c>
      <c r="O10" s="444"/>
      <c r="P10" s="440"/>
      <c r="Q10" s="444"/>
      <c r="T10" s="425" t="s">
        <v>466</v>
      </c>
      <c r="U10" s="451">
        <v>-993965.92500000005</v>
      </c>
      <c r="V10" s="451">
        <v>-1425675</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465150.77648229158</v>
      </c>
      <c r="M11" s="441" t="s">
        <v>806</v>
      </c>
      <c r="N11" s="441" t="s">
        <v>427</v>
      </c>
      <c r="O11" s="444"/>
      <c r="P11" s="440"/>
      <c r="Q11" s="444"/>
      <c r="U11" s="445"/>
      <c r="V11" s="445"/>
      <c r="X11" s="437"/>
      <c r="Y11" s="445"/>
      <c r="Z11" s="445"/>
    </row>
    <row r="12" spans="1:26" ht="22.5" customHeight="1" x14ac:dyDescent="0.25">
      <c r="A12" s="441"/>
      <c r="B12" s="446">
        <v>1650</v>
      </c>
      <c r="C12" s="450" t="s">
        <v>11</v>
      </c>
      <c r="D12" s="453">
        <f>U9+U10</f>
        <v>15048774.549727492</v>
      </c>
      <c r="E12" s="453">
        <f>V9+V10</f>
        <v>6937795.5</v>
      </c>
      <c r="F12" s="446"/>
      <c r="G12" s="446">
        <v>3094</v>
      </c>
      <c r="H12" s="446">
        <v>165000001</v>
      </c>
      <c r="I12" s="446"/>
      <c r="J12" s="446">
        <v>11</v>
      </c>
      <c r="K12" s="442"/>
      <c r="L12" s="440">
        <f>(D12+E12-K12)/12*2</f>
        <v>3664428.3416212485</v>
      </c>
      <c r="M12" s="446" t="s">
        <v>805</v>
      </c>
      <c r="N12" s="446" t="s">
        <v>427</v>
      </c>
      <c r="O12" s="444"/>
      <c r="P12" s="440"/>
      <c r="Q12" s="444"/>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3664428.3416212485</v>
      </c>
      <c r="M13" s="446" t="s">
        <v>806</v>
      </c>
      <c r="N13" s="446" t="s">
        <v>427</v>
      </c>
      <c r="O13" s="444"/>
      <c r="P13" s="440"/>
      <c r="Q13" s="444"/>
      <c r="X13" s="437"/>
    </row>
    <row r="14" spans="1:26" ht="22.5" customHeight="1" x14ac:dyDescent="0.25">
      <c r="A14" s="454"/>
      <c r="B14" s="454"/>
      <c r="C14" s="454"/>
      <c r="D14" s="454"/>
      <c r="E14" s="454"/>
      <c r="F14" s="454"/>
      <c r="G14" s="454"/>
      <c r="H14" s="454"/>
      <c r="I14" s="454"/>
      <c r="J14" s="454"/>
      <c r="K14" s="455"/>
      <c r="L14" s="456"/>
      <c r="M14" s="454"/>
      <c r="N14" s="454"/>
      <c r="O14" s="444"/>
      <c r="P14" s="440"/>
      <c r="Q14" s="444"/>
      <c r="X14" s="437"/>
    </row>
    <row r="15" spans="1:26" ht="22.5" customHeight="1" x14ac:dyDescent="0.25">
      <c r="A15" s="438"/>
      <c r="K15" s="442"/>
      <c r="O15" s="444"/>
      <c r="P15" s="440"/>
      <c r="Q15" s="444"/>
      <c r="T15" s="317">
        <v>2021</v>
      </c>
      <c r="U15" s="317" t="s">
        <v>375</v>
      </c>
      <c r="V15" s="317" t="s">
        <v>149</v>
      </c>
      <c r="X15" s="437"/>
    </row>
    <row r="16" spans="1:26" ht="22.5" customHeight="1" x14ac:dyDescent="0.25">
      <c r="A16" s="441" t="s">
        <v>411</v>
      </c>
      <c r="B16" s="441">
        <v>2180</v>
      </c>
      <c r="C16" s="439" t="s">
        <v>192</v>
      </c>
      <c r="D16" s="440">
        <f>U16</f>
        <v>18592430.129660416</v>
      </c>
      <c r="E16" s="457">
        <f>V16</f>
        <v>3605812.5</v>
      </c>
      <c r="F16" s="441"/>
      <c r="G16" s="441">
        <v>3094</v>
      </c>
      <c r="H16" s="446">
        <v>218000101</v>
      </c>
      <c r="I16" s="441"/>
      <c r="J16" s="441">
        <v>11</v>
      </c>
      <c r="K16" s="442"/>
      <c r="L16" s="440">
        <f>(D16-K16)/12*2</f>
        <v>3098738.3549434026</v>
      </c>
      <c r="M16" s="441" t="s">
        <v>805</v>
      </c>
      <c r="N16" s="441" t="s">
        <v>464</v>
      </c>
      <c r="O16" s="319"/>
      <c r="P16" s="440"/>
      <c r="Q16" s="458"/>
      <c r="S16" s="319">
        <v>2180</v>
      </c>
      <c r="T16" s="443" t="str">
        <f>VLOOKUP(S16,[1]Orgenheter!$A$3:$C$165,2,FALSE)</f>
        <v xml:space="preserve">Pedagogik                     </v>
      </c>
      <c r="U16" s="445">
        <v>18592430.129660416</v>
      </c>
      <c r="V16" s="445">
        <v>3605812.5</v>
      </c>
      <c r="X16" s="445"/>
      <c r="Y16" s="445"/>
      <c r="Z16" s="445"/>
    </row>
    <row r="17" spans="1:26" ht="22.5" customHeight="1" x14ac:dyDescent="0.25">
      <c r="B17" s="441"/>
      <c r="C17" s="450"/>
      <c r="D17" s="440"/>
      <c r="E17" s="457"/>
      <c r="F17" s="441"/>
      <c r="G17" s="441">
        <v>3094</v>
      </c>
      <c r="H17" s="441">
        <v>600011100</v>
      </c>
      <c r="I17" s="441"/>
      <c r="J17" s="441">
        <v>11</v>
      </c>
      <c r="K17" s="442"/>
      <c r="L17" s="440">
        <f>L16</f>
        <v>3098738.3549434026</v>
      </c>
      <c r="M17" s="441" t="s">
        <v>806</v>
      </c>
      <c r="N17" s="441" t="s">
        <v>464</v>
      </c>
      <c r="O17" s="319"/>
      <c r="P17" s="440"/>
      <c r="S17" s="319">
        <v>2193</v>
      </c>
      <c r="T17" s="443" t="str">
        <f>VLOOKUP(S17,[1]Orgenheter!$A$3:$C$165,2,FALSE)</f>
        <v xml:space="preserve">TUV </v>
      </c>
      <c r="U17" s="445">
        <v>21434049.110404171</v>
      </c>
      <c r="V17" s="445">
        <v>3019245.8333333335</v>
      </c>
      <c r="X17" s="445"/>
      <c r="Y17" s="445"/>
      <c r="Z17" s="445"/>
    </row>
    <row r="18" spans="1:26" ht="22.5" customHeight="1" x14ac:dyDescent="0.25">
      <c r="B18" s="441">
        <v>2193</v>
      </c>
      <c r="C18" s="439" t="s">
        <v>441</v>
      </c>
      <c r="D18" s="440">
        <f>U17</f>
        <v>21434049.110404171</v>
      </c>
      <c r="E18" s="457">
        <f>V17</f>
        <v>3019245.8333333335</v>
      </c>
      <c r="F18" s="441"/>
      <c r="G18" s="441">
        <v>3094</v>
      </c>
      <c r="H18" s="441">
        <v>219300001</v>
      </c>
      <c r="I18" s="441"/>
      <c r="J18" s="441">
        <v>11</v>
      </c>
      <c r="K18" s="442"/>
      <c r="L18" s="440">
        <f>(D18-K18)/12*2</f>
        <v>3572341.5184006952</v>
      </c>
      <c r="M18" s="441" t="s">
        <v>805</v>
      </c>
      <c r="N18" s="441" t="s">
        <v>464</v>
      </c>
      <c r="O18" s="319"/>
      <c r="P18" s="440"/>
      <c r="Q18" s="458"/>
      <c r="S18" s="319">
        <v>2200</v>
      </c>
      <c r="T18" s="443" t="str">
        <f>VLOOKUP(S18,[1]Orgenheter!$A$3:$C$165,2,FALSE)</f>
        <v xml:space="preserve">Inst för psykologi            </v>
      </c>
      <c r="U18" s="445">
        <v>2140980.9897062504</v>
      </c>
      <c r="V18" s="445">
        <v>278060</v>
      </c>
      <c r="X18" s="445"/>
      <c r="Y18" s="445"/>
      <c r="Z18" s="445"/>
    </row>
    <row r="19" spans="1:26" ht="22.5" customHeight="1" x14ac:dyDescent="0.25">
      <c r="B19" s="441"/>
      <c r="C19" s="438"/>
      <c r="D19" s="441"/>
      <c r="E19" s="459"/>
      <c r="F19" s="441"/>
      <c r="G19" s="441">
        <v>3094</v>
      </c>
      <c r="H19" s="441">
        <v>600011100</v>
      </c>
      <c r="I19" s="441"/>
      <c r="J19" s="441">
        <v>11</v>
      </c>
      <c r="K19" s="442"/>
      <c r="L19" s="440">
        <f>L18</f>
        <v>3572341.5184006952</v>
      </c>
      <c r="M19" s="441" t="s">
        <v>806</v>
      </c>
      <c r="N19" s="441" t="s">
        <v>464</v>
      </c>
      <c r="O19" s="321"/>
      <c r="P19" s="440"/>
      <c r="Q19" s="458"/>
      <c r="S19" s="321">
        <v>2220</v>
      </c>
      <c r="T19" s="443" t="str">
        <f>VLOOKUP(S19,[1]Orgenheter!$A$3:$C$165,2,FALSE)</f>
        <v xml:space="preserve">Sociologi                     </v>
      </c>
      <c r="U19" s="445">
        <v>165501.405</v>
      </c>
      <c r="V19" s="445">
        <v>30000</v>
      </c>
      <c r="X19" s="445"/>
      <c r="Y19" s="445"/>
      <c r="Z19" s="445"/>
    </row>
    <row r="20" spans="1:26" ht="22.5" customHeight="1" x14ac:dyDescent="0.25">
      <c r="A20" s="441"/>
      <c r="B20" s="441">
        <v>2200</v>
      </c>
      <c r="C20" s="439" t="s">
        <v>571</v>
      </c>
      <c r="D20" s="440">
        <f>U18</f>
        <v>2140980.9897062504</v>
      </c>
      <c r="E20" s="457">
        <f>V18</f>
        <v>278060</v>
      </c>
      <c r="F20" s="441"/>
      <c r="G20" s="441">
        <v>3094</v>
      </c>
      <c r="H20" s="441">
        <v>220000100</v>
      </c>
      <c r="I20" s="441"/>
      <c r="J20" s="441">
        <v>11</v>
      </c>
      <c r="K20" s="442"/>
      <c r="L20" s="440">
        <f>(D20-K20)/12*2</f>
        <v>356830.16495104175</v>
      </c>
      <c r="M20" s="441" t="s">
        <v>805</v>
      </c>
      <c r="N20" s="441" t="s">
        <v>464</v>
      </c>
      <c r="O20" s="319"/>
      <c r="P20" s="440"/>
      <c r="Q20" s="458"/>
      <c r="S20" s="319">
        <v>2271</v>
      </c>
      <c r="T20" s="443" t="s">
        <v>1356</v>
      </c>
      <c r="U20" s="445">
        <v>619724.45998500008</v>
      </c>
      <c r="V20" s="445">
        <v>106860</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356830.16495104175</v>
      </c>
      <c r="M21" s="441" t="s">
        <v>806</v>
      </c>
      <c r="N21" s="441" t="s">
        <v>464</v>
      </c>
      <c r="O21" s="460"/>
      <c r="P21" s="440"/>
      <c r="Q21" s="458"/>
      <c r="S21" s="460">
        <v>2272</v>
      </c>
      <c r="T21" s="443" t="str">
        <f>VLOOKUP(S21,[1]Orgenheter!$A$3:$C$165,2,FALSE)</f>
        <v xml:space="preserve">Statistik                     </v>
      </c>
      <c r="U21" s="445">
        <v>542438.35301249987</v>
      </c>
      <c r="V21" s="445">
        <v>63630</v>
      </c>
      <c r="X21" s="445"/>
      <c r="Y21" s="445"/>
      <c r="Z21" s="445"/>
    </row>
    <row r="22" spans="1:26" ht="22.5" customHeight="1" x14ac:dyDescent="0.25">
      <c r="A22" s="441"/>
      <c r="B22" s="441">
        <v>2220</v>
      </c>
      <c r="C22" s="439" t="s">
        <v>195</v>
      </c>
      <c r="D22" s="440">
        <f>U19</f>
        <v>165501.405</v>
      </c>
      <c r="E22" s="457">
        <f>V19</f>
        <v>30000</v>
      </c>
      <c r="F22" s="441"/>
      <c r="G22" s="441">
        <v>3094</v>
      </c>
      <c r="H22" s="441">
        <v>222000100</v>
      </c>
      <c r="I22" s="441"/>
      <c r="J22" s="441">
        <v>11</v>
      </c>
      <c r="K22" s="442"/>
      <c r="L22" s="440">
        <f>(D22-K22)/12*2</f>
        <v>27583.567500000001</v>
      </c>
      <c r="M22" s="441" t="s">
        <v>805</v>
      </c>
      <c r="N22" s="441" t="s">
        <v>464</v>
      </c>
      <c r="O22" s="321"/>
      <c r="P22" s="440"/>
      <c r="Q22" s="458"/>
      <c r="S22" s="321">
        <v>2300</v>
      </c>
      <c r="T22" s="443" t="str">
        <f>VLOOKUP(S22,[1]Orgenheter!$A$3:$C$165,2,FALSE)</f>
        <v xml:space="preserve">Juridiska institutionen       </v>
      </c>
      <c r="U22" s="445">
        <v>670652.60461249994</v>
      </c>
      <c r="V22" s="445">
        <v>78670</v>
      </c>
      <c r="X22" s="445"/>
      <c r="Y22" s="445"/>
      <c r="Z22" s="445"/>
    </row>
    <row r="23" spans="1:26" ht="22.5" customHeight="1" x14ac:dyDescent="0.25">
      <c r="A23" s="441"/>
      <c r="B23" s="441"/>
      <c r="C23" s="450"/>
      <c r="F23" s="441"/>
      <c r="G23" s="441">
        <v>3094</v>
      </c>
      <c r="H23" s="441">
        <v>600011100</v>
      </c>
      <c r="I23" s="441"/>
      <c r="J23" s="441">
        <v>11</v>
      </c>
      <c r="K23" s="442"/>
      <c r="L23" s="440">
        <f>L22</f>
        <v>27583.567500000001</v>
      </c>
      <c r="M23" s="441" t="s">
        <v>806</v>
      </c>
      <c r="N23" s="441" t="s">
        <v>464</v>
      </c>
      <c r="O23" s="319"/>
      <c r="P23" s="440"/>
      <c r="Q23" s="458"/>
      <c r="S23" s="319">
        <v>2340</v>
      </c>
      <c r="T23" s="443" t="str">
        <f>VLOOKUP(S23,[1]Orgenheter!$A$3:$C$165,2,FALSE)</f>
        <v xml:space="preserve">Statsvetenskap                </v>
      </c>
      <c r="U23" s="445">
        <v>2493138.5411624992</v>
      </c>
      <c r="V23" s="445">
        <v>384975</v>
      </c>
      <c r="X23" s="445"/>
      <c r="Y23" s="445"/>
      <c r="Z23" s="445"/>
    </row>
    <row r="24" spans="1:26" ht="22.5" customHeight="1" x14ac:dyDescent="0.25">
      <c r="B24" s="441">
        <v>2271</v>
      </c>
      <c r="C24" s="450" t="s">
        <v>1356</v>
      </c>
      <c r="D24" s="440">
        <f>U20</f>
        <v>619724.45998500008</v>
      </c>
      <c r="E24" s="457">
        <f>V20</f>
        <v>106860</v>
      </c>
      <c r="G24" s="446">
        <v>3094</v>
      </c>
      <c r="H24" s="446">
        <v>227100100</v>
      </c>
      <c r="J24" s="441">
        <v>11</v>
      </c>
      <c r="K24" s="442"/>
      <c r="L24" s="440">
        <f>(D24-K24)/12*2</f>
        <v>103287.40999750001</v>
      </c>
      <c r="M24" s="441" t="s">
        <v>805</v>
      </c>
      <c r="N24" s="441" t="s">
        <v>464</v>
      </c>
      <c r="O24" s="460"/>
      <c r="P24" s="440"/>
      <c r="Q24" s="458"/>
      <c r="S24" s="460">
        <v>2360</v>
      </c>
      <c r="T24" s="443" t="str">
        <f>VLOOKUP(S24,[1]Orgenheter!$A$3:$C$165,2,FALSE)</f>
        <v xml:space="preserve">Ekonomisk historia            </v>
      </c>
      <c r="U24" s="445">
        <v>274401.32949000003</v>
      </c>
      <c r="V24" s="445">
        <v>49740</v>
      </c>
      <c r="X24" s="445"/>
      <c r="Y24" s="445"/>
      <c r="Z24" s="445"/>
    </row>
    <row r="25" spans="1:26" ht="22.5" customHeight="1" x14ac:dyDescent="0.25">
      <c r="G25" s="446">
        <v>3094</v>
      </c>
      <c r="H25" s="446">
        <v>600011100</v>
      </c>
      <c r="J25" s="441">
        <v>11</v>
      </c>
      <c r="K25" s="442"/>
      <c r="L25" s="440">
        <f>L24</f>
        <v>103287.40999750001</v>
      </c>
      <c r="M25" s="441" t="s">
        <v>806</v>
      </c>
      <c r="N25" s="441" t="s">
        <v>464</v>
      </c>
      <c r="O25" s="460"/>
      <c r="P25" s="440"/>
      <c r="Q25" s="458"/>
      <c r="S25" s="460">
        <v>2500</v>
      </c>
      <c r="T25" s="443" t="str">
        <f>VLOOKUP(S25,[1]Orgenheter!$A$3:$C$165,2,FALSE)</f>
        <v>Geografi</v>
      </c>
      <c r="U25" s="445">
        <v>263412.74099999998</v>
      </c>
      <c r="V25" s="445">
        <v>56252.5</v>
      </c>
      <c r="X25" s="445"/>
      <c r="Y25" s="445"/>
      <c r="Z25" s="445"/>
    </row>
    <row r="26" spans="1:26" ht="22.5" customHeight="1" x14ac:dyDescent="0.25">
      <c r="A26" s="441"/>
      <c r="B26" s="441">
        <v>2272</v>
      </c>
      <c r="C26" s="439" t="s">
        <v>200</v>
      </c>
      <c r="D26" s="440">
        <f>U21</f>
        <v>542438.35301249987</v>
      </c>
      <c r="E26" s="457">
        <f>V21</f>
        <v>63630</v>
      </c>
      <c r="F26" s="441"/>
      <c r="G26" s="441">
        <v>3094</v>
      </c>
      <c r="H26" s="446">
        <v>227200100</v>
      </c>
      <c r="I26" s="441"/>
      <c r="J26" s="441">
        <v>11</v>
      </c>
      <c r="K26" s="442"/>
      <c r="L26" s="440">
        <f>(D26-K26)/12*2</f>
        <v>90406.392168749982</v>
      </c>
      <c r="M26" s="441" t="s">
        <v>805</v>
      </c>
      <c r="N26" s="441" t="s">
        <v>464</v>
      </c>
      <c r="O26" s="460"/>
      <c r="P26" s="440"/>
      <c r="Q26" s="458"/>
      <c r="S26" s="460">
        <v>2750</v>
      </c>
      <c r="T26" s="443" t="str">
        <f>VLOOKUP(S26,[1]Orgenheter!$A$3:$C$165,2,FALSE)</f>
        <v xml:space="preserve">Kostvetenskap                 </v>
      </c>
      <c r="U26" s="445">
        <v>2971781.7932500001</v>
      </c>
      <c r="V26" s="445">
        <v>1191342.5</v>
      </c>
      <c r="X26" s="445"/>
      <c r="Y26" s="445"/>
      <c r="Z26" s="445"/>
    </row>
    <row r="27" spans="1:26" ht="22.5" customHeight="1" x14ac:dyDescent="0.25">
      <c r="A27" s="441"/>
      <c r="G27" s="441">
        <v>3094</v>
      </c>
      <c r="H27" s="441">
        <v>600011100</v>
      </c>
      <c r="J27" s="441">
        <v>11</v>
      </c>
      <c r="K27" s="442"/>
      <c r="L27" s="440">
        <f>L26</f>
        <v>90406.392168749982</v>
      </c>
      <c r="M27" s="441" t="s">
        <v>806</v>
      </c>
      <c r="N27" s="441" t="s">
        <v>464</v>
      </c>
      <c r="O27" s="444"/>
      <c r="P27" s="440"/>
      <c r="Q27" s="458"/>
      <c r="U27" s="445"/>
      <c r="V27" s="445"/>
      <c r="X27" s="437"/>
      <c r="Y27" s="445"/>
      <c r="Z27" s="445"/>
    </row>
    <row r="28" spans="1:26" ht="22.5" customHeight="1" x14ac:dyDescent="0.25">
      <c r="B28" s="441">
        <v>2300</v>
      </c>
      <c r="C28" s="439" t="s">
        <v>899</v>
      </c>
      <c r="D28" s="440">
        <f>U22</f>
        <v>670652.60461249994</v>
      </c>
      <c r="E28" s="457">
        <f>V22</f>
        <v>78670</v>
      </c>
      <c r="F28" s="441"/>
      <c r="G28" s="441">
        <v>3094</v>
      </c>
      <c r="H28" s="446">
        <v>230000100</v>
      </c>
      <c r="I28" s="441"/>
      <c r="J28" s="441">
        <v>11</v>
      </c>
      <c r="K28" s="442"/>
      <c r="L28" s="440">
        <f>(D28-K28)/12*2</f>
        <v>111775.43410208332</v>
      </c>
      <c r="M28" s="441" t="s">
        <v>805</v>
      </c>
      <c r="N28" s="441" t="s">
        <v>464</v>
      </c>
      <c r="O28" s="444"/>
      <c r="P28" s="440"/>
      <c r="Q28" s="458"/>
      <c r="X28" s="437"/>
      <c r="Y28" s="445"/>
      <c r="Z28" s="445"/>
    </row>
    <row r="29" spans="1:26" ht="22.5" customHeight="1" x14ac:dyDescent="0.25">
      <c r="G29" s="441">
        <v>3094</v>
      </c>
      <c r="H29" s="441">
        <v>600011100</v>
      </c>
      <c r="J29" s="441">
        <v>11</v>
      </c>
      <c r="K29" s="442"/>
      <c r="L29" s="440">
        <f>L28</f>
        <v>111775.43410208332</v>
      </c>
      <c r="M29" s="441" t="s">
        <v>806</v>
      </c>
      <c r="N29" s="441" t="s">
        <v>464</v>
      </c>
      <c r="O29" s="444"/>
      <c r="P29" s="440"/>
      <c r="Q29" s="458"/>
      <c r="X29" s="437"/>
    </row>
    <row r="30" spans="1:26" ht="22.5" customHeight="1" x14ac:dyDescent="0.25">
      <c r="A30" s="441"/>
      <c r="B30" s="441">
        <v>2340</v>
      </c>
      <c r="C30" s="439" t="s">
        <v>198</v>
      </c>
      <c r="D30" s="453">
        <f>U23</f>
        <v>2493138.5411624992</v>
      </c>
      <c r="E30" s="461">
        <f>V23</f>
        <v>384975</v>
      </c>
      <c r="F30" s="441"/>
      <c r="G30" s="441">
        <v>3094</v>
      </c>
      <c r="H30" s="441">
        <v>234000100</v>
      </c>
      <c r="I30" s="441"/>
      <c r="J30" s="441">
        <v>11</v>
      </c>
      <c r="K30" s="442"/>
      <c r="L30" s="440">
        <f>(D30-K30)/12*2</f>
        <v>415523.09019374987</v>
      </c>
      <c r="M30" s="441" t="s">
        <v>805</v>
      </c>
      <c r="N30" s="441" t="s">
        <v>464</v>
      </c>
      <c r="O30" s="444"/>
      <c r="P30" s="440"/>
      <c r="Q30" s="458"/>
      <c r="X30" s="437"/>
    </row>
    <row r="31" spans="1:26" ht="22.5" customHeight="1" x14ac:dyDescent="0.25">
      <c r="A31" s="441"/>
      <c r="B31" s="441"/>
      <c r="C31" s="438"/>
      <c r="D31" s="441"/>
      <c r="E31" s="459"/>
      <c r="F31" s="441"/>
      <c r="G31" s="441">
        <v>3094</v>
      </c>
      <c r="H31" s="441">
        <v>600011100</v>
      </c>
      <c r="I31" s="441"/>
      <c r="J31" s="441">
        <v>11</v>
      </c>
      <c r="K31" s="442"/>
      <c r="L31" s="440">
        <f>L30</f>
        <v>415523.09019374987</v>
      </c>
      <c r="M31" s="441" t="s">
        <v>806</v>
      </c>
      <c r="N31" s="441" t="s">
        <v>464</v>
      </c>
      <c r="O31" s="444"/>
      <c r="P31" s="440"/>
      <c r="Q31" s="458"/>
      <c r="X31" s="437"/>
    </row>
    <row r="32" spans="1:26" ht="22.5" customHeight="1" x14ac:dyDescent="0.25">
      <c r="A32" s="441"/>
      <c r="B32" s="441">
        <v>2360</v>
      </c>
      <c r="C32" s="439" t="s">
        <v>572</v>
      </c>
      <c r="D32" s="440">
        <f>U24</f>
        <v>274401.32949000003</v>
      </c>
      <c r="E32" s="457">
        <f>V24</f>
        <v>49740</v>
      </c>
      <c r="F32" s="441"/>
      <c r="G32" s="446">
        <v>3094</v>
      </c>
      <c r="H32" s="441">
        <v>236000100</v>
      </c>
      <c r="I32" s="441"/>
      <c r="J32" s="441">
        <v>11</v>
      </c>
      <c r="K32" s="442"/>
      <c r="L32" s="440">
        <f>(D32-K32)/12*2</f>
        <v>45733.554915000008</v>
      </c>
      <c r="M32" s="441" t="s">
        <v>805</v>
      </c>
      <c r="N32" s="441" t="s">
        <v>464</v>
      </c>
      <c r="O32" s="444"/>
      <c r="P32" s="440"/>
      <c r="Q32" s="458"/>
      <c r="S32" s="462"/>
      <c r="T32" s="462"/>
      <c r="U32" s="462"/>
      <c r="X32" s="437"/>
    </row>
    <row r="33" spans="1:26" ht="22.5" customHeight="1" x14ac:dyDescent="0.25">
      <c r="A33" s="441"/>
      <c r="G33" s="446">
        <v>3094</v>
      </c>
      <c r="H33" s="441">
        <v>600011100</v>
      </c>
      <c r="J33" s="441">
        <v>11</v>
      </c>
      <c r="K33" s="442"/>
      <c r="L33" s="440">
        <f>L32</f>
        <v>45733.554915000008</v>
      </c>
      <c r="M33" s="441" t="s">
        <v>806</v>
      </c>
      <c r="N33" s="441" t="s">
        <v>464</v>
      </c>
      <c r="O33" s="444"/>
      <c r="P33" s="440"/>
      <c r="Q33" s="458"/>
      <c r="X33" s="437"/>
    </row>
    <row r="34" spans="1:26" ht="22.5" customHeight="1" x14ac:dyDescent="0.25">
      <c r="A34" s="441"/>
      <c r="B34" s="441">
        <v>2500</v>
      </c>
      <c r="C34" s="439" t="s">
        <v>2018</v>
      </c>
      <c r="D34" s="440">
        <f>U25</f>
        <v>263412.74099999998</v>
      </c>
      <c r="E34" s="457">
        <f>V25</f>
        <v>56252.5</v>
      </c>
      <c r="F34" s="441"/>
      <c r="G34" s="441">
        <v>3094</v>
      </c>
      <c r="H34" s="441">
        <v>250000010</v>
      </c>
      <c r="I34" s="441"/>
      <c r="J34" s="441">
        <v>11</v>
      </c>
      <c r="K34" s="442"/>
      <c r="L34" s="440">
        <f>(D34-K34)/12*2</f>
        <v>43902.123499999994</v>
      </c>
      <c r="M34" s="441" t="s">
        <v>805</v>
      </c>
      <c r="N34" s="441" t="s">
        <v>464</v>
      </c>
      <c r="O34" s="444"/>
      <c r="P34" s="440"/>
      <c r="Q34" s="458"/>
      <c r="X34" s="437"/>
    </row>
    <row r="35" spans="1:26" ht="22.5" customHeight="1" x14ac:dyDescent="0.25">
      <c r="A35" s="441"/>
      <c r="G35" s="441">
        <v>3094</v>
      </c>
      <c r="H35" s="441">
        <v>600011100</v>
      </c>
      <c r="J35" s="441">
        <v>11</v>
      </c>
      <c r="K35" s="442"/>
      <c r="L35" s="440">
        <f>L34</f>
        <v>43902.123499999994</v>
      </c>
      <c r="M35" s="441" t="s">
        <v>806</v>
      </c>
      <c r="N35" s="441" t="s">
        <v>464</v>
      </c>
      <c r="O35" s="444"/>
      <c r="P35" s="440"/>
      <c r="Q35" s="458"/>
      <c r="X35" s="437"/>
    </row>
    <row r="36" spans="1:26" ht="22.5" customHeight="1" x14ac:dyDescent="0.25">
      <c r="A36" s="441"/>
      <c r="B36" s="441">
        <v>2650</v>
      </c>
      <c r="C36" s="439" t="s">
        <v>2147</v>
      </c>
      <c r="D36" s="440">
        <f>U26</f>
        <v>2971781.7932500001</v>
      </c>
      <c r="E36" s="457">
        <f>V26</f>
        <v>1191342.5</v>
      </c>
      <c r="F36" s="441"/>
      <c r="G36" s="441">
        <v>3094</v>
      </c>
      <c r="H36" s="441">
        <v>275000100</v>
      </c>
      <c r="I36" s="441"/>
      <c r="J36" s="441">
        <v>11</v>
      </c>
      <c r="K36" s="442"/>
      <c r="L36" s="440">
        <f>(D36-K36)/12*2</f>
        <v>495296.96554166666</v>
      </c>
      <c r="M36" s="441" t="s">
        <v>805</v>
      </c>
      <c r="N36" s="441" t="s">
        <v>464</v>
      </c>
      <c r="O36" s="444"/>
      <c r="P36" s="440"/>
      <c r="Q36" s="458"/>
      <c r="X36" s="437"/>
    </row>
    <row r="37" spans="1:26" ht="22.5" customHeight="1" x14ac:dyDescent="0.25">
      <c r="A37" s="441"/>
      <c r="B37" s="441"/>
      <c r="C37" s="438"/>
      <c r="D37" s="441"/>
      <c r="E37" s="459"/>
      <c r="F37" s="441"/>
      <c r="G37" s="441">
        <v>3094</v>
      </c>
      <c r="H37" s="441">
        <v>600011100</v>
      </c>
      <c r="I37" s="441"/>
      <c r="J37" s="441">
        <v>11</v>
      </c>
      <c r="K37" s="442"/>
      <c r="L37" s="440">
        <f>L36</f>
        <v>495296.96554166666</v>
      </c>
      <c r="M37" s="441" t="s">
        <v>806</v>
      </c>
      <c r="N37" s="441" t="s">
        <v>464</v>
      </c>
      <c r="O37" s="444"/>
      <c r="P37" s="440"/>
      <c r="Q37" s="458"/>
      <c r="X37" s="437"/>
    </row>
    <row r="38" spans="1:26" ht="22.5" customHeight="1" x14ac:dyDescent="0.25">
      <c r="A38" s="438"/>
      <c r="B38" s="438">
        <v>2000</v>
      </c>
      <c r="C38" s="450" t="s">
        <v>463</v>
      </c>
      <c r="D38" s="438"/>
      <c r="E38" s="463">
        <f>SUM(E16:E37)</f>
        <v>8864588.333333334</v>
      </c>
      <c r="F38" s="438"/>
      <c r="G38" s="438">
        <v>3094</v>
      </c>
      <c r="H38" s="438">
        <v>200000001</v>
      </c>
      <c r="I38" s="438"/>
      <c r="J38" s="441">
        <v>11</v>
      </c>
      <c r="K38" s="442"/>
      <c r="L38" s="440">
        <f>(E38-K38)/12*2</f>
        <v>1477431.388888889</v>
      </c>
      <c r="M38" s="441" t="s">
        <v>805</v>
      </c>
      <c r="N38" s="438" t="s">
        <v>404</v>
      </c>
      <c r="O38" s="444"/>
      <c r="P38" s="440"/>
      <c r="Q38" s="458"/>
      <c r="X38" s="437"/>
    </row>
    <row r="39" spans="1:26" ht="22.5" customHeight="1" x14ac:dyDescent="0.25">
      <c r="G39" s="464">
        <v>3094</v>
      </c>
      <c r="H39" s="441">
        <v>600011100</v>
      </c>
      <c r="J39" s="441">
        <v>11</v>
      </c>
      <c r="K39" s="442"/>
      <c r="L39" s="440">
        <f>L38</f>
        <v>1477431.388888889</v>
      </c>
      <c r="M39" s="441" t="s">
        <v>806</v>
      </c>
      <c r="N39" s="438" t="s">
        <v>404</v>
      </c>
      <c r="O39" s="444"/>
      <c r="P39" s="440"/>
      <c r="Q39" s="444"/>
      <c r="X39" s="437"/>
    </row>
    <row r="40" spans="1:26" ht="22.5" customHeight="1" x14ac:dyDescent="0.25">
      <c r="A40" s="454"/>
      <c r="B40" s="454"/>
      <c r="C40" s="465"/>
      <c r="D40" s="454"/>
      <c r="E40" s="466"/>
      <c r="F40" s="454"/>
      <c r="G40" s="454"/>
      <c r="H40" s="454"/>
      <c r="I40" s="454"/>
      <c r="J40" s="454"/>
      <c r="K40" s="455"/>
      <c r="L40" s="467"/>
      <c r="M40" s="454"/>
      <c r="N40" s="454"/>
      <c r="O40" s="444"/>
      <c r="P40" s="440"/>
      <c r="Q40" s="444"/>
      <c r="X40" s="437"/>
    </row>
    <row r="41" spans="1:26" ht="22.5" customHeight="1" x14ac:dyDescent="0.25">
      <c r="A41" s="438"/>
      <c r="K41" s="442"/>
      <c r="O41" s="444"/>
      <c r="P41" s="440"/>
      <c r="Q41" s="444"/>
      <c r="T41" s="317">
        <v>2021</v>
      </c>
      <c r="U41" s="317" t="s">
        <v>375</v>
      </c>
      <c r="V41" s="317" t="s">
        <v>149</v>
      </c>
      <c r="X41" s="437"/>
      <c r="Y41" s="445"/>
      <c r="Z41" s="445"/>
    </row>
    <row r="42" spans="1:26" ht="22.5" customHeight="1" x14ac:dyDescent="0.25">
      <c r="A42" s="438" t="s">
        <v>413</v>
      </c>
      <c r="B42" s="441">
        <v>3306</v>
      </c>
      <c r="C42" s="439" t="s">
        <v>242</v>
      </c>
      <c r="D42" s="468">
        <f>U42</f>
        <v>841688.42062500003</v>
      </c>
      <c r="E42" s="468">
        <f>V42</f>
        <v>415012.5</v>
      </c>
      <c r="F42" s="438"/>
      <c r="G42" s="464">
        <v>3094</v>
      </c>
      <c r="H42" s="464">
        <v>330600100</v>
      </c>
      <c r="I42" s="464"/>
      <c r="J42" s="464">
        <v>11</v>
      </c>
      <c r="K42" s="442"/>
      <c r="L42" s="440">
        <f>(D42+E42-K42)/12*2</f>
        <v>209450.1534375</v>
      </c>
      <c r="M42" s="441" t="s">
        <v>805</v>
      </c>
      <c r="N42" s="438" t="s">
        <v>427</v>
      </c>
      <c r="O42" s="444"/>
      <c r="P42" s="440"/>
      <c r="Q42" s="444"/>
      <c r="S42" s="436">
        <v>3306</v>
      </c>
      <c r="T42" s="443" t="str">
        <f>VLOOKUP(S42,[1]Orgenheter!$A$3:$C$165,2,FALSE)</f>
        <v xml:space="preserve">Idrottsmedicin                </v>
      </c>
      <c r="U42" s="445">
        <v>841688.42062500003</v>
      </c>
      <c r="V42" s="445">
        <v>415012.5</v>
      </c>
      <c r="X42" s="445"/>
      <c r="Y42" s="445"/>
      <c r="Z42" s="445"/>
    </row>
    <row r="43" spans="1:26" ht="22.5" customHeight="1" x14ac:dyDescent="0.25">
      <c r="B43" s="441"/>
      <c r="C43" s="439"/>
      <c r="G43" s="464">
        <v>3094</v>
      </c>
      <c r="H43" s="441">
        <v>600011100</v>
      </c>
      <c r="J43" s="464">
        <v>11</v>
      </c>
      <c r="K43" s="442"/>
      <c r="L43" s="468">
        <f>L42</f>
        <v>209450.1534375</v>
      </c>
      <c r="M43" s="441" t="s">
        <v>806</v>
      </c>
      <c r="N43" s="438" t="s">
        <v>427</v>
      </c>
      <c r="O43" s="444"/>
      <c r="P43" s="440"/>
      <c r="Q43" s="444"/>
      <c r="S43" s="317">
        <v>3850</v>
      </c>
      <c r="T43" s="443" t="str">
        <f>VLOOKUP(S43,[1]Orgenheter!$A$3:$C$165,2,FALSE)</f>
        <v>Epidemiologi och global hälsa</v>
      </c>
      <c r="U43" s="445">
        <v>204958.16624999998</v>
      </c>
      <c r="V43" s="445">
        <v>101149.99999999999</v>
      </c>
      <c r="X43" s="445"/>
      <c r="Y43" s="445"/>
      <c r="Z43" s="445"/>
    </row>
    <row r="44" spans="1:26" ht="22.5" customHeight="1" x14ac:dyDescent="0.25">
      <c r="B44" s="441">
        <v>3850</v>
      </c>
      <c r="C44" s="443" t="str">
        <f>VLOOKUP(B44,[1]Orgenheter!$A$3:$C$165,2,FALSE)</f>
        <v>Epidemiologi och global hälsa</v>
      </c>
      <c r="D44" s="468">
        <f>U43</f>
        <v>204958.16624999998</v>
      </c>
      <c r="E44" s="468">
        <f>V43</f>
        <v>101149.99999999999</v>
      </c>
      <c r="G44" s="464">
        <v>3094</v>
      </c>
      <c r="H44" s="446">
        <v>385000002</v>
      </c>
      <c r="J44" s="464">
        <v>11</v>
      </c>
      <c r="K44" s="442"/>
      <c r="L44" s="440">
        <f>(D44+E44-K44)/12*2</f>
        <v>51018.027708333328</v>
      </c>
      <c r="M44" s="441" t="s">
        <v>805</v>
      </c>
      <c r="N44" s="438" t="s">
        <v>427</v>
      </c>
      <c r="O44" s="444"/>
      <c r="P44" s="440"/>
      <c r="Q44" s="444"/>
      <c r="T44" s="443"/>
      <c r="U44" s="445"/>
      <c r="V44" s="445"/>
      <c r="X44" s="437"/>
    </row>
    <row r="45" spans="1:26" ht="22.5" customHeight="1" x14ac:dyDescent="0.25">
      <c r="G45" s="464">
        <v>3094</v>
      </c>
      <c r="H45" s="441">
        <v>600011100</v>
      </c>
      <c r="J45" s="464">
        <v>11</v>
      </c>
      <c r="K45" s="442"/>
      <c r="L45" s="468">
        <f>L44</f>
        <v>51018.027708333328</v>
      </c>
      <c r="M45" s="441" t="s">
        <v>806</v>
      </c>
      <c r="N45" s="438" t="s">
        <v>427</v>
      </c>
      <c r="O45" s="444"/>
      <c r="P45" s="440"/>
      <c r="Q45" s="444"/>
      <c r="X45" s="437"/>
    </row>
    <row r="46" spans="1:26" ht="22.5" customHeight="1" x14ac:dyDescent="0.25">
      <c r="A46" s="454"/>
      <c r="B46" s="454"/>
      <c r="C46" s="469"/>
      <c r="D46" s="467"/>
      <c r="E46" s="467"/>
      <c r="F46" s="454"/>
      <c r="G46" s="470"/>
      <c r="H46" s="470"/>
      <c r="I46" s="470"/>
      <c r="J46" s="470"/>
      <c r="K46" s="455"/>
      <c r="L46" s="467"/>
      <c r="M46" s="454"/>
      <c r="N46" s="454"/>
      <c r="O46" s="444"/>
      <c r="P46" s="440"/>
      <c r="Q46" s="444"/>
      <c r="X46" s="437"/>
      <c r="Y46" s="445"/>
      <c r="Z46" s="445"/>
    </row>
    <row r="47" spans="1:26" ht="22.5" customHeight="1" x14ac:dyDescent="0.25">
      <c r="K47" s="442"/>
      <c r="O47" s="444"/>
      <c r="P47" s="440"/>
      <c r="Q47" s="444"/>
      <c r="S47" s="444"/>
      <c r="T47" s="317">
        <v>2021</v>
      </c>
      <c r="U47" s="317" t="s">
        <v>375</v>
      </c>
      <c r="V47" s="317" t="s">
        <v>149</v>
      </c>
      <c r="X47" s="437"/>
    </row>
    <row r="48" spans="1:26" ht="22.5" customHeight="1" x14ac:dyDescent="0.25">
      <c r="A48" s="441" t="s">
        <v>465</v>
      </c>
      <c r="B48" s="441">
        <v>5100</v>
      </c>
      <c r="C48" s="439" t="s">
        <v>164</v>
      </c>
      <c r="D48" s="471">
        <f>U48</f>
        <v>584978.71249999991</v>
      </c>
      <c r="E48" s="471">
        <f>V48</f>
        <v>257075</v>
      </c>
      <c r="G48" s="464">
        <v>3094</v>
      </c>
      <c r="H48" s="446">
        <v>510010100</v>
      </c>
      <c r="J48" s="464">
        <v>11</v>
      </c>
      <c r="L48" s="440">
        <f>(D48+E48-K48)/12*2</f>
        <v>140342.28541666665</v>
      </c>
      <c r="M48" s="464" t="s">
        <v>805</v>
      </c>
      <c r="N48" s="438" t="s">
        <v>427</v>
      </c>
      <c r="P48" s="440"/>
      <c r="Q48" s="444"/>
      <c r="S48" s="317">
        <v>5100</v>
      </c>
      <c r="T48" s="443" t="str">
        <f>VLOOKUP(S48,[1]Orgenheter!$A$3:$C$165,2,FALSE)</f>
        <v>EMG</v>
      </c>
      <c r="U48" s="445">
        <v>584978.71249999991</v>
      </c>
      <c r="V48" s="445">
        <v>257075</v>
      </c>
      <c r="X48" s="444"/>
      <c r="Y48" s="445"/>
      <c r="Z48" s="445"/>
    </row>
    <row r="49" spans="1:26" ht="22.5" customHeight="1" x14ac:dyDescent="0.25">
      <c r="G49" s="464">
        <v>3094</v>
      </c>
      <c r="H49" s="446">
        <v>600011100</v>
      </c>
      <c r="J49" s="464">
        <v>11</v>
      </c>
      <c r="L49" s="468">
        <f>L48</f>
        <v>140342.28541666665</v>
      </c>
      <c r="M49" s="464" t="s">
        <v>806</v>
      </c>
      <c r="N49" s="438" t="s">
        <v>427</v>
      </c>
      <c r="P49" s="440"/>
      <c r="Q49" s="444"/>
      <c r="S49" s="317">
        <v>5160</v>
      </c>
      <c r="T49" s="443" t="str">
        <f>VLOOKUP(S49,[1]Orgenheter!$A$3:$C$165,2,FALSE)</f>
        <v xml:space="preserve">Inst för Fysiologisk botanik  </v>
      </c>
      <c r="U49" s="445">
        <v>102853.4</v>
      </c>
      <c r="V49" s="445">
        <v>45200</v>
      </c>
      <c r="X49" s="444"/>
      <c r="Y49" s="445"/>
      <c r="Z49" s="445"/>
    </row>
    <row r="50" spans="1:26" ht="22.5" customHeight="1" x14ac:dyDescent="0.25">
      <c r="B50" s="441">
        <v>5160</v>
      </c>
      <c r="C50" s="439" t="str">
        <f>VLOOKUP(B50,[1]Orgenheter!$A$3:$C$165,2,FALSE)</f>
        <v xml:space="preserve">Inst för Fysiologisk botanik  </v>
      </c>
      <c r="D50" s="471">
        <f>U49</f>
        <v>102853.4</v>
      </c>
      <c r="E50" s="471">
        <f>V49</f>
        <v>45200</v>
      </c>
      <c r="G50" s="446">
        <v>3094</v>
      </c>
      <c r="H50" s="446">
        <v>516001100</v>
      </c>
      <c r="J50" s="464">
        <v>11</v>
      </c>
      <c r="L50" s="440">
        <f>(D50+E50-K50)/12*2</f>
        <v>24675.566666666666</v>
      </c>
      <c r="M50" s="464" t="s">
        <v>805</v>
      </c>
      <c r="N50" s="438" t="s">
        <v>427</v>
      </c>
      <c r="O50" s="319"/>
      <c r="P50" s="440"/>
      <c r="Q50" s="444"/>
      <c r="S50" s="317">
        <v>5400</v>
      </c>
      <c r="T50" s="443" t="str">
        <f>VLOOKUP(S50,[1]Orgenheter!$A$3:$C$165,2,FALSE)</f>
        <v xml:space="preserve">Inst för Fysik                </v>
      </c>
      <c r="U50" s="445">
        <v>192580.495</v>
      </c>
      <c r="V50" s="445">
        <v>87010</v>
      </c>
      <c r="X50" s="444"/>
      <c r="Y50" s="445"/>
      <c r="Z50" s="445"/>
    </row>
    <row r="51" spans="1:26" ht="22.5" customHeight="1" x14ac:dyDescent="0.25">
      <c r="G51" s="446">
        <v>3094</v>
      </c>
      <c r="H51" s="446">
        <v>600011100</v>
      </c>
      <c r="I51" s="320"/>
      <c r="J51" s="464">
        <v>11</v>
      </c>
      <c r="L51" s="468">
        <f>L50</f>
        <v>24675.566666666666</v>
      </c>
      <c r="M51" s="464" t="s">
        <v>806</v>
      </c>
      <c r="N51" s="438" t="s">
        <v>427</v>
      </c>
      <c r="O51" s="319"/>
      <c r="P51" s="440"/>
      <c r="Q51" s="444"/>
      <c r="S51" s="317">
        <v>5410</v>
      </c>
      <c r="T51" s="443" t="s">
        <v>1077</v>
      </c>
      <c r="U51" s="445">
        <v>0</v>
      </c>
      <c r="V51" s="445">
        <v>0</v>
      </c>
      <c r="X51" s="444"/>
      <c r="Y51" s="445"/>
      <c r="Z51" s="445"/>
    </row>
    <row r="52" spans="1:26" ht="22.5" customHeight="1" x14ac:dyDescent="0.25">
      <c r="B52" s="446">
        <v>5400</v>
      </c>
      <c r="C52" s="450" t="s">
        <v>898</v>
      </c>
      <c r="D52" s="471">
        <f>U50</f>
        <v>192580.495</v>
      </c>
      <c r="E52" s="471">
        <f>V50</f>
        <v>87010</v>
      </c>
      <c r="F52" s="320"/>
      <c r="G52" s="446">
        <v>3094</v>
      </c>
      <c r="H52" s="446">
        <v>540000100</v>
      </c>
      <c r="I52" s="320"/>
      <c r="J52" s="464">
        <v>11</v>
      </c>
      <c r="K52" s="452"/>
      <c r="L52" s="440">
        <f>(D52+E52-K52)/12*2</f>
        <v>46598.415833333333</v>
      </c>
      <c r="M52" s="446" t="s">
        <v>805</v>
      </c>
      <c r="N52" s="464" t="s">
        <v>427</v>
      </c>
      <c r="O52" s="319"/>
      <c r="P52" s="440"/>
      <c r="Q52" s="444"/>
      <c r="S52" s="319">
        <v>5500</v>
      </c>
      <c r="T52" s="443" t="str">
        <f>VLOOKUP(S52,[1]Orgenheter!$A$3:$C$165,2,FALSE)</f>
        <v xml:space="preserve">Kemiska institutionen         </v>
      </c>
      <c r="U52" s="445">
        <v>192850.12499999994</v>
      </c>
      <c r="V52" s="445">
        <v>84750</v>
      </c>
      <c r="X52" s="444"/>
      <c r="Y52" s="445"/>
      <c r="Z52" s="445"/>
    </row>
    <row r="53" spans="1:26" ht="22.5" customHeight="1" x14ac:dyDescent="0.25">
      <c r="B53" s="446"/>
      <c r="C53" s="450"/>
      <c r="D53" s="446"/>
      <c r="E53" s="446"/>
      <c r="F53" s="320"/>
      <c r="G53" s="446">
        <v>3094</v>
      </c>
      <c r="H53" s="446">
        <v>600011100</v>
      </c>
      <c r="I53" s="320"/>
      <c r="J53" s="464">
        <v>11</v>
      </c>
      <c r="K53" s="452"/>
      <c r="L53" s="471">
        <f>L52</f>
        <v>46598.415833333333</v>
      </c>
      <c r="M53" s="446" t="s">
        <v>806</v>
      </c>
      <c r="N53" s="464" t="s">
        <v>427</v>
      </c>
      <c r="O53" s="444"/>
      <c r="P53" s="440"/>
      <c r="Q53" s="444"/>
      <c r="S53" s="321">
        <v>5700</v>
      </c>
      <c r="T53" s="443" t="s">
        <v>313</v>
      </c>
      <c r="U53" s="445">
        <v>6428.3374999999996</v>
      </c>
      <c r="V53" s="445">
        <v>2825</v>
      </c>
      <c r="X53" s="444"/>
      <c r="Y53" s="445"/>
      <c r="Z53" s="445"/>
    </row>
    <row r="54" spans="1:26" ht="22.5" customHeight="1" x14ac:dyDescent="0.25">
      <c r="B54" s="446">
        <v>5410</v>
      </c>
      <c r="C54" s="450" t="s">
        <v>1077</v>
      </c>
      <c r="D54" s="471">
        <f>U51</f>
        <v>0</v>
      </c>
      <c r="E54" s="471">
        <f>V51</f>
        <v>0</v>
      </c>
      <c r="F54" s="320"/>
      <c r="G54" s="446">
        <v>3094</v>
      </c>
      <c r="H54" s="446">
        <v>541000100</v>
      </c>
      <c r="I54" s="320"/>
      <c r="J54" s="464">
        <v>11</v>
      </c>
      <c r="K54" s="452"/>
      <c r="L54" s="440">
        <f>(D54+E54-K54)/12*2</f>
        <v>0</v>
      </c>
      <c r="M54" s="446" t="s">
        <v>805</v>
      </c>
      <c r="N54" s="464" t="s">
        <v>427</v>
      </c>
      <c r="O54" s="444"/>
      <c r="P54" s="440"/>
      <c r="Q54" s="444"/>
      <c r="S54" s="319">
        <v>5730</v>
      </c>
      <c r="T54" s="443" t="str">
        <f>VLOOKUP(S54,[1]Orgenheter!$A$3:$C$165,2,FALSE)</f>
        <v>Inst för MA och MA statistik</v>
      </c>
      <c r="U54" s="445">
        <v>3204448.2364999969</v>
      </c>
      <c r="V54" s="445">
        <v>1246353.3333333333</v>
      </c>
      <c r="X54" s="444"/>
      <c r="Y54" s="445"/>
      <c r="Z54" s="445"/>
    </row>
    <row r="55" spans="1:26" ht="22.5" customHeight="1" x14ac:dyDescent="0.25">
      <c r="B55" s="446"/>
      <c r="C55" s="450"/>
      <c r="D55" s="446"/>
      <c r="E55" s="446"/>
      <c r="F55" s="320"/>
      <c r="G55" s="446">
        <v>3094</v>
      </c>
      <c r="H55" s="446">
        <v>600011100</v>
      </c>
      <c r="I55" s="320"/>
      <c r="J55" s="464">
        <v>11</v>
      </c>
      <c r="K55" s="452"/>
      <c r="L55" s="471">
        <f>L54</f>
        <v>0</v>
      </c>
      <c r="M55" s="446" t="s">
        <v>806</v>
      </c>
      <c r="N55" s="464" t="s">
        <v>427</v>
      </c>
      <c r="O55" s="444"/>
      <c r="P55" s="440"/>
      <c r="Q55" s="444"/>
      <c r="S55" s="319">
        <v>5740</v>
      </c>
      <c r="T55" s="443" t="str">
        <f>VLOOKUP(S55,[1]Orgenheter!$A$3:$C$165,2,FALSE)</f>
        <v>NMD</v>
      </c>
      <c r="U55" s="445">
        <v>11644001.083882499</v>
      </c>
      <c r="V55" s="445">
        <v>3820273.8333333335</v>
      </c>
      <c r="X55" s="437"/>
      <c r="Y55" s="445"/>
      <c r="Z55" s="445"/>
    </row>
    <row r="56" spans="1:26" ht="22.5" customHeight="1" x14ac:dyDescent="0.25">
      <c r="B56" s="446">
        <v>5500</v>
      </c>
      <c r="C56" s="450" t="s">
        <v>165</v>
      </c>
      <c r="D56" s="471">
        <f>U52</f>
        <v>192850.12499999994</v>
      </c>
      <c r="E56" s="471">
        <f>V52</f>
        <v>84750</v>
      </c>
      <c r="F56" s="446"/>
      <c r="G56" s="446">
        <v>3094</v>
      </c>
      <c r="H56" s="446">
        <v>550001100</v>
      </c>
      <c r="I56" s="446"/>
      <c r="J56" s="446">
        <v>11</v>
      </c>
      <c r="K56" s="452"/>
      <c r="L56" s="440">
        <f>(D56+E56-K56)/12*2</f>
        <v>46266.687499999993</v>
      </c>
      <c r="M56" s="446" t="s">
        <v>805</v>
      </c>
      <c r="N56" s="446" t="s">
        <v>427</v>
      </c>
      <c r="O56" s="444"/>
      <c r="P56" s="440"/>
      <c r="Q56" s="444"/>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46266.687499999993</v>
      </c>
      <c r="M57" s="446" t="s">
        <v>806</v>
      </c>
      <c r="N57" s="446" t="s">
        <v>427</v>
      </c>
      <c r="O57" s="472"/>
      <c r="P57" s="440"/>
      <c r="Q57" s="472"/>
      <c r="X57" s="437"/>
      <c r="Y57" s="445"/>
      <c r="Z57" s="445"/>
    </row>
    <row r="58" spans="1:26" ht="22.5" customHeight="1" x14ac:dyDescent="0.25">
      <c r="B58" s="446">
        <v>5700</v>
      </c>
      <c r="C58" s="450" t="s">
        <v>313</v>
      </c>
      <c r="D58" s="471">
        <f>U53</f>
        <v>6428.3374999999996</v>
      </c>
      <c r="E58" s="471">
        <f>V53</f>
        <v>2825</v>
      </c>
      <c r="G58" s="446">
        <v>3094</v>
      </c>
      <c r="H58" s="446">
        <v>570001100</v>
      </c>
      <c r="J58" s="446">
        <v>11</v>
      </c>
      <c r="L58" s="440">
        <f>(D58+E58-K58)/12*2</f>
        <v>1542.2229166666666</v>
      </c>
      <c r="M58" s="446" t="s">
        <v>805</v>
      </c>
      <c r="N58" s="446" t="s">
        <v>427</v>
      </c>
      <c r="O58" s="444"/>
      <c r="P58" s="440"/>
      <c r="Q58" s="444"/>
      <c r="X58" s="437"/>
      <c r="Y58" s="445"/>
      <c r="Z58" s="445"/>
    </row>
    <row r="59" spans="1:26" ht="22.5" customHeight="1" x14ac:dyDescent="0.25">
      <c r="G59" s="446">
        <v>3094</v>
      </c>
      <c r="H59" s="446">
        <v>600011100</v>
      </c>
      <c r="I59" s="446"/>
      <c r="J59" s="446">
        <v>11</v>
      </c>
      <c r="L59" s="471">
        <f>L58</f>
        <v>1542.2229166666666</v>
      </c>
      <c r="M59" s="446" t="s">
        <v>806</v>
      </c>
      <c r="N59" s="446" t="s">
        <v>427</v>
      </c>
      <c r="O59" s="472"/>
      <c r="P59" s="440"/>
      <c r="Q59" s="472"/>
      <c r="X59" s="437"/>
      <c r="Y59" s="445"/>
      <c r="Z59" s="445"/>
    </row>
    <row r="60" spans="1:26" ht="22.5" customHeight="1" x14ac:dyDescent="0.25">
      <c r="A60" s="441"/>
      <c r="B60" s="441">
        <v>5730</v>
      </c>
      <c r="C60" s="439" t="s">
        <v>166</v>
      </c>
      <c r="D60" s="468">
        <f>U54</f>
        <v>3204448.2364999969</v>
      </c>
      <c r="E60" s="468">
        <f>V54</f>
        <v>1246353.3333333333</v>
      </c>
      <c r="F60" s="441"/>
      <c r="G60" s="441">
        <v>3094</v>
      </c>
      <c r="H60" s="441">
        <v>573000111</v>
      </c>
      <c r="I60" s="441"/>
      <c r="J60" s="441">
        <v>11</v>
      </c>
      <c r="K60" s="442"/>
      <c r="L60" s="440">
        <f>(D60+E60-K60)/12*2</f>
        <v>741800.26163888827</v>
      </c>
      <c r="M60" s="441" t="s">
        <v>805</v>
      </c>
      <c r="N60" s="441" t="s">
        <v>427</v>
      </c>
      <c r="O60" s="444"/>
      <c r="P60" s="440"/>
      <c r="Q60" s="444"/>
      <c r="X60" s="437"/>
      <c r="Y60" s="445"/>
      <c r="Z60" s="445"/>
    </row>
    <row r="61" spans="1:26" ht="22.5" customHeight="1" x14ac:dyDescent="0.25">
      <c r="A61" s="441"/>
      <c r="B61" s="441"/>
      <c r="C61" s="439"/>
      <c r="F61" s="441"/>
      <c r="G61" s="441">
        <v>3094</v>
      </c>
      <c r="H61" s="441">
        <v>600011100</v>
      </c>
      <c r="I61" s="441"/>
      <c r="J61" s="441">
        <v>11</v>
      </c>
      <c r="K61" s="442"/>
      <c r="L61" s="468">
        <f>L60</f>
        <v>741800.26163888827</v>
      </c>
      <c r="M61" s="441" t="s">
        <v>806</v>
      </c>
      <c r="N61" s="441" t="s">
        <v>427</v>
      </c>
      <c r="O61" s="444"/>
      <c r="P61" s="440"/>
      <c r="Q61" s="444"/>
      <c r="X61" s="437"/>
      <c r="Z61" s="445"/>
    </row>
    <row r="62" spans="1:26" ht="22.5" customHeight="1" x14ac:dyDescent="0.25">
      <c r="B62" s="441">
        <v>5740</v>
      </c>
      <c r="C62" s="439" t="s">
        <v>461</v>
      </c>
      <c r="D62" s="468">
        <f>U55</f>
        <v>11644001.083882499</v>
      </c>
      <c r="E62" s="468">
        <f>V55</f>
        <v>3820273.8333333335</v>
      </c>
      <c r="F62" s="441"/>
      <c r="G62" s="441">
        <v>3094</v>
      </c>
      <c r="H62" s="446">
        <v>574002011</v>
      </c>
      <c r="I62" s="441"/>
      <c r="J62" s="441">
        <v>11</v>
      </c>
      <c r="K62" s="442"/>
      <c r="L62" s="440">
        <f>(D62+E62-K62)/12*2</f>
        <v>2577379.1528693056</v>
      </c>
      <c r="M62" s="441" t="s">
        <v>805</v>
      </c>
      <c r="N62" s="441" t="s">
        <v>427</v>
      </c>
      <c r="O62" s="472"/>
      <c r="P62" s="440"/>
      <c r="Q62" s="472"/>
      <c r="X62" s="437"/>
      <c r="Z62" s="445"/>
    </row>
    <row r="63" spans="1:26" ht="22.5" customHeight="1" x14ac:dyDescent="0.25">
      <c r="B63" s="441"/>
      <c r="C63" s="438"/>
      <c r="D63" s="441"/>
      <c r="E63" s="441"/>
      <c r="F63" s="441"/>
      <c r="G63" s="441">
        <v>3094</v>
      </c>
      <c r="H63" s="441">
        <v>600011100</v>
      </c>
      <c r="I63" s="441"/>
      <c r="J63" s="441">
        <v>11</v>
      </c>
      <c r="K63" s="442"/>
      <c r="L63" s="468">
        <f>L62</f>
        <v>2577379.1528693056</v>
      </c>
      <c r="M63" s="441" t="s">
        <v>806</v>
      </c>
      <c r="N63" s="441" t="s">
        <v>427</v>
      </c>
      <c r="O63" s="444"/>
      <c r="P63" s="440"/>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107454746.4999375</v>
      </c>
      <c r="E66" s="442">
        <f>SUM(E6:E36,E42:E62)</f>
        <v>25485458.999999996</v>
      </c>
      <c r="L66" s="442"/>
      <c r="X66" s="437"/>
      <c r="Z66" s="445"/>
    </row>
    <row r="67" spans="3:26" x14ac:dyDescent="0.25">
      <c r="E67" s="442">
        <f>SUM(D66:E66)</f>
        <v>132940205.4999375</v>
      </c>
      <c r="I67" s="474" t="s">
        <v>469</v>
      </c>
      <c r="J67" s="475"/>
      <c r="K67" s="475"/>
      <c r="L67" s="475"/>
      <c r="M67" s="475"/>
      <c r="N67" s="476"/>
      <c r="Z67" s="445"/>
    </row>
    <row r="68" spans="3:26" x14ac:dyDescent="0.25">
      <c r="I68" s="477"/>
      <c r="J68" s="473"/>
      <c r="K68" s="473"/>
      <c r="L68" s="473"/>
      <c r="M68" s="473"/>
      <c r="N68" s="478"/>
    </row>
    <row r="69" spans="3:26" x14ac:dyDescent="0.25">
      <c r="I69" s="479" t="s">
        <v>562</v>
      </c>
      <c r="J69" s="480"/>
      <c r="K69" s="480"/>
      <c r="L69" s="480"/>
      <c r="M69" s="480"/>
      <c r="N69" s="427"/>
    </row>
    <row r="70" spans="3:26" x14ac:dyDescent="0.25">
      <c r="C70" s="443"/>
      <c r="D70" s="444"/>
      <c r="E70" s="444"/>
    </row>
    <row r="71" spans="3:26" x14ac:dyDescent="0.25">
      <c r="I71" s="481" t="s">
        <v>422</v>
      </c>
      <c r="J71" s="475"/>
      <c r="K71" s="475"/>
      <c r="L71" s="475"/>
      <c r="M71" s="475"/>
      <c r="N71" s="476"/>
    </row>
    <row r="72" spans="3:26" x14ac:dyDescent="0.25">
      <c r="I72" s="477"/>
      <c r="J72" s="473"/>
      <c r="K72" s="473"/>
      <c r="L72" s="473"/>
      <c r="M72" s="473"/>
      <c r="N72" s="478"/>
    </row>
    <row r="73" spans="3:26" x14ac:dyDescent="0.25">
      <c r="I73" s="479" t="s">
        <v>1695</v>
      </c>
      <c r="J73" s="480"/>
      <c r="K73" s="480"/>
      <c r="L73" s="480"/>
      <c r="M73" s="480"/>
      <c r="N73" s="427"/>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zoomScaleNormal="100" workbookViewId="0"/>
  </sheetViews>
  <sheetFormatPr defaultRowHeight="15" x14ac:dyDescent="0.25"/>
  <cols>
    <col min="2" max="2" width="38.42578125" customWidth="1"/>
    <col min="3" max="6" width="16.42578125" customWidth="1"/>
    <col min="7" max="7" width="18.5703125" customWidth="1"/>
    <col min="8" max="12" width="16.42578125" customWidth="1"/>
    <col min="13" max="13" width="16.85546875" customWidth="1"/>
    <col min="14" max="14" width="17.28515625" customWidth="1"/>
    <col min="15" max="16" width="11.7109375" customWidth="1"/>
  </cols>
  <sheetData>
    <row r="1" spans="1:15" ht="45" x14ac:dyDescent="0.25">
      <c r="A1" s="488" t="s">
        <v>804</v>
      </c>
      <c r="B1" s="488" t="s">
        <v>35</v>
      </c>
      <c r="C1" s="399" t="s">
        <v>2411</v>
      </c>
      <c r="D1" s="399" t="s">
        <v>2412</v>
      </c>
      <c r="E1" s="399" t="s">
        <v>2193</v>
      </c>
      <c r="F1" s="399" t="s">
        <v>2194</v>
      </c>
      <c r="G1" s="399" t="s">
        <v>2195</v>
      </c>
      <c r="H1" s="399" t="s">
        <v>2487</v>
      </c>
      <c r="I1" s="399" t="s">
        <v>2488</v>
      </c>
      <c r="J1" s="399" t="s">
        <v>2489</v>
      </c>
      <c r="K1" s="399" t="s">
        <v>2490</v>
      </c>
      <c r="L1" s="399" t="s">
        <v>2491</v>
      </c>
      <c r="M1" s="488"/>
    </row>
    <row r="2" spans="1:15" x14ac:dyDescent="0.25">
      <c r="L2" s="546"/>
      <c r="M2" s="546"/>
      <c r="N2" s="37"/>
    </row>
    <row r="3" spans="1:15" x14ac:dyDescent="0.25">
      <c r="A3">
        <v>1620</v>
      </c>
      <c r="B3" t="s">
        <v>176</v>
      </c>
      <c r="C3" s="26">
        <v>13786192.810127489</v>
      </c>
      <c r="D3" s="26">
        <v>2143175.5</v>
      </c>
      <c r="E3" s="15">
        <f>C3/12*5</f>
        <v>5744247.0042197872</v>
      </c>
      <c r="F3" s="15">
        <f>D3/12*5</f>
        <v>892989.79166666674</v>
      </c>
      <c r="G3" s="15">
        <f>SUM(E3:F3)</f>
        <v>6637236.7958864542</v>
      </c>
      <c r="H3" s="15">
        <v>13657717.329577491</v>
      </c>
      <c r="I3" s="15">
        <v>2117374.6666666665</v>
      </c>
      <c r="J3" s="15">
        <f>((H3-E3)/7*3)+E3</f>
        <v>9135734.2865159456</v>
      </c>
      <c r="K3" s="15">
        <f>((I3-F3)/7*3)+F3</f>
        <v>1417726.1666666665</v>
      </c>
      <c r="L3" s="548">
        <f>SUM(J3:K3)</f>
        <v>10553460.453182612</v>
      </c>
      <c r="M3" s="15"/>
      <c r="N3" s="15"/>
      <c r="O3" s="15"/>
    </row>
    <row r="4" spans="1:15" x14ac:dyDescent="0.25">
      <c r="A4">
        <v>1630</v>
      </c>
      <c r="B4" t="s">
        <v>172</v>
      </c>
      <c r="C4" s="26">
        <v>9030896.04664791</v>
      </c>
      <c r="D4" s="26">
        <v>1134930</v>
      </c>
      <c r="E4" s="15">
        <f t="shared" ref="E4:F19" si="0">C4/12*5</f>
        <v>3762873.3527699625</v>
      </c>
      <c r="F4" s="15">
        <f t="shared" si="0"/>
        <v>472887.5</v>
      </c>
      <c r="G4" s="15">
        <f t="shared" ref="G4:G26" si="1">SUM(E4:F4)</f>
        <v>4235760.8527699625</v>
      </c>
      <c r="H4" s="15">
        <v>9056473.478493873</v>
      </c>
      <c r="I4" s="15">
        <v>1133811.3</v>
      </c>
      <c r="J4" s="15">
        <f t="shared" ref="J4:K28" si="2">((H4-E4)/7*3)+E4</f>
        <v>6031559.120937353</v>
      </c>
      <c r="K4" s="15">
        <f t="shared" si="2"/>
        <v>756140.55714285723</v>
      </c>
      <c r="L4" s="548">
        <f t="shared" ref="L4:L28" si="3">SUM(J4:K4)</f>
        <v>6787699.6780802105</v>
      </c>
      <c r="M4" s="15"/>
      <c r="N4" s="15"/>
      <c r="O4" s="15"/>
    </row>
    <row r="5" spans="1:15" x14ac:dyDescent="0.25">
      <c r="A5">
        <v>1640</v>
      </c>
      <c r="B5" t="s">
        <v>173</v>
      </c>
      <c r="C5" s="26">
        <v>2445584.6588937496</v>
      </c>
      <c r="D5" s="26">
        <v>345320</v>
      </c>
      <c r="E5" s="15">
        <f t="shared" si="0"/>
        <v>1018993.6078723957</v>
      </c>
      <c r="F5" s="15">
        <f t="shared" si="0"/>
        <v>143883.33333333334</v>
      </c>
      <c r="G5" s="15">
        <f t="shared" si="1"/>
        <v>1162876.941205729</v>
      </c>
      <c r="H5" s="15">
        <v>2414251.1135373749</v>
      </c>
      <c r="I5" s="15">
        <v>341335.7</v>
      </c>
      <c r="J5" s="15">
        <f t="shared" si="2"/>
        <v>1616961.1103002438</v>
      </c>
      <c r="K5" s="15">
        <f t="shared" si="2"/>
        <v>228505.7761904762</v>
      </c>
      <c r="L5" s="548">
        <f t="shared" si="3"/>
        <v>1845466.8864907201</v>
      </c>
      <c r="M5" s="15"/>
      <c r="N5" s="15"/>
      <c r="O5" s="15"/>
    </row>
    <row r="6" spans="1:15" x14ac:dyDescent="0.25">
      <c r="A6">
        <v>1650</v>
      </c>
      <c r="B6" s="31" t="s">
        <v>11</v>
      </c>
      <c r="C6" s="552">
        <v>15048774.549727492</v>
      </c>
      <c r="D6" s="552">
        <v>6937795.5</v>
      </c>
      <c r="E6" s="40">
        <f t="shared" si="0"/>
        <v>6270322.7290531211</v>
      </c>
      <c r="F6" s="40">
        <f t="shared" si="0"/>
        <v>2890748.125</v>
      </c>
      <c r="G6" s="40">
        <f t="shared" si="1"/>
        <v>9161070.8540531211</v>
      </c>
      <c r="H6" s="15">
        <v>14326319.758102501</v>
      </c>
      <c r="I6" s="15">
        <v>6583573</v>
      </c>
      <c r="J6" s="15">
        <f t="shared" si="2"/>
        <v>9722892.8843599986</v>
      </c>
      <c r="K6" s="15">
        <f t="shared" si="2"/>
        <v>4473387.3571428573</v>
      </c>
      <c r="L6" s="548">
        <f t="shared" si="3"/>
        <v>14196280.241502855</v>
      </c>
      <c r="M6" s="15"/>
      <c r="N6" s="15"/>
      <c r="O6" s="15"/>
    </row>
    <row r="7" spans="1:15" x14ac:dyDescent="0.25">
      <c r="A7">
        <v>2180</v>
      </c>
      <c r="B7" t="s">
        <v>192</v>
      </c>
      <c r="C7" s="26">
        <v>18592430.129660416</v>
      </c>
      <c r="D7" s="400">
        <v>3605812.5</v>
      </c>
      <c r="E7" s="359">
        <f t="shared" si="0"/>
        <v>7746845.8873585062</v>
      </c>
      <c r="F7" s="401">
        <f t="shared" si="0"/>
        <v>1502421.875</v>
      </c>
      <c r="G7" s="15">
        <f t="shared" si="1"/>
        <v>9249267.7623585053</v>
      </c>
      <c r="H7" s="15">
        <v>18137463.752738506</v>
      </c>
      <c r="I7" s="401">
        <v>3467089.5454545459</v>
      </c>
      <c r="J7" s="359">
        <f t="shared" si="2"/>
        <v>12199967.829664219</v>
      </c>
      <c r="K7" s="401">
        <f t="shared" si="2"/>
        <v>2344422.3051948054</v>
      </c>
      <c r="L7" s="548">
        <f t="shared" si="3"/>
        <v>14544390.134859025</v>
      </c>
      <c r="M7" s="401"/>
      <c r="N7" s="15"/>
      <c r="O7" s="15"/>
    </row>
    <row r="8" spans="1:15" x14ac:dyDescent="0.25">
      <c r="A8">
        <v>2193</v>
      </c>
      <c r="B8" t="s">
        <v>441</v>
      </c>
      <c r="C8" s="26">
        <v>21434049.110404171</v>
      </c>
      <c r="D8" s="400">
        <v>3019245.8333333335</v>
      </c>
      <c r="E8" s="359">
        <f t="shared" si="0"/>
        <v>8930853.7960017379</v>
      </c>
      <c r="F8" s="401">
        <f t="shared" si="0"/>
        <v>1258019.0972222222</v>
      </c>
      <c r="G8" s="15">
        <f t="shared" si="1"/>
        <v>10188872.89322396</v>
      </c>
      <c r="H8" s="15">
        <v>21476314.465891831</v>
      </c>
      <c r="I8" s="401">
        <v>3010090.812121212</v>
      </c>
      <c r="J8" s="359">
        <f t="shared" si="2"/>
        <v>14307479.797383206</v>
      </c>
      <c r="K8" s="401">
        <f t="shared" si="2"/>
        <v>2008906.9750360749</v>
      </c>
      <c r="L8" s="548">
        <f t="shared" si="3"/>
        <v>16316386.772419281</v>
      </c>
      <c r="M8" s="401"/>
      <c r="N8" s="15"/>
      <c r="O8" s="15"/>
    </row>
    <row r="9" spans="1:15" x14ac:dyDescent="0.25">
      <c r="A9">
        <v>2200</v>
      </c>
      <c r="B9" t="s">
        <v>571</v>
      </c>
      <c r="C9" s="26">
        <v>2140980.9897062504</v>
      </c>
      <c r="D9" s="400">
        <v>278060</v>
      </c>
      <c r="E9" s="359">
        <f t="shared" si="0"/>
        <v>892075.4123776044</v>
      </c>
      <c r="F9" s="401">
        <f t="shared" si="0"/>
        <v>115858.33333333334</v>
      </c>
      <c r="G9" s="15">
        <f t="shared" si="1"/>
        <v>1007933.7457109378</v>
      </c>
      <c r="H9" s="15">
        <v>2132704.1800733749</v>
      </c>
      <c r="I9" s="401">
        <v>277089.09999999998</v>
      </c>
      <c r="J9" s="359">
        <f t="shared" si="2"/>
        <v>1423773.4556757919</v>
      </c>
      <c r="K9" s="401">
        <f t="shared" si="2"/>
        <v>184957.23333333334</v>
      </c>
      <c r="L9" s="548">
        <f t="shared" si="3"/>
        <v>1608730.6890091253</v>
      </c>
      <c r="M9" s="401"/>
      <c r="N9" s="15"/>
      <c r="O9" s="15"/>
    </row>
    <row r="10" spans="1:15" x14ac:dyDescent="0.25">
      <c r="A10">
        <v>2220</v>
      </c>
      <c r="B10" t="s">
        <v>195</v>
      </c>
      <c r="C10" s="26">
        <v>165501.405</v>
      </c>
      <c r="D10" s="400">
        <v>30000</v>
      </c>
      <c r="E10" s="359">
        <f t="shared" si="0"/>
        <v>68958.918749999997</v>
      </c>
      <c r="F10" s="401">
        <f t="shared" si="0"/>
        <v>12500</v>
      </c>
      <c r="G10" s="15">
        <f t="shared" si="1"/>
        <v>81458.918749999997</v>
      </c>
      <c r="H10" s="15">
        <v>152261.29260000002</v>
      </c>
      <c r="I10" s="401">
        <v>27600.000000000004</v>
      </c>
      <c r="J10" s="359">
        <f t="shared" si="2"/>
        <v>104659.93611428572</v>
      </c>
      <c r="K10" s="401">
        <f t="shared" si="2"/>
        <v>18971.428571428572</v>
      </c>
      <c r="L10" s="548">
        <f t="shared" si="3"/>
        <v>123631.3646857143</v>
      </c>
      <c r="M10" s="401"/>
      <c r="N10" s="15"/>
      <c r="O10" s="15"/>
    </row>
    <row r="11" spans="1:15" x14ac:dyDescent="0.25">
      <c r="A11">
        <v>2271</v>
      </c>
      <c r="B11" t="s">
        <v>196</v>
      </c>
      <c r="C11" s="26">
        <v>619724.45998500008</v>
      </c>
      <c r="D11" s="400">
        <v>106860</v>
      </c>
      <c r="E11" s="359">
        <f t="shared" si="0"/>
        <v>258218.52499375003</v>
      </c>
      <c r="F11" s="401">
        <f t="shared" si="0"/>
        <v>44525</v>
      </c>
      <c r="G11" s="15">
        <f t="shared" si="1"/>
        <v>302743.52499375003</v>
      </c>
      <c r="H11" s="15">
        <v>602882.46754500002</v>
      </c>
      <c r="I11" s="401">
        <v>103920</v>
      </c>
      <c r="J11" s="359">
        <f t="shared" si="2"/>
        <v>405931.64323000005</v>
      </c>
      <c r="K11" s="401">
        <f t="shared" si="2"/>
        <v>69980</v>
      </c>
      <c r="L11" s="548">
        <f t="shared" si="3"/>
        <v>475911.64323000005</v>
      </c>
      <c r="M11" s="401"/>
      <c r="N11" s="15"/>
      <c r="O11" s="15"/>
    </row>
    <row r="12" spans="1:15" x14ac:dyDescent="0.25">
      <c r="A12">
        <v>2272</v>
      </c>
      <c r="B12" t="s">
        <v>200</v>
      </c>
      <c r="C12" s="26">
        <v>542438.35301249987</v>
      </c>
      <c r="D12" s="400">
        <v>63630</v>
      </c>
      <c r="E12" s="359">
        <f t="shared" si="0"/>
        <v>226015.98042187496</v>
      </c>
      <c r="F12" s="401">
        <f t="shared" si="0"/>
        <v>26512.5</v>
      </c>
      <c r="G12" s="15">
        <f t="shared" si="1"/>
        <v>252528.48042187496</v>
      </c>
      <c r="H12" s="15">
        <v>541798.98673125007</v>
      </c>
      <c r="I12" s="401">
        <v>63555.000000000007</v>
      </c>
      <c r="J12" s="359">
        <f t="shared" si="2"/>
        <v>361351.5545544643</v>
      </c>
      <c r="K12" s="401">
        <f t="shared" si="2"/>
        <v>42387.857142857145</v>
      </c>
      <c r="L12" s="548">
        <f t="shared" si="3"/>
        <v>403739.41169732145</v>
      </c>
      <c r="M12" s="401"/>
      <c r="N12" s="15"/>
      <c r="O12" s="15"/>
    </row>
    <row r="13" spans="1:15" x14ac:dyDescent="0.25">
      <c r="A13">
        <v>2300</v>
      </c>
      <c r="B13" t="s">
        <v>899</v>
      </c>
      <c r="C13" s="26">
        <v>670652.60461249994</v>
      </c>
      <c r="D13" s="400">
        <v>78670</v>
      </c>
      <c r="E13" s="359">
        <f t="shared" si="0"/>
        <v>279438.58525520831</v>
      </c>
      <c r="F13" s="401">
        <f t="shared" si="0"/>
        <v>32779.166666666664</v>
      </c>
      <c r="G13" s="15">
        <f t="shared" si="1"/>
        <v>312217.75192187499</v>
      </c>
      <c r="H13" s="15">
        <v>689066.50851038634</v>
      </c>
      <c r="I13" s="401">
        <v>80830.018181818188</v>
      </c>
      <c r="J13" s="359">
        <f t="shared" si="2"/>
        <v>454993.40950742748</v>
      </c>
      <c r="K13" s="401">
        <f t="shared" si="2"/>
        <v>53372.388744588745</v>
      </c>
      <c r="L13" s="548">
        <f t="shared" si="3"/>
        <v>508365.79825201625</v>
      </c>
      <c r="M13" s="401"/>
      <c r="N13" s="15"/>
      <c r="O13" s="15"/>
    </row>
    <row r="14" spans="1:15" x14ac:dyDescent="0.25">
      <c r="A14">
        <v>2340</v>
      </c>
      <c r="B14" t="s">
        <v>198</v>
      </c>
      <c r="C14" s="26">
        <v>2493138.5411624992</v>
      </c>
      <c r="D14" s="400">
        <v>384975</v>
      </c>
      <c r="E14" s="359">
        <f t="shared" si="0"/>
        <v>1038807.7254843747</v>
      </c>
      <c r="F14" s="401">
        <f t="shared" si="0"/>
        <v>160406.25</v>
      </c>
      <c r="G14" s="15">
        <f t="shared" si="1"/>
        <v>1199213.9754843747</v>
      </c>
      <c r="H14" s="15">
        <v>2259875.4594988991</v>
      </c>
      <c r="I14" s="401">
        <v>344351.4</v>
      </c>
      <c r="J14" s="359">
        <f t="shared" si="2"/>
        <v>1562122.4686334566</v>
      </c>
      <c r="K14" s="401">
        <f t="shared" si="2"/>
        <v>239239.88571428572</v>
      </c>
      <c r="L14" s="548">
        <f t="shared" si="3"/>
        <v>1801362.3543477424</v>
      </c>
      <c r="M14" s="401"/>
      <c r="N14" s="15"/>
      <c r="O14" s="15"/>
    </row>
    <row r="15" spans="1:15" x14ac:dyDescent="0.25">
      <c r="A15">
        <v>2360</v>
      </c>
      <c r="B15" t="s">
        <v>572</v>
      </c>
      <c r="C15" s="26">
        <v>274401.32949000003</v>
      </c>
      <c r="D15" s="400">
        <v>49740</v>
      </c>
      <c r="E15" s="359">
        <f t="shared" si="0"/>
        <v>114333.88728750002</v>
      </c>
      <c r="F15" s="401">
        <f t="shared" si="0"/>
        <v>20725</v>
      </c>
      <c r="G15" s="15">
        <f t="shared" si="1"/>
        <v>135058.88728750002</v>
      </c>
      <c r="H15" s="15">
        <v>264967.74940500001</v>
      </c>
      <c r="I15" s="401">
        <v>48030</v>
      </c>
      <c r="J15" s="359">
        <f t="shared" si="2"/>
        <v>178891.25676642859</v>
      </c>
      <c r="K15" s="401">
        <f t="shared" si="2"/>
        <v>32427.142857142855</v>
      </c>
      <c r="L15" s="548">
        <f t="shared" si="3"/>
        <v>211318.39962357143</v>
      </c>
      <c r="M15" s="401"/>
      <c r="N15" s="15"/>
      <c r="O15" s="15"/>
    </row>
    <row r="16" spans="1:15" x14ac:dyDescent="0.25">
      <c r="A16">
        <v>2500</v>
      </c>
      <c r="B16" t="s">
        <v>2018</v>
      </c>
      <c r="C16" s="26">
        <v>263412.74099999998</v>
      </c>
      <c r="D16" s="400">
        <v>56252.5</v>
      </c>
      <c r="E16" s="359">
        <f t="shared" si="0"/>
        <v>109755.30874999998</v>
      </c>
      <c r="F16" s="401">
        <f t="shared" si="0"/>
        <v>23438.541666666664</v>
      </c>
      <c r="G16" s="15">
        <f t="shared" si="1"/>
        <v>133193.85041666665</v>
      </c>
      <c r="H16" s="15">
        <v>257031.03975</v>
      </c>
      <c r="I16" s="401">
        <v>55002.5</v>
      </c>
      <c r="J16" s="359">
        <f t="shared" si="2"/>
        <v>172873.47917857143</v>
      </c>
      <c r="K16" s="401">
        <f t="shared" si="2"/>
        <v>36965.952380952382</v>
      </c>
      <c r="L16" s="548">
        <f t="shared" si="3"/>
        <v>209839.4315595238</v>
      </c>
      <c r="M16" s="401"/>
      <c r="N16" s="15"/>
      <c r="O16" s="15"/>
    </row>
    <row r="17" spans="1:15" x14ac:dyDescent="0.25">
      <c r="A17">
        <v>2650</v>
      </c>
      <c r="B17" t="s">
        <v>2147</v>
      </c>
      <c r="C17" s="26">
        <v>2971781.7932500001</v>
      </c>
      <c r="D17" s="400">
        <v>1191342.5</v>
      </c>
      <c r="E17" s="359">
        <f t="shared" si="0"/>
        <v>1238242.4138541666</v>
      </c>
      <c r="F17" s="401">
        <f t="shared" si="0"/>
        <v>496392.70833333337</v>
      </c>
      <c r="G17" s="15">
        <f t="shared" si="1"/>
        <v>1734635.1221874999</v>
      </c>
      <c r="H17" s="15">
        <v>3325896.1941250004</v>
      </c>
      <c r="I17" s="401">
        <v>1349002.5</v>
      </c>
      <c r="J17" s="359">
        <f t="shared" si="2"/>
        <v>2132951.1768273814</v>
      </c>
      <c r="K17" s="401">
        <f t="shared" si="2"/>
        <v>861796.90476190485</v>
      </c>
      <c r="L17" s="548">
        <f t="shared" si="3"/>
        <v>2994748.0815892862</v>
      </c>
      <c r="M17" s="401"/>
      <c r="N17" s="15"/>
      <c r="O17" s="15"/>
    </row>
    <row r="18" spans="1:15" x14ac:dyDescent="0.25">
      <c r="A18">
        <v>2000</v>
      </c>
      <c r="B18" t="s">
        <v>463</v>
      </c>
      <c r="D18" s="571">
        <f>SUM(D7:D17)</f>
        <v>8864588.333333334</v>
      </c>
      <c r="E18" s="15">
        <f>C18/12*5</f>
        <v>0</v>
      </c>
      <c r="F18" s="359">
        <f t="shared" si="0"/>
        <v>3693578.4722222225</v>
      </c>
      <c r="G18" s="15"/>
      <c r="H18" s="15"/>
      <c r="I18" s="570">
        <f>SUM(I7:I17)</f>
        <v>8826560.875757575</v>
      </c>
      <c r="J18" s="15"/>
      <c r="K18" s="359">
        <f>((I18-F18)/7*3)+F18</f>
        <v>5893428.0737373736</v>
      </c>
      <c r="L18" s="548"/>
      <c r="M18" s="401"/>
      <c r="N18" s="15"/>
      <c r="O18" s="15"/>
    </row>
    <row r="19" spans="1:15" x14ac:dyDescent="0.25">
      <c r="A19">
        <v>3306</v>
      </c>
      <c r="B19" t="s">
        <v>242</v>
      </c>
      <c r="C19" s="26">
        <v>841688.42062500003</v>
      </c>
      <c r="D19" s="26">
        <v>415012.5</v>
      </c>
      <c r="E19" s="15">
        <f>C19/12*5</f>
        <v>350703.50859375001</v>
      </c>
      <c r="F19" s="15">
        <f t="shared" si="0"/>
        <v>172921.875</v>
      </c>
      <c r="G19" s="15">
        <f t="shared" si="1"/>
        <v>523625.38359375001</v>
      </c>
      <c r="H19" s="15">
        <v>886021.520625</v>
      </c>
      <c r="I19" s="15">
        <v>437325</v>
      </c>
      <c r="J19" s="15">
        <f t="shared" si="2"/>
        <v>580125.51374999993</v>
      </c>
      <c r="K19" s="15">
        <f t="shared" si="2"/>
        <v>286237.5</v>
      </c>
      <c r="L19" s="548">
        <f t="shared" si="3"/>
        <v>866363.01374999993</v>
      </c>
      <c r="M19" s="548"/>
      <c r="N19" s="15"/>
      <c r="O19" s="15"/>
    </row>
    <row r="20" spans="1:15" x14ac:dyDescent="0.25">
      <c r="A20">
        <v>3850</v>
      </c>
      <c r="B20" t="s">
        <v>809</v>
      </c>
      <c r="C20" s="26">
        <v>204958.16624999998</v>
      </c>
      <c r="D20" s="26">
        <v>101149.99999999999</v>
      </c>
      <c r="E20" s="15">
        <f t="shared" ref="E20:F26" si="4">C20/12*5</f>
        <v>85399.235937499994</v>
      </c>
      <c r="F20" s="15">
        <f t="shared" si="4"/>
        <v>42145.833333333328</v>
      </c>
      <c r="G20" s="15">
        <f t="shared" si="1"/>
        <v>127545.06927083332</v>
      </c>
      <c r="H20" s="15">
        <v>163031.44125</v>
      </c>
      <c r="I20" s="15">
        <v>80325</v>
      </c>
      <c r="J20" s="15">
        <f t="shared" si="2"/>
        <v>118670.18107142857</v>
      </c>
      <c r="K20" s="15">
        <f t="shared" si="2"/>
        <v>58508.333333333328</v>
      </c>
      <c r="L20" s="548">
        <f t="shared" si="3"/>
        <v>177178.5144047619</v>
      </c>
      <c r="M20" s="548"/>
      <c r="N20" s="15"/>
      <c r="O20" s="15"/>
    </row>
    <row r="21" spans="1:15" x14ac:dyDescent="0.25">
      <c r="A21">
        <v>5100</v>
      </c>
      <c r="B21" t="s">
        <v>164</v>
      </c>
      <c r="C21" s="26">
        <v>584978.71249999991</v>
      </c>
      <c r="D21" s="26">
        <v>257075</v>
      </c>
      <c r="E21" s="15">
        <f t="shared" si="4"/>
        <v>243741.13020833331</v>
      </c>
      <c r="F21" s="15">
        <f t="shared" si="4"/>
        <v>107114.58333333334</v>
      </c>
      <c r="G21" s="15">
        <f t="shared" si="1"/>
        <v>350855.71354166663</v>
      </c>
      <c r="H21" s="15">
        <v>559265.36249999993</v>
      </c>
      <c r="I21" s="15">
        <v>245775</v>
      </c>
      <c r="J21" s="15">
        <f t="shared" si="2"/>
        <v>378965.80119047617</v>
      </c>
      <c r="K21" s="15">
        <f t="shared" si="2"/>
        <v>166540.47619047621</v>
      </c>
      <c r="L21" s="548">
        <f t="shared" si="3"/>
        <v>545506.27738095238</v>
      </c>
      <c r="M21" s="548"/>
      <c r="N21" s="15"/>
      <c r="O21" s="15"/>
    </row>
    <row r="22" spans="1:15" x14ac:dyDescent="0.25">
      <c r="A22">
        <v>5160</v>
      </c>
      <c r="B22" t="s">
        <v>305</v>
      </c>
      <c r="C22" s="26">
        <v>102853.4</v>
      </c>
      <c r="D22" s="26">
        <v>45200</v>
      </c>
      <c r="E22" s="15">
        <f t="shared" si="4"/>
        <v>42855.583333333336</v>
      </c>
      <c r="F22" s="15">
        <f t="shared" si="4"/>
        <v>18833.333333333332</v>
      </c>
      <c r="G22" s="15">
        <f t="shared" si="1"/>
        <v>61688.916666666672</v>
      </c>
      <c r="H22" s="15">
        <v>102853.4</v>
      </c>
      <c r="I22" s="15">
        <v>45200</v>
      </c>
      <c r="J22" s="15">
        <f t="shared" si="2"/>
        <v>68568.933333333334</v>
      </c>
      <c r="K22" s="15">
        <f t="shared" si="2"/>
        <v>30133.333333333332</v>
      </c>
      <c r="L22" s="548">
        <f t="shared" si="3"/>
        <v>98702.266666666663</v>
      </c>
      <c r="M22" s="548"/>
      <c r="N22" s="15"/>
      <c r="O22" s="15"/>
    </row>
    <row r="23" spans="1:15" x14ac:dyDescent="0.25">
      <c r="A23">
        <v>5400</v>
      </c>
      <c r="B23" t="s">
        <v>898</v>
      </c>
      <c r="C23" s="26">
        <v>192580.495</v>
      </c>
      <c r="D23" s="26">
        <v>87010</v>
      </c>
      <c r="E23" s="15">
        <f t="shared" si="4"/>
        <v>80241.87291666666</v>
      </c>
      <c r="F23" s="15">
        <f t="shared" si="4"/>
        <v>36254.166666666664</v>
      </c>
      <c r="G23" s="15">
        <f t="shared" si="1"/>
        <v>116496.03958333333</v>
      </c>
      <c r="H23" s="15">
        <v>181009.48749999999</v>
      </c>
      <c r="I23" s="15">
        <v>81925</v>
      </c>
      <c r="J23" s="15">
        <f t="shared" si="2"/>
        <v>123427.99345238094</v>
      </c>
      <c r="K23" s="15">
        <f t="shared" si="2"/>
        <v>55827.380952380947</v>
      </c>
      <c r="L23" s="548">
        <f t="shared" si="3"/>
        <v>179255.37440476188</v>
      </c>
      <c r="M23" s="548"/>
      <c r="N23" s="15"/>
      <c r="O23" s="15"/>
    </row>
    <row r="24" spans="1:15" x14ac:dyDescent="0.25">
      <c r="A24">
        <v>5410</v>
      </c>
      <c r="B24" t="s">
        <v>1077</v>
      </c>
      <c r="C24" s="26">
        <v>0</v>
      </c>
      <c r="D24" s="26">
        <v>0</v>
      </c>
      <c r="E24" s="15">
        <f t="shared" si="4"/>
        <v>0</v>
      </c>
      <c r="F24" s="15">
        <f t="shared" si="4"/>
        <v>0</v>
      </c>
      <c r="G24" s="15">
        <f t="shared" si="1"/>
        <v>0</v>
      </c>
      <c r="H24" s="15">
        <v>0</v>
      </c>
      <c r="I24" s="15">
        <v>0</v>
      </c>
      <c r="J24" s="15">
        <f t="shared" si="2"/>
        <v>0</v>
      </c>
      <c r="K24" s="15">
        <f t="shared" si="2"/>
        <v>0</v>
      </c>
      <c r="L24" s="548">
        <f t="shared" si="3"/>
        <v>0</v>
      </c>
      <c r="M24" s="548"/>
      <c r="N24" s="15"/>
      <c r="O24" s="15"/>
    </row>
    <row r="25" spans="1:15" x14ac:dyDescent="0.25">
      <c r="A25">
        <v>5500</v>
      </c>
      <c r="B25" t="s">
        <v>165</v>
      </c>
      <c r="C25" s="26">
        <v>192850.12499999994</v>
      </c>
      <c r="D25" s="26">
        <v>84750</v>
      </c>
      <c r="E25" s="15">
        <f t="shared" si="4"/>
        <v>80354.218749999971</v>
      </c>
      <c r="F25" s="15">
        <f t="shared" si="4"/>
        <v>35312.5</v>
      </c>
      <c r="G25" s="15">
        <f t="shared" si="1"/>
        <v>115666.71874999997</v>
      </c>
      <c r="H25" s="15">
        <v>167136.77499999997</v>
      </c>
      <c r="I25" s="15">
        <v>73450</v>
      </c>
      <c r="J25" s="15">
        <f t="shared" si="2"/>
        <v>117546.74285714282</v>
      </c>
      <c r="K25" s="15">
        <f t="shared" si="2"/>
        <v>51657.142857142855</v>
      </c>
      <c r="L25" s="548">
        <f t="shared" si="3"/>
        <v>169203.88571428566</v>
      </c>
      <c r="M25" s="548"/>
      <c r="N25" s="15"/>
      <c r="O25" s="15"/>
    </row>
    <row r="26" spans="1:15" x14ac:dyDescent="0.25">
      <c r="A26">
        <v>5700</v>
      </c>
      <c r="B26" t="s">
        <v>313</v>
      </c>
      <c r="C26" s="26">
        <v>6428.3374999999996</v>
      </c>
      <c r="D26" s="26">
        <v>2825</v>
      </c>
      <c r="E26" s="15">
        <f t="shared" si="4"/>
        <v>2678.4739583333335</v>
      </c>
      <c r="F26" s="15">
        <f t="shared" si="4"/>
        <v>1177.0833333333333</v>
      </c>
      <c r="G26" s="15">
        <f t="shared" si="1"/>
        <v>3855.557291666667</v>
      </c>
      <c r="H26" s="15">
        <v>12856.674999999999</v>
      </c>
      <c r="I26" s="15">
        <v>5650</v>
      </c>
      <c r="J26" s="15">
        <f t="shared" si="2"/>
        <v>7040.5601190476191</v>
      </c>
      <c r="K26" s="15">
        <f t="shared" si="2"/>
        <v>3094.0476190476193</v>
      </c>
      <c r="L26" s="548">
        <f t="shared" si="3"/>
        <v>10134.607738095237</v>
      </c>
      <c r="M26" s="548"/>
      <c r="N26" s="15"/>
      <c r="O26" s="15"/>
    </row>
    <row r="27" spans="1:15" x14ac:dyDescent="0.25">
      <c r="A27">
        <v>5730</v>
      </c>
      <c r="B27" t="s">
        <v>166</v>
      </c>
      <c r="C27" s="26">
        <v>3204448.2364999969</v>
      </c>
      <c r="D27" s="26">
        <v>1246353.3333333333</v>
      </c>
      <c r="E27" s="15">
        <f>C27/12*5</f>
        <v>1335186.7652083319</v>
      </c>
      <c r="F27" s="15">
        <f>D27/12*5</f>
        <v>519313.88888888882</v>
      </c>
      <c r="G27" s="15">
        <f>SUM(E27:F27)</f>
        <v>1854500.6540972206</v>
      </c>
      <c r="H27" s="15">
        <v>3304095.2389999968</v>
      </c>
      <c r="I27" s="15">
        <v>1301143.3333333333</v>
      </c>
      <c r="J27" s="15">
        <f t="shared" si="2"/>
        <v>2179004.6825476168</v>
      </c>
      <c r="K27" s="15">
        <f t="shared" si="2"/>
        <v>854383.65079365065</v>
      </c>
      <c r="L27" s="548">
        <f t="shared" si="3"/>
        <v>3033388.3333412674</v>
      </c>
      <c r="M27" s="548"/>
      <c r="N27" s="15"/>
      <c r="O27" s="15"/>
    </row>
    <row r="28" spans="1:15" x14ac:dyDescent="0.25">
      <c r="A28">
        <v>5740</v>
      </c>
      <c r="B28" t="s">
        <v>461</v>
      </c>
      <c r="C28" s="26">
        <v>11644001.083882499</v>
      </c>
      <c r="D28" s="26">
        <v>3820273.8333333335</v>
      </c>
      <c r="E28" s="15">
        <f>C28/12*5</f>
        <v>4851667.1182843745</v>
      </c>
      <c r="F28" s="15">
        <f>D28/12*5</f>
        <v>1591780.763888889</v>
      </c>
      <c r="G28" s="15">
        <f>SUM(E28:F28)</f>
        <v>6443447.8821732635</v>
      </c>
      <c r="H28" s="15">
        <v>11130347.491448689</v>
      </c>
      <c r="I28" s="15">
        <v>3552539.957575758</v>
      </c>
      <c r="J28" s="15">
        <f t="shared" si="2"/>
        <v>7542530.1353547946</v>
      </c>
      <c r="K28" s="15">
        <f t="shared" si="2"/>
        <v>2432106.1326118326</v>
      </c>
      <c r="L28" s="548">
        <f t="shared" si="3"/>
        <v>9974636.2679666281</v>
      </c>
      <c r="M28" s="548"/>
      <c r="N28" s="15"/>
      <c r="O28" s="15"/>
    </row>
    <row r="29" spans="1:15" x14ac:dyDescent="0.25">
      <c r="M29" s="402"/>
      <c r="N29" s="31"/>
    </row>
    <row r="30" spans="1:15" x14ac:dyDescent="0.25">
      <c r="L30" s="26"/>
      <c r="M30" s="400"/>
      <c r="N30" s="31"/>
    </row>
    <row r="31" spans="1:15" x14ac:dyDescent="0.25">
      <c r="L31" s="26"/>
      <c r="M31" s="400"/>
    </row>
    <row r="33" spans="12:13" x14ac:dyDescent="0.25">
      <c r="M33" s="26"/>
    </row>
    <row r="35" spans="12:13" x14ac:dyDescent="0.25">
      <c r="L35" s="26"/>
      <c r="M35" s="26"/>
    </row>
    <row r="37" spans="12:13" x14ac:dyDescent="0.25">
      <c r="L37" s="26"/>
      <c r="M37" s="26"/>
    </row>
    <row r="39" spans="12:13" x14ac:dyDescent="0.25">
      <c r="L39" s="26"/>
      <c r="M39" s="26"/>
    </row>
    <row r="41" spans="12:13" x14ac:dyDescent="0.25">
      <c r="L41" s="26"/>
      <c r="M41" s="26"/>
    </row>
    <row r="43" spans="12:13" x14ac:dyDescent="0.25">
      <c r="L43" s="26"/>
      <c r="M43" s="26"/>
    </row>
    <row r="45" spans="12:13" x14ac:dyDescent="0.25">
      <c r="L45" s="26"/>
      <c r="M45" s="26"/>
    </row>
    <row r="47" spans="12:13" x14ac:dyDescent="0.25">
      <c r="L47" s="26"/>
      <c r="M47" s="26"/>
    </row>
    <row r="49" spans="12:13" x14ac:dyDescent="0.25">
      <c r="L49" s="26"/>
      <c r="M49" s="26"/>
    </row>
    <row r="51" spans="12:13" x14ac:dyDescent="0.25">
      <c r="L51" s="26"/>
      <c r="M51" s="26"/>
    </row>
  </sheetData>
  <sheetProtection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O51"/>
  <sheetViews>
    <sheetView topLeftCell="B1" workbookViewId="0">
      <selection activeCell="G3" sqref="G3"/>
    </sheetView>
  </sheetViews>
  <sheetFormatPr defaultRowHeight="15" x14ac:dyDescent="0.25"/>
  <cols>
    <col min="2" max="2" width="38.42578125" customWidth="1"/>
    <col min="3" max="6" width="16.42578125" customWidth="1"/>
    <col min="7" max="7" width="18.5703125" customWidth="1"/>
    <col min="8" max="9" width="20.42578125" customWidth="1"/>
    <col min="11" max="11" width="34.5703125" customWidth="1"/>
    <col min="12" max="12" width="17" customWidth="1"/>
    <col min="13" max="13" width="16.85546875" customWidth="1"/>
    <col min="14" max="14" width="17.28515625" customWidth="1"/>
    <col min="15" max="16" width="11.7109375" customWidth="1"/>
  </cols>
  <sheetData>
    <row r="1" spans="1:15" ht="45" x14ac:dyDescent="0.25">
      <c r="A1" s="398" t="s">
        <v>804</v>
      </c>
      <c r="B1" s="398" t="s">
        <v>35</v>
      </c>
      <c r="C1" s="399" t="s">
        <v>2411</v>
      </c>
      <c r="D1" s="399" t="s">
        <v>2412</v>
      </c>
      <c r="E1" s="399" t="s">
        <v>2193</v>
      </c>
      <c r="F1" s="399" t="s">
        <v>2194</v>
      </c>
      <c r="G1" s="399" t="s">
        <v>2195</v>
      </c>
      <c r="L1" s="398"/>
      <c r="M1" s="398"/>
    </row>
    <row r="2" spans="1:15" x14ac:dyDescent="0.25">
      <c r="L2" s="546"/>
      <c r="M2" s="546"/>
      <c r="N2" s="37"/>
    </row>
    <row r="3" spans="1:15" x14ac:dyDescent="0.25">
      <c r="A3">
        <v>1620</v>
      </c>
      <c r="B3" t="s">
        <v>176</v>
      </c>
      <c r="C3" s="26">
        <v>13786192.810127489</v>
      </c>
      <c r="D3" s="26">
        <v>2143175.5</v>
      </c>
      <c r="E3" s="15">
        <f>C3/12*5</f>
        <v>5744247.0042197872</v>
      </c>
      <c r="F3" s="15">
        <f>D3/12*5</f>
        <v>892989.79166666674</v>
      </c>
      <c r="G3" s="15">
        <f>SUM(E3:F3)</f>
        <v>6637236.7958864542</v>
      </c>
      <c r="L3" s="15"/>
      <c r="M3" s="15"/>
      <c r="N3" s="15"/>
      <c r="O3" s="15"/>
    </row>
    <row r="4" spans="1:15" x14ac:dyDescent="0.25">
      <c r="A4">
        <v>1630</v>
      </c>
      <c r="B4" t="s">
        <v>172</v>
      </c>
      <c r="C4" s="26">
        <v>9030896.04664791</v>
      </c>
      <c r="D4" s="26">
        <v>1134930</v>
      </c>
      <c r="E4" s="15">
        <f t="shared" ref="E4:F19" si="0">C4/12*5</f>
        <v>3762873.3527699625</v>
      </c>
      <c r="F4" s="15">
        <f t="shared" si="0"/>
        <v>472887.5</v>
      </c>
      <c r="G4" s="15">
        <f t="shared" ref="G4:G26" si="1">SUM(E4:F4)</f>
        <v>4235760.8527699625</v>
      </c>
      <c r="L4" s="15"/>
      <c r="M4" s="15"/>
      <c r="N4" s="15"/>
      <c r="O4" s="15"/>
    </row>
    <row r="5" spans="1:15" x14ac:dyDescent="0.25">
      <c r="A5">
        <v>1640</v>
      </c>
      <c r="B5" t="s">
        <v>173</v>
      </c>
      <c r="C5" s="26">
        <v>2445584.6588937496</v>
      </c>
      <c r="D5" s="26">
        <v>345320</v>
      </c>
      <c r="E5" s="15">
        <f t="shared" si="0"/>
        <v>1018993.6078723957</v>
      </c>
      <c r="F5" s="15">
        <f t="shared" si="0"/>
        <v>143883.33333333334</v>
      </c>
      <c r="G5" s="15">
        <f t="shared" si="1"/>
        <v>1162876.941205729</v>
      </c>
      <c r="L5" s="15"/>
      <c r="M5" s="15"/>
      <c r="N5" s="15"/>
      <c r="O5" s="15"/>
    </row>
    <row r="6" spans="1:15" x14ac:dyDescent="0.25">
      <c r="A6">
        <v>1650</v>
      </c>
      <c r="B6" s="31" t="s">
        <v>11</v>
      </c>
      <c r="C6" s="552">
        <v>15048774.549727492</v>
      </c>
      <c r="D6" s="552">
        <v>6937795.5</v>
      </c>
      <c r="E6" s="40">
        <f t="shared" si="0"/>
        <v>6270322.7290531211</v>
      </c>
      <c r="F6" s="40">
        <f t="shared" si="0"/>
        <v>2890748.125</v>
      </c>
      <c r="G6" s="40">
        <f t="shared" si="1"/>
        <v>9161070.8540531211</v>
      </c>
      <c r="L6" s="15"/>
      <c r="M6" s="15"/>
      <c r="N6" s="15"/>
      <c r="O6" s="15"/>
    </row>
    <row r="7" spans="1:15" x14ac:dyDescent="0.25">
      <c r="A7">
        <v>2180</v>
      </c>
      <c r="B7" t="s">
        <v>192</v>
      </c>
      <c r="C7" s="26">
        <v>18592430.129660416</v>
      </c>
      <c r="D7" s="400">
        <v>3605812.5</v>
      </c>
      <c r="E7" s="359">
        <f t="shared" si="0"/>
        <v>7746845.8873585062</v>
      </c>
      <c r="F7" s="401">
        <f t="shared" si="0"/>
        <v>1502421.875</v>
      </c>
      <c r="G7" s="15">
        <f t="shared" si="1"/>
        <v>9249267.7623585053</v>
      </c>
      <c r="L7" s="401"/>
      <c r="M7" s="401"/>
      <c r="N7" s="15"/>
      <c r="O7" s="15"/>
    </row>
    <row r="8" spans="1:15" x14ac:dyDescent="0.25">
      <c r="A8">
        <v>2193</v>
      </c>
      <c r="B8" t="s">
        <v>441</v>
      </c>
      <c r="C8" s="26">
        <v>21434049.110404171</v>
      </c>
      <c r="D8" s="400">
        <v>3019245.8333333335</v>
      </c>
      <c r="E8" s="359">
        <f t="shared" si="0"/>
        <v>8930853.7960017379</v>
      </c>
      <c r="F8" s="401">
        <f t="shared" si="0"/>
        <v>1258019.0972222222</v>
      </c>
      <c r="G8" s="15">
        <f t="shared" si="1"/>
        <v>10188872.89322396</v>
      </c>
      <c r="L8" s="401"/>
      <c r="M8" s="401"/>
      <c r="N8" s="15"/>
      <c r="O8" s="15"/>
    </row>
    <row r="9" spans="1:15" x14ac:dyDescent="0.25">
      <c r="A9">
        <v>2200</v>
      </c>
      <c r="B9" t="s">
        <v>571</v>
      </c>
      <c r="C9" s="26">
        <v>2140980.9897062504</v>
      </c>
      <c r="D9" s="400">
        <v>278060</v>
      </c>
      <c r="E9" s="359">
        <f t="shared" si="0"/>
        <v>892075.4123776044</v>
      </c>
      <c r="F9" s="401">
        <f t="shared" si="0"/>
        <v>115858.33333333334</v>
      </c>
      <c r="G9" s="15">
        <f t="shared" si="1"/>
        <v>1007933.7457109378</v>
      </c>
      <c r="L9" s="401"/>
      <c r="M9" s="401"/>
      <c r="N9" s="15"/>
      <c r="O9" s="15"/>
    </row>
    <row r="10" spans="1:15" x14ac:dyDescent="0.25">
      <c r="A10">
        <v>2220</v>
      </c>
      <c r="B10" t="s">
        <v>195</v>
      </c>
      <c r="C10" s="26">
        <v>165501.405</v>
      </c>
      <c r="D10" s="400">
        <v>30000</v>
      </c>
      <c r="E10" s="359">
        <f t="shared" si="0"/>
        <v>68958.918749999997</v>
      </c>
      <c r="F10" s="401">
        <f t="shared" si="0"/>
        <v>12500</v>
      </c>
      <c r="G10" s="15">
        <f t="shared" si="1"/>
        <v>81458.918749999997</v>
      </c>
      <c r="L10" s="401"/>
      <c r="M10" s="401"/>
      <c r="N10" s="15"/>
      <c r="O10" s="15"/>
    </row>
    <row r="11" spans="1:15" x14ac:dyDescent="0.25">
      <c r="A11">
        <v>2271</v>
      </c>
      <c r="B11" t="s">
        <v>196</v>
      </c>
      <c r="C11" s="26">
        <v>619724.45998500008</v>
      </c>
      <c r="D11" s="400">
        <v>106860</v>
      </c>
      <c r="E11" s="359">
        <f t="shared" si="0"/>
        <v>258218.52499375003</v>
      </c>
      <c r="F11" s="401">
        <f t="shared" si="0"/>
        <v>44525</v>
      </c>
      <c r="G11" s="15">
        <f t="shared" si="1"/>
        <v>302743.52499375003</v>
      </c>
      <c r="L11" s="401"/>
      <c r="M11" s="401"/>
      <c r="N11" s="15"/>
      <c r="O11" s="15"/>
    </row>
    <row r="12" spans="1:15" x14ac:dyDescent="0.25">
      <c r="A12">
        <v>2272</v>
      </c>
      <c r="B12" t="s">
        <v>200</v>
      </c>
      <c r="C12" s="26">
        <v>542438.35301249987</v>
      </c>
      <c r="D12" s="400">
        <v>63630</v>
      </c>
      <c r="E12" s="359">
        <f t="shared" si="0"/>
        <v>226015.98042187496</v>
      </c>
      <c r="F12" s="401">
        <f t="shared" si="0"/>
        <v>26512.5</v>
      </c>
      <c r="G12" s="15">
        <f t="shared" si="1"/>
        <v>252528.48042187496</v>
      </c>
      <c r="L12" s="401"/>
      <c r="M12" s="401"/>
      <c r="N12" s="15"/>
      <c r="O12" s="15"/>
    </row>
    <row r="13" spans="1:15" x14ac:dyDescent="0.25">
      <c r="A13">
        <v>2300</v>
      </c>
      <c r="B13" t="s">
        <v>899</v>
      </c>
      <c r="C13" s="26">
        <v>670652.60461249994</v>
      </c>
      <c r="D13" s="400">
        <v>78670</v>
      </c>
      <c r="E13" s="359">
        <f t="shared" si="0"/>
        <v>279438.58525520831</v>
      </c>
      <c r="F13" s="401">
        <f t="shared" si="0"/>
        <v>32779.166666666664</v>
      </c>
      <c r="G13" s="15">
        <f t="shared" si="1"/>
        <v>312217.75192187499</v>
      </c>
      <c r="L13" s="401"/>
      <c r="M13" s="401"/>
      <c r="N13" s="15"/>
      <c r="O13" s="15"/>
    </row>
    <row r="14" spans="1:15" x14ac:dyDescent="0.25">
      <c r="A14">
        <v>2340</v>
      </c>
      <c r="B14" t="s">
        <v>198</v>
      </c>
      <c r="C14" s="26">
        <v>2493138.5411624992</v>
      </c>
      <c r="D14" s="400">
        <v>384975</v>
      </c>
      <c r="E14" s="359">
        <f t="shared" si="0"/>
        <v>1038807.7254843747</v>
      </c>
      <c r="F14" s="401">
        <f t="shared" si="0"/>
        <v>160406.25</v>
      </c>
      <c r="G14" s="15">
        <f t="shared" si="1"/>
        <v>1199213.9754843747</v>
      </c>
      <c r="L14" s="401"/>
      <c r="M14" s="401"/>
      <c r="N14" s="15"/>
      <c r="O14" s="15"/>
    </row>
    <row r="15" spans="1:15" x14ac:dyDescent="0.25">
      <c r="A15">
        <v>2360</v>
      </c>
      <c r="B15" t="s">
        <v>572</v>
      </c>
      <c r="C15" s="26">
        <v>274401.32949000003</v>
      </c>
      <c r="D15" s="400">
        <v>49740</v>
      </c>
      <c r="E15" s="359">
        <f t="shared" si="0"/>
        <v>114333.88728750002</v>
      </c>
      <c r="F15" s="401">
        <f t="shared" si="0"/>
        <v>20725</v>
      </c>
      <c r="G15" s="15">
        <f t="shared" si="1"/>
        <v>135058.88728750002</v>
      </c>
      <c r="L15" s="401"/>
      <c r="M15" s="401"/>
      <c r="N15" s="15"/>
      <c r="O15" s="15"/>
    </row>
    <row r="16" spans="1:15" x14ac:dyDescent="0.25">
      <c r="A16">
        <v>2500</v>
      </c>
      <c r="B16" t="s">
        <v>2018</v>
      </c>
      <c r="C16" s="26">
        <v>263412.74099999998</v>
      </c>
      <c r="D16" s="400">
        <v>56252.5</v>
      </c>
      <c r="E16" s="359">
        <f t="shared" si="0"/>
        <v>109755.30874999998</v>
      </c>
      <c r="F16" s="401">
        <f t="shared" si="0"/>
        <v>23438.541666666664</v>
      </c>
      <c r="G16" s="15">
        <f t="shared" si="1"/>
        <v>133193.85041666665</v>
      </c>
      <c r="L16" s="401"/>
      <c r="M16" s="401"/>
      <c r="N16" s="15"/>
      <c r="O16" s="15"/>
    </row>
    <row r="17" spans="1:15" x14ac:dyDescent="0.25">
      <c r="A17">
        <v>2650</v>
      </c>
      <c r="B17" t="s">
        <v>2147</v>
      </c>
      <c r="C17" s="26">
        <v>2971781.7932500001</v>
      </c>
      <c r="D17" s="400">
        <v>1191342.5</v>
      </c>
      <c r="E17" s="359">
        <f t="shared" si="0"/>
        <v>1238242.4138541666</v>
      </c>
      <c r="F17" s="401">
        <f t="shared" si="0"/>
        <v>496392.70833333337</v>
      </c>
      <c r="G17" s="15">
        <f t="shared" si="1"/>
        <v>1734635.1221874999</v>
      </c>
      <c r="L17" s="401"/>
      <c r="M17" s="401"/>
      <c r="N17" s="15"/>
      <c r="O17" s="15"/>
    </row>
    <row r="18" spans="1:15" x14ac:dyDescent="0.25">
      <c r="A18">
        <v>2000</v>
      </c>
      <c r="B18" t="s">
        <v>463</v>
      </c>
      <c r="D18" s="403">
        <f>SUM(D7:D17)</f>
        <v>8864588.333333334</v>
      </c>
      <c r="E18" s="15">
        <f>C18/12*5</f>
        <v>0</v>
      </c>
      <c r="F18" s="359">
        <f t="shared" si="0"/>
        <v>3693578.4722222225</v>
      </c>
      <c r="G18" s="15"/>
      <c r="L18" s="401"/>
      <c r="M18" s="401"/>
      <c r="N18" s="15"/>
      <c r="O18" s="15"/>
    </row>
    <row r="19" spans="1:15" x14ac:dyDescent="0.25">
      <c r="A19">
        <v>3306</v>
      </c>
      <c r="B19" t="s">
        <v>242</v>
      </c>
      <c r="C19" s="26">
        <v>841688.42062500003</v>
      </c>
      <c r="D19" s="26">
        <v>415012.5</v>
      </c>
      <c r="E19" s="15">
        <f>C19/12*5</f>
        <v>350703.50859375001</v>
      </c>
      <c r="F19" s="15">
        <f t="shared" si="0"/>
        <v>172921.875</v>
      </c>
      <c r="G19" s="15">
        <f t="shared" si="1"/>
        <v>523625.38359375001</v>
      </c>
      <c r="L19" s="15"/>
      <c r="M19" s="548"/>
      <c r="N19" s="15"/>
      <c r="O19" s="15"/>
    </row>
    <row r="20" spans="1:15" x14ac:dyDescent="0.25">
      <c r="A20">
        <v>3850</v>
      </c>
      <c r="B20" t="s">
        <v>809</v>
      </c>
      <c r="C20" s="26">
        <v>204958.16624999998</v>
      </c>
      <c r="D20" s="26">
        <v>101149.99999999999</v>
      </c>
      <c r="E20" s="15">
        <f t="shared" ref="E20:F26" si="2">C20/12*5</f>
        <v>85399.235937499994</v>
      </c>
      <c r="F20" s="15">
        <f t="shared" si="2"/>
        <v>42145.833333333328</v>
      </c>
      <c r="G20" s="15">
        <f t="shared" si="1"/>
        <v>127545.06927083332</v>
      </c>
      <c r="L20" s="15"/>
      <c r="M20" s="548"/>
      <c r="N20" s="15"/>
      <c r="O20" s="15"/>
    </row>
    <row r="21" spans="1:15" x14ac:dyDescent="0.25">
      <c r="A21">
        <v>5100</v>
      </c>
      <c r="B21" t="s">
        <v>164</v>
      </c>
      <c r="C21" s="26">
        <v>584978.71249999991</v>
      </c>
      <c r="D21" s="26">
        <v>257075</v>
      </c>
      <c r="E21" s="15">
        <f t="shared" si="2"/>
        <v>243741.13020833331</v>
      </c>
      <c r="F21" s="15">
        <f t="shared" si="2"/>
        <v>107114.58333333334</v>
      </c>
      <c r="G21" s="15">
        <f t="shared" si="1"/>
        <v>350855.71354166663</v>
      </c>
      <c r="L21" s="15"/>
      <c r="M21" s="548"/>
      <c r="N21" s="15"/>
      <c r="O21" s="15"/>
    </row>
    <row r="22" spans="1:15" x14ac:dyDescent="0.25">
      <c r="A22">
        <v>5160</v>
      </c>
      <c r="B22" t="s">
        <v>305</v>
      </c>
      <c r="C22" s="26">
        <v>102853.4</v>
      </c>
      <c r="D22" s="26">
        <v>45200</v>
      </c>
      <c r="E22" s="15">
        <f t="shared" si="2"/>
        <v>42855.583333333336</v>
      </c>
      <c r="F22" s="15">
        <f t="shared" si="2"/>
        <v>18833.333333333332</v>
      </c>
      <c r="G22" s="15">
        <f t="shared" si="1"/>
        <v>61688.916666666672</v>
      </c>
      <c r="L22" s="15"/>
      <c r="M22" s="548"/>
      <c r="N22" s="15"/>
      <c r="O22" s="15"/>
    </row>
    <row r="23" spans="1:15" x14ac:dyDescent="0.25">
      <c r="A23">
        <v>5400</v>
      </c>
      <c r="B23" t="s">
        <v>898</v>
      </c>
      <c r="C23" s="26">
        <v>192580.495</v>
      </c>
      <c r="D23" s="26">
        <v>87010</v>
      </c>
      <c r="E23" s="15">
        <f t="shared" si="2"/>
        <v>80241.87291666666</v>
      </c>
      <c r="F23" s="15">
        <f t="shared" si="2"/>
        <v>36254.166666666664</v>
      </c>
      <c r="G23" s="15">
        <f t="shared" si="1"/>
        <v>116496.03958333333</v>
      </c>
      <c r="L23" s="15"/>
      <c r="M23" s="548"/>
      <c r="N23" s="15"/>
      <c r="O23" s="15"/>
    </row>
    <row r="24" spans="1:15" x14ac:dyDescent="0.25">
      <c r="A24">
        <v>5410</v>
      </c>
      <c r="B24" t="s">
        <v>1077</v>
      </c>
      <c r="C24" s="26">
        <v>0</v>
      </c>
      <c r="D24" s="26">
        <v>0</v>
      </c>
      <c r="E24" s="15">
        <f t="shared" si="2"/>
        <v>0</v>
      </c>
      <c r="F24" s="15">
        <f t="shared" si="2"/>
        <v>0</v>
      </c>
      <c r="G24" s="15">
        <f t="shared" si="1"/>
        <v>0</v>
      </c>
      <c r="L24" s="15"/>
      <c r="M24" s="548"/>
      <c r="N24" s="15"/>
      <c r="O24" s="15"/>
    </row>
    <row r="25" spans="1:15" x14ac:dyDescent="0.25">
      <c r="A25">
        <v>5500</v>
      </c>
      <c r="B25" t="s">
        <v>165</v>
      </c>
      <c r="C25" s="26">
        <v>192850.12499999994</v>
      </c>
      <c r="D25" s="26">
        <v>84750</v>
      </c>
      <c r="E25" s="15">
        <f t="shared" si="2"/>
        <v>80354.218749999971</v>
      </c>
      <c r="F25" s="15">
        <f t="shared" si="2"/>
        <v>35312.5</v>
      </c>
      <c r="G25" s="15">
        <f t="shared" si="1"/>
        <v>115666.71874999997</v>
      </c>
      <c r="L25" s="15"/>
      <c r="M25" s="548"/>
      <c r="N25" s="15"/>
      <c r="O25" s="15"/>
    </row>
    <row r="26" spans="1:15" x14ac:dyDescent="0.25">
      <c r="A26">
        <v>5700</v>
      </c>
      <c r="B26" t="s">
        <v>313</v>
      </c>
      <c r="C26" s="26">
        <v>6428.3374999999996</v>
      </c>
      <c r="D26" s="26">
        <v>2825</v>
      </c>
      <c r="E26" s="15">
        <f t="shared" si="2"/>
        <v>2678.4739583333335</v>
      </c>
      <c r="F26" s="15">
        <f t="shared" si="2"/>
        <v>1177.0833333333333</v>
      </c>
      <c r="G26" s="15">
        <f t="shared" si="1"/>
        <v>3855.557291666667</v>
      </c>
      <c r="L26" s="15"/>
      <c r="M26" s="548"/>
      <c r="N26" s="15"/>
      <c r="O26" s="15"/>
    </row>
    <row r="27" spans="1:15" x14ac:dyDescent="0.25">
      <c r="A27">
        <v>5730</v>
      </c>
      <c r="B27" t="s">
        <v>166</v>
      </c>
      <c r="C27" s="26">
        <v>3204448.2364999969</v>
      </c>
      <c r="D27" s="26">
        <v>1246353.3333333333</v>
      </c>
      <c r="E27" s="15">
        <f>C27/12*5</f>
        <v>1335186.7652083319</v>
      </c>
      <c r="F27" s="15">
        <f>D27/12*5</f>
        <v>519313.88888888882</v>
      </c>
      <c r="G27" s="15">
        <f>SUM(E27:F27)</f>
        <v>1854500.6540972206</v>
      </c>
      <c r="L27" s="15"/>
      <c r="M27" s="548"/>
      <c r="N27" s="15"/>
      <c r="O27" s="15"/>
    </row>
    <row r="28" spans="1:15" x14ac:dyDescent="0.25">
      <c r="A28">
        <v>5740</v>
      </c>
      <c r="B28" t="s">
        <v>461</v>
      </c>
      <c r="C28" s="26">
        <v>11644001.083882499</v>
      </c>
      <c r="D28" s="26">
        <v>3820273.8333333335</v>
      </c>
      <c r="E28" s="15">
        <f>C28/12*5</f>
        <v>4851667.1182843745</v>
      </c>
      <c r="F28" s="15">
        <f>D28/12*5</f>
        <v>1591780.763888889</v>
      </c>
      <c r="G28" s="15">
        <f>SUM(E28:F28)</f>
        <v>6443447.8821732635</v>
      </c>
      <c r="L28" s="15"/>
      <c r="M28" s="548"/>
      <c r="N28" s="15"/>
      <c r="O28" s="15"/>
    </row>
    <row r="29" spans="1:15" x14ac:dyDescent="0.25">
      <c r="M29" s="402"/>
      <c r="N29" s="31"/>
    </row>
    <row r="30" spans="1:15" x14ac:dyDescent="0.25">
      <c r="L30" s="26"/>
      <c r="M30" s="400"/>
      <c r="N30" s="31"/>
    </row>
    <row r="31" spans="1:15" x14ac:dyDescent="0.25">
      <c r="L31" s="26"/>
      <c r="M31" s="400"/>
    </row>
    <row r="33" spans="12:13" x14ac:dyDescent="0.25">
      <c r="M33" s="26"/>
    </row>
    <row r="35" spans="12:13" x14ac:dyDescent="0.25">
      <c r="L35" s="26"/>
      <c r="M35" s="26"/>
    </row>
    <row r="37" spans="12:13" x14ac:dyDescent="0.25">
      <c r="L37" s="26"/>
      <c r="M37" s="26"/>
    </row>
    <row r="39" spans="12:13" x14ac:dyDescent="0.25">
      <c r="L39" s="26"/>
      <c r="M39" s="26"/>
    </row>
    <row r="41" spans="12:13" x14ac:dyDescent="0.25">
      <c r="L41" s="26"/>
      <c r="M41" s="26"/>
    </row>
    <row r="43" spans="12:13" x14ac:dyDescent="0.25">
      <c r="L43" s="26"/>
      <c r="M43" s="26"/>
    </row>
    <row r="45" spans="12:13" x14ac:dyDescent="0.25">
      <c r="L45" s="26"/>
      <c r="M45" s="26"/>
    </row>
    <row r="47" spans="12:13" x14ac:dyDescent="0.25">
      <c r="L47" s="26"/>
      <c r="M47" s="26"/>
    </row>
    <row r="49" spans="12:13" x14ac:dyDescent="0.25">
      <c r="L49" s="26"/>
      <c r="M49" s="26"/>
    </row>
    <row r="51" spans="12:13" x14ac:dyDescent="0.25">
      <c r="L51" s="26"/>
      <c r="M51" s="26"/>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indexed="12"/>
    <pageSetUpPr fitToPage="1"/>
  </sheetPr>
  <dimension ref="A1:M291"/>
  <sheetViews>
    <sheetView workbookViewId="0">
      <selection activeCell="C5" sqref="C5"/>
    </sheetView>
  </sheetViews>
  <sheetFormatPr defaultColWidth="10.42578125" defaultRowHeight="15" x14ac:dyDescent="0.25"/>
  <cols>
    <col min="1" max="1" width="12.42578125" style="1" bestFit="1" customWidth="1"/>
    <col min="2" max="2" width="9.5703125" customWidth="1"/>
    <col min="3" max="3" width="36.85546875" style="29" customWidth="1"/>
    <col min="4" max="4" width="14" customWidth="1"/>
    <col min="5" max="5" width="68.42578125" customWidth="1"/>
    <col min="6" max="6" width="28" customWidth="1"/>
    <col min="7" max="7" width="10" customWidth="1"/>
    <col min="8" max="8" width="6.140625" customWidth="1"/>
    <col min="9" max="9" width="9.85546875" customWidth="1"/>
    <col min="10" max="10" width="10.7109375" customWidth="1"/>
    <col min="11" max="11" width="10.28515625" customWidth="1"/>
    <col min="12" max="12" width="11.42578125" bestFit="1" customWidth="1"/>
  </cols>
  <sheetData>
    <row r="1" spans="1:13" ht="15.75" x14ac:dyDescent="0.25">
      <c r="A1" s="315" t="s">
        <v>9</v>
      </c>
      <c r="B1" s="315"/>
      <c r="C1" s="315"/>
      <c r="D1" s="315"/>
      <c r="E1" s="315"/>
    </row>
    <row r="2" spans="1:13" x14ac:dyDescent="0.25">
      <c r="A2" s="578"/>
      <c r="B2" s="578"/>
      <c r="C2" s="578"/>
      <c r="D2" s="578"/>
      <c r="E2" s="578"/>
      <c r="F2" s="578"/>
      <c r="G2" s="578"/>
      <c r="H2" s="61" t="s">
        <v>4</v>
      </c>
    </row>
    <row r="3" spans="1:13" s="66" customFormat="1" ht="45" x14ac:dyDescent="0.25">
      <c r="A3" s="156" t="s">
        <v>78</v>
      </c>
      <c r="B3" s="61" t="s">
        <v>399</v>
      </c>
      <c r="C3" s="579" t="s">
        <v>326</v>
      </c>
      <c r="D3" s="579" t="s">
        <v>59</v>
      </c>
      <c r="E3" s="579" t="s">
        <v>158</v>
      </c>
      <c r="F3" s="579" t="s">
        <v>2</v>
      </c>
      <c r="G3" s="156" t="s">
        <v>10</v>
      </c>
      <c r="H3" s="488" t="s">
        <v>449</v>
      </c>
      <c r="I3" s="488" t="s">
        <v>419</v>
      </c>
      <c r="J3" s="488" t="s">
        <v>458</v>
      </c>
      <c r="K3" s="488" t="s">
        <v>894</v>
      </c>
      <c r="L3" s="29"/>
      <c r="M3" s="29"/>
    </row>
    <row r="4" spans="1:13" x14ac:dyDescent="0.25">
      <c r="A4" t="s">
        <v>72</v>
      </c>
      <c r="B4">
        <v>1620</v>
      </c>
      <c r="C4" s="578" t="s">
        <v>176</v>
      </c>
      <c r="D4" t="s">
        <v>1703</v>
      </c>
      <c r="E4" t="s">
        <v>1711</v>
      </c>
      <c r="F4" t="s">
        <v>461</v>
      </c>
      <c r="G4" s="242">
        <v>0.35555555555555557</v>
      </c>
      <c r="H4" s="268">
        <v>5.6000000000000005</v>
      </c>
      <c r="I4" s="268">
        <v>4.76</v>
      </c>
      <c r="J4" s="33">
        <v>255268.0368</v>
      </c>
      <c r="K4" s="33">
        <v>20160.000000000004</v>
      </c>
    </row>
    <row r="5" spans="1:13" ht="18" customHeight="1" x14ac:dyDescent="0.25">
      <c r="A5"/>
      <c r="C5" s="578"/>
      <c r="D5" t="s">
        <v>1702</v>
      </c>
      <c r="E5" t="s">
        <v>1710</v>
      </c>
      <c r="F5" t="s">
        <v>461</v>
      </c>
      <c r="G5" s="242">
        <v>0.4</v>
      </c>
      <c r="H5" s="268">
        <v>2.85</v>
      </c>
      <c r="I5" s="268">
        <v>2.4224999999999999</v>
      </c>
      <c r="J5" s="33">
        <v>129913.19729999999</v>
      </c>
      <c r="K5" s="33">
        <v>10260</v>
      </c>
    </row>
    <row r="6" spans="1:13" ht="18" customHeight="1" x14ac:dyDescent="0.25">
      <c r="A6"/>
      <c r="C6" s="578"/>
      <c r="D6" t="s">
        <v>1827</v>
      </c>
      <c r="E6" t="s">
        <v>1192</v>
      </c>
      <c r="F6" t="s">
        <v>461</v>
      </c>
      <c r="G6" s="242">
        <v>0.4</v>
      </c>
      <c r="H6" s="268">
        <v>1.3</v>
      </c>
      <c r="I6" s="268">
        <v>1.105</v>
      </c>
      <c r="J6" s="33">
        <v>66494.093249999991</v>
      </c>
      <c r="K6" s="33">
        <v>7800</v>
      </c>
    </row>
    <row r="7" spans="1:13" ht="18" customHeight="1" x14ac:dyDescent="0.25">
      <c r="A7"/>
      <c r="C7" s="578"/>
      <c r="D7" t="s">
        <v>1828</v>
      </c>
      <c r="E7" t="s">
        <v>2348</v>
      </c>
      <c r="F7" t="s">
        <v>461</v>
      </c>
      <c r="G7" s="242">
        <v>0.4</v>
      </c>
      <c r="H7" s="268">
        <v>1.35</v>
      </c>
      <c r="I7" s="268">
        <v>1.1475</v>
      </c>
      <c r="J7" s="33">
        <v>69051.558375000008</v>
      </c>
      <c r="K7" s="33">
        <v>8100.0000000000009</v>
      </c>
    </row>
    <row r="8" spans="1:13" ht="18" customHeight="1" x14ac:dyDescent="0.25">
      <c r="A8"/>
      <c r="C8" s="578"/>
      <c r="D8" t="s">
        <v>1829</v>
      </c>
      <c r="E8" t="s">
        <v>1830</v>
      </c>
      <c r="F8" t="s">
        <v>461</v>
      </c>
      <c r="G8" s="242">
        <v>0.41666666666666669</v>
      </c>
      <c r="H8" s="268">
        <v>5.5</v>
      </c>
      <c r="I8" s="268">
        <v>4.6750000000000007</v>
      </c>
      <c r="J8" s="33">
        <v>281321.16375000001</v>
      </c>
      <c r="K8" s="33">
        <v>33000</v>
      </c>
    </row>
    <row r="9" spans="1:13" ht="18" customHeight="1" x14ac:dyDescent="0.25">
      <c r="A9"/>
      <c r="C9" s="578"/>
      <c r="D9" t="s">
        <v>1831</v>
      </c>
      <c r="E9" t="s">
        <v>1259</v>
      </c>
      <c r="F9" t="s">
        <v>461</v>
      </c>
      <c r="G9" s="242">
        <v>0.33333333333333331</v>
      </c>
      <c r="H9" s="268">
        <v>1.0370833333333334</v>
      </c>
      <c r="I9" s="268">
        <v>0.88152083333333331</v>
      </c>
      <c r="J9" s="33">
        <v>47273.969017499992</v>
      </c>
      <c r="K9" s="33">
        <v>3733.5</v>
      </c>
    </row>
    <row r="10" spans="1:13" ht="18" customHeight="1" x14ac:dyDescent="0.25">
      <c r="A10"/>
      <c r="C10" s="578"/>
      <c r="D10" t="s">
        <v>1864</v>
      </c>
      <c r="E10" t="s">
        <v>1865</v>
      </c>
      <c r="F10" t="s">
        <v>192</v>
      </c>
      <c r="G10" s="242">
        <v>0.2</v>
      </c>
      <c r="H10" s="268">
        <v>2.375</v>
      </c>
      <c r="I10" s="268">
        <v>2.0187500000000003</v>
      </c>
      <c r="J10" s="33">
        <v>78613.167375000005</v>
      </c>
      <c r="K10" s="33">
        <v>14250</v>
      </c>
    </row>
    <row r="11" spans="1:13" ht="18" customHeight="1" x14ac:dyDescent="0.25">
      <c r="A11"/>
      <c r="C11" s="578"/>
      <c r="D11" t="s">
        <v>2007</v>
      </c>
      <c r="E11" t="s">
        <v>2008</v>
      </c>
      <c r="F11" t="s">
        <v>461</v>
      </c>
      <c r="G11" s="242">
        <v>0.46666666666666667</v>
      </c>
      <c r="H11" s="268">
        <v>2.9750000000000001</v>
      </c>
      <c r="I11" s="268">
        <v>2.5287500000000001</v>
      </c>
      <c r="J11" s="33">
        <v>142284.82222499998</v>
      </c>
      <c r="K11" s="33">
        <v>67235</v>
      </c>
    </row>
    <row r="12" spans="1:13" ht="18" customHeight="1" x14ac:dyDescent="0.25">
      <c r="A12"/>
      <c r="C12" s="578"/>
      <c r="D12" t="s">
        <v>2150</v>
      </c>
      <c r="E12" t="s">
        <v>2214</v>
      </c>
      <c r="F12" t="s">
        <v>172</v>
      </c>
      <c r="G12" s="242">
        <v>0.2</v>
      </c>
      <c r="H12" s="268">
        <v>5.0500000000000007</v>
      </c>
      <c r="I12" s="268">
        <v>4.2924999999999995</v>
      </c>
      <c r="J12" s="33">
        <v>258303.97762500003</v>
      </c>
      <c r="K12" s="33">
        <v>30300.000000000004</v>
      </c>
    </row>
    <row r="13" spans="1:13" x14ac:dyDescent="0.25">
      <c r="A13"/>
      <c r="B13" t="s">
        <v>831</v>
      </c>
      <c r="C13"/>
      <c r="H13" s="268">
        <v>28.037083333333339</v>
      </c>
      <c r="I13" s="268">
        <v>23.831520833333332</v>
      </c>
      <c r="J13" s="33">
        <v>1328523.9857174999</v>
      </c>
      <c r="K13" s="33">
        <v>194838.5</v>
      </c>
    </row>
    <row r="14" spans="1:13" x14ac:dyDescent="0.25">
      <c r="A14"/>
      <c r="B14">
        <v>1640</v>
      </c>
      <c r="C14" s="578" t="s">
        <v>173</v>
      </c>
      <c r="D14" t="s">
        <v>470</v>
      </c>
      <c r="E14" t="s">
        <v>473</v>
      </c>
      <c r="F14" t="s">
        <v>172</v>
      </c>
      <c r="G14" s="242">
        <v>0.5</v>
      </c>
      <c r="H14" s="268">
        <v>0</v>
      </c>
      <c r="I14" s="268">
        <v>0</v>
      </c>
      <c r="J14" s="33">
        <v>0</v>
      </c>
      <c r="K14" s="33">
        <v>0</v>
      </c>
    </row>
    <row r="15" spans="1:13" x14ac:dyDescent="0.25">
      <c r="A15"/>
      <c r="C15" s="578"/>
      <c r="D15" t="s">
        <v>1126</v>
      </c>
      <c r="E15" t="s">
        <v>1111</v>
      </c>
      <c r="F15" t="s">
        <v>172</v>
      </c>
      <c r="G15" s="242">
        <v>0.46666666666666667</v>
      </c>
      <c r="H15" s="268">
        <v>18.775166666666667</v>
      </c>
      <c r="I15" s="268">
        <v>15.958891666666668</v>
      </c>
      <c r="J15" s="33">
        <v>960336.67932124995</v>
      </c>
      <c r="K15" s="33">
        <v>112651</v>
      </c>
    </row>
    <row r="16" spans="1:13" x14ac:dyDescent="0.25">
      <c r="A16"/>
      <c r="C16" s="578"/>
      <c r="D16" t="s">
        <v>1242</v>
      </c>
      <c r="E16" t="s">
        <v>1250</v>
      </c>
      <c r="F16" t="s">
        <v>176</v>
      </c>
      <c r="G16" s="242">
        <v>0.5</v>
      </c>
      <c r="H16" s="268">
        <v>0.9375</v>
      </c>
      <c r="I16" s="268">
        <v>0.796875</v>
      </c>
      <c r="J16" s="33">
        <v>31031.513437499998</v>
      </c>
      <c r="K16" s="33">
        <v>5625</v>
      </c>
    </row>
    <row r="17" spans="1:11" x14ac:dyDescent="0.25">
      <c r="A17"/>
      <c r="C17" s="578"/>
      <c r="D17" t="s">
        <v>2131</v>
      </c>
      <c r="E17" t="s">
        <v>2132</v>
      </c>
      <c r="F17" t="s">
        <v>176</v>
      </c>
      <c r="G17" s="242">
        <v>0.5</v>
      </c>
      <c r="H17" s="268">
        <v>10</v>
      </c>
      <c r="I17" s="268">
        <v>8.5</v>
      </c>
      <c r="J17" s="33">
        <v>331002.81</v>
      </c>
      <c r="K17" s="33">
        <v>60000</v>
      </c>
    </row>
    <row r="18" spans="1:11" ht="18" customHeight="1" x14ac:dyDescent="0.25">
      <c r="A18"/>
      <c r="C18" s="578"/>
      <c r="D18" t="s">
        <v>2150</v>
      </c>
      <c r="E18" t="s">
        <v>2214</v>
      </c>
      <c r="F18" t="s">
        <v>172</v>
      </c>
      <c r="G18" s="242">
        <v>0.13333333333333333</v>
      </c>
      <c r="H18" s="268">
        <v>3.3666666666666667</v>
      </c>
      <c r="I18" s="268">
        <v>2.8616666666666664</v>
      </c>
      <c r="J18" s="33">
        <v>172202.65174999999</v>
      </c>
      <c r="K18" s="33">
        <v>20200</v>
      </c>
    </row>
    <row r="19" spans="1:11" ht="18" customHeight="1" x14ac:dyDescent="0.25">
      <c r="A19"/>
      <c r="C19" s="578"/>
      <c r="D19" t="s">
        <v>2175</v>
      </c>
      <c r="E19" t="s">
        <v>2179</v>
      </c>
      <c r="F19" t="s">
        <v>176</v>
      </c>
      <c r="G19" s="242">
        <v>0.5</v>
      </c>
      <c r="H19" s="268">
        <v>7.75</v>
      </c>
      <c r="I19" s="268">
        <v>6.5874999999999995</v>
      </c>
      <c r="J19" s="33">
        <v>256527.17774999997</v>
      </c>
      <c r="K19" s="33">
        <v>46500</v>
      </c>
    </row>
    <row r="20" spans="1:11" x14ac:dyDescent="0.25">
      <c r="A20"/>
      <c r="C20" s="578"/>
      <c r="D20" t="s">
        <v>2180</v>
      </c>
      <c r="E20" t="s">
        <v>2181</v>
      </c>
      <c r="F20" t="s">
        <v>172</v>
      </c>
      <c r="G20" s="242">
        <v>0.35</v>
      </c>
      <c r="H20" s="268">
        <v>2.4646999999999997</v>
      </c>
      <c r="I20" s="268">
        <v>2.0949949999999999</v>
      </c>
      <c r="J20" s="33">
        <v>126067.68587174999</v>
      </c>
      <c r="K20" s="33">
        <v>14788.199999999999</v>
      </c>
    </row>
    <row r="21" spans="1:11" x14ac:dyDescent="0.25">
      <c r="A21"/>
      <c r="C21" s="578"/>
      <c r="D21" t="s">
        <v>2134</v>
      </c>
      <c r="E21" t="s">
        <v>2142</v>
      </c>
      <c r="F21" t="s">
        <v>176</v>
      </c>
      <c r="G21" s="242">
        <v>0.16666666666666666</v>
      </c>
      <c r="H21" s="268">
        <v>2.583333333333333</v>
      </c>
      <c r="I21" s="268">
        <v>2.1958333333333333</v>
      </c>
      <c r="J21" s="33">
        <v>85509.059249999991</v>
      </c>
      <c r="K21" s="33">
        <v>15499.999999999998</v>
      </c>
    </row>
    <row r="22" spans="1:11" ht="18" customHeight="1" x14ac:dyDescent="0.25">
      <c r="A22"/>
      <c r="C22" s="578"/>
      <c r="D22" t="s">
        <v>2202</v>
      </c>
      <c r="E22" t="s">
        <v>2204</v>
      </c>
      <c r="F22" t="s">
        <v>176</v>
      </c>
      <c r="G22" s="242">
        <v>0.5</v>
      </c>
      <c r="H22" s="268">
        <v>3.5</v>
      </c>
      <c r="I22" s="268">
        <v>2.9750000000000001</v>
      </c>
      <c r="J22" s="33">
        <v>115850.9835</v>
      </c>
      <c r="K22" s="33">
        <v>21000</v>
      </c>
    </row>
    <row r="23" spans="1:11" x14ac:dyDescent="0.25">
      <c r="A23"/>
      <c r="B23" t="s">
        <v>1330</v>
      </c>
      <c r="C23"/>
      <c r="H23" s="268">
        <v>49.377366666666667</v>
      </c>
      <c r="I23" s="268">
        <v>41.970761666666661</v>
      </c>
      <c r="J23" s="33">
        <v>2078528.5608804999</v>
      </c>
      <c r="K23" s="33">
        <v>296264.2</v>
      </c>
    </row>
    <row r="24" spans="1:11" x14ac:dyDescent="0.25">
      <c r="A24"/>
      <c r="B24">
        <v>1650</v>
      </c>
      <c r="C24" s="578" t="s">
        <v>11</v>
      </c>
      <c r="D24" t="s">
        <v>505</v>
      </c>
      <c r="E24" t="s">
        <v>552</v>
      </c>
      <c r="F24" t="s">
        <v>1102</v>
      </c>
      <c r="G24" s="242">
        <v>0.4</v>
      </c>
      <c r="H24" s="268">
        <v>0.9</v>
      </c>
      <c r="I24" s="268">
        <v>0.76500000000000001</v>
      </c>
      <c r="J24" s="33">
        <v>29790.252900000003</v>
      </c>
      <c r="K24" s="33">
        <v>5400</v>
      </c>
    </row>
    <row r="25" spans="1:11" ht="18" customHeight="1" x14ac:dyDescent="0.25">
      <c r="A25"/>
      <c r="C25" s="578"/>
      <c r="D25" t="s">
        <v>1715</v>
      </c>
      <c r="E25" t="s">
        <v>1716</v>
      </c>
      <c r="F25" t="s">
        <v>461</v>
      </c>
      <c r="G25" s="242">
        <v>0.26666666666666666</v>
      </c>
      <c r="H25" s="268">
        <v>0.13333333333333333</v>
      </c>
      <c r="I25" s="268">
        <v>0.11333333333333333</v>
      </c>
      <c r="J25" s="33">
        <v>6819.9070000000002</v>
      </c>
      <c r="K25" s="33">
        <v>800</v>
      </c>
    </row>
    <row r="26" spans="1:11" x14ac:dyDescent="0.25">
      <c r="A26"/>
      <c r="C26" s="578"/>
      <c r="D26" t="s">
        <v>1829</v>
      </c>
      <c r="E26" t="s">
        <v>1830</v>
      </c>
      <c r="F26" t="s">
        <v>461</v>
      </c>
      <c r="G26" s="242">
        <v>0.16666666666666666</v>
      </c>
      <c r="H26" s="268">
        <v>2.1999999999999997</v>
      </c>
      <c r="I26" s="268">
        <v>1.87</v>
      </c>
      <c r="J26" s="33">
        <v>112528.46550000001</v>
      </c>
      <c r="K26" s="33">
        <v>13199.999999999998</v>
      </c>
    </row>
    <row r="27" spans="1:11" x14ac:dyDescent="0.25">
      <c r="A27"/>
      <c r="C27" s="578"/>
      <c r="D27" t="s">
        <v>1831</v>
      </c>
      <c r="E27" t="s">
        <v>1259</v>
      </c>
      <c r="F27" t="s">
        <v>461</v>
      </c>
      <c r="G27" s="242">
        <v>0.33333333333333331</v>
      </c>
      <c r="H27" s="268">
        <v>1.0370833333333334</v>
      </c>
      <c r="I27" s="268">
        <v>0.88152083333333331</v>
      </c>
      <c r="J27" s="33">
        <v>47273.969017499992</v>
      </c>
      <c r="K27" s="33">
        <v>3733.5</v>
      </c>
    </row>
    <row r="28" spans="1:11" ht="18" customHeight="1" x14ac:dyDescent="0.25">
      <c r="A28"/>
      <c r="B28" t="s">
        <v>1331</v>
      </c>
      <c r="C28"/>
      <c r="H28" s="268">
        <v>4.2704166666666667</v>
      </c>
      <c r="I28" s="268">
        <v>3.629854166666667</v>
      </c>
      <c r="J28" s="33">
        <v>196412.59441750002</v>
      </c>
      <c r="K28" s="33">
        <v>23133.5</v>
      </c>
    </row>
    <row r="29" spans="1:11" x14ac:dyDescent="0.25">
      <c r="A29" s="242" t="s">
        <v>769</v>
      </c>
      <c r="B29" s="242"/>
      <c r="C29" s="242"/>
      <c r="D29" s="242"/>
      <c r="E29" s="242"/>
      <c r="F29" s="242"/>
      <c r="G29" s="242"/>
      <c r="H29" s="268">
        <v>81.684866666666679</v>
      </c>
      <c r="I29" s="268">
        <v>69.432136666666665</v>
      </c>
      <c r="J29" s="33">
        <v>3603465.1410155003</v>
      </c>
      <c r="K29" s="33">
        <v>514236.2</v>
      </c>
    </row>
    <row r="30" spans="1:11" x14ac:dyDescent="0.25">
      <c r="A30" t="s">
        <v>74</v>
      </c>
      <c r="B30">
        <v>3306</v>
      </c>
      <c r="C30" s="578" t="s">
        <v>242</v>
      </c>
      <c r="D30" t="s">
        <v>1550</v>
      </c>
      <c r="E30" t="s">
        <v>1566</v>
      </c>
      <c r="F30" t="s">
        <v>192</v>
      </c>
      <c r="G30" s="242">
        <v>0.25</v>
      </c>
      <c r="H30" s="268">
        <v>6.375</v>
      </c>
      <c r="I30" s="268">
        <v>5.3562500000000002</v>
      </c>
      <c r="J30" s="33">
        <v>460641.03187499999</v>
      </c>
      <c r="K30" s="33">
        <v>227587.5</v>
      </c>
    </row>
    <row r="31" spans="1:11" ht="18" customHeight="1" x14ac:dyDescent="0.25">
      <c r="A31"/>
      <c r="C31" s="578"/>
      <c r="D31" t="s">
        <v>2325</v>
      </c>
      <c r="E31" t="s">
        <v>2326</v>
      </c>
      <c r="F31" t="s">
        <v>192</v>
      </c>
      <c r="G31" s="242">
        <v>0.25</v>
      </c>
      <c r="H31" s="268">
        <v>5.25</v>
      </c>
      <c r="I31" s="268">
        <v>4.4312499999999995</v>
      </c>
      <c r="J31" s="33">
        <v>380017.70437499997</v>
      </c>
      <c r="K31" s="33">
        <v>187425</v>
      </c>
    </row>
    <row r="32" spans="1:11" x14ac:dyDescent="0.25">
      <c r="A32"/>
      <c r="B32" t="s">
        <v>1646</v>
      </c>
      <c r="C32"/>
      <c r="H32" s="268">
        <v>11.625</v>
      </c>
      <c r="I32" s="268">
        <v>9.7874999999999996</v>
      </c>
      <c r="J32" s="33">
        <v>840658.73624999996</v>
      </c>
      <c r="K32" s="33">
        <v>415012.5</v>
      </c>
    </row>
    <row r="33" spans="1:11" x14ac:dyDescent="0.25">
      <c r="A33"/>
      <c r="B33">
        <v>3850</v>
      </c>
      <c r="C33" s="578" t="s">
        <v>809</v>
      </c>
      <c r="D33" t="s">
        <v>1764</v>
      </c>
      <c r="E33" t="s">
        <v>1774</v>
      </c>
      <c r="F33" t="s">
        <v>192</v>
      </c>
      <c r="G33" s="242">
        <v>0.16666666666666666</v>
      </c>
      <c r="H33" s="268">
        <v>2.25</v>
      </c>
      <c r="I33" s="268">
        <v>1.9041666666666668</v>
      </c>
      <c r="J33" s="33">
        <v>163031.44125</v>
      </c>
      <c r="K33" s="33">
        <v>80325</v>
      </c>
    </row>
    <row r="34" spans="1:11" ht="18" customHeight="1" x14ac:dyDescent="0.25">
      <c r="A34"/>
      <c r="B34" t="s">
        <v>2058</v>
      </c>
      <c r="C34"/>
      <c r="H34" s="268">
        <v>2.25</v>
      </c>
      <c r="I34" s="268">
        <v>1.9041666666666668</v>
      </c>
      <c r="J34" s="33">
        <v>163031.44125</v>
      </c>
      <c r="K34" s="33">
        <v>80325</v>
      </c>
    </row>
    <row r="35" spans="1:11" x14ac:dyDescent="0.25">
      <c r="A35" s="242" t="s">
        <v>1647</v>
      </c>
      <c r="B35" s="242"/>
      <c r="C35" s="242"/>
      <c r="D35" s="242"/>
      <c r="E35" s="242"/>
      <c r="F35" s="242"/>
      <c r="G35" s="242"/>
      <c r="H35" s="268">
        <v>13.875</v>
      </c>
      <c r="I35" s="268">
        <v>11.691666666666666</v>
      </c>
      <c r="J35" s="33">
        <v>1003690.1775</v>
      </c>
      <c r="K35" s="33">
        <v>495337.5</v>
      </c>
    </row>
    <row r="36" spans="1:11" x14ac:dyDescent="0.25">
      <c r="A36" t="s">
        <v>73</v>
      </c>
      <c r="B36">
        <v>2180</v>
      </c>
      <c r="C36" s="578" t="s">
        <v>192</v>
      </c>
      <c r="D36" t="s">
        <v>511</v>
      </c>
      <c r="E36" t="s">
        <v>555</v>
      </c>
      <c r="F36" t="s">
        <v>198</v>
      </c>
      <c r="G36" s="242">
        <v>0.2</v>
      </c>
      <c r="H36" s="268">
        <v>2.4000000000000004</v>
      </c>
      <c r="I36" s="268">
        <v>2.04</v>
      </c>
      <c r="J36" s="33">
        <v>79440.674400000018</v>
      </c>
      <c r="K36" s="33">
        <v>14400.000000000002</v>
      </c>
    </row>
    <row r="37" spans="1:11" ht="18" customHeight="1" x14ac:dyDescent="0.25">
      <c r="A37"/>
      <c r="C37" s="578"/>
      <c r="D37" t="s">
        <v>512</v>
      </c>
      <c r="E37" t="s">
        <v>556</v>
      </c>
      <c r="F37" t="s">
        <v>198</v>
      </c>
      <c r="G37" s="242">
        <v>0.2</v>
      </c>
      <c r="H37" s="268">
        <v>1.9000000000000001</v>
      </c>
      <c r="I37" s="268">
        <v>1.615</v>
      </c>
      <c r="J37" s="33">
        <v>62890.533899999995</v>
      </c>
      <c r="K37" s="33">
        <v>11400</v>
      </c>
    </row>
    <row r="38" spans="1:11" ht="18" customHeight="1" x14ac:dyDescent="0.25">
      <c r="A38"/>
      <c r="C38" s="578"/>
      <c r="D38" t="s">
        <v>600</v>
      </c>
      <c r="E38" t="s">
        <v>615</v>
      </c>
      <c r="F38" t="s">
        <v>198</v>
      </c>
      <c r="G38" s="242">
        <v>0.05</v>
      </c>
      <c r="H38" s="268">
        <v>0.47500000000000003</v>
      </c>
      <c r="I38" s="268">
        <v>0.40375</v>
      </c>
      <c r="J38" s="33">
        <v>15722.633474999999</v>
      </c>
      <c r="K38" s="33">
        <v>2850</v>
      </c>
    </row>
    <row r="39" spans="1:11" x14ac:dyDescent="0.25">
      <c r="A39"/>
      <c r="C39" s="578"/>
      <c r="D39" t="s">
        <v>849</v>
      </c>
      <c r="E39" t="s">
        <v>1154</v>
      </c>
      <c r="F39" t="s">
        <v>172</v>
      </c>
      <c r="G39" s="242">
        <v>0.5</v>
      </c>
      <c r="H39" s="268">
        <v>3.25</v>
      </c>
      <c r="I39" s="268">
        <v>2.7374999999999998</v>
      </c>
      <c r="J39" s="33">
        <v>107170.38675000001</v>
      </c>
      <c r="K39" s="33">
        <v>19500</v>
      </c>
    </row>
    <row r="40" spans="1:11" x14ac:dyDescent="0.25">
      <c r="A40"/>
      <c r="C40" s="578"/>
      <c r="D40" t="s">
        <v>919</v>
      </c>
      <c r="E40" t="s">
        <v>748</v>
      </c>
      <c r="F40" t="s">
        <v>1102</v>
      </c>
      <c r="G40" s="242">
        <v>0.3</v>
      </c>
      <c r="H40" s="268">
        <v>1.5500999999999998</v>
      </c>
      <c r="I40" s="268">
        <v>1.3175849999999998</v>
      </c>
      <c r="J40" s="33">
        <v>51308.745578099988</v>
      </c>
      <c r="K40" s="33">
        <v>9300.5999999999985</v>
      </c>
    </row>
    <row r="41" spans="1:11" x14ac:dyDescent="0.25">
      <c r="A41"/>
      <c r="C41" s="578"/>
      <c r="D41" t="s">
        <v>1124</v>
      </c>
      <c r="E41" t="s">
        <v>1110</v>
      </c>
      <c r="F41" t="s">
        <v>172</v>
      </c>
      <c r="G41" s="242">
        <v>0.13333333333333333</v>
      </c>
      <c r="H41" s="268">
        <v>5.7480000000000002</v>
      </c>
      <c r="I41" s="268">
        <v>4.8857999999999997</v>
      </c>
      <c r="J41" s="33">
        <v>294006.19076999999</v>
      </c>
      <c r="K41" s="33">
        <v>34488</v>
      </c>
    </row>
    <row r="42" spans="1:11" x14ac:dyDescent="0.25">
      <c r="A42"/>
      <c r="C42" s="578"/>
      <c r="D42" t="s">
        <v>1407</v>
      </c>
      <c r="E42" t="s">
        <v>1387</v>
      </c>
      <c r="F42" t="s">
        <v>1102</v>
      </c>
      <c r="G42" s="242">
        <v>0.2</v>
      </c>
      <c r="H42" s="268">
        <v>3.5500000000000003</v>
      </c>
      <c r="I42" s="268">
        <v>3.0175000000000001</v>
      </c>
      <c r="J42" s="33">
        <v>117505.99755</v>
      </c>
      <c r="K42" s="33">
        <v>21300</v>
      </c>
    </row>
    <row r="43" spans="1:11" x14ac:dyDescent="0.25">
      <c r="A43"/>
      <c r="C43" s="578"/>
      <c r="D43" t="s">
        <v>1532</v>
      </c>
      <c r="E43" t="s">
        <v>1565</v>
      </c>
      <c r="F43" t="s">
        <v>11</v>
      </c>
      <c r="G43" s="242">
        <v>0.2</v>
      </c>
      <c r="H43" s="268">
        <v>0.55000000000000004</v>
      </c>
      <c r="I43" s="268">
        <v>0.46750000000000003</v>
      </c>
      <c r="J43" s="33">
        <v>20790.454575</v>
      </c>
      <c r="K43" s="33">
        <v>9845</v>
      </c>
    </row>
    <row r="44" spans="1:11" x14ac:dyDescent="0.25">
      <c r="A44"/>
      <c r="C44" s="578"/>
      <c r="D44" t="s">
        <v>1502</v>
      </c>
      <c r="E44" t="s">
        <v>1517</v>
      </c>
      <c r="F44" t="s">
        <v>461</v>
      </c>
      <c r="G44" s="242">
        <v>0.26666666666666666</v>
      </c>
      <c r="H44" s="268">
        <v>0</v>
      </c>
      <c r="I44" s="268">
        <v>0</v>
      </c>
      <c r="J44" s="33">
        <v>0</v>
      </c>
      <c r="K44" s="33">
        <v>0</v>
      </c>
    </row>
    <row r="45" spans="1:11" x14ac:dyDescent="0.25">
      <c r="A45"/>
      <c r="C45" s="578"/>
      <c r="D45" t="s">
        <v>1581</v>
      </c>
      <c r="E45" t="s">
        <v>1582</v>
      </c>
      <c r="F45" t="s">
        <v>1102</v>
      </c>
      <c r="G45" s="242">
        <v>0.26666666666666666</v>
      </c>
      <c r="H45" s="268">
        <v>0</v>
      </c>
      <c r="I45" s="268">
        <v>0</v>
      </c>
      <c r="J45" s="33">
        <v>0</v>
      </c>
      <c r="K45" s="33">
        <v>0</v>
      </c>
    </row>
    <row r="46" spans="1:11" x14ac:dyDescent="0.25">
      <c r="A46"/>
      <c r="C46" s="578"/>
      <c r="D46" t="s">
        <v>1534</v>
      </c>
      <c r="E46" t="s">
        <v>1572</v>
      </c>
      <c r="F46" t="s">
        <v>1102</v>
      </c>
      <c r="G46" s="242">
        <v>0.125</v>
      </c>
      <c r="H46" s="268">
        <v>0.98329166666666667</v>
      </c>
      <c r="I46" s="268">
        <v>0.83579791666666658</v>
      </c>
      <c r="J46" s="33">
        <v>50294.682904062502</v>
      </c>
      <c r="K46" s="33">
        <v>5899.75</v>
      </c>
    </row>
    <row r="47" spans="1:11" x14ac:dyDescent="0.25">
      <c r="A47"/>
      <c r="C47" s="578"/>
      <c r="D47" t="s">
        <v>1531</v>
      </c>
      <c r="E47" t="s">
        <v>1571</v>
      </c>
      <c r="F47" t="s">
        <v>1102</v>
      </c>
      <c r="G47" s="242">
        <v>0.41666666666666669</v>
      </c>
      <c r="H47" s="268">
        <v>2.5833333333333335</v>
      </c>
      <c r="I47" s="268">
        <v>2.1958333333333333</v>
      </c>
      <c r="J47" s="33">
        <v>132135.698125</v>
      </c>
      <c r="K47" s="33">
        <v>15500</v>
      </c>
    </row>
    <row r="48" spans="1:11" x14ac:dyDescent="0.25">
      <c r="A48"/>
      <c r="C48" s="578"/>
      <c r="D48" t="s">
        <v>1542</v>
      </c>
      <c r="E48" t="s">
        <v>1575</v>
      </c>
      <c r="F48" t="s">
        <v>461</v>
      </c>
      <c r="G48" s="242">
        <v>0.22727272727272727</v>
      </c>
      <c r="H48" s="268">
        <v>3.416590909090909</v>
      </c>
      <c r="I48" s="268">
        <v>2.9041022727272727</v>
      </c>
      <c r="J48" s="33">
        <v>174756.24192784092</v>
      </c>
      <c r="K48" s="33">
        <v>20499.545454545456</v>
      </c>
    </row>
    <row r="49" spans="1:11" x14ac:dyDescent="0.25">
      <c r="A49"/>
      <c r="C49" s="578"/>
      <c r="D49" t="s">
        <v>1577</v>
      </c>
      <c r="E49" t="s">
        <v>1169</v>
      </c>
      <c r="F49" t="s">
        <v>1102</v>
      </c>
      <c r="G49" s="242">
        <v>0.6</v>
      </c>
      <c r="H49" s="268">
        <v>0</v>
      </c>
      <c r="I49" s="268">
        <v>0</v>
      </c>
      <c r="J49" s="33">
        <v>0</v>
      </c>
      <c r="K49" s="33">
        <v>0</v>
      </c>
    </row>
    <row r="50" spans="1:11" x14ac:dyDescent="0.25">
      <c r="A50"/>
      <c r="C50" s="578"/>
      <c r="D50" t="s">
        <v>1658</v>
      </c>
      <c r="E50" t="s">
        <v>1659</v>
      </c>
      <c r="F50" t="s">
        <v>461</v>
      </c>
      <c r="G50" s="242">
        <v>0.22727272727272727</v>
      </c>
      <c r="H50" s="268">
        <v>4.208333333333333</v>
      </c>
      <c r="I50" s="268">
        <v>3.5770833333333329</v>
      </c>
      <c r="J50" s="33">
        <v>215253.31468749998</v>
      </c>
      <c r="K50" s="33">
        <v>25250</v>
      </c>
    </row>
    <row r="51" spans="1:11" x14ac:dyDescent="0.25">
      <c r="A51"/>
      <c r="C51" s="578"/>
      <c r="D51" t="s">
        <v>1536</v>
      </c>
      <c r="E51" t="s">
        <v>1393</v>
      </c>
      <c r="F51" t="s">
        <v>1102</v>
      </c>
      <c r="G51" s="242">
        <v>0.2</v>
      </c>
      <c r="H51" s="268">
        <v>1.2000000000000002</v>
      </c>
      <c r="I51" s="268">
        <v>1.02</v>
      </c>
      <c r="J51" s="33">
        <v>39720.337200000009</v>
      </c>
      <c r="K51" s="33">
        <v>7200.0000000000009</v>
      </c>
    </row>
    <row r="52" spans="1:11" x14ac:dyDescent="0.25">
      <c r="A52"/>
      <c r="C52" s="578"/>
      <c r="D52" t="s">
        <v>1715</v>
      </c>
      <c r="E52" t="s">
        <v>1716</v>
      </c>
      <c r="F52" t="s">
        <v>461</v>
      </c>
      <c r="G52" s="242">
        <v>0.2</v>
      </c>
      <c r="H52" s="268">
        <v>0.1</v>
      </c>
      <c r="I52" s="268">
        <v>8.5000000000000006E-2</v>
      </c>
      <c r="J52" s="33">
        <v>5114.9302500000003</v>
      </c>
      <c r="K52" s="33">
        <v>600</v>
      </c>
    </row>
    <row r="53" spans="1:11" x14ac:dyDescent="0.25">
      <c r="A53"/>
      <c r="C53" s="578"/>
      <c r="D53" t="s">
        <v>1703</v>
      </c>
      <c r="E53" t="s">
        <v>1711</v>
      </c>
      <c r="F53" t="s">
        <v>461</v>
      </c>
      <c r="G53" s="242">
        <v>0.13333333333333333</v>
      </c>
      <c r="H53" s="268">
        <v>2.1</v>
      </c>
      <c r="I53" s="268">
        <v>1.7849999999999999</v>
      </c>
      <c r="J53" s="33">
        <v>95725.513800000001</v>
      </c>
      <c r="K53" s="33">
        <v>7560</v>
      </c>
    </row>
    <row r="54" spans="1:11" x14ac:dyDescent="0.25">
      <c r="A54"/>
      <c r="C54" s="578"/>
      <c r="D54" t="s">
        <v>1806</v>
      </c>
      <c r="E54" t="s">
        <v>1391</v>
      </c>
      <c r="F54" t="s">
        <v>1102</v>
      </c>
      <c r="G54" s="242">
        <v>0.3</v>
      </c>
      <c r="H54" s="268">
        <v>4.05</v>
      </c>
      <c r="I54" s="268">
        <v>3.4424999999999999</v>
      </c>
      <c r="J54" s="33">
        <v>134056.13805000001</v>
      </c>
      <c r="K54" s="33">
        <v>24300</v>
      </c>
    </row>
    <row r="55" spans="1:11" x14ac:dyDescent="0.25">
      <c r="A55"/>
      <c r="C55" s="578"/>
      <c r="D55" t="s">
        <v>1807</v>
      </c>
      <c r="E55" t="s">
        <v>1458</v>
      </c>
      <c r="F55" t="s">
        <v>1102</v>
      </c>
      <c r="G55" s="242">
        <v>0.46666666666666667</v>
      </c>
      <c r="H55" s="268">
        <v>0</v>
      </c>
      <c r="I55" s="268">
        <v>0</v>
      </c>
      <c r="J55" s="33">
        <v>0</v>
      </c>
      <c r="K55" s="33">
        <v>0</v>
      </c>
    </row>
    <row r="56" spans="1:11" x14ac:dyDescent="0.25">
      <c r="A56"/>
      <c r="C56" s="578"/>
      <c r="D56" t="s">
        <v>1808</v>
      </c>
      <c r="E56" t="s">
        <v>1819</v>
      </c>
      <c r="F56" t="s">
        <v>1102</v>
      </c>
      <c r="G56" s="242">
        <v>0.46666666666666667</v>
      </c>
      <c r="H56" s="268">
        <v>1.2250000000000001</v>
      </c>
      <c r="I56" s="268">
        <v>1.0412499999999998</v>
      </c>
      <c r="J56" s="33">
        <v>62657.895562499987</v>
      </c>
      <c r="K56" s="33">
        <v>7350.0000000000009</v>
      </c>
    </row>
    <row r="57" spans="1:11" x14ac:dyDescent="0.25">
      <c r="A57"/>
      <c r="C57" s="578"/>
      <c r="D57" t="s">
        <v>1866</v>
      </c>
      <c r="E57" t="s">
        <v>1869</v>
      </c>
      <c r="F57" t="s">
        <v>1102</v>
      </c>
      <c r="G57" s="242">
        <v>0.33333333333333331</v>
      </c>
      <c r="H57" s="268">
        <v>7.5250000000000004</v>
      </c>
      <c r="I57" s="268">
        <v>6.3962499999999993</v>
      </c>
      <c r="J57" s="33">
        <v>461779.38628500002</v>
      </c>
      <c r="K57" s="33">
        <v>45150</v>
      </c>
    </row>
    <row r="58" spans="1:11" x14ac:dyDescent="0.25">
      <c r="A58"/>
      <c r="C58" s="578"/>
      <c r="D58" t="s">
        <v>1979</v>
      </c>
      <c r="E58" t="s">
        <v>1392</v>
      </c>
      <c r="F58" t="s">
        <v>11</v>
      </c>
      <c r="G58" s="242">
        <v>0.1</v>
      </c>
      <c r="H58" s="268">
        <v>0.95000000000000007</v>
      </c>
      <c r="I58" s="268">
        <v>0.8075</v>
      </c>
      <c r="J58" s="33">
        <v>35910.785175000005</v>
      </c>
      <c r="K58" s="33">
        <v>17005</v>
      </c>
    </row>
    <row r="59" spans="1:11" x14ac:dyDescent="0.25">
      <c r="A59"/>
      <c r="C59" s="578"/>
      <c r="D59" t="s">
        <v>2137</v>
      </c>
      <c r="E59" t="s">
        <v>2157</v>
      </c>
      <c r="F59" t="s">
        <v>1102</v>
      </c>
      <c r="G59" s="242">
        <v>0.46666666666666667</v>
      </c>
      <c r="H59" s="268">
        <v>4.3166666666666664</v>
      </c>
      <c r="I59" s="268">
        <v>3.6691666666666665</v>
      </c>
      <c r="J59" s="33">
        <v>220794.48912499996</v>
      </c>
      <c r="K59" s="33">
        <v>25900</v>
      </c>
    </row>
    <row r="60" spans="1:11" x14ac:dyDescent="0.25">
      <c r="A60"/>
      <c r="C60" s="578"/>
      <c r="D60" t="s">
        <v>2253</v>
      </c>
      <c r="E60" t="s">
        <v>2216</v>
      </c>
      <c r="F60" t="s">
        <v>461</v>
      </c>
      <c r="G60" s="242">
        <v>0.2</v>
      </c>
      <c r="H60" s="268">
        <v>2.3000000000000003</v>
      </c>
      <c r="I60" s="268">
        <v>1.9550000000000001</v>
      </c>
      <c r="J60" s="33">
        <v>117643.39575000001</v>
      </c>
      <c r="K60" s="33">
        <v>13800.000000000002</v>
      </c>
    </row>
    <row r="61" spans="1:11" x14ac:dyDescent="0.25">
      <c r="A61"/>
      <c r="C61" s="578"/>
      <c r="D61" t="s">
        <v>2197</v>
      </c>
      <c r="E61" t="s">
        <v>1573</v>
      </c>
      <c r="F61" t="s">
        <v>1102</v>
      </c>
      <c r="G61" s="242">
        <v>0.375</v>
      </c>
      <c r="H61" s="268">
        <v>0.75</v>
      </c>
      <c r="I61" s="268">
        <v>0.63749999999999996</v>
      </c>
      <c r="J61" s="33">
        <v>38361.976875</v>
      </c>
      <c r="K61" s="33">
        <v>4500</v>
      </c>
    </row>
    <row r="62" spans="1:11" x14ac:dyDescent="0.25">
      <c r="A62"/>
      <c r="C62" s="578"/>
      <c r="D62" t="s">
        <v>2327</v>
      </c>
      <c r="E62" t="s">
        <v>2328</v>
      </c>
      <c r="F62" t="s">
        <v>1102</v>
      </c>
      <c r="G62" s="242">
        <v>0.4</v>
      </c>
      <c r="H62" s="268">
        <v>4.7332000000000001</v>
      </c>
      <c r="I62" s="268">
        <v>4.0232200000000002</v>
      </c>
      <c r="J62" s="33">
        <v>242099.878593</v>
      </c>
      <c r="K62" s="33">
        <v>28399.200000000001</v>
      </c>
    </row>
    <row r="63" spans="1:11" x14ac:dyDescent="0.25">
      <c r="A63"/>
      <c r="C63" s="578"/>
      <c r="D63" t="s">
        <v>2343</v>
      </c>
      <c r="E63" t="s">
        <v>2354</v>
      </c>
      <c r="F63" t="s">
        <v>1102</v>
      </c>
      <c r="G63" s="242">
        <v>0.4</v>
      </c>
      <c r="H63" s="268">
        <v>1.4333333333333336</v>
      </c>
      <c r="I63" s="268">
        <v>1.2183333333333335</v>
      </c>
      <c r="J63" s="33">
        <v>47443.736100000002</v>
      </c>
      <c r="K63" s="33">
        <v>8600.0000000000018</v>
      </c>
    </row>
    <row r="64" spans="1:11" x14ac:dyDescent="0.25">
      <c r="A64"/>
      <c r="C64" s="578"/>
      <c r="D64" t="s">
        <v>2373</v>
      </c>
      <c r="E64" t="s">
        <v>2374</v>
      </c>
      <c r="F64" t="s">
        <v>11</v>
      </c>
      <c r="G64" s="242">
        <v>0.2</v>
      </c>
      <c r="H64" s="268">
        <v>0.70000000000000007</v>
      </c>
      <c r="I64" s="268">
        <v>0.59499999999999997</v>
      </c>
      <c r="J64" s="33">
        <v>26460.578550000002</v>
      </c>
      <c r="K64" s="33">
        <v>12530.000000000002</v>
      </c>
    </row>
    <row r="65" spans="1:11" x14ac:dyDescent="0.25">
      <c r="A65"/>
      <c r="C65" s="578"/>
      <c r="D65" t="s">
        <v>2372</v>
      </c>
      <c r="E65" t="s">
        <v>1565</v>
      </c>
      <c r="F65" t="s">
        <v>11</v>
      </c>
      <c r="G65" s="242">
        <v>0.1</v>
      </c>
      <c r="H65" s="268">
        <v>0.46250000000000002</v>
      </c>
      <c r="I65" s="268">
        <v>0.393125</v>
      </c>
      <c r="J65" s="33">
        <v>17482.882256249999</v>
      </c>
      <c r="K65" s="33">
        <v>8278.75</v>
      </c>
    </row>
    <row r="66" spans="1:11" x14ac:dyDescent="0.25">
      <c r="A66"/>
      <c r="B66" t="s">
        <v>776</v>
      </c>
      <c r="C66"/>
      <c r="H66" s="268">
        <v>62.460349242424236</v>
      </c>
      <c r="I66" s="268">
        <v>53.06629685606061</v>
      </c>
      <c r="J66" s="33">
        <v>2866527.4782142537</v>
      </c>
      <c r="K66" s="33">
        <v>401405.84545454546</v>
      </c>
    </row>
    <row r="67" spans="1:11" x14ac:dyDescent="0.25">
      <c r="A67"/>
      <c r="B67">
        <v>2193</v>
      </c>
      <c r="C67" s="578" t="s">
        <v>1102</v>
      </c>
      <c r="D67" t="s">
        <v>1532</v>
      </c>
      <c r="E67" t="s">
        <v>1565</v>
      </c>
      <c r="F67" t="s">
        <v>11</v>
      </c>
      <c r="G67" s="242">
        <v>0.2</v>
      </c>
      <c r="H67" s="268">
        <v>0.55000000000000004</v>
      </c>
      <c r="I67" s="268">
        <v>0.46750000000000003</v>
      </c>
      <c r="J67" s="33">
        <v>20790.454575</v>
      </c>
      <c r="K67" s="33">
        <v>9845</v>
      </c>
    </row>
    <row r="68" spans="1:11" x14ac:dyDescent="0.25">
      <c r="A68"/>
      <c r="C68" s="578"/>
      <c r="D68" t="s">
        <v>1530</v>
      </c>
      <c r="E68" t="s">
        <v>1389</v>
      </c>
      <c r="F68" t="s">
        <v>461</v>
      </c>
      <c r="G68" s="242">
        <v>0.26666666666666666</v>
      </c>
      <c r="H68" s="268">
        <v>1.9</v>
      </c>
      <c r="I68" s="268">
        <v>1.6149999999999998</v>
      </c>
      <c r="J68" s="33">
        <v>90870.978899999987</v>
      </c>
      <c r="K68" s="33">
        <v>42940</v>
      </c>
    </row>
    <row r="69" spans="1:11" x14ac:dyDescent="0.25">
      <c r="A69"/>
      <c r="C69" s="578"/>
      <c r="D69" t="s">
        <v>1502</v>
      </c>
      <c r="E69" t="s">
        <v>1517</v>
      </c>
      <c r="F69" t="s">
        <v>461</v>
      </c>
      <c r="G69" s="242">
        <v>0.26666666666666666</v>
      </c>
      <c r="H69" s="268">
        <v>0</v>
      </c>
      <c r="I69" s="268">
        <v>0</v>
      </c>
      <c r="J69" s="33">
        <v>0</v>
      </c>
      <c r="K69" s="33">
        <v>0</v>
      </c>
    </row>
    <row r="70" spans="1:11" x14ac:dyDescent="0.25">
      <c r="A70"/>
      <c r="C70" s="578"/>
      <c r="D70" t="s">
        <v>1523</v>
      </c>
      <c r="E70" t="s">
        <v>1524</v>
      </c>
      <c r="F70" t="s">
        <v>192</v>
      </c>
      <c r="G70" s="242">
        <v>0.4</v>
      </c>
      <c r="H70" s="268">
        <v>2.6997333333333335</v>
      </c>
      <c r="I70" s="268">
        <v>2.2947733333333331</v>
      </c>
      <c r="J70" s="33">
        <v>138089.47693599999</v>
      </c>
      <c r="K70" s="33">
        <v>16198.400000000001</v>
      </c>
    </row>
    <row r="71" spans="1:11" x14ac:dyDescent="0.25">
      <c r="A71"/>
      <c r="C71" s="578"/>
      <c r="D71" t="s">
        <v>1540</v>
      </c>
      <c r="E71" t="s">
        <v>1573</v>
      </c>
      <c r="F71" t="s">
        <v>192</v>
      </c>
      <c r="G71" s="242">
        <v>0.375</v>
      </c>
      <c r="H71" s="268">
        <v>0</v>
      </c>
      <c r="I71" s="268">
        <v>0</v>
      </c>
      <c r="J71" s="33">
        <v>0</v>
      </c>
      <c r="K71" s="33">
        <v>0</v>
      </c>
    </row>
    <row r="72" spans="1:11" x14ac:dyDescent="0.25">
      <c r="A72"/>
      <c r="C72" s="578"/>
      <c r="D72" t="s">
        <v>1583</v>
      </c>
      <c r="E72" t="s">
        <v>1584</v>
      </c>
      <c r="F72" t="s">
        <v>192</v>
      </c>
      <c r="G72" s="242">
        <v>0.26666666666666666</v>
      </c>
      <c r="H72" s="268">
        <v>0</v>
      </c>
      <c r="I72" s="268">
        <v>0</v>
      </c>
      <c r="J72" s="33">
        <v>0</v>
      </c>
      <c r="K72" s="33">
        <v>0</v>
      </c>
    </row>
    <row r="73" spans="1:11" x14ac:dyDescent="0.25">
      <c r="A73"/>
      <c r="C73" s="578"/>
      <c r="D73" t="s">
        <v>1542</v>
      </c>
      <c r="E73" t="s">
        <v>1575</v>
      </c>
      <c r="F73" t="s">
        <v>461</v>
      </c>
      <c r="G73" s="242">
        <v>0.22727272727272727</v>
      </c>
      <c r="H73" s="268">
        <v>3.416590909090909</v>
      </c>
      <c r="I73" s="268">
        <v>2.9041022727272727</v>
      </c>
      <c r="J73" s="33">
        <v>174756.24192784092</v>
      </c>
      <c r="K73" s="33">
        <v>20499.545454545456</v>
      </c>
    </row>
    <row r="74" spans="1:11" x14ac:dyDescent="0.25">
      <c r="A74"/>
      <c r="C74" s="578"/>
      <c r="D74" t="s">
        <v>1533</v>
      </c>
      <c r="H74" s="268">
        <v>2.9400999999999997</v>
      </c>
      <c r="I74" s="268">
        <v>2.499085</v>
      </c>
      <c r="J74" s="33">
        <v>150384.06428024999</v>
      </c>
      <c r="K74" s="33">
        <v>17640.599999999999</v>
      </c>
    </row>
    <row r="75" spans="1:11" x14ac:dyDescent="0.25">
      <c r="A75"/>
      <c r="C75" s="578"/>
      <c r="D75" t="s">
        <v>1610</v>
      </c>
      <c r="E75" t="s">
        <v>1631</v>
      </c>
      <c r="F75" t="s">
        <v>192</v>
      </c>
      <c r="G75" s="242">
        <v>0.4</v>
      </c>
      <c r="H75" s="268">
        <v>3.3666666666666671</v>
      </c>
      <c r="I75" s="268">
        <v>2.8616666666666668</v>
      </c>
      <c r="J75" s="33">
        <v>172202.65174999999</v>
      </c>
      <c r="K75" s="33">
        <v>20200.000000000004</v>
      </c>
    </row>
    <row r="76" spans="1:11" x14ac:dyDescent="0.25">
      <c r="A76"/>
      <c r="C76" s="578"/>
      <c r="D76" t="s">
        <v>1658</v>
      </c>
      <c r="E76" t="s">
        <v>1659</v>
      </c>
      <c r="F76" t="s">
        <v>461</v>
      </c>
      <c r="G76" s="242">
        <v>0.22727272727272727</v>
      </c>
      <c r="H76" s="268">
        <v>4.208333333333333</v>
      </c>
      <c r="I76" s="268">
        <v>3.5770833333333329</v>
      </c>
      <c r="J76" s="33">
        <v>215253.31468749998</v>
      </c>
      <c r="K76" s="33">
        <v>25250</v>
      </c>
    </row>
    <row r="77" spans="1:11" x14ac:dyDescent="0.25">
      <c r="A77"/>
      <c r="C77" s="578"/>
      <c r="D77" t="s">
        <v>1634</v>
      </c>
      <c r="E77" t="s">
        <v>1635</v>
      </c>
      <c r="F77" t="s">
        <v>176</v>
      </c>
      <c r="G77" s="242">
        <v>0.33333333333333331</v>
      </c>
      <c r="H77" s="268">
        <v>0.875</v>
      </c>
      <c r="I77" s="268">
        <v>0.74374999999999991</v>
      </c>
      <c r="J77" s="33">
        <v>28962.745875000001</v>
      </c>
      <c r="K77" s="33">
        <v>5250</v>
      </c>
    </row>
    <row r="78" spans="1:11" x14ac:dyDescent="0.25">
      <c r="A78"/>
      <c r="C78" s="578"/>
      <c r="D78" t="s">
        <v>1715</v>
      </c>
      <c r="E78" t="s">
        <v>1716</v>
      </c>
      <c r="F78" t="s">
        <v>461</v>
      </c>
      <c r="G78" s="242">
        <v>0.2</v>
      </c>
      <c r="H78" s="268">
        <v>0.1</v>
      </c>
      <c r="I78" s="268">
        <v>8.5000000000000006E-2</v>
      </c>
      <c r="J78" s="33">
        <v>5114.9302500000003</v>
      </c>
      <c r="K78" s="33">
        <v>600</v>
      </c>
    </row>
    <row r="79" spans="1:11" x14ac:dyDescent="0.25">
      <c r="A79"/>
      <c r="C79" s="578"/>
      <c r="D79" t="s">
        <v>1444</v>
      </c>
      <c r="E79" t="s">
        <v>1443</v>
      </c>
      <c r="F79" t="s">
        <v>192</v>
      </c>
      <c r="G79" s="242">
        <v>0.5</v>
      </c>
      <c r="H79" s="268">
        <v>0</v>
      </c>
      <c r="I79" s="268">
        <v>0</v>
      </c>
      <c r="J79" s="33">
        <v>0</v>
      </c>
      <c r="K79" s="33">
        <v>0</v>
      </c>
    </row>
    <row r="80" spans="1:11" x14ac:dyDescent="0.25">
      <c r="A80"/>
      <c r="C80" s="578"/>
      <c r="D80" t="s">
        <v>1867</v>
      </c>
      <c r="E80" t="s">
        <v>1868</v>
      </c>
      <c r="F80" t="s">
        <v>192</v>
      </c>
      <c r="G80" s="242">
        <v>0.26666666666666666</v>
      </c>
      <c r="H80" s="268">
        <v>2.8533333333333331</v>
      </c>
      <c r="I80" s="268">
        <v>2.4253333333333331</v>
      </c>
      <c r="J80" s="33">
        <v>94446.135119999992</v>
      </c>
      <c r="K80" s="33">
        <v>17120</v>
      </c>
    </row>
    <row r="81" spans="1:11" x14ac:dyDescent="0.25">
      <c r="A81"/>
      <c r="C81" s="578"/>
      <c r="D81" t="s">
        <v>1805</v>
      </c>
      <c r="E81" t="s">
        <v>1818</v>
      </c>
      <c r="F81" t="s">
        <v>461</v>
      </c>
      <c r="G81" s="242">
        <v>0.2</v>
      </c>
      <c r="H81" s="268">
        <v>2.6500000000000004</v>
      </c>
      <c r="I81" s="268">
        <v>2.2524999999999999</v>
      </c>
      <c r="J81" s="33">
        <v>126741.10215000001</v>
      </c>
      <c r="K81" s="33">
        <v>59890.000000000007</v>
      </c>
    </row>
    <row r="82" spans="1:11" x14ac:dyDescent="0.25">
      <c r="A82"/>
      <c r="C82" s="578"/>
      <c r="D82" t="s">
        <v>1979</v>
      </c>
      <c r="E82" t="s">
        <v>1392</v>
      </c>
      <c r="F82" t="s">
        <v>11</v>
      </c>
      <c r="G82" s="242">
        <v>0.1</v>
      </c>
      <c r="H82" s="268">
        <v>0.95000000000000007</v>
      </c>
      <c r="I82" s="268">
        <v>0.8075</v>
      </c>
      <c r="J82" s="33">
        <v>35910.785175000005</v>
      </c>
      <c r="K82" s="33">
        <v>17005</v>
      </c>
    </row>
    <row r="83" spans="1:11" x14ac:dyDescent="0.25">
      <c r="A83"/>
      <c r="C83" s="578"/>
      <c r="D83" t="s">
        <v>2149</v>
      </c>
      <c r="E83" t="s">
        <v>2213</v>
      </c>
      <c r="F83" t="s">
        <v>192</v>
      </c>
      <c r="G83" s="242">
        <v>0.2</v>
      </c>
      <c r="H83" s="268">
        <v>4.3</v>
      </c>
      <c r="I83" s="268">
        <v>3.6549999999999998</v>
      </c>
      <c r="J83" s="33">
        <v>219942.00075000001</v>
      </c>
      <c r="K83" s="33">
        <v>25800</v>
      </c>
    </row>
    <row r="84" spans="1:11" x14ac:dyDescent="0.25">
      <c r="A84"/>
      <c r="C84" s="578"/>
      <c r="D84" t="s">
        <v>2173</v>
      </c>
      <c r="E84" t="s">
        <v>2178</v>
      </c>
      <c r="F84" t="s">
        <v>192</v>
      </c>
      <c r="G84" s="242">
        <v>0.4</v>
      </c>
      <c r="H84" s="268">
        <v>4.4000000000000004</v>
      </c>
      <c r="I84" s="268">
        <v>3.74</v>
      </c>
      <c r="J84" s="33">
        <v>225056.93100000001</v>
      </c>
      <c r="K84" s="33">
        <v>26400.000000000004</v>
      </c>
    </row>
    <row r="85" spans="1:11" x14ac:dyDescent="0.25">
      <c r="A85"/>
      <c r="C85" s="578"/>
      <c r="D85" t="s">
        <v>2174</v>
      </c>
      <c r="E85" t="s">
        <v>1443</v>
      </c>
      <c r="F85" t="s">
        <v>192</v>
      </c>
      <c r="G85" s="242">
        <v>0.5</v>
      </c>
      <c r="H85" s="268">
        <v>13.5</v>
      </c>
      <c r="I85" s="268">
        <v>11.475000000000001</v>
      </c>
      <c r="J85" s="33">
        <v>615378.30300000007</v>
      </c>
      <c r="K85" s="33">
        <v>48600</v>
      </c>
    </row>
    <row r="86" spans="1:11" x14ac:dyDescent="0.25">
      <c r="A86"/>
      <c r="C86" s="578"/>
      <c r="D86" t="s">
        <v>2253</v>
      </c>
      <c r="E86" t="s">
        <v>2216</v>
      </c>
      <c r="F86" t="s">
        <v>461</v>
      </c>
      <c r="G86" s="242">
        <v>0.2</v>
      </c>
      <c r="H86" s="268">
        <v>2.3000000000000003</v>
      </c>
      <c r="I86" s="268">
        <v>1.9550000000000001</v>
      </c>
      <c r="J86" s="33">
        <v>117643.39575000001</v>
      </c>
      <c r="K86" s="33">
        <v>13800.000000000002</v>
      </c>
    </row>
    <row r="87" spans="1:11" x14ac:dyDescent="0.25">
      <c r="A87"/>
      <c r="C87" s="578"/>
      <c r="D87" t="s">
        <v>2209</v>
      </c>
      <c r="E87" t="s">
        <v>2211</v>
      </c>
      <c r="F87" t="s">
        <v>192</v>
      </c>
      <c r="G87" s="242">
        <v>0.4</v>
      </c>
      <c r="H87" s="268">
        <v>3.0668000000000002</v>
      </c>
      <c r="I87" s="268">
        <v>2.6067800000000001</v>
      </c>
      <c r="J87" s="33">
        <v>156864.680907</v>
      </c>
      <c r="K87" s="33">
        <v>18400.800000000003</v>
      </c>
    </row>
    <row r="88" spans="1:11" x14ac:dyDescent="0.25">
      <c r="A88"/>
      <c r="C88" s="578"/>
      <c r="D88" t="s">
        <v>2373</v>
      </c>
      <c r="E88" t="s">
        <v>2374</v>
      </c>
      <c r="F88" t="s">
        <v>11</v>
      </c>
      <c r="G88" s="242">
        <v>0.2</v>
      </c>
      <c r="H88" s="268">
        <v>0.70000000000000007</v>
      </c>
      <c r="I88" s="268">
        <v>0.59499999999999997</v>
      </c>
      <c r="J88" s="33">
        <v>26460.578550000002</v>
      </c>
      <c r="K88" s="33">
        <v>12530.000000000002</v>
      </c>
    </row>
    <row r="89" spans="1:11" x14ac:dyDescent="0.25">
      <c r="A89"/>
      <c r="C89" s="578"/>
      <c r="D89" t="s">
        <v>2372</v>
      </c>
      <c r="E89" t="s">
        <v>1565</v>
      </c>
      <c r="F89" t="s">
        <v>11</v>
      </c>
      <c r="G89" s="242">
        <v>0.1</v>
      </c>
      <c r="H89" s="268">
        <v>0.46250000000000002</v>
      </c>
      <c r="I89" s="268">
        <v>0.393125</v>
      </c>
      <c r="J89" s="33">
        <v>17482.882256249999</v>
      </c>
      <c r="K89" s="33">
        <v>8278.75</v>
      </c>
    </row>
    <row r="90" spans="1:11" x14ac:dyDescent="0.25">
      <c r="A90"/>
      <c r="B90" t="s">
        <v>833</v>
      </c>
      <c r="C90"/>
      <c r="H90" s="268">
        <v>55.23905757575757</v>
      </c>
      <c r="I90" s="268">
        <v>46.953198939393943</v>
      </c>
      <c r="J90" s="33">
        <v>2632351.653839841</v>
      </c>
      <c r="K90" s="33">
        <v>406248.0954545454</v>
      </c>
    </row>
    <row r="91" spans="1:11" x14ac:dyDescent="0.25">
      <c r="A91"/>
      <c r="B91">
        <v>2200</v>
      </c>
      <c r="C91" s="578" t="s">
        <v>194</v>
      </c>
      <c r="D91" t="s">
        <v>1252</v>
      </c>
      <c r="E91" t="s">
        <v>1256</v>
      </c>
      <c r="F91" t="s">
        <v>192</v>
      </c>
      <c r="G91" s="242">
        <v>0.4</v>
      </c>
      <c r="H91" s="268">
        <v>17.41</v>
      </c>
      <c r="I91" s="268">
        <v>14.798499999999999</v>
      </c>
      <c r="J91" s="33">
        <v>890509.35652499995</v>
      </c>
      <c r="K91" s="33">
        <v>104460</v>
      </c>
    </row>
    <row r="92" spans="1:11" x14ac:dyDescent="0.25">
      <c r="A92"/>
      <c r="C92" s="578"/>
      <c r="D92" t="s">
        <v>1534</v>
      </c>
      <c r="E92" t="s">
        <v>1572</v>
      </c>
      <c r="F92" t="s">
        <v>1102</v>
      </c>
      <c r="G92" s="242">
        <v>0.25</v>
      </c>
      <c r="H92" s="268">
        <v>1.9665833333333333</v>
      </c>
      <c r="I92" s="268">
        <v>1.6715958333333332</v>
      </c>
      <c r="J92" s="33">
        <v>100589.365808125</v>
      </c>
      <c r="K92" s="33">
        <v>11799.5</v>
      </c>
    </row>
    <row r="93" spans="1:11" x14ac:dyDescent="0.25">
      <c r="A93"/>
      <c r="C93" s="578"/>
      <c r="D93" t="s">
        <v>1531</v>
      </c>
      <c r="E93" t="s">
        <v>1571</v>
      </c>
      <c r="F93" t="s">
        <v>1102</v>
      </c>
      <c r="G93" s="242">
        <v>8.3333333333333329E-2</v>
      </c>
      <c r="H93" s="268">
        <v>0.51666666666666661</v>
      </c>
      <c r="I93" s="268">
        <v>0.43916666666666659</v>
      </c>
      <c r="J93" s="33">
        <v>26427.139624999996</v>
      </c>
      <c r="K93" s="33">
        <v>3099.9999999999995</v>
      </c>
    </row>
    <row r="94" spans="1:11" x14ac:dyDescent="0.25">
      <c r="A94"/>
      <c r="C94" s="578"/>
      <c r="D94" t="s">
        <v>1523</v>
      </c>
      <c r="E94" t="s">
        <v>1524</v>
      </c>
      <c r="F94" t="s">
        <v>192</v>
      </c>
      <c r="G94" s="242">
        <v>0.1</v>
      </c>
      <c r="H94" s="268">
        <v>0.67493333333333339</v>
      </c>
      <c r="I94" s="268">
        <v>0.57369333333333328</v>
      </c>
      <c r="J94" s="33">
        <v>34522.369233999998</v>
      </c>
      <c r="K94" s="33">
        <v>4049.6000000000004</v>
      </c>
    </row>
    <row r="95" spans="1:11" x14ac:dyDescent="0.25">
      <c r="A95"/>
      <c r="C95" s="578"/>
      <c r="D95" t="s">
        <v>1540</v>
      </c>
      <c r="E95" t="s">
        <v>1573</v>
      </c>
      <c r="F95" t="s">
        <v>192</v>
      </c>
      <c r="G95" s="242">
        <v>0.25</v>
      </c>
      <c r="H95" s="268">
        <v>0</v>
      </c>
      <c r="I95" s="268">
        <v>0</v>
      </c>
      <c r="J95" s="33">
        <v>0</v>
      </c>
      <c r="K95" s="33">
        <v>0</v>
      </c>
    </row>
    <row r="96" spans="1:11" x14ac:dyDescent="0.25">
      <c r="A96"/>
      <c r="C96" s="578"/>
      <c r="D96" t="s">
        <v>1541</v>
      </c>
      <c r="E96" t="s">
        <v>1574</v>
      </c>
      <c r="F96" t="s">
        <v>192</v>
      </c>
      <c r="G96" s="242">
        <v>0.25</v>
      </c>
      <c r="H96" s="268">
        <v>2.2000000000000002</v>
      </c>
      <c r="I96" s="268">
        <v>1.87</v>
      </c>
      <c r="J96" s="33">
        <v>112528.46550000001</v>
      </c>
      <c r="K96" s="33">
        <v>13200.000000000002</v>
      </c>
    </row>
    <row r="97" spans="1:11" x14ac:dyDescent="0.25">
      <c r="A97"/>
      <c r="C97" s="578"/>
      <c r="D97" t="s">
        <v>1610</v>
      </c>
      <c r="E97" t="s">
        <v>1631</v>
      </c>
      <c r="F97" t="s">
        <v>192</v>
      </c>
      <c r="G97" s="242">
        <v>0.1</v>
      </c>
      <c r="H97" s="268">
        <v>0.84166666666666679</v>
      </c>
      <c r="I97" s="268">
        <v>0.7154166666666667</v>
      </c>
      <c r="J97" s="33">
        <v>43050.662937499997</v>
      </c>
      <c r="K97" s="33">
        <v>5050.0000000000009</v>
      </c>
    </row>
    <row r="98" spans="1:11" x14ac:dyDescent="0.25">
      <c r="A98"/>
      <c r="C98" s="578"/>
      <c r="D98" t="s">
        <v>1642</v>
      </c>
      <c r="E98" t="s">
        <v>1643</v>
      </c>
      <c r="F98" t="s">
        <v>192</v>
      </c>
      <c r="G98" s="242">
        <v>0.25</v>
      </c>
      <c r="H98" s="268">
        <v>3.333333333333333</v>
      </c>
      <c r="I98" s="268">
        <v>2.833333333333333</v>
      </c>
      <c r="J98" s="33">
        <v>170497.67499999999</v>
      </c>
      <c r="K98" s="33">
        <v>20000</v>
      </c>
    </row>
    <row r="99" spans="1:11" x14ac:dyDescent="0.25">
      <c r="A99"/>
      <c r="C99" s="578"/>
      <c r="D99" t="s">
        <v>1864</v>
      </c>
      <c r="E99" t="s">
        <v>1865</v>
      </c>
      <c r="F99" t="s">
        <v>192</v>
      </c>
      <c r="G99" s="242">
        <v>0.2</v>
      </c>
      <c r="H99" s="268">
        <v>2.375</v>
      </c>
      <c r="I99" s="268">
        <v>2.0187500000000003</v>
      </c>
      <c r="J99" s="33">
        <v>78613.167375000005</v>
      </c>
      <c r="K99" s="33">
        <v>14250</v>
      </c>
    </row>
    <row r="100" spans="1:11" x14ac:dyDescent="0.25">
      <c r="A100"/>
      <c r="C100" s="578"/>
      <c r="D100" t="s">
        <v>1867</v>
      </c>
      <c r="E100" t="s">
        <v>1868</v>
      </c>
      <c r="F100" t="s">
        <v>192</v>
      </c>
      <c r="G100" s="242">
        <v>0.26666666666666666</v>
      </c>
      <c r="H100" s="268">
        <v>2.8533333333333331</v>
      </c>
      <c r="I100" s="268">
        <v>2.4253333333333331</v>
      </c>
      <c r="J100" s="33">
        <v>94446.135119999992</v>
      </c>
      <c r="K100" s="33">
        <v>17120</v>
      </c>
    </row>
    <row r="101" spans="1:11" x14ac:dyDescent="0.25">
      <c r="A101"/>
      <c r="C101" s="578"/>
      <c r="D101" t="s">
        <v>2210</v>
      </c>
      <c r="E101" t="s">
        <v>2212</v>
      </c>
      <c r="F101" t="s">
        <v>172</v>
      </c>
      <c r="G101" s="242">
        <v>0.2</v>
      </c>
      <c r="H101" s="268">
        <v>1.5</v>
      </c>
      <c r="I101" s="268">
        <v>1.2750000000000001</v>
      </c>
      <c r="J101" s="33">
        <v>76723.953750000001</v>
      </c>
      <c r="K101" s="33">
        <v>9000</v>
      </c>
    </row>
    <row r="102" spans="1:11" x14ac:dyDescent="0.25">
      <c r="A102"/>
      <c r="C102" s="578"/>
      <c r="D102" t="s">
        <v>2256</v>
      </c>
      <c r="E102" t="s">
        <v>442</v>
      </c>
      <c r="F102" t="s">
        <v>192</v>
      </c>
      <c r="G102" s="242">
        <v>0.5</v>
      </c>
      <c r="H102" s="268">
        <v>6.9375</v>
      </c>
      <c r="I102" s="268">
        <v>5.8968749999999996</v>
      </c>
      <c r="J102" s="33">
        <v>229633.19943750001</v>
      </c>
      <c r="K102" s="33">
        <v>41625</v>
      </c>
    </row>
    <row r="103" spans="1:11" x14ac:dyDescent="0.25">
      <c r="A103"/>
      <c r="B103" t="s">
        <v>1648</v>
      </c>
      <c r="C103"/>
      <c r="H103" s="268">
        <v>40.609016666666662</v>
      </c>
      <c r="I103" s="268">
        <v>34.517664166666663</v>
      </c>
      <c r="J103" s="33">
        <v>1857541.4903121251</v>
      </c>
      <c r="K103" s="33">
        <v>243654.1</v>
      </c>
    </row>
    <row r="104" spans="1:11" x14ac:dyDescent="0.25">
      <c r="A104"/>
      <c r="B104">
        <v>2220</v>
      </c>
      <c r="C104" s="578" t="s">
        <v>195</v>
      </c>
      <c r="D104" t="s">
        <v>512</v>
      </c>
      <c r="E104" t="s">
        <v>556</v>
      </c>
      <c r="F104" t="s">
        <v>198</v>
      </c>
      <c r="G104" s="242">
        <v>0.4</v>
      </c>
      <c r="H104" s="268">
        <v>3.8000000000000003</v>
      </c>
      <c r="I104" s="268">
        <v>3.23</v>
      </c>
      <c r="J104" s="33">
        <v>125781.06779999999</v>
      </c>
      <c r="K104" s="33">
        <v>22800</v>
      </c>
    </row>
    <row r="105" spans="1:11" x14ac:dyDescent="0.25">
      <c r="A105"/>
      <c r="B105" t="s">
        <v>1649</v>
      </c>
      <c r="C105"/>
      <c r="H105" s="268">
        <v>3.8000000000000003</v>
      </c>
      <c r="I105" s="268">
        <v>3.23</v>
      </c>
      <c r="J105" s="33">
        <v>125781.06779999999</v>
      </c>
      <c r="K105" s="33">
        <v>22800</v>
      </c>
    </row>
    <row r="106" spans="1:11" x14ac:dyDescent="0.25">
      <c r="A106"/>
      <c r="B106">
        <v>2271</v>
      </c>
      <c r="C106" s="578" t="s">
        <v>196</v>
      </c>
      <c r="D106" t="s">
        <v>511</v>
      </c>
      <c r="E106" t="s">
        <v>555</v>
      </c>
      <c r="F106" t="s">
        <v>198</v>
      </c>
      <c r="G106" s="242">
        <v>0.24000000000000002</v>
      </c>
      <c r="H106" s="268">
        <v>2.8800000000000003</v>
      </c>
      <c r="I106" s="268">
        <v>2.448</v>
      </c>
      <c r="J106" s="33">
        <v>95328.809280000001</v>
      </c>
      <c r="K106" s="33">
        <v>17280.000000000004</v>
      </c>
    </row>
    <row r="107" spans="1:11" x14ac:dyDescent="0.25">
      <c r="A107"/>
      <c r="C107" s="578"/>
      <c r="D107" t="s">
        <v>600</v>
      </c>
      <c r="E107" t="s">
        <v>615</v>
      </c>
      <c r="F107" t="s">
        <v>198</v>
      </c>
      <c r="G107" s="242">
        <v>0.26999999999999996</v>
      </c>
      <c r="H107" s="268">
        <v>2.5649999999999995</v>
      </c>
      <c r="I107" s="268">
        <v>2.1802499999999996</v>
      </c>
      <c r="J107" s="33">
        <v>84902.220764999991</v>
      </c>
      <c r="K107" s="33">
        <v>15389.999999999996</v>
      </c>
    </row>
    <row r="108" spans="1:11" x14ac:dyDescent="0.25">
      <c r="A108"/>
      <c r="B108" t="s">
        <v>1650</v>
      </c>
      <c r="C108"/>
      <c r="H108" s="268">
        <v>5.4450000000000003</v>
      </c>
      <c r="I108" s="268">
        <v>4.6282499999999995</v>
      </c>
      <c r="J108" s="33">
        <v>180231.03004499999</v>
      </c>
      <c r="K108" s="33">
        <v>32670</v>
      </c>
    </row>
    <row r="109" spans="1:11" x14ac:dyDescent="0.25">
      <c r="A109"/>
      <c r="B109">
        <v>2272</v>
      </c>
      <c r="C109" s="578" t="s">
        <v>200</v>
      </c>
      <c r="D109" t="s">
        <v>1124</v>
      </c>
      <c r="E109" t="s">
        <v>1110</v>
      </c>
      <c r="F109" t="s">
        <v>172</v>
      </c>
      <c r="G109" s="242">
        <v>0.2</v>
      </c>
      <c r="H109" s="268">
        <v>8.6219999999999999</v>
      </c>
      <c r="I109" s="268">
        <v>7.3286999999999995</v>
      </c>
      <c r="J109" s="33">
        <v>441009.28615499998</v>
      </c>
      <c r="K109" s="33">
        <v>51732</v>
      </c>
    </row>
    <row r="110" spans="1:11" x14ac:dyDescent="0.25">
      <c r="A110"/>
      <c r="B110" t="s">
        <v>1651</v>
      </c>
      <c r="C110"/>
      <c r="H110" s="268">
        <v>8.6219999999999999</v>
      </c>
      <c r="I110" s="268">
        <v>7.3286999999999995</v>
      </c>
      <c r="J110" s="33">
        <v>441009.28615499998</v>
      </c>
      <c r="K110" s="33">
        <v>51732</v>
      </c>
    </row>
    <row r="111" spans="1:11" x14ac:dyDescent="0.25">
      <c r="A111"/>
      <c r="B111">
        <v>2300</v>
      </c>
      <c r="C111" s="578" t="s">
        <v>197</v>
      </c>
      <c r="D111" t="s">
        <v>1122</v>
      </c>
      <c r="E111" t="s">
        <v>1198</v>
      </c>
      <c r="F111" t="s">
        <v>1102</v>
      </c>
      <c r="G111" s="242">
        <v>0.25</v>
      </c>
      <c r="H111" s="268">
        <v>2.2000000000000002</v>
      </c>
      <c r="I111" s="268">
        <v>1.87</v>
      </c>
      <c r="J111" s="33">
        <v>112528.46550000001</v>
      </c>
      <c r="K111" s="33">
        <v>13200.000000000002</v>
      </c>
    </row>
    <row r="112" spans="1:11" x14ac:dyDescent="0.25">
      <c r="A112"/>
      <c r="C112" s="578"/>
      <c r="D112" t="s">
        <v>1254</v>
      </c>
      <c r="E112" t="s">
        <v>1257</v>
      </c>
      <c r="F112" t="s">
        <v>192</v>
      </c>
      <c r="G112" s="242">
        <v>0.25</v>
      </c>
      <c r="H112" s="268">
        <v>3.75</v>
      </c>
      <c r="I112" s="268">
        <v>3.1875</v>
      </c>
      <c r="J112" s="33">
        <v>191809.88437499999</v>
      </c>
      <c r="K112" s="33">
        <v>22500</v>
      </c>
    </row>
    <row r="113" spans="1:11" x14ac:dyDescent="0.25">
      <c r="A113"/>
      <c r="C113" s="578"/>
      <c r="D113" t="s">
        <v>1025</v>
      </c>
      <c r="E113" t="s">
        <v>1191</v>
      </c>
      <c r="F113" t="s">
        <v>198</v>
      </c>
      <c r="G113" s="242">
        <v>0.5</v>
      </c>
      <c r="H113" s="268">
        <v>0</v>
      </c>
      <c r="I113" s="268">
        <v>0</v>
      </c>
      <c r="J113" s="33">
        <v>0</v>
      </c>
      <c r="K113" s="33">
        <v>0</v>
      </c>
    </row>
    <row r="114" spans="1:11" x14ac:dyDescent="0.25">
      <c r="A114"/>
      <c r="C114" s="578"/>
      <c r="D114" t="s">
        <v>1542</v>
      </c>
      <c r="E114" t="s">
        <v>1575</v>
      </c>
      <c r="F114" t="s">
        <v>461</v>
      </c>
      <c r="G114" s="242">
        <v>9.0909090909090912E-2</v>
      </c>
      <c r="H114" s="268">
        <v>1.3666363636363636</v>
      </c>
      <c r="I114" s="268">
        <v>1.1616409090909092</v>
      </c>
      <c r="J114" s="33">
        <v>69902.496771136357</v>
      </c>
      <c r="K114" s="33">
        <v>8199.818181818182</v>
      </c>
    </row>
    <row r="115" spans="1:11" x14ac:dyDescent="0.25">
      <c r="A115"/>
      <c r="C115" s="578"/>
      <c r="D115" t="s">
        <v>1533</v>
      </c>
      <c r="H115" s="268">
        <v>0.98003333333333331</v>
      </c>
      <c r="I115" s="268">
        <v>0.83302833333333348</v>
      </c>
      <c r="J115" s="33">
        <v>50128.021426750005</v>
      </c>
      <c r="K115" s="33">
        <v>5880.2</v>
      </c>
    </row>
    <row r="116" spans="1:11" x14ac:dyDescent="0.25">
      <c r="A116"/>
      <c r="C116" s="578"/>
      <c r="D116" t="s">
        <v>1658</v>
      </c>
      <c r="E116" t="s">
        <v>1659</v>
      </c>
      <c r="F116" t="s">
        <v>461</v>
      </c>
      <c r="G116" s="242">
        <v>9.0909090909090912E-2</v>
      </c>
      <c r="H116" s="268">
        <v>1.6833333333333333</v>
      </c>
      <c r="I116" s="268">
        <v>1.4308333333333334</v>
      </c>
      <c r="J116" s="33">
        <v>86101.325874999995</v>
      </c>
      <c r="K116" s="33">
        <v>10100</v>
      </c>
    </row>
    <row r="117" spans="1:11" x14ac:dyDescent="0.25">
      <c r="A117"/>
      <c r="C117" s="578"/>
      <c r="D117" t="s">
        <v>2150</v>
      </c>
      <c r="E117" t="s">
        <v>2214</v>
      </c>
      <c r="F117" t="s">
        <v>172</v>
      </c>
      <c r="G117" s="242">
        <v>6.6666666666666666E-2</v>
      </c>
      <c r="H117" s="268">
        <v>1.6833333333333333</v>
      </c>
      <c r="I117" s="268">
        <v>1.4308333333333332</v>
      </c>
      <c r="J117" s="33">
        <v>86101.325874999995</v>
      </c>
      <c r="K117" s="33">
        <v>10100</v>
      </c>
    </row>
    <row r="118" spans="1:11" x14ac:dyDescent="0.25">
      <c r="A118"/>
      <c r="B118" t="s">
        <v>1652</v>
      </c>
      <c r="C118"/>
      <c r="H118" s="268">
        <v>11.663336363636365</v>
      </c>
      <c r="I118" s="268">
        <v>9.9138359090909098</v>
      </c>
      <c r="J118" s="33">
        <v>596571.51982288633</v>
      </c>
      <c r="K118" s="33">
        <v>69980.018181818188</v>
      </c>
    </row>
    <row r="119" spans="1:11" x14ac:dyDescent="0.25">
      <c r="A119"/>
      <c r="B119">
        <v>2340</v>
      </c>
      <c r="C119" s="578" t="s">
        <v>198</v>
      </c>
      <c r="D119" t="s">
        <v>919</v>
      </c>
      <c r="E119" t="s">
        <v>748</v>
      </c>
      <c r="F119" t="s">
        <v>1102</v>
      </c>
      <c r="G119" s="242">
        <v>0.7</v>
      </c>
      <c r="H119" s="268">
        <v>3.6168999999999998</v>
      </c>
      <c r="I119" s="268">
        <v>3.0743649999999993</v>
      </c>
      <c r="J119" s="33">
        <v>119720.4063489</v>
      </c>
      <c r="K119" s="33">
        <v>21701.399999999998</v>
      </c>
    </row>
    <row r="120" spans="1:11" x14ac:dyDescent="0.25">
      <c r="A120"/>
      <c r="C120" s="578"/>
      <c r="D120" t="s">
        <v>1578</v>
      </c>
      <c r="E120" t="s">
        <v>1579</v>
      </c>
      <c r="F120" t="s">
        <v>1102</v>
      </c>
      <c r="G120" s="242">
        <v>0.2</v>
      </c>
      <c r="H120" s="268">
        <v>0</v>
      </c>
      <c r="I120" s="268">
        <v>0</v>
      </c>
      <c r="J120" s="33">
        <v>0</v>
      </c>
      <c r="K120" s="33">
        <v>0</v>
      </c>
    </row>
    <row r="121" spans="1:11" x14ac:dyDescent="0.25">
      <c r="A121"/>
      <c r="B121" t="s">
        <v>834</v>
      </c>
      <c r="C121"/>
      <c r="H121" s="268">
        <v>3.6168999999999998</v>
      </c>
      <c r="I121" s="268">
        <v>3.0743649999999993</v>
      </c>
      <c r="J121" s="33">
        <v>119720.4063489</v>
      </c>
      <c r="K121" s="33">
        <v>21701.399999999998</v>
      </c>
    </row>
    <row r="122" spans="1:11" x14ac:dyDescent="0.25">
      <c r="A122"/>
      <c r="B122">
        <v>2360</v>
      </c>
      <c r="C122" s="578" t="s">
        <v>199</v>
      </c>
      <c r="D122" t="s">
        <v>511</v>
      </c>
      <c r="E122" t="s">
        <v>555</v>
      </c>
      <c r="F122" t="s">
        <v>198</v>
      </c>
      <c r="G122" s="242">
        <v>0.16</v>
      </c>
      <c r="H122" s="268">
        <v>1.92</v>
      </c>
      <c r="I122" s="268">
        <v>1.6319999999999999</v>
      </c>
      <c r="J122" s="33">
        <v>63552.539519999998</v>
      </c>
      <c r="K122" s="33">
        <v>11520</v>
      </c>
    </row>
    <row r="123" spans="1:11" x14ac:dyDescent="0.25">
      <c r="A123"/>
      <c r="C123" s="578"/>
      <c r="D123" t="s">
        <v>600</v>
      </c>
      <c r="E123" t="s">
        <v>615</v>
      </c>
      <c r="F123" t="s">
        <v>198</v>
      </c>
      <c r="G123" s="242">
        <v>0.18000000000000002</v>
      </c>
      <c r="H123" s="268">
        <v>1.7100000000000002</v>
      </c>
      <c r="I123" s="268">
        <v>1.4535</v>
      </c>
      <c r="J123" s="33">
        <v>56601.480510000001</v>
      </c>
      <c r="K123" s="33">
        <v>10260.000000000002</v>
      </c>
    </row>
    <row r="124" spans="1:11" x14ac:dyDescent="0.25">
      <c r="A124"/>
      <c r="C124" s="578"/>
      <c r="D124" t="s">
        <v>1982</v>
      </c>
      <c r="E124" t="s">
        <v>1997</v>
      </c>
      <c r="F124" t="s">
        <v>172</v>
      </c>
      <c r="G124" s="242">
        <v>0.25</v>
      </c>
      <c r="H124" s="268">
        <v>4.375</v>
      </c>
      <c r="I124" s="268">
        <v>3.71875</v>
      </c>
      <c r="J124" s="33">
        <v>144813.729375</v>
      </c>
      <c r="K124" s="33">
        <v>26250</v>
      </c>
    </row>
    <row r="125" spans="1:11" x14ac:dyDescent="0.25">
      <c r="A125"/>
      <c r="B125" t="s">
        <v>1653</v>
      </c>
      <c r="C125"/>
      <c r="H125" s="268">
        <v>8.004999999999999</v>
      </c>
      <c r="I125" s="268">
        <v>6.8042499999999997</v>
      </c>
      <c r="J125" s="33">
        <v>264967.74940500001</v>
      </c>
      <c r="K125" s="33">
        <v>48030</v>
      </c>
    </row>
    <row r="126" spans="1:11" x14ac:dyDescent="0.25">
      <c r="A126"/>
      <c r="B126">
        <v>2500</v>
      </c>
      <c r="C126" s="578" t="s">
        <v>2018</v>
      </c>
      <c r="D126" t="s">
        <v>849</v>
      </c>
      <c r="E126" t="s">
        <v>1154</v>
      </c>
      <c r="F126" t="s">
        <v>172</v>
      </c>
      <c r="G126" s="242">
        <v>0.16666666666666666</v>
      </c>
      <c r="H126" s="268">
        <v>1.0833333333333333</v>
      </c>
      <c r="I126" s="268">
        <v>0.91249999999999987</v>
      </c>
      <c r="J126" s="33">
        <v>35723.462249999997</v>
      </c>
      <c r="K126" s="33">
        <v>6500</v>
      </c>
    </row>
    <row r="127" spans="1:11" x14ac:dyDescent="0.25">
      <c r="A127"/>
      <c r="B127" t="s">
        <v>893</v>
      </c>
      <c r="C127"/>
      <c r="H127" s="268">
        <v>1.0833333333333333</v>
      </c>
      <c r="I127" s="268">
        <v>0.91249999999999987</v>
      </c>
      <c r="J127" s="33">
        <v>35723.462249999997</v>
      </c>
      <c r="K127" s="33">
        <v>6500</v>
      </c>
    </row>
    <row r="128" spans="1:11" x14ac:dyDescent="0.25">
      <c r="A128"/>
      <c r="B128">
        <v>2650</v>
      </c>
      <c r="C128" s="578" t="s">
        <v>2145</v>
      </c>
      <c r="D128" t="s">
        <v>1550</v>
      </c>
      <c r="E128" t="s">
        <v>1566</v>
      </c>
      <c r="F128" t="s">
        <v>192</v>
      </c>
      <c r="G128" s="242">
        <v>0.15</v>
      </c>
      <c r="H128" s="268">
        <v>3.8249999999999997</v>
      </c>
      <c r="I128" s="268">
        <v>3.2137500000000001</v>
      </c>
      <c r="J128" s="33">
        <v>276384.61912499997</v>
      </c>
      <c r="K128" s="33">
        <v>136552.5</v>
      </c>
    </row>
    <row r="129" spans="1:11" x14ac:dyDescent="0.25">
      <c r="A129"/>
      <c r="B129" t="s">
        <v>2146</v>
      </c>
      <c r="C129"/>
      <c r="H129" s="268">
        <v>3.8249999999999997</v>
      </c>
      <c r="I129" s="268">
        <v>3.2137500000000001</v>
      </c>
      <c r="J129" s="33">
        <v>276384.61912499997</v>
      </c>
      <c r="K129" s="33">
        <v>136552.5</v>
      </c>
    </row>
    <row r="130" spans="1:11" x14ac:dyDescent="0.25">
      <c r="A130" s="242" t="s">
        <v>1654</v>
      </c>
      <c r="B130" s="242"/>
      <c r="C130" s="242"/>
      <c r="D130" s="242"/>
      <c r="E130" s="242"/>
      <c r="F130" s="242"/>
      <c r="G130" s="242"/>
      <c r="H130" s="268">
        <v>204.36899318181818</v>
      </c>
      <c r="I130" s="268">
        <v>173.64281087121213</v>
      </c>
      <c r="J130" s="33">
        <v>9396809.7633180022</v>
      </c>
      <c r="K130" s="33">
        <v>1441273.959090909</v>
      </c>
    </row>
    <row r="131" spans="1:11" x14ac:dyDescent="0.25">
      <c r="A131" t="s">
        <v>75</v>
      </c>
      <c r="B131">
        <v>5100</v>
      </c>
      <c r="C131" s="578" t="s">
        <v>164</v>
      </c>
      <c r="D131" t="s">
        <v>1800</v>
      </c>
      <c r="E131" t="s">
        <v>1757</v>
      </c>
      <c r="F131" t="s">
        <v>2018</v>
      </c>
      <c r="G131" s="242">
        <v>0.5</v>
      </c>
      <c r="H131" s="268">
        <v>0</v>
      </c>
      <c r="I131" s="268">
        <v>0</v>
      </c>
      <c r="J131" s="33">
        <v>0</v>
      </c>
      <c r="K131" s="33">
        <v>0</v>
      </c>
    </row>
    <row r="132" spans="1:11" x14ac:dyDescent="0.25">
      <c r="A132"/>
      <c r="B132" t="s">
        <v>1655</v>
      </c>
      <c r="C132"/>
      <c r="H132" s="268">
        <v>0</v>
      </c>
      <c r="I132" s="268">
        <v>0</v>
      </c>
      <c r="J132" s="33">
        <v>0</v>
      </c>
      <c r="K132" s="33">
        <v>0</v>
      </c>
    </row>
    <row r="133" spans="1:11" x14ac:dyDescent="0.25">
      <c r="A133"/>
      <c r="B133">
        <v>5730</v>
      </c>
      <c r="C133" s="578" t="s">
        <v>166</v>
      </c>
      <c r="D133" t="s">
        <v>1422</v>
      </c>
      <c r="E133" t="s">
        <v>1423</v>
      </c>
      <c r="F133" t="s">
        <v>461</v>
      </c>
      <c r="G133" s="242">
        <v>0.33333333333333331</v>
      </c>
      <c r="H133" s="268">
        <v>1.5833333333333333</v>
      </c>
      <c r="I133" s="268">
        <v>1.3458333333333334</v>
      </c>
      <c r="J133" s="33">
        <v>75725.815750000009</v>
      </c>
      <c r="K133" s="33">
        <v>35783.333333333328</v>
      </c>
    </row>
    <row r="134" spans="1:11" x14ac:dyDescent="0.25">
      <c r="A134"/>
      <c r="C134" s="578"/>
      <c r="D134" t="s">
        <v>1426</v>
      </c>
      <c r="E134" t="s">
        <v>1427</v>
      </c>
      <c r="F134" t="s">
        <v>461</v>
      </c>
      <c r="G134" s="242">
        <v>0.33333333333333331</v>
      </c>
      <c r="H134" s="268">
        <v>1.7083333333333333</v>
      </c>
      <c r="I134" s="268">
        <v>1.4520833333333334</v>
      </c>
      <c r="J134" s="33">
        <v>81704.169624999995</v>
      </c>
      <c r="K134" s="33">
        <v>38608.333333333328</v>
      </c>
    </row>
    <row r="135" spans="1:11" x14ac:dyDescent="0.25">
      <c r="A135"/>
      <c r="C135" s="578"/>
      <c r="D135" t="s">
        <v>1428</v>
      </c>
      <c r="E135" t="s">
        <v>1429</v>
      </c>
      <c r="F135" t="s">
        <v>461</v>
      </c>
      <c r="G135" s="242">
        <v>0.33333333333333331</v>
      </c>
      <c r="H135" s="268">
        <v>0.95833333333333326</v>
      </c>
      <c r="I135" s="268">
        <v>0.81458333333333333</v>
      </c>
      <c r="J135" s="33">
        <v>45834.046375000005</v>
      </c>
      <c r="K135" s="33">
        <v>21658.333333333332</v>
      </c>
    </row>
    <row r="136" spans="1:11" x14ac:dyDescent="0.25">
      <c r="A136"/>
      <c r="B136" t="s">
        <v>1656</v>
      </c>
      <c r="C136"/>
      <c r="H136" s="268">
        <v>4.25</v>
      </c>
      <c r="I136" s="268">
        <v>3.6124999999999998</v>
      </c>
      <c r="J136" s="33">
        <v>203264.03174999999</v>
      </c>
      <c r="K136" s="33">
        <v>96049.999999999985</v>
      </c>
    </row>
    <row r="137" spans="1:11" x14ac:dyDescent="0.25">
      <c r="A137"/>
      <c r="B137">
        <v>5740</v>
      </c>
      <c r="C137" s="578" t="s">
        <v>461</v>
      </c>
      <c r="D137" t="s">
        <v>815</v>
      </c>
      <c r="E137" t="s">
        <v>618</v>
      </c>
      <c r="F137" t="s">
        <v>176</v>
      </c>
      <c r="G137" s="242">
        <v>0.33333333333333331</v>
      </c>
      <c r="H137" s="268">
        <v>0.6333333333333333</v>
      </c>
      <c r="I137" s="268">
        <v>0.53833333333333333</v>
      </c>
      <c r="J137" s="33">
        <v>28869.599400000003</v>
      </c>
      <c r="K137" s="33">
        <v>2280</v>
      </c>
    </row>
    <row r="138" spans="1:11" x14ac:dyDescent="0.25">
      <c r="A138"/>
      <c r="C138" s="578"/>
      <c r="D138" t="s">
        <v>814</v>
      </c>
      <c r="E138" t="s">
        <v>617</v>
      </c>
      <c r="F138" t="s">
        <v>176</v>
      </c>
      <c r="G138" s="242">
        <v>0.33333333333333331</v>
      </c>
      <c r="H138" s="268">
        <v>1.2666666666666666</v>
      </c>
      <c r="I138" s="268">
        <v>1.0766666666666667</v>
      </c>
      <c r="J138" s="33">
        <v>57739.198800000006</v>
      </c>
      <c r="K138" s="33">
        <v>4560</v>
      </c>
    </row>
    <row r="139" spans="1:11" x14ac:dyDescent="0.25">
      <c r="A139"/>
      <c r="C139" s="578"/>
      <c r="D139" t="s">
        <v>1541</v>
      </c>
      <c r="E139" t="s">
        <v>1574</v>
      </c>
      <c r="F139" t="s">
        <v>192</v>
      </c>
      <c r="G139" s="242">
        <v>0.375</v>
      </c>
      <c r="H139" s="268">
        <v>3.3000000000000003</v>
      </c>
      <c r="I139" s="268">
        <v>2.8050000000000002</v>
      </c>
      <c r="J139" s="33">
        <v>168792.69825000002</v>
      </c>
      <c r="K139" s="33">
        <v>19800</v>
      </c>
    </row>
    <row r="140" spans="1:11" x14ac:dyDescent="0.25">
      <c r="A140"/>
      <c r="C140" s="578"/>
      <c r="D140" t="s">
        <v>1642</v>
      </c>
      <c r="E140" t="s">
        <v>1643</v>
      </c>
      <c r="F140" t="s">
        <v>192</v>
      </c>
      <c r="G140" s="242">
        <v>0.125</v>
      </c>
      <c r="H140" s="268">
        <v>1.6666666666666665</v>
      </c>
      <c r="I140" s="268">
        <v>1.4166666666666665</v>
      </c>
      <c r="J140" s="33">
        <v>85248.837499999994</v>
      </c>
      <c r="K140" s="33">
        <v>10000</v>
      </c>
    </row>
    <row r="141" spans="1:11" x14ac:dyDescent="0.25">
      <c r="A141"/>
      <c r="C141" s="578"/>
      <c r="D141" t="s">
        <v>1806</v>
      </c>
      <c r="E141" t="s">
        <v>1391</v>
      </c>
      <c r="F141" t="s">
        <v>1102</v>
      </c>
      <c r="G141" s="242">
        <v>0.13333333333333333</v>
      </c>
      <c r="H141" s="268">
        <v>1.8</v>
      </c>
      <c r="I141" s="268">
        <v>1.53</v>
      </c>
      <c r="J141" s="33">
        <v>59580.505800000006</v>
      </c>
      <c r="K141" s="33">
        <v>10800</v>
      </c>
    </row>
    <row r="142" spans="1:11" x14ac:dyDescent="0.25">
      <c r="A142"/>
      <c r="C142" s="578"/>
      <c r="D142" t="s">
        <v>1891</v>
      </c>
      <c r="E142" t="s">
        <v>1153</v>
      </c>
      <c r="F142" t="s">
        <v>176</v>
      </c>
      <c r="G142" s="242">
        <v>0.5</v>
      </c>
      <c r="H142" s="268">
        <v>4.25</v>
      </c>
      <c r="I142" s="268">
        <v>3.6124999999999998</v>
      </c>
      <c r="J142" s="33">
        <v>140676.19425</v>
      </c>
      <c r="K142" s="33">
        <v>25500</v>
      </c>
    </row>
    <row r="143" spans="1:11" x14ac:dyDescent="0.25">
      <c r="A143"/>
      <c r="B143" t="s">
        <v>835</v>
      </c>
      <c r="C143"/>
      <c r="H143" s="268">
        <v>12.916666666666668</v>
      </c>
      <c r="I143" s="268">
        <v>10.979166666666666</v>
      </c>
      <c r="J143" s="33">
        <v>540907.03399999999</v>
      </c>
      <c r="K143" s="33">
        <v>72940</v>
      </c>
    </row>
    <row r="144" spans="1:11" x14ac:dyDescent="0.25">
      <c r="A144" s="242" t="s">
        <v>1657</v>
      </c>
      <c r="B144" s="242"/>
      <c r="C144" s="242"/>
      <c r="D144" s="242"/>
      <c r="E144" s="242"/>
      <c r="F144" s="242"/>
      <c r="G144" s="242"/>
      <c r="H144" s="268">
        <v>17.166666666666664</v>
      </c>
      <c r="I144" s="268">
        <v>14.591666666666665</v>
      </c>
      <c r="J144" s="33">
        <v>744171.06575000007</v>
      </c>
      <c r="K144" s="33">
        <v>168990</v>
      </c>
    </row>
    <row r="145" spans="1:11" x14ac:dyDescent="0.25">
      <c r="A145" t="s">
        <v>374</v>
      </c>
      <c r="B145" t="s">
        <v>374</v>
      </c>
      <c r="C145" s="578" t="s">
        <v>374</v>
      </c>
      <c r="D145" t="s">
        <v>374</v>
      </c>
      <c r="E145" t="s">
        <v>374</v>
      </c>
      <c r="F145" t="s">
        <v>374</v>
      </c>
      <c r="G145" s="242" t="s">
        <v>374</v>
      </c>
      <c r="H145" s="268"/>
      <c r="I145" s="268"/>
      <c r="J145" s="33"/>
      <c r="K145" s="33"/>
    </row>
    <row r="146" spans="1:11" x14ac:dyDescent="0.25">
      <c r="A146"/>
      <c r="B146" t="s">
        <v>2321</v>
      </c>
      <c r="C146"/>
      <c r="H146" s="268"/>
      <c r="I146" s="268"/>
      <c r="J146" s="33"/>
      <c r="K146" s="33"/>
    </row>
    <row r="147" spans="1:11" x14ac:dyDescent="0.25">
      <c r="A147" t="s">
        <v>2321</v>
      </c>
      <c r="C147"/>
      <c r="H147" s="268"/>
      <c r="I147" s="268"/>
      <c r="J147" s="33"/>
      <c r="K147" s="33"/>
    </row>
    <row r="148" spans="1:11" x14ac:dyDescent="0.25">
      <c r="A148" s="580" t="s">
        <v>768</v>
      </c>
      <c r="B148" s="580"/>
      <c r="C148" s="580"/>
      <c r="D148" s="580"/>
      <c r="E148" s="580"/>
      <c r="F148" s="580"/>
      <c r="G148" s="580"/>
      <c r="H148" s="268">
        <v>317.09552651515151</v>
      </c>
      <c r="I148" s="268">
        <v>269.35828087121223</v>
      </c>
      <c r="J148" s="33">
        <v>14748136.147583509</v>
      </c>
      <c r="K148" s="33">
        <v>2619837.6590909101</v>
      </c>
    </row>
    <row r="149" spans="1:11" x14ac:dyDescent="0.25">
      <c r="A149"/>
      <c r="C149"/>
    </row>
    <row r="150" spans="1:11" x14ac:dyDescent="0.25">
      <c r="A150"/>
      <c r="C150"/>
    </row>
    <row r="151" spans="1:11" x14ac:dyDescent="0.25">
      <c r="A151"/>
      <c r="C151"/>
    </row>
    <row r="152" spans="1:11" x14ac:dyDescent="0.25">
      <c r="A152"/>
      <c r="C152"/>
    </row>
    <row r="153" spans="1:11" x14ac:dyDescent="0.25">
      <c r="A153"/>
      <c r="C153"/>
    </row>
    <row r="154" spans="1:11" x14ac:dyDescent="0.25">
      <c r="A154"/>
      <c r="C154"/>
    </row>
    <row r="155" spans="1:11" x14ac:dyDescent="0.25">
      <c r="A155"/>
      <c r="C155"/>
    </row>
    <row r="156" spans="1:11" x14ac:dyDescent="0.25">
      <c r="A156"/>
      <c r="C156"/>
    </row>
    <row r="157" spans="1:11" x14ac:dyDescent="0.25">
      <c r="A157"/>
      <c r="C157"/>
    </row>
    <row r="158" spans="1:11" x14ac:dyDescent="0.25">
      <c r="A158"/>
      <c r="C158"/>
    </row>
    <row r="159" spans="1:11" x14ac:dyDescent="0.25">
      <c r="A159"/>
      <c r="C159"/>
    </row>
    <row r="160" spans="1:11" x14ac:dyDescent="0.25">
      <c r="A160"/>
      <c r="C160"/>
    </row>
    <row r="161" spans="1:3" x14ac:dyDescent="0.25">
      <c r="A161"/>
      <c r="C161"/>
    </row>
    <row r="162" spans="1:3" x14ac:dyDescent="0.25">
      <c r="A162"/>
      <c r="C162"/>
    </row>
    <row r="163" spans="1:3" x14ac:dyDescent="0.25">
      <c r="A163"/>
      <c r="C163"/>
    </row>
    <row r="164" spans="1:3" x14ac:dyDescent="0.25">
      <c r="A164"/>
      <c r="C164"/>
    </row>
    <row r="165" spans="1:3" x14ac:dyDescent="0.25">
      <c r="A165"/>
      <c r="C165"/>
    </row>
    <row r="166" spans="1:3" x14ac:dyDescent="0.25">
      <c r="A166"/>
      <c r="C166"/>
    </row>
    <row r="167" spans="1:3" x14ac:dyDescent="0.25">
      <c r="A167"/>
      <c r="C167"/>
    </row>
    <row r="168" spans="1:3" x14ac:dyDescent="0.25">
      <c r="A168"/>
      <c r="C168"/>
    </row>
    <row r="169" spans="1:3" x14ac:dyDescent="0.25">
      <c r="A169"/>
      <c r="C169"/>
    </row>
    <row r="170" spans="1:3" x14ac:dyDescent="0.25">
      <c r="A170"/>
      <c r="C170"/>
    </row>
    <row r="171" spans="1:3" x14ac:dyDescent="0.25">
      <c r="A171"/>
      <c r="C171"/>
    </row>
    <row r="172" spans="1:3" x14ac:dyDescent="0.25">
      <c r="A172"/>
      <c r="C172"/>
    </row>
    <row r="173" spans="1:3" x14ac:dyDescent="0.25">
      <c r="A173"/>
      <c r="C173"/>
    </row>
    <row r="174" spans="1:3" x14ac:dyDescent="0.25">
      <c r="A174"/>
      <c r="C174"/>
    </row>
    <row r="175" spans="1:3" x14ac:dyDescent="0.25">
      <c r="A175"/>
      <c r="C175"/>
    </row>
    <row r="176" spans="1:3" x14ac:dyDescent="0.25">
      <c r="A176"/>
      <c r="C176"/>
    </row>
    <row r="177" spans="1:3" x14ac:dyDescent="0.25">
      <c r="A177"/>
      <c r="C177"/>
    </row>
    <row r="178" spans="1:3" x14ac:dyDescent="0.25">
      <c r="A178"/>
      <c r="C178"/>
    </row>
    <row r="179" spans="1:3" x14ac:dyDescent="0.25">
      <c r="A179"/>
      <c r="C179"/>
    </row>
    <row r="180" spans="1:3" x14ac:dyDescent="0.25">
      <c r="A180"/>
      <c r="C180"/>
    </row>
    <row r="181" spans="1:3" x14ac:dyDescent="0.25">
      <c r="A181"/>
      <c r="C181"/>
    </row>
    <row r="182" spans="1:3" x14ac:dyDescent="0.25">
      <c r="A182"/>
      <c r="C182"/>
    </row>
    <row r="183" spans="1:3" x14ac:dyDescent="0.25">
      <c r="A183"/>
      <c r="C183"/>
    </row>
    <row r="184" spans="1:3" x14ac:dyDescent="0.25">
      <c r="A184"/>
      <c r="C184"/>
    </row>
    <row r="185" spans="1:3" x14ac:dyDescent="0.25">
      <c r="A185"/>
      <c r="C185"/>
    </row>
    <row r="186" spans="1:3" x14ac:dyDescent="0.25">
      <c r="A186"/>
      <c r="C186"/>
    </row>
    <row r="187" spans="1:3" x14ac:dyDescent="0.25">
      <c r="A187"/>
      <c r="C187"/>
    </row>
    <row r="188" spans="1:3" x14ac:dyDescent="0.25">
      <c r="A188"/>
      <c r="C188"/>
    </row>
    <row r="189" spans="1:3" x14ac:dyDescent="0.25">
      <c r="A189"/>
      <c r="C189"/>
    </row>
    <row r="190" spans="1:3" x14ac:dyDescent="0.25">
      <c r="A190"/>
      <c r="C190"/>
    </row>
    <row r="191" spans="1:3" x14ac:dyDescent="0.25">
      <c r="A191"/>
      <c r="C191"/>
    </row>
    <row r="192" spans="1:3" x14ac:dyDescent="0.25">
      <c r="A192"/>
      <c r="C192"/>
    </row>
    <row r="193" spans="1:3" x14ac:dyDescent="0.25">
      <c r="A193"/>
      <c r="C193"/>
    </row>
    <row r="194" spans="1:3" x14ac:dyDescent="0.25">
      <c r="A194"/>
      <c r="C194"/>
    </row>
    <row r="195" spans="1:3" x14ac:dyDescent="0.25">
      <c r="A195"/>
      <c r="C195"/>
    </row>
    <row r="196" spans="1:3" x14ac:dyDescent="0.25">
      <c r="A196"/>
      <c r="C196"/>
    </row>
    <row r="197" spans="1:3" x14ac:dyDescent="0.25">
      <c r="A197"/>
      <c r="C197"/>
    </row>
    <row r="198" spans="1:3" x14ac:dyDescent="0.25">
      <c r="A198"/>
      <c r="C198"/>
    </row>
    <row r="199" spans="1:3" x14ac:dyDescent="0.25">
      <c r="A199"/>
      <c r="C199"/>
    </row>
    <row r="200" spans="1:3" x14ac:dyDescent="0.25">
      <c r="A200"/>
      <c r="C200"/>
    </row>
    <row r="201" spans="1:3" x14ac:dyDescent="0.25">
      <c r="A201"/>
      <c r="C201"/>
    </row>
    <row r="202" spans="1:3" x14ac:dyDescent="0.25">
      <c r="A202"/>
      <c r="C202"/>
    </row>
    <row r="203" spans="1:3" x14ac:dyDescent="0.25">
      <c r="A203"/>
      <c r="C203"/>
    </row>
    <row r="204" spans="1:3" x14ac:dyDescent="0.25">
      <c r="A204"/>
      <c r="C204"/>
    </row>
    <row r="205" spans="1:3" x14ac:dyDescent="0.25">
      <c r="A205"/>
      <c r="C205"/>
    </row>
    <row r="206" spans="1:3" x14ac:dyDescent="0.25">
      <c r="A206"/>
      <c r="C206"/>
    </row>
    <row r="207" spans="1:3" x14ac:dyDescent="0.25">
      <c r="A207"/>
      <c r="C207"/>
    </row>
    <row r="208" spans="1:3" x14ac:dyDescent="0.25">
      <c r="A208"/>
      <c r="C208"/>
    </row>
    <row r="209" spans="1:3" x14ac:dyDescent="0.25">
      <c r="A209"/>
      <c r="C209"/>
    </row>
    <row r="210" spans="1:3" x14ac:dyDescent="0.25">
      <c r="A210"/>
      <c r="C210"/>
    </row>
    <row r="211" spans="1:3" x14ac:dyDescent="0.25">
      <c r="A211"/>
      <c r="C211"/>
    </row>
    <row r="212" spans="1:3" x14ac:dyDescent="0.25">
      <c r="A212"/>
      <c r="C212"/>
    </row>
    <row r="213" spans="1:3" x14ac:dyDescent="0.25">
      <c r="A213"/>
      <c r="C213"/>
    </row>
    <row r="214" spans="1:3" x14ac:dyDescent="0.25">
      <c r="A214"/>
      <c r="C214"/>
    </row>
    <row r="215" spans="1:3" x14ac:dyDescent="0.25">
      <c r="A215"/>
      <c r="C215"/>
    </row>
    <row r="216" spans="1:3" x14ac:dyDescent="0.25">
      <c r="A216"/>
      <c r="C216"/>
    </row>
    <row r="217" spans="1:3" x14ac:dyDescent="0.25">
      <c r="A217"/>
      <c r="C217"/>
    </row>
    <row r="218" spans="1:3" x14ac:dyDescent="0.25">
      <c r="A218"/>
      <c r="C218"/>
    </row>
    <row r="219" spans="1:3" x14ac:dyDescent="0.25">
      <c r="A219"/>
      <c r="C219"/>
    </row>
    <row r="220" spans="1:3" x14ac:dyDescent="0.25">
      <c r="A220"/>
      <c r="C220"/>
    </row>
    <row r="221" spans="1:3" x14ac:dyDescent="0.25">
      <c r="A221"/>
      <c r="C221"/>
    </row>
    <row r="222" spans="1:3" x14ac:dyDescent="0.25">
      <c r="A222"/>
      <c r="C222"/>
    </row>
    <row r="223" spans="1:3" x14ac:dyDescent="0.25">
      <c r="A223"/>
      <c r="C223"/>
    </row>
    <row r="224" spans="1:3" x14ac:dyDescent="0.25">
      <c r="A224"/>
      <c r="C224"/>
    </row>
    <row r="225" spans="1:3" x14ac:dyDescent="0.25">
      <c r="A225"/>
      <c r="C225"/>
    </row>
    <row r="226" spans="1:3" x14ac:dyDescent="0.25">
      <c r="A226"/>
      <c r="C226"/>
    </row>
    <row r="227" spans="1:3" x14ac:dyDescent="0.25">
      <c r="A227"/>
      <c r="C227"/>
    </row>
    <row r="228" spans="1:3" x14ac:dyDescent="0.25">
      <c r="A228"/>
      <c r="C228"/>
    </row>
    <row r="229" spans="1:3" x14ac:dyDescent="0.25">
      <c r="A229"/>
      <c r="C229"/>
    </row>
    <row r="230" spans="1:3" x14ac:dyDescent="0.25">
      <c r="A230"/>
      <c r="C230"/>
    </row>
    <row r="231" spans="1:3" x14ac:dyDescent="0.25">
      <c r="A231"/>
      <c r="C231"/>
    </row>
    <row r="232" spans="1:3" x14ac:dyDescent="0.25">
      <c r="A232"/>
      <c r="C232"/>
    </row>
    <row r="233" spans="1:3" x14ac:dyDescent="0.25">
      <c r="A233"/>
      <c r="C233"/>
    </row>
    <row r="234" spans="1:3" x14ac:dyDescent="0.25">
      <c r="A234"/>
      <c r="C234"/>
    </row>
    <row r="235" spans="1:3" x14ac:dyDescent="0.25">
      <c r="A235"/>
      <c r="C235"/>
    </row>
    <row r="236" spans="1:3" x14ac:dyDescent="0.25">
      <c r="A236"/>
      <c r="C236"/>
    </row>
    <row r="237" spans="1:3" x14ac:dyDescent="0.25">
      <c r="A237"/>
      <c r="C237"/>
    </row>
    <row r="238" spans="1:3" x14ac:dyDescent="0.25">
      <c r="A238"/>
      <c r="C238"/>
    </row>
    <row r="239" spans="1:3" x14ac:dyDescent="0.25">
      <c r="A239"/>
      <c r="C239"/>
    </row>
    <row r="240" spans="1:3" x14ac:dyDescent="0.25">
      <c r="A240"/>
      <c r="C240"/>
    </row>
    <row r="241" spans="1:3" x14ac:dyDescent="0.25">
      <c r="A241"/>
      <c r="C241"/>
    </row>
    <row r="242" spans="1:3" x14ac:dyDescent="0.25">
      <c r="A242"/>
      <c r="C242"/>
    </row>
    <row r="243" spans="1:3" x14ac:dyDescent="0.25">
      <c r="A243"/>
      <c r="C243"/>
    </row>
    <row r="244" spans="1:3" x14ac:dyDescent="0.25">
      <c r="A244"/>
      <c r="C244"/>
    </row>
    <row r="245" spans="1:3" x14ac:dyDescent="0.25">
      <c r="A245"/>
      <c r="C245"/>
    </row>
    <row r="246" spans="1:3" x14ac:dyDescent="0.25">
      <c r="A246"/>
      <c r="C246"/>
    </row>
    <row r="247" spans="1:3" x14ac:dyDescent="0.25">
      <c r="A247"/>
      <c r="C247"/>
    </row>
    <row r="248" spans="1:3" x14ac:dyDescent="0.25">
      <c r="A248"/>
      <c r="C248"/>
    </row>
    <row r="249" spans="1:3" x14ac:dyDescent="0.25">
      <c r="A249"/>
      <c r="C249"/>
    </row>
    <row r="250" spans="1:3" x14ac:dyDescent="0.25">
      <c r="A250"/>
      <c r="C250"/>
    </row>
    <row r="251" spans="1:3" x14ac:dyDescent="0.25">
      <c r="A251"/>
      <c r="C251"/>
    </row>
    <row r="252" spans="1:3" x14ac:dyDescent="0.25">
      <c r="A252"/>
      <c r="C252"/>
    </row>
    <row r="253" spans="1:3" x14ac:dyDescent="0.25">
      <c r="A253"/>
      <c r="C253"/>
    </row>
    <row r="254" spans="1:3" x14ac:dyDescent="0.25">
      <c r="A254"/>
      <c r="C254"/>
    </row>
    <row r="255" spans="1:3" x14ac:dyDescent="0.25">
      <c r="A255"/>
      <c r="C255"/>
    </row>
    <row r="256" spans="1:3" x14ac:dyDescent="0.25">
      <c r="A256"/>
      <c r="C256"/>
    </row>
    <row r="257" spans="1:3" x14ac:dyDescent="0.25">
      <c r="A257"/>
      <c r="C257"/>
    </row>
    <row r="258" spans="1:3" x14ac:dyDescent="0.25">
      <c r="A258"/>
      <c r="C258"/>
    </row>
    <row r="259" spans="1:3" x14ac:dyDescent="0.25">
      <c r="A259"/>
      <c r="C259"/>
    </row>
    <row r="260" spans="1:3" x14ac:dyDescent="0.25">
      <c r="A260"/>
      <c r="C260"/>
    </row>
    <row r="261" spans="1:3" x14ac:dyDescent="0.25">
      <c r="A261"/>
      <c r="C261"/>
    </row>
    <row r="262" spans="1:3" x14ac:dyDescent="0.25">
      <c r="A262"/>
      <c r="C262"/>
    </row>
    <row r="263" spans="1:3" x14ac:dyDescent="0.25">
      <c r="A263"/>
      <c r="C263"/>
    </row>
    <row r="264" spans="1:3" x14ac:dyDescent="0.25">
      <c r="A264"/>
      <c r="C264"/>
    </row>
    <row r="265" spans="1:3" x14ac:dyDescent="0.25">
      <c r="A265"/>
      <c r="C265"/>
    </row>
    <row r="266" spans="1:3" x14ac:dyDescent="0.25">
      <c r="A266"/>
      <c r="C266"/>
    </row>
    <row r="267" spans="1:3" x14ac:dyDescent="0.25">
      <c r="A267"/>
      <c r="C267"/>
    </row>
    <row r="268" spans="1:3" x14ac:dyDescent="0.25">
      <c r="A268"/>
      <c r="C268"/>
    </row>
    <row r="269" spans="1:3" x14ac:dyDescent="0.25">
      <c r="A269"/>
      <c r="C269"/>
    </row>
    <row r="270" spans="1:3" x14ac:dyDescent="0.25">
      <c r="A270"/>
      <c r="C270"/>
    </row>
    <row r="271" spans="1:3" x14ac:dyDescent="0.25">
      <c r="A271"/>
      <c r="C271"/>
    </row>
    <row r="272" spans="1:3" x14ac:dyDescent="0.25">
      <c r="A272"/>
      <c r="C272"/>
    </row>
    <row r="273" spans="1:3" x14ac:dyDescent="0.25">
      <c r="A273"/>
      <c r="C273"/>
    </row>
    <row r="274" spans="1:3" x14ac:dyDescent="0.25">
      <c r="A274"/>
      <c r="C274"/>
    </row>
    <row r="275" spans="1:3" x14ac:dyDescent="0.25">
      <c r="A275"/>
      <c r="C275"/>
    </row>
    <row r="276" spans="1:3" x14ac:dyDescent="0.25">
      <c r="A276"/>
      <c r="C276"/>
    </row>
    <row r="277" spans="1:3" x14ac:dyDescent="0.25">
      <c r="A277"/>
      <c r="C277"/>
    </row>
    <row r="278" spans="1:3" x14ac:dyDescent="0.25">
      <c r="A278"/>
      <c r="C278"/>
    </row>
    <row r="279" spans="1:3" x14ac:dyDescent="0.25">
      <c r="A279"/>
      <c r="C279"/>
    </row>
    <row r="280" spans="1:3" x14ac:dyDescent="0.25">
      <c r="A280"/>
      <c r="C280"/>
    </row>
    <row r="281" spans="1:3" x14ac:dyDescent="0.25">
      <c r="A281"/>
      <c r="C281"/>
    </row>
    <row r="282" spans="1:3" x14ac:dyDescent="0.25">
      <c r="A282"/>
      <c r="C282"/>
    </row>
    <row r="283" spans="1:3" x14ac:dyDescent="0.25">
      <c r="A283"/>
      <c r="C283"/>
    </row>
    <row r="284" spans="1:3" x14ac:dyDescent="0.25">
      <c r="A284"/>
      <c r="C284"/>
    </row>
    <row r="285" spans="1:3" x14ac:dyDescent="0.25">
      <c r="A285"/>
      <c r="C285"/>
    </row>
    <row r="286" spans="1:3" x14ac:dyDescent="0.25">
      <c r="A286"/>
      <c r="C286"/>
    </row>
    <row r="287" spans="1:3" x14ac:dyDescent="0.25">
      <c r="A287"/>
      <c r="C287"/>
    </row>
    <row r="288" spans="1:3" x14ac:dyDescent="0.25">
      <c r="A288"/>
      <c r="C288"/>
    </row>
    <row r="289" spans="1:3" x14ac:dyDescent="0.25">
      <c r="A289"/>
      <c r="C289"/>
    </row>
    <row r="290" spans="1:3" x14ac:dyDescent="0.25">
      <c r="A290"/>
      <c r="C290"/>
    </row>
    <row r="291" spans="1:3" x14ac:dyDescent="0.25">
      <c r="A291"/>
      <c r="C291"/>
    </row>
  </sheetData>
  <sheetProtection sheet="1" objects="1" scenarios="1"/>
  <phoneticPr fontId="41" type="noConversion"/>
  <printOptions horizontalCentered="1"/>
  <pageMargins left="0.31496062992125984" right="0.31496062992125984" top="0.94488188976377963" bottom="0.55118110236220474" header="0.31496062992125984" footer="0.31496062992125984"/>
  <pageSetup paperSize="9" scale="66" orientation="landscape" r:id="rId2"/>
  <headerFooter>
    <oddHeader>&amp;R&amp;F</oddHeader>
    <oddFooter>Sida &amp;P av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indexed="12"/>
    <pageSetUpPr fitToPage="1"/>
  </sheetPr>
  <dimension ref="A1:DM326"/>
  <sheetViews>
    <sheetView workbookViewId="0">
      <selection activeCell="D5" sqref="D5"/>
    </sheetView>
  </sheetViews>
  <sheetFormatPr defaultColWidth="8.85546875" defaultRowHeight="15" x14ac:dyDescent="0.25"/>
  <cols>
    <col min="1" max="1" width="11.42578125" style="25" customWidth="1"/>
    <col min="2" max="2" width="33.5703125" style="25" customWidth="1"/>
    <col min="3" max="3" width="15.140625" style="25" customWidth="1"/>
    <col min="4" max="4" width="69.5703125" style="25" customWidth="1"/>
    <col min="5" max="5" width="31" style="25" customWidth="1"/>
    <col min="6" max="6" width="10.7109375" style="25" customWidth="1"/>
    <col min="7" max="7" width="10.28515625" style="25" customWidth="1"/>
    <col min="8" max="8" width="10.7109375" style="25" customWidth="1"/>
    <col min="9" max="9" width="10.28515625" style="25" customWidth="1"/>
    <col min="10" max="11" width="6.7109375" style="25" customWidth="1"/>
    <col min="12" max="12" width="17" style="25" customWidth="1"/>
    <col min="13" max="21" width="29.42578125" style="25" bestFit="1" customWidth="1"/>
    <col min="22" max="22" width="29.42578125" style="25" customWidth="1"/>
    <col min="23" max="111" width="29.42578125" style="25" bestFit="1" customWidth="1"/>
    <col min="112" max="112" width="16" style="25" bestFit="1" customWidth="1"/>
    <col min="113" max="113" width="22.85546875" style="25" bestFit="1" customWidth="1"/>
    <col min="114" max="114" width="25.42578125" style="25" bestFit="1" customWidth="1"/>
    <col min="115" max="115" width="10.42578125" style="25" bestFit="1" customWidth="1"/>
    <col min="116" max="116" width="10.5703125" style="25" bestFit="1" customWidth="1"/>
    <col min="117" max="117" width="25.5703125" style="25" bestFit="1" customWidth="1"/>
    <col min="118" max="16384" width="8.85546875" style="25"/>
  </cols>
  <sheetData>
    <row r="1" spans="1:117" x14ac:dyDescent="0.25">
      <c r="A1"/>
      <c r="B1"/>
    </row>
    <row r="2" spans="1:117" s="27" customFormat="1" ht="15" customHeight="1" x14ac:dyDescent="0.2">
      <c r="A2" s="592" t="s">
        <v>1641</v>
      </c>
      <c r="B2" s="592"/>
      <c r="D2" s="592"/>
      <c r="E2" s="592"/>
    </row>
    <row r="3" spans="1:117" x14ac:dyDescent="0.25">
      <c r="A3" s="581"/>
      <c r="B3" s="582"/>
      <c r="C3" s="582"/>
      <c r="D3" s="582"/>
      <c r="E3" s="582"/>
      <c r="F3" s="583" t="s">
        <v>4</v>
      </c>
      <c r="G3" s="582"/>
      <c r="H3" s="582"/>
      <c r="I3" s="582"/>
      <c r="J3" s="582"/>
      <c r="K3" s="584"/>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row>
    <row r="4" spans="1:117" s="28" customFormat="1" ht="45" x14ac:dyDescent="0.25">
      <c r="A4" s="567" t="s">
        <v>327</v>
      </c>
      <c r="B4" s="566" t="s">
        <v>2</v>
      </c>
      <c r="C4" s="566" t="s">
        <v>59</v>
      </c>
      <c r="D4" s="555" t="s">
        <v>158</v>
      </c>
      <c r="E4" s="566" t="s">
        <v>326</v>
      </c>
      <c r="F4" s="568" t="s">
        <v>448</v>
      </c>
      <c r="G4" s="568" t="s">
        <v>376</v>
      </c>
      <c r="H4" s="568" t="s">
        <v>458</v>
      </c>
      <c r="I4" s="568" t="s">
        <v>894</v>
      </c>
      <c r="J4" s="568" t="s">
        <v>61</v>
      </c>
      <c r="K4" s="569" t="s">
        <v>62</v>
      </c>
      <c r="L4"/>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row>
    <row r="5" spans="1:117" x14ac:dyDescent="0.25">
      <c r="A5" s="557">
        <v>1620</v>
      </c>
      <c r="B5" s="556" t="s">
        <v>176</v>
      </c>
      <c r="C5" s="556" t="s">
        <v>815</v>
      </c>
      <c r="D5" s="556" t="s">
        <v>618</v>
      </c>
      <c r="E5" s="556" t="s">
        <v>461</v>
      </c>
      <c r="F5" s="558">
        <v>31042.58</v>
      </c>
      <c r="G5" s="558">
        <v>-2172.9806000000003</v>
      </c>
      <c r="H5" s="558">
        <v>28869.599400000003</v>
      </c>
      <c r="I5" s="558">
        <v>2280</v>
      </c>
      <c r="J5" s="559">
        <v>0.6333333333333333</v>
      </c>
      <c r="K5" s="560">
        <v>0.53833333333333333</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row>
    <row r="6" spans="1:117" x14ac:dyDescent="0.25">
      <c r="A6" s="557"/>
      <c r="B6" s="556"/>
      <c r="C6" s="556" t="s">
        <v>814</v>
      </c>
      <c r="D6" s="556" t="s">
        <v>617</v>
      </c>
      <c r="E6" s="556" t="s">
        <v>461</v>
      </c>
      <c r="F6" s="558">
        <v>62085.16</v>
      </c>
      <c r="G6" s="558">
        <v>-4345.9612000000006</v>
      </c>
      <c r="H6" s="558">
        <v>57739.198800000006</v>
      </c>
      <c r="I6" s="558">
        <v>4560</v>
      </c>
      <c r="J6" s="559">
        <v>1.2666666666666666</v>
      </c>
      <c r="K6" s="560">
        <v>1.0766666666666667</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row>
    <row r="7" spans="1:117" x14ac:dyDescent="0.25">
      <c r="A7" s="557"/>
      <c r="B7" s="556"/>
      <c r="C7" s="556" t="s">
        <v>1242</v>
      </c>
      <c r="D7" s="556" t="s">
        <v>1250</v>
      </c>
      <c r="E7" s="556" t="s">
        <v>173</v>
      </c>
      <c r="F7" s="558">
        <v>33367.21875</v>
      </c>
      <c r="G7" s="558">
        <v>-2335.7053125000002</v>
      </c>
      <c r="H7" s="558">
        <v>31031.513437499998</v>
      </c>
      <c r="I7" s="558">
        <v>5625</v>
      </c>
      <c r="J7" s="559">
        <v>0.9375</v>
      </c>
      <c r="K7" s="560">
        <v>0.796875</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row>
    <row r="8" spans="1:117" x14ac:dyDescent="0.25">
      <c r="A8" s="557"/>
      <c r="B8" s="556"/>
      <c r="C8" s="556" t="s">
        <v>1634</v>
      </c>
      <c r="D8" s="556" t="s">
        <v>1635</v>
      </c>
      <c r="E8" s="556" t="s">
        <v>1102</v>
      </c>
      <c r="F8" s="558">
        <v>31142.737499999999</v>
      </c>
      <c r="G8" s="558">
        <v>-2179.9916250000001</v>
      </c>
      <c r="H8" s="558">
        <v>28962.745875000001</v>
      </c>
      <c r="I8" s="558">
        <v>5250</v>
      </c>
      <c r="J8" s="559">
        <v>0.875</v>
      </c>
      <c r="K8" s="560">
        <v>0.74374999999999991</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row>
    <row r="9" spans="1:117" x14ac:dyDescent="0.25">
      <c r="A9" s="557"/>
      <c r="B9" s="556"/>
      <c r="C9" s="556" t="s">
        <v>1891</v>
      </c>
      <c r="D9" s="556" t="s">
        <v>1153</v>
      </c>
      <c r="E9" s="556" t="s">
        <v>461</v>
      </c>
      <c r="F9" s="558">
        <v>151264.72500000001</v>
      </c>
      <c r="G9" s="558">
        <v>-10588.530750000002</v>
      </c>
      <c r="H9" s="558">
        <v>140676.19425</v>
      </c>
      <c r="I9" s="558">
        <v>25500</v>
      </c>
      <c r="J9" s="559">
        <v>4.25</v>
      </c>
      <c r="K9" s="560">
        <v>3.6124999999999998</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row>
    <row r="10" spans="1:117" x14ac:dyDescent="0.25">
      <c r="A10" s="557"/>
      <c r="B10" s="556"/>
      <c r="C10" s="556" t="s">
        <v>2131</v>
      </c>
      <c r="D10" s="556" t="s">
        <v>2132</v>
      </c>
      <c r="E10" s="556" t="s">
        <v>173</v>
      </c>
      <c r="F10" s="558">
        <v>355917</v>
      </c>
      <c r="G10" s="558">
        <v>-24914.190000000002</v>
      </c>
      <c r="H10" s="558">
        <v>331002.81</v>
      </c>
      <c r="I10" s="558">
        <v>60000</v>
      </c>
      <c r="J10" s="559">
        <v>10</v>
      </c>
      <c r="K10" s="560">
        <v>8.5</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row>
    <row r="11" spans="1:117" x14ac:dyDescent="0.25">
      <c r="A11" s="557"/>
      <c r="B11" s="556"/>
      <c r="C11" s="556" t="s">
        <v>2175</v>
      </c>
      <c r="D11" s="556" t="s">
        <v>2179</v>
      </c>
      <c r="E11" s="556" t="s">
        <v>173</v>
      </c>
      <c r="F11" s="558">
        <v>275835.67499999999</v>
      </c>
      <c r="G11" s="558">
        <v>-19308.49725</v>
      </c>
      <c r="H11" s="558">
        <v>256527.17774999997</v>
      </c>
      <c r="I11" s="558">
        <v>46500</v>
      </c>
      <c r="J11" s="559">
        <v>7.75</v>
      </c>
      <c r="K11" s="560">
        <v>6.5874999999999995</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row>
    <row r="12" spans="1:117" x14ac:dyDescent="0.25">
      <c r="A12" s="557"/>
      <c r="B12" s="556"/>
      <c r="C12" s="556" t="s">
        <v>2134</v>
      </c>
      <c r="D12" s="556" t="s">
        <v>2142</v>
      </c>
      <c r="E12" s="556" t="s">
        <v>173</v>
      </c>
      <c r="F12" s="558">
        <v>91945.224999999991</v>
      </c>
      <c r="G12" s="558">
        <v>-6436.1657500000001</v>
      </c>
      <c r="H12" s="558">
        <v>85509.059249999991</v>
      </c>
      <c r="I12" s="558">
        <v>15499.999999999998</v>
      </c>
      <c r="J12" s="559">
        <v>2.583333333333333</v>
      </c>
      <c r="K12" s="560">
        <v>2.1958333333333333</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row>
    <row r="13" spans="1:117" x14ac:dyDescent="0.25">
      <c r="A13" s="557"/>
      <c r="B13" s="556"/>
      <c r="C13" s="556" t="s">
        <v>2202</v>
      </c>
      <c r="D13" s="556" t="s">
        <v>2204</v>
      </c>
      <c r="E13" s="556" t="s">
        <v>173</v>
      </c>
      <c r="F13" s="558">
        <v>124570.95000000001</v>
      </c>
      <c r="G13" s="558">
        <v>-8719.9665000000023</v>
      </c>
      <c r="H13" s="558">
        <v>115850.9835</v>
      </c>
      <c r="I13" s="558">
        <v>21000</v>
      </c>
      <c r="J13" s="559">
        <v>3.5</v>
      </c>
      <c r="K13" s="560">
        <v>2.9750000000000001</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row>
    <row r="14" spans="1:117" x14ac:dyDescent="0.25">
      <c r="A14" s="557" t="s">
        <v>831</v>
      </c>
      <c r="B14" s="556"/>
      <c r="C14" s="556"/>
      <c r="D14" s="556"/>
      <c r="E14" s="556"/>
      <c r="F14" s="558">
        <v>1157171.27125</v>
      </c>
      <c r="G14" s="558">
        <v>-81001.988987499994</v>
      </c>
      <c r="H14" s="558">
        <v>1076169.2822625001</v>
      </c>
      <c r="I14" s="558">
        <v>186215</v>
      </c>
      <c r="J14" s="559">
        <v>31.795833333333331</v>
      </c>
      <c r="K14" s="560">
        <v>27.026458333333334</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row>
    <row r="15" spans="1:117" x14ac:dyDescent="0.25">
      <c r="A15" s="557">
        <v>1630</v>
      </c>
      <c r="B15" s="556" t="s">
        <v>172</v>
      </c>
      <c r="C15" s="556" t="s">
        <v>470</v>
      </c>
      <c r="D15" s="556" t="s">
        <v>473</v>
      </c>
      <c r="E15" s="556" t="s">
        <v>173</v>
      </c>
      <c r="F15" s="558">
        <v>0</v>
      </c>
      <c r="G15" s="558">
        <v>0</v>
      </c>
      <c r="H15" s="558">
        <v>0</v>
      </c>
      <c r="I15" s="558">
        <v>0</v>
      </c>
      <c r="J15" s="559">
        <v>0</v>
      </c>
      <c r="K15" s="560">
        <v>0</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row>
    <row r="16" spans="1:117" x14ac:dyDescent="0.25">
      <c r="A16" s="557"/>
      <c r="B16" s="556"/>
      <c r="C16" s="556" t="s">
        <v>849</v>
      </c>
      <c r="D16" s="556" t="s">
        <v>1154</v>
      </c>
      <c r="E16" s="556" t="s">
        <v>192</v>
      </c>
      <c r="F16" s="558">
        <v>115236.97500000001</v>
      </c>
      <c r="G16" s="558">
        <v>-8066.5882500000016</v>
      </c>
      <c r="H16" s="558">
        <v>107170.38675000001</v>
      </c>
      <c r="I16" s="558">
        <v>19500</v>
      </c>
      <c r="J16" s="559">
        <v>3.25</v>
      </c>
      <c r="K16" s="560">
        <v>2.7374999999999998</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row>
    <row r="17" spans="1:117" x14ac:dyDescent="0.25">
      <c r="A17" s="557"/>
      <c r="B17" s="556"/>
      <c r="C17" s="556"/>
      <c r="D17" s="556"/>
      <c r="E17" s="556" t="s">
        <v>2018</v>
      </c>
      <c r="F17" s="558">
        <v>38412.324999999997</v>
      </c>
      <c r="G17" s="558">
        <v>-2688.8627500000002</v>
      </c>
      <c r="H17" s="558">
        <v>35723.462249999997</v>
      </c>
      <c r="I17" s="558">
        <v>6500</v>
      </c>
      <c r="J17" s="559">
        <v>1.0833333333333333</v>
      </c>
      <c r="K17" s="560">
        <v>0.91249999999999987</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row>
    <row r="18" spans="1:117" x14ac:dyDescent="0.25">
      <c r="A18" s="557"/>
      <c r="B18" s="556"/>
      <c r="C18" s="556" t="s">
        <v>1124</v>
      </c>
      <c r="D18" s="556" t="s">
        <v>1110</v>
      </c>
      <c r="E18" s="556" t="s">
        <v>192</v>
      </c>
      <c r="F18" s="558">
        <v>316135.68900000001</v>
      </c>
      <c r="G18" s="558">
        <v>-22129.498230000005</v>
      </c>
      <c r="H18" s="558">
        <v>294006.19076999999</v>
      </c>
      <c r="I18" s="558">
        <v>34488</v>
      </c>
      <c r="J18" s="559">
        <v>5.7480000000000002</v>
      </c>
      <c r="K18" s="560">
        <v>4.8857999999999997</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row>
    <row r="19" spans="1:117" x14ac:dyDescent="0.25">
      <c r="A19" s="557"/>
      <c r="B19" s="556"/>
      <c r="C19" s="556"/>
      <c r="D19" s="556"/>
      <c r="E19" s="556" t="s">
        <v>200</v>
      </c>
      <c r="F19" s="558">
        <v>474203.53349999996</v>
      </c>
      <c r="G19" s="558">
        <v>-33194.247345000003</v>
      </c>
      <c r="H19" s="558">
        <v>441009.28615499998</v>
      </c>
      <c r="I19" s="558">
        <v>51732</v>
      </c>
      <c r="J19" s="559">
        <v>8.6219999999999999</v>
      </c>
      <c r="K19" s="560">
        <v>7.3286999999999995</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row>
    <row r="20" spans="1:117" x14ac:dyDescent="0.25">
      <c r="A20" s="557"/>
      <c r="B20" s="556"/>
      <c r="C20" s="556" t="s">
        <v>1126</v>
      </c>
      <c r="D20" s="556" t="s">
        <v>1111</v>
      </c>
      <c r="E20" s="556" t="s">
        <v>173</v>
      </c>
      <c r="F20" s="558">
        <v>1032620.0852916667</v>
      </c>
      <c r="G20" s="558">
        <v>-72283.405970416672</v>
      </c>
      <c r="H20" s="558">
        <v>960336.67932124995</v>
      </c>
      <c r="I20" s="558">
        <v>112651</v>
      </c>
      <c r="J20" s="559">
        <v>18.775166666666667</v>
      </c>
      <c r="K20" s="560">
        <v>15.958891666666668</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row>
    <row r="21" spans="1:117" x14ac:dyDescent="0.25">
      <c r="A21" s="557"/>
      <c r="B21" s="556"/>
      <c r="C21" s="556" t="s">
        <v>1982</v>
      </c>
      <c r="D21" s="556" t="s">
        <v>1997</v>
      </c>
      <c r="E21" s="556" t="s">
        <v>199</v>
      </c>
      <c r="F21" s="558">
        <v>155713.6875</v>
      </c>
      <c r="G21" s="558">
        <v>-10899.958125000001</v>
      </c>
      <c r="H21" s="558">
        <v>144813.729375</v>
      </c>
      <c r="I21" s="558">
        <v>26250</v>
      </c>
      <c r="J21" s="559">
        <v>4.375</v>
      </c>
      <c r="K21" s="560">
        <v>3.71875</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row>
    <row r="22" spans="1:117" x14ac:dyDescent="0.25">
      <c r="A22" s="557"/>
      <c r="B22" s="556"/>
      <c r="C22" s="556" t="s">
        <v>2150</v>
      </c>
      <c r="D22" s="556" t="s">
        <v>2214</v>
      </c>
      <c r="E22" s="556" t="s">
        <v>173</v>
      </c>
      <c r="F22" s="558">
        <v>185164.14166666666</v>
      </c>
      <c r="G22" s="558">
        <v>-12961.489916666667</v>
      </c>
      <c r="H22" s="558">
        <v>172202.65174999999</v>
      </c>
      <c r="I22" s="558">
        <v>20200</v>
      </c>
      <c r="J22" s="559">
        <v>3.3666666666666667</v>
      </c>
      <c r="K22" s="560">
        <v>2.8616666666666664</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row>
    <row r="23" spans="1:117" x14ac:dyDescent="0.25">
      <c r="A23" s="557"/>
      <c r="B23" s="556"/>
      <c r="C23" s="556"/>
      <c r="D23" s="556"/>
      <c r="E23" s="556" t="s">
        <v>176</v>
      </c>
      <c r="F23" s="558">
        <v>277746.21250000002</v>
      </c>
      <c r="G23" s="558">
        <v>-19442.234875000002</v>
      </c>
      <c r="H23" s="558">
        <v>258303.97762500003</v>
      </c>
      <c r="I23" s="558">
        <v>30300.000000000004</v>
      </c>
      <c r="J23" s="559">
        <v>5.0500000000000007</v>
      </c>
      <c r="K23" s="560">
        <v>4.2924999999999995</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row>
    <row r="24" spans="1:117" x14ac:dyDescent="0.25">
      <c r="A24" s="557"/>
      <c r="B24" s="556"/>
      <c r="C24" s="556"/>
      <c r="D24" s="556"/>
      <c r="E24" s="556" t="s">
        <v>197</v>
      </c>
      <c r="F24" s="558">
        <v>92582.070833333331</v>
      </c>
      <c r="G24" s="558">
        <v>-6480.7449583333337</v>
      </c>
      <c r="H24" s="558">
        <v>86101.325874999995</v>
      </c>
      <c r="I24" s="558">
        <v>10100</v>
      </c>
      <c r="J24" s="559">
        <v>1.6833333333333333</v>
      </c>
      <c r="K24" s="560">
        <v>1.4308333333333332</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row>
    <row r="25" spans="1:117" x14ac:dyDescent="0.25">
      <c r="A25" s="557"/>
      <c r="B25" s="556"/>
      <c r="C25" s="556" t="s">
        <v>2180</v>
      </c>
      <c r="D25" s="556" t="s">
        <v>2181</v>
      </c>
      <c r="E25" s="556" t="s">
        <v>173</v>
      </c>
      <c r="F25" s="558">
        <v>135556.65147499999</v>
      </c>
      <c r="G25" s="558">
        <v>-9488.9656032500006</v>
      </c>
      <c r="H25" s="558">
        <v>126067.68587174999</v>
      </c>
      <c r="I25" s="558">
        <v>14788.199999999999</v>
      </c>
      <c r="J25" s="559">
        <v>2.4646999999999997</v>
      </c>
      <c r="K25" s="560">
        <v>2.0949949999999999</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row>
    <row r="26" spans="1:117" x14ac:dyDescent="0.25">
      <c r="A26" s="557"/>
      <c r="B26" s="556"/>
      <c r="C26" s="556" t="s">
        <v>2210</v>
      </c>
      <c r="D26" s="556" t="s">
        <v>2212</v>
      </c>
      <c r="E26" s="556" t="s">
        <v>194</v>
      </c>
      <c r="F26" s="558">
        <v>82498.875</v>
      </c>
      <c r="G26" s="558">
        <v>-5774.9212500000003</v>
      </c>
      <c r="H26" s="558">
        <v>76723.953750000001</v>
      </c>
      <c r="I26" s="558">
        <v>9000</v>
      </c>
      <c r="J26" s="559">
        <v>1.5</v>
      </c>
      <c r="K26" s="560">
        <v>1.2750000000000001</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row>
    <row r="27" spans="1:117" x14ac:dyDescent="0.25">
      <c r="A27" s="557" t="s">
        <v>832</v>
      </c>
      <c r="B27" s="556"/>
      <c r="C27" s="556"/>
      <c r="D27" s="556"/>
      <c r="E27" s="556"/>
      <c r="F27" s="558">
        <v>2905870.2467666669</v>
      </c>
      <c r="G27" s="558">
        <v>-203410.91727366668</v>
      </c>
      <c r="H27" s="558">
        <v>2702459.3294930002</v>
      </c>
      <c r="I27" s="558">
        <v>335509.2</v>
      </c>
      <c r="J27" s="559">
        <v>55.918199999999999</v>
      </c>
      <c r="K27" s="560">
        <v>47.497136666666655</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row>
    <row r="28" spans="1:117" x14ac:dyDescent="0.25">
      <c r="A28" s="557">
        <v>1650</v>
      </c>
      <c r="B28" s="556" t="s">
        <v>11</v>
      </c>
      <c r="C28" s="556" t="s">
        <v>1532</v>
      </c>
      <c r="D28" s="556" t="s">
        <v>1565</v>
      </c>
      <c r="E28" s="556" t="s">
        <v>192</v>
      </c>
      <c r="F28" s="558">
        <v>22355.327499999999</v>
      </c>
      <c r="G28" s="558">
        <v>-1564.8729250000001</v>
      </c>
      <c r="H28" s="558">
        <v>20790.454575</v>
      </c>
      <c r="I28" s="558">
        <v>9845</v>
      </c>
      <c r="J28" s="559">
        <v>0.55000000000000004</v>
      </c>
      <c r="K28" s="560">
        <v>0.46750000000000003</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row>
    <row r="29" spans="1:117" x14ac:dyDescent="0.25">
      <c r="A29" s="557"/>
      <c r="B29" s="556"/>
      <c r="C29" s="556"/>
      <c r="D29" s="556"/>
      <c r="E29" s="556" t="s">
        <v>1102</v>
      </c>
      <c r="F29" s="558">
        <v>22355.327499999999</v>
      </c>
      <c r="G29" s="558">
        <v>-1564.8729250000001</v>
      </c>
      <c r="H29" s="558">
        <v>20790.454575</v>
      </c>
      <c r="I29" s="558">
        <v>9845</v>
      </c>
      <c r="J29" s="559">
        <v>0.55000000000000004</v>
      </c>
      <c r="K29" s="560">
        <v>0.46750000000000003</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row>
    <row r="30" spans="1:117" x14ac:dyDescent="0.25">
      <c r="A30" s="557"/>
      <c r="B30" s="556"/>
      <c r="C30" s="556" t="s">
        <v>1979</v>
      </c>
      <c r="D30" s="556" t="s">
        <v>1392</v>
      </c>
      <c r="E30" s="556" t="s">
        <v>192</v>
      </c>
      <c r="F30" s="558">
        <v>38613.747500000005</v>
      </c>
      <c r="G30" s="558">
        <v>-2702.9623250000004</v>
      </c>
      <c r="H30" s="558">
        <v>35910.785175000005</v>
      </c>
      <c r="I30" s="558">
        <v>17005</v>
      </c>
      <c r="J30" s="559">
        <v>0.95000000000000007</v>
      </c>
      <c r="K30" s="560">
        <v>0.8075</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row>
    <row r="31" spans="1:117" x14ac:dyDescent="0.25">
      <c r="A31" s="557"/>
      <c r="B31" s="556"/>
      <c r="C31" s="556"/>
      <c r="D31" s="556"/>
      <c r="E31" s="556" t="s">
        <v>1102</v>
      </c>
      <c r="F31" s="558">
        <v>38613.747500000005</v>
      </c>
      <c r="G31" s="558">
        <v>-2702.9623250000004</v>
      </c>
      <c r="H31" s="558">
        <v>35910.785175000005</v>
      </c>
      <c r="I31" s="558">
        <v>17005</v>
      </c>
      <c r="J31" s="559">
        <v>0.95000000000000007</v>
      </c>
      <c r="K31" s="560">
        <v>0.8075</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row>
    <row r="32" spans="1:117" x14ac:dyDescent="0.25">
      <c r="A32" s="557"/>
      <c r="B32" s="556"/>
      <c r="C32" s="556" t="s">
        <v>2373</v>
      </c>
      <c r="D32" s="556" t="s">
        <v>2374</v>
      </c>
      <c r="E32" s="556" t="s">
        <v>192</v>
      </c>
      <c r="F32" s="558">
        <v>28452.235000000001</v>
      </c>
      <c r="G32" s="558">
        <v>-1991.6564500000002</v>
      </c>
      <c r="H32" s="558">
        <v>26460.578550000002</v>
      </c>
      <c r="I32" s="558">
        <v>12530.000000000002</v>
      </c>
      <c r="J32" s="559">
        <v>0.70000000000000007</v>
      </c>
      <c r="K32" s="560">
        <v>0.59499999999999997</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row>
    <row r="33" spans="1:117" x14ac:dyDescent="0.25">
      <c r="A33" s="557"/>
      <c r="B33" s="556"/>
      <c r="C33" s="556"/>
      <c r="D33" s="556"/>
      <c r="E33" s="556" t="s">
        <v>1102</v>
      </c>
      <c r="F33" s="558">
        <v>28452.235000000001</v>
      </c>
      <c r="G33" s="558">
        <v>-1991.6564500000002</v>
      </c>
      <c r="H33" s="558">
        <v>26460.578550000002</v>
      </c>
      <c r="I33" s="558">
        <v>12530.000000000002</v>
      </c>
      <c r="J33" s="559">
        <v>0.70000000000000007</v>
      </c>
      <c r="K33" s="560">
        <v>0.59499999999999997</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row>
    <row r="34" spans="1:117" x14ac:dyDescent="0.25">
      <c r="A34" s="557"/>
      <c r="B34" s="556"/>
      <c r="C34" s="556" t="s">
        <v>2372</v>
      </c>
      <c r="D34" s="556" t="s">
        <v>1565</v>
      </c>
      <c r="E34" s="556" t="s">
        <v>192</v>
      </c>
      <c r="F34" s="558">
        <v>18798.798125000001</v>
      </c>
      <c r="G34" s="558">
        <v>-1315.9158687500003</v>
      </c>
      <c r="H34" s="558">
        <v>17482.882256249999</v>
      </c>
      <c r="I34" s="558">
        <v>8278.75</v>
      </c>
      <c r="J34" s="559">
        <v>0.46250000000000002</v>
      </c>
      <c r="K34" s="560">
        <v>0.393125</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row>
    <row r="35" spans="1:117" x14ac:dyDescent="0.25">
      <c r="A35" s="557"/>
      <c r="B35" s="556"/>
      <c r="C35" s="556"/>
      <c r="D35" s="556"/>
      <c r="E35" s="556" t="s">
        <v>1102</v>
      </c>
      <c r="F35" s="558">
        <v>18798.798125000001</v>
      </c>
      <c r="G35" s="558">
        <v>-1315.9158687500003</v>
      </c>
      <c r="H35" s="558">
        <v>17482.882256249999</v>
      </c>
      <c r="I35" s="558">
        <v>8278.75</v>
      </c>
      <c r="J35" s="559">
        <v>0.46250000000000002</v>
      </c>
      <c r="K35" s="560">
        <v>0.393125</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row>
    <row r="36" spans="1:117" x14ac:dyDescent="0.25">
      <c r="A36" s="557" t="s">
        <v>1331</v>
      </c>
      <c r="B36" s="556"/>
      <c r="C36" s="556"/>
      <c r="D36" s="556"/>
      <c r="E36" s="556"/>
      <c r="F36" s="558">
        <v>216440.21625</v>
      </c>
      <c r="G36" s="558">
        <v>-15150.815137500002</v>
      </c>
      <c r="H36" s="558">
        <v>201289.40111250005</v>
      </c>
      <c r="I36" s="558">
        <v>95317.5</v>
      </c>
      <c r="J36" s="559">
        <v>5.3250000000000011</v>
      </c>
      <c r="K36" s="560">
        <v>4.526250000000001</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row>
    <row r="37" spans="1:117" x14ac:dyDescent="0.25">
      <c r="A37" s="557">
        <v>2180</v>
      </c>
      <c r="B37" s="556" t="s">
        <v>192</v>
      </c>
      <c r="C37" s="556" t="s">
        <v>1254</v>
      </c>
      <c r="D37" s="556" t="s">
        <v>1257</v>
      </c>
      <c r="E37" s="556" t="s">
        <v>197</v>
      </c>
      <c r="F37" s="558">
        <v>206247.1875</v>
      </c>
      <c r="G37" s="558">
        <v>-14437.303125000002</v>
      </c>
      <c r="H37" s="558">
        <v>191809.88437499999</v>
      </c>
      <c r="I37" s="558">
        <v>22500</v>
      </c>
      <c r="J37" s="559">
        <v>3.75</v>
      </c>
      <c r="K37" s="560">
        <v>3.1875</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row>
    <row r="38" spans="1:117" x14ac:dyDescent="0.25">
      <c r="A38" s="557"/>
      <c r="B38" s="556"/>
      <c r="C38" s="556" t="s">
        <v>1252</v>
      </c>
      <c r="D38" s="556" t="s">
        <v>1256</v>
      </c>
      <c r="E38" s="556" t="s">
        <v>194</v>
      </c>
      <c r="F38" s="558">
        <v>957536.9425</v>
      </c>
      <c r="G38" s="558">
        <v>-67027.585975000009</v>
      </c>
      <c r="H38" s="558">
        <v>890509.35652499995</v>
      </c>
      <c r="I38" s="558">
        <v>104460</v>
      </c>
      <c r="J38" s="559">
        <v>17.41</v>
      </c>
      <c r="K38" s="560">
        <v>14.798499999999999</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row>
    <row r="39" spans="1:117" x14ac:dyDescent="0.25">
      <c r="A39" s="557"/>
      <c r="B39" s="556"/>
      <c r="C39" s="556" t="s">
        <v>1550</v>
      </c>
      <c r="D39" s="556" t="s">
        <v>1566</v>
      </c>
      <c r="E39" s="556" t="s">
        <v>242</v>
      </c>
      <c r="F39" s="558">
        <v>495312.9375</v>
      </c>
      <c r="G39" s="558">
        <v>-34671.905625000007</v>
      </c>
      <c r="H39" s="558">
        <v>460641.03187499999</v>
      </c>
      <c r="I39" s="558">
        <v>227587.5</v>
      </c>
      <c r="J39" s="559">
        <v>6.375</v>
      </c>
      <c r="K39" s="560">
        <v>5.3562500000000002</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row>
    <row r="40" spans="1:117" x14ac:dyDescent="0.25">
      <c r="A40" s="557"/>
      <c r="B40" s="556"/>
      <c r="C40" s="556"/>
      <c r="D40" s="556"/>
      <c r="E40" s="556" t="s">
        <v>2145</v>
      </c>
      <c r="F40" s="558">
        <v>297187.76249999995</v>
      </c>
      <c r="G40" s="558">
        <v>-20803.143375</v>
      </c>
      <c r="H40" s="558">
        <v>276384.61912499997</v>
      </c>
      <c r="I40" s="558">
        <v>136552.5</v>
      </c>
      <c r="J40" s="559">
        <v>3.8249999999999997</v>
      </c>
      <c r="K40" s="560">
        <v>3.2137500000000001</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row>
    <row r="41" spans="1:117" x14ac:dyDescent="0.25">
      <c r="A41" s="557"/>
      <c r="B41" s="556"/>
      <c r="C41" s="556" t="s">
        <v>1523</v>
      </c>
      <c r="D41" s="556" t="s">
        <v>1524</v>
      </c>
      <c r="E41" s="556" t="s">
        <v>194</v>
      </c>
      <c r="F41" s="558">
        <v>37120.827133333332</v>
      </c>
      <c r="G41" s="558">
        <v>-2598.4578993333334</v>
      </c>
      <c r="H41" s="558">
        <v>34522.369233999998</v>
      </c>
      <c r="I41" s="558">
        <v>4049.6000000000004</v>
      </c>
      <c r="J41" s="559">
        <v>0.67493333333333339</v>
      </c>
      <c r="K41" s="560">
        <v>0.57369333333333328</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row>
    <row r="42" spans="1:117" x14ac:dyDescent="0.25">
      <c r="A42" s="557"/>
      <c r="B42" s="556"/>
      <c r="C42" s="556"/>
      <c r="D42" s="556"/>
      <c r="E42" s="556" t="s">
        <v>1102</v>
      </c>
      <c r="F42" s="558">
        <v>148483.30853333333</v>
      </c>
      <c r="G42" s="558">
        <v>-10393.831597333334</v>
      </c>
      <c r="H42" s="558">
        <v>138089.47693599999</v>
      </c>
      <c r="I42" s="558">
        <v>16198.400000000001</v>
      </c>
      <c r="J42" s="559">
        <v>2.6997333333333335</v>
      </c>
      <c r="K42" s="560">
        <v>2.2947733333333331</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row>
    <row r="43" spans="1:117" x14ac:dyDescent="0.25">
      <c r="A43" s="557"/>
      <c r="B43" s="556"/>
      <c r="C43" s="556" t="s">
        <v>1540</v>
      </c>
      <c r="D43" s="556" t="s">
        <v>1573</v>
      </c>
      <c r="E43" s="556" t="s">
        <v>194</v>
      </c>
      <c r="F43" s="558">
        <v>0</v>
      </c>
      <c r="G43" s="558">
        <v>0</v>
      </c>
      <c r="H43" s="558">
        <v>0</v>
      </c>
      <c r="I43" s="558">
        <v>0</v>
      </c>
      <c r="J43" s="559">
        <v>0</v>
      </c>
      <c r="K43" s="560">
        <v>0</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x14ac:dyDescent="0.25">
      <c r="A44" s="557"/>
      <c r="B44" s="556"/>
      <c r="C44" s="556"/>
      <c r="D44" s="556"/>
      <c r="E44" s="556" t="s">
        <v>1102</v>
      </c>
      <c r="F44" s="558">
        <v>0</v>
      </c>
      <c r="G44" s="558">
        <v>0</v>
      </c>
      <c r="H44" s="558">
        <v>0</v>
      </c>
      <c r="I44" s="558">
        <v>0</v>
      </c>
      <c r="J44" s="559">
        <v>0</v>
      </c>
      <c r="K44" s="560">
        <v>0</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row>
    <row r="45" spans="1:117" x14ac:dyDescent="0.25">
      <c r="A45" s="557"/>
      <c r="B45" s="556"/>
      <c r="C45" s="556" t="s">
        <v>1541</v>
      </c>
      <c r="D45" s="556" t="s">
        <v>1574</v>
      </c>
      <c r="E45" s="556" t="s">
        <v>194</v>
      </c>
      <c r="F45" s="558">
        <v>120998.35</v>
      </c>
      <c r="G45" s="558">
        <v>-8469.8845000000019</v>
      </c>
      <c r="H45" s="558">
        <v>112528.46550000001</v>
      </c>
      <c r="I45" s="558">
        <v>13200.000000000002</v>
      </c>
      <c r="J45" s="559">
        <v>2.2000000000000002</v>
      </c>
      <c r="K45" s="560">
        <v>1.87</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row>
    <row r="46" spans="1:117" x14ac:dyDescent="0.25">
      <c r="A46" s="557"/>
      <c r="B46" s="556"/>
      <c r="C46" s="556"/>
      <c r="D46" s="556"/>
      <c r="E46" s="556" t="s">
        <v>461</v>
      </c>
      <c r="F46" s="558">
        <v>181497.52500000002</v>
      </c>
      <c r="G46" s="558">
        <v>-12704.826750000002</v>
      </c>
      <c r="H46" s="558">
        <v>168792.69825000002</v>
      </c>
      <c r="I46" s="558">
        <v>19800</v>
      </c>
      <c r="J46" s="559">
        <v>3.3000000000000003</v>
      </c>
      <c r="K46" s="560">
        <v>2.8050000000000002</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row>
    <row r="47" spans="1:117" x14ac:dyDescent="0.25">
      <c r="A47" s="557"/>
      <c r="B47" s="556"/>
      <c r="C47" s="556" t="s">
        <v>1583</v>
      </c>
      <c r="D47" s="556" t="s">
        <v>1584</v>
      </c>
      <c r="E47" s="556" t="s">
        <v>1102</v>
      </c>
      <c r="F47" s="558">
        <v>0</v>
      </c>
      <c r="G47" s="558">
        <v>0</v>
      </c>
      <c r="H47" s="558">
        <v>0</v>
      </c>
      <c r="I47" s="558">
        <v>0</v>
      </c>
      <c r="J47" s="559">
        <v>0</v>
      </c>
      <c r="K47" s="560">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row>
    <row r="48" spans="1:117" x14ac:dyDescent="0.25">
      <c r="A48" s="557"/>
      <c r="B48" s="556"/>
      <c r="C48" s="556" t="s">
        <v>1610</v>
      </c>
      <c r="D48" s="556" t="s">
        <v>1631</v>
      </c>
      <c r="E48" s="556" t="s">
        <v>194</v>
      </c>
      <c r="F48" s="558">
        <v>46291.035416666666</v>
      </c>
      <c r="G48" s="558">
        <v>-3240.3724791666668</v>
      </c>
      <c r="H48" s="558">
        <v>43050.662937499997</v>
      </c>
      <c r="I48" s="558">
        <v>5050.0000000000009</v>
      </c>
      <c r="J48" s="559">
        <v>0.84166666666666679</v>
      </c>
      <c r="K48" s="560">
        <v>0.7154166666666667</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row>
    <row r="49" spans="1:117" x14ac:dyDescent="0.25">
      <c r="A49" s="557"/>
      <c r="B49" s="556"/>
      <c r="C49" s="556"/>
      <c r="D49" s="556"/>
      <c r="E49" s="556" t="s">
        <v>1102</v>
      </c>
      <c r="F49" s="558">
        <v>185164.14166666666</v>
      </c>
      <c r="G49" s="558">
        <v>-12961.489916666667</v>
      </c>
      <c r="H49" s="558">
        <v>172202.65174999999</v>
      </c>
      <c r="I49" s="558">
        <v>20200.000000000004</v>
      </c>
      <c r="J49" s="559">
        <v>3.3666666666666671</v>
      </c>
      <c r="K49" s="560">
        <v>2.8616666666666668</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row>
    <row r="50" spans="1:117" x14ac:dyDescent="0.25">
      <c r="A50" s="557"/>
      <c r="B50" s="556"/>
      <c r="C50" s="556" t="s">
        <v>1642</v>
      </c>
      <c r="D50" s="556" t="s">
        <v>1643</v>
      </c>
      <c r="E50" s="556" t="s">
        <v>194</v>
      </c>
      <c r="F50" s="558">
        <v>183330.83333333331</v>
      </c>
      <c r="G50" s="558">
        <v>-12833.158333333333</v>
      </c>
      <c r="H50" s="558">
        <v>170497.67499999999</v>
      </c>
      <c r="I50" s="558">
        <v>20000</v>
      </c>
      <c r="J50" s="559">
        <v>3.333333333333333</v>
      </c>
      <c r="K50" s="560">
        <v>2.833333333333333</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row>
    <row r="51" spans="1:117" x14ac:dyDescent="0.25">
      <c r="A51" s="557"/>
      <c r="B51" s="556"/>
      <c r="C51" s="556"/>
      <c r="D51" s="556"/>
      <c r="E51" s="556" t="s">
        <v>461</v>
      </c>
      <c r="F51" s="558">
        <v>91665.416666666657</v>
      </c>
      <c r="G51" s="558">
        <v>-6416.5791666666664</v>
      </c>
      <c r="H51" s="558">
        <v>85248.837499999994</v>
      </c>
      <c r="I51" s="558">
        <v>10000</v>
      </c>
      <c r="J51" s="559">
        <v>1.6666666666666665</v>
      </c>
      <c r="K51" s="560">
        <v>1.4166666666666665</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row>
    <row r="52" spans="1:117" x14ac:dyDescent="0.25">
      <c r="A52" s="557"/>
      <c r="B52" s="556"/>
      <c r="C52" s="556" t="s">
        <v>1764</v>
      </c>
      <c r="D52" s="556" t="s">
        <v>1774</v>
      </c>
      <c r="E52" s="556" t="s">
        <v>809</v>
      </c>
      <c r="F52" s="558">
        <v>175302.625</v>
      </c>
      <c r="G52" s="558">
        <v>-12271.183750000002</v>
      </c>
      <c r="H52" s="558">
        <v>163031.44125</v>
      </c>
      <c r="I52" s="558">
        <v>80325</v>
      </c>
      <c r="J52" s="559">
        <v>2.25</v>
      </c>
      <c r="K52" s="560">
        <v>1.9041666666666668</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row>
    <row r="53" spans="1:117" x14ac:dyDescent="0.25">
      <c r="A53" s="557"/>
      <c r="B53" s="556"/>
      <c r="C53" s="556" t="s">
        <v>1444</v>
      </c>
      <c r="D53" s="556" t="s">
        <v>1443</v>
      </c>
      <c r="E53" s="556" t="s">
        <v>1102</v>
      </c>
      <c r="F53" s="558">
        <v>0</v>
      </c>
      <c r="G53" s="558">
        <v>0</v>
      </c>
      <c r="H53" s="558">
        <v>0</v>
      </c>
      <c r="I53" s="558">
        <v>0</v>
      </c>
      <c r="J53" s="559">
        <v>0</v>
      </c>
      <c r="K53" s="560">
        <v>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row>
    <row r="54" spans="1:117" x14ac:dyDescent="0.25">
      <c r="A54" s="557"/>
      <c r="B54" s="556"/>
      <c r="C54" s="556" t="s">
        <v>1864</v>
      </c>
      <c r="D54" s="556" t="s">
        <v>1865</v>
      </c>
      <c r="E54" s="556" t="s">
        <v>176</v>
      </c>
      <c r="F54" s="558">
        <v>84530.287500000006</v>
      </c>
      <c r="G54" s="558">
        <v>-5917.1201250000013</v>
      </c>
      <c r="H54" s="558">
        <v>78613.167375000005</v>
      </c>
      <c r="I54" s="558">
        <v>14250</v>
      </c>
      <c r="J54" s="559">
        <v>2.375</v>
      </c>
      <c r="K54" s="560">
        <v>2.0187500000000003</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row>
    <row r="55" spans="1:117" x14ac:dyDescent="0.25">
      <c r="A55" s="557"/>
      <c r="B55" s="556"/>
      <c r="C55" s="556"/>
      <c r="D55" s="556"/>
      <c r="E55" s="556" t="s">
        <v>194</v>
      </c>
      <c r="F55" s="558">
        <v>84530.287500000006</v>
      </c>
      <c r="G55" s="558">
        <v>-5917.1201250000013</v>
      </c>
      <c r="H55" s="558">
        <v>78613.167375000005</v>
      </c>
      <c r="I55" s="558">
        <v>14250</v>
      </c>
      <c r="J55" s="559">
        <v>2.375</v>
      </c>
      <c r="K55" s="560">
        <v>2.0187500000000003</v>
      </c>
      <c r="L55"/>
    </row>
    <row r="56" spans="1:117" x14ac:dyDescent="0.25">
      <c r="A56" s="557"/>
      <c r="B56" s="556"/>
      <c r="C56" s="556" t="s">
        <v>1867</v>
      </c>
      <c r="D56" s="556" t="s">
        <v>1868</v>
      </c>
      <c r="E56" s="556" t="s">
        <v>194</v>
      </c>
      <c r="F56" s="558">
        <v>101554.984</v>
      </c>
      <c r="G56" s="558">
        <v>-7108.8488800000005</v>
      </c>
      <c r="H56" s="558">
        <v>94446.135119999992</v>
      </c>
      <c r="I56" s="558">
        <v>17120</v>
      </c>
      <c r="J56" s="559">
        <v>2.8533333333333331</v>
      </c>
      <c r="K56" s="560">
        <v>2.4253333333333331</v>
      </c>
      <c r="L56"/>
    </row>
    <row r="57" spans="1:117" x14ac:dyDescent="0.25">
      <c r="A57" s="557"/>
      <c r="B57" s="556"/>
      <c r="C57" s="556"/>
      <c r="D57" s="556"/>
      <c r="E57" s="556" t="s">
        <v>1102</v>
      </c>
      <c r="F57" s="558">
        <v>101554.984</v>
      </c>
      <c r="G57" s="558">
        <v>-7108.8488800000005</v>
      </c>
      <c r="H57" s="558">
        <v>94446.135119999992</v>
      </c>
      <c r="I57" s="558">
        <v>17120</v>
      </c>
      <c r="J57" s="559">
        <v>2.8533333333333331</v>
      </c>
      <c r="K57" s="560">
        <v>2.4253333333333331</v>
      </c>
      <c r="L57"/>
    </row>
    <row r="58" spans="1:117" x14ac:dyDescent="0.25">
      <c r="A58" s="557"/>
      <c r="B58" s="556"/>
      <c r="C58" s="556" t="s">
        <v>2149</v>
      </c>
      <c r="D58" s="556" t="s">
        <v>2213</v>
      </c>
      <c r="E58" s="556" t="s">
        <v>1102</v>
      </c>
      <c r="F58" s="558">
        <v>236496.77499999999</v>
      </c>
      <c r="G58" s="558">
        <v>-16554.774250000002</v>
      </c>
      <c r="H58" s="558">
        <v>219942.00075000001</v>
      </c>
      <c r="I58" s="558">
        <v>25800</v>
      </c>
      <c r="J58" s="559">
        <v>4.3</v>
      </c>
      <c r="K58" s="560">
        <v>3.6549999999999998</v>
      </c>
      <c r="L58"/>
    </row>
    <row r="59" spans="1:117" x14ac:dyDescent="0.25">
      <c r="A59" s="557"/>
      <c r="B59" s="556"/>
      <c r="C59" s="556" t="s">
        <v>2173</v>
      </c>
      <c r="D59" s="556" t="s">
        <v>2178</v>
      </c>
      <c r="E59" s="556" t="s">
        <v>1102</v>
      </c>
      <c r="F59" s="558">
        <v>241996.7</v>
      </c>
      <c r="G59" s="558">
        <v>-16939.769000000004</v>
      </c>
      <c r="H59" s="558">
        <v>225056.93100000001</v>
      </c>
      <c r="I59" s="558">
        <v>26400.000000000004</v>
      </c>
      <c r="J59" s="559">
        <v>4.4000000000000004</v>
      </c>
      <c r="K59" s="560">
        <v>3.74</v>
      </c>
      <c r="L59"/>
    </row>
    <row r="60" spans="1:117" x14ac:dyDescent="0.25">
      <c r="A60" s="557"/>
      <c r="B60" s="556"/>
      <c r="C60" s="556" t="s">
        <v>2174</v>
      </c>
      <c r="D60" s="556" t="s">
        <v>1443</v>
      </c>
      <c r="E60" s="556" t="s">
        <v>1102</v>
      </c>
      <c r="F60" s="558">
        <v>661697.10000000009</v>
      </c>
      <c r="G60" s="558">
        <v>-46318.797000000013</v>
      </c>
      <c r="H60" s="558">
        <v>615378.30300000007</v>
      </c>
      <c r="I60" s="558">
        <v>48600</v>
      </c>
      <c r="J60" s="559">
        <v>13.5</v>
      </c>
      <c r="K60" s="560">
        <v>11.475000000000001</v>
      </c>
      <c r="L60"/>
    </row>
    <row r="61" spans="1:117" x14ac:dyDescent="0.25">
      <c r="A61" s="557"/>
      <c r="B61" s="556"/>
      <c r="C61" s="556" t="s">
        <v>2209</v>
      </c>
      <c r="D61" s="556" t="s">
        <v>2211</v>
      </c>
      <c r="E61" s="556" t="s">
        <v>1102</v>
      </c>
      <c r="F61" s="558">
        <v>168671.69990000001</v>
      </c>
      <c r="G61" s="558">
        <v>-11807.018993000002</v>
      </c>
      <c r="H61" s="558">
        <v>156864.680907</v>
      </c>
      <c r="I61" s="558">
        <v>18400.800000000003</v>
      </c>
      <c r="J61" s="559">
        <v>3.0668000000000002</v>
      </c>
      <c r="K61" s="560">
        <v>2.6067800000000001</v>
      </c>
      <c r="L61"/>
    </row>
    <row r="62" spans="1:117" x14ac:dyDescent="0.25">
      <c r="A62" s="557"/>
      <c r="B62" s="556"/>
      <c r="C62" s="556" t="s">
        <v>2256</v>
      </c>
      <c r="D62" s="556" t="s">
        <v>442</v>
      </c>
      <c r="E62" s="556" t="s">
        <v>194</v>
      </c>
      <c r="F62" s="558">
        <v>246917.41875000001</v>
      </c>
      <c r="G62" s="558">
        <v>-17284.219312500001</v>
      </c>
      <c r="H62" s="558">
        <v>229633.19943750001</v>
      </c>
      <c r="I62" s="558">
        <v>41625</v>
      </c>
      <c r="J62" s="559">
        <v>6.9375</v>
      </c>
      <c r="K62" s="560">
        <v>5.8968749999999996</v>
      </c>
      <c r="L62"/>
    </row>
    <row r="63" spans="1:117" x14ac:dyDescent="0.25">
      <c r="A63" s="557"/>
      <c r="B63" s="556"/>
      <c r="C63" s="556" t="s">
        <v>2325</v>
      </c>
      <c r="D63" s="556" t="s">
        <v>2326</v>
      </c>
      <c r="E63" s="556" t="s">
        <v>242</v>
      </c>
      <c r="F63" s="558">
        <v>408621.1875</v>
      </c>
      <c r="G63" s="558">
        <v>-28603.483125000002</v>
      </c>
      <c r="H63" s="558">
        <v>380017.70437499997</v>
      </c>
      <c r="I63" s="558">
        <v>187425</v>
      </c>
      <c r="J63" s="559">
        <v>5.25</v>
      </c>
      <c r="K63" s="560">
        <v>4.4312499999999995</v>
      </c>
      <c r="L63"/>
    </row>
    <row r="64" spans="1:117" x14ac:dyDescent="0.25">
      <c r="A64" s="557" t="s">
        <v>776</v>
      </c>
      <c r="B64" s="556"/>
      <c r="C64" s="556"/>
      <c r="D64" s="556"/>
      <c r="E64" s="556"/>
      <c r="F64" s="558">
        <v>5462710.3169000018</v>
      </c>
      <c r="G64" s="558">
        <v>-382389.72218300012</v>
      </c>
      <c r="H64" s="558">
        <v>5080320.5947169997</v>
      </c>
      <c r="I64" s="558">
        <v>1090913.8</v>
      </c>
      <c r="J64" s="559">
        <v>99.603966666666679</v>
      </c>
      <c r="K64" s="560">
        <v>84.523788333333343</v>
      </c>
      <c r="L64"/>
    </row>
    <row r="65" spans="1:12" x14ac:dyDescent="0.25">
      <c r="A65" s="557">
        <v>2193</v>
      </c>
      <c r="B65" s="556" t="s">
        <v>1102</v>
      </c>
      <c r="C65" s="556" t="s">
        <v>505</v>
      </c>
      <c r="D65" s="556" t="s">
        <v>552</v>
      </c>
      <c r="E65" s="556" t="s">
        <v>11</v>
      </c>
      <c r="F65" s="558">
        <v>32032.530000000002</v>
      </c>
      <c r="G65" s="558">
        <v>-2242.2771000000002</v>
      </c>
      <c r="H65" s="558">
        <v>29790.252900000003</v>
      </c>
      <c r="I65" s="558">
        <v>5400</v>
      </c>
      <c r="J65" s="559">
        <v>0.9</v>
      </c>
      <c r="K65" s="560">
        <v>0.76500000000000001</v>
      </c>
      <c r="L65"/>
    </row>
    <row r="66" spans="1:12" x14ac:dyDescent="0.25">
      <c r="A66" s="557"/>
      <c r="B66" s="556"/>
      <c r="C66" s="556" t="s">
        <v>919</v>
      </c>
      <c r="D66" s="556" t="s">
        <v>748</v>
      </c>
      <c r="E66" s="556" t="s">
        <v>192</v>
      </c>
      <c r="F66" s="558">
        <v>55170.694169999988</v>
      </c>
      <c r="G66" s="558">
        <v>-3861.9485918999994</v>
      </c>
      <c r="H66" s="558">
        <v>51308.745578099988</v>
      </c>
      <c r="I66" s="558">
        <v>9300.5999999999985</v>
      </c>
      <c r="J66" s="559">
        <v>1.5500999999999998</v>
      </c>
      <c r="K66" s="560">
        <v>1.3175849999999998</v>
      </c>
      <c r="L66"/>
    </row>
    <row r="67" spans="1:12" x14ac:dyDescent="0.25">
      <c r="A67" s="557"/>
      <c r="B67" s="556"/>
      <c r="C67" s="556"/>
      <c r="D67" s="556"/>
      <c r="E67" s="556" t="s">
        <v>198</v>
      </c>
      <c r="F67" s="558">
        <v>128731.61972999999</v>
      </c>
      <c r="G67" s="558">
        <v>-9011.2133811000003</v>
      </c>
      <c r="H67" s="558">
        <v>119720.4063489</v>
      </c>
      <c r="I67" s="558">
        <v>21701.399999999998</v>
      </c>
      <c r="J67" s="559">
        <v>3.6168999999999998</v>
      </c>
      <c r="K67" s="560">
        <v>3.0743649999999993</v>
      </c>
      <c r="L67"/>
    </row>
    <row r="68" spans="1:12" x14ac:dyDescent="0.25">
      <c r="A68" s="557"/>
      <c r="B68" s="556"/>
      <c r="C68" s="556" t="s">
        <v>1122</v>
      </c>
      <c r="D68" s="556" t="s">
        <v>1198</v>
      </c>
      <c r="E68" s="556" t="s">
        <v>197</v>
      </c>
      <c r="F68" s="558">
        <v>120998.35</v>
      </c>
      <c r="G68" s="558">
        <v>-8469.8845000000019</v>
      </c>
      <c r="H68" s="558">
        <v>112528.46550000001</v>
      </c>
      <c r="I68" s="558">
        <v>13200.000000000002</v>
      </c>
      <c r="J68" s="559">
        <v>2.2000000000000002</v>
      </c>
      <c r="K68" s="560">
        <v>1.87</v>
      </c>
      <c r="L68"/>
    </row>
    <row r="69" spans="1:12" x14ac:dyDescent="0.25">
      <c r="A69" s="557"/>
      <c r="B69" s="556"/>
      <c r="C69" s="556" t="s">
        <v>1407</v>
      </c>
      <c r="D69" s="556" t="s">
        <v>1387</v>
      </c>
      <c r="E69" s="556" t="s">
        <v>192</v>
      </c>
      <c r="F69" s="558">
        <v>126350.535</v>
      </c>
      <c r="G69" s="558">
        <v>-8844.5374500000016</v>
      </c>
      <c r="H69" s="558">
        <v>117505.99755</v>
      </c>
      <c r="I69" s="558">
        <v>21300</v>
      </c>
      <c r="J69" s="559">
        <v>3.5500000000000003</v>
      </c>
      <c r="K69" s="560">
        <v>3.0175000000000001</v>
      </c>
      <c r="L69"/>
    </row>
    <row r="70" spans="1:12" x14ac:dyDescent="0.25">
      <c r="A70" s="557"/>
      <c r="B70" s="556"/>
      <c r="C70" s="556" t="s">
        <v>1578</v>
      </c>
      <c r="D70" s="556" t="s">
        <v>1579</v>
      </c>
      <c r="E70" s="556" t="s">
        <v>198</v>
      </c>
      <c r="F70" s="558">
        <v>0</v>
      </c>
      <c r="G70" s="558">
        <v>0</v>
      </c>
      <c r="H70" s="558">
        <v>0</v>
      </c>
      <c r="I70" s="558">
        <v>0</v>
      </c>
      <c r="J70" s="559">
        <v>0</v>
      </c>
      <c r="K70" s="560">
        <v>0</v>
      </c>
      <c r="L70"/>
    </row>
    <row r="71" spans="1:12" x14ac:dyDescent="0.25">
      <c r="A71" s="557"/>
      <c r="B71" s="556"/>
      <c r="C71" s="556" t="s">
        <v>1581</v>
      </c>
      <c r="D71" s="556" t="s">
        <v>1582</v>
      </c>
      <c r="E71" s="556" t="s">
        <v>192</v>
      </c>
      <c r="F71" s="558">
        <v>0</v>
      </c>
      <c r="G71" s="558">
        <v>0</v>
      </c>
      <c r="H71" s="558">
        <v>0</v>
      </c>
      <c r="I71" s="558">
        <v>0</v>
      </c>
      <c r="J71" s="559">
        <v>0</v>
      </c>
      <c r="K71" s="560">
        <v>0</v>
      </c>
      <c r="L71"/>
    </row>
    <row r="72" spans="1:12" x14ac:dyDescent="0.25">
      <c r="A72" s="557"/>
      <c r="B72" s="556"/>
      <c r="C72" s="556" t="s">
        <v>1534</v>
      </c>
      <c r="D72" s="556" t="s">
        <v>1572</v>
      </c>
      <c r="E72" s="556" t="s">
        <v>192</v>
      </c>
      <c r="F72" s="558">
        <v>54080.304197916666</v>
      </c>
      <c r="G72" s="558">
        <v>-3785.6212938541671</v>
      </c>
      <c r="H72" s="558">
        <v>50294.682904062502</v>
      </c>
      <c r="I72" s="558">
        <v>5899.75</v>
      </c>
      <c r="J72" s="559">
        <v>0.98329166666666667</v>
      </c>
      <c r="K72" s="560">
        <v>0.83579791666666658</v>
      </c>
      <c r="L72"/>
    </row>
    <row r="73" spans="1:12" x14ac:dyDescent="0.25">
      <c r="A73" s="557"/>
      <c r="B73" s="556"/>
      <c r="C73" s="556"/>
      <c r="D73" s="556"/>
      <c r="E73" s="556" t="s">
        <v>194</v>
      </c>
      <c r="F73" s="558">
        <v>108160.60839583333</v>
      </c>
      <c r="G73" s="558">
        <v>-7571.2425877083342</v>
      </c>
      <c r="H73" s="558">
        <v>100589.365808125</v>
      </c>
      <c r="I73" s="558">
        <v>11799.5</v>
      </c>
      <c r="J73" s="559">
        <v>1.9665833333333333</v>
      </c>
      <c r="K73" s="560">
        <v>1.6715958333333332</v>
      </c>
      <c r="L73"/>
    </row>
    <row r="74" spans="1:12" x14ac:dyDescent="0.25">
      <c r="A74" s="557"/>
      <c r="B74" s="556"/>
      <c r="C74" s="556" t="s">
        <v>1531</v>
      </c>
      <c r="D74" s="556" t="s">
        <v>1571</v>
      </c>
      <c r="E74" s="556" t="s">
        <v>192</v>
      </c>
      <c r="F74" s="558">
        <v>142081.39583333334</v>
      </c>
      <c r="G74" s="558">
        <v>-9945.697708333335</v>
      </c>
      <c r="H74" s="558">
        <v>132135.698125</v>
      </c>
      <c r="I74" s="558">
        <v>15500</v>
      </c>
      <c r="J74" s="559">
        <v>2.5833333333333335</v>
      </c>
      <c r="K74" s="560">
        <v>2.1958333333333333</v>
      </c>
      <c r="L74"/>
    </row>
    <row r="75" spans="1:12" x14ac:dyDescent="0.25">
      <c r="A75" s="557"/>
      <c r="B75" s="556"/>
      <c r="C75" s="556"/>
      <c r="D75" s="556"/>
      <c r="E75" s="556" t="s">
        <v>194</v>
      </c>
      <c r="F75" s="558">
        <v>28416.279166666664</v>
      </c>
      <c r="G75" s="558">
        <v>-1989.1395416666667</v>
      </c>
      <c r="H75" s="558">
        <v>26427.139624999996</v>
      </c>
      <c r="I75" s="558">
        <v>3099.9999999999995</v>
      </c>
      <c r="J75" s="559">
        <v>0.51666666666666661</v>
      </c>
      <c r="K75" s="560">
        <v>0.43916666666666659</v>
      </c>
      <c r="L75"/>
    </row>
    <row r="76" spans="1:12" x14ac:dyDescent="0.25">
      <c r="A76" s="557"/>
      <c r="B76" s="556"/>
      <c r="C76" s="556" t="s">
        <v>1577</v>
      </c>
      <c r="D76" s="556" t="s">
        <v>1169</v>
      </c>
      <c r="E76" s="556" t="s">
        <v>192</v>
      </c>
      <c r="F76" s="558">
        <v>0</v>
      </c>
      <c r="G76" s="558">
        <v>0</v>
      </c>
      <c r="H76" s="558">
        <v>0</v>
      </c>
      <c r="I76" s="558">
        <v>0</v>
      </c>
      <c r="J76" s="559">
        <v>0</v>
      </c>
      <c r="K76" s="560">
        <v>0</v>
      </c>
      <c r="L76"/>
    </row>
    <row r="77" spans="1:12" x14ac:dyDescent="0.25">
      <c r="A77" s="557"/>
      <c r="B77" s="556"/>
      <c r="C77" s="556" t="s">
        <v>1536</v>
      </c>
      <c r="D77" s="556" t="s">
        <v>1393</v>
      </c>
      <c r="E77" s="556" t="s">
        <v>192</v>
      </c>
      <c r="F77" s="558">
        <v>42710.040000000008</v>
      </c>
      <c r="G77" s="558">
        <v>-2989.7028000000009</v>
      </c>
      <c r="H77" s="558">
        <v>39720.337200000009</v>
      </c>
      <c r="I77" s="558">
        <v>7200.0000000000009</v>
      </c>
      <c r="J77" s="559">
        <v>1.2000000000000002</v>
      </c>
      <c r="K77" s="560">
        <v>1.02</v>
      </c>
      <c r="L77"/>
    </row>
    <row r="78" spans="1:12" x14ac:dyDescent="0.25">
      <c r="A78" s="557"/>
      <c r="B78" s="556"/>
      <c r="C78" s="556" t="s">
        <v>1806</v>
      </c>
      <c r="D78" s="556" t="s">
        <v>1391</v>
      </c>
      <c r="E78" s="556" t="s">
        <v>192</v>
      </c>
      <c r="F78" s="558">
        <v>144146.38500000001</v>
      </c>
      <c r="G78" s="558">
        <v>-10090.246950000002</v>
      </c>
      <c r="H78" s="558">
        <v>134056.13805000001</v>
      </c>
      <c r="I78" s="558">
        <v>24300</v>
      </c>
      <c r="J78" s="559">
        <v>4.05</v>
      </c>
      <c r="K78" s="560">
        <v>3.4424999999999999</v>
      </c>
      <c r="L78"/>
    </row>
    <row r="79" spans="1:12" x14ac:dyDescent="0.25">
      <c r="A79" s="557"/>
      <c r="B79" s="556"/>
      <c r="C79" s="556"/>
      <c r="D79" s="556"/>
      <c r="E79" s="556" t="s">
        <v>461</v>
      </c>
      <c r="F79" s="558">
        <v>64065.060000000005</v>
      </c>
      <c r="G79" s="558">
        <v>-4484.5542000000005</v>
      </c>
      <c r="H79" s="558">
        <v>59580.505800000006</v>
      </c>
      <c r="I79" s="558">
        <v>10800</v>
      </c>
      <c r="J79" s="559">
        <v>1.8</v>
      </c>
      <c r="K79" s="560">
        <v>1.53</v>
      </c>
      <c r="L79"/>
    </row>
    <row r="80" spans="1:12" x14ac:dyDescent="0.25">
      <c r="A80" s="557"/>
      <c r="B80" s="556"/>
      <c r="C80" s="556" t="s">
        <v>1807</v>
      </c>
      <c r="D80" s="556" t="s">
        <v>1458</v>
      </c>
      <c r="E80" s="556" t="s">
        <v>192</v>
      </c>
      <c r="F80" s="558">
        <v>0</v>
      </c>
      <c r="G80" s="558">
        <v>0</v>
      </c>
      <c r="H80" s="558">
        <v>0</v>
      </c>
      <c r="I80" s="558">
        <v>0</v>
      </c>
      <c r="J80" s="559">
        <v>0</v>
      </c>
      <c r="K80" s="560">
        <v>0</v>
      </c>
      <c r="L80"/>
    </row>
    <row r="81" spans="1:12" x14ac:dyDescent="0.25">
      <c r="A81" s="557"/>
      <c r="B81" s="556"/>
      <c r="C81" s="556" t="s">
        <v>1808</v>
      </c>
      <c r="D81" s="556" t="s">
        <v>1819</v>
      </c>
      <c r="E81" s="556" t="s">
        <v>192</v>
      </c>
      <c r="F81" s="558">
        <v>67374.081249999988</v>
      </c>
      <c r="G81" s="558">
        <v>-4716.1856874999994</v>
      </c>
      <c r="H81" s="558">
        <v>62657.895562499987</v>
      </c>
      <c r="I81" s="558">
        <v>7350.0000000000009</v>
      </c>
      <c r="J81" s="559">
        <v>1.2250000000000001</v>
      </c>
      <c r="K81" s="560">
        <v>1.0412499999999998</v>
      </c>
      <c r="L81"/>
    </row>
    <row r="82" spans="1:12" x14ac:dyDescent="0.25">
      <c r="A82" s="557"/>
      <c r="B82" s="556"/>
      <c r="C82" s="556" t="s">
        <v>1866</v>
      </c>
      <c r="D82" s="556" t="s">
        <v>1869</v>
      </c>
      <c r="E82" s="556" t="s">
        <v>192</v>
      </c>
      <c r="F82" s="558">
        <v>496536.97450000001</v>
      </c>
      <c r="G82" s="558">
        <v>-34757.588215000003</v>
      </c>
      <c r="H82" s="558">
        <v>461779.38628500002</v>
      </c>
      <c r="I82" s="558">
        <v>45150</v>
      </c>
      <c r="J82" s="559">
        <v>7.5250000000000004</v>
      </c>
      <c r="K82" s="560">
        <v>6.3962499999999993</v>
      </c>
      <c r="L82"/>
    </row>
    <row r="83" spans="1:12" x14ac:dyDescent="0.25">
      <c r="A83" s="557"/>
      <c r="B83" s="556"/>
      <c r="C83" s="556" t="s">
        <v>2137</v>
      </c>
      <c r="D83" s="556" t="s">
        <v>2157</v>
      </c>
      <c r="E83" s="556" t="s">
        <v>192</v>
      </c>
      <c r="F83" s="558">
        <v>237413.42916666664</v>
      </c>
      <c r="G83" s="558">
        <v>-16618.940041666665</v>
      </c>
      <c r="H83" s="558">
        <v>220794.48912499996</v>
      </c>
      <c r="I83" s="558">
        <v>25900</v>
      </c>
      <c r="J83" s="559">
        <v>4.3166666666666664</v>
      </c>
      <c r="K83" s="560">
        <v>3.6691666666666665</v>
      </c>
      <c r="L83"/>
    </row>
    <row r="84" spans="1:12" x14ac:dyDescent="0.25">
      <c r="A84" s="557"/>
      <c r="B84" s="556"/>
      <c r="C84" s="556" t="s">
        <v>2197</v>
      </c>
      <c r="D84" s="556" t="s">
        <v>1573</v>
      </c>
      <c r="E84" s="556" t="s">
        <v>192</v>
      </c>
      <c r="F84" s="558">
        <v>41249.4375</v>
      </c>
      <c r="G84" s="558">
        <v>-2887.4606250000002</v>
      </c>
      <c r="H84" s="558">
        <v>38361.976875</v>
      </c>
      <c r="I84" s="558">
        <v>4500</v>
      </c>
      <c r="J84" s="559">
        <v>0.75</v>
      </c>
      <c r="K84" s="560">
        <v>0.63749999999999996</v>
      </c>
      <c r="L84"/>
    </row>
    <row r="85" spans="1:12" x14ac:dyDescent="0.25">
      <c r="A85" s="557"/>
      <c r="B85" s="556"/>
      <c r="C85" s="556" t="s">
        <v>2327</v>
      </c>
      <c r="D85" s="556" t="s">
        <v>2328</v>
      </c>
      <c r="E85" s="556" t="s">
        <v>192</v>
      </c>
      <c r="F85" s="558">
        <v>260322.45010000002</v>
      </c>
      <c r="G85" s="558">
        <v>-18222.571507000004</v>
      </c>
      <c r="H85" s="558">
        <v>242099.878593</v>
      </c>
      <c r="I85" s="558">
        <v>28399.200000000001</v>
      </c>
      <c r="J85" s="559">
        <v>4.7332000000000001</v>
      </c>
      <c r="K85" s="560">
        <v>4.0232200000000002</v>
      </c>
      <c r="L85"/>
    </row>
    <row r="86" spans="1:12" x14ac:dyDescent="0.25">
      <c r="A86" s="557"/>
      <c r="B86" s="556"/>
      <c r="C86" s="556" t="s">
        <v>2343</v>
      </c>
      <c r="D86" s="556" t="s">
        <v>2354</v>
      </c>
      <c r="E86" s="556" t="s">
        <v>192</v>
      </c>
      <c r="F86" s="558">
        <v>51014.770000000004</v>
      </c>
      <c r="G86" s="558">
        <v>-3571.0339000000008</v>
      </c>
      <c r="H86" s="558">
        <v>47443.736100000002</v>
      </c>
      <c r="I86" s="558">
        <v>8600.0000000000018</v>
      </c>
      <c r="J86" s="559">
        <v>1.4333333333333336</v>
      </c>
      <c r="K86" s="560">
        <v>1.2183333333333335</v>
      </c>
      <c r="L86"/>
    </row>
    <row r="87" spans="1:12" x14ac:dyDescent="0.25">
      <c r="A87" s="557" t="s">
        <v>833</v>
      </c>
      <c r="B87" s="556"/>
      <c r="C87" s="556"/>
      <c r="D87" s="556"/>
      <c r="E87" s="556"/>
      <c r="F87" s="558">
        <v>2200854.9440104165</v>
      </c>
      <c r="G87" s="558">
        <v>-154059.84608072918</v>
      </c>
      <c r="H87" s="558">
        <v>2046795.097929687</v>
      </c>
      <c r="I87" s="558">
        <v>269400.45</v>
      </c>
      <c r="J87" s="559">
        <v>44.900075000000001</v>
      </c>
      <c r="K87" s="560">
        <v>38.165063750000002</v>
      </c>
      <c r="L87"/>
    </row>
    <row r="88" spans="1:12" x14ac:dyDescent="0.25">
      <c r="A88" s="557">
        <v>2340</v>
      </c>
      <c r="B88" s="556" t="s">
        <v>198</v>
      </c>
      <c r="C88" s="556" t="s">
        <v>511</v>
      </c>
      <c r="D88" s="556" t="s">
        <v>555</v>
      </c>
      <c r="E88" s="556" t="s">
        <v>199</v>
      </c>
      <c r="F88" s="558">
        <v>68336.063999999998</v>
      </c>
      <c r="G88" s="558">
        <v>-4783.52448</v>
      </c>
      <c r="H88" s="558">
        <v>63552.539519999998</v>
      </c>
      <c r="I88" s="558">
        <v>11520</v>
      </c>
      <c r="J88" s="559">
        <v>1.92</v>
      </c>
      <c r="K88" s="560">
        <v>1.6319999999999999</v>
      </c>
      <c r="L88"/>
    </row>
    <row r="89" spans="1:12" x14ac:dyDescent="0.25">
      <c r="A89" s="557"/>
      <c r="B89" s="556"/>
      <c r="C89" s="556"/>
      <c r="D89" s="556"/>
      <c r="E89" s="556" t="s">
        <v>196</v>
      </c>
      <c r="F89" s="558">
        <v>102504.09600000001</v>
      </c>
      <c r="G89" s="558">
        <v>-7175.286720000001</v>
      </c>
      <c r="H89" s="558">
        <v>95328.809280000001</v>
      </c>
      <c r="I89" s="558">
        <v>17280.000000000004</v>
      </c>
      <c r="J89" s="559">
        <v>2.8800000000000003</v>
      </c>
      <c r="K89" s="560">
        <v>2.448</v>
      </c>
      <c r="L89"/>
    </row>
    <row r="90" spans="1:12" x14ac:dyDescent="0.25">
      <c r="A90" s="557"/>
      <c r="B90" s="556"/>
      <c r="C90" s="556"/>
      <c r="D90" s="556"/>
      <c r="E90" s="556" t="s">
        <v>192</v>
      </c>
      <c r="F90" s="558">
        <v>85420.080000000016</v>
      </c>
      <c r="G90" s="558">
        <v>-5979.4056000000019</v>
      </c>
      <c r="H90" s="558">
        <v>79440.674400000018</v>
      </c>
      <c r="I90" s="558">
        <v>14400.000000000002</v>
      </c>
      <c r="J90" s="559">
        <v>2.4000000000000004</v>
      </c>
      <c r="K90" s="560">
        <v>2.04</v>
      </c>
      <c r="L90"/>
    </row>
    <row r="91" spans="1:12" x14ac:dyDescent="0.25">
      <c r="A91" s="557"/>
      <c r="B91" s="556"/>
      <c r="C91" s="556" t="s">
        <v>512</v>
      </c>
      <c r="D91" s="556" t="s">
        <v>556</v>
      </c>
      <c r="E91" s="556" t="s">
        <v>192</v>
      </c>
      <c r="F91" s="558">
        <v>67624.23</v>
      </c>
      <c r="G91" s="558">
        <v>-4733.6961000000001</v>
      </c>
      <c r="H91" s="558">
        <v>62890.533899999995</v>
      </c>
      <c r="I91" s="558">
        <v>11400</v>
      </c>
      <c r="J91" s="559">
        <v>1.9000000000000001</v>
      </c>
      <c r="K91" s="560">
        <v>1.615</v>
      </c>
      <c r="L91"/>
    </row>
    <row r="92" spans="1:12" x14ac:dyDescent="0.25">
      <c r="A92" s="557"/>
      <c r="B92" s="556"/>
      <c r="C92" s="556"/>
      <c r="D92" s="556"/>
      <c r="E92" s="556" t="s">
        <v>195</v>
      </c>
      <c r="F92" s="558">
        <v>135248.46</v>
      </c>
      <c r="G92" s="558">
        <v>-9467.3922000000002</v>
      </c>
      <c r="H92" s="558">
        <v>125781.06779999999</v>
      </c>
      <c r="I92" s="558">
        <v>22800</v>
      </c>
      <c r="J92" s="559">
        <v>3.8000000000000003</v>
      </c>
      <c r="K92" s="560">
        <v>3.23</v>
      </c>
      <c r="L92"/>
    </row>
    <row r="93" spans="1:12" x14ac:dyDescent="0.25">
      <c r="A93" s="557"/>
      <c r="B93" s="556"/>
      <c r="C93" s="556" t="s">
        <v>600</v>
      </c>
      <c r="D93" s="556" t="s">
        <v>615</v>
      </c>
      <c r="E93" s="556" t="s">
        <v>199</v>
      </c>
      <c r="F93" s="558">
        <v>60861.807000000001</v>
      </c>
      <c r="G93" s="558">
        <v>-4260.3264900000004</v>
      </c>
      <c r="H93" s="558">
        <v>56601.480510000001</v>
      </c>
      <c r="I93" s="558">
        <v>10260.000000000002</v>
      </c>
      <c r="J93" s="559">
        <v>1.7100000000000002</v>
      </c>
      <c r="K93" s="560">
        <v>1.4535</v>
      </c>
      <c r="L93"/>
    </row>
    <row r="94" spans="1:12" x14ac:dyDescent="0.25">
      <c r="A94" s="557"/>
      <c r="B94" s="556"/>
      <c r="C94" s="556"/>
      <c r="D94" s="556"/>
      <c r="E94" s="556" t="s">
        <v>196</v>
      </c>
      <c r="F94" s="558">
        <v>91292.710499999986</v>
      </c>
      <c r="G94" s="558">
        <v>-6390.4897350000001</v>
      </c>
      <c r="H94" s="558">
        <v>84902.220764999991</v>
      </c>
      <c r="I94" s="558">
        <v>15389.999999999996</v>
      </c>
      <c r="J94" s="559">
        <v>2.5649999999999995</v>
      </c>
      <c r="K94" s="560">
        <v>2.1802499999999996</v>
      </c>
      <c r="L94"/>
    </row>
    <row r="95" spans="1:12" x14ac:dyDescent="0.25">
      <c r="A95" s="557"/>
      <c r="B95" s="556"/>
      <c r="C95" s="556"/>
      <c r="D95" s="556"/>
      <c r="E95" s="556" t="s">
        <v>192</v>
      </c>
      <c r="F95" s="558">
        <v>16906.057499999999</v>
      </c>
      <c r="G95" s="558">
        <v>-1183.424025</v>
      </c>
      <c r="H95" s="558">
        <v>15722.633474999999</v>
      </c>
      <c r="I95" s="558">
        <v>2850</v>
      </c>
      <c r="J95" s="559">
        <v>0.47500000000000003</v>
      </c>
      <c r="K95" s="560">
        <v>0.40375</v>
      </c>
      <c r="L95"/>
    </row>
    <row r="96" spans="1:12" x14ac:dyDescent="0.25">
      <c r="A96" s="557"/>
      <c r="B96" s="556"/>
      <c r="C96" s="556" t="s">
        <v>1025</v>
      </c>
      <c r="D96" s="556" t="s">
        <v>1191</v>
      </c>
      <c r="E96" s="556" t="s">
        <v>197</v>
      </c>
      <c r="F96" s="558">
        <v>0</v>
      </c>
      <c r="G96" s="558">
        <v>0</v>
      </c>
      <c r="H96" s="558">
        <v>0</v>
      </c>
      <c r="I96" s="558">
        <v>0</v>
      </c>
      <c r="J96" s="559">
        <v>0</v>
      </c>
      <c r="K96" s="560">
        <v>0</v>
      </c>
      <c r="L96"/>
    </row>
    <row r="97" spans="1:12" x14ac:dyDescent="0.25">
      <c r="A97" s="557" t="s">
        <v>834</v>
      </c>
      <c r="B97" s="556"/>
      <c r="C97" s="556"/>
      <c r="D97" s="556"/>
      <c r="E97" s="556"/>
      <c r="F97" s="558">
        <v>628193.505</v>
      </c>
      <c r="G97" s="558">
        <v>-43973.545350000008</v>
      </c>
      <c r="H97" s="558">
        <v>584219.95965000009</v>
      </c>
      <c r="I97" s="558">
        <v>105900</v>
      </c>
      <c r="J97" s="559">
        <v>17.650000000000006</v>
      </c>
      <c r="K97" s="560">
        <v>15.0025</v>
      </c>
      <c r="L97"/>
    </row>
    <row r="98" spans="1:12" x14ac:dyDescent="0.25">
      <c r="A98" s="557">
        <v>2500</v>
      </c>
      <c r="B98" s="556" t="s">
        <v>2018</v>
      </c>
      <c r="C98" s="556" t="s">
        <v>1800</v>
      </c>
      <c r="D98" s="556" t="s">
        <v>1757</v>
      </c>
      <c r="E98" s="556" t="s">
        <v>164</v>
      </c>
      <c r="F98" s="558">
        <v>0</v>
      </c>
      <c r="G98" s="558">
        <v>0</v>
      </c>
      <c r="H98" s="558">
        <v>0</v>
      </c>
      <c r="I98" s="558">
        <v>0</v>
      </c>
      <c r="J98" s="559">
        <v>0</v>
      </c>
      <c r="K98" s="560">
        <v>0</v>
      </c>
      <c r="L98"/>
    </row>
    <row r="99" spans="1:12" x14ac:dyDescent="0.25">
      <c r="A99" s="557" t="s">
        <v>893</v>
      </c>
      <c r="B99" s="556"/>
      <c r="C99" s="556"/>
      <c r="D99" s="556"/>
      <c r="E99" s="556"/>
      <c r="F99" s="558">
        <v>0</v>
      </c>
      <c r="G99" s="558">
        <v>0</v>
      </c>
      <c r="H99" s="558">
        <v>0</v>
      </c>
      <c r="I99" s="558">
        <v>0</v>
      </c>
      <c r="J99" s="559">
        <v>0</v>
      </c>
      <c r="K99" s="560">
        <v>0</v>
      </c>
      <c r="L99"/>
    </row>
    <row r="100" spans="1:12" x14ac:dyDescent="0.25">
      <c r="A100" s="557">
        <v>5740</v>
      </c>
      <c r="B100" s="556" t="s">
        <v>461</v>
      </c>
      <c r="C100" s="556" t="s">
        <v>1422</v>
      </c>
      <c r="D100" s="556" t="s">
        <v>1423</v>
      </c>
      <c r="E100" s="556" t="s">
        <v>166</v>
      </c>
      <c r="F100" s="558">
        <v>81425.608333333337</v>
      </c>
      <c r="G100" s="558">
        <v>-5699.7925833333338</v>
      </c>
      <c r="H100" s="558">
        <v>75725.815750000009</v>
      </c>
      <c r="I100" s="558">
        <v>35783.333333333328</v>
      </c>
      <c r="J100" s="559">
        <v>1.5833333333333333</v>
      </c>
      <c r="K100" s="560">
        <v>1.3458333333333334</v>
      </c>
      <c r="L100"/>
    </row>
    <row r="101" spans="1:12" x14ac:dyDescent="0.25">
      <c r="A101" s="557"/>
      <c r="B101" s="556"/>
      <c r="C101" s="556" t="s">
        <v>1426</v>
      </c>
      <c r="D101" s="556" t="s">
        <v>1427</v>
      </c>
      <c r="E101" s="556" t="s">
        <v>166</v>
      </c>
      <c r="F101" s="558">
        <v>87853.945833333331</v>
      </c>
      <c r="G101" s="558">
        <v>-6149.7762083333337</v>
      </c>
      <c r="H101" s="558">
        <v>81704.169624999995</v>
      </c>
      <c r="I101" s="558">
        <v>38608.333333333328</v>
      </c>
      <c r="J101" s="559">
        <v>1.7083333333333333</v>
      </c>
      <c r="K101" s="560">
        <v>1.4520833333333334</v>
      </c>
      <c r="L101"/>
    </row>
    <row r="102" spans="1:12" x14ac:dyDescent="0.25">
      <c r="A102" s="557"/>
      <c r="B102" s="556"/>
      <c r="C102" s="556" t="s">
        <v>1428</v>
      </c>
      <c r="D102" s="556" t="s">
        <v>1429</v>
      </c>
      <c r="E102" s="556" t="s">
        <v>166</v>
      </c>
      <c r="F102" s="558">
        <v>49283.920833333337</v>
      </c>
      <c r="G102" s="558">
        <v>-3449.8744583333341</v>
      </c>
      <c r="H102" s="558">
        <v>45834.046375000005</v>
      </c>
      <c r="I102" s="558">
        <v>21658.333333333332</v>
      </c>
      <c r="J102" s="559">
        <v>0.95833333333333326</v>
      </c>
      <c r="K102" s="560">
        <v>0.81458333333333333</v>
      </c>
      <c r="L102"/>
    </row>
    <row r="103" spans="1:12" x14ac:dyDescent="0.25">
      <c r="A103" s="557"/>
      <c r="B103" s="556"/>
      <c r="C103" s="556" t="s">
        <v>1530</v>
      </c>
      <c r="D103" s="556" t="s">
        <v>1389</v>
      </c>
      <c r="E103" s="556" t="s">
        <v>1102</v>
      </c>
      <c r="F103" s="558">
        <v>97710.729999999981</v>
      </c>
      <c r="G103" s="558">
        <v>-6839.7510999999995</v>
      </c>
      <c r="H103" s="558">
        <v>90870.978899999987</v>
      </c>
      <c r="I103" s="558">
        <v>42940</v>
      </c>
      <c r="J103" s="559">
        <v>1.9</v>
      </c>
      <c r="K103" s="560">
        <v>1.6149999999999998</v>
      </c>
      <c r="L103"/>
    </row>
    <row r="104" spans="1:12" x14ac:dyDescent="0.25">
      <c r="A104" s="557"/>
      <c r="B104" s="556"/>
      <c r="C104" s="556" t="s">
        <v>1502</v>
      </c>
      <c r="D104" s="556" t="s">
        <v>1517</v>
      </c>
      <c r="E104" s="556" t="s">
        <v>192</v>
      </c>
      <c r="F104" s="558">
        <v>0</v>
      </c>
      <c r="G104" s="558">
        <v>0</v>
      </c>
      <c r="H104" s="558">
        <v>0</v>
      </c>
      <c r="I104" s="558">
        <v>0</v>
      </c>
      <c r="J104" s="559">
        <v>0</v>
      </c>
      <c r="K104" s="560">
        <v>0</v>
      </c>
      <c r="L104"/>
    </row>
    <row r="105" spans="1:12" x14ac:dyDescent="0.25">
      <c r="A105" s="557"/>
      <c r="B105" s="556"/>
      <c r="C105" s="556"/>
      <c r="D105" s="556"/>
      <c r="E105" s="556" t="s">
        <v>1102</v>
      </c>
      <c r="F105" s="558">
        <v>0</v>
      </c>
      <c r="G105" s="558">
        <v>0</v>
      </c>
      <c r="H105" s="558">
        <v>0</v>
      </c>
      <c r="I105" s="558">
        <v>0</v>
      </c>
      <c r="J105" s="559">
        <v>0</v>
      </c>
      <c r="K105" s="560">
        <v>0</v>
      </c>
      <c r="L105"/>
    </row>
    <row r="106" spans="1:12" x14ac:dyDescent="0.25">
      <c r="A106" s="557"/>
      <c r="B106" s="556"/>
      <c r="C106" s="556" t="s">
        <v>1542</v>
      </c>
      <c r="D106" s="556" t="s">
        <v>1575</v>
      </c>
      <c r="E106" s="556" t="s">
        <v>192</v>
      </c>
      <c r="F106" s="558">
        <v>187909.93755681819</v>
      </c>
      <c r="G106" s="558">
        <v>-13153.695628977273</v>
      </c>
      <c r="H106" s="558">
        <v>174756.24192784092</v>
      </c>
      <c r="I106" s="558">
        <v>20499.545454545456</v>
      </c>
      <c r="J106" s="559">
        <v>3.416590909090909</v>
      </c>
      <c r="K106" s="560">
        <v>2.9041022727272727</v>
      </c>
      <c r="L106"/>
    </row>
    <row r="107" spans="1:12" x14ac:dyDescent="0.25">
      <c r="A107" s="557"/>
      <c r="B107" s="556"/>
      <c r="C107" s="556"/>
      <c r="D107" s="556"/>
      <c r="E107" s="556" t="s">
        <v>1102</v>
      </c>
      <c r="F107" s="558">
        <v>187909.93755681819</v>
      </c>
      <c r="G107" s="558">
        <v>-13153.695628977273</v>
      </c>
      <c r="H107" s="558">
        <v>174756.24192784092</v>
      </c>
      <c r="I107" s="558">
        <v>20499.545454545456</v>
      </c>
      <c r="J107" s="559">
        <v>3.416590909090909</v>
      </c>
      <c r="K107" s="560">
        <v>2.9041022727272727</v>
      </c>
      <c r="L107"/>
    </row>
    <row r="108" spans="1:12" x14ac:dyDescent="0.25">
      <c r="A108" s="557"/>
      <c r="B108" s="556"/>
      <c r="C108" s="556"/>
      <c r="D108" s="556"/>
      <c r="E108" s="556" t="s">
        <v>197</v>
      </c>
      <c r="F108" s="558">
        <v>75163.975022727274</v>
      </c>
      <c r="G108" s="558">
        <v>-5261.4782515909101</v>
      </c>
      <c r="H108" s="558">
        <v>69902.496771136357</v>
      </c>
      <c r="I108" s="558">
        <v>8199.818181818182</v>
      </c>
      <c r="J108" s="559">
        <v>1.3666363636363636</v>
      </c>
      <c r="K108" s="560">
        <v>1.1616409090909092</v>
      </c>
      <c r="L108"/>
    </row>
    <row r="109" spans="1:12" x14ac:dyDescent="0.25">
      <c r="A109" s="557"/>
      <c r="B109" s="556"/>
      <c r="C109" s="556" t="s">
        <v>1533</v>
      </c>
      <c r="D109" s="556" t="s">
        <v>1576</v>
      </c>
      <c r="E109" s="556" t="s">
        <v>1102</v>
      </c>
      <c r="F109" s="558">
        <v>161703.29492499999</v>
      </c>
      <c r="G109" s="558">
        <v>-11319.230644750001</v>
      </c>
      <c r="H109" s="558">
        <v>150384.06428024999</v>
      </c>
      <c r="I109" s="558">
        <v>17640.599999999999</v>
      </c>
      <c r="J109" s="559">
        <v>2.9400999999999997</v>
      </c>
      <c r="K109" s="560">
        <v>2.499085</v>
      </c>
      <c r="L109"/>
    </row>
    <row r="110" spans="1:12" x14ac:dyDescent="0.25">
      <c r="A110" s="557"/>
      <c r="B110" s="556"/>
      <c r="C110" s="556"/>
      <c r="D110" s="556"/>
      <c r="E110" s="556" t="s">
        <v>197</v>
      </c>
      <c r="F110" s="558">
        <v>53901.098308333341</v>
      </c>
      <c r="G110" s="558">
        <v>-3773.0768815833344</v>
      </c>
      <c r="H110" s="558">
        <v>50128.021426750005</v>
      </c>
      <c r="I110" s="558">
        <v>5880.2</v>
      </c>
      <c r="J110" s="559">
        <v>0.98003333333333331</v>
      </c>
      <c r="K110" s="560">
        <v>0.83302833333333348</v>
      </c>
      <c r="L110"/>
    </row>
    <row r="111" spans="1:12" x14ac:dyDescent="0.25">
      <c r="A111" s="557"/>
      <c r="B111" s="556"/>
      <c r="C111" s="556" t="s">
        <v>1658</v>
      </c>
      <c r="D111" s="556" t="s">
        <v>1659</v>
      </c>
      <c r="E111" s="556" t="s">
        <v>192</v>
      </c>
      <c r="F111" s="558">
        <v>231455.17708333331</v>
      </c>
      <c r="G111" s="558">
        <v>-16201.862395833334</v>
      </c>
      <c r="H111" s="558">
        <v>215253.31468749998</v>
      </c>
      <c r="I111" s="558">
        <v>25250</v>
      </c>
      <c r="J111" s="559">
        <v>4.208333333333333</v>
      </c>
      <c r="K111" s="560">
        <v>3.5770833333333329</v>
      </c>
      <c r="L111"/>
    </row>
    <row r="112" spans="1:12" x14ac:dyDescent="0.25">
      <c r="A112" s="557"/>
      <c r="B112" s="556"/>
      <c r="C112" s="556"/>
      <c r="D112" s="556"/>
      <c r="E112" s="556" t="s">
        <v>1102</v>
      </c>
      <c r="F112" s="558">
        <v>231455.17708333331</v>
      </c>
      <c r="G112" s="558">
        <v>-16201.862395833334</v>
      </c>
      <c r="H112" s="558">
        <v>215253.31468749998</v>
      </c>
      <c r="I112" s="558">
        <v>25250</v>
      </c>
      <c r="J112" s="559">
        <v>4.208333333333333</v>
      </c>
      <c r="K112" s="560">
        <v>3.5770833333333329</v>
      </c>
      <c r="L112"/>
    </row>
    <row r="113" spans="1:12" x14ac:dyDescent="0.25">
      <c r="A113" s="557"/>
      <c r="B113" s="556"/>
      <c r="C113" s="556"/>
      <c r="D113" s="556"/>
      <c r="E113" s="556" t="s">
        <v>197</v>
      </c>
      <c r="F113" s="558">
        <v>92582.070833333331</v>
      </c>
      <c r="G113" s="558">
        <v>-6480.7449583333337</v>
      </c>
      <c r="H113" s="558">
        <v>86101.325874999995</v>
      </c>
      <c r="I113" s="558">
        <v>10100</v>
      </c>
      <c r="J113" s="559">
        <v>1.6833333333333333</v>
      </c>
      <c r="K113" s="560">
        <v>1.4308333333333334</v>
      </c>
      <c r="L113"/>
    </row>
    <row r="114" spans="1:12" x14ac:dyDescent="0.25">
      <c r="A114" s="557"/>
      <c r="B114" s="556"/>
      <c r="C114" s="556" t="s">
        <v>1715</v>
      </c>
      <c r="D114" s="556" t="s">
        <v>1716</v>
      </c>
      <c r="E114" s="556" t="s">
        <v>11</v>
      </c>
      <c r="F114" s="558">
        <v>7333.2333333333336</v>
      </c>
      <c r="G114" s="558">
        <v>-513.32633333333342</v>
      </c>
      <c r="H114" s="558">
        <v>6819.9070000000002</v>
      </c>
      <c r="I114" s="558">
        <v>800</v>
      </c>
      <c r="J114" s="559">
        <v>0.13333333333333333</v>
      </c>
      <c r="K114" s="560">
        <v>0.11333333333333333</v>
      </c>
      <c r="L114"/>
    </row>
    <row r="115" spans="1:12" x14ac:dyDescent="0.25">
      <c r="A115" s="557"/>
      <c r="B115" s="556"/>
      <c r="C115" s="556"/>
      <c r="D115" s="556"/>
      <c r="E115" s="556" t="s">
        <v>192</v>
      </c>
      <c r="F115" s="558">
        <v>5499.9250000000002</v>
      </c>
      <c r="G115" s="558">
        <v>-384.99475000000007</v>
      </c>
      <c r="H115" s="558">
        <v>5114.9302500000003</v>
      </c>
      <c r="I115" s="558">
        <v>600</v>
      </c>
      <c r="J115" s="559">
        <v>0.1</v>
      </c>
      <c r="K115" s="560">
        <v>8.5000000000000006E-2</v>
      </c>
      <c r="L115"/>
    </row>
    <row r="116" spans="1:12" x14ac:dyDescent="0.25">
      <c r="A116" s="557"/>
      <c r="B116" s="556"/>
      <c r="C116" s="556"/>
      <c r="D116" s="556"/>
      <c r="E116" s="556" t="s">
        <v>1102</v>
      </c>
      <c r="F116" s="558">
        <v>5499.9250000000002</v>
      </c>
      <c r="G116" s="558">
        <v>-384.99475000000007</v>
      </c>
      <c r="H116" s="558">
        <v>5114.9302500000003</v>
      </c>
      <c r="I116" s="558">
        <v>600</v>
      </c>
      <c r="J116" s="559">
        <v>0.1</v>
      </c>
      <c r="K116" s="560">
        <v>8.5000000000000006E-2</v>
      </c>
      <c r="L116"/>
    </row>
    <row r="117" spans="1:12" x14ac:dyDescent="0.25">
      <c r="A117" s="557"/>
      <c r="B117" s="556"/>
      <c r="C117" s="556" t="s">
        <v>1703</v>
      </c>
      <c r="D117" s="556" t="s">
        <v>1711</v>
      </c>
      <c r="E117" s="556" t="s">
        <v>176</v>
      </c>
      <c r="F117" s="558">
        <v>274481.76</v>
      </c>
      <c r="G117" s="558">
        <v>-19213.723200000004</v>
      </c>
      <c r="H117" s="558">
        <v>255268.0368</v>
      </c>
      <c r="I117" s="558">
        <v>20160.000000000004</v>
      </c>
      <c r="J117" s="559">
        <v>5.6000000000000005</v>
      </c>
      <c r="K117" s="560">
        <v>4.76</v>
      </c>
      <c r="L117"/>
    </row>
    <row r="118" spans="1:12" x14ac:dyDescent="0.25">
      <c r="A118" s="557"/>
      <c r="B118" s="556"/>
      <c r="C118" s="556"/>
      <c r="D118" s="556"/>
      <c r="E118" s="556" t="s">
        <v>192</v>
      </c>
      <c r="F118" s="558">
        <v>102930.66</v>
      </c>
      <c r="G118" s="558">
        <v>-7205.146200000001</v>
      </c>
      <c r="H118" s="558">
        <v>95725.513800000001</v>
      </c>
      <c r="I118" s="558">
        <v>7560</v>
      </c>
      <c r="J118" s="559">
        <v>2.1</v>
      </c>
      <c r="K118" s="560">
        <v>1.7849999999999999</v>
      </c>
      <c r="L118"/>
    </row>
    <row r="119" spans="1:12" x14ac:dyDescent="0.25">
      <c r="A119" s="557"/>
      <c r="B119" s="556"/>
      <c r="C119" s="556" t="s">
        <v>1702</v>
      </c>
      <c r="D119" s="556" t="s">
        <v>1710</v>
      </c>
      <c r="E119" s="556" t="s">
        <v>176</v>
      </c>
      <c r="F119" s="558">
        <v>139691.60999999999</v>
      </c>
      <c r="G119" s="558">
        <v>-9778.4127000000008</v>
      </c>
      <c r="H119" s="558">
        <v>129913.19729999999</v>
      </c>
      <c r="I119" s="558">
        <v>10260</v>
      </c>
      <c r="J119" s="559">
        <v>2.85</v>
      </c>
      <c r="K119" s="560">
        <v>2.4224999999999999</v>
      </c>
      <c r="L119"/>
    </row>
    <row r="120" spans="1:12" x14ac:dyDescent="0.25">
      <c r="A120" s="557"/>
      <c r="B120" s="556"/>
      <c r="C120" s="556" t="s">
        <v>1827</v>
      </c>
      <c r="D120" s="556" t="s">
        <v>1192</v>
      </c>
      <c r="E120" s="556" t="s">
        <v>176</v>
      </c>
      <c r="F120" s="558">
        <v>71499.024999999994</v>
      </c>
      <c r="G120" s="558">
        <v>-5004.9317499999997</v>
      </c>
      <c r="H120" s="558">
        <v>66494.093249999991</v>
      </c>
      <c r="I120" s="558">
        <v>7800</v>
      </c>
      <c r="J120" s="559">
        <v>1.3</v>
      </c>
      <c r="K120" s="560">
        <v>1.105</v>
      </c>
      <c r="L120"/>
    </row>
    <row r="121" spans="1:12" x14ac:dyDescent="0.25">
      <c r="A121" s="557"/>
      <c r="B121" s="556"/>
      <c r="C121" s="556" t="s">
        <v>1828</v>
      </c>
      <c r="D121" s="556" t="s">
        <v>2348</v>
      </c>
      <c r="E121" s="556" t="s">
        <v>176</v>
      </c>
      <c r="F121" s="558">
        <v>74248.987500000003</v>
      </c>
      <c r="G121" s="558">
        <v>-5197.4291250000006</v>
      </c>
      <c r="H121" s="558">
        <v>69051.558375000008</v>
      </c>
      <c r="I121" s="558">
        <v>8100.0000000000009</v>
      </c>
      <c r="J121" s="559">
        <v>1.35</v>
      </c>
      <c r="K121" s="560">
        <v>1.1475</v>
      </c>
      <c r="L121"/>
    </row>
    <row r="122" spans="1:12" x14ac:dyDescent="0.25">
      <c r="A122" s="557"/>
      <c r="B122" s="556"/>
      <c r="C122" s="556" t="s">
        <v>1829</v>
      </c>
      <c r="D122" s="556" t="s">
        <v>1830</v>
      </c>
      <c r="E122" s="556" t="s">
        <v>11</v>
      </c>
      <c r="F122" s="558">
        <v>120998.35</v>
      </c>
      <c r="G122" s="558">
        <v>-8469.8845000000019</v>
      </c>
      <c r="H122" s="558">
        <v>112528.46550000001</v>
      </c>
      <c r="I122" s="558">
        <v>13199.999999999998</v>
      </c>
      <c r="J122" s="559">
        <v>2.1999999999999997</v>
      </c>
      <c r="K122" s="560">
        <v>1.87</v>
      </c>
      <c r="L122"/>
    </row>
    <row r="123" spans="1:12" x14ac:dyDescent="0.25">
      <c r="A123" s="557"/>
      <c r="B123" s="556"/>
      <c r="C123" s="556"/>
      <c r="D123" s="556"/>
      <c r="E123" s="556" t="s">
        <v>176</v>
      </c>
      <c r="F123" s="558">
        <v>302495.875</v>
      </c>
      <c r="G123" s="558">
        <v>-21174.71125</v>
      </c>
      <c r="H123" s="558">
        <v>281321.16375000001</v>
      </c>
      <c r="I123" s="558">
        <v>33000</v>
      </c>
      <c r="J123" s="559">
        <v>5.5</v>
      </c>
      <c r="K123" s="560">
        <v>4.6750000000000007</v>
      </c>
      <c r="L123"/>
    </row>
    <row r="124" spans="1:12" x14ac:dyDescent="0.25">
      <c r="A124" s="557"/>
      <c r="B124" s="556"/>
      <c r="C124" s="556" t="s">
        <v>1831</v>
      </c>
      <c r="D124" s="556" t="s">
        <v>1259</v>
      </c>
      <c r="E124" s="556" t="s">
        <v>11</v>
      </c>
      <c r="F124" s="558">
        <v>50832.224749999994</v>
      </c>
      <c r="G124" s="558">
        <v>-3558.2557324999998</v>
      </c>
      <c r="H124" s="558">
        <v>47273.969017499992</v>
      </c>
      <c r="I124" s="558">
        <v>3733.5</v>
      </c>
      <c r="J124" s="559">
        <v>1.0370833333333334</v>
      </c>
      <c r="K124" s="560">
        <v>0.88152083333333331</v>
      </c>
      <c r="L124"/>
    </row>
    <row r="125" spans="1:12" x14ac:dyDescent="0.25">
      <c r="A125" s="557"/>
      <c r="B125" s="556"/>
      <c r="C125" s="556"/>
      <c r="D125" s="556"/>
      <c r="E125" s="556" t="s">
        <v>176</v>
      </c>
      <c r="F125" s="558">
        <v>50832.224749999994</v>
      </c>
      <c r="G125" s="558">
        <v>-3558.2557324999998</v>
      </c>
      <c r="H125" s="558">
        <v>47273.969017499992</v>
      </c>
      <c r="I125" s="558">
        <v>3733.5</v>
      </c>
      <c r="J125" s="559">
        <v>1.0370833333333334</v>
      </c>
      <c r="K125" s="560">
        <v>0.88152083333333331</v>
      </c>
      <c r="L125"/>
    </row>
    <row r="126" spans="1:12" x14ac:dyDescent="0.25">
      <c r="A126" s="557"/>
      <c r="B126" s="556"/>
      <c r="C126" s="556" t="s">
        <v>1805</v>
      </c>
      <c r="D126" s="556" t="s">
        <v>1818</v>
      </c>
      <c r="E126" s="556" t="s">
        <v>1102</v>
      </c>
      <c r="F126" s="558">
        <v>136280.755</v>
      </c>
      <c r="G126" s="558">
        <v>-9539.6528500000004</v>
      </c>
      <c r="H126" s="558">
        <v>126741.10215000001</v>
      </c>
      <c r="I126" s="558">
        <v>59890.000000000007</v>
      </c>
      <c r="J126" s="559">
        <v>2.6500000000000004</v>
      </c>
      <c r="K126" s="560">
        <v>2.2524999999999999</v>
      </c>
      <c r="L126"/>
    </row>
    <row r="127" spans="1:12" x14ac:dyDescent="0.25">
      <c r="A127" s="557"/>
      <c r="B127" s="556"/>
      <c r="C127" s="556" t="s">
        <v>2007</v>
      </c>
      <c r="D127" s="556" t="s">
        <v>2008</v>
      </c>
      <c r="E127" s="556" t="s">
        <v>176</v>
      </c>
      <c r="F127" s="558">
        <v>152994.4325</v>
      </c>
      <c r="G127" s="558">
        <v>-10709.610275000001</v>
      </c>
      <c r="H127" s="558">
        <v>142284.82222499998</v>
      </c>
      <c r="I127" s="558">
        <v>67235</v>
      </c>
      <c r="J127" s="559">
        <v>2.9750000000000001</v>
      </c>
      <c r="K127" s="560">
        <v>2.5287500000000001</v>
      </c>
      <c r="L127"/>
    </row>
    <row r="128" spans="1:12" x14ac:dyDescent="0.25">
      <c r="A128" s="557"/>
      <c r="B128" s="556"/>
      <c r="C128" s="556" t="s">
        <v>2253</v>
      </c>
      <c r="D128" s="556" t="s">
        <v>2216</v>
      </c>
      <c r="E128" s="556" t="s">
        <v>192</v>
      </c>
      <c r="F128" s="558">
        <v>126498.27500000001</v>
      </c>
      <c r="G128" s="558">
        <v>-8854.8792500000018</v>
      </c>
      <c r="H128" s="558">
        <v>117643.39575000001</v>
      </c>
      <c r="I128" s="558">
        <v>13800.000000000002</v>
      </c>
      <c r="J128" s="559">
        <v>2.3000000000000003</v>
      </c>
      <c r="K128" s="560">
        <v>1.9550000000000001</v>
      </c>
      <c r="L128"/>
    </row>
    <row r="129" spans="1:12" x14ac:dyDescent="0.25">
      <c r="A129" s="557"/>
      <c r="B129" s="556"/>
      <c r="C129" s="556"/>
      <c r="D129" s="556"/>
      <c r="E129" s="556" t="s">
        <v>1102</v>
      </c>
      <c r="F129" s="558">
        <v>126498.27500000001</v>
      </c>
      <c r="G129" s="558">
        <v>-8854.8792500000018</v>
      </c>
      <c r="H129" s="558">
        <v>117643.39575000001</v>
      </c>
      <c r="I129" s="558">
        <v>13800.000000000002</v>
      </c>
      <c r="J129" s="559">
        <v>2.3000000000000003</v>
      </c>
      <c r="K129" s="560">
        <v>1.9550000000000001</v>
      </c>
      <c r="L129"/>
    </row>
    <row r="130" spans="1:12" x14ac:dyDescent="0.25">
      <c r="A130" s="557" t="s">
        <v>835</v>
      </c>
      <c r="B130" s="556"/>
      <c r="C130" s="556"/>
      <c r="D130" s="556"/>
      <c r="E130" s="556"/>
      <c r="F130" s="558">
        <v>3286970.41120303</v>
      </c>
      <c r="G130" s="558">
        <v>-230087.92878421213</v>
      </c>
      <c r="H130" s="558">
        <v>3056882.4824188179</v>
      </c>
      <c r="I130" s="558">
        <v>536581.70909090911</v>
      </c>
      <c r="J130" s="559">
        <v>61.902451515151519</v>
      </c>
      <c r="K130" s="560">
        <v>52.617083787878784</v>
      </c>
      <c r="L130"/>
    </row>
    <row r="131" spans="1:12" x14ac:dyDescent="0.25">
      <c r="A131" s="557" t="s">
        <v>374</v>
      </c>
      <c r="B131" s="556" t="s">
        <v>374</v>
      </c>
      <c r="C131" s="556" t="s">
        <v>374</v>
      </c>
      <c r="D131" s="556" t="s">
        <v>374</v>
      </c>
      <c r="E131" s="556" t="s">
        <v>374</v>
      </c>
      <c r="F131" s="558"/>
      <c r="G131" s="558"/>
      <c r="H131" s="558"/>
      <c r="I131" s="558"/>
      <c r="J131" s="559"/>
      <c r="K131" s="560"/>
      <c r="L131"/>
    </row>
    <row r="132" spans="1:12" x14ac:dyDescent="0.25">
      <c r="A132" s="557" t="s">
        <v>2321</v>
      </c>
      <c r="B132" s="556"/>
      <c r="C132" s="556"/>
      <c r="D132" s="556"/>
      <c r="E132" s="556"/>
      <c r="F132" s="558"/>
      <c r="G132" s="558"/>
      <c r="H132" s="558"/>
      <c r="I132" s="558"/>
      <c r="J132" s="559"/>
      <c r="K132" s="560"/>
      <c r="L132"/>
    </row>
    <row r="133" spans="1:12" x14ac:dyDescent="0.25">
      <c r="A133" s="561" t="s">
        <v>768</v>
      </c>
      <c r="B133" s="562"/>
      <c r="C133" s="562"/>
      <c r="D133" s="562"/>
      <c r="E133" s="562"/>
      <c r="F133" s="563">
        <v>15858210.911380114</v>
      </c>
      <c r="G133" s="563">
        <v>-1110074.7637966077</v>
      </c>
      <c r="H133" s="563">
        <v>14748136.147583513</v>
      </c>
      <c r="I133" s="563">
        <v>2619837.6590909096</v>
      </c>
      <c r="J133" s="564">
        <v>317.09552651515162</v>
      </c>
      <c r="K133" s="565">
        <v>269.35828087121217</v>
      </c>
      <c r="L133"/>
    </row>
    <row r="134" spans="1:12" x14ac:dyDescent="0.25">
      <c r="A134"/>
      <c r="B134"/>
      <c r="C134"/>
      <c r="D134"/>
      <c r="E134"/>
      <c r="F134"/>
      <c r="G134"/>
      <c r="H134"/>
      <c r="I134"/>
      <c r="J134"/>
      <c r="K134"/>
      <c r="L134"/>
    </row>
    <row r="135" spans="1:12" x14ac:dyDescent="0.25">
      <c r="A135"/>
      <c r="B135"/>
      <c r="C135"/>
      <c r="D135"/>
      <c r="E135"/>
      <c r="F135"/>
      <c r="G135"/>
      <c r="H135"/>
      <c r="I135"/>
      <c r="J135"/>
      <c r="K135"/>
      <c r="L135"/>
    </row>
    <row r="136" spans="1:12" x14ac:dyDescent="0.25">
      <c r="A136"/>
      <c r="B136"/>
      <c r="C136"/>
      <c r="D136"/>
      <c r="E136"/>
      <c r="F136"/>
      <c r="G136"/>
      <c r="H136"/>
      <c r="I136"/>
      <c r="J136"/>
      <c r="K136"/>
      <c r="L136"/>
    </row>
    <row r="137" spans="1:12" x14ac:dyDescent="0.25">
      <c r="A137"/>
      <c r="B137"/>
      <c r="C137"/>
      <c r="D137"/>
      <c r="E137"/>
      <c r="F137"/>
      <c r="G137"/>
      <c r="H137"/>
      <c r="I137"/>
      <c r="J137"/>
      <c r="K137"/>
      <c r="L137"/>
    </row>
    <row r="138" spans="1:12" x14ac:dyDescent="0.25">
      <c r="A138"/>
      <c r="B138"/>
      <c r="C138"/>
      <c r="D138"/>
      <c r="E138"/>
      <c r="F138"/>
      <c r="G138"/>
      <c r="H138"/>
      <c r="I138"/>
      <c r="J138"/>
      <c r="K138"/>
      <c r="L138"/>
    </row>
    <row r="139" spans="1:12" x14ac:dyDescent="0.25">
      <c r="A139"/>
      <c r="B139"/>
      <c r="C139"/>
      <c r="D139"/>
      <c r="E139"/>
      <c r="F139"/>
      <c r="G139"/>
      <c r="H139"/>
      <c r="I139"/>
      <c r="J139"/>
      <c r="K139"/>
      <c r="L139"/>
    </row>
    <row r="140" spans="1:12" x14ac:dyDescent="0.25">
      <c r="A140"/>
      <c r="B140"/>
      <c r="C140"/>
      <c r="D140"/>
      <c r="E140"/>
      <c r="F140"/>
      <c r="G140"/>
      <c r="H140"/>
      <c r="I140"/>
      <c r="J140"/>
      <c r="K140"/>
      <c r="L140"/>
    </row>
    <row r="141" spans="1:12" x14ac:dyDescent="0.25">
      <c r="A141"/>
      <c r="B141"/>
      <c r="C141"/>
      <c r="D141"/>
      <c r="E141"/>
      <c r="F141"/>
      <c r="G141"/>
      <c r="H141"/>
      <c r="I141"/>
      <c r="J141"/>
      <c r="K141"/>
      <c r="L141"/>
    </row>
    <row r="142" spans="1:12" x14ac:dyDescent="0.25">
      <c r="A142"/>
      <c r="B142"/>
      <c r="C142"/>
      <c r="D142"/>
      <c r="E142"/>
      <c r="F142"/>
      <c r="G142"/>
      <c r="H142"/>
      <c r="I142"/>
      <c r="J142"/>
      <c r="K142"/>
      <c r="L142"/>
    </row>
    <row r="143" spans="1:12" x14ac:dyDescent="0.25">
      <c r="A143"/>
      <c r="B143"/>
      <c r="C143"/>
      <c r="D143"/>
      <c r="E143"/>
      <c r="F143"/>
      <c r="G143"/>
      <c r="H143"/>
      <c r="I143"/>
      <c r="J143"/>
      <c r="K143"/>
      <c r="L143"/>
    </row>
    <row r="144" spans="1:12" x14ac:dyDescent="0.25">
      <c r="A144"/>
      <c r="B144"/>
      <c r="C144"/>
      <c r="D144"/>
      <c r="E144"/>
      <c r="F144"/>
      <c r="G144"/>
      <c r="H144"/>
      <c r="I144"/>
      <c r="J144"/>
      <c r="K144"/>
      <c r="L144"/>
    </row>
    <row r="145" spans="1:12" x14ac:dyDescent="0.25">
      <c r="A145"/>
      <c r="B145"/>
      <c r="C145"/>
      <c r="D145"/>
      <c r="E145"/>
      <c r="F145"/>
      <c r="G145"/>
      <c r="H145"/>
      <c r="I145"/>
      <c r="J145"/>
      <c r="K145"/>
      <c r="L145"/>
    </row>
    <row r="146" spans="1:12" x14ac:dyDescent="0.25">
      <c r="A146"/>
      <c r="B146"/>
      <c r="C146"/>
      <c r="D146"/>
      <c r="E146"/>
      <c r="F146"/>
      <c r="G146"/>
      <c r="H146"/>
      <c r="I146"/>
      <c r="J146"/>
      <c r="K146"/>
      <c r="L146"/>
    </row>
    <row r="147" spans="1:12" x14ac:dyDescent="0.25">
      <c r="A147"/>
      <c r="B147"/>
      <c r="C147"/>
      <c r="D147"/>
      <c r="E147"/>
      <c r="F147"/>
      <c r="G147"/>
      <c r="H147"/>
      <c r="I147"/>
      <c r="J147"/>
      <c r="K147"/>
      <c r="L147"/>
    </row>
    <row r="148" spans="1:12" x14ac:dyDescent="0.25">
      <c r="A148"/>
      <c r="B148"/>
      <c r="C148"/>
      <c r="D148"/>
      <c r="E148"/>
      <c r="F148"/>
      <c r="G148"/>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c r="L150"/>
    </row>
    <row r="151" spans="1:12" x14ac:dyDescent="0.25">
      <c r="A151"/>
      <c r="B151"/>
      <c r="C151"/>
      <c r="D151"/>
      <c r="E151"/>
      <c r="F151"/>
      <c r="G151"/>
      <c r="H151"/>
      <c r="I151"/>
      <c r="J151"/>
      <c r="K151"/>
      <c r="L151"/>
    </row>
    <row r="152" spans="1:12" x14ac:dyDescent="0.25">
      <c r="A152"/>
      <c r="B152"/>
      <c r="C152"/>
      <c r="D152"/>
      <c r="E152"/>
      <c r="F152"/>
      <c r="G152"/>
      <c r="H152"/>
      <c r="I152"/>
      <c r="J152"/>
      <c r="K152"/>
      <c r="L152"/>
    </row>
    <row r="153" spans="1:12" x14ac:dyDescent="0.25">
      <c r="A153"/>
      <c r="B153"/>
      <c r="C153"/>
      <c r="D153"/>
      <c r="E153"/>
      <c r="F153"/>
      <c r="G153"/>
      <c r="H153"/>
      <c r="I153"/>
      <c r="J153"/>
      <c r="K153"/>
      <c r="L153"/>
    </row>
    <row r="154" spans="1:12" x14ac:dyDescent="0.25">
      <c r="A154"/>
      <c r="B154"/>
      <c r="C154"/>
      <c r="D154"/>
      <c r="E154"/>
      <c r="F154"/>
      <c r="G154"/>
      <c r="H154"/>
      <c r="I154"/>
      <c r="J154"/>
      <c r="K154"/>
      <c r="L154"/>
    </row>
    <row r="155" spans="1:12" x14ac:dyDescent="0.25">
      <c r="A155"/>
      <c r="B155"/>
      <c r="C155"/>
      <c r="D155"/>
      <c r="E155"/>
      <c r="F155"/>
      <c r="G155"/>
      <c r="H155"/>
      <c r="I155"/>
      <c r="J155"/>
      <c r="K155"/>
      <c r="L155"/>
    </row>
    <row r="156" spans="1:12" x14ac:dyDescent="0.25">
      <c r="A156"/>
      <c r="B156"/>
      <c r="C156"/>
      <c r="D156"/>
      <c r="E156"/>
      <c r="F156"/>
      <c r="G156"/>
      <c r="H156"/>
      <c r="I156"/>
      <c r="J156"/>
      <c r="K156"/>
      <c r="L156"/>
    </row>
    <row r="157" spans="1:12" x14ac:dyDescent="0.25">
      <c r="A157"/>
      <c r="B157"/>
      <c r="C157"/>
      <c r="D157"/>
      <c r="E157"/>
      <c r="F157"/>
      <c r="G157"/>
      <c r="H157"/>
      <c r="I157"/>
      <c r="J157"/>
      <c r="K157"/>
      <c r="L157"/>
    </row>
    <row r="158" spans="1:12" x14ac:dyDescent="0.25">
      <c r="A158"/>
      <c r="B158"/>
      <c r="C158"/>
      <c r="D158"/>
      <c r="E158"/>
      <c r="F158"/>
      <c r="G158"/>
      <c r="H158"/>
      <c r="I158"/>
      <c r="J158"/>
      <c r="K158"/>
      <c r="L158"/>
    </row>
    <row r="159" spans="1:12" x14ac:dyDescent="0.25">
      <c r="A159"/>
      <c r="B159"/>
      <c r="C159"/>
      <c r="D159"/>
      <c r="E159"/>
      <c r="F159"/>
      <c r="G159"/>
      <c r="H159"/>
      <c r="I159"/>
      <c r="J159"/>
      <c r="K159"/>
      <c r="L159"/>
    </row>
    <row r="160" spans="1:12" x14ac:dyDescent="0.25">
      <c r="A160"/>
      <c r="B160"/>
      <c r="C160"/>
      <c r="D160"/>
      <c r="E160"/>
      <c r="F160"/>
      <c r="G160"/>
      <c r="H160"/>
      <c r="I160"/>
      <c r="J160"/>
      <c r="K160"/>
      <c r="L160"/>
    </row>
    <row r="161" spans="1:12" x14ac:dyDescent="0.25">
      <c r="A161"/>
      <c r="B161"/>
      <c r="C161"/>
      <c r="D161"/>
      <c r="E161"/>
      <c r="F161"/>
      <c r="G161"/>
      <c r="H161"/>
      <c r="I161"/>
      <c r="J161"/>
      <c r="K161"/>
      <c r="L161"/>
    </row>
    <row r="162" spans="1:12" x14ac:dyDescent="0.25">
      <c r="A162"/>
      <c r="B162"/>
      <c r="C162"/>
      <c r="D162"/>
      <c r="E162"/>
      <c r="F162"/>
      <c r="G162"/>
      <c r="H162"/>
      <c r="I162"/>
      <c r="J162"/>
      <c r="K162"/>
      <c r="L162"/>
    </row>
    <row r="163" spans="1:12" x14ac:dyDescent="0.25">
      <c r="A163"/>
      <c r="B163"/>
      <c r="C163"/>
      <c r="D163"/>
      <c r="E163"/>
      <c r="F163"/>
      <c r="G163"/>
      <c r="H163"/>
      <c r="I163"/>
      <c r="J163"/>
      <c r="K163"/>
      <c r="L163"/>
    </row>
    <row r="164" spans="1:12" x14ac:dyDescent="0.25">
      <c r="A164"/>
      <c r="B164"/>
      <c r="C164"/>
      <c r="D164"/>
      <c r="E164"/>
      <c r="F164"/>
      <c r="G164"/>
      <c r="H164"/>
      <c r="I164"/>
      <c r="J164"/>
      <c r="K164"/>
      <c r="L164"/>
    </row>
    <row r="165" spans="1:12" x14ac:dyDescent="0.25">
      <c r="A165"/>
      <c r="B165"/>
      <c r="C165"/>
      <c r="D165"/>
      <c r="E165"/>
      <c r="F165"/>
      <c r="G165"/>
      <c r="H165"/>
      <c r="I165"/>
      <c r="J165"/>
      <c r="K165"/>
      <c r="L165"/>
    </row>
    <row r="166" spans="1:12" x14ac:dyDescent="0.25">
      <c r="A166"/>
      <c r="B166"/>
      <c r="C166"/>
      <c r="D166"/>
      <c r="E166"/>
      <c r="F166"/>
      <c r="G166"/>
      <c r="H166"/>
      <c r="I166"/>
      <c r="J166"/>
      <c r="K166"/>
      <c r="L166"/>
    </row>
    <row r="167" spans="1:12" x14ac:dyDescent="0.25">
      <c r="A167"/>
      <c r="B167"/>
      <c r="C167"/>
      <c r="D167"/>
      <c r="E167"/>
      <c r="F167"/>
      <c r="G167"/>
      <c r="H167"/>
      <c r="I167"/>
      <c r="J167"/>
      <c r="K167"/>
      <c r="L167"/>
    </row>
    <row r="168" spans="1:12" x14ac:dyDescent="0.25">
      <c r="A168"/>
      <c r="B168"/>
      <c r="C168"/>
      <c r="D168"/>
      <c r="E168"/>
      <c r="F168"/>
      <c r="G168"/>
      <c r="H168"/>
      <c r="I168"/>
      <c r="J168"/>
      <c r="K168"/>
      <c r="L168"/>
    </row>
    <row r="169" spans="1:12" x14ac:dyDescent="0.25">
      <c r="A169"/>
      <c r="B169"/>
      <c r="C169"/>
      <c r="D169"/>
      <c r="E169"/>
      <c r="F169"/>
      <c r="G169"/>
      <c r="H169"/>
      <c r="I169"/>
      <c r="J169"/>
      <c r="K169"/>
      <c r="L169"/>
    </row>
    <row r="170" spans="1:12" x14ac:dyDescent="0.25">
      <c r="A170"/>
      <c r="B170"/>
      <c r="C170"/>
      <c r="D170"/>
      <c r="E170"/>
      <c r="F170"/>
      <c r="G170"/>
      <c r="H170"/>
      <c r="I170"/>
      <c r="J170"/>
      <c r="K170"/>
      <c r="L170"/>
    </row>
    <row r="171" spans="1:12" x14ac:dyDescent="0.25">
      <c r="A171"/>
      <c r="B171"/>
      <c r="C171"/>
      <c r="D171"/>
      <c r="E171"/>
      <c r="F171"/>
      <c r="G171"/>
      <c r="H171"/>
      <c r="I171"/>
      <c r="J171"/>
      <c r="K171"/>
      <c r="L171"/>
    </row>
    <row r="172" spans="1:12" x14ac:dyDescent="0.25">
      <c r="A172"/>
      <c r="B172"/>
      <c r="C172"/>
      <c r="D172"/>
      <c r="E172"/>
      <c r="F172"/>
      <c r="G172"/>
      <c r="H172"/>
      <c r="I172"/>
      <c r="J172"/>
      <c r="K172"/>
      <c r="L172"/>
    </row>
    <row r="173" spans="1:12" x14ac:dyDescent="0.25">
      <c r="A173"/>
      <c r="B173"/>
      <c r="C173"/>
      <c r="D173"/>
      <c r="E173"/>
      <c r="F173"/>
      <c r="G173"/>
      <c r="H173"/>
      <c r="I173"/>
      <c r="J173"/>
      <c r="K173"/>
      <c r="L173"/>
    </row>
    <row r="174" spans="1:12" x14ac:dyDescent="0.25">
      <c r="A174"/>
      <c r="B174"/>
      <c r="C174"/>
      <c r="D174"/>
      <c r="E174"/>
      <c r="F174"/>
      <c r="G174"/>
      <c r="H174"/>
      <c r="I174"/>
      <c r="J174"/>
      <c r="K174"/>
      <c r="L174"/>
    </row>
    <row r="175" spans="1:12" x14ac:dyDescent="0.25">
      <c r="A175"/>
      <c r="B175"/>
      <c r="C175"/>
      <c r="D175"/>
      <c r="E175"/>
      <c r="F175"/>
      <c r="G175"/>
      <c r="H175"/>
      <c r="I175"/>
      <c r="J175"/>
      <c r="K175"/>
      <c r="L175"/>
    </row>
    <row r="176" spans="1:12" x14ac:dyDescent="0.25">
      <c r="A176"/>
      <c r="B176"/>
      <c r="C176"/>
      <c r="D176"/>
      <c r="E176"/>
      <c r="F176"/>
      <c r="G176"/>
      <c r="H176"/>
      <c r="I176"/>
      <c r="J176"/>
      <c r="K176"/>
      <c r="L176"/>
    </row>
    <row r="177" spans="1:12" x14ac:dyDescent="0.25">
      <c r="A177"/>
      <c r="B177"/>
      <c r="C177"/>
      <c r="D177"/>
      <c r="E177"/>
      <c r="F177"/>
      <c r="G177"/>
      <c r="H177"/>
      <c r="I177"/>
      <c r="J177"/>
      <c r="K177"/>
      <c r="L177"/>
    </row>
    <row r="178" spans="1:12" x14ac:dyDescent="0.25">
      <c r="A178"/>
      <c r="B178"/>
      <c r="C178"/>
      <c r="D178"/>
      <c r="E178"/>
      <c r="F178"/>
      <c r="G178"/>
      <c r="H178"/>
      <c r="I178"/>
      <c r="J178"/>
      <c r="K178"/>
      <c r="L178"/>
    </row>
    <row r="179" spans="1:12" x14ac:dyDescent="0.25">
      <c r="A179"/>
      <c r="B179"/>
      <c r="C179"/>
      <c r="D179"/>
      <c r="E179"/>
      <c r="F179"/>
      <c r="G179"/>
      <c r="H179"/>
      <c r="I179"/>
      <c r="J179"/>
      <c r="K179"/>
      <c r="L179"/>
    </row>
    <row r="180" spans="1:12" x14ac:dyDescent="0.25">
      <c r="A180"/>
      <c r="B180"/>
      <c r="C180"/>
      <c r="D180"/>
      <c r="E180"/>
      <c r="F180"/>
      <c r="G180"/>
      <c r="H180"/>
      <c r="I180"/>
      <c r="J180"/>
      <c r="K180"/>
      <c r="L180"/>
    </row>
    <row r="181" spans="1:12" x14ac:dyDescent="0.25">
      <c r="A181"/>
      <c r="B181"/>
      <c r="C181"/>
      <c r="D181"/>
      <c r="E181"/>
      <c r="F181"/>
      <c r="G181"/>
      <c r="H181"/>
      <c r="I181"/>
      <c r="J181"/>
      <c r="K181"/>
      <c r="L181"/>
    </row>
    <row r="182" spans="1:12" x14ac:dyDescent="0.25">
      <c r="A182"/>
      <c r="B182"/>
      <c r="C182"/>
      <c r="D182"/>
      <c r="E182"/>
      <c r="F182"/>
      <c r="G182"/>
      <c r="H182"/>
      <c r="I182"/>
      <c r="J182"/>
      <c r="K182"/>
      <c r="L182"/>
    </row>
    <row r="183" spans="1:12" x14ac:dyDescent="0.25">
      <c r="A183"/>
      <c r="B183"/>
      <c r="C183"/>
      <c r="D183"/>
      <c r="E183"/>
      <c r="F183"/>
      <c r="G183"/>
      <c r="H183"/>
      <c r="I183"/>
      <c r="J183"/>
      <c r="K183"/>
      <c r="L183"/>
    </row>
    <row r="184" spans="1:12" x14ac:dyDescent="0.25">
      <c r="A184"/>
      <c r="B184"/>
      <c r="C184"/>
      <c r="D184"/>
      <c r="E184"/>
      <c r="F184"/>
      <c r="G184"/>
      <c r="H184"/>
      <c r="I184"/>
      <c r="J184"/>
      <c r="K184"/>
      <c r="L184"/>
    </row>
    <row r="185" spans="1:12" x14ac:dyDescent="0.25">
      <c r="A185"/>
      <c r="B185"/>
      <c r="C185"/>
      <c r="D185"/>
      <c r="E185"/>
      <c r="F185"/>
      <c r="G185"/>
      <c r="H185"/>
      <c r="I185"/>
      <c r="J185"/>
      <c r="K185"/>
      <c r="L185"/>
    </row>
    <row r="186" spans="1:12" x14ac:dyDescent="0.25">
      <c r="A186"/>
      <c r="B186"/>
      <c r="C186"/>
      <c r="D186"/>
      <c r="E186"/>
      <c r="F186"/>
      <c r="G186"/>
      <c r="H186"/>
      <c r="I186"/>
      <c r="J186"/>
      <c r="K186"/>
      <c r="L186"/>
    </row>
    <row r="187" spans="1:12" x14ac:dyDescent="0.25">
      <c r="A187"/>
      <c r="B187"/>
      <c r="C187"/>
      <c r="D187"/>
      <c r="E187"/>
      <c r="F187"/>
      <c r="G187"/>
      <c r="H187"/>
      <c r="I187"/>
      <c r="J187"/>
      <c r="K187"/>
      <c r="L187"/>
    </row>
    <row r="188" spans="1:12" x14ac:dyDescent="0.25">
      <c r="A188"/>
      <c r="B188"/>
      <c r="C188"/>
      <c r="D188"/>
      <c r="E188"/>
      <c r="F188"/>
      <c r="G188"/>
      <c r="H188"/>
      <c r="I188"/>
      <c r="J188"/>
      <c r="K188"/>
      <c r="L188"/>
    </row>
    <row r="189" spans="1:12" x14ac:dyDescent="0.25">
      <c r="A189"/>
      <c r="B189"/>
      <c r="C189"/>
      <c r="D189"/>
      <c r="E189"/>
      <c r="F189"/>
      <c r="G189"/>
      <c r="H189"/>
      <c r="I189"/>
      <c r="J189"/>
      <c r="K189"/>
      <c r="L189"/>
    </row>
    <row r="190" spans="1:12" x14ac:dyDescent="0.25">
      <c r="A190"/>
      <c r="B190"/>
      <c r="C190"/>
      <c r="D190"/>
      <c r="E190"/>
      <c r="F190"/>
      <c r="G190"/>
      <c r="H190"/>
      <c r="I190"/>
      <c r="J190"/>
      <c r="K190"/>
      <c r="L190"/>
    </row>
    <row r="191" spans="1:12" x14ac:dyDescent="0.25">
      <c r="A191"/>
      <c r="B191"/>
      <c r="C191"/>
      <c r="D191"/>
      <c r="E191"/>
      <c r="F191"/>
      <c r="G191"/>
      <c r="H191"/>
      <c r="I191"/>
      <c r="J191"/>
      <c r="K191"/>
      <c r="L191"/>
    </row>
    <row r="192" spans="1:12" x14ac:dyDescent="0.25">
      <c r="A192"/>
      <c r="B192"/>
      <c r="C192"/>
      <c r="D192"/>
      <c r="E192"/>
      <c r="F192"/>
      <c r="G192"/>
      <c r="H192"/>
      <c r="I192"/>
      <c r="J192"/>
      <c r="K192"/>
      <c r="L192"/>
    </row>
    <row r="193" spans="1:12" x14ac:dyDescent="0.25">
      <c r="A193"/>
      <c r="B193"/>
      <c r="C193"/>
      <c r="D193"/>
      <c r="E193"/>
      <c r="F193"/>
      <c r="G193"/>
      <c r="H193"/>
      <c r="I193"/>
      <c r="J193"/>
      <c r="K193"/>
      <c r="L193"/>
    </row>
    <row r="194" spans="1:12" x14ac:dyDescent="0.25">
      <c r="A194"/>
      <c r="B194"/>
      <c r="C194"/>
      <c r="D194"/>
      <c r="E194"/>
      <c r="F194"/>
      <c r="G194"/>
      <c r="H194"/>
      <c r="I194"/>
      <c r="J194"/>
      <c r="K194"/>
      <c r="L194"/>
    </row>
    <row r="195" spans="1:12" x14ac:dyDescent="0.25">
      <c r="A195"/>
      <c r="B195"/>
      <c r="C195"/>
      <c r="D195"/>
      <c r="E195"/>
      <c r="F195"/>
      <c r="G195"/>
      <c r="H195"/>
      <c r="I195"/>
      <c r="J195"/>
      <c r="K195"/>
      <c r="L195"/>
    </row>
    <row r="196" spans="1:12" x14ac:dyDescent="0.25">
      <c r="A196"/>
      <c r="B196"/>
      <c r="C196"/>
      <c r="D196"/>
      <c r="E196"/>
      <c r="F196"/>
      <c r="G196"/>
      <c r="H196"/>
      <c r="I196"/>
      <c r="J196"/>
      <c r="K196"/>
      <c r="L196"/>
    </row>
    <row r="197" spans="1:12" x14ac:dyDescent="0.25">
      <c r="A197"/>
      <c r="B197"/>
      <c r="C197"/>
      <c r="D197"/>
      <c r="E197"/>
      <c r="F197"/>
      <c r="G197"/>
      <c r="H197"/>
      <c r="I197"/>
      <c r="J197"/>
      <c r="K197"/>
      <c r="L197"/>
    </row>
    <row r="198" spans="1:12" x14ac:dyDescent="0.25">
      <c r="A198"/>
      <c r="B198"/>
      <c r="C198"/>
      <c r="D198"/>
      <c r="E198"/>
      <c r="F198"/>
      <c r="G198"/>
      <c r="H198"/>
      <c r="I198"/>
      <c r="J198"/>
      <c r="K198"/>
      <c r="L198"/>
    </row>
    <row r="199" spans="1:12" x14ac:dyDescent="0.25">
      <c r="A199"/>
      <c r="B199"/>
      <c r="C199"/>
      <c r="D199"/>
      <c r="E199"/>
      <c r="F199"/>
      <c r="G199"/>
      <c r="H199"/>
      <c r="I199"/>
      <c r="J199"/>
      <c r="K199"/>
      <c r="L199"/>
    </row>
    <row r="200" spans="1:12" x14ac:dyDescent="0.25">
      <c r="A200"/>
      <c r="B200"/>
      <c r="C200"/>
      <c r="D200"/>
      <c r="E200"/>
      <c r="F200"/>
      <c r="G200"/>
      <c r="H200"/>
      <c r="I200"/>
      <c r="J200"/>
      <c r="K200"/>
      <c r="L200"/>
    </row>
    <row r="201" spans="1:12" x14ac:dyDescent="0.25">
      <c r="A201"/>
      <c r="B201"/>
      <c r="C201"/>
      <c r="D201"/>
      <c r="E201"/>
      <c r="F201"/>
      <c r="G201"/>
      <c r="H201"/>
      <c r="I201"/>
      <c r="J201"/>
      <c r="K201"/>
      <c r="L201"/>
    </row>
    <row r="202" spans="1:12" x14ac:dyDescent="0.25">
      <c r="A202"/>
      <c r="B202"/>
      <c r="C202"/>
      <c r="D202"/>
      <c r="E202"/>
      <c r="F202"/>
      <c r="G202"/>
      <c r="H202"/>
      <c r="I202"/>
      <c r="J202"/>
      <c r="K202"/>
      <c r="L202"/>
    </row>
    <row r="203" spans="1:12" x14ac:dyDescent="0.25">
      <c r="A203"/>
      <c r="B203"/>
      <c r="C203"/>
      <c r="D203"/>
      <c r="E203"/>
      <c r="F203"/>
      <c r="G203"/>
      <c r="H203"/>
      <c r="I203"/>
      <c r="J203"/>
      <c r="K203"/>
      <c r="L203"/>
    </row>
    <row r="204" spans="1:12" x14ac:dyDescent="0.25">
      <c r="A204"/>
      <c r="B204"/>
      <c r="C204"/>
      <c r="D204"/>
      <c r="E204"/>
      <c r="F204"/>
      <c r="G204"/>
      <c r="H204"/>
      <c r="I204"/>
      <c r="J204"/>
      <c r="K204"/>
      <c r="L204"/>
    </row>
    <row r="205" spans="1:12" x14ac:dyDescent="0.25">
      <c r="A205"/>
      <c r="B205"/>
      <c r="C205"/>
      <c r="D205"/>
      <c r="E205"/>
      <c r="F205"/>
      <c r="G205"/>
      <c r="H205"/>
      <c r="I205"/>
      <c r="J205"/>
      <c r="K205"/>
      <c r="L205"/>
    </row>
    <row r="206" spans="1:12" x14ac:dyDescent="0.25">
      <c r="A206"/>
      <c r="B206"/>
      <c r="C206"/>
      <c r="D206"/>
      <c r="E206"/>
      <c r="F206"/>
      <c r="G206"/>
      <c r="H206"/>
      <c r="I206"/>
      <c r="J206"/>
      <c r="K206"/>
      <c r="L206"/>
    </row>
    <row r="207" spans="1:12" x14ac:dyDescent="0.25">
      <c r="A207"/>
      <c r="B207"/>
      <c r="C207"/>
      <c r="D207"/>
      <c r="E207"/>
      <c r="F207"/>
      <c r="G207"/>
      <c r="H207"/>
      <c r="I207"/>
      <c r="J207"/>
      <c r="K207"/>
      <c r="L207"/>
    </row>
    <row r="208" spans="1:12" x14ac:dyDescent="0.25">
      <c r="A208"/>
      <c r="B208"/>
      <c r="C208"/>
      <c r="D208"/>
      <c r="E208"/>
      <c r="F208"/>
      <c r="G208"/>
      <c r="H208"/>
      <c r="I208"/>
      <c r="J208"/>
      <c r="K208"/>
      <c r="L208"/>
    </row>
    <row r="209" spans="1:12" x14ac:dyDescent="0.25">
      <c r="A209"/>
      <c r="B209"/>
      <c r="C209"/>
      <c r="D209"/>
      <c r="E209"/>
      <c r="F209"/>
      <c r="G209"/>
      <c r="H209"/>
      <c r="I209"/>
      <c r="J209"/>
      <c r="K209"/>
      <c r="L209"/>
    </row>
    <row r="210" spans="1:12" x14ac:dyDescent="0.25">
      <c r="A210"/>
      <c r="B210"/>
      <c r="C210"/>
      <c r="D210"/>
      <c r="E210"/>
      <c r="F210"/>
      <c r="G210"/>
      <c r="H210"/>
      <c r="I210"/>
      <c r="J210"/>
      <c r="K210"/>
      <c r="L210"/>
    </row>
    <row r="211" spans="1:12" x14ac:dyDescent="0.25">
      <c r="A211"/>
      <c r="B211"/>
      <c r="C211"/>
      <c r="D211"/>
      <c r="E211"/>
      <c r="F211"/>
      <c r="G211"/>
      <c r="H211"/>
      <c r="I211"/>
      <c r="J211"/>
      <c r="K211"/>
      <c r="L211"/>
    </row>
    <row r="212" spans="1:12" x14ac:dyDescent="0.25">
      <c r="A212"/>
      <c r="B212"/>
      <c r="C212"/>
      <c r="D212"/>
      <c r="E212"/>
      <c r="F212"/>
      <c r="G212"/>
      <c r="H212"/>
      <c r="I212"/>
      <c r="J212"/>
      <c r="K212"/>
      <c r="L212"/>
    </row>
    <row r="213" spans="1:12" x14ac:dyDescent="0.25">
      <c r="A213"/>
      <c r="B213"/>
      <c r="C213"/>
      <c r="D213"/>
      <c r="E213"/>
      <c r="F213"/>
      <c r="G213"/>
      <c r="H213"/>
      <c r="I213"/>
      <c r="J213"/>
      <c r="K213"/>
      <c r="L213"/>
    </row>
    <row r="214" spans="1:12" x14ac:dyDescent="0.25">
      <c r="A214"/>
      <c r="B214"/>
      <c r="C214"/>
      <c r="D214"/>
      <c r="E214"/>
      <c r="F214"/>
      <c r="G214"/>
      <c r="H214"/>
      <c r="I214"/>
      <c r="J214"/>
      <c r="K214"/>
      <c r="L214"/>
    </row>
    <row r="215" spans="1:12" x14ac:dyDescent="0.25">
      <c r="A215"/>
      <c r="B215"/>
      <c r="C215"/>
      <c r="D215"/>
      <c r="E215"/>
      <c r="F215"/>
      <c r="G215"/>
      <c r="H215"/>
      <c r="I215"/>
      <c r="J215"/>
      <c r="K215"/>
      <c r="L215"/>
    </row>
    <row r="216" spans="1:12" x14ac:dyDescent="0.25">
      <c r="A216"/>
      <c r="B216"/>
      <c r="C216"/>
      <c r="D216"/>
      <c r="E216"/>
      <c r="F216"/>
      <c r="G216"/>
      <c r="H216"/>
      <c r="I216"/>
      <c r="J216"/>
      <c r="K216"/>
      <c r="L216"/>
    </row>
    <row r="217" spans="1:12" x14ac:dyDescent="0.25">
      <c r="A217"/>
      <c r="B217"/>
      <c r="C217"/>
      <c r="D217"/>
      <c r="E217"/>
      <c r="F217"/>
      <c r="G217"/>
      <c r="H217"/>
      <c r="I217"/>
      <c r="J217"/>
      <c r="K217"/>
      <c r="L217"/>
    </row>
    <row r="218" spans="1:12" x14ac:dyDescent="0.25">
      <c r="A218"/>
      <c r="B218"/>
      <c r="C218"/>
      <c r="D218"/>
      <c r="E218"/>
      <c r="F218"/>
      <c r="G218"/>
      <c r="H218"/>
      <c r="I218"/>
      <c r="J218"/>
      <c r="K218"/>
      <c r="L218"/>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row>
    <row r="275" spans="1:12" x14ac:dyDescent="0.25">
      <c r="A275"/>
      <c r="B275"/>
      <c r="C275"/>
      <c r="D275"/>
      <c r="E275"/>
      <c r="F275"/>
      <c r="G275"/>
      <c r="H275"/>
      <c r="I275"/>
      <c r="J275"/>
      <c r="K275"/>
    </row>
    <row r="276" spans="1:12" x14ac:dyDescent="0.25">
      <c r="A276"/>
      <c r="B276"/>
      <c r="C276"/>
      <c r="D276"/>
      <c r="E276"/>
      <c r="F276"/>
      <c r="G276"/>
      <c r="H276"/>
      <c r="I276"/>
      <c r="J276"/>
      <c r="K276"/>
    </row>
    <row r="277" spans="1:12" x14ac:dyDescent="0.25">
      <c r="A277"/>
      <c r="B277"/>
      <c r="C277"/>
      <c r="D277"/>
      <c r="E277"/>
      <c r="F277"/>
      <c r="G277"/>
      <c r="H277"/>
      <c r="I277"/>
      <c r="J277"/>
      <c r="K277"/>
    </row>
    <row r="278" spans="1:12" x14ac:dyDescent="0.25">
      <c r="A278"/>
      <c r="B278"/>
      <c r="C278"/>
      <c r="D278"/>
      <c r="E278"/>
      <c r="F278"/>
      <c r="G278"/>
      <c r="H278"/>
      <c r="I278"/>
      <c r="J278"/>
      <c r="K278"/>
    </row>
    <row r="279" spans="1:12" x14ac:dyDescent="0.25">
      <c r="A279"/>
      <c r="B279"/>
      <c r="C279"/>
      <c r="D279"/>
      <c r="E279"/>
      <c r="F279"/>
      <c r="G279"/>
      <c r="H279"/>
      <c r="I279"/>
      <c r="J279"/>
      <c r="K279"/>
    </row>
    <row r="280" spans="1:12" x14ac:dyDescent="0.25">
      <c r="A280"/>
      <c r="B280"/>
      <c r="C280"/>
      <c r="D280"/>
      <c r="E280"/>
      <c r="F280"/>
      <c r="G280"/>
      <c r="H280"/>
      <c r="I280"/>
      <c r="J280"/>
      <c r="K280"/>
    </row>
    <row r="281" spans="1:12" x14ac:dyDescent="0.25">
      <c r="A281"/>
      <c r="B281"/>
      <c r="C281"/>
      <c r="D281"/>
      <c r="E281"/>
      <c r="F281"/>
      <c r="G281"/>
      <c r="H281"/>
      <c r="I281"/>
      <c r="J281"/>
      <c r="K281"/>
    </row>
    <row r="282" spans="1:12" x14ac:dyDescent="0.25">
      <c r="A282"/>
      <c r="B282"/>
      <c r="C282"/>
      <c r="D282"/>
      <c r="E282"/>
      <c r="F282"/>
      <c r="G282"/>
      <c r="H282"/>
      <c r="I282"/>
      <c r="J282"/>
      <c r="K282"/>
    </row>
    <row r="283" spans="1:12" x14ac:dyDescent="0.25">
      <c r="A283"/>
      <c r="B283"/>
      <c r="C283"/>
      <c r="D283"/>
      <c r="E283"/>
      <c r="F283"/>
      <c r="G283"/>
      <c r="H283"/>
      <c r="I283"/>
      <c r="J283"/>
      <c r="K283"/>
    </row>
    <row r="284" spans="1:12" x14ac:dyDescent="0.25">
      <c r="A284"/>
      <c r="B284"/>
      <c r="C284"/>
      <c r="D284"/>
      <c r="E284"/>
      <c r="F284"/>
      <c r="G284"/>
      <c r="H284"/>
      <c r="I284"/>
      <c r="J284"/>
      <c r="K284"/>
    </row>
    <row r="285" spans="1:12" x14ac:dyDescent="0.25">
      <c r="A285"/>
      <c r="B285"/>
      <c r="C285"/>
      <c r="D285"/>
      <c r="E285"/>
      <c r="F285"/>
      <c r="G285"/>
      <c r="H285"/>
      <c r="I285"/>
      <c r="J285"/>
      <c r="K285"/>
    </row>
    <row r="286" spans="1:12" x14ac:dyDescent="0.25">
      <c r="A286"/>
      <c r="B286"/>
      <c r="C286"/>
      <c r="D286"/>
      <c r="E286"/>
      <c r="F286"/>
      <c r="G286"/>
      <c r="H286"/>
      <c r="I286"/>
      <c r="J286"/>
      <c r="K286"/>
    </row>
    <row r="287" spans="1:12" x14ac:dyDescent="0.25">
      <c r="A287"/>
      <c r="B287"/>
      <c r="C287"/>
      <c r="D287"/>
      <c r="E287"/>
      <c r="F287"/>
      <c r="G287"/>
      <c r="H287"/>
      <c r="I287"/>
      <c r="J287"/>
      <c r="K287"/>
    </row>
    <row r="288" spans="1:12"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sheetData>
  <sheetProtection sheet="1" objects="1" scenarios="1"/>
  <mergeCells count="2">
    <mergeCell ref="D2:E2"/>
    <mergeCell ref="A2:B2"/>
  </mergeCells>
  <phoneticPr fontId="41" type="noConversion"/>
  <printOptions horizontalCentered="1" gridLines="1"/>
  <pageMargins left="0.31496062992125984" right="0.31496062992125984" top="0.94488188976377963" bottom="0.35433070866141736" header="0.31496062992125984" footer="0.11811023622047245"/>
  <pageSetup paperSize="9" scale="30" orientation="landscape" r:id="rId2"/>
  <headerFooter>
    <oddHeader>&amp;R&amp;F</oddHeader>
    <oddFooter>Sida &amp;P av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J101"/>
  <sheetViews>
    <sheetView workbookViewId="0">
      <selection activeCell="B29" sqref="B29"/>
    </sheetView>
  </sheetViews>
  <sheetFormatPr defaultRowHeight="15" x14ac:dyDescent="0.25"/>
  <cols>
    <col min="1" max="1" width="19.5703125" customWidth="1"/>
    <col min="2" max="2" width="20.42578125" customWidth="1"/>
    <col min="3" max="3" width="33" customWidth="1"/>
    <col min="4" max="4" width="16.140625" customWidth="1"/>
    <col min="5" max="5" width="51" customWidth="1"/>
    <col min="6" max="6" width="9" customWidth="1"/>
    <col min="7" max="7" width="7.7109375" customWidth="1"/>
    <col min="8" max="9" width="10.42578125" customWidth="1"/>
    <col min="10" max="10" width="15" bestFit="1" customWidth="1"/>
    <col min="11" max="11" width="15.5703125" bestFit="1" customWidth="1"/>
    <col min="12" max="13" width="15.5703125" customWidth="1"/>
    <col min="14" max="14" width="15.5703125" bestFit="1" customWidth="1"/>
    <col min="15" max="15" width="20.85546875" bestFit="1" customWidth="1"/>
    <col min="16" max="16" width="21.85546875" bestFit="1" customWidth="1"/>
    <col min="17" max="17" width="22.140625" bestFit="1" customWidth="1"/>
  </cols>
  <sheetData>
    <row r="1" spans="1:10" x14ac:dyDescent="0.25">
      <c r="A1" s="61" t="s">
        <v>2</v>
      </c>
      <c r="B1" t="s">
        <v>176</v>
      </c>
    </row>
    <row r="3" spans="1:10" ht="30" x14ac:dyDescent="0.25">
      <c r="A3" s="156" t="s">
        <v>106</v>
      </c>
      <c r="B3" s="156" t="s">
        <v>105</v>
      </c>
      <c r="C3" s="156" t="s">
        <v>361</v>
      </c>
      <c r="D3" s="156" t="s">
        <v>59</v>
      </c>
      <c r="E3" s="156" t="s">
        <v>110</v>
      </c>
      <c r="F3" s="156" t="s">
        <v>111</v>
      </c>
      <c r="G3" s="488" t="s">
        <v>1125</v>
      </c>
      <c r="H3" s="488" t="s">
        <v>1050</v>
      </c>
      <c r="I3" s="488" t="s">
        <v>1355</v>
      </c>
      <c r="J3" s="488" t="s">
        <v>836</v>
      </c>
    </row>
    <row r="4" spans="1:10" x14ac:dyDescent="0.25">
      <c r="A4" t="s">
        <v>2274</v>
      </c>
      <c r="B4" t="s">
        <v>117</v>
      </c>
      <c r="C4" t="s">
        <v>124</v>
      </c>
      <c r="D4" t="s">
        <v>862</v>
      </c>
      <c r="E4" t="s">
        <v>1206</v>
      </c>
      <c r="F4">
        <v>30</v>
      </c>
      <c r="G4" s="36">
        <v>4</v>
      </c>
      <c r="H4" s="316">
        <v>2</v>
      </c>
      <c r="I4" s="316">
        <v>1.6</v>
      </c>
      <c r="J4" s="15">
        <v>81439.199999999997</v>
      </c>
    </row>
    <row r="5" spans="1:10" x14ac:dyDescent="0.25">
      <c r="D5" t="s">
        <v>1029</v>
      </c>
      <c r="E5" t="s">
        <v>1048</v>
      </c>
      <c r="F5">
        <v>30</v>
      </c>
      <c r="G5" s="36">
        <v>3</v>
      </c>
      <c r="H5" s="316">
        <v>1.5</v>
      </c>
      <c r="I5" s="316">
        <v>1.2000000000000002</v>
      </c>
      <c r="J5" s="15">
        <v>61079.4</v>
      </c>
    </row>
    <row r="6" spans="1:10" x14ac:dyDescent="0.25">
      <c r="D6" t="s">
        <v>1932</v>
      </c>
      <c r="E6" t="s">
        <v>1307</v>
      </c>
      <c r="F6">
        <v>30</v>
      </c>
      <c r="G6" s="36">
        <v>15</v>
      </c>
      <c r="H6" s="316">
        <v>7.5</v>
      </c>
      <c r="I6" s="316">
        <v>6</v>
      </c>
      <c r="J6" s="15">
        <v>305397</v>
      </c>
    </row>
    <row r="7" spans="1:10" x14ac:dyDescent="0.25">
      <c r="D7" t="s">
        <v>1934</v>
      </c>
      <c r="E7" t="s">
        <v>1959</v>
      </c>
      <c r="F7">
        <v>15</v>
      </c>
      <c r="G7" s="36">
        <v>8</v>
      </c>
      <c r="H7" s="316">
        <v>2</v>
      </c>
      <c r="I7" s="316">
        <v>1.6</v>
      </c>
      <c r="J7" s="15">
        <v>81439.199999999997</v>
      </c>
    </row>
    <row r="8" spans="1:10" x14ac:dyDescent="0.25">
      <c r="D8" t="s">
        <v>1935</v>
      </c>
      <c r="E8" t="s">
        <v>1351</v>
      </c>
      <c r="F8">
        <v>15</v>
      </c>
      <c r="G8" s="36">
        <v>1</v>
      </c>
      <c r="H8" s="316">
        <v>0.25</v>
      </c>
      <c r="I8" s="316">
        <v>0.2</v>
      </c>
      <c r="J8" s="15">
        <v>10179.9</v>
      </c>
    </row>
    <row r="9" spans="1:10" x14ac:dyDescent="0.25">
      <c r="D9" t="s">
        <v>1772</v>
      </c>
      <c r="E9" t="s">
        <v>1792</v>
      </c>
      <c r="F9">
        <v>30</v>
      </c>
      <c r="G9" s="36">
        <v>6</v>
      </c>
      <c r="H9" s="316">
        <v>1.5</v>
      </c>
      <c r="I9" s="316">
        <v>1.2000000000000002</v>
      </c>
      <c r="J9" s="15">
        <v>61079.4</v>
      </c>
    </row>
    <row r="10" spans="1:10" x14ac:dyDescent="0.25">
      <c r="D10" t="s">
        <v>2071</v>
      </c>
      <c r="E10" t="s">
        <v>2076</v>
      </c>
      <c r="F10">
        <v>30</v>
      </c>
      <c r="G10" s="36">
        <v>7</v>
      </c>
      <c r="H10" s="316">
        <v>3.5</v>
      </c>
      <c r="I10" s="316">
        <v>2.8000000000000003</v>
      </c>
      <c r="J10" s="15">
        <v>142518.6</v>
      </c>
    </row>
    <row r="11" spans="1:10" x14ac:dyDescent="0.25">
      <c r="D11" t="s">
        <v>2075</v>
      </c>
      <c r="E11" t="s">
        <v>2082</v>
      </c>
      <c r="F11">
        <v>30</v>
      </c>
      <c r="G11" s="36">
        <v>2</v>
      </c>
      <c r="H11" s="316">
        <v>1</v>
      </c>
      <c r="I11" s="316">
        <v>0.8</v>
      </c>
      <c r="J11" s="15">
        <v>40719.599999999999</v>
      </c>
    </row>
    <row r="12" spans="1:10" x14ac:dyDescent="0.25">
      <c r="D12" t="s">
        <v>2101</v>
      </c>
      <c r="E12" t="s">
        <v>1777</v>
      </c>
      <c r="F12">
        <v>7.5</v>
      </c>
      <c r="G12" s="36">
        <v>8</v>
      </c>
      <c r="H12" s="316">
        <v>1</v>
      </c>
      <c r="I12" s="316">
        <v>0.8</v>
      </c>
      <c r="J12" s="15">
        <v>40719.599999999999</v>
      </c>
    </row>
    <row r="13" spans="1:10" x14ac:dyDescent="0.25">
      <c r="D13" t="s">
        <v>2360</v>
      </c>
      <c r="E13" t="s">
        <v>2365</v>
      </c>
      <c r="F13">
        <v>7.5</v>
      </c>
      <c r="G13" s="36">
        <v>16</v>
      </c>
      <c r="H13" s="316">
        <v>2</v>
      </c>
      <c r="I13" s="316">
        <v>1.6</v>
      </c>
      <c r="J13" s="15">
        <v>81439.199999999997</v>
      </c>
    </row>
    <row r="14" spans="1:10" x14ac:dyDescent="0.25">
      <c r="D14" t="s">
        <v>2100</v>
      </c>
      <c r="E14" t="s">
        <v>2114</v>
      </c>
      <c r="F14">
        <v>15</v>
      </c>
      <c r="G14" s="36">
        <v>12</v>
      </c>
      <c r="H14" s="316">
        <v>1.5</v>
      </c>
      <c r="I14" s="316">
        <v>1.2000000000000002</v>
      </c>
      <c r="J14" s="15">
        <v>61079.4</v>
      </c>
    </row>
    <row r="15" spans="1:10" x14ac:dyDescent="0.25">
      <c r="D15" t="s">
        <v>2102</v>
      </c>
      <c r="E15" t="s">
        <v>2115</v>
      </c>
      <c r="F15">
        <v>7.5</v>
      </c>
      <c r="G15" s="36">
        <v>2</v>
      </c>
      <c r="H15" s="316">
        <v>0.25</v>
      </c>
      <c r="I15" s="316">
        <v>0.2</v>
      </c>
      <c r="J15" s="15">
        <v>10179.9</v>
      </c>
    </row>
    <row r="16" spans="1:10" x14ac:dyDescent="0.25">
      <c r="B16" t="s">
        <v>481</v>
      </c>
      <c r="C16" t="s">
        <v>904</v>
      </c>
      <c r="D16" t="s">
        <v>1936</v>
      </c>
      <c r="E16" t="s">
        <v>1960</v>
      </c>
      <c r="F16">
        <v>30</v>
      </c>
      <c r="G16" s="36">
        <v>1</v>
      </c>
      <c r="H16" s="316">
        <v>0.5</v>
      </c>
      <c r="I16" s="316">
        <v>0.42499999999999999</v>
      </c>
      <c r="J16" s="15">
        <v>20795.849999999999</v>
      </c>
    </row>
    <row r="17" spans="2:10" x14ac:dyDescent="0.25">
      <c r="B17" t="s">
        <v>482</v>
      </c>
      <c r="C17" t="s">
        <v>1332</v>
      </c>
      <c r="D17" t="s">
        <v>1272</v>
      </c>
      <c r="E17" t="s">
        <v>1274</v>
      </c>
      <c r="F17">
        <v>22.5</v>
      </c>
      <c r="G17" s="36">
        <v>17</v>
      </c>
      <c r="H17" s="316">
        <v>6.375</v>
      </c>
      <c r="I17" s="316">
        <v>5.4187500000000002</v>
      </c>
      <c r="J17" s="15">
        <v>335418.07500000001</v>
      </c>
    </row>
    <row r="18" spans="2:10" x14ac:dyDescent="0.25">
      <c r="D18" t="s">
        <v>1273</v>
      </c>
      <c r="E18" t="s">
        <v>1275</v>
      </c>
      <c r="F18">
        <v>22.5</v>
      </c>
      <c r="G18" s="36">
        <v>9</v>
      </c>
      <c r="H18" s="316">
        <v>3.375</v>
      </c>
      <c r="I18" s="316">
        <v>2.8687499999999999</v>
      </c>
      <c r="J18" s="15">
        <v>177574.27499999999</v>
      </c>
    </row>
    <row r="19" spans="2:10" x14ac:dyDescent="0.25">
      <c r="D19" t="s">
        <v>862</v>
      </c>
      <c r="E19" t="s">
        <v>1206</v>
      </c>
      <c r="F19">
        <v>30</v>
      </c>
      <c r="G19" s="36">
        <v>5</v>
      </c>
      <c r="H19" s="316">
        <v>2.5</v>
      </c>
      <c r="I19" s="316">
        <v>2.125</v>
      </c>
      <c r="J19" s="15">
        <v>103979.25</v>
      </c>
    </row>
    <row r="20" spans="2:10" x14ac:dyDescent="0.25">
      <c r="D20" t="s">
        <v>1700</v>
      </c>
      <c r="E20" t="s">
        <v>1708</v>
      </c>
      <c r="F20">
        <v>30</v>
      </c>
      <c r="G20" s="36">
        <v>2</v>
      </c>
      <c r="H20" s="316">
        <v>1</v>
      </c>
      <c r="I20" s="316">
        <v>0.85</v>
      </c>
      <c r="J20" s="15">
        <v>41591.699999999997</v>
      </c>
    </row>
    <row r="21" spans="2:10" x14ac:dyDescent="0.25">
      <c r="D21" t="s">
        <v>1029</v>
      </c>
      <c r="E21" t="s">
        <v>1048</v>
      </c>
      <c r="F21">
        <v>30</v>
      </c>
      <c r="G21" s="36">
        <v>1</v>
      </c>
      <c r="H21" s="316">
        <v>0.5</v>
      </c>
      <c r="I21" s="316">
        <v>0.42499999999999999</v>
      </c>
      <c r="J21" s="15">
        <v>20795.849999999999</v>
      </c>
    </row>
    <row r="22" spans="2:10" x14ac:dyDescent="0.25">
      <c r="D22" t="s">
        <v>1936</v>
      </c>
      <c r="E22" t="s">
        <v>1960</v>
      </c>
      <c r="F22">
        <v>30</v>
      </c>
      <c r="G22" s="36">
        <v>9</v>
      </c>
      <c r="H22" s="316">
        <v>4.5</v>
      </c>
      <c r="I22" s="316">
        <v>3.8250000000000002</v>
      </c>
      <c r="J22" s="15">
        <v>187162.65000000002</v>
      </c>
    </row>
    <row r="23" spans="2:10" x14ac:dyDescent="0.25">
      <c r="D23" t="s">
        <v>1938</v>
      </c>
      <c r="E23" t="s">
        <v>1962</v>
      </c>
      <c r="F23">
        <v>30</v>
      </c>
      <c r="G23" s="36">
        <v>15</v>
      </c>
      <c r="H23" s="316">
        <v>7.5</v>
      </c>
      <c r="I23" s="316">
        <v>6.375</v>
      </c>
      <c r="J23" s="15">
        <v>311937.75</v>
      </c>
    </row>
    <row r="24" spans="2:10" x14ac:dyDescent="0.25">
      <c r="D24" t="s">
        <v>2041</v>
      </c>
      <c r="E24" t="s">
        <v>2042</v>
      </c>
      <c r="F24">
        <v>30</v>
      </c>
      <c r="G24" s="36">
        <v>3</v>
      </c>
      <c r="H24" s="316">
        <v>1.5</v>
      </c>
      <c r="I24" s="316">
        <v>1.2749999999999999</v>
      </c>
      <c r="J24" s="15">
        <v>62387.549999999996</v>
      </c>
    </row>
    <row r="25" spans="2:10" x14ac:dyDescent="0.25">
      <c r="D25" t="s">
        <v>2071</v>
      </c>
      <c r="E25" t="s">
        <v>2076</v>
      </c>
      <c r="F25">
        <v>30</v>
      </c>
      <c r="G25" s="36">
        <v>47</v>
      </c>
      <c r="H25" s="316">
        <v>23.5</v>
      </c>
      <c r="I25" s="316">
        <v>19.975000000000005</v>
      </c>
      <c r="J25" s="15">
        <v>977404.94999999984</v>
      </c>
    </row>
    <row r="26" spans="2:10" x14ac:dyDescent="0.25">
      <c r="D26" t="s">
        <v>2075</v>
      </c>
      <c r="E26" t="s">
        <v>2082</v>
      </c>
      <c r="F26">
        <v>30</v>
      </c>
      <c r="G26" s="36">
        <v>1</v>
      </c>
      <c r="H26" s="316">
        <v>0.5</v>
      </c>
      <c r="I26" s="316">
        <v>0.42499999999999999</v>
      </c>
      <c r="J26" s="15">
        <v>20795.849999999999</v>
      </c>
    </row>
    <row r="27" spans="2:10" x14ac:dyDescent="0.25">
      <c r="D27" t="s">
        <v>2131</v>
      </c>
      <c r="E27" t="s">
        <v>2132</v>
      </c>
      <c r="F27">
        <v>30</v>
      </c>
      <c r="G27" s="36">
        <v>40</v>
      </c>
      <c r="H27" s="316">
        <v>20</v>
      </c>
      <c r="I27" s="316">
        <v>17</v>
      </c>
      <c r="J27" s="15">
        <v>831834</v>
      </c>
    </row>
    <row r="28" spans="2:10" x14ac:dyDescent="0.25">
      <c r="D28" t="s">
        <v>2199</v>
      </c>
      <c r="E28" t="s">
        <v>2127</v>
      </c>
      <c r="F28">
        <v>22.5</v>
      </c>
      <c r="G28" s="36">
        <v>1</v>
      </c>
      <c r="H28" s="316">
        <v>0.375</v>
      </c>
      <c r="I28" s="316">
        <v>0.31874999999999998</v>
      </c>
      <c r="J28" s="15">
        <v>19730.474999999999</v>
      </c>
    </row>
    <row r="29" spans="2:10" x14ac:dyDescent="0.25">
      <c r="D29" t="s">
        <v>2200</v>
      </c>
      <c r="E29" t="s">
        <v>2080</v>
      </c>
      <c r="F29">
        <v>22.5</v>
      </c>
      <c r="G29" s="36">
        <v>1</v>
      </c>
      <c r="H29" s="316">
        <v>0.375</v>
      </c>
      <c r="I29" s="316">
        <v>0.31874999999999998</v>
      </c>
      <c r="J29" s="15">
        <v>19730.474999999999</v>
      </c>
    </row>
    <row r="30" spans="2:10" x14ac:dyDescent="0.25">
      <c r="D30" t="s">
        <v>2201</v>
      </c>
      <c r="E30" t="s">
        <v>2079</v>
      </c>
      <c r="F30">
        <v>22.5</v>
      </c>
      <c r="G30" s="36">
        <v>2</v>
      </c>
      <c r="H30" s="316">
        <v>0.75</v>
      </c>
      <c r="I30" s="316">
        <v>0.63749999999999996</v>
      </c>
      <c r="J30" s="15">
        <v>39460.949999999997</v>
      </c>
    </row>
    <row r="31" spans="2:10" x14ac:dyDescent="0.25">
      <c r="D31" t="s">
        <v>2202</v>
      </c>
      <c r="E31" t="s">
        <v>2204</v>
      </c>
      <c r="F31">
        <v>30</v>
      </c>
      <c r="G31" s="36">
        <v>14</v>
      </c>
      <c r="H31" s="316">
        <v>7</v>
      </c>
      <c r="I31" s="316">
        <v>5.9499999999999993</v>
      </c>
      <c r="J31" s="15">
        <v>291141.89999999997</v>
      </c>
    </row>
    <row r="32" spans="2:10" x14ac:dyDescent="0.25">
      <c r="D32" t="s">
        <v>2228</v>
      </c>
      <c r="E32" t="s">
        <v>2262</v>
      </c>
      <c r="F32">
        <v>30</v>
      </c>
      <c r="G32" s="36">
        <v>24</v>
      </c>
      <c r="H32" s="316">
        <v>12</v>
      </c>
      <c r="I32" s="316">
        <v>10.199999999999999</v>
      </c>
      <c r="J32" s="15">
        <v>499100.40000000008</v>
      </c>
    </row>
    <row r="33" spans="1:10" x14ac:dyDescent="0.25">
      <c r="D33" t="s">
        <v>2379</v>
      </c>
      <c r="E33" t="s">
        <v>2403</v>
      </c>
      <c r="F33">
        <v>7.5</v>
      </c>
      <c r="G33" s="36">
        <v>1</v>
      </c>
      <c r="H33" s="316">
        <v>0.125</v>
      </c>
      <c r="I33" s="316">
        <v>0.10625</v>
      </c>
      <c r="J33" s="15">
        <v>5198.9624999999996</v>
      </c>
    </row>
    <row r="34" spans="1:10" x14ac:dyDescent="0.25">
      <c r="D34" t="s">
        <v>2380</v>
      </c>
      <c r="E34" t="s">
        <v>2404</v>
      </c>
      <c r="F34">
        <v>7.5</v>
      </c>
      <c r="G34" s="36">
        <v>1</v>
      </c>
      <c r="H34" s="316">
        <v>0.125</v>
      </c>
      <c r="I34" s="316">
        <v>0.10625</v>
      </c>
      <c r="J34" s="15">
        <v>5198.9624999999996</v>
      </c>
    </row>
    <row r="35" spans="1:10" x14ac:dyDescent="0.25">
      <c r="B35" t="s">
        <v>483</v>
      </c>
      <c r="C35" t="s">
        <v>901</v>
      </c>
      <c r="D35" t="s">
        <v>2134</v>
      </c>
      <c r="E35" t="s">
        <v>2142</v>
      </c>
      <c r="F35">
        <v>15</v>
      </c>
      <c r="G35" s="36">
        <v>23</v>
      </c>
      <c r="H35" s="316">
        <v>5.75</v>
      </c>
      <c r="I35" s="316">
        <v>4.8875000000000002</v>
      </c>
      <c r="J35" s="15">
        <v>239152.27500000002</v>
      </c>
    </row>
    <row r="36" spans="1:10" x14ac:dyDescent="0.25">
      <c r="B36" t="s">
        <v>484</v>
      </c>
      <c r="C36" t="s">
        <v>900</v>
      </c>
      <c r="D36" t="s">
        <v>1634</v>
      </c>
      <c r="E36" t="s">
        <v>1635</v>
      </c>
      <c r="F36">
        <v>7.5</v>
      </c>
      <c r="G36" s="36">
        <v>21</v>
      </c>
      <c r="H36" s="316">
        <v>2.625</v>
      </c>
      <c r="I36" s="316">
        <v>2.2312499999999997</v>
      </c>
      <c r="J36" s="15">
        <v>109178.21249999999</v>
      </c>
    </row>
    <row r="37" spans="1:10" x14ac:dyDescent="0.25">
      <c r="B37" t="s">
        <v>485</v>
      </c>
      <c r="C37" t="s">
        <v>902</v>
      </c>
      <c r="D37" t="s">
        <v>814</v>
      </c>
      <c r="E37" t="s">
        <v>617</v>
      </c>
      <c r="F37">
        <v>6</v>
      </c>
      <c r="G37" s="36">
        <v>38</v>
      </c>
      <c r="H37" s="316">
        <v>3.8</v>
      </c>
      <c r="I37" s="316">
        <v>3.23</v>
      </c>
      <c r="J37" s="15">
        <v>199935.47999999998</v>
      </c>
    </row>
    <row r="38" spans="1:10" x14ac:dyDescent="0.25">
      <c r="D38" t="s">
        <v>516</v>
      </c>
      <c r="E38" t="s">
        <v>557</v>
      </c>
      <c r="F38">
        <v>15</v>
      </c>
      <c r="G38" s="36">
        <v>50</v>
      </c>
      <c r="H38" s="316">
        <v>12.5</v>
      </c>
      <c r="I38" s="316">
        <v>10.625</v>
      </c>
      <c r="J38" s="15">
        <v>519896.25</v>
      </c>
    </row>
    <row r="39" spans="1:10" x14ac:dyDescent="0.25">
      <c r="D39" t="s">
        <v>1855</v>
      </c>
      <c r="E39" t="s">
        <v>540</v>
      </c>
      <c r="F39">
        <v>7.5</v>
      </c>
      <c r="G39" s="36">
        <v>53</v>
      </c>
      <c r="H39" s="316">
        <v>6.625</v>
      </c>
      <c r="I39" s="316">
        <v>5.6312499999999996</v>
      </c>
      <c r="J39" s="15">
        <v>275545.01250000001</v>
      </c>
    </row>
    <row r="40" spans="1:10" x14ac:dyDescent="0.25">
      <c r="B40" t="s">
        <v>523</v>
      </c>
      <c r="C40" t="s">
        <v>903</v>
      </c>
      <c r="D40" t="s">
        <v>815</v>
      </c>
      <c r="E40" t="s">
        <v>618</v>
      </c>
      <c r="F40">
        <v>6</v>
      </c>
      <c r="G40" s="36">
        <v>19</v>
      </c>
      <c r="H40" s="316">
        <v>1.9</v>
      </c>
      <c r="I40" s="316">
        <v>1.615</v>
      </c>
      <c r="J40" s="15">
        <v>99967.739999999991</v>
      </c>
    </row>
    <row r="41" spans="1:10" x14ac:dyDescent="0.25">
      <c r="D41" t="s">
        <v>518</v>
      </c>
      <c r="E41" t="s">
        <v>559</v>
      </c>
      <c r="F41">
        <v>15</v>
      </c>
      <c r="G41" s="36">
        <v>50</v>
      </c>
      <c r="H41" s="316">
        <v>12.5</v>
      </c>
      <c r="I41" s="316">
        <v>10.625</v>
      </c>
      <c r="J41" s="15">
        <v>519896.25</v>
      </c>
    </row>
    <row r="42" spans="1:10" x14ac:dyDescent="0.25">
      <c r="D42" t="s">
        <v>1856</v>
      </c>
      <c r="E42" t="s">
        <v>542</v>
      </c>
      <c r="F42">
        <v>7.5</v>
      </c>
      <c r="G42" s="36">
        <v>48</v>
      </c>
      <c r="H42" s="316">
        <v>6</v>
      </c>
      <c r="I42" s="316">
        <v>5.0999999999999996</v>
      </c>
      <c r="J42" s="15">
        <v>249550.2</v>
      </c>
    </row>
    <row r="43" spans="1:10" x14ac:dyDescent="0.25">
      <c r="B43" t="s">
        <v>115</v>
      </c>
      <c r="C43" t="s">
        <v>910</v>
      </c>
      <c r="D43" t="s">
        <v>1976</v>
      </c>
      <c r="E43" t="s">
        <v>679</v>
      </c>
      <c r="F43">
        <v>30</v>
      </c>
      <c r="G43" s="36">
        <v>15</v>
      </c>
      <c r="H43" s="316">
        <v>7.5</v>
      </c>
      <c r="I43" s="316">
        <v>6.375</v>
      </c>
      <c r="J43" s="15">
        <v>311937.75</v>
      </c>
    </row>
    <row r="44" spans="1:10" x14ac:dyDescent="0.25">
      <c r="A44" t="s">
        <v>2312</v>
      </c>
      <c r="G44" s="36">
        <v>595</v>
      </c>
      <c r="H44" s="316">
        <v>175.70000000000002</v>
      </c>
      <c r="I44" s="316">
        <v>148.14500000000001</v>
      </c>
      <c r="J44" s="15">
        <v>7473569.4450000022</v>
      </c>
    </row>
    <row r="45" spans="1:10" x14ac:dyDescent="0.25">
      <c r="A45" t="s">
        <v>2319</v>
      </c>
      <c r="B45" t="s">
        <v>117</v>
      </c>
      <c r="C45" t="s">
        <v>124</v>
      </c>
      <c r="D45" t="s">
        <v>2053</v>
      </c>
      <c r="E45" t="s">
        <v>2055</v>
      </c>
      <c r="F45">
        <v>7.5</v>
      </c>
      <c r="G45" s="36">
        <v>20</v>
      </c>
      <c r="H45" s="316">
        <v>2.5</v>
      </c>
      <c r="I45" s="316">
        <v>2</v>
      </c>
      <c r="J45" s="15">
        <v>101799</v>
      </c>
    </row>
    <row r="46" spans="1:10" x14ac:dyDescent="0.25">
      <c r="D46" t="s">
        <v>2054</v>
      </c>
      <c r="E46" t="s">
        <v>2056</v>
      </c>
      <c r="F46">
        <v>7.5</v>
      </c>
      <c r="G46" s="36">
        <v>20</v>
      </c>
      <c r="H46" s="316">
        <v>2.5</v>
      </c>
      <c r="I46" s="316">
        <v>2</v>
      </c>
      <c r="J46" s="15">
        <v>101799</v>
      </c>
    </row>
    <row r="47" spans="1:10" x14ac:dyDescent="0.25">
      <c r="D47" t="s">
        <v>2118</v>
      </c>
      <c r="E47" t="s">
        <v>2120</v>
      </c>
      <c r="F47">
        <v>7.5</v>
      </c>
      <c r="G47" s="36">
        <v>41</v>
      </c>
      <c r="H47" s="316">
        <v>5.125</v>
      </c>
      <c r="I47" s="316">
        <v>4.1000000000000005</v>
      </c>
      <c r="J47" s="15">
        <v>208687.95</v>
      </c>
    </row>
    <row r="48" spans="1:10" x14ac:dyDescent="0.25">
      <c r="D48" t="s">
        <v>2117</v>
      </c>
      <c r="E48" t="s">
        <v>2119</v>
      </c>
      <c r="F48">
        <v>7.5</v>
      </c>
      <c r="G48" s="36">
        <v>30</v>
      </c>
      <c r="H48" s="316">
        <v>3.75</v>
      </c>
      <c r="I48" s="316">
        <v>3</v>
      </c>
      <c r="J48" s="15">
        <v>152698.5</v>
      </c>
    </row>
    <row r="49" spans="1:10" x14ac:dyDescent="0.25">
      <c r="D49" t="s">
        <v>2315</v>
      </c>
      <c r="E49" t="s">
        <v>2317</v>
      </c>
      <c r="F49">
        <v>7.5</v>
      </c>
      <c r="G49" s="36">
        <v>0</v>
      </c>
      <c r="H49" s="316">
        <v>0</v>
      </c>
      <c r="I49" s="316">
        <v>0</v>
      </c>
      <c r="J49" s="15">
        <v>0</v>
      </c>
    </row>
    <row r="50" spans="1:10" x14ac:dyDescent="0.25">
      <c r="D50" t="s">
        <v>2316</v>
      </c>
      <c r="E50" t="s">
        <v>2318</v>
      </c>
      <c r="F50">
        <v>7.5</v>
      </c>
      <c r="G50" s="36">
        <v>0</v>
      </c>
      <c r="H50" s="316">
        <v>0</v>
      </c>
      <c r="I50" s="316">
        <v>0</v>
      </c>
      <c r="J50" s="15">
        <v>0</v>
      </c>
    </row>
    <row r="51" spans="1:10" x14ac:dyDescent="0.25">
      <c r="D51" t="s">
        <v>2361</v>
      </c>
      <c r="E51" t="s">
        <v>2366</v>
      </c>
      <c r="F51">
        <v>7.5</v>
      </c>
      <c r="G51" s="36">
        <v>30</v>
      </c>
      <c r="H51" s="316">
        <v>3.75</v>
      </c>
      <c r="I51" s="316">
        <v>3</v>
      </c>
      <c r="J51" s="15">
        <v>152698.5</v>
      </c>
    </row>
    <row r="52" spans="1:10" x14ac:dyDescent="0.25">
      <c r="A52" t="s">
        <v>2320</v>
      </c>
      <c r="G52" s="36">
        <v>141</v>
      </c>
      <c r="H52" s="316">
        <v>17.625</v>
      </c>
      <c r="I52" s="316">
        <v>14.100000000000001</v>
      </c>
      <c r="J52" s="15">
        <v>717682.95</v>
      </c>
    </row>
    <row r="53" spans="1:10" x14ac:dyDescent="0.25">
      <c r="A53" t="s">
        <v>2273</v>
      </c>
      <c r="B53" t="s">
        <v>117</v>
      </c>
      <c r="C53" t="s">
        <v>124</v>
      </c>
      <c r="D53" t="s">
        <v>1699</v>
      </c>
      <c r="E53" t="s">
        <v>1707</v>
      </c>
      <c r="F53">
        <v>30</v>
      </c>
      <c r="G53" s="36">
        <v>2</v>
      </c>
      <c r="H53" s="316">
        <v>1</v>
      </c>
      <c r="I53" s="316">
        <v>0.8</v>
      </c>
      <c r="J53" s="15">
        <v>40719.599999999999</v>
      </c>
    </row>
    <row r="54" spans="1:10" x14ac:dyDescent="0.25">
      <c r="D54" t="s">
        <v>1267</v>
      </c>
      <c r="E54" t="s">
        <v>1268</v>
      </c>
      <c r="F54">
        <v>7.5</v>
      </c>
      <c r="G54" s="36">
        <v>2</v>
      </c>
      <c r="H54" s="316">
        <v>0.25</v>
      </c>
      <c r="I54" s="316">
        <v>0.2</v>
      </c>
      <c r="J54" s="15">
        <v>10179.9</v>
      </c>
    </row>
    <row r="55" spans="1:10" x14ac:dyDescent="0.25">
      <c r="D55" t="s">
        <v>1933</v>
      </c>
      <c r="E55" t="s">
        <v>1308</v>
      </c>
      <c r="F55">
        <v>30</v>
      </c>
      <c r="G55" s="36">
        <v>8</v>
      </c>
      <c r="H55" s="316">
        <v>4</v>
      </c>
      <c r="I55" s="316">
        <v>3.2</v>
      </c>
      <c r="J55" s="15">
        <v>162878.39999999999</v>
      </c>
    </row>
    <row r="56" spans="1:10" x14ac:dyDescent="0.25">
      <c r="D56" t="s">
        <v>1935</v>
      </c>
      <c r="E56" t="s">
        <v>1351</v>
      </c>
      <c r="F56">
        <v>15</v>
      </c>
      <c r="G56" s="36">
        <v>6</v>
      </c>
      <c r="H56" s="316">
        <v>1.5</v>
      </c>
      <c r="I56" s="316">
        <v>1.2000000000000002</v>
      </c>
      <c r="J56" s="15">
        <v>61079.4</v>
      </c>
    </row>
    <row r="57" spans="1:10" x14ac:dyDescent="0.25">
      <c r="D57" t="s">
        <v>1937</v>
      </c>
      <c r="E57" t="s">
        <v>1961</v>
      </c>
      <c r="F57">
        <v>30</v>
      </c>
      <c r="G57" s="36">
        <v>2</v>
      </c>
      <c r="H57" s="316">
        <v>1</v>
      </c>
      <c r="I57" s="316">
        <v>0.8</v>
      </c>
      <c r="J57" s="15">
        <v>40719.599999999999</v>
      </c>
    </row>
    <row r="58" spans="1:10" x14ac:dyDescent="0.25">
      <c r="D58" t="s">
        <v>1941</v>
      </c>
      <c r="E58" t="s">
        <v>1966</v>
      </c>
      <c r="F58">
        <v>7.5</v>
      </c>
      <c r="G58" s="36">
        <v>10</v>
      </c>
      <c r="H58" s="316">
        <v>1.25</v>
      </c>
      <c r="I58" s="316">
        <v>1</v>
      </c>
      <c r="J58" s="15">
        <v>50899.5</v>
      </c>
    </row>
    <row r="59" spans="1:10" x14ac:dyDescent="0.25">
      <c r="D59" t="s">
        <v>1772</v>
      </c>
      <c r="E59" t="s">
        <v>1792</v>
      </c>
      <c r="F59">
        <v>15</v>
      </c>
      <c r="G59" s="36">
        <v>5</v>
      </c>
      <c r="H59" s="316">
        <v>1.25</v>
      </c>
      <c r="I59" s="316">
        <v>1</v>
      </c>
      <c r="J59" s="15">
        <v>50899.5</v>
      </c>
    </row>
    <row r="60" spans="1:10" x14ac:dyDescent="0.25">
      <c r="D60" t="s">
        <v>2063</v>
      </c>
      <c r="E60" t="s">
        <v>2066</v>
      </c>
      <c r="F60">
        <v>30</v>
      </c>
      <c r="G60" s="36">
        <v>2</v>
      </c>
      <c r="H60" s="316">
        <v>1</v>
      </c>
      <c r="I60" s="316">
        <v>0.8</v>
      </c>
      <c r="J60" s="15">
        <v>40719.599999999999</v>
      </c>
    </row>
    <row r="61" spans="1:10" x14ac:dyDescent="0.25">
      <c r="D61" t="s">
        <v>2064</v>
      </c>
      <c r="E61" t="s">
        <v>2065</v>
      </c>
      <c r="F61">
        <v>30</v>
      </c>
      <c r="G61" s="36">
        <v>1</v>
      </c>
      <c r="H61" s="316">
        <v>0.5</v>
      </c>
      <c r="I61" s="316">
        <v>0.4</v>
      </c>
      <c r="J61" s="15">
        <v>20359.8</v>
      </c>
    </row>
    <row r="62" spans="1:10" x14ac:dyDescent="0.25">
      <c r="D62" t="s">
        <v>2073</v>
      </c>
      <c r="E62" t="s">
        <v>2078</v>
      </c>
      <c r="F62">
        <v>30</v>
      </c>
      <c r="G62" s="36">
        <v>1</v>
      </c>
      <c r="H62" s="316">
        <v>0.5</v>
      </c>
      <c r="I62" s="316">
        <v>0.4</v>
      </c>
      <c r="J62" s="15">
        <v>20359.8</v>
      </c>
    </row>
    <row r="63" spans="1:10" x14ac:dyDescent="0.25">
      <c r="D63" t="s">
        <v>2122</v>
      </c>
      <c r="E63" t="s">
        <v>2294</v>
      </c>
      <c r="F63">
        <v>7.5</v>
      </c>
      <c r="G63" s="36">
        <v>15</v>
      </c>
      <c r="H63" s="316">
        <v>1.875</v>
      </c>
      <c r="I63" s="316">
        <v>1.5</v>
      </c>
      <c r="J63" s="15">
        <v>76349.25</v>
      </c>
    </row>
    <row r="64" spans="1:10" x14ac:dyDescent="0.25">
      <c r="D64" t="s">
        <v>2123</v>
      </c>
      <c r="E64" t="s">
        <v>2295</v>
      </c>
      <c r="F64">
        <v>7.5</v>
      </c>
      <c r="G64" s="36">
        <v>15</v>
      </c>
      <c r="H64" s="316">
        <v>1.875</v>
      </c>
      <c r="I64" s="316">
        <v>1.5</v>
      </c>
      <c r="J64" s="15">
        <v>76349.25</v>
      </c>
    </row>
    <row r="65" spans="2:10" x14ac:dyDescent="0.25">
      <c r="D65" t="s">
        <v>2292</v>
      </c>
      <c r="E65" t="s">
        <v>2124</v>
      </c>
      <c r="F65">
        <v>7.5</v>
      </c>
      <c r="G65" s="36">
        <v>6</v>
      </c>
      <c r="H65" s="316">
        <v>0.75</v>
      </c>
      <c r="I65" s="316">
        <v>0.60000000000000009</v>
      </c>
      <c r="J65" s="15">
        <v>30539.7</v>
      </c>
    </row>
    <row r="66" spans="2:10" x14ac:dyDescent="0.25">
      <c r="D66" t="s">
        <v>2290</v>
      </c>
      <c r="E66" t="s">
        <v>2298</v>
      </c>
      <c r="F66">
        <v>7.5</v>
      </c>
      <c r="G66" s="36">
        <v>50</v>
      </c>
      <c r="H66" s="316">
        <v>6.25</v>
      </c>
      <c r="I66" s="316">
        <v>5</v>
      </c>
      <c r="J66" s="15">
        <v>254497.5</v>
      </c>
    </row>
    <row r="67" spans="2:10" x14ac:dyDescent="0.25">
      <c r="D67" t="s">
        <v>2291</v>
      </c>
      <c r="E67" t="s">
        <v>2299</v>
      </c>
      <c r="F67">
        <v>7.5</v>
      </c>
      <c r="G67" s="36">
        <v>40</v>
      </c>
      <c r="H67" s="316">
        <v>5</v>
      </c>
      <c r="I67" s="316">
        <v>4</v>
      </c>
      <c r="J67" s="15">
        <v>203598</v>
      </c>
    </row>
    <row r="68" spans="2:10" x14ac:dyDescent="0.25">
      <c r="D68" t="s">
        <v>2405</v>
      </c>
      <c r="E68" t="s">
        <v>2486</v>
      </c>
      <c r="F68">
        <v>7.5</v>
      </c>
      <c r="G68" s="36">
        <v>20</v>
      </c>
      <c r="H68" s="316">
        <v>2.5</v>
      </c>
      <c r="I68" s="316">
        <v>2</v>
      </c>
      <c r="J68" s="15">
        <v>101799</v>
      </c>
    </row>
    <row r="69" spans="2:10" x14ac:dyDescent="0.25">
      <c r="B69" t="s">
        <v>481</v>
      </c>
      <c r="C69" t="s">
        <v>904</v>
      </c>
      <c r="D69" t="s">
        <v>1937</v>
      </c>
      <c r="E69" t="s">
        <v>1961</v>
      </c>
      <c r="F69">
        <v>30</v>
      </c>
      <c r="G69" s="36">
        <v>1</v>
      </c>
      <c r="H69" s="316">
        <v>0.5</v>
      </c>
      <c r="I69" s="316">
        <v>0.42499999999999999</v>
      </c>
      <c r="J69" s="15">
        <v>20795.849999999999</v>
      </c>
    </row>
    <row r="70" spans="2:10" x14ac:dyDescent="0.25">
      <c r="B70" t="s">
        <v>482</v>
      </c>
      <c r="C70" t="s">
        <v>1332</v>
      </c>
      <c r="D70" t="s">
        <v>1699</v>
      </c>
      <c r="E70" t="s">
        <v>1707</v>
      </c>
      <c r="F70">
        <v>30</v>
      </c>
      <c r="G70" s="36">
        <v>37</v>
      </c>
      <c r="H70" s="316">
        <v>18.5</v>
      </c>
      <c r="I70" s="316">
        <v>15.724999999999998</v>
      </c>
      <c r="J70" s="15">
        <v>769446.45</v>
      </c>
    </row>
    <row r="71" spans="2:10" x14ac:dyDescent="0.25">
      <c r="D71" t="s">
        <v>1272</v>
      </c>
      <c r="E71" t="s">
        <v>1274</v>
      </c>
      <c r="F71">
        <v>22.5</v>
      </c>
      <c r="G71" s="36">
        <v>19</v>
      </c>
      <c r="H71" s="316">
        <v>7.125</v>
      </c>
      <c r="I71" s="316">
        <v>6.0562499999999995</v>
      </c>
      <c r="J71" s="15">
        <v>374879.02499999997</v>
      </c>
    </row>
    <row r="72" spans="2:10" x14ac:dyDescent="0.25">
      <c r="D72" t="s">
        <v>1273</v>
      </c>
      <c r="E72" t="s">
        <v>1275</v>
      </c>
      <c r="F72">
        <v>22.5</v>
      </c>
      <c r="G72" s="36">
        <v>10</v>
      </c>
      <c r="H72" s="316">
        <v>3.75</v>
      </c>
      <c r="I72" s="316">
        <v>3.1875</v>
      </c>
      <c r="J72" s="15">
        <v>197304.75</v>
      </c>
    </row>
    <row r="73" spans="2:10" x14ac:dyDescent="0.25">
      <c r="D73" t="s">
        <v>1242</v>
      </c>
      <c r="E73" t="s">
        <v>1250</v>
      </c>
      <c r="F73">
        <v>7.5</v>
      </c>
      <c r="G73" s="36">
        <v>15</v>
      </c>
      <c r="H73" s="316">
        <v>1.875</v>
      </c>
      <c r="I73" s="316">
        <v>1.5937499999999998</v>
      </c>
      <c r="J73" s="15">
        <v>77984.4375</v>
      </c>
    </row>
    <row r="74" spans="2:10" x14ac:dyDescent="0.25">
      <c r="D74" t="s">
        <v>1267</v>
      </c>
      <c r="E74" t="s">
        <v>1268</v>
      </c>
      <c r="F74">
        <v>7.5</v>
      </c>
      <c r="G74" s="36">
        <v>12</v>
      </c>
      <c r="H74" s="316">
        <v>1.5</v>
      </c>
      <c r="I74" s="316">
        <v>1.2749999999999999</v>
      </c>
      <c r="J74" s="15">
        <v>62387.55</v>
      </c>
    </row>
    <row r="75" spans="2:10" x14ac:dyDescent="0.25">
      <c r="D75" t="s">
        <v>1837</v>
      </c>
      <c r="E75" t="s">
        <v>1832</v>
      </c>
      <c r="F75">
        <v>6</v>
      </c>
      <c r="G75" s="36">
        <v>11</v>
      </c>
      <c r="H75" s="316">
        <v>1.1000000000000001</v>
      </c>
      <c r="I75" s="316">
        <v>0.93499999999999994</v>
      </c>
      <c r="J75" s="15">
        <v>57876.06</v>
      </c>
    </row>
    <row r="76" spans="2:10" x14ac:dyDescent="0.25">
      <c r="D76" t="s">
        <v>1840</v>
      </c>
      <c r="E76" t="s">
        <v>1835</v>
      </c>
      <c r="F76">
        <v>6</v>
      </c>
      <c r="G76" s="36">
        <v>2</v>
      </c>
      <c r="H76" s="316">
        <v>0.2</v>
      </c>
      <c r="I76" s="316">
        <v>0.17</v>
      </c>
      <c r="J76" s="15">
        <v>10522.92</v>
      </c>
    </row>
    <row r="77" spans="2:10" x14ac:dyDescent="0.25">
      <c r="D77" t="s">
        <v>1839</v>
      </c>
      <c r="E77" t="s">
        <v>1834</v>
      </c>
      <c r="F77">
        <v>6</v>
      </c>
      <c r="G77" s="36">
        <v>9</v>
      </c>
      <c r="H77" s="316">
        <v>0.9</v>
      </c>
      <c r="I77" s="316">
        <v>0.76500000000000001</v>
      </c>
      <c r="J77" s="15">
        <v>47353.14</v>
      </c>
    </row>
    <row r="78" spans="2:10" x14ac:dyDescent="0.25">
      <c r="D78" t="s">
        <v>1841</v>
      </c>
      <c r="E78" t="s">
        <v>1836</v>
      </c>
      <c r="F78">
        <v>6</v>
      </c>
      <c r="G78" s="36">
        <v>1</v>
      </c>
      <c r="H78" s="316">
        <v>0.1</v>
      </c>
      <c r="I78" s="316">
        <v>8.5000000000000006E-2</v>
      </c>
      <c r="J78" s="15">
        <v>5261.46</v>
      </c>
    </row>
    <row r="79" spans="2:10" x14ac:dyDescent="0.25">
      <c r="D79" t="s">
        <v>1937</v>
      </c>
      <c r="E79" t="s">
        <v>1961</v>
      </c>
      <c r="F79">
        <v>30</v>
      </c>
      <c r="G79" s="36">
        <v>6</v>
      </c>
      <c r="H79" s="316">
        <v>3</v>
      </c>
      <c r="I79" s="316">
        <v>2.5499999999999998</v>
      </c>
      <c r="J79" s="15">
        <v>124775.1</v>
      </c>
    </row>
    <row r="80" spans="2:10" x14ac:dyDescent="0.25">
      <c r="D80" t="s">
        <v>2063</v>
      </c>
      <c r="E80" t="s">
        <v>2066</v>
      </c>
      <c r="F80">
        <v>30</v>
      </c>
      <c r="G80" s="36">
        <v>4</v>
      </c>
      <c r="H80" s="316">
        <v>2</v>
      </c>
      <c r="I80" s="316">
        <v>1.7</v>
      </c>
      <c r="J80" s="15">
        <v>83183.399999999994</v>
      </c>
    </row>
    <row r="81" spans="2:10" x14ac:dyDescent="0.25">
      <c r="D81" t="s">
        <v>2064</v>
      </c>
      <c r="E81" t="s">
        <v>2065</v>
      </c>
      <c r="F81">
        <v>30</v>
      </c>
      <c r="G81" s="36">
        <v>2</v>
      </c>
      <c r="H81" s="316">
        <v>1</v>
      </c>
      <c r="I81" s="316">
        <v>0.85</v>
      </c>
      <c r="J81" s="15">
        <v>41591.699999999997</v>
      </c>
    </row>
    <row r="82" spans="2:10" x14ac:dyDescent="0.25">
      <c r="D82" t="s">
        <v>2073</v>
      </c>
      <c r="E82" t="s">
        <v>2078</v>
      </c>
      <c r="F82">
        <v>30</v>
      </c>
      <c r="G82" s="36">
        <v>3</v>
      </c>
      <c r="H82" s="316">
        <v>1.5</v>
      </c>
      <c r="I82" s="316">
        <v>1.2749999999999999</v>
      </c>
      <c r="J82" s="15">
        <v>62387.549999999996</v>
      </c>
    </row>
    <row r="83" spans="2:10" x14ac:dyDescent="0.25">
      <c r="D83" t="s">
        <v>2175</v>
      </c>
      <c r="E83" t="s">
        <v>2179</v>
      </c>
      <c r="F83">
        <v>30</v>
      </c>
      <c r="G83" s="36">
        <v>31</v>
      </c>
      <c r="H83" s="316">
        <v>15.5</v>
      </c>
      <c r="I83" s="316">
        <v>13.174999999999999</v>
      </c>
      <c r="J83" s="15">
        <v>644671.34999999986</v>
      </c>
    </row>
    <row r="84" spans="2:10" x14ac:dyDescent="0.25">
      <c r="D84" t="s">
        <v>2200</v>
      </c>
      <c r="E84" t="s">
        <v>2080</v>
      </c>
      <c r="F84">
        <v>22.5</v>
      </c>
      <c r="G84" s="36">
        <v>1</v>
      </c>
      <c r="H84" s="316">
        <v>0.375</v>
      </c>
      <c r="I84" s="316">
        <v>0.31874999999999998</v>
      </c>
      <c r="J84" s="15">
        <v>19730.474999999999</v>
      </c>
    </row>
    <row r="85" spans="2:10" x14ac:dyDescent="0.25">
      <c r="B85" t="s">
        <v>483</v>
      </c>
      <c r="C85" t="s">
        <v>901</v>
      </c>
      <c r="D85" t="s">
        <v>2134</v>
      </c>
      <c r="E85" t="s">
        <v>2142</v>
      </c>
      <c r="F85">
        <v>15</v>
      </c>
      <c r="G85" s="36">
        <v>39</v>
      </c>
      <c r="H85" s="316">
        <v>9.75</v>
      </c>
      <c r="I85" s="316">
        <v>8.2874999999999996</v>
      </c>
      <c r="J85" s="15">
        <v>405519.07500000001</v>
      </c>
    </row>
    <row r="86" spans="2:10" x14ac:dyDescent="0.25">
      <c r="B86" t="s">
        <v>485</v>
      </c>
      <c r="C86" t="s">
        <v>902</v>
      </c>
      <c r="D86" t="s">
        <v>517</v>
      </c>
      <c r="E86" t="s">
        <v>558</v>
      </c>
      <c r="F86">
        <v>7.5</v>
      </c>
      <c r="G86" s="36">
        <v>46</v>
      </c>
      <c r="H86" s="316">
        <v>5.75</v>
      </c>
      <c r="I86" s="316">
        <v>4.8875000000000002</v>
      </c>
      <c r="J86" s="15">
        <v>239152.27499999999</v>
      </c>
    </row>
    <row r="87" spans="2:10" x14ac:dyDescent="0.25">
      <c r="D87" t="s">
        <v>601</v>
      </c>
      <c r="E87" t="s">
        <v>619</v>
      </c>
      <c r="F87">
        <v>7.5</v>
      </c>
      <c r="G87" s="36">
        <v>38</v>
      </c>
      <c r="H87" s="316">
        <v>4.75</v>
      </c>
      <c r="I87" s="316">
        <v>4.0375000000000005</v>
      </c>
      <c r="J87" s="15">
        <v>197560.57500000001</v>
      </c>
    </row>
    <row r="88" spans="2:10" x14ac:dyDescent="0.25">
      <c r="D88" t="s">
        <v>1891</v>
      </c>
      <c r="E88" t="s">
        <v>1153</v>
      </c>
      <c r="F88">
        <v>15</v>
      </c>
      <c r="G88" s="36">
        <v>34</v>
      </c>
      <c r="H88" s="316">
        <v>8.5</v>
      </c>
      <c r="I88" s="316">
        <v>7.2249999999999996</v>
      </c>
      <c r="J88" s="15">
        <v>353529.45</v>
      </c>
    </row>
    <row r="89" spans="2:10" x14ac:dyDescent="0.25">
      <c r="D89" t="s">
        <v>1924</v>
      </c>
      <c r="E89" t="s">
        <v>541</v>
      </c>
      <c r="F89">
        <v>7.5</v>
      </c>
      <c r="G89" s="36">
        <v>46</v>
      </c>
      <c r="H89" s="316">
        <v>5.75</v>
      </c>
      <c r="I89" s="316">
        <v>4.8875000000000002</v>
      </c>
      <c r="J89" s="15">
        <v>239152.27500000002</v>
      </c>
    </row>
    <row r="90" spans="2:10" x14ac:dyDescent="0.25">
      <c r="B90" t="s">
        <v>523</v>
      </c>
      <c r="C90" t="s">
        <v>903</v>
      </c>
      <c r="D90" t="s">
        <v>519</v>
      </c>
      <c r="E90" t="s">
        <v>560</v>
      </c>
      <c r="F90">
        <v>7.5</v>
      </c>
      <c r="G90" s="36">
        <v>41</v>
      </c>
      <c r="H90" s="316">
        <v>5.125</v>
      </c>
      <c r="I90" s="316">
        <v>4.3562500000000002</v>
      </c>
      <c r="J90" s="15">
        <v>213157.46250000002</v>
      </c>
    </row>
    <row r="91" spans="2:10" x14ac:dyDescent="0.25">
      <c r="D91" t="s">
        <v>602</v>
      </c>
      <c r="E91" t="s">
        <v>620</v>
      </c>
      <c r="F91">
        <v>7.5</v>
      </c>
      <c r="G91" s="36">
        <v>22</v>
      </c>
      <c r="H91" s="316">
        <v>2.75</v>
      </c>
      <c r="I91" s="316">
        <v>2.3374999999999999</v>
      </c>
      <c r="J91" s="15">
        <v>114377.17499999999</v>
      </c>
    </row>
    <row r="92" spans="2:10" x14ac:dyDescent="0.25">
      <c r="D92" t="s">
        <v>1925</v>
      </c>
      <c r="E92" t="s">
        <v>543</v>
      </c>
      <c r="F92">
        <v>7.5</v>
      </c>
      <c r="G92" s="36">
        <v>42</v>
      </c>
      <c r="H92" s="316">
        <v>5.25</v>
      </c>
      <c r="I92" s="316">
        <v>4.4624999999999995</v>
      </c>
      <c r="J92" s="15">
        <v>218356.42499999999</v>
      </c>
    </row>
    <row r="93" spans="2:10" x14ac:dyDescent="0.25">
      <c r="D93" t="s">
        <v>1926</v>
      </c>
      <c r="E93" t="s">
        <v>605</v>
      </c>
      <c r="F93">
        <v>15</v>
      </c>
      <c r="G93" s="36">
        <v>22</v>
      </c>
      <c r="H93" s="316">
        <v>5.5</v>
      </c>
      <c r="I93" s="316">
        <v>4.6749999999999998</v>
      </c>
      <c r="J93" s="15">
        <v>228754.34999999998</v>
      </c>
    </row>
    <row r="94" spans="2:10" x14ac:dyDescent="0.25">
      <c r="B94" t="s">
        <v>120</v>
      </c>
      <c r="C94" t="s">
        <v>909</v>
      </c>
      <c r="D94" t="s">
        <v>2012</v>
      </c>
      <c r="E94" t="s">
        <v>1441</v>
      </c>
      <c r="F94">
        <v>15</v>
      </c>
      <c r="G94" s="36">
        <v>1</v>
      </c>
      <c r="H94" s="316">
        <v>0.25</v>
      </c>
      <c r="I94" s="316">
        <v>0.21249999999999999</v>
      </c>
      <c r="J94" s="15">
        <v>10397.924999999999</v>
      </c>
    </row>
    <row r="95" spans="2:10" x14ac:dyDescent="0.25">
      <c r="B95" t="s">
        <v>115</v>
      </c>
      <c r="C95" t="s">
        <v>910</v>
      </c>
      <c r="D95" t="s">
        <v>2012</v>
      </c>
      <c r="E95" t="s">
        <v>1441</v>
      </c>
      <c r="F95">
        <v>15</v>
      </c>
      <c r="G95" s="36">
        <v>14</v>
      </c>
      <c r="H95" s="316">
        <v>3.5</v>
      </c>
      <c r="I95" s="316">
        <v>2.9750000000000001</v>
      </c>
      <c r="J95" s="15">
        <v>145570.95000000001</v>
      </c>
    </row>
    <row r="96" spans="2:10" x14ac:dyDescent="0.25">
      <c r="D96" t="s">
        <v>2013</v>
      </c>
      <c r="E96" t="s">
        <v>2014</v>
      </c>
      <c r="F96">
        <v>7.5</v>
      </c>
      <c r="G96" s="36">
        <v>9</v>
      </c>
      <c r="H96" s="316">
        <v>1.125</v>
      </c>
      <c r="I96" s="316">
        <v>0.95624999999999993</v>
      </c>
      <c r="J96" s="15">
        <v>46790.662499999999</v>
      </c>
    </row>
    <row r="97" spans="1:10" x14ac:dyDescent="0.25">
      <c r="B97" t="s">
        <v>2155</v>
      </c>
      <c r="C97" t="s">
        <v>2154</v>
      </c>
      <c r="D97" t="s">
        <v>1837</v>
      </c>
      <c r="E97" t="s">
        <v>1832</v>
      </c>
      <c r="F97">
        <v>6</v>
      </c>
      <c r="G97" s="36">
        <v>1</v>
      </c>
      <c r="H97" s="316">
        <v>0.1</v>
      </c>
      <c r="I97" s="316">
        <v>8.5000000000000006E-2</v>
      </c>
      <c r="J97" s="15">
        <v>5261.46</v>
      </c>
    </row>
    <row r="98" spans="1:10" x14ac:dyDescent="0.25">
      <c r="D98" t="s">
        <v>2420</v>
      </c>
      <c r="E98" t="s">
        <v>2427</v>
      </c>
      <c r="F98">
        <v>15</v>
      </c>
      <c r="G98" s="36">
        <v>3</v>
      </c>
      <c r="H98" s="316">
        <v>0.75</v>
      </c>
      <c r="I98" s="316">
        <v>0.63749999999999996</v>
      </c>
      <c r="J98" s="15">
        <v>45749.4375</v>
      </c>
    </row>
    <row r="99" spans="1:10" x14ac:dyDescent="0.25">
      <c r="D99" t="s">
        <v>2421</v>
      </c>
      <c r="E99" t="s">
        <v>2413</v>
      </c>
      <c r="F99">
        <v>15</v>
      </c>
      <c r="G99" s="36">
        <v>3</v>
      </c>
      <c r="H99" s="316">
        <v>0.75</v>
      </c>
      <c r="I99" s="316">
        <v>0.63749999999999996</v>
      </c>
      <c r="J99" s="15">
        <v>45749.4375</v>
      </c>
    </row>
    <row r="100" spans="1:10" x14ac:dyDescent="0.25">
      <c r="A100" t="s">
        <v>2313</v>
      </c>
      <c r="G100" s="36">
        <v>710</v>
      </c>
      <c r="H100" s="316">
        <v>149.02500000000001</v>
      </c>
      <c r="I100" s="316">
        <v>125.14624999999999</v>
      </c>
      <c r="J100" s="15">
        <v>6351177.9524999997</v>
      </c>
    </row>
    <row r="101" spans="1:10" x14ac:dyDescent="0.25">
      <c r="A101" t="s">
        <v>768</v>
      </c>
      <c r="G101" s="36">
        <v>1446</v>
      </c>
      <c r="H101" s="316">
        <v>342.35000000000008</v>
      </c>
      <c r="I101" s="316">
        <v>287.3912499999999</v>
      </c>
      <c r="J101" s="15">
        <v>14542430.347500004</v>
      </c>
    </row>
  </sheetData>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tabColor rgb="FFFC8EEF"/>
    <pageSetUpPr fitToPage="1"/>
  </sheetPr>
  <dimension ref="A1:BQ1648"/>
  <sheetViews>
    <sheetView zoomScaleNormal="100" zoomScalePageLayoutView="110" workbookViewId="0">
      <pane ySplit="1" topLeftCell="A2" activePane="bottomLeft" state="frozen"/>
      <selection pane="bottomLeft"/>
    </sheetView>
  </sheetViews>
  <sheetFormatPr defaultColWidth="8.85546875" defaultRowHeight="15" x14ac:dyDescent="0.25"/>
  <cols>
    <col min="1" max="1" width="13.5703125" style="31" customWidth="1"/>
    <col min="2" max="2" width="69" style="57" customWidth="1"/>
    <col min="3" max="3" width="7.5703125" style="31" customWidth="1"/>
    <col min="4" max="4" width="11.5703125" style="31" customWidth="1"/>
    <col min="5" max="5" width="9.140625" style="31" customWidth="1"/>
    <col min="6" max="6" width="9.42578125" style="31" customWidth="1"/>
    <col min="7" max="7" width="25.140625" style="31" customWidth="1"/>
    <col min="8" max="8" width="7.42578125" style="31" customWidth="1"/>
    <col min="9" max="9" width="9" style="31" customWidth="1"/>
    <col min="10" max="10" width="11" style="31" customWidth="1"/>
    <col min="11" max="11" width="9.140625" style="31" customWidth="1"/>
    <col min="12" max="12" width="8.42578125" style="31" customWidth="1"/>
    <col min="13" max="13" width="5.85546875" style="31" customWidth="1"/>
    <col min="14" max="15" width="8.42578125" style="31" customWidth="1"/>
    <col min="16" max="16" width="6.42578125" style="31" customWidth="1"/>
    <col min="17" max="17" width="8.42578125" style="39" customWidth="1"/>
    <col min="18" max="18" width="8" style="31" customWidth="1"/>
    <col min="19" max="19" width="8.5703125" style="43" customWidth="1"/>
    <col min="20" max="20" width="12.42578125" style="31" customWidth="1"/>
    <col min="21" max="21" width="24" style="31" customWidth="1"/>
    <col min="22" max="22" width="11.42578125" style="31" customWidth="1"/>
    <col min="23" max="23" width="45.5703125" style="31" customWidth="1"/>
    <col min="24" max="27" width="11.42578125" style="40" customWidth="1"/>
    <col min="28" max="28" width="12" style="40" customWidth="1"/>
    <col min="29" max="29" width="11.42578125" style="40" customWidth="1"/>
    <col min="30" max="41" width="11.42578125" style="31" customWidth="1"/>
    <col min="42" max="42" width="28.85546875" style="31" customWidth="1"/>
    <col min="43" max="43" width="32.140625" style="31" customWidth="1"/>
    <col min="44" max="44" width="10" style="31" customWidth="1"/>
    <col min="45" max="45" width="8.85546875" style="31" customWidth="1"/>
    <col min="46" max="46" width="7.5703125" style="31" customWidth="1"/>
    <col min="47" max="47" width="8" style="31" customWidth="1"/>
    <col min="48" max="48" width="7.140625" style="31" customWidth="1"/>
    <col min="49" max="50" width="7.5703125" style="31" customWidth="1"/>
    <col min="51" max="51" width="7.85546875" style="31" customWidth="1"/>
    <col min="52" max="52" width="10.85546875" style="31" customWidth="1"/>
    <col min="53" max="53" width="10.42578125" style="31" customWidth="1"/>
    <col min="54" max="54" width="7.85546875" style="31" customWidth="1"/>
    <col min="55" max="55" width="8.42578125" style="31" customWidth="1"/>
    <col min="56" max="56" width="7.5703125" style="31" customWidth="1"/>
    <col min="57" max="57" width="7.42578125" style="31" customWidth="1"/>
    <col min="58" max="58" width="7" style="31" customWidth="1"/>
    <col min="59" max="60" width="7.5703125" style="31" customWidth="1"/>
    <col min="61" max="63" width="8.85546875" style="31"/>
    <col min="64" max="64" width="8" style="31" customWidth="1"/>
    <col min="65" max="65" width="8.140625" style="31" customWidth="1"/>
    <col min="66" max="66" width="7.85546875" style="31" customWidth="1"/>
    <col min="67" max="67" width="8.140625" style="31" customWidth="1"/>
    <col min="68" max="16384" width="8.85546875" style="31"/>
  </cols>
  <sheetData>
    <row r="1" spans="1:67" s="94" customFormat="1" ht="54.75" customHeight="1" x14ac:dyDescent="0.25">
      <c r="A1" s="92" t="s">
        <v>59</v>
      </c>
      <c r="B1" s="326" t="s">
        <v>110</v>
      </c>
      <c r="C1" s="93" t="s">
        <v>437</v>
      </c>
      <c r="D1" s="159" t="s">
        <v>105</v>
      </c>
      <c r="E1" s="159" t="s">
        <v>1554</v>
      </c>
      <c r="F1" s="159" t="s">
        <v>106</v>
      </c>
      <c r="G1" s="160" t="s">
        <v>398</v>
      </c>
      <c r="H1" s="161" t="s">
        <v>107</v>
      </c>
      <c r="I1" s="159" t="s">
        <v>108</v>
      </c>
      <c r="J1" s="159" t="s">
        <v>438</v>
      </c>
      <c r="K1" s="159" t="s">
        <v>439</v>
      </c>
      <c r="L1" s="162" t="s">
        <v>109</v>
      </c>
      <c r="M1" s="160" t="s">
        <v>111</v>
      </c>
      <c r="N1" s="282" t="s">
        <v>1585</v>
      </c>
      <c r="O1" s="282" t="s">
        <v>1586</v>
      </c>
      <c r="P1" s="163" t="s">
        <v>112</v>
      </c>
      <c r="Q1" s="164" t="s">
        <v>61</v>
      </c>
      <c r="R1" s="165" t="s">
        <v>113</v>
      </c>
      <c r="S1" s="166" t="s">
        <v>62</v>
      </c>
      <c r="T1" s="167" t="s">
        <v>60</v>
      </c>
      <c r="U1" s="167" t="s">
        <v>2</v>
      </c>
      <c r="V1" s="167" t="s">
        <v>71</v>
      </c>
      <c r="W1" s="159" t="s">
        <v>361</v>
      </c>
      <c r="X1" s="168" t="s">
        <v>69</v>
      </c>
      <c r="Y1" s="168" t="s">
        <v>70</v>
      </c>
      <c r="Z1" s="168" t="s">
        <v>77</v>
      </c>
      <c r="AA1" s="168" t="s">
        <v>337</v>
      </c>
      <c r="AB1" s="168" t="s">
        <v>149</v>
      </c>
      <c r="AC1" s="168" t="s">
        <v>444</v>
      </c>
      <c r="AD1" s="169" t="s">
        <v>130</v>
      </c>
      <c r="AE1" s="169" t="s">
        <v>131</v>
      </c>
      <c r="AF1" s="169" t="s">
        <v>132</v>
      </c>
      <c r="AG1" s="169" t="s">
        <v>133</v>
      </c>
      <c r="AH1" s="169" t="s">
        <v>134</v>
      </c>
      <c r="AI1" s="169" t="s">
        <v>135</v>
      </c>
      <c r="AJ1" s="169" t="s">
        <v>136</v>
      </c>
      <c r="AK1" s="169" t="s">
        <v>126</v>
      </c>
      <c r="AL1" s="169" t="s">
        <v>770</v>
      </c>
      <c r="AM1" s="169" t="s">
        <v>342</v>
      </c>
      <c r="AN1" s="169" t="s">
        <v>137</v>
      </c>
      <c r="AO1" s="169" t="s">
        <v>322</v>
      </c>
      <c r="AP1" s="170" t="s">
        <v>440</v>
      </c>
      <c r="AQ1" s="94" t="s">
        <v>433</v>
      </c>
      <c r="AR1" s="169" t="s">
        <v>777</v>
      </c>
      <c r="AS1" s="169" t="s">
        <v>778</v>
      </c>
      <c r="AT1" s="169" t="s">
        <v>780</v>
      </c>
      <c r="AU1" s="169" t="s">
        <v>779</v>
      </c>
      <c r="AV1" s="169" t="s">
        <v>782</v>
      </c>
      <c r="AW1" s="169" t="s">
        <v>781</v>
      </c>
      <c r="AX1" s="169" t="s">
        <v>784</v>
      </c>
      <c r="AY1" s="169" t="s">
        <v>783</v>
      </c>
      <c r="AZ1" s="169" t="s">
        <v>786</v>
      </c>
      <c r="BA1" s="169" t="s">
        <v>785</v>
      </c>
      <c r="BB1" s="169" t="s">
        <v>787</v>
      </c>
      <c r="BC1" s="169" t="s">
        <v>788</v>
      </c>
      <c r="BD1" s="169" t="s">
        <v>789</v>
      </c>
      <c r="BE1" s="169" t="s">
        <v>790</v>
      </c>
      <c r="BF1" s="169" t="s">
        <v>791</v>
      </c>
      <c r="BG1" s="169" t="s">
        <v>792</v>
      </c>
      <c r="BH1" s="169" t="s">
        <v>793</v>
      </c>
      <c r="BI1" s="169" t="s">
        <v>794</v>
      </c>
      <c r="BJ1" s="169" t="s">
        <v>795</v>
      </c>
      <c r="BK1" s="169" t="s">
        <v>2367</v>
      </c>
      <c r="BL1" s="169" t="s">
        <v>796</v>
      </c>
      <c r="BM1" s="169" t="s">
        <v>797</v>
      </c>
      <c r="BN1" s="169" t="s">
        <v>798</v>
      </c>
      <c r="BO1" s="169" t="s">
        <v>799</v>
      </c>
    </row>
    <row r="2" spans="1:67" x14ac:dyDescent="0.25">
      <c r="A2" s="31" t="s">
        <v>2379</v>
      </c>
      <c r="B2" s="176" t="str">
        <f>VLOOKUP(A2,kurspris!$A$1:$B$992,2,FALSE)</f>
        <v>Franska, Kvalifikationskurs</v>
      </c>
      <c r="C2" s="31">
        <v>14200</v>
      </c>
      <c r="D2" s="60" t="s">
        <v>482</v>
      </c>
      <c r="E2" s="60"/>
      <c r="F2" s="57" t="s">
        <v>2274</v>
      </c>
      <c r="H2" s="31" t="s">
        <v>2335</v>
      </c>
      <c r="I2" s="31" t="s">
        <v>2399</v>
      </c>
      <c r="J2" s="31" t="s">
        <v>2233</v>
      </c>
      <c r="L2" s="38"/>
      <c r="M2">
        <v>7.5</v>
      </c>
      <c r="P2" s="31">
        <v>1</v>
      </c>
      <c r="Q2" s="539">
        <v>0.125</v>
      </c>
      <c r="R2" s="38">
        <v>0.85</v>
      </c>
      <c r="S2" s="280">
        <f t="shared" ref="S2:S65" si="0">Q2*R2</f>
        <v>0.10625</v>
      </c>
      <c r="T2" s="31">
        <f>VLOOKUP(A2,'Ansvar kurs'!$A$1:$C$1123,2,FALSE)</f>
        <v>1620</v>
      </c>
      <c r="U2" s="31" t="str">
        <f>VLOOKUP(T2,Orgenheter!$A$1:$C$166,2,FALSE)</f>
        <v>Inst för språkstudier</v>
      </c>
      <c r="V2" s="31" t="str">
        <f>VLOOKUP(T2,Orgenheter!$A$1:$C$166,3,FALSE)</f>
        <v>Hum</v>
      </c>
      <c r="W2" s="35" t="str">
        <f>VLOOKUP(D2,Program!$A$1:$B$36,2,FALSE)</f>
        <v>Ämneslärarprogrammet - Gy</v>
      </c>
      <c r="X2" s="40">
        <f>VLOOKUP(A2,kurspris!$A$1:$Q$913,15,FALSE)</f>
        <v>20766</v>
      </c>
      <c r="Y2" s="40">
        <f>VLOOKUP(A2,kurspris!$A$1:$Q$913,16,FALSE)</f>
        <v>17442</v>
      </c>
      <c r="Z2" s="40">
        <f t="shared" ref="Z2:Z65" si="1">X2*Q2+S2*Y2</f>
        <v>4448.9624999999996</v>
      </c>
      <c r="AA2" s="40">
        <f>VLOOKUP(A2,kurspris!$A$1:$Q$913,17,FALSE)</f>
        <v>6000</v>
      </c>
      <c r="AB2" s="40">
        <f t="shared" ref="AB2:AB65" si="2">AA2*Q2</f>
        <v>750</v>
      </c>
      <c r="AC2" s="40">
        <f t="shared" ref="AC2:AC65" si="3">Z2+AB2</f>
        <v>5198.9624999999996</v>
      </c>
      <c r="AD2" s="31">
        <f>VLOOKUP($A2,kurspris!$A$1:$Q$950,3,FALSE)</f>
        <v>0</v>
      </c>
      <c r="AE2" s="31">
        <f>VLOOKUP($A2,kurspris!$A$1:$Q$950,4,FALSE)</f>
        <v>1</v>
      </c>
      <c r="AF2" s="31">
        <f>VLOOKUP($A2,kurspris!$A$1:$Q$950,5,FALSE)</f>
        <v>0</v>
      </c>
      <c r="AG2" s="31">
        <f>VLOOKUP($A2,kurspris!$A$1:$Q$950,6,FALSE)</f>
        <v>0</v>
      </c>
      <c r="AH2" s="31">
        <f>VLOOKUP($A2,kurspris!$A$1:$Q$950,7,FALSE)</f>
        <v>0</v>
      </c>
      <c r="AI2" s="31">
        <f>VLOOKUP($A2,kurspris!$A$1:$Q$950,8,FALSE)</f>
        <v>0</v>
      </c>
      <c r="AJ2" s="31">
        <f>VLOOKUP($A2,kurspris!$A$1:$Q$950,9,FALSE)</f>
        <v>0</v>
      </c>
      <c r="AK2" s="31">
        <f>VLOOKUP($A2,kurspris!$A$1:$Q$950,10,FALSE)</f>
        <v>0</v>
      </c>
      <c r="AL2" s="31">
        <f>VLOOKUP($A2,kurspris!$A$1:$Q$950,11,FALSE)</f>
        <v>0</v>
      </c>
      <c r="AM2" s="31">
        <f>VLOOKUP($A2,kurspris!$A$1:$Q$950,12,FALSE)</f>
        <v>0</v>
      </c>
      <c r="AN2" s="31">
        <f>VLOOKUP($A2,kurspris!$A$1:$Q$950,13,FALSE)</f>
        <v>0</v>
      </c>
      <c r="AO2" s="31">
        <f>VLOOKUP($A2,kurspris!$A$1:$Q$950,14,FALSE)</f>
        <v>0</v>
      </c>
      <c r="AP2" s="57" t="s">
        <v>2402</v>
      </c>
      <c r="AQ2"/>
      <c r="AR2" s="31">
        <f t="shared" ref="AR2:AR65" si="4">$Q2*AD2</f>
        <v>0</v>
      </c>
      <c r="AS2" s="219">
        <f t="shared" ref="AS2:AS65" si="5">$S2*AD2</f>
        <v>0</v>
      </c>
      <c r="AT2" s="31">
        <f t="shared" ref="AT2:AT65" si="6">$Q2*AE2</f>
        <v>0.125</v>
      </c>
      <c r="AU2" s="219">
        <f t="shared" ref="AU2:AU65" si="7">$S2*AE2</f>
        <v>0.10625</v>
      </c>
      <c r="AV2" s="31">
        <f t="shared" ref="AV2:AV65" si="8">$Q2*AF2</f>
        <v>0</v>
      </c>
      <c r="AW2" s="31">
        <f t="shared" ref="AW2:AW65" si="9">$S2*AF2</f>
        <v>0</v>
      </c>
      <c r="AX2" s="31">
        <f t="shared" ref="AX2:AX65" si="10">$Q2*AG2</f>
        <v>0</v>
      </c>
      <c r="AY2" s="219">
        <f t="shared" ref="AY2:AY65" si="11">$S2*AG2</f>
        <v>0</v>
      </c>
      <c r="AZ2" s="196">
        <f t="shared" ref="AZ2:AZ65" si="12">$Q2*AH2</f>
        <v>0</v>
      </c>
      <c r="BA2" s="219">
        <f t="shared" ref="BA2:BA65" si="13">$S2*AH2</f>
        <v>0</v>
      </c>
      <c r="BB2" s="31">
        <f t="shared" ref="BB2:BB65" si="14">$Q2*AI2</f>
        <v>0</v>
      </c>
      <c r="BC2" s="219">
        <f t="shared" ref="BC2:BC65" si="15">$S2*AI2</f>
        <v>0</v>
      </c>
      <c r="BD2" s="31">
        <f t="shared" ref="BD2:BD65" si="16">$Q2*AJ2</f>
        <v>0</v>
      </c>
      <c r="BE2" s="219">
        <f t="shared" ref="BE2:BE65" si="17">$S2*AJ2</f>
        <v>0</v>
      </c>
      <c r="BF2" s="31">
        <f t="shared" ref="BF2:BF65" si="18">$Q2*AK2</f>
        <v>0</v>
      </c>
      <c r="BG2" s="219">
        <f t="shared" ref="BG2:BG65" si="19">$S2*AK2</f>
        <v>0</v>
      </c>
      <c r="BH2" s="31">
        <f t="shared" ref="BH2:BH65" si="20">$Q2*AL2</f>
        <v>0</v>
      </c>
      <c r="BI2" s="219">
        <f t="shared" ref="BI2:BI65" si="21">$S2*AL2</f>
        <v>0</v>
      </c>
      <c r="BJ2" s="31">
        <f t="shared" ref="BJ2:BJ65" si="22">$Q2*AM2</f>
        <v>0</v>
      </c>
      <c r="BK2" s="219">
        <f t="shared" ref="BK2:BK65" si="23">$S2*AM2</f>
        <v>0</v>
      </c>
      <c r="BL2" s="31">
        <f t="shared" ref="BL2:BL65" si="24">$Q2*AN2</f>
        <v>0</v>
      </c>
      <c r="BM2" s="219">
        <f t="shared" ref="BM2:BM65" si="25">$S2*AN2</f>
        <v>0</v>
      </c>
      <c r="BN2" s="31">
        <f t="shared" ref="BN2:BN65" si="26">$Q2*AO2</f>
        <v>0</v>
      </c>
      <c r="BO2" s="219">
        <f t="shared" ref="BO2:BO65" si="27">$S2*AO2</f>
        <v>0</v>
      </c>
    </row>
    <row r="3" spans="1:67" x14ac:dyDescent="0.25">
      <c r="A3" s="31" t="s">
        <v>2380</v>
      </c>
      <c r="B3" s="176" t="str">
        <f>VLOOKUP(A3,kurspris!$A$1:$B$992,2,FALSE)</f>
        <v>Franska, Påfartskurs</v>
      </c>
      <c r="C3" s="31">
        <v>14209</v>
      </c>
      <c r="D3" s="60" t="s">
        <v>482</v>
      </c>
      <c r="E3" s="60"/>
      <c r="F3" s="57" t="s">
        <v>2274</v>
      </c>
      <c r="H3" s="31" t="s">
        <v>2335</v>
      </c>
      <c r="I3" s="31" t="s">
        <v>2399</v>
      </c>
      <c r="J3" s="31" t="s">
        <v>2233</v>
      </c>
      <c r="L3" s="38"/>
      <c r="M3">
        <v>7.5</v>
      </c>
      <c r="P3" s="31">
        <v>1</v>
      </c>
      <c r="Q3" s="539">
        <v>0.125</v>
      </c>
      <c r="R3" s="38">
        <v>0.85</v>
      </c>
      <c r="S3" s="280">
        <f t="shared" si="0"/>
        <v>0.10625</v>
      </c>
      <c r="T3" s="31">
        <f>VLOOKUP(A3,'Ansvar kurs'!$A$1:$C$1123,2,FALSE)</f>
        <v>1620</v>
      </c>
      <c r="U3" s="31" t="str">
        <f>VLOOKUP(T3,Orgenheter!$A$1:$C$166,2,FALSE)</f>
        <v>Inst för språkstudier</v>
      </c>
      <c r="V3" s="31" t="str">
        <f>VLOOKUP(T3,Orgenheter!$A$1:$C$166,3,FALSE)</f>
        <v>Hum</v>
      </c>
      <c r="W3" s="35" t="str">
        <f>VLOOKUP(D3,Program!$A$1:$B$36,2,FALSE)</f>
        <v>Ämneslärarprogrammet - Gy</v>
      </c>
      <c r="X3" s="40">
        <f>VLOOKUP(A3,kurspris!$A$1:$Q$913,15,FALSE)</f>
        <v>20766</v>
      </c>
      <c r="Y3" s="40">
        <f>VLOOKUP(A3,kurspris!$A$1:$Q$913,16,FALSE)</f>
        <v>17442</v>
      </c>
      <c r="Z3" s="40">
        <f t="shared" si="1"/>
        <v>4448.9624999999996</v>
      </c>
      <c r="AA3" s="40">
        <f>VLOOKUP(A3,kurspris!$A$1:$Q$913,17,FALSE)</f>
        <v>6000</v>
      </c>
      <c r="AB3" s="40">
        <f t="shared" si="2"/>
        <v>750</v>
      </c>
      <c r="AC3" s="40">
        <f t="shared" si="3"/>
        <v>5198.9624999999996</v>
      </c>
      <c r="AD3" s="31">
        <f>VLOOKUP($A3,kurspris!$A$1:$Q$950,3,FALSE)</f>
        <v>0</v>
      </c>
      <c r="AE3" s="31">
        <f>VLOOKUP($A3,kurspris!$A$1:$Q$950,4,FALSE)</f>
        <v>1</v>
      </c>
      <c r="AF3" s="31">
        <f>VLOOKUP($A3,kurspris!$A$1:$Q$950,5,FALSE)</f>
        <v>0</v>
      </c>
      <c r="AG3" s="31">
        <f>VLOOKUP($A3,kurspris!$A$1:$Q$950,6,FALSE)</f>
        <v>0</v>
      </c>
      <c r="AH3" s="31">
        <f>VLOOKUP($A3,kurspris!$A$1:$Q$950,7,FALSE)</f>
        <v>0</v>
      </c>
      <c r="AI3" s="31">
        <f>VLOOKUP($A3,kurspris!$A$1:$Q$950,8,FALSE)</f>
        <v>0</v>
      </c>
      <c r="AJ3" s="31">
        <f>VLOOKUP($A3,kurspris!$A$1:$Q$950,9,FALSE)</f>
        <v>0</v>
      </c>
      <c r="AK3" s="31">
        <f>VLOOKUP($A3,kurspris!$A$1:$Q$950,10,FALSE)</f>
        <v>0</v>
      </c>
      <c r="AL3" s="31">
        <f>VLOOKUP($A3,kurspris!$A$1:$Q$950,11,FALSE)</f>
        <v>0</v>
      </c>
      <c r="AM3" s="31">
        <f>VLOOKUP($A3,kurspris!$A$1:$Q$950,12,FALSE)</f>
        <v>0</v>
      </c>
      <c r="AN3" s="31">
        <f>VLOOKUP($A3,kurspris!$A$1:$Q$950,13,FALSE)</f>
        <v>0</v>
      </c>
      <c r="AO3" s="31">
        <f>VLOOKUP($A3,kurspris!$A$1:$Q$950,14,FALSE)</f>
        <v>0</v>
      </c>
      <c r="AP3" s="57" t="s">
        <v>2402</v>
      </c>
      <c r="AQ3"/>
      <c r="AR3" s="31">
        <f t="shared" si="4"/>
        <v>0</v>
      </c>
      <c r="AS3" s="219">
        <f t="shared" si="5"/>
        <v>0</v>
      </c>
      <c r="AT3" s="31">
        <f t="shared" si="6"/>
        <v>0.125</v>
      </c>
      <c r="AU3" s="219">
        <f t="shared" si="7"/>
        <v>0.10625</v>
      </c>
      <c r="AV3" s="31">
        <f t="shared" si="8"/>
        <v>0</v>
      </c>
      <c r="AW3" s="31">
        <f t="shared" si="9"/>
        <v>0</v>
      </c>
      <c r="AX3" s="31">
        <f t="shared" si="10"/>
        <v>0</v>
      </c>
      <c r="AY3" s="219">
        <f t="shared" si="11"/>
        <v>0</v>
      </c>
      <c r="AZ3" s="196">
        <f t="shared" si="12"/>
        <v>0</v>
      </c>
      <c r="BA3" s="219">
        <f t="shared" si="13"/>
        <v>0</v>
      </c>
      <c r="BB3" s="31">
        <f t="shared" si="14"/>
        <v>0</v>
      </c>
      <c r="BC3" s="219">
        <f t="shared" si="15"/>
        <v>0</v>
      </c>
      <c r="BD3" s="31">
        <f t="shared" si="16"/>
        <v>0</v>
      </c>
      <c r="BE3" s="219">
        <f t="shared" si="17"/>
        <v>0</v>
      </c>
      <c r="BF3" s="31">
        <f t="shared" si="18"/>
        <v>0</v>
      </c>
      <c r="BG3" s="219">
        <f t="shared" si="19"/>
        <v>0</v>
      </c>
      <c r="BH3" s="31">
        <f t="shared" si="20"/>
        <v>0</v>
      </c>
      <c r="BI3" s="219">
        <f t="shared" si="21"/>
        <v>0</v>
      </c>
      <c r="BJ3" s="31">
        <f t="shared" si="22"/>
        <v>0</v>
      </c>
      <c r="BK3" s="219">
        <f t="shared" si="23"/>
        <v>0</v>
      </c>
      <c r="BL3" s="31">
        <f t="shared" si="24"/>
        <v>0</v>
      </c>
      <c r="BM3" s="219">
        <f t="shared" si="25"/>
        <v>0</v>
      </c>
      <c r="BN3" s="31">
        <f t="shared" si="26"/>
        <v>0</v>
      </c>
      <c r="BO3" s="219">
        <f t="shared" si="27"/>
        <v>0</v>
      </c>
    </row>
    <row r="4" spans="1:67" x14ac:dyDescent="0.25">
      <c r="A4" s="31" t="s">
        <v>2381</v>
      </c>
      <c r="B4" s="176" t="str">
        <f>VLOOKUP(A4,kurspris!$A$1:$B$992,2,FALSE)</f>
        <v>Introduktion till samhällsekonomi</v>
      </c>
      <c r="C4" s="31">
        <v>23116</v>
      </c>
      <c r="D4" s="60" t="s">
        <v>85</v>
      </c>
      <c r="E4" s="60"/>
      <c r="F4" s="57" t="s">
        <v>2274</v>
      </c>
      <c r="H4" s="31" t="s">
        <v>2335</v>
      </c>
      <c r="I4" s="31" t="s">
        <v>2399</v>
      </c>
      <c r="J4" s="31" t="s">
        <v>1500</v>
      </c>
      <c r="L4" s="38"/>
      <c r="M4">
        <v>7.5</v>
      </c>
      <c r="P4" s="31">
        <v>1</v>
      </c>
      <c r="Q4" s="539">
        <v>0.125</v>
      </c>
      <c r="R4" s="38">
        <v>0.85</v>
      </c>
      <c r="S4" s="280">
        <f t="shared" si="0"/>
        <v>0.10625</v>
      </c>
      <c r="T4" s="31">
        <f>VLOOKUP(A4,'Ansvar kurs'!$A$1:$C$1123,2,FALSE)</f>
        <v>2271</v>
      </c>
      <c r="U4" s="31" t="str">
        <f>VLOOKUP(T4,Orgenheter!$A$1:$C$166,2,FALSE)</f>
        <v xml:space="preserve">Nationalekonomi               </v>
      </c>
      <c r="V4" s="31" t="str">
        <f>VLOOKUP(T4,Orgenheter!$A$1:$C$166,3,FALSE)</f>
        <v>Sam</v>
      </c>
      <c r="W4" s="35" t="str">
        <f>VLOOKUP(D4,Program!$A$1:$B$36,2,FALSE)</f>
        <v>Studie- och yrkesvägledarprogram</v>
      </c>
      <c r="X4" s="40">
        <f>VLOOKUP(A4,kurspris!$A$1:$Q$913,15,FALSE)</f>
        <v>20766</v>
      </c>
      <c r="Y4" s="40">
        <f>VLOOKUP(A4,kurspris!$A$1:$Q$913,16,FALSE)</f>
        <v>17442</v>
      </c>
      <c r="Z4" s="40">
        <f t="shared" si="1"/>
        <v>4448.9624999999996</v>
      </c>
      <c r="AA4" s="40">
        <f>VLOOKUP(A4,kurspris!$A$1:$Q$913,17,FALSE)</f>
        <v>6000</v>
      </c>
      <c r="AB4" s="40">
        <f t="shared" si="2"/>
        <v>750</v>
      </c>
      <c r="AC4" s="40">
        <f t="shared" si="3"/>
        <v>5198.9624999999996</v>
      </c>
      <c r="AD4" s="31">
        <f>VLOOKUP($A4,kurspris!$A$1:$Q$950,3,FALSE)</f>
        <v>0</v>
      </c>
      <c r="AE4" s="31">
        <f>VLOOKUP($A4,kurspris!$A$1:$Q$950,4,FALSE)</f>
        <v>0</v>
      </c>
      <c r="AF4" s="31">
        <f>VLOOKUP($A4,kurspris!$A$1:$Q$950,5,FALSE)</f>
        <v>0</v>
      </c>
      <c r="AG4" s="31">
        <f>VLOOKUP($A4,kurspris!$A$1:$Q$950,6,FALSE)</f>
        <v>0</v>
      </c>
      <c r="AH4" s="31">
        <f>VLOOKUP($A4,kurspris!$A$1:$Q$950,7,FALSE)</f>
        <v>0</v>
      </c>
      <c r="AI4" s="31">
        <f>VLOOKUP($A4,kurspris!$A$1:$Q$950,8,FALSE)</f>
        <v>0</v>
      </c>
      <c r="AJ4" s="31">
        <f>VLOOKUP($A4,kurspris!$A$1:$Q$950,9,FALSE)</f>
        <v>1</v>
      </c>
      <c r="AK4" s="31">
        <f>VLOOKUP($A4,kurspris!$A$1:$Q$950,10,FALSE)</f>
        <v>0</v>
      </c>
      <c r="AL4" s="31">
        <f>VLOOKUP($A4,kurspris!$A$1:$Q$950,11,FALSE)</f>
        <v>0</v>
      </c>
      <c r="AM4" s="31">
        <f>VLOOKUP($A4,kurspris!$A$1:$Q$950,12,FALSE)</f>
        <v>0</v>
      </c>
      <c r="AN4" s="31">
        <f>VLOOKUP($A4,kurspris!$A$1:$Q$950,13,FALSE)</f>
        <v>0</v>
      </c>
      <c r="AO4" s="31">
        <f>VLOOKUP($A4,kurspris!$A$1:$Q$950,14,FALSE)</f>
        <v>0</v>
      </c>
      <c r="AP4" s="57" t="s">
        <v>2402</v>
      </c>
      <c r="AQ4"/>
      <c r="AR4" s="31">
        <f t="shared" si="4"/>
        <v>0</v>
      </c>
      <c r="AS4" s="219">
        <f t="shared" si="5"/>
        <v>0</v>
      </c>
      <c r="AT4" s="31">
        <f t="shared" si="6"/>
        <v>0</v>
      </c>
      <c r="AU4" s="219">
        <f t="shared" si="7"/>
        <v>0</v>
      </c>
      <c r="AV4" s="31">
        <f t="shared" si="8"/>
        <v>0</v>
      </c>
      <c r="AW4" s="31">
        <f t="shared" si="9"/>
        <v>0</v>
      </c>
      <c r="AX4" s="31">
        <f t="shared" si="10"/>
        <v>0</v>
      </c>
      <c r="AY4" s="219">
        <f t="shared" si="11"/>
        <v>0</v>
      </c>
      <c r="AZ4" s="196">
        <f t="shared" si="12"/>
        <v>0</v>
      </c>
      <c r="BA4" s="219">
        <f t="shared" si="13"/>
        <v>0</v>
      </c>
      <c r="BB4" s="31">
        <f t="shared" si="14"/>
        <v>0</v>
      </c>
      <c r="BC4" s="219">
        <f t="shared" si="15"/>
        <v>0</v>
      </c>
      <c r="BD4" s="31">
        <f t="shared" si="16"/>
        <v>0.125</v>
      </c>
      <c r="BE4" s="219">
        <f t="shared" si="17"/>
        <v>0.10625</v>
      </c>
      <c r="BF4" s="31">
        <f t="shared" si="18"/>
        <v>0</v>
      </c>
      <c r="BG4" s="219">
        <f t="shared" si="19"/>
        <v>0</v>
      </c>
      <c r="BH4" s="31">
        <f t="shared" si="20"/>
        <v>0</v>
      </c>
      <c r="BI4" s="219">
        <f t="shared" si="21"/>
        <v>0</v>
      </c>
      <c r="BJ4" s="31">
        <f t="shared" si="22"/>
        <v>0</v>
      </c>
      <c r="BK4" s="219">
        <f t="shared" si="23"/>
        <v>0</v>
      </c>
      <c r="BL4" s="31">
        <f t="shared" si="24"/>
        <v>0</v>
      </c>
      <c r="BM4" s="219">
        <f t="shared" si="25"/>
        <v>0</v>
      </c>
      <c r="BN4" s="31">
        <f t="shared" si="26"/>
        <v>0</v>
      </c>
      <c r="BO4" s="219">
        <f t="shared" si="27"/>
        <v>0</v>
      </c>
    </row>
    <row r="5" spans="1:67" x14ac:dyDescent="0.25">
      <c r="A5" s="31" t="s">
        <v>994</v>
      </c>
      <c r="B5" s="176" t="str">
        <f>VLOOKUP(A5,kurspris!$A$1:$B$992,2,FALSE)</f>
        <v>Fysiologi och cellbiologi</v>
      </c>
      <c r="C5" s="31">
        <v>50917</v>
      </c>
      <c r="D5" s="60" t="s">
        <v>482</v>
      </c>
      <c r="E5" s="60"/>
      <c r="F5" s="57" t="s">
        <v>2274</v>
      </c>
      <c r="H5" s="31" t="s">
        <v>2335</v>
      </c>
      <c r="I5" s="31" t="s">
        <v>2399</v>
      </c>
      <c r="J5" s="31" t="s">
        <v>2234</v>
      </c>
      <c r="L5" s="38"/>
      <c r="M5">
        <v>15</v>
      </c>
      <c r="P5" s="31">
        <v>2</v>
      </c>
      <c r="Q5" s="539">
        <v>0.5</v>
      </c>
      <c r="R5" s="38">
        <v>0.85</v>
      </c>
      <c r="S5" s="280">
        <f t="shared" si="0"/>
        <v>0.42499999999999999</v>
      </c>
      <c r="T5" s="31">
        <f>VLOOKUP(A5,'Ansvar kurs'!$A$1:$C$1123,2,FALSE)</f>
        <v>5160</v>
      </c>
      <c r="U5" s="31" t="str">
        <f>VLOOKUP(T5,Orgenheter!$A$1:$C$166,2,FALSE)</f>
        <v xml:space="preserve">Inst för Fysiologisk botanik  </v>
      </c>
      <c r="V5" s="31" t="str">
        <f>VLOOKUP(T5,Orgenheter!$A$1:$C$166,3,FALSE)</f>
        <v>TekNat</v>
      </c>
      <c r="W5" s="35" t="str">
        <f>VLOOKUP(D5,Program!$A$1:$B$36,2,FALSE)</f>
        <v>Ämneslärarprogrammet - Gy</v>
      </c>
      <c r="X5" s="40">
        <f>VLOOKUP(A5,kurspris!$A$1:$Q$913,15,FALSE)</f>
        <v>20757</v>
      </c>
      <c r="Y5" s="40">
        <f>VLOOKUP(A5,kurspris!$A$1:$Q$913,16,FALSE)</f>
        <v>36082</v>
      </c>
      <c r="Z5" s="40">
        <f t="shared" si="1"/>
        <v>25713.35</v>
      </c>
      <c r="AA5" s="40">
        <f>VLOOKUP(A5,kurspris!$A$1:$Q$913,17,FALSE)</f>
        <v>22600</v>
      </c>
      <c r="AB5" s="40">
        <f t="shared" si="2"/>
        <v>11300</v>
      </c>
      <c r="AC5" s="40">
        <f t="shared" si="3"/>
        <v>37013.35</v>
      </c>
      <c r="AD5" s="31">
        <f>VLOOKUP($A5,kurspris!$A$1:$Q$950,3,FALSE)</f>
        <v>0</v>
      </c>
      <c r="AE5" s="31">
        <f>VLOOKUP($A5,kurspris!$A$1:$Q$950,4,FALSE)</f>
        <v>0</v>
      </c>
      <c r="AF5" s="31">
        <f>VLOOKUP($A5,kurspris!$A$1:$Q$950,5,FALSE)</f>
        <v>0</v>
      </c>
      <c r="AG5" s="31">
        <f>VLOOKUP($A5,kurspris!$A$1:$Q$950,6,FALSE)</f>
        <v>0</v>
      </c>
      <c r="AH5" s="31">
        <f>VLOOKUP($A5,kurspris!$A$1:$Q$950,7,FALSE)</f>
        <v>0</v>
      </c>
      <c r="AI5" s="31">
        <f>VLOOKUP($A5,kurspris!$A$1:$Q$950,8,FALSE)</f>
        <v>1</v>
      </c>
      <c r="AJ5" s="31">
        <f>VLOOKUP($A5,kurspris!$A$1:$Q$950,9,FALSE)</f>
        <v>0</v>
      </c>
      <c r="AK5" s="31">
        <f>VLOOKUP($A5,kurspris!$A$1:$Q$950,10,FALSE)</f>
        <v>0</v>
      </c>
      <c r="AL5" s="31">
        <f>VLOOKUP($A5,kurspris!$A$1:$Q$950,11,FALSE)</f>
        <v>0</v>
      </c>
      <c r="AM5" s="31">
        <f>VLOOKUP($A5,kurspris!$A$1:$Q$950,12,FALSE)</f>
        <v>0</v>
      </c>
      <c r="AN5" s="31">
        <f>VLOOKUP($A5,kurspris!$A$1:$Q$950,13,FALSE)</f>
        <v>0</v>
      </c>
      <c r="AO5" s="31">
        <f>VLOOKUP($A5,kurspris!$A$1:$Q$950,14,FALSE)</f>
        <v>0</v>
      </c>
      <c r="AP5" s="57" t="s">
        <v>2402</v>
      </c>
      <c r="AQ5"/>
      <c r="AR5" s="31">
        <f t="shared" si="4"/>
        <v>0</v>
      </c>
      <c r="AS5" s="219">
        <f t="shared" si="5"/>
        <v>0</v>
      </c>
      <c r="AT5" s="31">
        <f t="shared" si="6"/>
        <v>0</v>
      </c>
      <c r="AU5" s="219">
        <f t="shared" si="7"/>
        <v>0</v>
      </c>
      <c r="AV5" s="31">
        <f t="shared" si="8"/>
        <v>0</v>
      </c>
      <c r="AW5" s="31">
        <f t="shared" si="9"/>
        <v>0</v>
      </c>
      <c r="AX5" s="31">
        <f t="shared" si="10"/>
        <v>0</v>
      </c>
      <c r="AY5" s="219">
        <f t="shared" si="11"/>
        <v>0</v>
      </c>
      <c r="AZ5" s="196">
        <f t="shared" si="12"/>
        <v>0</v>
      </c>
      <c r="BA5" s="219">
        <f t="shared" si="13"/>
        <v>0</v>
      </c>
      <c r="BB5" s="31">
        <f t="shared" si="14"/>
        <v>0.5</v>
      </c>
      <c r="BC5" s="219">
        <f t="shared" si="15"/>
        <v>0.42499999999999999</v>
      </c>
      <c r="BD5" s="31">
        <f t="shared" si="16"/>
        <v>0</v>
      </c>
      <c r="BE5" s="219">
        <f t="shared" si="17"/>
        <v>0</v>
      </c>
      <c r="BF5" s="31">
        <f t="shared" si="18"/>
        <v>0</v>
      </c>
      <c r="BG5" s="219">
        <f t="shared" si="19"/>
        <v>0</v>
      </c>
      <c r="BH5" s="31">
        <f t="shared" si="20"/>
        <v>0</v>
      </c>
      <c r="BI5" s="219">
        <f t="shared" si="21"/>
        <v>0</v>
      </c>
      <c r="BJ5" s="31">
        <f t="shared" si="22"/>
        <v>0</v>
      </c>
      <c r="BK5" s="219">
        <f t="shared" si="23"/>
        <v>0</v>
      </c>
      <c r="BL5" s="31">
        <f t="shared" si="24"/>
        <v>0</v>
      </c>
      <c r="BM5" s="219">
        <f t="shared" si="25"/>
        <v>0</v>
      </c>
      <c r="BN5" s="31">
        <f t="shared" si="26"/>
        <v>0</v>
      </c>
      <c r="BO5" s="219">
        <f t="shared" si="27"/>
        <v>0</v>
      </c>
    </row>
    <row r="6" spans="1:67" x14ac:dyDescent="0.25">
      <c r="A6" s="31" t="s">
        <v>994</v>
      </c>
      <c r="B6" s="176" t="str">
        <f>VLOOKUP(A6,kurspris!$A$1:$B$992,2,FALSE)</f>
        <v>Fysiologi och cellbiologi</v>
      </c>
      <c r="C6" s="31">
        <v>50917</v>
      </c>
      <c r="D6" s="60" t="s">
        <v>482</v>
      </c>
      <c r="E6" s="60"/>
      <c r="F6" s="57" t="s">
        <v>2274</v>
      </c>
      <c r="H6" s="31" t="s">
        <v>2335</v>
      </c>
      <c r="I6" s="31" t="s">
        <v>2399</v>
      </c>
      <c r="J6" s="31" t="s">
        <v>2231</v>
      </c>
      <c r="L6" s="38"/>
      <c r="M6">
        <v>15</v>
      </c>
      <c r="P6" s="31">
        <v>1</v>
      </c>
      <c r="Q6" s="539">
        <v>0.25</v>
      </c>
      <c r="R6" s="38">
        <v>0.85</v>
      </c>
      <c r="S6" s="280">
        <f t="shared" si="0"/>
        <v>0.21249999999999999</v>
      </c>
      <c r="T6" s="31">
        <f>VLOOKUP(A6,'Ansvar kurs'!$A$1:$C$1123,2,FALSE)</f>
        <v>5160</v>
      </c>
      <c r="U6" s="31" t="str">
        <f>VLOOKUP(T6,Orgenheter!$A$1:$C$166,2,FALSE)</f>
        <v xml:space="preserve">Inst för Fysiologisk botanik  </v>
      </c>
      <c r="V6" s="31" t="str">
        <f>VLOOKUP(T6,Orgenheter!$A$1:$C$166,3,FALSE)</f>
        <v>TekNat</v>
      </c>
      <c r="W6" s="35" t="str">
        <f>VLOOKUP(D6,Program!$A$1:$B$36,2,FALSE)</f>
        <v>Ämneslärarprogrammet - Gy</v>
      </c>
      <c r="X6" s="40">
        <f>VLOOKUP(A6,kurspris!$A$1:$Q$913,15,FALSE)</f>
        <v>20757</v>
      </c>
      <c r="Y6" s="40">
        <f>VLOOKUP(A6,kurspris!$A$1:$Q$913,16,FALSE)</f>
        <v>36082</v>
      </c>
      <c r="Z6" s="40">
        <f t="shared" si="1"/>
        <v>12856.674999999999</v>
      </c>
      <c r="AA6" s="40">
        <f>VLOOKUP(A6,kurspris!$A$1:$Q$913,17,FALSE)</f>
        <v>22600</v>
      </c>
      <c r="AB6" s="40">
        <f t="shared" si="2"/>
        <v>5650</v>
      </c>
      <c r="AC6" s="40">
        <f t="shared" si="3"/>
        <v>18506.674999999999</v>
      </c>
      <c r="AD6" s="31">
        <f>VLOOKUP($A6,kurspris!$A$1:$Q$950,3,FALSE)</f>
        <v>0</v>
      </c>
      <c r="AE6" s="31">
        <f>VLOOKUP($A6,kurspris!$A$1:$Q$950,4,FALSE)</f>
        <v>0</v>
      </c>
      <c r="AF6" s="31">
        <f>VLOOKUP($A6,kurspris!$A$1:$Q$950,5,FALSE)</f>
        <v>0</v>
      </c>
      <c r="AG6" s="31">
        <f>VLOOKUP($A6,kurspris!$A$1:$Q$950,6,FALSE)</f>
        <v>0</v>
      </c>
      <c r="AH6" s="31">
        <f>VLOOKUP($A6,kurspris!$A$1:$Q$950,7,FALSE)</f>
        <v>0</v>
      </c>
      <c r="AI6" s="31">
        <f>VLOOKUP($A6,kurspris!$A$1:$Q$950,8,FALSE)</f>
        <v>1</v>
      </c>
      <c r="AJ6" s="31">
        <f>VLOOKUP($A6,kurspris!$A$1:$Q$950,9,FALSE)</f>
        <v>0</v>
      </c>
      <c r="AK6" s="31">
        <f>VLOOKUP($A6,kurspris!$A$1:$Q$950,10,FALSE)</f>
        <v>0</v>
      </c>
      <c r="AL6" s="31">
        <f>VLOOKUP($A6,kurspris!$A$1:$Q$950,11,FALSE)</f>
        <v>0</v>
      </c>
      <c r="AM6" s="31">
        <f>VLOOKUP($A6,kurspris!$A$1:$Q$950,12,FALSE)</f>
        <v>0</v>
      </c>
      <c r="AN6" s="31">
        <f>VLOOKUP($A6,kurspris!$A$1:$Q$950,13,FALSE)</f>
        <v>0</v>
      </c>
      <c r="AO6" s="31">
        <f>VLOOKUP($A6,kurspris!$A$1:$Q$950,14,FALSE)</f>
        <v>0</v>
      </c>
      <c r="AP6" s="57" t="s">
        <v>2402</v>
      </c>
      <c r="AQ6"/>
      <c r="AR6" s="31">
        <f t="shared" si="4"/>
        <v>0</v>
      </c>
      <c r="AS6" s="219">
        <f t="shared" si="5"/>
        <v>0</v>
      </c>
      <c r="AT6" s="31">
        <f t="shared" si="6"/>
        <v>0</v>
      </c>
      <c r="AU6" s="219">
        <f t="shared" si="7"/>
        <v>0</v>
      </c>
      <c r="AV6" s="31">
        <f t="shared" si="8"/>
        <v>0</v>
      </c>
      <c r="AW6" s="31">
        <f t="shared" si="9"/>
        <v>0</v>
      </c>
      <c r="AX6" s="31">
        <f t="shared" si="10"/>
        <v>0</v>
      </c>
      <c r="AY6" s="219">
        <f t="shared" si="11"/>
        <v>0</v>
      </c>
      <c r="AZ6" s="196">
        <f t="shared" si="12"/>
        <v>0</v>
      </c>
      <c r="BA6" s="219">
        <f t="shared" si="13"/>
        <v>0</v>
      </c>
      <c r="BB6" s="31">
        <f t="shared" si="14"/>
        <v>0.25</v>
      </c>
      <c r="BC6" s="219">
        <f t="shared" si="15"/>
        <v>0.21249999999999999</v>
      </c>
      <c r="BD6" s="31">
        <f t="shared" si="16"/>
        <v>0</v>
      </c>
      <c r="BE6" s="219">
        <f t="shared" si="17"/>
        <v>0</v>
      </c>
      <c r="BF6" s="31">
        <f t="shared" si="18"/>
        <v>0</v>
      </c>
      <c r="BG6" s="219">
        <f t="shared" si="19"/>
        <v>0</v>
      </c>
      <c r="BH6" s="31">
        <f t="shared" si="20"/>
        <v>0</v>
      </c>
      <c r="BI6" s="219">
        <f t="shared" si="21"/>
        <v>0</v>
      </c>
      <c r="BJ6" s="31">
        <f t="shared" si="22"/>
        <v>0</v>
      </c>
      <c r="BK6" s="219">
        <f t="shared" si="23"/>
        <v>0</v>
      </c>
      <c r="BL6" s="31">
        <f t="shared" si="24"/>
        <v>0</v>
      </c>
      <c r="BM6" s="219">
        <f t="shared" si="25"/>
        <v>0</v>
      </c>
      <c r="BN6" s="31">
        <f t="shared" si="26"/>
        <v>0</v>
      </c>
      <c r="BO6" s="219">
        <f t="shared" si="27"/>
        <v>0</v>
      </c>
    </row>
    <row r="7" spans="1:67" x14ac:dyDescent="0.25">
      <c r="A7" s="31" t="s">
        <v>994</v>
      </c>
      <c r="B7" s="176" t="str">
        <f>VLOOKUP(A7,kurspris!$A$1:$B$992,2,FALSE)</f>
        <v>Fysiologi och cellbiologi</v>
      </c>
      <c r="C7" s="31">
        <v>50917</v>
      </c>
      <c r="D7" s="60" t="s">
        <v>482</v>
      </c>
      <c r="E7" s="60"/>
      <c r="F7" s="57" t="s">
        <v>2274</v>
      </c>
      <c r="H7" s="31" t="s">
        <v>2335</v>
      </c>
      <c r="I7" s="31" t="s">
        <v>2399</v>
      </c>
      <c r="J7" s="31" t="s">
        <v>2232</v>
      </c>
      <c r="L7" s="38"/>
      <c r="M7">
        <v>15</v>
      </c>
      <c r="P7" s="31">
        <v>2</v>
      </c>
      <c r="Q7" s="539">
        <v>0.5</v>
      </c>
      <c r="R7" s="38">
        <v>0.85</v>
      </c>
      <c r="S7" s="280">
        <f t="shared" si="0"/>
        <v>0.42499999999999999</v>
      </c>
      <c r="T7" s="31">
        <f>VLOOKUP(A7,'Ansvar kurs'!$A$1:$C$1123,2,FALSE)</f>
        <v>5160</v>
      </c>
      <c r="U7" s="31" t="str">
        <f>VLOOKUP(T7,Orgenheter!$A$1:$C$166,2,FALSE)</f>
        <v xml:space="preserve">Inst för Fysiologisk botanik  </v>
      </c>
      <c r="V7" s="31" t="str">
        <f>VLOOKUP(T7,Orgenheter!$A$1:$C$166,3,FALSE)</f>
        <v>TekNat</v>
      </c>
      <c r="W7" s="35" t="str">
        <f>VLOOKUP(D7,Program!$A$1:$B$36,2,FALSE)</f>
        <v>Ämneslärarprogrammet - Gy</v>
      </c>
      <c r="X7" s="40">
        <f>VLOOKUP(A7,kurspris!$A$1:$Q$913,15,FALSE)</f>
        <v>20757</v>
      </c>
      <c r="Y7" s="40">
        <f>VLOOKUP(A7,kurspris!$A$1:$Q$913,16,FALSE)</f>
        <v>36082</v>
      </c>
      <c r="Z7" s="40">
        <f t="shared" si="1"/>
        <v>25713.35</v>
      </c>
      <c r="AA7" s="40">
        <f>VLOOKUP(A7,kurspris!$A$1:$Q$913,17,FALSE)</f>
        <v>22600</v>
      </c>
      <c r="AB7" s="40">
        <f t="shared" si="2"/>
        <v>11300</v>
      </c>
      <c r="AC7" s="40">
        <f t="shared" si="3"/>
        <v>37013.35</v>
      </c>
      <c r="AD7" s="31">
        <f>VLOOKUP($A7,kurspris!$A$1:$Q$950,3,FALSE)</f>
        <v>0</v>
      </c>
      <c r="AE7" s="31">
        <f>VLOOKUP($A7,kurspris!$A$1:$Q$950,4,FALSE)</f>
        <v>0</v>
      </c>
      <c r="AF7" s="31">
        <f>VLOOKUP($A7,kurspris!$A$1:$Q$950,5,FALSE)</f>
        <v>0</v>
      </c>
      <c r="AG7" s="31">
        <f>VLOOKUP($A7,kurspris!$A$1:$Q$950,6,FALSE)</f>
        <v>0</v>
      </c>
      <c r="AH7" s="31">
        <f>VLOOKUP($A7,kurspris!$A$1:$Q$950,7,FALSE)</f>
        <v>0</v>
      </c>
      <c r="AI7" s="31">
        <f>VLOOKUP($A7,kurspris!$A$1:$Q$950,8,FALSE)</f>
        <v>1</v>
      </c>
      <c r="AJ7" s="31">
        <f>VLOOKUP($A7,kurspris!$A$1:$Q$950,9,FALSE)</f>
        <v>0</v>
      </c>
      <c r="AK7" s="31">
        <f>VLOOKUP($A7,kurspris!$A$1:$Q$950,10,FALSE)</f>
        <v>0</v>
      </c>
      <c r="AL7" s="31">
        <f>VLOOKUP($A7,kurspris!$A$1:$Q$950,11,FALSE)</f>
        <v>0</v>
      </c>
      <c r="AM7" s="31">
        <f>VLOOKUP($A7,kurspris!$A$1:$Q$950,12,FALSE)</f>
        <v>0</v>
      </c>
      <c r="AN7" s="31">
        <f>VLOOKUP($A7,kurspris!$A$1:$Q$950,13,FALSE)</f>
        <v>0</v>
      </c>
      <c r="AO7" s="31">
        <f>VLOOKUP($A7,kurspris!$A$1:$Q$950,14,FALSE)</f>
        <v>0</v>
      </c>
      <c r="AP7" s="57" t="s">
        <v>2402</v>
      </c>
      <c r="AQ7"/>
      <c r="AR7" s="31">
        <f t="shared" si="4"/>
        <v>0</v>
      </c>
      <c r="AS7" s="219">
        <f t="shared" si="5"/>
        <v>0</v>
      </c>
      <c r="AT7" s="31">
        <f t="shared" si="6"/>
        <v>0</v>
      </c>
      <c r="AU7" s="219">
        <f t="shared" si="7"/>
        <v>0</v>
      </c>
      <c r="AV7" s="31">
        <f t="shared" si="8"/>
        <v>0</v>
      </c>
      <c r="AW7" s="31">
        <f t="shared" si="9"/>
        <v>0</v>
      </c>
      <c r="AX7" s="31">
        <f t="shared" si="10"/>
        <v>0</v>
      </c>
      <c r="AY7" s="219">
        <f t="shared" si="11"/>
        <v>0</v>
      </c>
      <c r="AZ7" s="196">
        <f t="shared" si="12"/>
        <v>0</v>
      </c>
      <c r="BA7" s="219">
        <f t="shared" si="13"/>
        <v>0</v>
      </c>
      <c r="BB7" s="31">
        <f t="shared" si="14"/>
        <v>0.5</v>
      </c>
      <c r="BC7" s="219">
        <f t="shared" si="15"/>
        <v>0.42499999999999999</v>
      </c>
      <c r="BD7" s="31">
        <f t="shared" si="16"/>
        <v>0</v>
      </c>
      <c r="BE7" s="219">
        <f t="shared" si="17"/>
        <v>0</v>
      </c>
      <c r="BF7" s="31">
        <f t="shared" si="18"/>
        <v>0</v>
      </c>
      <c r="BG7" s="219">
        <f t="shared" si="19"/>
        <v>0</v>
      </c>
      <c r="BH7" s="31">
        <f t="shared" si="20"/>
        <v>0</v>
      </c>
      <c r="BI7" s="219">
        <f t="shared" si="21"/>
        <v>0</v>
      </c>
      <c r="BJ7" s="31">
        <f t="shared" si="22"/>
        <v>0</v>
      </c>
      <c r="BK7" s="219">
        <f t="shared" si="23"/>
        <v>0</v>
      </c>
      <c r="BL7" s="31">
        <f t="shared" si="24"/>
        <v>0</v>
      </c>
      <c r="BM7" s="219">
        <f t="shared" si="25"/>
        <v>0</v>
      </c>
      <c r="BN7" s="31">
        <f t="shared" si="26"/>
        <v>0</v>
      </c>
      <c r="BO7" s="219">
        <f t="shared" si="27"/>
        <v>0</v>
      </c>
    </row>
    <row r="8" spans="1:67" x14ac:dyDescent="0.25">
      <c r="A8" s="31" t="s">
        <v>994</v>
      </c>
      <c r="B8" s="176" t="str">
        <f>VLOOKUP(A8,kurspris!$A$1:$B$992,2,FALSE)</f>
        <v>Fysiologi och cellbiologi</v>
      </c>
      <c r="C8" s="31">
        <v>50917</v>
      </c>
      <c r="D8" s="60" t="s">
        <v>482</v>
      </c>
      <c r="E8" s="60"/>
      <c r="F8" s="57" t="s">
        <v>2274</v>
      </c>
      <c r="H8" s="31" t="s">
        <v>2335</v>
      </c>
      <c r="I8" s="31" t="s">
        <v>2399</v>
      </c>
      <c r="J8" s="31" t="s">
        <v>2233</v>
      </c>
      <c r="L8" s="38"/>
      <c r="M8">
        <v>15</v>
      </c>
      <c r="P8" s="31">
        <v>2</v>
      </c>
      <c r="Q8" s="539">
        <v>0.5</v>
      </c>
      <c r="R8" s="38">
        <v>0.85</v>
      </c>
      <c r="S8" s="280">
        <f t="shared" si="0"/>
        <v>0.42499999999999999</v>
      </c>
      <c r="T8" s="31">
        <f>VLOOKUP(A8,'Ansvar kurs'!$A$1:$C$1123,2,FALSE)</f>
        <v>5160</v>
      </c>
      <c r="U8" s="31" t="str">
        <f>VLOOKUP(T8,Orgenheter!$A$1:$C$166,2,FALSE)</f>
        <v xml:space="preserve">Inst för Fysiologisk botanik  </v>
      </c>
      <c r="V8" s="31" t="str">
        <f>VLOOKUP(T8,Orgenheter!$A$1:$C$166,3,FALSE)</f>
        <v>TekNat</v>
      </c>
      <c r="W8" s="35" t="str">
        <f>VLOOKUP(D8,Program!$A$1:$B$36,2,FALSE)</f>
        <v>Ämneslärarprogrammet - Gy</v>
      </c>
      <c r="X8" s="40">
        <f>VLOOKUP(A8,kurspris!$A$1:$Q$913,15,FALSE)</f>
        <v>20757</v>
      </c>
      <c r="Y8" s="40">
        <f>VLOOKUP(A8,kurspris!$A$1:$Q$913,16,FALSE)</f>
        <v>36082</v>
      </c>
      <c r="Z8" s="40">
        <f t="shared" si="1"/>
        <v>25713.35</v>
      </c>
      <c r="AA8" s="40">
        <f>VLOOKUP(A8,kurspris!$A$1:$Q$913,17,FALSE)</f>
        <v>22600</v>
      </c>
      <c r="AB8" s="40">
        <f t="shared" si="2"/>
        <v>11300</v>
      </c>
      <c r="AC8" s="40">
        <f t="shared" si="3"/>
        <v>37013.35</v>
      </c>
      <c r="AD8" s="31">
        <f>VLOOKUP($A8,kurspris!$A$1:$Q$950,3,FALSE)</f>
        <v>0</v>
      </c>
      <c r="AE8" s="31">
        <f>VLOOKUP($A8,kurspris!$A$1:$Q$950,4,FALSE)</f>
        <v>0</v>
      </c>
      <c r="AF8" s="31">
        <f>VLOOKUP($A8,kurspris!$A$1:$Q$950,5,FALSE)</f>
        <v>0</v>
      </c>
      <c r="AG8" s="31">
        <f>VLOOKUP($A8,kurspris!$A$1:$Q$950,6,FALSE)</f>
        <v>0</v>
      </c>
      <c r="AH8" s="31">
        <f>VLOOKUP($A8,kurspris!$A$1:$Q$950,7,FALSE)</f>
        <v>0</v>
      </c>
      <c r="AI8" s="31">
        <f>VLOOKUP($A8,kurspris!$A$1:$Q$950,8,FALSE)</f>
        <v>1</v>
      </c>
      <c r="AJ8" s="31">
        <f>VLOOKUP($A8,kurspris!$A$1:$Q$950,9,FALSE)</f>
        <v>0</v>
      </c>
      <c r="AK8" s="31">
        <f>VLOOKUP($A8,kurspris!$A$1:$Q$950,10,FALSE)</f>
        <v>0</v>
      </c>
      <c r="AL8" s="31">
        <f>VLOOKUP($A8,kurspris!$A$1:$Q$950,11,FALSE)</f>
        <v>0</v>
      </c>
      <c r="AM8" s="31">
        <f>VLOOKUP($A8,kurspris!$A$1:$Q$950,12,FALSE)</f>
        <v>0</v>
      </c>
      <c r="AN8" s="31">
        <f>VLOOKUP($A8,kurspris!$A$1:$Q$950,13,FALSE)</f>
        <v>0</v>
      </c>
      <c r="AO8" s="31">
        <f>VLOOKUP($A8,kurspris!$A$1:$Q$950,14,FALSE)</f>
        <v>0</v>
      </c>
      <c r="AP8" s="57" t="s">
        <v>2402</v>
      </c>
      <c r="AQ8"/>
      <c r="AR8" s="31">
        <f t="shared" si="4"/>
        <v>0</v>
      </c>
      <c r="AS8" s="219">
        <f t="shared" si="5"/>
        <v>0</v>
      </c>
      <c r="AT8" s="31">
        <f t="shared" si="6"/>
        <v>0</v>
      </c>
      <c r="AU8" s="219">
        <f t="shared" si="7"/>
        <v>0</v>
      </c>
      <c r="AV8" s="31">
        <f t="shared" si="8"/>
        <v>0</v>
      </c>
      <c r="AW8" s="31">
        <f t="shared" si="9"/>
        <v>0</v>
      </c>
      <c r="AX8" s="31">
        <f t="shared" si="10"/>
        <v>0</v>
      </c>
      <c r="AY8" s="219">
        <f t="shared" si="11"/>
        <v>0</v>
      </c>
      <c r="AZ8" s="196">
        <f t="shared" si="12"/>
        <v>0</v>
      </c>
      <c r="BA8" s="219">
        <f t="shared" si="13"/>
        <v>0</v>
      </c>
      <c r="BB8" s="31">
        <f t="shared" si="14"/>
        <v>0.5</v>
      </c>
      <c r="BC8" s="219">
        <f t="shared" si="15"/>
        <v>0.42499999999999999</v>
      </c>
      <c r="BD8" s="31">
        <f t="shared" si="16"/>
        <v>0</v>
      </c>
      <c r="BE8" s="219">
        <f t="shared" si="17"/>
        <v>0</v>
      </c>
      <c r="BF8" s="31">
        <f t="shared" si="18"/>
        <v>0</v>
      </c>
      <c r="BG8" s="219">
        <f t="shared" si="19"/>
        <v>0</v>
      </c>
      <c r="BH8" s="31">
        <f t="shared" si="20"/>
        <v>0</v>
      </c>
      <c r="BI8" s="219">
        <f t="shared" si="21"/>
        <v>0</v>
      </c>
      <c r="BJ8" s="31">
        <f t="shared" si="22"/>
        <v>0</v>
      </c>
      <c r="BK8" s="219">
        <f t="shared" si="23"/>
        <v>0</v>
      </c>
      <c r="BL8" s="31">
        <f t="shared" si="24"/>
        <v>0</v>
      </c>
      <c r="BM8" s="219">
        <f t="shared" si="25"/>
        <v>0</v>
      </c>
      <c r="BN8" s="31">
        <f t="shared" si="26"/>
        <v>0</v>
      </c>
      <c r="BO8" s="219">
        <f t="shared" si="27"/>
        <v>0</v>
      </c>
    </row>
    <row r="9" spans="1:67" x14ac:dyDescent="0.25">
      <c r="A9" s="31" t="s">
        <v>994</v>
      </c>
      <c r="B9" s="176" t="str">
        <f>VLOOKUP(A9,kurspris!$A$1:$B$992,2,FALSE)</f>
        <v>Fysiologi och cellbiologi</v>
      </c>
      <c r="C9" s="31">
        <v>50917</v>
      </c>
      <c r="D9" s="60" t="s">
        <v>482</v>
      </c>
      <c r="E9" s="60"/>
      <c r="F9" s="57" t="s">
        <v>2274</v>
      </c>
      <c r="H9" s="31" t="s">
        <v>2335</v>
      </c>
      <c r="I9" s="31" t="s">
        <v>2399</v>
      </c>
      <c r="L9" s="38"/>
      <c r="M9">
        <v>15</v>
      </c>
      <c r="P9" s="31">
        <v>1</v>
      </c>
      <c r="Q9" s="539">
        <v>0.25</v>
      </c>
      <c r="R9" s="38">
        <v>0.85</v>
      </c>
      <c r="S9" s="280">
        <f t="shared" si="0"/>
        <v>0.21249999999999999</v>
      </c>
      <c r="T9" s="31">
        <f>VLOOKUP(A9,'Ansvar kurs'!$A$1:$C$1123,2,FALSE)</f>
        <v>5160</v>
      </c>
      <c r="U9" s="31" t="str">
        <f>VLOOKUP(T9,Orgenheter!$A$1:$C$166,2,FALSE)</f>
        <v xml:space="preserve">Inst för Fysiologisk botanik  </v>
      </c>
      <c r="V9" s="31" t="str">
        <f>VLOOKUP(T9,Orgenheter!$A$1:$C$166,3,FALSE)</f>
        <v>TekNat</v>
      </c>
      <c r="W9" s="35" t="str">
        <f>VLOOKUP(D9,Program!$A$1:$B$36,2,FALSE)</f>
        <v>Ämneslärarprogrammet - Gy</v>
      </c>
      <c r="X9" s="40">
        <f>VLOOKUP(A9,kurspris!$A$1:$Q$913,15,FALSE)</f>
        <v>20757</v>
      </c>
      <c r="Y9" s="40">
        <f>VLOOKUP(A9,kurspris!$A$1:$Q$913,16,FALSE)</f>
        <v>36082</v>
      </c>
      <c r="Z9" s="40">
        <f t="shared" si="1"/>
        <v>12856.674999999999</v>
      </c>
      <c r="AA9" s="40">
        <f>VLOOKUP(A9,kurspris!$A$1:$Q$913,17,FALSE)</f>
        <v>22600</v>
      </c>
      <c r="AB9" s="40">
        <f t="shared" si="2"/>
        <v>5650</v>
      </c>
      <c r="AC9" s="40">
        <f t="shared" si="3"/>
        <v>18506.674999999999</v>
      </c>
      <c r="AD9" s="31">
        <f>VLOOKUP($A9,kurspris!$A$1:$Q$950,3,FALSE)</f>
        <v>0</v>
      </c>
      <c r="AE9" s="31">
        <f>VLOOKUP($A9,kurspris!$A$1:$Q$950,4,FALSE)</f>
        <v>0</v>
      </c>
      <c r="AF9" s="31">
        <f>VLOOKUP($A9,kurspris!$A$1:$Q$950,5,FALSE)</f>
        <v>0</v>
      </c>
      <c r="AG9" s="31">
        <f>VLOOKUP($A9,kurspris!$A$1:$Q$950,6,FALSE)</f>
        <v>0</v>
      </c>
      <c r="AH9" s="31">
        <f>VLOOKUP($A9,kurspris!$A$1:$Q$950,7,FALSE)</f>
        <v>0</v>
      </c>
      <c r="AI9" s="31">
        <f>VLOOKUP($A9,kurspris!$A$1:$Q$950,8,FALSE)</f>
        <v>1</v>
      </c>
      <c r="AJ9" s="31">
        <f>VLOOKUP($A9,kurspris!$A$1:$Q$950,9,FALSE)</f>
        <v>0</v>
      </c>
      <c r="AK9" s="31">
        <f>VLOOKUP($A9,kurspris!$A$1:$Q$950,10,FALSE)</f>
        <v>0</v>
      </c>
      <c r="AL9" s="31">
        <f>VLOOKUP($A9,kurspris!$A$1:$Q$950,11,FALSE)</f>
        <v>0</v>
      </c>
      <c r="AM9" s="31">
        <f>VLOOKUP($A9,kurspris!$A$1:$Q$950,12,FALSE)</f>
        <v>0</v>
      </c>
      <c r="AN9" s="31">
        <f>VLOOKUP($A9,kurspris!$A$1:$Q$950,13,FALSE)</f>
        <v>0</v>
      </c>
      <c r="AO9" s="31">
        <f>VLOOKUP($A9,kurspris!$A$1:$Q$950,14,FALSE)</f>
        <v>0</v>
      </c>
      <c r="AP9" s="57" t="s">
        <v>2402</v>
      </c>
      <c r="AQ9"/>
      <c r="AR9" s="31">
        <f t="shared" si="4"/>
        <v>0</v>
      </c>
      <c r="AS9" s="219">
        <f t="shared" si="5"/>
        <v>0</v>
      </c>
      <c r="AT9" s="31">
        <f t="shared" si="6"/>
        <v>0</v>
      </c>
      <c r="AU9" s="219">
        <f t="shared" si="7"/>
        <v>0</v>
      </c>
      <c r="AV9" s="31">
        <f t="shared" si="8"/>
        <v>0</v>
      </c>
      <c r="AW9" s="31">
        <f t="shared" si="9"/>
        <v>0</v>
      </c>
      <c r="AX9" s="31">
        <f t="shared" si="10"/>
        <v>0</v>
      </c>
      <c r="AY9" s="219">
        <f t="shared" si="11"/>
        <v>0</v>
      </c>
      <c r="AZ9" s="196">
        <f t="shared" si="12"/>
        <v>0</v>
      </c>
      <c r="BA9" s="219">
        <f t="shared" si="13"/>
        <v>0</v>
      </c>
      <c r="BB9" s="31">
        <f t="shared" si="14"/>
        <v>0.25</v>
      </c>
      <c r="BC9" s="219">
        <f t="shared" si="15"/>
        <v>0.21249999999999999</v>
      </c>
      <c r="BD9" s="31">
        <f t="shared" si="16"/>
        <v>0</v>
      </c>
      <c r="BE9" s="219">
        <f t="shared" si="17"/>
        <v>0</v>
      </c>
      <c r="BF9" s="31">
        <f t="shared" si="18"/>
        <v>0</v>
      </c>
      <c r="BG9" s="219">
        <f t="shared" si="19"/>
        <v>0</v>
      </c>
      <c r="BH9" s="31">
        <f t="shared" si="20"/>
        <v>0</v>
      </c>
      <c r="BI9" s="219">
        <f t="shared" si="21"/>
        <v>0</v>
      </c>
      <c r="BJ9" s="31">
        <f t="shared" si="22"/>
        <v>0</v>
      </c>
      <c r="BK9" s="219">
        <f t="shared" si="23"/>
        <v>0</v>
      </c>
      <c r="BL9" s="31">
        <f t="shared" si="24"/>
        <v>0</v>
      </c>
      <c r="BM9" s="219">
        <f t="shared" si="25"/>
        <v>0</v>
      </c>
      <c r="BN9" s="31">
        <f t="shared" si="26"/>
        <v>0</v>
      </c>
      <c r="BO9" s="219">
        <f t="shared" si="27"/>
        <v>0</v>
      </c>
    </row>
    <row r="10" spans="1:67" x14ac:dyDescent="0.25">
      <c r="A10" s="31" t="s">
        <v>1973</v>
      </c>
      <c r="B10" s="176" t="str">
        <f>VLOOKUP(A10,kurspris!$A$1:$B$992,2,FALSE)</f>
        <v>Ekologi</v>
      </c>
      <c r="C10" s="31">
        <v>50205</v>
      </c>
      <c r="D10" s="60" t="s">
        <v>482</v>
      </c>
      <c r="E10" s="60"/>
      <c r="F10" s="57" t="s">
        <v>2274</v>
      </c>
      <c r="H10" s="31" t="s">
        <v>2335</v>
      </c>
      <c r="I10" s="31" t="s">
        <v>2399</v>
      </c>
      <c r="J10" s="31" t="s">
        <v>2234</v>
      </c>
      <c r="L10" s="38"/>
      <c r="M10">
        <v>15</v>
      </c>
      <c r="P10" s="31">
        <v>4</v>
      </c>
      <c r="Q10" s="539">
        <v>1</v>
      </c>
      <c r="R10" s="38">
        <v>0.85</v>
      </c>
      <c r="S10" s="280">
        <f t="shared" si="0"/>
        <v>0.85</v>
      </c>
      <c r="T10" s="31">
        <f>VLOOKUP(A10,'Ansvar kurs'!$A$1:$C$1123,2,FALSE)</f>
        <v>5100</v>
      </c>
      <c r="U10" s="31" t="str">
        <f>VLOOKUP(T10,Orgenheter!$A$1:$C$166,2,FALSE)</f>
        <v>EMG</v>
      </c>
      <c r="V10" s="31" t="str">
        <f>VLOOKUP(T10,Orgenheter!$A$1:$C$166,3,FALSE)</f>
        <v>TekNat</v>
      </c>
      <c r="W10" s="35" t="str">
        <f>VLOOKUP(D10,Program!$A$1:$B$36,2,FALSE)</f>
        <v>Ämneslärarprogrammet - Gy</v>
      </c>
      <c r="X10" s="40">
        <f>VLOOKUP(A10,kurspris!$A$1:$Q$913,15,FALSE)</f>
        <v>20757</v>
      </c>
      <c r="Y10" s="40">
        <f>VLOOKUP(A10,kurspris!$A$1:$Q$913,16,FALSE)</f>
        <v>36082</v>
      </c>
      <c r="Z10" s="40">
        <f t="shared" si="1"/>
        <v>51426.7</v>
      </c>
      <c r="AA10" s="40">
        <f>VLOOKUP(A10,kurspris!$A$1:$Q$913,17,FALSE)</f>
        <v>22600</v>
      </c>
      <c r="AB10" s="40">
        <f t="shared" si="2"/>
        <v>22600</v>
      </c>
      <c r="AC10" s="40">
        <f t="shared" si="3"/>
        <v>74026.7</v>
      </c>
      <c r="AD10" s="31">
        <f>VLOOKUP($A10,kurspris!$A$1:$Q$950,3,FALSE)</f>
        <v>0</v>
      </c>
      <c r="AE10" s="31">
        <f>VLOOKUP($A10,kurspris!$A$1:$Q$950,4,FALSE)</f>
        <v>0</v>
      </c>
      <c r="AF10" s="31">
        <f>VLOOKUP($A10,kurspris!$A$1:$Q$950,5,FALSE)</f>
        <v>0</v>
      </c>
      <c r="AG10" s="31">
        <f>VLOOKUP($A10,kurspris!$A$1:$Q$950,6,FALSE)</f>
        <v>0</v>
      </c>
      <c r="AH10" s="31">
        <f>VLOOKUP($A10,kurspris!$A$1:$Q$950,7,FALSE)</f>
        <v>0</v>
      </c>
      <c r="AI10" s="31">
        <f>VLOOKUP($A10,kurspris!$A$1:$Q$950,8,FALSE)</f>
        <v>1</v>
      </c>
      <c r="AJ10" s="31">
        <f>VLOOKUP($A10,kurspris!$A$1:$Q$950,9,FALSE)</f>
        <v>0</v>
      </c>
      <c r="AK10" s="31">
        <f>VLOOKUP($A10,kurspris!$A$1:$Q$950,10,FALSE)</f>
        <v>0</v>
      </c>
      <c r="AL10" s="31">
        <f>VLOOKUP($A10,kurspris!$A$1:$Q$950,11,FALSE)</f>
        <v>0</v>
      </c>
      <c r="AM10" s="31">
        <f>VLOOKUP($A10,kurspris!$A$1:$Q$950,12,FALSE)</f>
        <v>0</v>
      </c>
      <c r="AN10" s="31">
        <f>VLOOKUP($A10,kurspris!$A$1:$Q$950,13,FALSE)</f>
        <v>0</v>
      </c>
      <c r="AO10" s="31">
        <f>VLOOKUP($A10,kurspris!$A$1:$Q$950,14,FALSE)</f>
        <v>0</v>
      </c>
      <c r="AP10" s="57" t="s">
        <v>2402</v>
      </c>
      <c r="AQ10"/>
      <c r="AR10" s="31">
        <f t="shared" si="4"/>
        <v>0</v>
      </c>
      <c r="AS10" s="219">
        <f t="shared" si="5"/>
        <v>0</v>
      </c>
      <c r="AT10" s="31">
        <f t="shared" si="6"/>
        <v>0</v>
      </c>
      <c r="AU10" s="219">
        <f t="shared" si="7"/>
        <v>0</v>
      </c>
      <c r="AV10" s="31">
        <f t="shared" si="8"/>
        <v>0</v>
      </c>
      <c r="AW10" s="31">
        <f t="shared" si="9"/>
        <v>0</v>
      </c>
      <c r="AX10" s="31">
        <f t="shared" si="10"/>
        <v>0</v>
      </c>
      <c r="AY10" s="219">
        <f t="shared" si="11"/>
        <v>0</v>
      </c>
      <c r="AZ10" s="196">
        <f t="shared" si="12"/>
        <v>0</v>
      </c>
      <c r="BA10" s="219">
        <f t="shared" si="13"/>
        <v>0</v>
      </c>
      <c r="BB10" s="31">
        <f t="shared" si="14"/>
        <v>1</v>
      </c>
      <c r="BC10" s="219">
        <f t="shared" si="15"/>
        <v>0.85</v>
      </c>
      <c r="BD10" s="31">
        <f t="shared" si="16"/>
        <v>0</v>
      </c>
      <c r="BE10" s="219">
        <f t="shared" si="17"/>
        <v>0</v>
      </c>
      <c r="BF10" s="31">
        <f t="shared" si="18"/>
        <v>0</v>
      </c>
      <c r="BG10" s="219">
        <f t="shared" si="19"/>
        <v>0</v>
      </c>
      <c r="BH10" s="31">
        <f t="shared" si="20"/>
        <v>0</v>
      </c>
      <c r="BI10" s="219">
        <f t="shared" si="21"/>
        <v>0</v>
      </c>
      <c r="BJ10" s="31">
        <f t="shared" si="22"/>
        <v>0</v>
      </c>
      <c r="BK10" s="219">
        <f t="shared" si="23"/>
        <v>0</v>
      </c>
      <c r="BL10" s="31">
        <f t="shared" si="24"/>
        <v>0</v>
      </c>
      <c r="BM10" s="219">
        <f t="shared" si="25"/>
        <v>0</v>
      </c>
      <c r="BN10" s="31">
        <f t="shared" si="26"/>
        <v>0</v>
      </c>
      <c r="BO10" s="219">
        <f t="shared" si="27"/>
        <v>0</v>
      </c>
    </row>
    <row r="11" spans="1:67" x14ac:dyDescent="0.25">
      <c r="A11" s="31" t="s">
        <v>1973</v>
      </c>
      <c r="B11" s="176" t="str">
        <f>VLOOKUP(A11,kurspris!$A$1:$B$992,2,FALSE)</f>
        <v>Ekologi</v>
      </c>
      <c r="C11" s="31">
        <v>50205</v>
      </c>
      <c r="D11" s="60" t="s">
        <v>482</v>
      </c>
      <c r="E11" s="60"/>
      <c r="F11" s="57" t="s">
        <v>2274</v>
      </c>
      <c r="H11" s="31" t="s">
        <v>2335</v>
      </c>
      <c r="I11" s="31" t="s">
        <v>2399</v>
      </c>
      <c r="J11" s="31" t="s">
        <v>2231</v>
      </c>
      <c r="L11" s="38"/>
      <c r="M11">
        <v>15</v>
      </c>
      <c r="P11" s="31">
        <v>1</v>
      </c>
      <c r="Q11" s="539">
        <v>0.25</v>
      </c>
      <c r="R11" s="38">
        <v>0.85</v>
      </c>
      <c r="S11" s="280">
        <f t="shared" si="0"/>
        <v>0.21249999999999999</v>
      </c>
      <c r="T11" s="31">
        <f>VLOOKUP(A11,'Ansvar kurs'!$A$1:$C$1123,2,FALSE)</f>
        <v>5100</v>
      </c>
      <c r="U11" s="31" t="str">
        <f>VLOOKUP(T11,Orgenheter!$A$1:$C$166,2,FALSE)</f>
        <v>EMG</v>
      </c>
      <c r="V11" s="31" t="str">
        <f>VLOOKUP(T11,Orgenheter!$A$1:$C$166,3,FALSE)</f>
        <v>TekNat</v>
      </c>
      <c r="W11" s="35" t="str">
        <f>VLOOKUP(D11,Program!$A$1:$B$36,2,FALSE)</f>
        <v>Ämneslärarprogrammet - Gy</v>
      </c>
      <c r="X11" s="40">
        <f>VLOOKUP(A11,kurspris!$A$1:$Q$913,15,FALSE)</f>
        <v>20757</v>
      </c>
      <c r="Y11" s="40">
        <f>VLOOKUP(A11,kurspris!$A$1:$Q$913,16,FALSE)</f>
        <v>36082</v>
      </c>
      <c r="Z11" s="40">
        <f t="shared" si="1"/>
        <v>12856.674999999999</v>
      </c>
      <c r="AA11" s="40">
        <f>VLOOKUP(A11,kurspris!$A$1:$Q$913,17,FALSE)</f>
        <v>22600</v>
      </c>
      <c r="AB11" s="40">
        <f t="shared" si="2"/>
        <v>5650</v>
      </c>
      <c r="AC11" s="40">
        <f t="shared" si="3"/>
        <v>18506.674999999999</v>
      </c>
      <c r="AD11" s="31">
        <f>VLOOKUP($A11,kurspris!$A$1:$Q$950,3,FALSE)</f>
        <v>0</v>
      </c>
      <c r="AE11" s="31">
        <f>VLOOKUP($A11,kurspris!$A$1:$Q$950,4,FALSE)</f>
        <v>0</v>
      </c>
      <c r="AF11" s="31">
        <f>VLOOKUP($A11,kurspris!$A$1:$Q$950,5,FALSE)</f>
        <v>0</v>
      </c>
      <c r="AG11" s="31">
        <f>VLOOKUP($A11,kurspris!$A$1:$Q$950,6,FALSE)</f>
        <v>0</v>
      </c>
      <c r="AH11" s="31">
        <f>VLOOKUP($A11,kurspris!$A$1:$Q$950,7,FALSE)</f>
        <v>0</v>
      </c>
      <c r="AI11" s="31">
        <f>VLOOKUP($A11,kurspris!$A$1:$Q$950,8,FALSE)</f>
        <v>1</v>
      </c>
      <c r="AJ11" s="31">
        <f>VLOOKUP($A11,kurspris!$A$1:$Q$950,9,FALSE)</f>
        <v>0</v>
      </c>
      <c r="AK11" s="31">
        <f>VLOOKUP($A11,kurspris!$A$1:$Q$950,10,FALSE)</f>
        <v>0</v>
      </c>
      <c r="AL11" s="31">
        <f>VLOOKUP($A11,kurspris!$A$1:$Q$950,11,FALSE)</f>
        <v>0</v>
      </c>
      <c r="AM11" s="31">
        <f>VLOOKUP($A11,kurspris!$A$1:$Q$950,12,FALSE)</f>
        <v>0</v>
      </c>
      <c r="AN11" s="31">
        <f>VLOOKUP($A11,kurspris!$A$1:$Q$950,13,FALSE)</f>
        <v>0</v>
      </c>
      <c r="AO11" s="31">
        <f>VLOOKUP($A11,kurspris!$A$1:$Q$950,14,FALSE)</f>
        <v>0</v>
      </c>
      <c r="AP11" s="57" t="s">
        <v>2402</v>
      </c>
      <c r="AQ11"/>
      <c r="AR11" s="31">
        <f t="shared" si="4"/>
        <v>0</v>
      </c>
      <c r="AS11" s="219">
        <f t="shared" si="5"/>
        <v>0</v>
      </c>
      <c r="AT11" s="31">
        <f t="shared" si="6"/>
        <v>0</v>
      </c>
      <c r="AU11" s="219">
        <f t="shared" si="7"/>
        <v>0</v>
      </c>
      <c r="AV11" s="31">
        <f t="shared" si="8"/>
        <v>0</v>
      </c>
      <c r="AW11" s="31">
        <f t="shared" si="9"/>
        <v>0</v>
      </c>
      <c r="AX11" s="31">
        <f t="shared" si="10"/>
        <v>0</v>
      </c>
      <c r="AY11" s="219">
        <f t="shared" si="11"/>
        <v>0</v>
      </c>
      <c r="AZ11" s="196">
        <f t="shared" si="12"/>
        <v>0</v>
      </c>
      <c r="BA11" s="219">
        <f t="shared" si="13"/>
        <v>0</v>
      </c>
      <c r="BB11" s="31">
        <f t="shared" si="14"/>
        <v>0.25</v>
      </c>
      <c r="BC11" s="219">
        <f t="shared" si="15"/>
        <v>0.21249999999999999</v>
      </c>
      <c r="BD11" s="31">
        <f t="shared" si="16"/>
        <v>0</v>
      </c>
      <c r="BE11" s="219">
        <f t="shared" si="17"/>
        <v>0</v>
      </c>
      <c r="BF11" s="31">
        <f t="shared" si="18"/>
        <v>0</v>
      </c>
      <c r="BG11" s="219">
        <f t="shared" si="19"/>
        <v>0</v>
      </c>
      <c r="BH11" s="31">
        <f t="shared" si="20"/>
        <v>0</v>
      </c>
      <c r="BI11" s="219">
        <f t="shared" si="21"/>
        <v>0</v>
      </c>
      <c r="BJ11" s="31">
        <f t="shared" si="22"/>
        <v>0</v>
      </c>
      <c r="BK11" s="219">
        <f t="shared" si="23"/>
        <v>0</v>
      </c>
      <c r="BL11" s="31">
        <f t="shared" si="24"/>
        <v>0</v>
      </c>
      <c r="BM11" s="219">
        <f t="shared" si="25"/>
        <v>0</v>
      </c>
      <c r="BN11" s="31">
        <f t="shared" si="26"/>
        <v>0</v>
      </c>
      <c r="BO11" s="219">
        <f t="shared" si="27"/>
        <v>0</v>
      </c>
    </row>
    <row r="12" spans="1:67" x14ac:dyDescent="0.25">
      <c r="A12" s="31" t="s">
        <v>1973</v>
      </c>
      <c r="B12" s="176" t="str">
        <f>VLOOKUP(A12,kurspris!$A$1:$B$992,2,FALSE)</f>
        <v>Ekologi</v>
      </c>
      <c r="C12" s="31">
        <v>50205</v>
      </c>
      <c r="D12" s="60" t="s">
        <v>482</v>
      </c>
      <c r="E12" s="60"/>
      <c r="F12" s="57" t="s">
        <v>2274</v>
      </c>
      <c r="H12" s="31" t="s">
        <v>2335</v>
      </c>
      <c r="I12" s="31" t="s">
        <v>2399</v>
      </c>
      <c r="J12" s="31" t="s">
        <v>2232</v>
      </c>
      <c r="L12" s="38"/>
      <c r="M12">
        <v>15</v>
      </c>
      <c r="P12" s="31">
        <v>1</v>
      </c>
      <c r="Q12" s="539">
        <v>0.25</v>
      </c>
      <c r="R12" s="38">
        <v>0.85</v>
      </c>
      <c r="S12" s="280">
        <f t="shared" si="0"/>
        <v>0.21249999999999999</v>
      </c>
      <c r="T12" s="31">
        <f>VLOOKUP(A12,'Ansvar kurs'!$A$1:$C$1123,2,FALSE)</f>
        <v>5100</v>
      </c>
      <c r="U12" s="31" t="str">
        <f>VLOOKUP(T12,Orgenheter!$A$1:$C$166,2,FALSE)</f>
        <v>EMG</v>
      </c>
      <c r="V12" s="31" t="str">
        <f>VLOOKUP(T12,Orgenheter!$A$1:$C$166,3,FALSE)</f>
        <v>TekNat</v>
      </c>
      <c r="W12" s="35" t="str">
        <f>VLOOKUP(D12,Program!$A$1:$B$36,2,FALSE)</f>
        <v>Ämneslärarprogrammet - Gy</v>
      </c>
      <c r="X12" s="40">
        <f>VLOOKUP(A12,kurspris!$A$1:$Q$913,15,FALSE)</f>
        <v>20757</v>
      </c>
      <c r="Y12" s="40">
        <f>VLOOKUP(A12,kurspris!$A$1:$Q$913,16,FALSE)</f>
        <v>36082</v>
      </c>
      <c r="Z12" s="40">
        <f t="shared" si="1"/>
        <v>12856.674999999999</v>
      </c>
      <c r="AA12" s="40">
        <f>VLOOKUP(A12,kurspris!$A$1:$Q$913,17,FALSE)</f>
        <v>22600</v>
      </c>
      <c r="AB12" s="40">
        <f t="shared" si="2"/>
        <v>5650</v>
      </c>
      <c r="AC12" s="40">
        <f t="shared" si="3"/>
        <v>18506.674999999999</v>
      </c>
      <c r="AD12" s="31">
        <f>VLOOKUP($A12,kurspris!$A$1:$Q$950,3,FALSE)</f>
        <v>0</v>
      </c>
      <c r="AE12" s="31">
        <f>VLOOKUP($A12,kurspris!$A$1:$Q$950,4,FALSE)</f>
        <v>0</v>
      </c>
      <c r="AF12" s="31">
        <f>VLOOKUP($A12,kurspris!$A$1:$Q$950,5,FALSE)</f>
        <v>0</v>
      </c>
      <c r="AG12" s="31">
        <f>VLOOKUP($A12,kurspris!$A$1:$Q$950,6,FALSE)</f>
        <v>0</v>
      </c>
      <c r="AH12" s="31">
        <f>VLOOKUP($A12,kurspris!$A$1:$Q$950,7,FALSE)</f>
        <v>0</v>
      </c>
      <c r="AI12" s="31">
        <f>VLOOKUP($A12,kurspris!$A$1:$Q$950,8,FALSE)</f>
        <v>1</v>
      </c>
      <c r="AJ12" s="31">
        <f>VLOOKUP($A12,kurspris!$A$1:$Q$950,9,FALSE)</f>
        <v>0</v>
      </c>
      <c r="AK12" s="31">
        <f>VLOOKUP($A12,kurspris!$A$1:$Q$950,10,FALSE)</f>
        <v>0</v>
      </c>
      <c r="AL12" s="31">
        <f>VLOOKUP($A12,kurspris!$A$1:$Q$950,11,FALSE)</f>
        <v>0</v>
      </c>
      <c r="AM12" s="31">
        <f>VLOOKUP($A12,kurspris!$A$1:$Q$950,12,FALSE)</f>
        <v>0</v>
      </c>
      <c r="AN12" s="31">
        <f>VLOOKUP($A12,kurspris!$A$1:$Q$950,13,FALSE)</f>
        <v>0</v>
      </c>
      <c r="AO12" s="31">
        <f>VLOOKUP($A12,kurspris!$A$1:$Q$950,14,FALSE)</f>
        <v>0</v>
      </c>
      <c r="AP12" s="57" t="s">
        <v>2402</v>
      </c>
      <c r="AQ12"/>
      <c r="AR12" s="31">
        <f t="shared" si="4"/>
        <v>0</v>
      </c>
      <c r="AS12" s="219">
        <f t="shared" si="5"/>
        <v>0</v>
      </c>
      <c r="AT12" s="31">
        <f t="shared" si="6"/>
        <v>0</v>
      </c>
      <c r="AU12" s="219">
        <f t="shared" si="7"/>
        <v>0</v>
      </c>
      <c r="AV12" s="31">
        <f t="shared" si="8"/>
        <v>0</v>
      </c>
      <c r="AW12" s="31">
        <f t="shared" si="9"/>
        <v>0</v>
      </c>
      <c r="AX12" s="31">
        <f t="shared" si="10"/>
        <v>0</v>
      </c>
      <c r="AY12" s="219">
        <f t="shared" si="11"/>
        <v>0</v>
      </c>
      <c r="AZ12" s="196">
        <f t="shared" si="12"/>
        <v>0</v>
      </c>
      <c r="BA12" s="219">
        <f t="shared" si="13"/>
        <v>0</v>
      </c>
      <c r="BB12" s="31">
        <f t="shared" si="14"/>
        <v>0.25</v>
      </c>
      <c r="BC12" s="219">
        <f t="shared" si="15"/>
        <v>0.21249999999999999</v>
      </c>
      <c r="BD12" s="31">
        <f t="shared" si="16"/>
        <v>0</v>
      </c>
      <c r="BE12" s="219">
        <f t="shared" si="17"/>
        <v>0</v>
      </c>
      <c r="BF12" s="31">
        <f t="shared" si="18"/>
        <v>0</v>
      </c>
      <c r="BG12" s="219">
        <f t="shared" si="19"/>
        <v>0</v>
      </c>
      <c r="BH12" s="31">
        <f t="shared" si="20"/>
        <v>0</v>
      </c>
      <c r="BI12" s="219">
        <f t="shared" si="21"/>
        <v>0</v>
      </c>
      <c r="BJ12" s="31">
        <f t="shared" si="22"/>
        <v>0</v>
      </c>
      <c r="BK12" s="219">
        <f t="shared" si="23"/>
        <v>0</v>
      </c>
      <c r="BL12" s="31">
        <f t="shared" si="24"/>
        <v>0</v>
      </c>
      <c r="BM12" s="219">
        <f t="shared" si="25"/>
        <v>0</v>
      </c>
      <c r="BN12" s="31">
        <f t="shared" si="26"/>
        <v>0</v>
      </c>
      <c r="BO12" s="219">
        <f t="shared" si="27"/>
        <v>0</v>
      </c>
    </row>
    <row r="13" spans="1:67" x14ac:dyDescent="0.25">
      <c r="A13" s="31" t="s">
        <v>1972</v>
      </c>
      <c r="B13" s="176" t="str">
        <f>VLOOKUP(A13,kurspris!$A$1:$B$992,2,FALSE)</f>
        <v>Ekologi A</v>
      </c>
      <c r="C13" s="31">
        <v>50208</v>
      </c>
      <c r="D13" s="60" t="s">
        <v>482</v>
      </c>
      <c r="E13" s="60"/>
      <c r="F13" s="57" t="s">
        <v>2274</v>
      </c>
      <c r="H13" s="31" t="s">
        <v>2335</v>
      </c>
      <c r="I13" s="31" t="s">
        <v>2275</v>
      </c>
      <c r="J13" s="31" t="s">
        <v>2234</v>
      </c>
      <c r="L13" s="38"/>
      <c r="M13">
        <v>15</v>
      </c>
      <c r="P13" s="31">
        <v>4</v>
      </c>
      <c r="Q13" s="539">
        <v>1</v>
      </c>
      <c r="R13" s="38">
        <v>0.85</v>
      </c>
      <c r="S13" s="280">
        <f t="shared" si="0"/>
        <v>0.85</v>
      </c>
      <c r="T13" s="31">
        <f>VLOOKUP(A13,'Ansvar kurs'!$A$1:$C$1123,2,FALSE)</f>
        <v>5100</v>
      </c>
      <c r="U13" s="31" t="str">
        <f>VLOOKUP(T13,Orgenheter!$A$1:$C$166,2,FALSE)</f>
        <v>EMG</v>
      </c>
      <c r="V13" s="31" t="str">
        <f>VLOOKUP(T13,Orgenheter!$A$1:$C$166,3,FALSE)</f>
        <v>TekNat</v>
      </c>
      <c r="W13" s="35" t="str">
        <f>VLOOKUP(D13,Program!$A$1:$B$36,2,FALSE)</f>
        <v>Ämneslärarprogrammet - Gy</v>
      </c>
      <c r="X13" s="40">
        <f>VLOOKUP(A13,kurspris!$A$1:$Q$913,15,FALSE)</f>
        <v>20757</v>
      </c>
      <c r="Y13" s="40">
        <f>VLOOKUP(A13,kurspris!$A$1:$Q$913,16,FALSE)</f>
        <v>36082</v>
      </c>
      <c r="Z13" s="40">
        <f t="shared" si="1"/>
        <v>51426.7</v>
      </c>
      <c r="AA13" s="40">
        <f>VLOOKUP(A13,kurspris!$A$1:$Q$913,17,FALSE)</f>
        <v>22600</v>
      </c>
      <c r="AB13" s="40">
        <f t="shared" si="2"/>
        <v>22600</v>
      </c>
      <c r="AC13" s="40">
        <f t="shared" si="3"/>
        <v>74026.7</v>
      </c>
      <c r="AD13" s="31">
        <f>VLOOKUP($A13,kurspris!$A$1:$Q$950,3,FALSE)</f>
        <v>0</v>
      </c>
      <c r="AE13" s="31">
        <f>VLOOKUP($A13,kurspris!$A$1:$Q$950,4,FALSE)</f>
        <v>0</v>
      </c>
      <c r="AF13" s="31">
        <f>VLOOKUP($A13,kurspris!$A$1:$Q$950,5,FALSE)</f>
        <v>0</v>
      </c>
      <c r="AG13" s="31">
        <f>VLOOKUP($A13,kurspris!$A$1:$Q$950,6,FALSE)</f>
        <v>0</v>
      </c>
      <c r="AH13" s="31">
        <f>VLOOKUP($A13,kurspris!$A$1:$Q$950,7,FALSE)</f>
        <v>0</v>
      </c>
      <c r="AI13" s="31">
        <f>VLOOKUP($A13,kurspris!$A$1:$Q$950,8,FALSE)</f>
        <v>1</v>
      </c>
      <c r="AJ13" s="31">
        <f>VLOOKUP($A13,kurspris!$A$1:$Q$950,9,FALSE)</f>
        <v>0</v>
      </c>
      <c r="AK13" s="31">
        <f>VLOOKUP($A13,kurspris!$A$1:$Q$950,10,FALSE)</f>
        <v>0</v>
      </c>
      <c r="AL13" s="31">
        <f>VLOOKUP($A13,kurspris!$A$1:$Q$950,11,FALSE)</f>
        <v>0</v>
      </c>
      <c r="AM13" s="31">
        <f>VLOOKUP($A13,kurspris!$A$1:$Q$950,12,FALSE)</f>
        <v>0</v>
      </c>
      <c r="AN13" s="31">
        <f>VLOOKUP($A13,kurspris!$A$1:$Q$950,13,FALSE)</f>
        <v>0</v>
      </c>
      <c r="AO13" s="31">
        <f>VLOOKUP($A13,kurspris!$A$1:$Q$950,14,FALSE)</f>
        <v>0</v>
      </c>
      <c r="AP13" s="57" t="s">
        <v>2402</v>
      </c>
      <c r="AQ13"/>
      <c r="AR13" s="31">
        <f t="shared" si="4"/>
        <v>0</v>
      </c>
      <c r="AS13" s="219">
        <f t="shared" si="5"/>
        <v>0</v>
      </c>
      <c r="AT13" s="31">
        <f t="shared" si="6"/>
        <v>0</v>
      </c>
      <c r="AU13" s="219">
        <f t="shared" si="7"/>
        <v>0</v>
      </c>
      <c r="AV13" s="31">
        <f t="shared" si="8"/>
        <v>0</v>
      </c>
      <c r="AW13" s="31">
        <f t="shared" si="9"/>
        <v>0</v>
      </c>
      <c r="AX13" s="31">
        <f t="shared" si="10"/>
        <v>0</v>
      </c>
      <c r="AY13" s="219">
        <f t="shared" si="11"/>
        <v>0</v>
      </c>
      <c r="AZ13" s="196">
        <f t="shared" si="12"/>
        <v>0</v>
      </c>
      <c r="BA13" s="219">
        <f t="shared" si="13"/>
        <v>0</v>
      </c>
      <c r="BB13" s="31">
        <f t="shared" si="14"/>
        <v>1</v>
      </c>
      <c r="BC13" s="219">
        <f t="shared" si="15"/>
        <v>0.85</v>
      </c>
      <c r="BD13" s="31">
        <f t="shared" si="16"/>
        <v>0</v>
      </c>
      <c r="BE13" s="219">
        <f t="shared" si="17"/>
        <v>0</v>
      </c>
      <c r="BF13" s="31">
        <f t="shared" si="18"/>
        <v>0</v>
      </c>
      <c r="BG13" s="219">
        <f t="shared" si="19"/>
        <v>0</v>
      </c>
      <c r="BH13" s="31">
        <f t="shared" si="20"/>
        <v>0</v>
      </c>
      <c r="BI13" s="219">
        <f t="shared" si="21"/>
        <v>0</v>
      </c>
      <c r="BJ13" s="31">
        <f t="shared" si="22"/>
        <v>0</v>
      </c>
      <c r="BK13" s="219">
        <f t="shared" si="23"/>
        <v>0</v>
      </c>
      <c r="BL13" s="31">
        <f t="shared" si="24"/>
        <v>0</v>
      </c>
      <c r="BM13" s="219">
        <f t="shared" si="25"/>
        <v>0</v>
      </c>
      <c r="BN13" s="31">
        <f t="shared" si="26"/>
        <v>0</v>
      </c>
      <c r="BO13" s="219">
        <f t="shared" si="27"/>
        <v>0</v>
      </c>
    </row>
    <row r="14" spans="1:67" x14ac:dyDescent="0.25">
      <c r="A14" s="31" t="s">
        <v>1972</v>
      </c>
      <c r="B14" s="176" t="str">
        <f>VLOOKUP(A14,kurspris!$A$1:$B$992,2,FALSE)</f>
        <v>Ekologi A</v>
      </c>
      <c r="C14" s="31">
        <v>50208</v>
      </c>
      <c r="D14" s="60" t="s">
        <v>482</v>
      </c>
      <c r="E14" s="60"/>
      <c r="F14" s="57" t="s">
        <v>2274</v>
      </c>
      <c r="H14" s="31" t="s">
        <v>2335</v>
      </c>
      <c r="I14" s="31" t="s">
        <v>2275</v>
      </c>
      <c r="J14" s="31" t="s">
        <v>2232</v>
      </c>
      <c r="L14" s="38"/>
      <c r="M14">
        <v>15</v>
      </c>
      <c r="P14" s="31">
        <v>2</v>
      </c>
      <c r="Q14" s="539">
        <v>0.5</v>
      </c>
      <c r="R14" s="38">
        <v>0.85</v>
      </c>
      <c r="S14" s="280">
        <f t="shared" si="0"/>
        <v>0.42499999999999999</v>
      </c>
      <c r="T14" s="31">
        <f>VLOOKUP(A14,'Ansvar kurs'!$A$1:$C$1123,2,FALSE)</f>
        <v>5100</v>
      </c>
      <c r="U14" s="31" t="str">
        <f>VLOOKUP(T14,Orgenheter!$A$1:$C$166,2,FALSE)</f>
        <v>EMG</v>
      </c>
      <c r="V14" s="31" t="str">
        <f>VLOOKUP(T14,Orgenheter!$A$1:$C$166,3,FALSE)</f>
        <v>TekNat</v>
      </c>
      <c r="W14" s="35" t="str">
        <f>VLOOKUP(D14,Program!$A$1:$B$36,2,FALSE)</f>
        <v>Ämneslärarprogrammet - Gy</v>
      </c>
      <c r="X14" s="40">
        <f>VLOOKUP(A14,kurspris!$A$1:$Q$913,15,FALSE)</f>
        <v>20757</v>
      </c>
      <c r="Y14" s="40">
        <f>VLOOKUP(A14,kurspris!$A$1:$Q$913,16,FALSE)</f>
        <v>36082</v>
      </c>
      <c r="Z14" s="40">
        <f t="shared" si="1"/>
        <v>25713.35</v>
      </c>
      <c r="AA14" s="40">
        <f>VLOOKUP(A14,kurspris!$A$1:$Q$913,17,FALSE)</f>
        <v>22600</v>
      </c>
      <c r="AB14" s="40">
        <f t="shared" si="2"/>
        <v>11300</v>
      </c>
      <c r="AC14" s="40">
        <f t="shared" si="3"/>
        <v>37013.35</v>
      </c>
      <c r="AD14" s="31">
        <f>VLOOKUP($A14,kurspris!$A$1:$Q$950,3,FALSE)</f>
        <v>0</v>
      </c>
      <c r="AE14" s="31">
        <f>VLOOKUP($A14,kurspris!$A$1:$Q$950,4,FALSE)</f>
        <v>0</v>
      </c>
      <c r="AF14" s="31">
        <f>VLOOKUP($A14,kurspris!$A$1:$Q$950,5,FALSE)</f>
        <v>0</v>
      </c>
      <c r="AG14" s="31">
        <f>VLOOKUP($A14,kurspris!$A$1:$Q$950,6,FALSE)</f>
        <v>0</v>
      </c>
      <c r="AH14" s="31">
        <f>VLOOKUP($A14,kurspris!$A$1:$Q$950,7,FALSE)</f>
        <v>0</v>
      </c>
      <c r="AI14" s="31">
        <f>VLOOKUP($A14,kurspris!$A$1:$Q$950,8,FALSE)</f>
        <v>1</v>
      </c>
      <c r="AJ14" s="31">
        <f>VLOOKUP($A14,kurspris!$A$1:$Q$950,9,FALSE)</f>
        <v>0</v>
      </c>
      <c r="AK14" s="31">
        <f>VLOOKUP($A14,kurspris!$A$1:$Q$950,10,FALSE)</f>
        <v>0</v>
      </c>
      <c r="AL14" s="31">
        <f>VLOOKUP($A14,kurspris!$A$1:$Q$950,11,FALSE)</f>
        <v>0</v>
      </c>
      <c r="AM14" s="31">
        <f>VLOOKUP($A14,kurspris!$A$1:$Q$950,12,FALSE)</f>
        <v>0</v>
      </c>
      <c r="AN14" s="31">
        <f>VLOOKUP($A14,kurspris!$A$1:$Q$950,13,FALSE)</f>
        <v>0</v>
      </c>
      <c r="AO14" s="31">
        <f>VLOOKUP($A14,kurspris!$A$1:$Q$950,14,FALSE)</f>
        <v>0</v>
      </c>
      <c r="AP14" s="57" t="s">
        <v>2402</v>
      </c>
      <c r="AQ14"/>
      <c r="AR14" s="31">
        <f t="shared" si="4"/>
        <v>0</v>
      </c>
      <c r="AS14" s="219">
        <f t="shared" si="5"/>
        <v>0</v>
      </c>
      <c r="AT14" s="31">
        <f t="shared" si="6"/>
        <v>0</v>
      </c>
      <c r="AU14" s="219">
        <f t="shared" si="7"/>
        <v>0</v>
      </c>
      <c r="AV14" s="31">
        <f t="shared" si="8"/>
        <v>0</v>
      </c>
      <c r="AW14" s="31">
        <f t="shared" si="9"/>
        <v>0</v>
      </c>
      <c r="AX14" s="31">
        <f t="shared" si="10"/>
        <v>0</v>
      </c>
      <c r="AY14" s="219">
        <f t="shared" si="11"/>
        <v>0</v>
      </c>
      <c r="AZ14" s="196">
        <f t="shared" si="12"/>
        <v>0</v>
      </c>
      <c r="BA14" s="219">
        <f t="shared" si="13"/>
        <v>0</v>
      </c>
      <c r="BB14" s="31">
        <f t="shared" si="14"/>
        <v>0.5</v>
      </c>
      <c r="BC14" s="219">
        <f t="shared" si="15"/>
        <v>0.42499999999999999</v>
      </c>
      <c r="BD14" s="31">
        <f t="shared" si="16"/>
        <v>0</v>
      </c>
      <c r="BE14" s="219">
        <f t="shared" si="17"/>
        <v>0</v>
      </c>
      <c r="BF14" s="31">
        <f t="shared" si="18"/>
        <v>0</v>
      </c>
      <c r="BG14" s="219">
        <f t="shared" si="19"/>
        <v>0</v>
      </c>
      <c r="BH14" s="31">
        <f t="shared" si="20"/>
        <v>0</v>
      </c>
      <c r="BI14" s="219">
        <f t="shared" si="21"/>
        <v>0</v>
      </c>
      <c r="BJ14" s="31">
        <f t="shared" si="22"/>
        <v>0</v>
      </c>
      <c r="BK14" s="219">
        <f t="shared" si="23"/>
        <v>0</v>
      </c>
      <c r="BL14" s="31">
        <f t="shared" si="24"/>
        <v>0</v>
      </c>
      <c r="BM14" s="219">
        <f t="shared" si="25"/>
        <v>0</v>
      </c>
      <c r="BN14" s="31">
        <f t="shared" si="26"/>
        <v>0</v>
      </c>
      <c r="BO14" s="219">
        <f t="shared" si="27"/>
        <v>0</v>
      </c>
    </row>
    <row r="15" spans="1:67" x14ac:dyDescent="0.25">
      <c r="A15" s="31" t="s">
        <v>1972</v>
      </c>
      <c r="B15" s="176" t="str">
        <f>VLOOKUP(A15,kurspris!$A$1:$B$992,2,FALSE)</f>
        <v>Ekologi A</v>
      </c>
      <c r="C15" s="31">
        <v>50208</v>
      </c>
      <c r="D15" s="60" t="s">
        <v>482</v>
      </c>
      <c r="E15" s="60"/>
      <c r="F15" s="57" t="s">
        <v>2274</v>
      </c>
      <c r="H15" s="31" t="s">
        <v>2335</v>
      </c>
      <c r="I15" s="31" t="s">
        <v>2275</v>
      </c>
      <c r="J15" s="31" t="s">
        <v>2233</v>
      </c>
      <c r="L15" s="38"/>
      <c r="M15">
        <v>15</v>
      </c>
      <c r="P15" s="31">
        <v>1</v>
      </c>
      <c r="Q15" s="539">
        <v>0.25</v>
      </c>
      <c r="R15" s="38">
        <v>0.85</v>
      </c>
      <c r="S15" s="280">
        <f t="shared" si="0"/>
        <v>0.21249999999999999</v>
      </c>
      <c r="T15" s="31">
        <f>VLOOKUP(A15,'Ansvar kurs'!$A$1:$C$1123,2,FALSE)</f>
        <v>5100</v>
      </c>
      <c r="U15" s="31" t="str">
        <f>VLOOKUP(T15,Orgenheter!$A$1:$C$166,2,FALSE)</f>
        <v>EMG</v>
      </c>
      <c r="V15" s="31" t="str">
        <f>VLOOKUP(T15,Orgenheter!$A$1:$C$166,3,FALSE)</f>
        <v>TekNat</v>
      </c>
      <c r="W15" s="35" t="str">
        <f>VLOOKUP(D15,Program!$A$1:$B$36,2,FALSE)</f>
        <v>Ämneslärarprogrammet - Gy</v>
      </c>
      <c r="X15" s="40">
        <f>VLOOKUP(A15,kurspris!$A$1:$Q$913,15,FALSE)</f>
        <v>20757</v>
      </c>
      <c r="Y15" s="40">
        <f>VLOOKUP(A15,kurspris!$A$1:$Q$913,16,FALSE)</f>
        <v>36082</v>
      </c>
      <c r="Z15" s="40">
        <f t="shared" si="1"/>
        <v>12856.674999999999</v>
      </c>
      <c r="AA15" s="40">
        <f>VLOOKUP(A15,kurspris!$A$1:$Q$913,17,FALSE)</f>
        <v>22600</v>
      </c>
      <c r="AB15" s="40">
        <f t="shared" si="2"/>
        <v>5650</v>
      </c>
      <c r="AC15" s="40">
        <f t="shared" si="3"/>
        <v>18506.674999999999</v>
      </c>
      <c r="AD15" s="31">
        <f>VLOOKUP($A15,kurspris!$A$1:$Q$950,3,FALSE)</f>
        <v>0</v>
      </c>
      <c r="AE15" s="31">
        <f>VLOOKUP($A15,kurspris!$A$1:$Q$950,4,FALSE)</f>
        <v>0</v>
      </c>
      <c r="AF15" s="31">
        <f>VLOOKUP($A15,kurspris!$A$1:$Q$950,5,FALSE)</f>
        <v>0</v>
      </c>
      <c r="AG15" s="31">
        <f>VLOOKUP($A15,kurspris!$A$1:$Q$950,6,FALSE)</f>
        <v>0</v>
      </c>
      <c r="AH15" s="31">
        <f>VLOOKUP($A15,kurspris!$A$1:$Q$950,7,FALSE)</f>
        <v>0</v>
      </c>
      <c r="AI15" s="31">
        <f>VLOOKUP($A15,kurspris!$A$1:$Q$950,8,FALSE)</f>
        <v>1</v>
      </c>
      <c r="AJ15" s="31">
        <f>VLOOKUP($A15,kurspris!$A$1:$Q$950,9,FALSE)</f>
        <v>0</v>
      </c>
      <c r="AK15" s="31">
        <f>VLOOKUP($A15,kurspris!$A$1:$Q$950,10,FALSE)</f>
        <v>0</v>
      </c>
      <c r="AL15" s="31">
        <f>VLOOKUP($A15,kurspris!$A$1:$Q$950,11,FALSE)</f>
        <v>0</v>
      </c>
      <c r="AM15" s="31">
        <f>VLOOKUP($A15,kurspris!$A$1:$Q$950,12,FALSE)</f>
        <v>0</v>
      </c>
      <c r="AN15" s="31">
        <f>VLOOKUP($A15,kurspris!$A$1:$Q$950,13,FALSE)</f>
        <v>0</v>
      </c>
      <c r="AO15" s="31">
        <f>VLOOKUP($A15,kurspris!$A$1:$Q$950,14,FALSE)</f>
        <v>0</v>
      </c>
      <c r="AP15" s="57" t="s">
        <v>2402</v>
      </c>
      <c r="AQ15"/>
      <c r="AR15" s="31">
        <f t="shared" si="4"/>
        <v>0</v>
      </c>
      <c r="AS15" s="219">
        <f t="shared" si="5"/>
        <v>0</v>
      </c>
      <c r="AT15" s="31">
        <f t="shared" si="6"/>
        <v>0</v>
      </c>
      <c r="AU15" s="219">
        <f t="shared" si="7"/>
        <v>0</v>
      </c>
      <c r="AV15" s="31">
        <f t="shared" si="8"/>
        <v>0</v>
      </c>
      <c r="AW15" s="31">
        <f t="shared" si="9"/>
        <v>0</v>
      </c>
      <c r="AX15" s="31">
        <f t="shared" si="10"/>
        <v>0</v>
      </c>
      <c r="AY15" s="219">
        <f t="shared" si="11"/>
        <v>0</v>
      </c>
      <c r="AZ15" s="196">
        <f t="shared" si="12"/>
        <v>0</v>
      </c>
      <c r="BA15" s="219">
        <f t="shared" si="13"/>
        <v>0</v>
      </c>
      <c r="BB15" s="31">
        <f t="shared" si="14"/>
        <v>0.25</v>
      </c>
      <c r="BC15" s="219">
        <f t="shared" si="15"/>
        <v>0.21249999999999999</v>
      </c>
      <c r="BD15" s="31">
        <f t="shared" si="16"/>
        <v>0</v>
      </c>
      <c r="BE15" s="219">
        <f t="shared" si="17"/>
        <v>0</v>
      </c>
      <c r="BF15" s="31">
        <f t="shared" si="18"/>
        <v>0</v>
      </c>
      <c r="BG15" s="219">
        <f t="shared" si="19"/>
        <v>0</v>
      </c>
      <c r="BH15" s="31">
        <f t="shared" si="20"/>
        <v>0</v>
      </c>
      <c r="BI15" s="219">
        <f t="shared" si="21"/>
        <v>0</v>
      </c>
      <c r="BJ15" s="31">
        <f t="shared" si="22"/>
        <v>0</v>
      </c>
      <c r="BK15" s="219">
        <f t="shared" si="23"/>
        <v>0</v>
      </c>
      <c r="BL15" s="31">
        <f t="shared" si="24"/>
        <v>0</v>
      </c>
      <c r="BM15" s="219">
        <f t="shared" si="25"/>
        <v>0</v>
      </c>
      <c r="BN15" s="31">
        <f t="shared" si="26"/>
        <v>0</v>
      </c>
      <c r="BO15" s="219">
        <f t="shared" si="27"/>
        <v>0</v>
      </c>
    </row>
    <row r="16" spans="1:67" x14ac:dyDescent="0.25">
      <c r="A16" s="31" t="s">
        <v>1972</v>
      </c>
      <c r="B16" s="176" t="str">
        <f>VLOOKUP(A16,kurspris!$A$1:$B$992,2,FALSE)</f>
        <v>Ekologi A</v>
      </c>
      <c r="C16" s="31">
        <v>50208</v>
      </c>
      <c r="D16" s="60" t="s">
        <v>482</v>
      </c>
      <c r="E16" s="60"/>
      <c r="F16" s="57" t="s">
        <v>2274</v>
      </c>
      <c r="H16" s="31" t="s">
        <v>2335</v>
      </c>
      <c r="I16" s="31" t="s">
        <v>2275</v>
      </c>
      <c r="L16" s="38"/>
      <c r="M16">
        <v>15</v>
      </c>
      <c r="P16" s="31">
        <v>1</v>
      </c>
      <c r="Q16" s="539">
        <v>0.25</v>
      </c>
      <c r="R16" s="38">
        <v>0.85</v>
      </c>
      <c r="S16" s="280">
        <f t="shared" si="0"/>
        <v>0.21249999999999999</v>
      </c>
      <c r="T16" s="31">
        <f>VLOOKUP(A16,'Ansvar kurs'!$A$1:$C$1123,2,FALSE)</f>
        <v>5100</v>
      </c>
      <c r="U16" s="31" t="str">
        <f>VLOOKUP(T16,Orgenheter!$A$1:$C$166,2,FALSE)</f>
        <v>EMG</v>
      </c>
      <c r="V16" s="31" t="str">
        <f>VLOOKUP(T16,Orgenheter!$A$1:$C$166,3,FALSE)</f>
        <v>TekNat</v>
      </c>
      <c r="W16" s="35" t="str">
        <f>VLOOKUP(D16,Program!$A$1:$B$36,2,FALSE)</f>
        <v>Ämneslärarprogrammet - Gy</v>
      </c>
      <c r="X16" s="40">
        <f>VLOOKUP(A16,kurspris!$A$1:$Q$913,15,FALSE)</f>
        <v>20757</v>
      </c>
      <c r="Y16" s="40">
        <f>VLOOKUP(A16,kurspris!$A$1:$Q$913,16,FALSE)</f>
        <v>36082</v>
      </c>
      <c r="Z16" s="40">
        <f t="shared" si="1"/>
        <v>12856.674999999999</v>
      </c>
      <c r="AA16" s="40">
        <f>VLOOKUP(A16,kurspris!$A$1:$Q$913,17,FALSE)</f>
        <v>22600</v>
      </c>
      <c r="AB16" s="40">
        <f t="shared" si="2"/>
        <v>5650</v>
      </c>
      <c r="AC16" s="40">
        <f t="shared" si="3"/>
        <v>18506.674999999999</v>
      </c>
      <c r="AD16" s="31">
        <f>VLOOKUP($A16,kurspris!$A$1:$Q$950,3,FALSE)</f>
        <v>0</v>
      </c>
      <c r="AE16" s="31">
        <f>VLOOKUP($A16,kurspris!$A$1:$Q$950,4,FALSE)</f>
        <v>0</v>
      </c>
      <c r="AF16" s="31">
        <f>VLOOKUP($A16,kurspris!$A$1:$Q$950,5,FALSE)</f>
        <v>0</v>
      </c>
      <c r="AG16" s="31">
        <f>VLOOKUP($A16,kurspris!$A$1:$Q$950,6,FALSE)</f>
        <v>0</v>
      </c>
      <c r="AH16" s="31">
        <f>VLOOKUP($A16,kurspris!$A$1:$Q$950,7,FALSE)</f>
        <v>0</v>
      </c>
      <c r="AI16" s="31">
        <f>VLOOKUP($A16,kurspris!$A$1:$Q$950,8,FALSE)</f>
        <v>1</v>
      </c>
      <c r="AJ16" s="31">
        <f>VLOOKUP($A16,kurspris!$A$1:$Q$950,9,FALSE)</f>
        <v>0</v>
      </c>
      <c r="AK16" s="31">
        <f>VLOOKUP($A16,kurspris!$A$1:$Q$950,10,FALSE)</f>
        <v>0</v>
      </c>
      <c r="AL16" s="31">
        <f>VLOOKUP($A16,kurspris!$A$1:$Q$950,11,FALSE)</f>
        <v>0</v>
      </c>
      <c r="AM16" s="31">
        <f>VLOOKUP($A16,kurspris!$A$1:$Q$950,12,FALSE)</f>
        <v>0</v>
      </c>
      <c r="AN16" s="31">
        <f>VLOOKUP($A16,kurspris!$A$1:$Q$950,13,FALSE)</f>
        <v>0</v>
      </c>
      <c r="AO16" s="31">
        <f>VLOOKUP($A16,kurspris!$A$1:$Q$950,14,FALSE)</f>
        <v>0</v>
      </c>
      <c r="AP16" s="57" t="s">
        <v>2402</v>
      </c>
      <c r="AQ16"/>
      <c r="AR16" s="31">
        <f t="shared" si="4"/>
        <v>0</v>
      </c>
      <c r="AS16" s="219">
        <f t="shared" si="5"/>
        <v>0</v>
      </c>
      <c r="AT16" s="31">
        <f t="shared" si="6"/>
        <v>0</v>
      </c>
      <c r="AU16" s="219">
        <f t="shared" si="7"/>
        <v>0</v>
      </c>
      <c r="AV16" s="31">
        <f t="shared" si="8"/>
        <v>0</v>
      </c>
      <c r="AW16" s="31">
        <f t="shared" si="9"/>
        <v>0</v>
      </c>
      <c r="AX16" s="31">
        <f t="shared" si="10"/>
        <v>0</v>
      </c>
      <c r="AY16" s="219">
        <f t="shared" si="11"/>
        <v>0</v>
      </c>
      <c r="AZ16" s="196">
        <f t="shared" si="12"/>
        <v>0</v>
      </c>
      <c r="BA16" s="219">
        <f t="shared" si="13"/>
        <v>0</v>
      </c>
      <c r="BB16" s="31">
        <f t="shared" si="14"/>
        <v>0.25</v>
      </c>
      <c r="BC16" s="219">
        <f t="shared" si="15"/>
        <v>0.21249999999999999</v>
      </c>
      <c r="BD16" s="31">
        <f t="shared" si="16"/>
        <v>0</v>
      </c>
      <c r="BE16" s="219">
        <f t="shared" si="17"/>
        <v>0</v>
      </c>
      <c r="BF16" s="31">
        <f t="shared" si="18"/>
        <v>0</v>
      </c>
      <c r="BG16" s="219">
        <f t="shared" si="19"/>
        <v>0</v>
      </c>
      <c r="BH16" s="31">
        <f t="shared" si="20"/>
        <v>0</v>
      </c>
      <c r="BI16" s="219">
        <f t="shared" si="21"/>
        <v>0</v>
      </c>
      <c r="BJ16" s="31">
        <f t="shared" si="22"/>
        <v>0</v>
      </c>
      <c r="BK16" s="219">
        <f t="shared" si="23"/>
        <v>0</v>
      </c>
      <c r="BL16" s="31">
        <f t="shared" si="24"/>
        <v>0</v>
      </c>
      <c r="BM16" s="219">
        <f t="shared" si="25"/>
        <v>0</v>
      </c>
      <c r="BN16" s="31">
        <f t="shared" si="26"/>
        <v>0</v>
      </c>
      <c r="BO16" s="219">
        <f t="shared" si="27"/>
        <v>0</v>
      </c>
    </row>
    <row r="17" spans="1:67" x14ac:dyDescent="0.25">
      <c r="A17" s="31" t="s">
        <v>1476</v>
      </c>
      <c r="B17" s="176" t="str">
        <f>VLOOKUP(A17,kurspris!$A$1:$B$992,2,FALSE)</f>
        <v>Klassisk mekanik A</v>
      </c>
      <c r="C17" s="31">
        <v>53164</v>
      </c>
      <c r="D17" s="60" t="s">
        <v>482</v>
      </c>
      <c r="E17" s="60"/>
      <c r="F17" s="57" t="s">
        <v>2274</v>
      </c>
      <c r="H17" s="31" t="s">
        <v>2335</v>
      </c>
      <c r="I17" s="31" t="s">
        <v>2399</v>
      </c>
      <c r="J17" s="57" t="s">
        <v>2233</v>
      </c>
      <c r="L17" s="38"/>
      <c r="M17">
        <v>7.5</v>
      </c>
      <c r="P17" s="31">
        <v>1</v>
      </c>
      <c r="Q17" s="539">
        <v>0.125</v>
      </c>
      <c r="R17" s="38">
        <v>0.85</v>
      </c>
      <c r="S17" s="280">
        <f t="shared" si="0"/>
        <v>0.10625</v>
      </c>
      <c r="T17" s="31">
        <f>VLOOKUP(A17,'Ansvar kurs'!$A$1:$C$1123,2,FALSE)</f>
        <v>5400</v>
      </c>
      <c r="U17" s="31" t="str">
        <f>VLOOKUP(T17,Orgenheter!$A$1:$C$166,2,FALSE)</f>
        <v xml:space="preserve">Inst för Fysik                </v>
      </c>
      <c r="V17" s="31" t="str">
        <f>VLOOKUP(T17,Orgenheter!$A$1:$C$166,3,FALSE)</f>
        <v>TekNat</v>
      </c>
      <c r="W17" s="35" t="str">
        <f>VLOOKUP(D17,Program!$A$1:$B$36,2,FALSE)</f>
        <v>Ämneslärarprogrammet - Gy</v>
      </c>
      <c r="X17" s="40">
        <f>VLOOKUP(A17,kurspris!$A$1:$Q$913,15,FALSE)</f>
        <v>20757</v>
      </c>
      <c r="Y17" s="40">
        <f>VLOOKUP(A17,kurspris!$A$1:$Q$913,16,FALSE)</f>
        <v>36082</v>
      </c>
      <c r="Z17" s="40">
        <f t="shared" si="1"/>
        <v>6428.3374999999996</v>
      </c>
      <c r="AA17" s="40">
        <f>VLOOKUP(A17,kurspris!$A$1:$Q$913,17,FALSE)</f>
        <v>22600</v>
      </c>
      <c r="AB17" s="40">
        <f t="shared" si="2"/>
        <v>2825</v>
      </c>
      <c r="AC17" s="40">
        <f t="shared" si="3"/>
        <v>9253.3374999999996</v>
      </c>
      <c r="AD17" s="31">
        <f>VLOOKUP($A17,kurspris!$A$1:$Q$950,3,FALSE)</f>
        <v>0</v>
      </c>
      <c r="AE17" s="31">
        <f>VLOOKUP($A17,kurspris!$A$1:$Q$950,4,FALSE)</f>
        <v>0</v>
      </c>
      <c r="AF17" s="31">
        <f>VLOOKUP($A17,kurspris!$A$1:$Q$950,5,FALSE)</f>
        <v>0</v>
      </c>
      <c r="AG17" s="31">
        <f>VLOOKUP($A17,kurspris!$A$1:$Q$950,6,FALSE)</f>
        <v>0</v>
      </c>
      <c r="AH17" s="31">
        <f>VLOOKUP($A17,kurspris!$A$1:$Q$950,7,FALSE)</f>
        <v>0</v>
      </c>
      <c r="AI17" s="31">
        <f>VLOOKUP($A17,kurspris!$A$1:$Q$950,8,FALSE)</f>
        <v>0</v>
      </c>
      <c r="AJ17" s="31">
        <f>VLOOKUP($A17,kurspris!$A$1:$Q$950,9,FALSE)</f>
        <v>0</v>
      </c>
      <c r="AK17" s="31">
        <f>VLOOKUP($A17,kurspris!$A$1:$Q$950,10,FALSE)</f>
        <v>1</v>
      </c>
      <c r="AL17" s="31">
        <f>VLOOKUP($A17,kurspris!$A$1:$Q$950,11,FALSE)</f>
        <v>0</v>
      </c>
      <c r="AM17" s="31">
        <f>VLOOKUP($A17,kurspris!$A$1:$Q$950,12,FALSE)</f>
        <v>0</v>
      </c>
      <c r="AN17" s="31">
        <f>VLOOKUP($A17,kurspris!$A$1:$Q$950,13,FALSE)</f>
        <v>0</v>
      </c>
      <c r="AO17" s="31">
        <f>VLOOKUP($A17,kurspris!$A$1:$Q$950,14,FALSE)</f>
        <v>0</v>
      </c>
      <c r="AP17" s="57" t="s">
        <v>2402</v>
      </c>
      <c r="AQ17"/>
      <c r="AR17" s="31">
        <f t="shared" si="4"/>
        <v>0</v>
      </c>
      <c r="AS17" s="219">
        <f t="shared" si="5"/>
        <v>0</v>
      </c>
      <c r="AT17" s="31">
        <f t="shared" si="6"/>
        <v>0</v>
      </c>
      <c r="AU17" s="219">
        <f t="shared" si="7"/>
        <v>0</v>
      </c>
      <c r="AV17" s="31">
        <f t="shared" si="8"/>
        <v>0</v>
      </c>
      <c r="AW17" s="31">
        <f t="shared" si="9"/>
        <v>0</v>
      </c>
      <c r="AX17" s="31">
        <f t="shared" si="10"/>
        <v>0</v>
      </c>
      <c r="AY17" s="219">
        <f t="shared" si="11"/>
        <v>0</v>
      </c>
      <c r="AZ17" s="196">
        <f t="shared" si="12"/>
        <v>0</v>
      </c>
      <c r="BA17" s="219">
        <f t="shared" si="13"/>
        <v>0</v>
      </c>
      <c r="BB17" s="31">
        <f t="shared" si="14"/>
        <v>0</v>
      </c>
      <c r="BC17" s="219">
        <f t="shared" si="15"/>
        <v>0</v>
      </c>
      <c r="BD17" s="31">
        <f t="shared" si="16"/>
        <v>0</v>
      </c>
      <c r="BE17" s="219">
        <f t="shared" si="17"/>
        <v>0</v>
      </c>
      <c r="BF17" s="31">
        <f t="shared" si="18"/>
        <v>0.125</v>
      </c>
      <c r="BG17" s="219">
        <f t="shared" si="19"/>
        <v>0.10625</v>
      </c>
      <c r="BH17" s="31">
        <f t="shared" si="20"/>
        <v>0</v>
      </c>
      <c r="BI17" s="219">
        <f t="shared" si="21"/>
        <v>0</v>
      </c>
      <c r="BJ17" s="31">
        <f t="shared" si="22"/>
        <v>0</v>
      </c>
      <c r="BK17" s="219">
        <f t="shared" si="23"/>
        <v>0</v>
      </c>
      <c r="BL17" s="31">
        <f t="shared" si="24"/>
        <v>0</v>
      </c>
      <c r="BM17" s="219">
        <f t="shared" si="25"/>
        <v>0</v>
      </c>
      <c r="BN17" s="31">
        <f t="shared" si="26"/>
        <v>0</v>
      </c>
      <c r="BO17" s="219">
        <f t="shared" si="27"/>
        <v>0</v>
      </c>
    </row>
    <row r="18" spans="1:67" x14ac:dyDescent="0.25">
      <c r="A18" s="31" t="s">
        <v>2060</v>
      </c>
      <c r="B18" s="176" t="str">
        <f>VLOOKUP(A18,kurspris!$A$1:$B$992,2,FALSE)</f>
        <v>Solceller, 7,5 hp</v>
      </c>
      <c r="C18" s="31">
        <v>53137</v>
      </c>
      <c r="D18" s="60" t="s">
        <v>482</v>
      </c>
      <c r="E18" s="60"/>
      <c r="F18" s="57" t="s">
        <v>2274</v>
      </c>
      <c r="H18" s="31" t="s">
        <v>2335</v>
      </c>
      <c r="I18" s="31" t="s">
        <v>2399</v>
      </c>
      <c r="J18" s="31" t="s">
        <v>2233</v>
      </c>
      <c r="L18" s="38"/>
      <c r="M18">
        <v>7.5</v>
      </c>
      <c r="P18" s="31">
        <v>1</v>
      </c>
      <c r="Q18" s="539">
        <v>0.125</v>
      </c>
      <c r="R18" s="38">
        <v>0.85</v>
      </c>
      <c r="S18" s="280">
        <f t="shared" si="0"/>
        <v>0.10625</v>
      </c>
      <c r="T18" s="31">
        <f>VLOOKUP(A18,'Ansvar kurs'!$A$1:$C$1123,2,FALSE)</f>
        <v>5400</v>
      </c>
      <c r="U18" s="31" t="str">
        <f>VLOOKUP(T18,Orgenheter!$A$1:$C$166,2,FALSE)</f>
        <v xml:space="preserve">Inst för Fysik                </v>
      </c>
      <c r="V18" s="31" t="str">
        <f>VLOOKUP(T18,Orgenheter!$A$1:$C$166,3,FALSE)</f>
        <v>TekNat</v>
      </c>
      <c r="W18" s="35" t="str">
        <f>VLOOKUP(D18,Program!$A$1:$B$36,2,FALSE)</f>
        <v>Ämneslärarprogrammet - Gy</v>
      </c>
      <c r="X18" s="40">
        <f>VLOOKUP(A18,kurspris!$A$1:$Q$913,15,FALSE)</f>
        <v>20757</v>
      </c>
      <c r="Y18" s="40">
        <f>VLOOKUP(A18,kurspris!$A$1:$Q$913,16,FALSE)</f>
        <v>36082</v>
      </c>
      <c r="Z18" s="40">
        <f t="shared" si="1"/>
        <v>6428.3374999999996</v>
      </c>
      <c r="AA18" s="40">
        <f>VLOOKUP(A18,kurspris!$A$1:$Q$913,17,FALSE)</f>
        <v>22600</v>
      </c>
      <c r="AB18" s="40">
        <f t="shared" si="2"/>
        <v>2825</v>
      </c>
      <c r="AC18" s="40">
        <f t="shared" si="3"/>
        <v>9253.3374999999996</v>
      </c>
      <c r="AD18" s="31">
        <f>VLOOKUP($A18,kurspris!$A$1:$Q$950,3,FALSE)</f>
        <v>0</v>
      </c>
      <c r="AE18" s="31">
        <f>VLOOKUP($A18,kurspris!$A$1:$Q$950,4,FALSE)</f>
        <v>0</v>
      </c>
      <c r="AF18" s="31">
        <f>VLOOKUP($A18,kurspris!$A$1:$Q$950,5,FALSE)</f>
        <v>0</v>
      </c>
      <c r="AG18" s="31">
        <f>VLOOKUP($A18,kurspris!$A$1:$Q$950,6,FALSE)</f>
        <v>0</v>
      </c>
      <c r="AH18" s="31">
        <f>VLOOKUP($A18,kurspris!$A$1:$Q$950,7,FALSE)</f>
        <v>0</v>
      </c>
      <c r="AI18" s="31">
        <f>VLOOKUP($A18,kurspris!$A$1:$Q$950,8,FALSE)</f>
        <v>0.5</v>
      </c>
      <c r="AJ18" s="31">
        <f>VLOOKUP($A18,kurspris!$A$1:$Q$950,9,FALSE)</f>
        <v>0</v>
      </c>
      <c r="AK18" s="31">
        <f>VLOOKUP($A18,kurspris!$A$1:$Q$950,10,FALSE)</f>
        <v>0.5</v>
      </c>
      <c r="AL18" s="31">
        <f>VLOOKUP($A18,kurspris!$A$1:$Q$950,11,FALSE)</f>
        <v>0</v>
      </c>
      <c r="AM18" s="31">
        <f>VLOOKUP($A18,kurspris!$A$1:$Q$950,12,FALSE)</f>
        <v>0</v>
      </c>
      <c r="AN18" s="31">
        <f>VLOOKUP($A18,kurspris!$A$1:$Q$950,13,FALSE)</f>
        <v>0</v>
      </c>
      <c r="AO18" s="31">
        <f>VLOOKUP($A18,kurspris!$A$1:$Q$950,14,FALSE)</f>
        <v>0</v>
      </c>
      <c r="AP18" s="57" t="s">
        <v>2402</v>
      </c>
      <c r="AQ18"/>
      <c r="AR18" s="31">
        <f t="shared" si="4"/>
        <v>0</v>
      </c>
      <c r="AS18" s="219">
        <f t="shared" si="5"/>
        <v>0</v>
      </c>
      <c r="AT18" s="31">
        <f t="shared" si="6"/>
        <v>0</v>
      </c>
      <c r="AU18" s="219">
        <f t="shared" si="7"/>
        <v>0</v>
      </c>
      <c r="AV18" s="31">
        <f t="shared" si="8"/>
        <v>0</v>
      </c>
      <c r="AW18" s="31">
        <f t="shared" si="9"/>
        <v>0</v>
      </c>
      <c r="AX18" s="31">
        <f t="shared" si="10"/>
        <v>0</v>
      </c>
      <c r="AY18" s="219">
        <f t="shared" si="11"/>
        <v>0</v>
      </c>
      <c r="AZ18" s="196">
        <f t="shared" si="12"/>
        <v>0</v>
      </c>
      <c r="BA18" s="219">
        <f t="shared" si="13"/>
        <v>0</v>
      </c>
      <c r="BB18" s="31">
        <f t="shared" si="14"/>
        <v>6.25E-2</v>
      </c>
      <c r="BC18" s="219">
        <f t="shared" si="15"/>
        <v>5.3124999999999999E-2</v>
      </c>
      <c r="BD18" s="31">
        <f t="shared" si="16"/>
        <v>0</v>
      </c>
      <c r="BE18" s="219">
        <f t="shared" si="17"/>
        <v>0</v>
      </c>
      <c r="BF18" s="31">
        <f t="shared" si="18"/>
        <v>6.25E-2</v>
      </c>
      <c r="BG18" s="219">
        <f t="shared" si="19"/>
        <v>5.3124999999999999E-2</v>
      </c>
      <c r="BH18" s="31">
        <f t="shared" si="20"/>
        <v>0</v>
      </c>
      <c r="BI18" s="219">
        <f t="shared" si="21"/>
        <v>0</v>
      </c>
      <c r="BJ18" s="31">
        <f t="shared" si="22"/>
        <v>0</v>
      </c>
      <c r="BK18" s="219">
        <f t="shared" si="23"/>
        <v>0</v>
      </c>
      <c r="BL18" s="31">
        <f t="shared" si="24"/>
        <v>0</v>
      </c>
      <c r="BM18" s="219">
        <f t="shared" si="25"/>
        <v>0</v>
      </c>
      <c r="BN18" s="31">
        <f t="shared" si="26"/>
        <v>0</v>
      </c>
      <c r="BO18" s="219">
        <f t="shared" si="27"/>
        <v>0</v>
      </c>
    </row>
    <row r="19" spans="1:67" x14ac:dyDescent="0.25">
      <c r="A19" s="31" t="s">
        <v>2159</v>
      </c>
      <c r="B19" s="176" t="str">
        <f>VLOOKUP(A19,kurspris!$A$1:$B$992,2,FALSE)</f>
        <v>Introduktion till fasta tillståndets fysik</v>
      </c>
      <c r="C19" s="31">
        <v>53112</v>
      </c>
      <c r="D19" s="60" t="s">
        <v>482</v>
      </c>
      <c r="E19" s="60"/>
      <c r="F19" s="57" t="s">
        <v>2274</v>
      </c>
      <c r="H19" s="31" t="s">
        <v>2335</v>
      </c>
      <c r="I19" s="31" t="s">
        <v>2399</v>
      </c>
      <c r="J19" s="31" t="s">
        <v>2233</v>
      </c>
      <c r="L19" s="38"/>
      <c r="M19">
        <v>7.5</v>
      </c>
      <c r="P19" s="31">
        <v>1</v>
      </c>
      <c r="Q19" s="539">
        <v>0.125</v>
      </c>
      <c r="R19" s="38">
        <v>0.85</v>
      </c>
      <c r="S19" s="280">
        <f t="shared" si="0"/>
        <v>0.10625</v>
      </c>
      <c r="T19" s="31">
        <f>VLOOKUP(A19,'Ansvar kurs'!$A$1:$C$1123,2,FALSE)</f>
        <v>5400</v>
      </c>
      <c r="U19" s="31" t="str">
        <f>VLOOKUP(T19,Orgenheter!$A$1:$C$166,2,FALSE)</f>
        <v xml:space="preserve">Inst för Fysik                </v>
      </c>
      <c r="V19" s="31" t="str">
        <f>VLOOKUP(T19,Orgenheter!$A$1:$C$166,3,FALSE)</f>
        <v>TekNat</v>
      </c>
      <c r="W19" s="35" t="str">
        <f>VLOOKUP(D19,Program!$A$1:$B$36,2,FALSE)</f>
        <v>Ämneslärarprogrammet - Gy</v>
      </c>
      <c r="X19" s="40">
        <f>VLOOKUP(A19,kurspris!$A$1:$Q$913,15,FALSE)</f>
        <v>20757</v>
      </c>
      <c r="Y19" s="40">
        <f>VLOOKUP(A19,kurspris!$A$1:$Q$913,16,FALSE)</f>
        <v>36082</v>
      </c>
      <c r="Z19" s="40">
        <f t="shared" si="1"/>
        <v>6428.3374999999996</v>
      </c>
      <c r="AA19" s="40">
        <f>VLOOKUP(A19,kurspris!$A$1:$Q$913,17,FALSE)</f>
        <v>22600</v>
      </c>
      <c r="AB19" s="40">
        <f t="shared" si="2"/>
        <v>2825</v>
      </c>
      <c r="AC19" s="40">
        <f t="shared" si="3"/>
        <v>9253.3374999999996</v>
      </c>
      <c r="AD19" s="31">
        <f>VLOOKUP($A19,kurspris!$A$1:$Q$950,3,FALSE)</f>
        <v>0</v>
      </c>
      <c r="AE19" s="31">
        <f>VLOOKUP($A19,kurspris!$A$1:$Q$950,4,FALSE)</f>
        <v>0</v>
      </c>
      <c r="AF19" s="31">
        <f>VLOOKUP($A19,kurspris!$A$1:$Q$950,5,FALSE)</f>
        <v>0</v>
      </c>
      <c r="AG19" s="31">
        <f>VLOOKUP($A19,kurspris!$A$1:$Q$950,6,FALSE)</f>
        <v>0</v>
      </c>
      <c r="AH19" s="31">
        <f>VLOOKUP($A19,kurspris!$A$1:$Q$950,7,FALSE)</f>
        <v>0</v>
      </c>
      <c r="AI19" s="31">
        <f>VLOOKUP($A19,kurspris!$A$1:$Q$950,8,FALSE)</f>
        <v>0.5</v>
      </c>
      <c r="AJ19" s="31">
        <f>VLOOKUP($A19,kurspris!$A$1:$Q$950,9,FALSE)</f>
        <v>0</v>
      </c>
      <c r="AK19" s="31">
        <f>VLOOKUP($A19,kurspris!$A$1:$Q$950,10,FALSE)</f>
        <v>0.5</v>
      </c>
      <c r="AL19" s="31">
        <f>VLOOKUP($A19,kurspris!$A$1:$Q$950,11,FALSE)</f>
        <v>0</v>
      </c>
      <c r="AM19" s="31">
        <f>VLOOKUP($A19,kurspris!$A$1:$Q$950,12,FALSE)</f>
        <v>0</v>
      </c>
      <c r="AN19" s="31">
        <f>VLOOKUP($A19,kurspris!$A$1:$Q$950,13,FALSE)</f>
        <v>0</v>
      </c>
      <c r="AO19" s="31">
        <f>VLOOKUP($A19,kurspris!$A$1:$Q$950,14,FALSE)</f>
        <v>0</v>
      </c>
      <c r="AP19" s="57" t="s">
        <v>2402</v>
      </c>
      <c r="AQ19"/>
      <c r="AR19" s="31">
        <f t="shared" si="4"/>
        <v>0</v>
      </c>
      <c r="AS19" s="219">
        <f t="shared" si="5"/>
        <v>0</v>
      </c>
      <c r="AT19" s="31">
        <f t="shared" si="6"/>
        <v>0</v>
      </c>
      <c r="AU19" s="219">
        <f t="shared" si="7"/>
        <v>0</v>
      </c>
      <c r="AV19" s="31">
        <f t="shared" si="8"/>
        <v>0</v>
      </c>
      <c r="AW19" s="31">
        <f t="shared" si="9"/>
        <v>0</v>
      </c>
      <c r="AX19" s="31">
        <f t="shared" si="10"/>
        <v>0</v>
      </c>
      <c r="AY19" s="219">
        <f t="shared" si="11"/>
        <v>0</v>
      </c>
      <c r="AZ19" s="196">
        <f t="shared" si="12"/>
        <v>0</v>
      </c>
      <c r="BA19" s="219">
        <f t="shared" si="13"/>
        <v>0</v>
      </c>
      <c r="BB19" s="31">
        <f t="shared" si="14"/>
        <v>6.25E-2</v>
      </c>
      <c r="BC19" s="219">
        <f t="shared" si="15"/>
        <v>5.3124999999999999E-2</v>
      </c>
      <c r="BD19" s="31">
        <f t="shared" si="16"/>
        <v>0</v>
      </c>
      <c r="BE19" s="219">
        <f t="shared" si="17"/>
        <v>0</v>
      </c>
      <c r="BF19" s="31">
        <f t="shared" si="18"/>
        <v>6.25E-2</v>
      </c>
      <c r="BG19" s="219">
        <f t="shared" si="19"/>
        <v>5.3124999999999999E-2</v>
      </c>
      <c r="BH19" s="31">
        <f t="shared" si="20"/>
        <v>0</v>
      </c>
      <c r="BI19" s="219">
        <f t="shared" si="21"/>
        <v>0</v>
      </c>
      <c r="BJ19" s="31">
        <f t="shared" si="22"/>
        <v>0</v>
      </c>
      <c r="BK19" s="219">
        <f t="shared" si="23"/>
        <v>0</v>
      </c>
      <c r="BL19" s="31">
        <f t="shared" si="24"/>
        <v>0</v>
      </c>
      <c r="BM19" s="219">
        <f t="shared" si="25"/>
        <v>0</v>
      </c>
      <c r="BN19" s="31">
        <f t="shared" si="26"/>
        <v>0</v>
      </c>
      <c r="BO19" s="219">
        <f t="shared" si="27"/>
        <v>0</v>
      </c>
    </row>
    <row r="20" spans="1:67" x14ac:dyDescent="0.25">
      <c r="A20" s="31" t="s">
        <v>1743</v>
      </c>
      <c r="B20" s="176" t="str">
        <f>VLOOKUP(A20,kurspris!$A$1:$B$992,2,FALSE)</f>
        <v>Biokemi 15 hp</v>
      </c>
      <c r="C20" s="31">
        <v>56132</v>
      </c>
      <c r="D20" s="60" t="s">
        <v>482</v>
      </c>
      <c r="E20" s="60"/>
      <c r="F20" s="57" t="s">
        <v>2274</v>
      </c>
      <c r="H20" s="31" t="s">
        <v>2335</v>
      </c>
      <c r="I20" s="31" t="s">
        <v>2399</v>
      </c>
      <c r="J20" s="31" t="s">
        <v>2233</v>
      </c>
      <c r="L20" s="38"/>
      <c r="M20">
        <v>15</v>
      </c>
      <c r="P20" s="31">
        <v>1</v>
      </c>
      <c r="Q20" s="539">
        <v>0.25</v>
      </c>
      <c r="R20" s="38">
        <v>0.85</v>
      </c>
      <c r="S20" s="280">
        <f t="shared" si="0"/>
        <v>0.21249999999999999</v>
      </c>
      <c r="T20" s="31">
        <f>VLOOKUP(A20,'Ansvar kurs'!$A$1:$C$1123,2,FALSE)</f>
        <v>5500</v>
      </c>
      <c r="U20" s="31" t="str">
        <f>VLOOKUP(T20,Orgenheter!$A$1:$C$166,2,FALSE)</f>
        <v xml:space="preserve">Kemiska institutionen         </v>
      </c>
      <c r="V20" s="31" t="str">
        <f>VLOOKUP(T20,Orgenheter!$A$1:$C$166,3,FALSE)</f>
        <v>TekNat</v>
      </c>
      <c r="W20" s="35" t="str">
        <f>VLOOKUP(D20,Program!$A$1:$B$36,2,FALSE)</f>
        <v>Ämneslärarprogrammet - Gy</v>
      </c>
      <c r="X20" s="40">
        <f>VLOOKUP(A20,kurspris!$A$1:$Q$913,15,FALSE)</f>
        <v>20757</v>
      </c>
      <c r="Y20" s="40">
        <f>VLOOKUP(A20,kurspris!$A$1:$Q$913,16,FALSE)</f>
        <v>36082</v>
      </c>
      <c r="Z20" s="40">
        <f t="shared" si="1"/>
        <v>12856.674999999999</v>
      </c>
      <c r="AA20" s="40">
        <f>VLOOKUP(A20,kurspris!$A$1:$Q$913,17,FALSE)</f>
        <v>22600</v>
      </c>
      <c r="AB20" s="40">
        <f t="shared" si="2"/>
        <v>5650</v>
      </c>
      <c r="AC20" s="40">
        <f t="shared" si="3"/>
        <v>18506.674999999999</v>
      </c>
      <c r="AD20" s="31">
        <f>VLOOKUP($A20,kurspris!$A$1:$Q$950,3,FALSE)</f>
        <v>0</v>
      </c>
      <c r="AE20" s="31">
        <f>VLOOKUP($A20,kurspris!$A$1:$Q$950,4,FALSE)</f>
        <v>0</v>
      </c>
      <c r="AF20" s="31">
        <f>VLOOKUP($A20,kurspris!$A$1:$Q$950,5,FALSE)</f>
        <v>0</v>
      </c>
      <c r="AG20" s="31">
        <f>VLOOKUP($A20,kurspris!$A$1:$Q$950,6,FALSE)</f>
        <v>0</v>
      </c>
      <c r="AH20" s="31">
        <f>VLOOKUP($A20,kurspris!$A$1:$Q$950,7,FALSE)</f>
        <v>0</v>
      </c>
      <c r="AI20" s="31">
        <f>VLOOKUP($A20,kurspris!$A$1:$Q$950,8,FALSE)</f>
        <v>0</v>
      </c>
      <c r="AJ20" s="31">
        <f>VLOOKUP($A20,kurspris!$A$1:$Q$950,9,FALSE)</f>
        <v>0</v>
      </c>
      <c r="AK20" s="31">
        <f>VLOOKUP($A20,kurspris!$A$1:$Q$950,10,FALSE)</f>
        <v>1</v>
      </c>
      <c r="AL20" s="31">
        <f>VLOOKUP($A20,kurspris!$A$1:$Q$950,11,FALSE)</f>
        <v>0</v>
      </c>
      <c r="AM20" s="31">
        <f>VLOOKUP($A20,kurspris!$A$1:$Q$950,12,FALSE)</f>
        <v>0</v>
      </c>
      <c r="AN20" s="31">
        <f>VLOOKUP($A20,kurspris!$A$1:$Q$950,13,FALSE)</f>
        <v>0</v>
      </c>
      <c r="AO20" s="31">
        <f>VLOOKUP($A20,kurspris!$A$1:$Q$950,14,FALSE)</f>
        <v>0</v>
      </c>
      <c r="AP20" s="57" t="s">
        <v>2402</v>
      </c>
      <c r="AQ20"/>
      <c r="AR20" s="31">
        <f t="shared" si="4"/>
        <v>0</v>
      </c>
      <c r="AS20" s="219">
        <f t="shared" si="5"/>
        <v>0</v>
      </c>
      <c r="AT20" s="31">
        <f t="shared" si="6"/>
        <v>0</v>
      </c>
      <c r="AU20" s="219">
        <f t="shared" si="7"/>
        <v>0</v>
      </c>
      <c r="AV20" s="31">
        <f t="shared" si="8"/>
        <v>0</v>
      </c>
      <c r="AW20" s="31">
        <f t="shared" si="9"/>
        <v>0</v>
      </c>
      <c r="AX20" s="31">
        <f t="shared" si="10"/>
        <v>0</v>
      </c>
      <c r="AY20" s="219">
        <f t="shared" si="11"/>
        <v>0</v>
      </c>
      <c r="AZ20" s="196">
        <f t="shared" si="12"/>
        <v>0</v>
      </c>
      <c r="BA20" s="219">
        <f t="shared" si="13"/>
        <v>0</v>
      </c>
      <c r="BB20" s="31">
        <f t="shared" si="14"/>
        <v>0</v>
      </c>
      <c r="BC20" s="219">
        <f t="shared" si="15"/>
        <v>0</v>
      </c>
      <c r="BD20" s="31">
        <f t="shared" si="16"/>
        <v>0</v>
      </c>
      <c r="BE20" s="219">
        <f t="shared" si="17"/>
        <v>0</v>
      </c>
      <c r="BF20" s="31">
        <f t="shared" si="18"/>
        <v>0.25</v>
      </c>
      <c r="BG20" s="219">
        <f t="shared" si="19"/>
        <v>0.21249999999999999</v>
      </c>
      <c r="BH20" s="31">
        <f t="shared" si="20"/>
        <v>0</v>
      </c>
      <c r="BI20" s="219">
        <f t="shared" si="21"/>
        <v>0</v>
      </c>
      <c r="BJ20" s="31">
        <f t="shared" si="22"/>
        <v>0</v>
      </c>
      <c r="BK20" s="219">
        <f t="shared" si="23"/>
        <v>0</v>
      </c>
      <c r="BL20" s="31">
        <f t="shared" si="24"/>
        <v>0</v>
      </c>
      <c r="BM20" s="219">
        <f t="shared" si="25"/>
        <v>0</v>
      </c>
      <c r="BN20" s="31">
        <f t="shared" si="26"/>
        <v>0</v>
      </c>
      <c r="BO20" s="219">
        <f t="shared" si="27"/>
        <v>0</v>
      </c>
    </row>
    <row r="21" spans="1:67" x14ac:dyDescent="0.25">
      <c r="A21" s="31" t="s">
        <v>1001</v>
      </c>
      <c r="B21" s="176" t="str">
        <f>VLOOKUP(A21,kurspris!$A$1:$B$992,2,FALSE)</f>
        <v>Analytisk kemi</v>
      </c>
      <c r="C21" s="31">
        <v>56103</v>
      </c>
      <c r="D21" s="60" t="s">
        <v>2155</v>
      </c>
      <c r="E21" s="60"/>
      <c r="F21" s="57" t="s">
        <v>2274</v>
      </c>
      <c r="H21" s="31" t="s">
        <v>2335</v>
      </c>
      <c r="I21" s="31" t="s">
        <v>2399</v>
      </c>
      <c r="L21" s="38"/>
      <c r="M21">
        <v>15</v>
      </c>
      <c r="P21" s="31">
        <v>1</v>
      </c>
      <c r="Q21" s="539">
        <v>0.25</v>
      </c>
      <c r="R21" s="38">
        <v>0.85</v>
      </c>
      <c r="S21" s="280">
        <f t="shared" si="0"/>
        <v>0.21249999999999999</v>
      </c>
      <c r="T21" s="31">
        <f>VLOOKUP(A21,'Ansvar kurs'!$A$1:$C$1123,2,FALSE)</f>
        <v>5500</v>
      </c>
      <c r="U21" s="31" t="str">
        <f>VLOOKUP(T21,Orgenheter!$A$1:$C$166,2,FALSE)</f>
        <v xml:space="preserve">Kemiska institutionen         </v>
      </c>
      <c r="V21" s="31" t="str">
        <f>VLOOKUP(T21,Orgenheter!$A$1:$C$166,3,FALSE)</f>
        <v>TekNat</v>
      </c>
      <c r="W21" s="35" t="str">
        <f>VLOOKUP(D21,Program!$A$1:$B$36,2,FALSE)</f>
        <v>KPU - åk 7-9 och Gy</v>
      </c>
      <c r="X21" s="40">
        <f>VLOOKUP(A21,kurspris!$A$1:$Q$913,15,FALSE)</f>
        <v>20757</v>
      </c>
      <c r="Y21" s="40">
        <f>VLOOKUP(A21,kurspris!$A$1:$Q$913,16,FALSE)</f>
        <v>36082</v>
      </c>
      <c r="Z21" s="40">
        <f t="shared" si="1"/>
        <v>12856.674999999999</v>
      </c>
      <c r="AA21" s="40">
        <f>VLOOKUP(A21,kurspris!$A$1:$Q$913,17,FALSE)</f>
        <v>22600</v>
      </c>
      <c r="AB21" s="40">
        <f t="shared" si="2"/>
        <v>5650</v>
      </c>
      <c r="AC21" s="40">
        <f t="shared" si="3"/>
        <v>18506.674999999999</v>
      </c>
      <c r="AD21" s="31">
        <f>VLOOKUP($A21,kurspris!$A$1:$Q$950,3,FALSE)</f>
        <v>0</v>
      </c>
      <c r="AE21" s="31">
        <f>VLOOKUP($A21,kurspris!$A$1:$Q$950,4,FALSE)</f>
        <v>0</v>
      </c>
      <c r="AF21" s="31">
        <f>VLOOKUP($A21,kurspris!$A$1:$Q$950,5,FALSE)</f>
        <v>0</v>
      </c>
      <c r="AG21" s="31">
        <f>VLOOKUP($A21,kurspris!$A$1:$Q$950,6,FALSE)</f>
        <v>0</v>
      </c>
      <c r="AH21" s="31">
        <f>VLOOKUP($A21,kurspris!$A$1:$Q$950,7,FALSE)</f>
        <v>0</v>
      </c>
      <c r="AI21" s="31">
        <f>VLOOKUP($A21,kurspris!$A$1:$Q$950,8,FALSE)</f>
        <v>0</v>
      </c>
      <c r="AJ21" s="31">
        <f>VLOOKUP($A21,kurspris!$A$1:$Q$950,9,FALSE)</f>
        <v>0</v>
      </c>
      <c r="AK21" s="31">
        <f>VLOOKUP($A21,kurspris!$A$1:$Q$950,10,FALSE)</f>
        <v>1</v>
      </c>
      <c r="AL21" s="31">
        <f>VLOOKUP($A21,kurspris!$A$1:$Q$950,11,FALSE)</f>
        <v>0</v>
      </c>
      <c r="AM21" s="31">
        <f>VLOOKUP($A21,kurspris!$A$1:$Q$950,12,FALSE)</f>
        <v>0</v>
      </c>
      <c r="AN21" s="31">
        <f>VLOOKUP($A21,kurspris!$A$1:$Q$950,13,FALSE)</f>
        <v>0</v>
      </c>
      <c r="AO21" s="31">
        <f>VLOOKUP($A21,kurspris!$A$1:$Q$950,14,FALSE)</f>
        <v>0</v>
      </c>
      <c r="AP21" s="57" t="s">
        <v>2402</v>
      </c>
      <c r="AQ21"/>
      <c r="AR21" s="31">
        <f t="shared" si="4"/>
        <v>0</v>
      </c>
      <c r="AS21" s="219">
        <f t="shared" si="5"/>
        <v>0</v>
      </c>
      <c r="AT21" s="31">
        <f t="shared" si="6"/>
        <v>0</v>
      </c>
      <c r="AU21" s="219">
        <f t="shared" si="7"/>
        <v>0</v>
      </c>
      <c r="AV21" s="31">
        <f t="shared" si="8"/>
        <v>0</v>
      </c>
      <c r="AW21" s="31">
        <f t="shared" si="9"/>
        <v>0</v>
      </c>
      <c r="AX21" s="31">
        <f t="shared" si="10"/>
        <v>0</v>
      </c>
      <c r="AY21" s="219">
        <f t="shared" si="11"/>
        <v>0</v>
      </c>
      <c r="AZ21" s="196">
        <f t="shared" si="12"/>
        <v>0</v>
      </c>
      <c r="BA21" s="219">
        <f t="shared" si="13"/>
        <v>0</v>
      </c>
      <c r="BB21" s="31">
        <f t="shared" si="14"/>
        <v>0</v>
      </c>
      <c r="BC21" s="219">
        <f t="shared" si="15"/>
        <v>0</v>
      </c>
      <c r="BD21" s="31">
        <f t="shared" si="16"/>
        <v>0</v>
      </c>
      <c r="BE21" s="219">
        <f t="shared" si="17"/>
        <v>0</v>
      </c>
      <c r="BF21" s="31">
        <f t="shared" si="18"/>
        <v>0.25</v>
      </c>
      <c r="BG21" s="219">
        <f t="shared" si="19"/>
        <v>0.21249999999999999</v>
      </c>
      <c r="BH21" s="31">
        <f t="shared" si="20"/>
        <v>0</v>
      </c>
      <c r="BI21" s="219">
        <f t="shared" si="21"/>
        <v>0</v>
      </c>
      <c r="BJ21" s="31">
        <f t="shared" si="22"/>
        <v>0</v>
      </c>
      <c r="BK21" s="219">
        <f t="shared" si="23"/>
        <v>0</v>
      </c>
      <c r="BL21" s="31">
        <f t="shared" si="24"/>
        <v>0</v>
      </c>
      <c r="BM21" s="219">
        <f t="shared" si="25"/>
        <v>0</v>
      </c>
      <c r="BN21" s="31">
        <f t="shared" si="26"/>
        <v>0</v>
      </c>
      <c r="BO21" s="219">
        <f t="shared" si="27"/>
        <v>0</v>
      </c>
    </row>
    <row r="22" spans="1:67" x14ac:dyDescent="0.25">
      <c r="A22" s="31" t="s">
        <v>1795</v>
      </c>
      <c r="B22" s="176" t="str">
        <f>VLOOKUP(A22,kurspris!$A$1:$B$992,2,FALSE)</f>
        <v>Kemins grunder</v>
      </c>
      <c r="C22" s="31">
        <v>56113</v>
      </c>
      <c r="D22" s="60" t="s">
        <v>482</v>
      </c>
      <c r="E22" s="60"/>
      <c r="F22" s="57" t="s">
        <v>2274</v>
      </c>
      <c r="H22" s="31" t="s">
        <v>2335</v>
      </c>
      <c r="I22" s="31" t="s">
        <v>2399</v>
      </c>
      <c r="J22" s="31" t="s">
        <v>2234</v>
      </c>
      <c r="L22" s="38"/>
      <c r="M22">
        <v>15</v>
      </c>
      <c r="P22" s="31">
        <v>1</v>
      </c>
      <c r="Q22" s="539">
        <v>0.25</v>
      </c>
      <c r="R22" s="38">
        <v>0.85</v>
      </c>
      <c r="S22" s="280">
        <f t="shared" si="0"/>
        <v>0.21249999999999999</v>
      </c>
      <c r="T22" s="31">
        <f>VLOOKUP(A22,'Ansvar kurs'!$A$1:$C$1123,2,FALSE)</f>
        <v>5500</v>
      </c>
      <c r="U22" s="31" t="str">
        <f>VLOOKUP(T22,Orgenheter!$A$1:$C$166,2,FALSE)</f>
        <v xml:space="preserve">Kemiska institutionen         </v>
      </c>
      <c r="V22" s="31" t="str">
        <f>VLOOKUP(T22,Orgenheter!$A$1:$C$166,3,FALSE)</f>
        <v>TekNat</v>
      </c>
      <c r="W22" s="35" t="str">
        <f>VLOOKUP(D22,Program!$A$1:$B$36,2,FALSE)</f>
        <v>Ämneslärarprogrammet - Gy</v>
      </c>
      <c r="X22" s="40">
        <f>VLOOKUP(A22,kurspris!$A$1:$Q$913,15,FALSE)</f>
        <v>20757</v>
      </c>
      <c r="Y22" s="40">
        <f>VLOOKUP(A22,kurspris!$A$1:$Q$913,16,FALSE)</f>
        <v>36082</v>
      </c>
      <c r="Z22" s="40">
        <f t="shared" si="1"/>
        <v>12856.674999999999</v>
      </c>
      <c r="AA22" s="40">
        <f>VLOOKUP(A22,kurspris!$A$1:$Q$913,17,FALSE)</f>
        <v>22600</v>
      </c>
      <c r="AB22" s="40">
        <f t="shared" si="2"/>
        <v>5650</v>
      </c>
      <c r="AC22" s="40">
        <f t="shared" si="3"/>
        <v>18506.674999999999</v>
      </c>
      <c r="AD22" s="31">
        <f>VLOOKUP($A22,kurspris!$A$1:$Q$950,3,FALSE)</f>
        <v>0</v>
      </c>
      <c r="AE22" s="31">
        <f>VLOOKUP($A22,kurspris!$A$1:$Q$950,4,FALSE)</f>
        <v>0</v>
      </c>
      <c r="AF22" s="31">
        <f>VLOOKUP($A22,kurspris!$A$1:$Q$950,5,FALSE)</f>
        <v>0</v>
      </c>
      <c r="AG22" s="31">
        <f>VLOOKUP($A22,kurspris!$A$1:$Q$950,6,FALSE)</f>
        <v>0</v>
      </c>
      <c r="AH22" s="31">
        <f>VLOOKUP($A22,kurspris!$A$1:$Q$950,7,FALSE)</f>
        <v>0</v>
      </c>
      <c r="AI22" s="31">
        <f>VLOOKUP($A22,kurspris!$A$1:$Q$950,8,FALSE)</f>
        <v>0.5</v>
      </c>
      <c r="AJ22" s="31">
        <f>VLOOKUP($A22,kurspris!$A$1:$Q$950,9,FALSE)</f>
        <v>0</v>
      </c>
      <c r="AK22" s="31">
        <f>VLOOKUP($A22,kurspris!$A$1:$Q$950,10,FALSE)</f>
        <v>0.5</v>
      </c>
      <c r="AL22" s="31">
        <f>VLOOKUP($A22,kurspris!$A$1:$Q$950,11,FALSE)</f>
        <v>0</v>
      </c>
      <c r="AM22" s="31">
        <f>VLOOKUP($A22,kurspris!$A$1:$Q$950,12,FALSE)</f>
        <v>0</v>
      </c>
      <c r="AN22" s="31">
        <f>VLOOKUP($A22,kurspris!$A$1:$Q$950,13,FALSE)</f>
        <v>0</v>
      </c>
      <c r="AO22" s="31">
        <f>VLOOKUP($A22,kurspris!$A$1:$Q$950,14,FALSE)</f>
        <v>0</v>
      </c>
      <c r="AP22" s="57" t="s">
        <v>2402</v>
      </c>
      <c r="AQ22"/>
      <c r="AR22" s="31">
        <f t="shared" si="4"/>
        <v>0</v>
      </c>
      <c r="AS22" s="219">
        <f t="shared" si="5"/>
        <v>0</v>
      </c>
      <c r="AT22" s="31">
        <f t="shared" si="6"/>
        <v>0</v>
      </c>
      <c r="AU22" s="219">
        <f t="shared" si="7"/>
        <v>0</v>
      </c>
      <c r="AV22" s="31">
        <f t="shared" si="8"/>
        <v>0</v>
      </c>
      <c r="AW22" s="31">
        <f t="shared" si="9"/>
        <v>0</v>
      </c>
      <c r="AX22" s="31">
        <f t="shared" si="10"/>
        <v>0</v>
      </c>
      <c r="AY22" s="219">
        <f t="shared" si="11"/>
        <v>0</v>
      </c>
      <c r="AZ22" s="196">
        <f t="shared" si="12"/>
        <v>0</v>
      </c>
      <c r="BA22" s="219">
        <f t="shared" si="13"/>
        <v>0</v>
      </c>
      <c r="BB22" s="31">
        <f t="shared" si="14"/>
        <v>0.125</v>
      </c>
      <c r="BC22" s="219">
        <f t="shared" si="15"/>
        <v>0.10625</v>
      </c>
      <c r="BD22" s="31">
        <f t="shared" si="16"/>
        <v>0</v>
      </c>
      <c r="BE22" s="219">
        <f t="shared" si="17"/>
        <v>0</v>
      </c>
      <c r="BF22" s="31">
        <f t="shared" si="18"/>
        <v>0.125</v>
      </c>
      <c r="BG22" s="219">
        <f t="shared" si="19"/>
        <v>0.10625</v>
      </c>
      <c r="BH22" s="31">
        <f t="shared" si="20"/>
        <v>0</v>
      </c>
      <c r="BI22" s="219">
        <f t="shared" si="21"/>
        <v>0</v>
      </c>
      <c r="BJ22" s="31">
        <f t="shared" si="22"/>
        <v>0</v>
      </c>
      <c r="BK22" s="219">
        <f t="shared" si="23"/>
        <v>0</v>
      </c>
      <c r="BL22" s="31">
        <f t="shared" si="24"/>
        <v>0</v>
      </c>
      <c r="BM22" s="219">
        <f t="shared" si="25"/>
        <v>0</v>
      </c>
      <c r="BN22" s="31">
        <f t="shared" si="26"/>
        <v>0</v>
      </c>
      <c r="BO22" s="219">
        <f t="shared" si="27"/>
        <v>0</v>
      </c>
    </row>
    <row r="23" spans="1:67" x14ac:dyDescent="0.25">
      <c r="A23" s="31" t="s">
        <v>1795</v>
      </c>
      <c r="B23" s="176" t="str">
        <f>VLOOKUP(A23,kurspris!$A$1:$B$992,2,FALSE)</f>
        <v>Kemins grunder</v>
      </c>
      <c r="C23" s="31">
        <v>56113</v>
      </c>
      <c r="D23" s="60" t="s">
        <v>482</v>
      </c>
      <c r="E23" s="60"/>
      <c r="F23" s="57" t="s">
        <v>2274</v>
      </c>
      <c r="H23" s="31" t="s">
        <v>2335</v>
      </c>
      <c r="I23" s="31" t="s">
        <v>2399</v>
      </c>
      <c r="J23" s="31" t="s">
        <v>2233</v>
      </c>
      <c r="L23" s="38"/>
      <c r="M23">
        <v>15</v>
      </c>
      <c r="P23" s="31">
        <v>5</v>
      </c>
      <c r="Q23" s="539">
        <v>1.25</v>
      </c>
      <c r="R23" s="38">
        <v>0.85</v>
      </c>
      <c r="S23" s="280">
        <f t="shared" si="0"/>
        <v>1.0625</v>
      </c>
      <c r="T23" s="31">
        <f>VLOOKUP(A23,'Ansvar kurs'!$A$1:$C$1123,2,FALSE)</f>
        <v>5500</v>
      </c>
      <c r="U23" s="31" t="str">
        <f>VLOOKUP(T23,Orgenheter!$A$1:$C$166,2,FALSE)</f>
        <v xml:space="preserve">Kemiska institutionen         </v>
      </c>
      <c r="V23" s="31" t="str">
        <f>VLOOKUP(T23,Orgenheter!$A$1:$C$166,3,FALSE)</f>
        <v>TekNat</v>
      </c>
      <c r="W23" s="35" t="str">
        <f>VLOOKUP(D23,Program!$A$1:$B$36,2,FALSE)</f>
        <v>Ämneslärarprogrammet - Gy</v>
      </c>
      <c r="X23" s="40">
        <f>VLOOKUP(A23,kurspris!$A$1:$Q$913,15,FALSE)</f>
        <v>20757</v>
      </c>
      <c r="Y23" s="40">
        <f>VLOOKUP(A23,kurspris!$A$1:$Q$913,16,FALSE)</f>
        <v>36082</v>
      </c>
      <c r="Z23" s="40">
        <f t="shared" si="1"/>
        <v>64283.375</v>
      </c>
      <c r="AA23" s="40">
        <f>VLOOKUP(A23,kurspris!$A$1:$Q$913,17,FALSE)</f>
        <v>22600</v>
      </c>
      <c r="AB23" s="40">
        <f t="shared" si="2"/>
        <v>28250</v>
      </c>
      <c r="AC23" s="40">
        <f t="shared" si="3"/>
        <v>92533.375</v>
      </c>
      <c r="AD23" s="31">
        <f>VLOOKUP($A23,kurspris!$A$1:$Q$950,3,FALSE)</f>
        <v>0</v>
      </c>
      <c r="AE23" s="31">
        <f>VLOOKUP($A23,kurspris!$A$1:$Q$950,4,FALSE)</f>
        <v>0</v>
      </c>
      <c r="AF23" s="31">
        <f>VLOOKUP($A23,kurspris!$A$1:$Q$950,5,FALSE)</f>
        <v>0</v>
      </c>
      <c r="AG23" s="31">
        <f>VLOOKUP($A23,kurspris!$A$1:$Q$950,6,FALSE)</f>
        <v>0</v>
      </c>
      <c r="AH23" s="31">
        <f>VLOOKUP($A23,kurspris!$A$1:$Q$950,7,FALSE)</f>
        <v>0</v>
      </c>
      <c r="AI23" s="31">
        <f>VLOOKUP($A23,kurspris!$A$1:$Q$950,8,FALSE)</f>
        <v>0.5</v>
      </c>
      <c r="AJ23" s="31">
        <f>VLOOKUP($A23,kurspris!$A$1:$Q$950,9,FALSE)</f>
        <v>0</v>
      </c>
      <c r="AK23" s="31">
        <f>VLOOKUP($A23,kurspris!$A$1:$Q$950,10,FALSE)</f>
        <v>0.5</v>
      </c>
      <c r="AL23" s="31">
        <f>VLOOKUP($A23,kurspris!$A$1:$Q$950,11,FALSE)</f>
        <v>0</v>
      </c>
      <c r="AM23" s="31">
        <f>VLOOKUP($A23,kurspris!$A$1:$Q$950,12,FALSE)</f>
        <v>0</v>
      </c>
      <c r="AN23" s="31">
        <f>VLOOKUP($A23,kurspris!$A$1:$Q$950,13,FALSE)</f>
        <v>0</v>
      </c>
      <c r="AO23" s="31">
        <f>VLOOKUP($A23,kurspris!$A$1:$Q$950,14,FALSE)</f>
        <v>0</v>
      </c>
      <c r="AP23" s="57" t="s">
        <v>2402</v>
      </c>
      <c r="AQ23"/>
      <c r="AR23" s="31">
        <f t="shared" si="4"/>
        <v>0</v>
      </c>
      <c r="AS23" s="219">
        <f t="shared" si="5"/>
        <v>0</v>
      </c>
      <c r="AT23" s="31">
        <f t="shared" si="6"/>
        <v>0</v>
      </c>
      <c r="AU23" s="219">
        <f t="shared" si="7"/>
        <v>0</v>
      </c>
      <c r="AV23" s="31">
        <f t="shared" si="8"/>
        <v>0</v>
      </c>
      <c r="AW23" s="31">
        <f t="shared" si="9"/>
        <v>0</v>
      </c>
      <c r="AX23" s="31">
        <f t="shared" si="10"/>
        <v>0</v>
      </c>
      <c r="AY23" s="219">
        <f t="shared" si="11"/>
        <v>0</v>
      </c>
      <c r="AZ23" s="196">
        <f t="shared" si="12"/>
        <v>0</v>
      </c>
      <c r="BA23" s="219">
        <f t="shared" si="13"/>
        <v>0</v>
      </c>
      <c r="BB23" s="31">
        <f t="shared" si="14"/>
        <v>0.625</v>
      </c>
      <c r="BC23" s="219">
        <f t="shared" si="15"/>
        <v>0.53125</v>
      </c>
      <c r="BD23" s="31">
        <f t="shared" si="16"/>
        <v>0</v>
      </c>
      <c r="BE23" s="219">
        <f t="shared" si="17"/>
        <v>0</v>
      </c>
      <c r="BF23" s="31">
        <f t="shared" si="18"/>
        <v>0.625</v>
      </c>
      <c r="BG23" s="219">
        <f t="shared" si="19"/>
        <v>0.53125</v>
      </c>
      <c r="BH23" s="31">
        <f t="shared" si="20"/>
        <v>0</v>
      </c>
      <c r="BI23" s="219">
        <f t="shared" si="21"/>
        <v>0</v>
      </c>
      <c r="BJ23" s="31">
        <f t="shared" si="22"/>
        <v>0</v>
      </c>
      <c r="BK23" s="219">
        <f t="shared" si="23"/>
        <v>0</v>
      </c>
      <c r="BL23" s="31">
        <f t="shared" si="24"/>
        <v>0</v>
      </c>
      <c r="BM23" s="219">
        <f t="shared" si="25"/>
        <v>0</v>
      </c>
      <c r="BN23" s="31">
        <f t="shared" si="26"/>
        <v>0</v>
      </c>
      <c r="BO23" s="219">
        <f t="shared" si="27"/>
        <v>0</v>
      </c>
    </row>
    <row r="24" spans="1:67" x14ac:dyDescent="0.25">
      <c r="A24" s="31" t="s">
        <v>1795</v>
      </c>
      <c r="B24" s="176" t="str">
        <f>VLOOKUP(A24,kurspris!$A$1:$B$992,2,FALSE)</f>
        <v>Kemins grunder</v>
      </c>
      <c r="C24" s="31">
        <v>56113</v>
      </c>
      <c r="D24" s="60" t="s">
        <v>482</v>
      </c>
      <c r="E24" s="60"/>
      <c r="F24" s="57" t="s">
        <v>2274</v>
      </c>
      <c r="H24" s="31" t="s">
        <v>2335</v>
      </c>
      <c r="I24" s="31" t="s">
        <v>2399</v>
      </c>
      <c r="J24" s="31" t="s">
        <v>2235</v>
      </c>
      <c r="L24" s="38"/>
      <c r="M24">
        <v>15</v>
      </c>
      <c r="P24" s="31">
        <v>1</v>
      </c>
      <c r="Q24" s="539">
        <v>0.25</v>
      </c>
      <c r="R24" s="38">
        <v>0.85</v>
      </c>
      <c r="S24" s="280">
        <f t="shared" si="0"/>
        <v>0.21249999999999999</v>
      </c>
      <c r="T24" s="31">
        <f>VLOOKUP(A24,'Ansvar kurs'!$A$1:$C$1123,2,FALSE)</f>
        <v>5500</v>
      </c>
      <c r="U24" s="31" t="str">
        <f>VLOOKUP(T24,Orgenheter!$A$1:$C$166,2,FALSE)</f>
        <v xml:space="preserve">Kemiska institutionen         </v>
      </c>
      <c r="V24" s="31" t="str">
        <f>VLOOKUP(T24,Orgenheter!$A$1:$C$166,3,FALSE)</f>
        <v>TekNat</v>
      </c>
      <c r="W24" s="35" t="str">
        <f>VLOOKUP(D24,Program!$A$1:$B$36,2,FALSE)</f>
        <v>Ämneslärarprogrammet - Gy</v>
      </c>
      <c r="X24" s="40">
        <f>VLOOKUP(A24,kurspris!$A$1:$Q$913,15,FALSE)</f>
        <v>20757</v>
      </c>
      <c r="Y24" s="40">
        <f>VLOOKUP(A24,kurspris!$A$1:$Q$913,16,FALSE)</f>
        <v>36082</v>
      </c>
      <c r="Z24" s="40">
        <f t="shared" si="1"/>
        <v>12856.674999999999</v>
      </c>
      <c r="AA24" s="40">
        <f>VLOOKUP(A24,kurspris!$A$1:$Q$913,17,FALSE)</f>
        <v>22600</v>
      </c>
      <c r="AB24" s="40">
        <f t="shared" si="2"/>
        <v>5650</v>
      </c>
      <c r="AC24" s="40">
        <f t="shared" si="3"/>
        <v>18506.674999999999</v>
      </c>
      <c r="AD24" s="31">
        <f>VLOOKUP($A24,kurspris!$A$1:$Q$950,3,FALSE)</f>
        <v>0</v>
      </c>
      <c r="AE24" s="31">
        <f>VLOOKUP($A24,kurspris!$A$1:$Q$950,4,FALSE)</f>
        <v>0</v>
      </c>
      <c r="AF24" s="31">
        <f>VLOOKUP($A24,kurspris!$A$1:$Q$950,5,FALSE)</f>
        <v>0</v>
      </c>
      <c r="AG24" s="31">
        <f>VLOOKUP($A24,kurspris!$A$1:$Q$950,6,FALSE)</f>
        <v>0</v>
      </c>
      <c r="AH24" s="31">
        <f>VLOOKUP($A24,kurspris!$A$1:$Q$950,7,FALSE)</f>
        <v>0</v>
      </c>
      <c r="AI24" s="31">
        <f>VLOOKUP($A24,kurspris!$A$1:$Q$950,8,FALSE)</f>
        <v>0.5</v>
      </c>
      <c r="AJ24" s="31">
        <f>VLOOKUP($A24,kurspris!$A$1:$Q$950,9,FALSE)</f>
        <v>0</v>
      </c>
      <c r="AK24" s="31">
        <f>VLOOKUP($A24,kurspris!$A$1:$Q$950,10,FALSE)</f>
        <v>0.5</v>
      </c>
      <c r="AL24" s="31">
        <f>VLOOKUP($A24,kurspris!$A$1:$Q$950,11,FALSE)</f>
        <v>0</v>
      </c>
      <c r="AM24" s="31">
        <f>VLOOKUP($A24,kurspris!$A$1:$Q$950,12,FALSE)</f>
        <v>0</v>
      </c>
      <c r="AN24" s="31">
        <f>VLOOKUP($A24,kurspris!$A$1:$Q$950,13,FALSE)</f>
        <v>0</v>
      </c>
      <c r="AO24" s="31">
        <f>VLOOKUP($A24,kurspris!$A$1:$Q$950,14,FALSE)</f>
        <v>0</v>
      </c>
      <c r="AP24" s="57" t="s">
        <v>2402</v>
      </c>
      <c r="AQ24"/>
      <c r="AR24" s="31">
        <f t="shared" si="4"/>
        <v>0</v>
      </c>
      <c r="AS24" s="219">
        <f t="shared" si="5"/>
        <v>0</v>
      </c>
      <c r="AT24" s="31">
        <f t="shared" si="6"/>
        <v>0</v>
      </c>
      <c r="AU24" s="219">
        <f t="shared" si="7"/>
        <v>0</v>
      </c>
      <c r="AV24" s="31">
        <f t="shared" si="8"/>
        <v>0</v>
      </c>
      <c r="AW24" s="31">
        <f t="shared" si="9"/>
        <v>0</v>
      </c>
      <c r="AX24" s="31">
        <f t="shared" si="10"/>
        <v>0</v>
      </c>
      <c r="AY24" s="219">
        <f t="shared" si="11"/>
        <v>0</v>
      </c>
      <c r="AZ24" s="196">
        <f t="shared" si="12"/>
        <v>0</v>
      </c>
      <c r="BA24" s="219">
        <f t="shared" si="13"/>
        <v>0</v>
      </c>
      <c r="BB24" s="31">
        <f t="shared" si="14"/>
        <v>0.125</v>
      </c>
      <c r="BC24" s="219">
        <f t="shared" si="15"/>
        <v>0.10625</v>
      </c>
      <c r="BD24" s="31">
        <f t="shared" si="16"/>
        <v>0</v>
      </c>
      <c r="BE24" s="219">
        <f t="shared" si="17"/>
        <v>0</v>
      </c>
      <c r="BF24" s="31">
        <f t="shared" si="18"/>
        <v>0.125</v>
      </c>
      <c r="BG24" s="219">
        <f t="shared" si="19"/>
        <v>0.10625</v>
      </c>
      <c r="BH24" s="31">
        <f t="shared" si="20"/>
        <v>0</v>
      </c>
      <c r="BI24" s="219">
        <f t="shared" si="21"/>
        <v>0</v>
      </c>
      <c r="BJ24" s="31">
        <f t="shared" si="22"/>
        <v>0</v>
      </c>
      <c r="BK24" s="219">
        <f t="shared" si="23"/>
        <v>0</v>
      </c>
      <c r="BL24" s="31">
        <f t="shared" si="24"/>
        <v>0</v>
      </c>
      <c r="BM24" s="219">
        <f t="shared" si="25"/>
        <v>0</v>
      </c>
      <c r="BN24" s="31">
        <f t="shared" si="26"/>
        <v>0</v>
      </c>
      <c r="BO24" s="219">
        <f t="shared" si="27"/>
        <v>0</v>
      </c>
    </row>
    <row r="25" spans="1:67" x14ac:dyDescent="0.25">
      <c r="A25" s="31" t="s">
        <v>2035</v>
      </c>
      <c r="B25" s="176" t="str">
        <f>VLOOKUP(A25,kurspris!$A$1:$B$992,2,FALSE)</f>
        <v>Organisk kemi</v>
      </c>
      <c r="C25" s="31">
        <v>56112</v>
      </c>
      <c r="D25" s="60" t="s">
        <v>482</v>
      </c>
      <c r="E25" s="60"/>
      <c r="F25" s="57" t="s">
        <v>2274</v>
      </c>
      <c r="H25" s="31" t="s">
        <v>2335</v>
      </c>
      <c r="I25" s="31" t="s">
        <v>2399</v>
      </c>
      <c r="J25" s="31" t="s">
        <v>2234</v>
      </c>
      <c r="L25" s="38"/>
      <c r="M25">
        <v>15</v>
      </c>
      <c r="P25" s="31">
        <v>1</v>
      </c>
      <c r="Q25" s="539">
        <v>0.25</v>
      </c>
      <c r="R25" s="38">
        <v>0.85</v>
      </c>
      <c r="S25" s="280">
        <f t="shared" si="0"/>
        <v>0.21249999999999999</v>
      </c>
      <c r="T25" s="31">
        <f>VLOOKUP(A25,'Ansvar kurs'!$A$1:$C$1123,2,FALSE)</f>
        <v>5500</v>
      </c>
      <c r="U25" s="31" t="str">
        <f>VLOOKUP(T25,Orgenheter!$A$1:$C$166,2,FALSE)</f>
        <v xml:space="preserve">Kemiska institutionen         </v>
      </c>
      <c r="V25" s="31" t="str">
        <f>VLOOKUP(T25,Orgenheter!$A$1:$C$166,3,FALSE)</f>
        <v>TekNat</v>
      </c>
      <c r="W25" s="35" t="str">
        <f>VLOOKUP(D25,Program!$A$1:$B$36,2,FALSE)</f>
        <v>Ämneslärarprogrammet - Gy</v>
      </c>
      <c r="X25" s="40">
        <f>VLOOKUP(A25,kurspris!$A$1:$Q$913,15,FALSE)</f>
        <v>20757</v>
      </c>
      <c r="Y25" s="40">
        <f>VLOOKUP(A25,kurspris!$A$1:$Q$913,16,FALSE)</f>
        <v>36082</v>
      </c>
      <c r="Z25" s="40">
        <f t="shared" si="1"/>
        <v>12856.674999999999</v>
      </c>
      <c r="AA25" s="40">
        <f>VLOOKUP(A25,kurspris!$A$1:$Q$913,17,FALSE)</f>
        <v>22600</v>
      </c>
      <c r="AB25" s="40">
        <f t="shared" si="2"/>
        <v>5650</v>
      </c>
      <c r="AC25" s="40">
        <f t="shared" si="3"/>
        <v>18506.674999999999</v>
      </c>
      <c r="AD25" s="31">
        <f>VLOOKUP($A25,kurspris!$A$1:$Q$950,3,FALSE)</f>
        <v>0</v>
      </c>
      <c r="AE25" s="31">
        <f>VLOOKUP($A25,kurspris!$A$1:$Q$950,4,FALSE)</f>
        <v>0</v>
      </c>
      <c r="AF25" s="31">
        <f>VLOOKUP($A25,kurspris!$A$1:$Q$950,5,FALSE)</f>
        <v>0</v>
      </c>
      <c r="AG25" s="31">
        <f>VLOOKUP($A25,kurspris!$A$1:$Q$950,6,FALSE)</f>
        <v>0</v>
      </c>
      <c r="AH25" s="31">
        <f>VLOOKUP($A25,kurspris!$A$1:$Q$950,7,FALSE)</f>
        <v>0</v>
      </c>
      <c r="AI25" s="31">
        <f>VLOOKUP($A25,kurspris!$A$1:$Q$950,8,FALSE)</f>
        <v>1</v>
      </c>
      <c r="AJ25" s="31">
        <f>VLOOKUP($A25,kurspris!$A$1:$Q$950,9,FALSE)</f>
        <v>0</v>
      </c>
      <c r="AK25" s="31">
        <f>VLOOKUP($A25,kurspris!$A$1:$Q$950,10,FALSE)</f>
        <v>0</v>
      </c>
      <c r="AL25" s="31">
        <f>VLOOKUP($A25,kurspris!$A$1:$Q$950,11,FALSE)</f>
        <v>0</v>
      </c>
      <c r="AM25" s="31">
        <f>VLOOKUP($A25,kurspris!$A$1:$Q$950,12,FALSE)</f>
        <v>0</v>
      </c>
      <c r="AN25" s="31">
        <f>VLOOKUP($A25,kurspris!$A$1:$Q$950,13,FALSE)</f>
        <v>0</v>
      </c>
      <c r="AO25" s="31">
        <f>VLOOKUP($A25,kurspris!$A$1:$Q$950,14,FALSE)</f>
        <v>0</v>
      </c>
      <c r="AP25" s="57" t="s">
        <v>2402</v>
      </c>
      <c r="AQ25"/>
      <c r="AR25" s="31">
        <f t="shared" si="4"/>
        <v>0</v>
      </c>
      <c r="AS25" s="219">
        <f t="shared" si="5"/>
        <v>0</v>
      </c>
      <c r="AT25" s="31">
        <f t="shared" si="6"/>
        <v>0</v>
      </c>
      <c r="AU25" s="219">
        <f t="shared" si="7"/>
        <v>0</v>
      </c>
      <c r="AV25" s="31">
        <f t="shared" si="8"/>
        <v>0</v>
      </c>
      <c r="AW25" s="31">
        <f t="shared" si="9"/>
        <v>0</v>
      </c>
      <c r="AX25" s="31">
        <f t="shared" si="10"/>
        <v>0</v>
      </c>
      <c r="AY25" s="219">
        <f t="shared" si="11"/>
        <v>0</v>
      </c>
      <c r="AZ25" s="196">
        <f t="shared" si="12"/>
        <v>0</v>
      </c>
      <c r="BA25" s="219">
        <f t="shared" si="13"/>
        <v>0</v>
      </c>
      <c r="BB25" s="31">
        <f t="shared" si="14"/>
        <v>0.25</v>
      </c>
      <c r="BC25" s="219">
        <f t="shared" si="15"/>
        <v>0.21249999999999999</v>
      </c>
      <c r="BD25" s="31">
        <f t="shared" si="16"/>
        <v>0</v>
      </c>
      <c r="BE25" s="219">
        <f t="shared" si="17"/>
        <v>0</v>
      </c>
      <c r="BF25" s="31">
        <f t="shared" si="18"/>
        <v>0</v>
      </c>
      <c r="BG25" s="219">
        <f t="shared" si="19"/>
        <v>0</v>
      </c>
      <c r="BH25" s="31">
        <f t="shared" si="20"/>
        <v>0</v>
      </c>
      <c r="BI25" s="219">
        <f t="shared" si="21"/>
        <v>0</v>
      </c>
      <c r="BJ25" s="31">
        <f t="shared" si="22"/>
        <v>0</v>
      </c>
      <c r="BK25" s="219">
        <f t="shared" si="23"/>
        <v>0</v>
      </c>
      <c r="BL25" s="31">
        <f t="shared" si="24"/>
        <v>0</v>
      </c>
      <c r="BM25" s="219">
        <f t="shared" si="25"/>
        <v>0</v>
      </c>
      <c r="BN25" s="31">
        <f t="shared" si="26"/>
        <v>0</v>
      </c>
      <c r="BO25" s="219">
        <f t="shared" si="27"/>
        <v>0</v>
      </c>
    </row>
    <row r="26" spans="1:67" x14ac:dyDescent="0.25">
      <c r="A26" s="31" t="s">
        <v>2339</v>
      </c>
      <c r="B26" s="176" t="str">
        <f>VLOOKUP(A26,kurspris!$A$1:$B$992,2,FALSE)</f>
        <v>Molekylär spektroskopi och diffraktion</v>
      </c>
      <c r="D26" s="60" t="s">
        <v>482</v>
      </c>
      <c r="E26" s="576" t="s">
        <v>2225</v>
      </c>
      <c r="F26" s="31" t="s">
        <v>2273</v>
      </c>
      <c r="G26" t="s">
        <v>2448</v>
      </c>
      <c r="H26" t="s">
        <v>2335</v>
      </c>
      <c r="J26" s="31" t="s">
        <v>2234</v>
      </c>
      <c r="L26" s="38">
        <v>1</v>
      </c>
      <c r="M26">
        <v>7.5</v>
      </c>
      <c r="P26" s="31">
        <v>1</v>
      </c>
      <c r="Q26" s="196">
        <f>(M26/60)*P26</f>
        <v>0.125</v>
      </c>
      <c r="R26" s="38">
        <v>0.85</v>
      </c>
      <c r="S26" s="280">
        <f t="shared" si="0"/>
        <v>0.10625</v>
      </c>
      <c r="T26" s="31">
        <f>VLOOKUP(A26,'Ansvar kurs'!$A$1:$C$1123,2,FALSE)</f>
        <v>5500</v>
      </c>
      <c r="U26" s="31" t="str">
        <f>VLOOKUP(T26,Orgenheter!$A$1:$C$166,2,FALSE)</f>
        <v xml:space="preserve">Kemiska institutionen         </v>
      </c>
      <c r="V26" s="31" t="str">
        <f>VLOOKUP(T26,Orgenheter!$A$1:$C$166,3,FALSE)</f>
        <v>TekNat</v>
      </c>
      <c r="W26" s="35" t="str">
        <f>VLOOKUP(D26,Program!$A$1:$B$36,2,FALSE)</f>
        <v>Ämneslärarprogrammet - Gy</v>
      </c>
      <c r="X26" s="40">
        <f>VLOOKUP(A26,kurspris!$A$1:$Q$913,15,FALSE)</f>
        <v>20757</v>
      </c>
      <c r="Y26" s="40">
        <f>VLOOKUP(A26,kurspris!$A$1:$Q$913,16,FALSE)</f>
        <v>36082</v>
      </c>
      <c r="Z26" s="40">
        <f t="shared" si="1"/>
        <v>6428.3374999999996</v>
      </c>
      <c r="AA26" s="40">
        <f>VLOOKUP(A26,kurspris!$A$1:$Q$913,17,FALSE)</f>
        <v>22600</v>
      </c>
      <c r="AB26" s="40">
        <f t="shared" si="2"/>
        <v>2825</v>
      </c>
      <c r="AC26" s="40">
        <f t="shared" si="3"/>
        <v>9253.3374999999996</v>
      </c>
      <c r="AD26" s="31">
        <f>VLOOKUP($A26,kurspris!$A$1:$Q$950,3,FALSE)</f>
        <v>0</v>
      </c>
      <c r="AE26" s="31">
        <f>VLOOKUP($A26,kurspris!$A$1:$Q$950,4,FALSE)</f>
        <v>0</v>
      </c>
      <c r="AF26" s="31">
        <f>VLOOKUP($A26,kurspris!$A$1:$Q$950,5,FALSE)</f>
        <v>0</v>
      </c>
      <c r="AG26" s="31">
        <f>VLOOKUP($A26,kurspris!$A$1:$Q$950,6,FALSE)</f>
        <v>0</v>
      </c>
      <c r="AH26" s="31">
        <f>VLOOKUP($A26,kurspris!$A$1:$Q$950,7,FALSE)</f>
        <v>0</v>
      </c>
      <c r="AI26" s="31">
        <f>VLOOKUP($A26,kurspris!$A$1:$Q$950,8,FALSE)</f>
        <v>0.5</v>
      </c>
      <c r="AJ26" s="31">
        <f>VLOOKUP($A26,kurspris!$A$1:$Q$950,9,FALSE)</f>
        <v>0</v>
      </c>
      <c r="AK26" s="31">
        <f>VLOOKUP($A26,kurspris!$A$1:$Q$950,10,FALSE)</f>
        <v>0.5</v>
      </c>
      <c r="AL26" s="31">
        <f>VLOOKUP($A26,kurspris!$A$1:$Q$950,11,FALSE)</f>
        <v>0</v>
      </c>
      <c r="AM26" s="31">
        <f>VLOOKUP($A26,kurspris!$A$1:$Q$950,12,FALSE)</f>
        <v>0</v>
      </c>
      <c r="AN26" s="31">
        <f>VLOOKUP($A26,kurspris!$A$1:$Q$950,13,FALSE)</f>
        <v>0</v>
      </c>
      <c r="AO26" s="31">
        <f>VLOOKUP($A26,kurspris!$A$1:$Q$950,14,FALSE)</f>
        <v>0</v>
      </c>
      <c r="AP26" s="57" t="s">
        <v>2506</v>
      </c>
      <c r="AQ26"/>
      <c r="AR26" s="31">
        <f t="shared" si="4"/>
        <v>0</v>
      </c>
      <c r="AS26" s="219">
        <f t="shared" si="5"/>
        <v>0</v>
      </c>
      <c r="AT26" s="31">
        <f t="shared" si="6"/>
        <v>0</v>
      </c>
      <c r="AU26" s="219">
        <f t="shared" si="7"/>
        <v>0</v>
      </c>
      <c r="AV26" s="31">
        <f t="shared" si="8"/>
        <v>0</v>
      </c>
      <c r="AW26" s="31">
        <f t="shared" si="9"/>
        <v>0</v>
      </c>
      <c r="AX26" s="31">
        <f t="shared" si="10"/>
        <v>0</v>
      </c>
      <c r="AY26" s="219">
        <f t="shared" si="11"/>
        <v>0</v>
      </c>
      <c r="AZ26" s="196">
        <f t="shared" si="12"/>
        <v>0</v>
      </c>
      <c r="BA26" s="219">
        <f t="shared" si="13"/>
        <v>0</v>
      </c>
      <c r="BB26" s="31">
        <f t="shared" si="14"/>
        <v>6.25E-2</v>
      </c>
      <c r="BC26" s="219">
        <f t="shared" si="15"/>
        <v>5.3124999999999999E-2</v>
      </c>
      <c r="BD26" s="31">
        <f t="shared" si="16"/>
        <v>0</v>
      </c>
      <c r="BE26" s="219">
        <f t="shared" si="17"/>
        <v>0</v>
      </c>
      <c r="BF26" s="31">
        <f t="shared" si="18"/>
        <v>6.25E-2</v>
      </c>
      <c r="BG26" s="219">
        <f t="shared" si="19"/>
        <v>5.3124999999999999E-2</v>
      </c>
      <c r="BH26" s="31">
        <f t="shared" si="20"/>
        <v>0</v>
      </c>
      <c r="BI26" s="219">
        <f t="shared" si="21"/>
        <v>0</v>
      </c>
      <c r="BJ26" s="31">
        <f t="shared" si="22"/>
        <v>0</v>
      </c>
      <c r="BK26" s="219">
        <f t="shared" si="23"/>
        <v>0</v>
      </c>
      <c r="BL26" s="31">
        <f t="shared" si="24"/>
        <v>0</v>
      </c>
      <c r="BM26" s="219">
        <f t="shared" si="25"/>
        <v>0</v>
      </c>
      <c r="BN26" s="31">
        <f t="shared" si="26"/>
        <v>0</v>
      </c>
      <c r="BO26" s="219">
        <f t="shared" si="27"/>
        <v>0</v>
      </c>
    </row>
    <row r="27" spans="1:67" x14ac:dyDescent="0.25">
      <c r="A27" s="31" t="s">
        <v>2340</v>
      </c>
      <c r="B27" s="176" t="str">
        <f>VLOOKUP(A27,kurspris!$A$1:$B$992,2,FALSE)</f>
        <v>Kemisk och molekylär termodynamik</v>
      </c>
      <c r="D27" s="60" t="s">
        <v>482</v>
      </c>
      <c r="E27" s="576" t="s">
        <v>2225</v>
      </c>
      <c r="F27" s="31" t="s">
        <v>2273</v>
      </c>
      <c r="G27" t="s">
        <v>2441</v>
      </c>
      <c r="H27" t="s">
        <v>2335</v>
      </c>
      <c r="J27" s="31" t="s">
        <v>2234</v>
      </c>
      <c r="L27" s="38">
        <v>1</v>
      </c>
      <c r="M27">
        <v>7.5</v>
      </c>
      <c r="P27" s="31">
        <v>1</v>
      </c>
      <c r="Q27" s="196">
        <f>(M27/60)*P27</f>
        <v>0.125</v>
      </c>
      <c r="R27" s="38">
        <v>0.85</v>
      </c>
      <c r="S27" s="280">
        <f t="shared" si="0"/>
        <v>0.10625</v>
      </c>
      <c r="T27" s="31">
        <f>VLOOKUP(A27,'Ansvar kurs'!$A$1:$C$1123,2,FALSE)</f>
        <v>5500</v>
      </c>
      <c r="U27" s="31" t="str">
        <f>VLOOKUP(T27,Orgenheter!$A$1:$C$166,2,FALSE)</f>
        <v xml:space="preserve">Kemiska institutionen         </v>
      </c>
      <c r="V27" s="31" t="str">
        <f>VLOOKUP(T27,Orgenheter!$A$1:$C$166,3,FALSE)</f>
        <v>TekNat</v>
      </c>
      <c r="W27" s="35" t="str">
        <f>VLOOKUP(D27,Program!$A$1:$B$36,2,FALSE)</f>
        <v>Ämneslärarprogrammet - Gy</v>
      </c>
      <c r="X27" s="40">
        <f>VLOOKUP(A27,kurspris!$A$1:$Q$913,15,FALSE)</f>
        <v>20757</v>
      </c>
      <c r="Y27" s="40">
        <f>VLOOKUP(A27,kurspris!$A$1:$Q$913,16,FALSE)</f>
        <v>36082</v>
      </c>
      <c r="Z27" s="40">
        <f t="shared" si="1"/>
        <v>6428.3374999999996</v>
      </c>
      <c r="AA27" s="40">
        <f>VLOOKUP(A27,kurspris!$A$1:$Q$913,17,FALSE)</f>
        <v>22600</v>
      </c>
      <c r="AB27" s="40">
        <f t="shared" si="2"/>
        <v>2825</v>
      </c>
      <c r="AC27" s="40">
        <f t="shared" si="3"/>
        <v>9253.3374999999996</v>
      </c>
      <c r="AD27" s="31">
        <f>VLOOKUP($A27,kurspris!$A$1:$Q$950,3,FALSE)</f>
        <v>0</v>
      </c>
      <c r="AE27" s="31">
        <f>VLOOKUP($A27,kurspris!$A$1:$Q$950,4,FALSE)</f>
        <v>0</v>
      </c>
      <c r="AF27" s="31">
        <f>VLOOKUP($A27,kurspris!$A$1:$Q$950,5,FALSE)</f>
        <v>0</v>
      </c>
      <c r="AG27" s="31">
        <f>VLOOKUP($A27,kurspris!$A$1:$Q$950,6,FALSE)</f>
        <v>0</v>
      </c>
      <c r="AH27" s="31">
        <f>VLOOKUP($A27,kurspris!$A$1:$Q$950,7,FALSE)</f>
        <v>0</v>
      </c>
      <c r="AI27" s="31">
        <f>VLOOKUP($A27,kurspris!$A$1:$Q$950,8,FALSE)</f>
        <v>0.5</v>
      </c>
      <c r="AJ27" s="31">
        <f>VLOOKUP($A27,kurspris!$A$1:$Q$950,9,FALSE)</f>
        <v>0</v>
      </c>
      <c r="AK27" s="31">
        <f>VLOOKUP($A27,kurspris!$A$1:$Q$950,10,FALSE)</f>
        <v>0.5</v>
      </c>
      <c r="AL27" s="31">
        <f>VLOOKUP($A27,kurspris!$A$1:$Q$950,11,FALSE)</f>
        <v>0</v>
      </c>
      <c r="AM27" s="31">
        <f>VLOOKUP($A27,kurspris!$A$1:$Q$950,12,FALSE)</f>
        <v>0</v>
      </c>
      <c r="AN27" s="31">
        <f>VLOOKUP($A27,kurspris!$A$1:$Q$950,13,FALSE)</f>
        <v>0</v>
      </c>
      <c r="AO27" s="31">
        <f>VLOOKUP($A27,kurspris!$A$1:$Q$950,14,FALSE)</f>
        <v>0</v>
      </c>
      <c r="AP27" s="57" t="s">
        <v>2506</v>
      </c>
      <c r="AQ27"/>
      <c r="AR27" s="31">
        <f t="shared" si="4"/>
        <v>0</v>
      </c>
      <c r="AS27" s="219">
        <f t="shared" si="5"/>
        <v>0</v>
      </c>
      <c r="AT27" s="31">
        <f t="shared" si="6"/>
        <v>0</v>
      </c>
      <c r="AU27" s="219">
        <f t="shared" si="7"/>
        <v>0</v>
      </c>
      <c r="AV27" s="31">
        <f t="shared" si="8"/>
        <v>0</v>
      </c>
      <c r="AW27" s="31">
        <f t="shared" si="9"/>
        <v>0</v>
      </c>
      <c r="AX27" s="31">
        <f t="shared" si="10"/>
        <v>0</v>
      </c>
      <c r="AY27" s="219">
        <f t="shared" si="11"/>
        <v>0</v>
      </c>
      <c r="AZ27" s="196">
        <f t="shared" si="12"/>
        <v>0</v>
      </c>
      <c r="BA27" s="219">
        <f t="shared" si="13"/>
        <v>0</v>
      </c>
      <c r="BB27" s="31">
        <f t="shared" si="14"/>
        <v>6.25E-2</v>
      </c>
      <c r="BC27" s="219">
        <f t="shared" si="15"/>
        <v>5.3124999999999999E-2</v>
      </c>
      <c r="BD27" s="31">
        <f t="shared" si="16"/>
        <v>0</v>
      </c>
      <c r="BE27" s="219">
        <f t="shared" si="17"/>
        <v>0</v>
      </c>
      <c r="BF27" s="31">
        <f t="shared" si="18"/>
        <v>6.25E-2</v>
      </c>
      <c r="BG27" s="219">
        <f t="shared" si="19"/>
        <v>5.3124999999999999E-2</v>
      </c>
      <c r="BH27" s="31">
        <f t="shared" si="20"/>
        <v>0</v>
      </c>
      <c r="BI27" s="219">
        <f t="shared" si="21"/>
        <v>0</v>
      </c>
      <c r="BJ27" s="31">
        <f t="shared" si="22"/>
        <v>0</v>
      </c>
      <c r="BK27" s="219">
        <f t="shared" si="23"/>
        <v>0</v>
      </c>
      <c r="BL27" s="31">
        <f t="shared" si="24"/>
        <v>0</v>
      </c>
      <c r="BM27" s="219">
        <f t="shared" si="25"/>
        <v>0</v>
      </c>
      <c r="BN27" s="31">
        <f t="shared" si="26"/>
        <v>0</v>
      </c>
      <c r="BO27" s="219">
        <f t="shared" si="27"/>
        <v>0</v>
      </c>
    </row>
    <row r="28" spans="1:67" x14ac:dyDescent="0.25">
      <c r="A28" s="31" t="s">
        <v>2382</v>
      </c>
      <c r="B28" s="176" t="str">
        <f>VLOOKUP(A28,kurspris!$A$1:$B$992,2,FALSE)</f>
        <v>Linjär algebra</v>
      </c>
      <c r="C28" s="31">
        <v>58106</v>
      </c>
      <c r="D28" s="60" t="s">
        <v>482</v>
      </c>
      <c r="E28" s="60"/>
      <c r="F28" s="57" t="s">
        <v>2274</v>
      </c>
      <c r="H28" s="31" t="s">
        <v>2335</v>
      </c>
      <c r="I28" s="31" t="s">
        <v>2399</v>
      </c>
      <c r="J28" s="31" t="s">
        <v>2233</v>
      </c>
      <c r="L28" s="38"/>
      <c r="M28">
        <v>7.5</v>
      </c>
      <c r="P28" s="31">
        <v>1</v>
      </c>
      <c r="Q28" s="539">
        <v>0.125</v>
      </c>
      <c r="R28" s="38">
        <v>0.85</v>
      </c>
      <c r="S28" s="280">
        <f t="shared" si="0"/>
        <v>0.10625</v>
      </c>
      <c r="T28" s="31">
        <f>VLOOKUP(A28,'Ansvar kurs'!$A$1:$C$1123,2,FALSE)</f>
        <v>5730</v>
      </c>
      <c r="U28" s="31" t="str">
        <f>VLOOKUP(T28,Orgenheter!$A$1:$C$166,2,FALSE)</f>
        <v>Inst för MA och MA statistik</v>
      </c>
      <c r="V28" s="31" t="str">
        <f>VLOOKUP(T28,Orgenheter!$A$1:$C$166,3,FALSE)</f>
        <v>TekNat</v>
      </c>
      <c r="W28" s="35" t="str">
        <f>VLOOKUP(D28,Program!$A$1:$B$36,2,FALSE)</f>
        <v>Ämneslärarprogrammet - Gy</v>
      </c>
      <c r="X28" s="40">
        <f>VLOOKUP(A28,kurspris!$A$1:$Q$913,15,FALSE)</f>
        <v>20757</v>
      </c>
      <c r="Y28" s="40">
        <f>VLOOKUP(A28,kurspris!$A$1:$Q$913,16,FALSE)</f>
        <v>36082</v>
      </c>
      <c r="Z28" s="40">
        <f t="shared" si="1"/>
        <v>6428.3374999999996</v>
      </c>
      <c r="AA28" s="40">
        <f>VLOOKUP(A28,kurspris!$A$1:$Q$913,17,FALSE)</f>
        <v>22600</v>
      </c>
      <c r="AB28" s="40">
        <f t="shared" si="2"/>
        <v>2825</v>
      </c>
      <c r="AC28" s="40">
        <f t="shared" si="3"/>
        <v>9253.3374999999996</v>
      </c>
      <c r="AD28" s="31">
        <f>VLOOKUP($A28,kurspris!$A$1:$Q$950,3,FALSE)</f>
        <v>0</v>
      </c>
      <c r="AE28" s="31">
        <f>VLOOKUP($A28,kurspris!$A$1:$Q$950,4,FALSE)</f>
        <v>0</v>
      </c>
      <c r="AF28" s="31">
        <f>VLOOKUP($A28,kurspris!$A$1:$Q$950,5,FALSE)</f>
        <v>0</v>
      </c>
      <c r="AG28" s="31">
        <f>VLOOKUP($A28,kurspris!$A$1:$Q$950,6,FALSE)</f>
        <v>0</v>
      </c>
      <c r="AH28" s="31">
        <f>VLOOKUP($A28,kurspris!$A$1:$Q$950,7,FALSE)</f>
        <v>0</v>
      </c>
      <c r="AI28" s="31">
        <f>VLOOKUP($A28,kurspris!$A$1:$Q$950,8,FALSE)</f>
        <v>0.5</v>
      </c>
      <c r="AJ28" s="31">
        <f>VLOOKUP($A28,kurspris!$A$1:$Q$950,9,FALSE)</f>
        <v>0</v>
      </c>
      <c r="AK28" s="31">
        <f>VLOOKUP($A28,kurspris!$A$1:$Q$950,10,FALSE)</f>
        <v>0.5</v>
      </c>
      <c r="AL28" s="31">
        <f>VLOOKUP($A28,kurspris!$A$1:$Q$950,11,FALSE)</f>
        <v>0</v>
      </c>
      <c r="AM28" s="31">
        <f>VLOOKUP($A28,kurspris!$A$1:$Q$950,12,FALSE)</f>
        <v>0</v>
      </c>
      <c r="AN28" s="31">
        <f>VLOOKUP($A28,kurspris!$A$1:$Q$950,13,FALSE)</f>
        <v>0</v>
      </c>
      <c r="AO28" s="31">
        <f>VLOOKUP($A28,kurspris!$A$1:$Q$950,14,FALSE)</f>
        <v>0</v>
      </c>
      <c r="AP28" s="57" t="s">
        <v>2402</v>
      </c>
      <c r="AQ28"/>
      <c r="AR28" s="31">
        <f t="shared" si="4"/>
        <v>0</v>
      </c>
      <c r="AS28" s="219">
        <f t="shared" si="5"/>
        <v>0</v>
      </c>
      <c r="AT28" s="31">
        <f t="shared" si="6"/>
        <v>0</v>
      </c>
      <c r="AU28" s="219">
        <f t="shared" si="7"/>
        <v>0</v>
      </c>
      <c r="AV28" s="31">
        <f t="shared" si="8"/>
        <v>0</v>
      </c>
      <c r="AW28" s="31">
        <f t="shared" si="9"/>
        <v>0</v>
      </c>
      <c r="AX28" s="31">
        <f t="shared" si="10"/>
        <v>0</v>
      </c>
      <c r="AY28" s="219">
        <f t="shared" si="11"/>
        <v>0</v>
      </c>
      <c r="AZ28" s="196">
        <f t="shared" si="12"/>
        <v>0</v>
      </c>
      <c r="BA28" s="219">
        <f t="shared" si="13"/>
        <v>0</v>
      </c>
      <c r="BB28" s="31">
        <f t="shared" si="14"/>
        <v>6.25E-2</v>
      </c>
      <c r="BC28" s="219">
        <f t="shared" si="15"/>
        <v>5.3124999999999999E-2</v>
      </c>
      <c r="BD28" s="31">
        <f t="shared" si="16"/>
        <v>0</v>
      </c>
      <c r="BE28" s="219">
        <f t="shared" si="17"/>
        <v>0</v>
      </c>
      <c r="BF28" s="31">
        <f t="shared" si="18"/>
        <v>6.25E-2</v>
      </c>
      <c r="BG28" s="219">
        <f t="shared" si="19"/>
        <v>5.3124999999999999E-2</v>
      </c>
      <c r="BH28" s="31">
        <f t="shared" si="20"/>
        <v>0</v>
      </c>
      <c r="BI28" s="219">
        <f t="shared" si="21"/>
        <v>0</v>
      </c>
      <c r="BJ28" s="31">
        <f t="shared" si="22"/>
        <v>0</v>
      </c>
      <c r="BK28" s="219">
        <f t="shared" si="23"/>
        <v>0</v>
      </c>
      <c r="BL28" s="31">
        <f t="shared" si="24"/>
        <v>0</v>
      </c>
      <c r="BM28" s="219">
        <f t="shared" si="25"/>
        <v>0</v>
      </c>
      <c r="BN28" s="31">
        <f t="shared" si="26"/>
        <v>0</v>
      </c>
      <c r="BO28" s="219">
        <f t="shared" si="27"/>
        <v>0</v>
      </c>
    </row>
    <row r="29" spans="1:67" x14ac:dyDescent="0.25">
      <c r="A29" s="31" t="s">
        <v>1894</v>
      </c>
      <c r="B29" s="176" t="str">
        <f>VLOOKUP(A29,kurspris!$A$1:$B$992,2,FALSE)</f>
        <v>Läraryrkets dimensioner - ingångsämne biologi (VFU)</v>
      </c>
      <c r="D29" s="60" t="s">
        <v>482</v>
      </c>
      <c r="E29" s="576" t="s">
        <v>2225</v>
      </c>
      <c r="F29" s="31" t="s">
        <v>2273</v>
      </c>
      <c r="G29" t="s">
        <v>2456</v>
      </c>
      <c r="H29" t="s">
        <v>2335</v>
      </c>
      <c r="J29" s="31" t="s">
        <v>2234</v>
      </c>
      <c r="L29" s="38">
        <v>1</v>
      </c>
      <c r="M29">
        <v>22.5</v>
      </c>
      <c r="P29" s="31">
        <v>1</v>
      </c>
      <c r="Q29" s="196">
        <f>(M29/60)*P29</f>
        <v>0.375</v>
      </c>
      <c r="R29" s="38">
        <v>0.85</v>
      </c>
      <c r="S29" s="280">
        <f t="shared" si="0"/>
        <v>0.31874999999999998</v>
      </c>
      <c r="T29" s="31">
        <f>VLOOKUP(A29,'Ansvar kurs'!$A$1:$C$1123,2,FALSE)</f>
        <v>5740</v>
      </c>
      <c r="U29" s="31" t="str">
        <f>VLOOKUP(T29,Orgenheter!$A$1:$C$166,2,FALSE)</f>
        <v>NMD</v>
      </c>
      <c r="V29" s="31" t="str">
        <f>VLOOKUP(T29,Orgenheter!$A$1:$C$166,3,FALSE)</f>
        <v>TekNat</v>
      </c>
      <c r="W29" s="35" t="str">
        <f>VLOOKUP(D29,Program!$A$1:$B$36,2,FALSE)</f>
        <v>Ämneslärarprogrammet - Gy</v>
      </c>
      <c r="X29" s="40">
        <f>VLOOKUP(A29,kurspris!$A$1:$Q$913,15,FALSE)</f>
        <v>25235</v>
      </c>
      <c r="Y29" s="40">
        <f>VLOOKUP(A29,kurspris!$A$1:$Q$913,16,FALSE)</f>
        <v>27976</v>
      </c>
      <c r="Z29" s="40">
        <f t="shared" si="1"/>
        <v>18380.474999999999</v>
      </c>
      <c r="AA29" s="40">
        <f>VLOOKUP(A29,kurspris!$A$1:$Q$913,17,FALSE)</f>
        <v>3600</v>
      </c>
      <c r="AB29" s="40">
        <f t="shared" si="2"/>
        <v>1350</v>
      </c>
      <c r="AC29" s="40">
        <f t="shared" si="3"/>
        <v>19730.474999999999</v>
      </c>
      <c r="AD29" s="31">
        <f>VLOOKUP($A29,kurspris!$A$1:$Q$950,3,FALSE)</f>
        <v>0</v>
      </c>
      <c r="AE29" s="31">
        <f>VLOOKUP($A29,kurspris!$A$1:$Q$950,4,FALSE)</f>
        <v>0</v>
      </c>
      <c r="AF29" s="31">
        <f>VLOOKUP($A29,kurspris!$A$1:$Q$950,5,FALSE)</f>
        <v>0</v>
      </c>
      <c r="AG29" s="31">
        <f>VLOOKUP($A29,kurspris!$A$1:$Q$950,6,FALSE)</f>
        <v>0</v>
      </c>
      <c r="AH29" s="31">
        <f>VLOOKUP($A29,kurspris!$A$1:$Q$950,7,FALSE)</f>
        <v>0</v>
      </c>
      <c r="AI29" s="31">
        <f>VLOOKUP($A29,kurspris!$A$1:$Q$950,8,FALSE)</f>
        <v>0</v>
      </c>
      <c r="AJ29" s="31">
        <f>VLOOKUP($A29,kurspris!$A$1:$Q$950,9,FALSE)</f>
        <v>0</v>
      </c>
      <c r="AK29" s="31">
        <f>VLOOKUP($A29,kurspris!$A$1:$Q$950,10,FALSE)</f>
        <v>0</v>
      </c>
      <c r="AL29" s="31">
        <f>VLOOKUP($A29,kurspris!$A$1:$Q$950,11,FALSE)</f>
        <v>1</v>
      </c>
      <c r="AM29" s="31">
        <f>VLOOKUP($A29,kurspris!$A$1:$Q$950,12,FALSE)</f>
        <v>0</v>
      </c>
      <c r="AN29" s="31">
        <f>VLOOKUP($A29,kurspris!$A$1:$Q$950,13,FALSE)</f>
        <v>0</v>
      </c>
      <c r="AO29" s="31">
        <f>VLOOKUP($A29,kurspris!$A$1:$Q$950,14,FALSE)</f>
        <v>0</v>
      </c>
      <c r="AP29" s="57" t="s">
        <v>2506</v>
      </c>
      <c r="AQ29"/>
      <c r="AR29" s="31">
        <f t="shared" si="4"/>
        <v>0</v>
      </c>
      <c r="AS29" s="219">
        <f t="shared" si="5"/>
        <v>0</v>
      </c>
      <c r="AT29" s="31">
        <f t="shared" si="6"/>
        <v>0</v>
      </c>
      <c r="AU29" s="219">
        <f t="shared" si="7"/>
        <v>0</v>
      </c>
      <c r="AV29" s="31">
        <f t="shared" si="8"/>
        <v>0</v>
      </c>
      <c r="AW29" s="31">
        <f t="shared" si="9"/>
        <v>0</v>
      </c>
      <c r="AX29" s="31">
        <f t="shared" si="10"/>
        <v>0</v>
      </c>
      <c r="AY29" s="219">
        <f t="shared" si="11"/>
        <v>0</v>
      </c>
      <c r="AZ29" s="196">
        <f t="shared" si="12"/>
        <v>0</v>
      </c>
      <c r="BA29" s="219">
        <f t="shared" si="13"/>
        <v>0</v>
      </c>
      <c r="BB29" s="31">
        <f t="shared" si="14"/>
        <v>0</v>
      </c>
      <c r="BC29" s="219">
        <f t="shared" si="15"/>
        <v>0</v>
      </c>
      <c r="BD29" s="31">
        <f t="shared" si="16"/>
        <v>0</v>
      </c>
      <c r="BE29" s="219">
        <f t="shared" si="17"/>
        <v>0</v>
      </c>
      <c r="BF29" s="31">
        <f t="shared" si="18"/>
        <v>0</v>
      </c>
      <c r="BG29" s="219">
        <f t="shared" si="19"/>
        <v>0</v>
      </c>
      <c r="BH29" s="31">
        <f t="shared" si="20"/>
        <v>0.375</v>
      </c>
      <c r="BI29" s="219">
        <f t="shared" si="21"/>
        <v>0.31874999999999998</v>
      </c>
      <c r="BJ29" s="31">
        <f t="shared" si="22"/>
        <v>0</v>
      </c>
      <c r="BK29" s="219">
        <f t="shared" si="23"/>
        <v>0</v>
      </c>
      <c r="BL29" s="31">
        <f t="shared" si="24"/>
        <v>0</v>
      </c>
      <c r="BM29" s="219">
        <f t="shared" si="25"/>
        <v>0</v>
      </c>
      <c r="BN29" s="31">
        <f t="shared" si="26"/>
        <v>0</v>
      </c>
      <c r="BO29" s="219">
        <f t="shared" si="27"/>
        <v>0</v>
      </c>
    </row>
    <row r="30" spans="1:67" x14ac:dyDescent="0.25">
      <c r="A30" s="31" t="s">
        <v>1894</v>
      </c>
      <c r="B30" s="176" t="str">
        <f>VLOOKUP(A30,kurspris!$A$1:$B$992,2,FALSE)</f>
        <v>Läraryrkets dimensioner - ingångsämne biologi (VFU)</v>
      </c>
      <c r="C30" s="31">
        <v>62303</v>
      </c>
      <c r="D30" s="60" t="s">
        <v>482</v>
      </c>
      <c r="E30" s="60"/>
      <c r="F30" s="57" t="s">
        <v>2274</v>
      </c>
      <c r="H30" s="31" t="s">
        <v>2335</v>
      </c>
      <c r="I30" s="31" t="s">
        <v>2399</v>
      </c>
      <c r="J30" s="31" t="s">
        <v>2234</v>
      </c>
      <c r="L30" s="38"/>
      <c r="M30">
        <v>22.5</v>
      </c>
      <c r="P30" s="31">
        <v>4</v>
      </c>
      <c r="Q30" s="539">
        <v>1.5</v>
      </c>
      <c r="R30" s="38">
        <v>0.85</v>
      </c>
      <c r="S30" s="280">
        <f t="shared" si="0"/>
        <v>1.2749999999999999</v>
      </c>
      <c r="T30" s="31">
        <f>VLOOKUP(A30,'Ansvar kurs'!$A$1:$C$1123,2,FALSE)</f>
        <v>5740</v>
      </c>
      <c r="U30" s="31" t="str">
        <f>VLOOKUP(T30,Orgenheter!$A$1:$C$166,2,FALSE)</f>
        <v>NMD</v>
      </c>
      <c r="V30" s="31" t="str">
        <f>VLOOKUP(T30,Orgenheter!$A$1:$C$166,3,FALSE)</f>
        <v>TekNat</v>
      </c>
      <c r="W30" s="35" t="str">
        <f>VLOOKUP(D30,Program!$A$1:$B$36,2,FALSE)</f>
        <v>Ämneslärarprogrammet - Gy</v>
      </c>
      <c r="X30" s="40">
        <f>VLOOKUP(A30,kurspris!$A$1:$Q$913,15,FALSE)</f>
        <v>25235</v>
      </c>
      <c r="Y30" s="40">
        <f>VLOOKUP(A30,kurspris!$A$1:$Q$913,16,FALSE)</f>
        <v>27976</v>
      </c>
      <c r="Z30" s="40">
        <f t="shared" si="1"/>
        <v>73521.899999999994</v>
      </c>
      <c r="AA30" s="40">
        <f>VLOOKUP(A30,kurspris!$A$1:$Q$913,17,FALSE)</f>
        <v>3600</v>
      </c>
      <c r="AB30" s="40">
        <f t="shared" si="2"/>
        <v>5400</v>
      </c>
      <c r="AC30" s="40">
        <f t="shared" si="3"/>
        <v>78921.899999999994</v>
      </c>
      <c r="AD30" s="31">
        <f>VLOOKUP($A30,kurspris!$A$1:$Q$950,3,FALSE)</f>
        <v>0</v>
      </c>
      <c r="AE30" s="31">
        <f>VLOOKUP($A30,kurspris!$A$1:$Q$950,4,FALSE)</f>
        <v>0</v>
      </c>
      <c r="AF30" s="31">
        <f>VLOOKUP($A30,kurspris!$A$1:$Q$950,5,FALSE)</f>
        <v>0</v>
      </c>
      <c r="AG30" s="31">
        <f>VLOOKUP($A30,kurspris!$A$1:$Q$950,6,FALSE)</f>
        <v>0</v>
      </c>
      <c r="AH30" s="31">
        <f>VLOOKUP($A30,kurspris!$A$1:$Q$950,7,FALSE)</f>
        <v>0</v>
      </c>
      <c r="AI30" s="31">
        <f>VLOOKUP($A30,kurspris!$A$1:$Q$950,8,FALSE)</f>
        <v>0</v>
      </c>
      <c r="AJ30" s="31">
        <f>VLOOKUP($A30,kurspris!$A$1:$Q$950,9,FALSE)</f>
        <v>0</v>
      </c>
      <c r="AK30" s="31">
        <f>VLOOKUP($A30,kurspris!$A$1:$Q$950,10,FALSE)</f>
        <v>0</v>
      </c>
      <c r="AL30" s="31">
        <f>VLOOKUP($A30,kurspris!$A$1:$Q$950,11,FALSE)</f>
        <v>1</v>
      </c>
      <c r="AM30" s="31">
        <f>VLOOKUP($A30,kurspris!$A$1:$Q$950,12,FALSE)</f>
        <v>0</v>
      </c>
      <c r="AN30" s="31">
        <f>VLOOKUP($A30,kurspris!$A$1:$Q$950,13,FALSE)</f>
        <v>0</v>
      </c>
      <c r="AO30" s="31">
        <f>VLOOKUP($A30,kurspris!$A$1:$Q$950,14,FALSE)</f>
        <v>0</v>
      </c>
      <c r="AP30" s="57" t="s">
        <v>2402</v>
      </c>
      <c r="AQ30"/>
      <c r="AR30" s="31">
        <f t="shared" si="4"/>
        <v>0</v>
      </c>
      <c r="AS30" s="219">
        <f t="shared" si="5"/>
        <v>0</v>
      </c>
      <c r="AT30" s="31">
        <f t="shared" si="6"/>
        <v>0</v>
      </c>
      <c r="AU30" s="219">
        <f t="shared" si="7"/>
        <v>0</v>
      </c>
      <c r="AV30" s="31">
        <f t="shared" si="8"/>
        <v>0</v>
      </c>
      <c r="AW30" s="31">
        <f t="shared" si="9"/>
        <v>0</v>
      </c>
      <c r="AX30" s="31">
        <f t="shared" si="10"/>
        <v>0</v>
      </c>
      <c r="AY30" s="219">
        <f t="shared" si="11"/>
        <v>0</v>
      </c>
      <c r="AZ30" s="196">
        <f t="shared" si="12"/>
        <v>0</v>
      </c>
      <c r="BA30" s="219">
        <f t="shared" si="13"/>
        <v>0</v>
      </c>
      <c r="BB30" s="31">
        <f t="shared" si="14"/>
        <v>0</v>
      </c>
      <c r="BC30" s="219">
        <f t="shared" si="15"/>
        <v>0</v>
      </c>
      <c r="BD30" s="31">
        <f t="shared" si="16"/>
        <v>0</v>
      </c>
      <c r="BE30" s="219">
        <f t="shared" si="17"/>
        <v>0</v>
      </c>
      <c r="BF30" s="31">
        <f t="shared" si="18"/>
        <v>0</v>
      </c>
      <c r="BG30" s="219">
        <f t="shared" si="19"/>
        <v>0</v>
      </c>
      <c r="BH30" s="31">
        <f t="shared" si="20"/>
        <v>1.5</v>
      </c>
      <c r="BI30" s="219">
        <f t="shared" si="21"/>
        <v>1.2749999999999999</v>
      </c>
      <c r="BJ30" s="31">
        <f t="shared" si="22"/>
        <v>0</v>
      </c>
      <c r="BK30" s="219">
        <f t="shared" si="23"/>
        <v>0</v>
      </c>
      <c r="BL30" s="31">
        <f t="shared" si="24"/>
        <v>0</v>
      </c>
      <c r="BM30" s="219">
        <f t="shared" si="25"/>
        <v>0</v>
      </c>
      <c r="BN30" s="31">
        <f t="shared" si="26"/>
        <v>0</v>
      </c>
      <c r="BO30" s="219">
        <f t="shared" si="27"/>
        <v>0</v>
      </c>
    </row>
    <row r="31" spans="1:67" x14ac:dyDescent="0.25">
      <c r="A31" s="31" t="s">
        <v>1883</v>
      </c>
      <c r="B31" s="176" t="str">
        <f>VLOOKUP(A31,kurspris!$A$1:$B$992,2,FALSE)</f>
        <v>Naturens mångfald för naturkunskapslärare</v>
      </c>
      <c r="D31" s="60" t="s">
        <v>482</v>
      </c>
      <c r="E31" s="576" t="s">
        <v>2432</v>
      </c>
      <c r="F31" s="31" t="s">
        <v>2273</v>
      </c>
      <c r="G31" t="s">
        <v>2456</v>
      </c>
      <c r="H31" t="s">
        <v>2335</v>
      </c>
      <c r="J31" s="31" t="s">
        <v>2235</v>
      </c>
      <c r="L31" s="38">
        <v>1</v>
      </c>
      <c r="M31">
        <v>15</v>
      </c>
      <c r="P31" s="31">
        <v>1</v>
      </c>
      <c r="Q31" s="196">
        <f t="shared" ref="Q31:Q37" si="28">(M31/60)*P31</f>
        <v>0.25</v>
      </c>
      <c r="R31" s="38">
        <v>0.85</v>
      </c>
      <c r="S31" s="280">
        <f t="shared" si="0"/>
        <v>0.21249999999999999</v>
      </c>
      <c r="T31" s="31">
        <f>VLOOKUP(A31,'Ansvar kurs'!$A$1:$C$1123,2,FALSE)</f>
        <v>5100</v>
      </c>
      <c r="U31" s="31" t="str">
        <f>VLOOKUP(T31,Orgenheter!$A$1:$C$166,2,FALSE)</f>
        <v>EMG</v>
      </c>
      <c r="V31" s="31" t="str">
        <f>VLOOKUP(T31,Orgenheter!$A$1:$C$166,3,FALSE)</f>
        <v>TekNat</v>
      </c>
      <c r="W31" s="35" t="str">
        <f>VLOOKUP(D31,Program!$A$1:$B$36,2,FALSE)</f>
        <v>Ämneslärarprogrammet - Gy</v>
      </c>
      <c r="X31" s="40">
        <f>VLOOKUP(A31,kurspris!$A$1:$Q$913,15,FALSE)</f>
        <v>20757</v>
      </c>
      <c r="Y31" s="40">
        <f>VLOOKUP(A31,kurspris!$A$1:$Q$913,16,FALSE)</f>
        <v>36082</v>
      </c>
      <c r="Z31" s="40">
        <f t="shared" si="1"/>
        <v>12856.674999999999</v>
      </c>
      <c r="AA31" s="40">
        <f>VLOOKUP(A31,kurspris!$A$1:$Q$913,17,FALSE)</f>
        <v>22600</v>
      </c>
      <c r="AB31" s="40">
        <f t="shared" si="2"/>
        <v>5650</v>
      </c>
      <c r="AC31" s="40">
        <f t="shared" si="3"/>
        <v>18506.674999999999</v>
      </c>
      <c r="AD31" s="31">
        <f>VLOOKUP($A31,kurspris!$A$1:$Q$950,3,FALSE)</f>
        <v>0</v>
      </c>
      <c r="AE31" s="31">
        <f>VLOOKUP($A31,kurspris!$A$1:$Q$950,4,FALSE)</f>
        <v>0</v>
      </c>
      <c r="AF31" s="31">
        <f>VLOOKUP($A31,kurspris!$A$1:$Q$950,5,FALSE)</f>
        <v>0</v>
      </c>
      <c r="AG31" s="31">
        <f>VLOOKUP($A31,kurspris!$A$1:$Q$950,6,FALSE)</f>
        <v>0</v>
      </c>
      <c r="AH31" s="31">
        <f>VLOOKUP($A31,kurspris!$A$1:$Q$950,7,FALSE)</f>
        <v>0</v>
      </c>
      <c r="AI31" s="31">
        <f>VLOOKUP($A31,kurspris!$A$1:$Q$950,8,FALSE)</f>
        <v>1</v>
      </c>
      <c r="AJ31" s="31">
        <f>VLOOKUP($A31,kurspris!$A$1:$Q$950,9,FALSE)</f>
        <v>0</v>
      </c>
      <c r="AK31" s="31">
        <f>VLOOKUP($A31,kurspris!$A$1:$Q$950,10,FALSE)</f>
        <v>0</v>
      </c>
      <c r="AL31" s="31">
        <f>VLOOKUP($A31,kurspris!$A$1:$Q$950,11,FALSE)</f>
        <v>0</v>
      </c>
      <c r="AM31" s="31">
        <f>VLOOKUP($A31,kurspris!$A$1:$Q$950,12,FALSE)</f>
        <v>0</v>
      </c>
      <c r="AN31" s="31">
        <f>VLOOKUP($A31,kurspris!$A$1:$Q$950,13,FALSE)</f>
        <v>0</v>
      </c>
      <c r="AO31" s="31">
        <f>VLOOKUP($A31,kurspris!$A$1:$Q$950,14,FALSE)</f>
        <v>0</v>
      </c>
      <c r="AP31" s="57" t="s">
        <v>2506</v>
      </c>
      <c r="AQ31"/>
      <c r="AR31" s="31">
        <f t="shared" si="4"/>
        <v>0</v>
      </c>
      <c r="AS31" s="219">
        <f t="shared" si="5"/>
        <v>0</v>
      </c>
      <c r="AT31" s="31">
        <f t="shared" si="6"/>
        <v>0</v>
      </c>
      <c r="AU31" s="219">
        <f t="shared" si="7"/>
        <v>0</v>
      </c>
      <c r="AV31" s="31">
        <f t="shared" si="8"/>
        <v>0</v>
      </c>
      <c r="AW31" s="31">
        <f t="shared" si="9"/>
        <v>0</v>
      </c>
      <c r="AX31" s="31">
        <f t="shared" si="10"/>
        <v>0</v>
      </c>
      <c r="AY31" s="219">
        <f t="shared" si="11"/>
        <v>0</v>
      </c>
      <c r="AZ31" s="196">
        <f t="shared" si="12"/>
        <v>0</v>
      </c>
      <c r="BA31" s="219">
        <f t="shared" si="13"/>
        <v>0</v>
      </c>
      <c r="BB31" s="31">
        <f t="shared" si="14"/>
        <v>0.25</v>
      </c>
      <c r="BC31" s="219">
        <f t="shared" si="15"/>
        <v>0.21249999999999999</v>
      </c>
      <c r="BD31" s="31">
        <f t="shared" si="16"/>
        <v>0</v>
      </c>
      <c r="BE31" s="219">
        <f t="shared" si="17"/>
        <v>0</v>
      </c>
      <c r="BF31" s="31">
        <f t="shared" si="18"/>
        <v>0</v>
      </c>
      <c r="BG31" s="219">
        <f t="shared" si="19"/>
        <v>0</v>
      </c>
      <c r="BH31" s="31">
        <f t="shared" si="20"/>
        <v>0</v>
      </c>
      <c r="BI31" s="219">
        <f t="shared" si="21"/>
        <v>0</v>
      </c>
      <c r="BJ31" s="31">
        <f t="shared" si="22"/>
        <v>0</v>
      </c>
      <c r="BK31" s="219">
        <f t="shared" si="23"/>
        <v>0</v>
      </c>
      <c r="BL31" s="31">
        <f t="shared" si="24"/>
        <v>0</v>
      </c>
      <c r="BM31" s="219">
        <f t="shared" si="25"/>
        <v>0</v>
      </c>
      <c r="BN31" s="31">
        <f t="shared" si="26"/>
        <v>0</v>
      </c>
      <c r="BO31" s="219">
        <f t="shared" si="27"/>
        <v>0</v>
      </c>
    </row>
    <row r="32" spans="1:67" x14ac:dyDescent="0.25">
      <c r="A32" s="31" t="s">
        <v>2144</v>
      </c>
      <c r="B32" s="176" t="str">
        <f>VLOOKUP(A32,kurspris!$A$1:$B$992,2,FALSE)</f>
        <v>Artkunskap och systematik för biologilärare</v>
      </c>
      <c r="D32" s="60" t="s">
        <v>482</v>
      </c>
      <c r="E32" s="576" t="s">
        <v>2225</v>
      </c>
      <c r="F32" s="31" t="s">
        <v>2273</v>
      </c>
      <c r="G32" t="s">
        <v>2440</v>
      </c>
      <c r="H32" t="s">
        <v>2335</v>
      </c>
      <c r="J32" s="31" t="s">
        <v>2232</v>
      </c>
      <c r="L32" s="38">
        <v>1</v>
      </c>
      <c r="M32">
        <v>15</v>
      </c>
      <c r="P32" s="31">
        <v>1</v>
      </c>
      <c r="Q32" s="196">
        <f t="shared" si="28"/>
        <v>0.25</v>
      </c>
      <c r="R32" s="38">
        <v>0.85</v>
      </c>
      <c r="S32" s="280">
        <f t="shared" si="0"/>
        <v>0.21249999999999999</v>
      </c>
      <c r="T32" s="31">
        <f>VLOOKUP(A32,'Ansvar kurs'!$A$1:$C$1123,2,FALSE)</f>
        <v>5100</v>
      </c>
      <c r="U32" s="31" t="str">
        <f>VLOOKUP(T32,Orgenheter!$A$1:$C$166,2,FALSE)</f>
        <v>EMG</v>
      </c>
      <c r="V32" s="31" t="str">
        <f>VLOOKUP(T32,Orgenheter!$A$1:$C$166,3,FALSE)</f>
        <v>TekNat</v>
      </c>
      <c r="W32" s="35" t="str">
        <f>VLOOKUP(D32,Program!$A$1:$B$36,2,FALSE)</f>
        <v>Ämneslärarprogrammet - Gy</v>
      </c>
      <c r="X32" s="40">
        <f>VLOOKUP(A32,kurspris!$A$1:$Q$913,15,FALSE)</f>
        <v>20757</v>
      </c>
      <c r="Y32" s="40">
        <f>VLOOKUP(A32,kurspris!$A$1:$Q$913,16,FALSE)</f>
        <v>36082</v>
      </c>
      <c r="Z32" s="40">
        <f t="shared" si="1"/>
        <v>12856.674999999999</v>
      </c>
      <c r="AA32" s="40">
        <f>VLOOKUP(A32,kurspris!$A$1:$Q$913,17,FALSE)</f>
        <v>22600</v>
      </c>
      <c r="AB32" s="40">
        <f t="shared" si="2"/>
        <v>5650</v>
      </c>
      <c r="AC32" s="40">
        <f t="shared" si="3"/>
        <v>18506.674999999999</v>
      </c>
      <c r="AD32" s="31">
        <f>VLOOKUP($A32,kurspris!$A$1:$Q$950,3,FALSE)</f>
        <v>0</v>
      </c>
      <c r="AE32" s="31">
        <f>VLOOKUP($A32,kurspris!$A$1:$Q$950,4,FALSE)</f>
        <v>0</v>
      </c>
      <c r="AF32" s="31">
        <f>VLOOKUP($A32,kurspris!$A$1:$Q$950,5,FALSE)</f>
        <v>0</v>
      </c>
      <c r="AG32" s="31">
        <f>VLOOKUP($A32,kurspris!$A$1:$Q$950,6,FALSE)</f>
        <v>0</v>
      </c>
      <c r="AH32" s="31">
        <f>VLOOKUP($A32,kurspris!$A$1:$Q$950,7,FALSE)</f>
        <v>0</v>
      </c>
      <c r="AI32" s="31">
        <f>VLOOKUP($A32,kurspris!$A$1:$Q$950,8,FALSE)</f>
        <v>1</v>
      </c>
      <c r="AJ32" s="31">
        <f>VLOOKUP($A32,kurspris!$A$1:$Q$950,9,FALSE)</f>
        <v>0</v>
      </c>
      <c r="AK32" s="31">
        <f>VLOOKUP($A32,kurspris!$A$1:$Q$950,10,FALSE)</f>
        <v>0</v>
      </c>
      <c r="AL32" s="31">
        <f>VLOOKUP($A32,kurspris!$A$1:$Q$950,11,FALSE)</f>
        <v>0</v>
      </c>
      <c r="AM32" s="31">
        <f>VLOOKUP($A32,kurspris!$A$1:$Q$950,12,FALSE)</f>
        <v>0</v>
      </c>
      <c r="AN32" s="31">
        <f>VLOOKUP($A32,kurspris!$A$1:$Q$950,13,FALSE)</f>
        <v>0</v>
      </c>
      <c r="AO32" s="31">
        <f>VLOOKUP($A32,kurspris!$A$1:$Q$950,14,FALSE)</f>
        <v>0</v>
      </c>
      <c r="AP32" s="57" t="s">
        <v>2506</v>
      </c>
      <c r="AQ32"/>
      <c r="AR32" s="31">
        <f t="shared" si="4"/>
        <v>0</v>
      </c>
      <c r="AS32" s="219">
        <f t="shared" si="5"/>
        <v>0</v>
      </c>
      <c r="AT32" s="31">
        <f t="shared" si="6"/>
        <v>0</v>
      </c>
      <c r="AU32" s="219">
        <f t="shared" si="7"/>
        <v>0</v>
      </c>
      <c r="AV32" s="31">
        <f t="shared" si="8"/>
        <v>0</v>
      </c>
      <c r="AW32" s="31">
        <f t="shared" si="9"/>
        <v>0</v>
      </c>
      <c r="AX32" s="31">
        <f t="shared" si="10"/>
        <v>0</v>
      </c>
      <c r="AY32" s="219">
        <f t="shared" si="11"/>
        <v>0</v>
      </c>
      <c r="AZ32" s="196">
        <f t="shared" si="12"/>
        <v>0</v>
      </c>
      <c r="BA32" s="219">
        <f t="shared" si="13"/>
        <v>0</v>
      </c>
      <c r="BB32" s="31">
        <f t="shared" si="14"/>
        <v>0.25</v>
      </c>
      <c r="BC32" s="219">
        <f t="shared" si="15"/>
        <v>0.21249999999999999</v>
      </c>
      <c r="BD32" s="31">
        <f t="shared" si="16"/>
        <v>0</v>
      </c>
      <c r="BE32" s="219">
        <f t="shared" si="17"/>
        <v>0</v>
      </c>
      <c r="BF32" s="31">
        <f t="shared" si="18"/>
        <v>0</v>
      </c>
      <c r="BG32" s="219">
        <f t="shared" si="19"/>
        <v>0</v>
      </c>
      <c r="BH32" s="31">
        <f t="shared" si="20"/>
        <v>0</v>
      </c>
      <c r="BI32" s="219">
        <f t="shared" si="21"/>
        <v>0</v>
      </c>
      <c r="BJ32" s="31">
        <f t="shared" si="22"/>
        <v>0</v>
      </c>
      <c r="BK32" s="219">
        <f t="shared" si="23"/>
        <v>0</v>
      </c>
      <c r="BL32" s="31">
        <f t="shared" si="24"/>
        <v>0</v>
      </c>
      <c r="BM32" s="219">
        <f t="shared" si="25"/>
        <v>0</v>
      </c>
      <c r="BN32" s="31">
        <f t="shared" si="26"/>
        <v>0</v>
      </c>
      <c r="BO32" s="219">
        <f t="shared" si="27"/>
        <v>0</v>
      </c>
    </row>
    <row r="33" spans="1:67" x14ac:dyDescent="0.25">
      <c r="A33" s="31" t="s">
        <v>2144</v>
      </c>
      <c r="B33" s="176" t="str">
        <f>VLOOKUP(A33,kurspris!$A$1:$B$992,2,FALSE)</f>
        <v>Artkunskap och systematik för biologilärare</v>
      </c>
      <c r="D33" s="60" t="s">
        <v>482</v>
      </c>
      <c r="E33" s="576" t="s">
        <v>2434</v>
      </c>
      <c r="F33" s="31" t="s">
        <v>2273</v>
      </c>
      <c r="G33" t="s">
        <v>2440</v>
      </c>
      <c r="H33" t="s">
        <v>2335</v>
      </c>
      <c r="J33" s="31" t="s">
        <v>2233</v>
      </c>
      <c r="L33" s="38">
        <v>1</v>
      </c>
      <c r="M33">
        <v>15</v>
      </c>
      <c r="P33" s="31">
        <v>1</v>
      </c>
      <c r="Q33" s="196">
        <f t="shared" si="28"/>
        <v>0.25</v>
      </c>
      <c r="R33" s="38">
        <v>0.85</v>
      </c>
      <c r="S33" s="280">
        <f t="shared" si="0"/>
        <v>0.21249999999999999</v>
      </c>
      <c r="T33" s="31">
        <f>VLOOKUP(A33,'Ansvar kurs'!$A$1:$C$1123,2,FALSE)</f>
        <v>5100</v>
      </c>
      <c r="U33" s="31" t="str">
        <f>VLOOKUP(T33,Orgenheter!$A$1:$C$166,2,FALSE)</f>
        <v>EMG</v>
      </c>
      <c r="V33" s="31" t="str">
        <f>VLOOKUP(T33,Orgenheter!$A$1:$C$166,3,FALSE)</f>
        <v>TekNat</v>
      </c>
      <c r="W33" s="35" t="str">
        <f>VLOOKUP(D33,Program!$A$1:$B$36,2,FALSE)</f>
        <v>Ämneslärarprogrammet - Gy</v>
      </c>
      <c r="X33" s="40">
        <f>VLOOKUP(A33,kurspris!$A$1:$Q$913,15,FALSE)</f>
        <v>20757</v>
      </c>
      <c r="Y33" s="40">
        <f>VLOOKUP(A33,kurspris!$A$1:$Q$913,16,FALSE)</f>
        <v>36082</v>
      </c>
      <c r="Z33" s="40">
        <f t="shared" si="1"/>
        <v>12856.674999999999</v>
      </c>
      <c r="AA33" s="40">
        <f>VLOOKUP(A33,kurspris!$A$1:$Q$913,17,FALSE)</f>
        <v>22600</v>
      </c>
      <c r="AB33" s="40">
        <f t="shared" si="2"/>
        <v>5650</v>
      </c>
      <c r="AC33" s="40">
        <f t="shared" si="3"/>
        <v>18506.674999999999</v>
      </c>
      <c r="AD33" s="31">
        <f>VLOOKUP($A33,kurspris!$A$1:$Q$950,3,FALSE)</f>
        <v>0</v>
      </c>
      <c r="AE33" s="31">
        <f>VLOOKUP($A33,kurspris!$A$1:$Q$950,4,FALSE)</f>
        <v>0</v>
      </c>
      <c r="AF33" s="31">
        <f>VLOOKUP($A33,kurspris!$A$1:$Q$950,5,FALSE)</f>
        <v>0</v>
      </c>
      <c r="AG33" s="31">
        <f>VLOOKUP($A33,kurspris!$A$1:$Q$950,6,FALSE)</f>
        <v>0</v>
      </c>
      <c r="AH33" s="31">
        <f>VLOOKUP($A33,kurspris!$A$1:$Q$950,7,FALSE)</f>
        <v>0</v>
      </c>
      <c r="AI33" s="31">
        <f>VLOOKUP($A33,kurspris!$A$1:$Q$950,8,FALSE)</f>
        <v>1</v>
      </c>
      <c r="AJ33" s="31">
        <f>VLOOKUP($A33,kurspris!$A$1:$Q$950,9,FALSE)</f>
        <v>0</v>
      </c>
      <c r="AK33" s="31">
        <f>VLOOKUP($A33,kurspris!$A$1:$Q$950,10,FALSE)</f>
        <v>0</v>
      </c>
      <c r="AL33" s="31">
        <f>VLOOKUP($A33,kurspris!$A$1:$Q$950,11,FALSE)</f>
        <v>0</v>
      </c>
      <c r="AM33" s="31">
        <f>VLOOKUP($A33,kurspris!$A$1:$Q$950,12,FALSE)</f>
        <v>0</v>
      </c>
      <c r="AN33" s="31">
        <f>VLOOKUP($A33,kurspris!$A$1:$Q$950,13,FALSE)</f>
        <v>0</v>
      </c>
      <c r="AO33" s="31">
        <f>VLOOKUP($A33,kurspris!$A$1:$Q$950,14,FALSE)</f>
        <v>0</v>
      </c>
      <c r="AP33" s="57" t="s">
        <v>2506</v>
      </c>
      <c r="AQ33"/>
      <c r="AR33" s="31">
        <f t="shared" si="4"/>
        <v>0</v>
      </c>
      <c r="AS33" s="219">
        <f t="shared" si="5"/>
        <v>0</v>
      </c>
      <c r="AT33" s="31">
        <f t="shared" si="6"/>
        <v>0</v>
      </c>
      <c r="AU33" s="219">
        <f t="shared" si="7"/>
        <v>0</v>
      </c>
      <c r="AV33" s="31">
        <f t="shared" si="8"/>
        <v>0</v>
      </c>
      <c r="AW33" s="31">
        <f t="shared" si="9"/>
        <v>0</v>
      </c>
      <c r="AX33" s="31">
        <f t="shared" si="10"/>
        <v>0</v>
      </c>
      <c r="AY33" s="219">
        <f t="shared" si="11"/>
        <v>0</v>
      </c>
      <c r="AZ33" s="196">
        <f t="shared" si="12"/>
        <v>0</v>
      </c>
      <c r="BA33" s="219">
        <f t="shared" si="13"/>
        <v>0</v>
      </c>
      <c r="BB33" s="31">
        <f t="shared" si="14"/>
        <v>0.25</v>
      </c>
      <c r="BC33" s="219">
        <f t="shared" si="15"/>
        <v>0.21249999999999999</v>
      </c>
      <c r="BD33" s="31">
        <f t="shared" si="16"/>
        <v>0</v>
      </c>
      <c r="BE33" s="219">
        <f t="shared" si="17"/>
        <v>0</v>
      </c>
      <c r="BF33" s="31">
        <f t="shared" si="18"/>
        <v>0</v>
      </c>
      <c r="BG33" s="219">
        <f t="shared" si="19"/>
        <v>0</v>
      </c>
      <c r="BH33" s="31">
        <f t="shared" si="20"/>
        <v>0</v>
      </c>
      <c r="BI33" s="219">
        <f t="shared" si="21"/>
        <v>0</v>
      </c>
      <c r="BJ33" s="31">
        <f t="shared" si="22"/>
        <v>0</v>
      </c>
      <c r="BK33" s="219">
        <f t="shared" si="23"/>
        <v>0</v>
      </c>
      <c r="BL33" s="31">
        <f t="shared" si="24"/>
        <v>0</v>
      </c>
      <c r="BM33" s="219">
        <f t="shared" si="25"/>
        <v>0</v>
      </c>
      <c r="BN33" s="31">
        <f t="shared" si="26"/>
        <v>0</v>
      </c>
      <c r="BO33" s="219">
        <f t="shared" si="27"/>
        <v>0</v>
      </c>
    </row>
    <row r="34" spans="1:67" x14ac:dyDescent="0.25">
      <c r="A34" s="31" t="s">
        <v>2144</v>
      </c>
      <c r="B34" s="176" t="str">
        <f>VLOOKUP(A34,kurspris!$A$1:$B$992,2,FALSE)</f>
        <v>Artkunskap och systematik för biologilärare</v>
      </c>
      <c r="D34" s="60" t="s">
        <v>482</v>
      </c>
      <c r="E34" s="576" t="s">
        <v>2432</v>
      </c>
      <c r="F34" s="31" t="s">
        <v>2273</v>
      </c>
      <c r="G34" t="s">
        <v>2440</v>
      </c>
      <c r="H34" t="s">
        <v>2335</v>
      </c>
      <c r="J34" s="31" t="s">
        <v>2234</v>
      </c>
      <c r="L34" s="38">
        <v>1</v>
      </c>
      <c r="M34">
        <v>15</v>
      </c>
      <c r="P34" s="31">
        <v>3</v>
      </c>
      <c r="Q34" s="196">
        <f t="shared" si="28"/>
        <v>0.75</v>
      </c>
      <c r="R34" s="38">
        <v>0.85</v>
      </c>
      <c r="S34" s="280">
        <f t="shared" si="0"/>
        <v>0.63749999999999996</v>
      </c>
      <c r="T34" s="31">
        <f>VLOOKUP(A34,'Ansvar kurs'!$A$1:$C$1123,2,FALSE)</f>
        <v>5100</v>
      </c>
      <c r="U34" s="31" t="str">
        <f>VLOOKUP(T34,Orgenheter!$A$1:$C$166,2,FALSE)</f>
        <v>EMG</v>
      </c>
      <c r="V34" s="31" t="str">
        <f>VLOOKUP(T34,Orgenheter!$A$1:$C$166,3,FALSE)</f>
        <v>TekNat</v>
      </c>
      <c r="W34" s="35" t="str">
        <f>VLOOKUP(D34,Program!$A$1:$B$36,2,FALSE)</f>
        <v>Ämneslärarprogrammet - Gy</v>
      </c>
      <c r="X34" s="40">
        <f>VLOOKUP(A34,kurspris!$A$1:$Q$913,15,FALSE)</f>
        <v>20757</v>
      </c>
      <c r="Y34" s="40">
        <f>VLOOKUP(A34,kurspris!$A$1:$Q$913,16,FALSE)</f>
        <v>36082</v>
      </c>
      <c r="Z34" s="40">
        <f t="shared" si="1"/>
        <v>38570.024999999994</v>
      </c>
      <c r="AA34" s="40">
        <f>VLOOKUP(A34,kurspris!$A$1:$Q$913,17,FALSE)</f>
        <v>22600</v>
      </c>
      <c r="AB34" s="40">
        <f t="shared" si="2"/>
        <v>16950</v>
      </c>
      <c r="AC34" s="40">
        <f t="shared" si="3"/>
        <v>55520.024999999994</v>
      </c>
      <c r="AD34" s="31">
        <f>VLOOKUP($A34,kurspris!$A$1:$Q$950,3,FALSE)</f>
        <v>0</v>
      </c>
      <c r="AE34" s="31">
        <f>VLOOKUP($A34,kurspris!$A$1:$Q$950,4,FALSE)</f>
        <v>0</v>
      </c>
      <c r="AF34" s="31">
        <f>VLOOKUP($A34,kurspris!$A$1:$Q$950,5,FALSE)</f>
        <v>0</v>
      </c>
      <c r="AG34" s="31">
        <f>VLOOKUP($A34,kurspris!$A$1:$Q$950,6,FALSE)</f>
        <v>0</v>
      </c>
      <c r="AH34" s="31">
        <f>VLOOKUP($A34,kurspris!$A$1:$Q$950,7,FALSE)</f>
        <v>0</v>
      </c>
      <c r="AI34" s="31">
        <f>VLOOKUP($A34,kurspris!$A$1:$Q$950,8,FALSE)</f>
        <v>1</v>
      </c>
      <c r="AJ34" s="31">
        <f>VLOOKUP($A34,kurspris!$A$1:$Q$950,9,FALSE)</f>
        <v>0</v>
      </c>
      <c r="AK34" s="31">
        <f>VLOOKUP($A34,kurspris!$A$1:$Q$950,10,FALSE)</f>
        <v>0</v>
      </c>
      <c r="AL34" s="31">
        <f>VLOOKUP($A34,kurspris!$A$1:$Q$950,11,FALSE)</f>
        <v>0</v>
      </c>
      <c r="AM34" s="31">
        <f>VLOOKUP($A34,kurspris!$A$1:$Q$950,12,FALSE)</f>
        <v>0</v>
      </c>
      <c r="AN34" s="31">
        <f>VLOOKUP($A34,kurspris!$A$1:$Q$950,13,FALSE)</f>
        <v>0</v>
      </c>
      <c r="AO34" s="31">
        <f>VLOOKUP($A34,kurspris!$A$1:$Q$950,14,FALSE)</f>
        <v>0</v>
      </c>
      <c r="AP34" s="57" t="s">
        <v>2506</v>
      </c>
      <c r="AQ34"/>
      <c r="AR34" s="31">
        <f t="shared" si="4"/>
        <v>0</v>
      </c>
      <c r="AS34" s="219">
        <f t="shared" si="5"/>
        <v>0</v>
      </c>
      <c r="AT34" s="31">
        <f t="shared" si="6"/>
        <v>0</v>
      </c>
      <c r="AU34" s="219">
        <f t="shared" si="7"/>
        <v>0</v>
      </c>
      <c r="AV34" s="31">
        <f t="shared" si="8"/>
        <v>0</v>
      </c>
      <c r="AW34" s="31">
        <f t="shared" si="9"/>
        <v>0</v>
      </c>
      <c r="AX34" s="31">
        <f t="shared" si="10"/>
        <v>0</v>
      </c>
      <c r="AY34" s="219">
        <f t="shared" si="11"/>
        <v>0</v>
      </c>
      <c r="AZ34" s="196">
        <f t="shared" si="12"/>
        <v>0</v>
      </c>
      <c r="BA34" s="219">
        <f t="shared" si="13"/>
        <v>0</v>
      </c>
      <c r="BB34" s="31">
        <f t="shared" si="14"/>
        <v>0.75</v>
      </c>
      <c r="BC34" s="219">
        <f t="shared" si="15"/>
        <v>0.63749999999999996</v>
      </c>
      <c r="BD34" s="31">
        <f t="shared" si="16"/>
        <v>0</v>
      </c>
      <c r="BE34" s="219">
        <f t="shared" si="17"/>
        <v>0</v>
      </c>
      <c r="BF34" s="31">
        <f t="shared" si="18"/>
        <v>0</v>
      </c>
      <c r="BG34" s="219">
        <f t="shared" si="19"/>
        <v>0</v>
      </c>
      <c r="BH34" s="31">
        <f t="shared" si="20"/>
        <v>0</v>
      </c>
      <c r="BI34" s="219">
        <f t="shared" si="21"/>
        <v>0</v>
      </c>
      <c r="BJ34" s="31">
        <f t="shared" si="22"/>
        <v>0</v>
      </c>
      <c r="BK34" s="219">
        <f t="shared" si="23"/>
        <v>0</v>
      </c>
      <c r="BL34" s="31">
        <f t="shared" si="24"/>
        <v>0</v>
      </c>
      <c r="BM34" s="219">
        <f t="shared" si="25"/>
        <v>0</v>
      </c>
      <c r="BN34" s="31">
        <f t="shared" si="26"/>
        <v>0</v>
      </c>
      <c r="BO34" s="219">
        <f t="shared" si="27"/>
        <v>0</v>
      </c>
    </row>
    <row r="35" spans="1:67" x14ac:dyDescent="0.25">
      <c r="A35" s="31" t="s">
        <v>2143</v>
      </c>
      <c r="B35" s="176" t="str">
        <f>VLOOKUP(A35,kurspris!$A$1:$B$992,2,FALSE)</f>
        <v>Genetik och evolution</v>
      </c>
      <c r="D35" s="60" t="s">
        <v>482</v>
      </c>
      <c r="E35" s="576" t="s">
        <v>2225</v>
      </c>
      <c r="F35" s="31" t="s">
        <v>2273</v>
      </c>
      <c r="G35" t="s">
        <v>2437</v>
      </c>
      <c r="H35" t="s">
        <v>2335</v>
      </c>
      <c r="J35" s="31" t="s">
        <v>2232</v>
      </c>
      <c r="L35" s="38">
        <v>1</v>
      </c>
      <c r="M35">
        <v>15</v>
      </c>
      <c r="P35" s="31">
        <v>1</v>
      </c>
      <c r="Q35" s="196">
        <f t="shared" si="28"/>
        <v>0.25</v>
      </c>
      <c r="R35" s="38">
        <v>0.85</v>
      </c>
      <c r="S35" s="280">
        <f t="shared" si="0"/>
        <v>0.21249999999999999</v>
      </c>
      <c r="T35" s="31">
        <f>VLOOKUP(A35,'Ansvar kurs'!$A$1:$C$1123,2,FALSE)</f>
        <v>5100</v>
      </c>
      <c r="U35" s="31" t="str">
        <f>VLOOKUP(T35,Orgenheter!$A$1:$C$166,2,FALSE)</f>
        <v>EMG</v>
      </c>
      <c r="V35" s="31" t="str">
        <f>VLOOKUP(T35,Orgenheter!$A$1:$C$166,3,FALSE)</f>
        <v>TekNat</v>
      </c>
      <c r="W35" s="35" t="str">
        <f>VLOOKUP(D35,Program!$A$1:$B$36,2,FALSE)</f>
        <v>Ämneslärarprogrammet - Gy</v>
      </c>
      <c r="X35" s="40">
        <f>VLOOKUP(A35,kurspris!$A$1:$Q$913,15,FALSE)</f>
        <v>20757</v>
      </c>
      <c r="Y35" s="40">
        <f>VLOOKUP(A35,kurspris!$A$1:$Q$913,16,FALSE)</f>
        <v>36082</v>
      </c>
      <c r="Z35" s="40">
        <f t="shared" si="1"/>
        <v>12856.674999999999</v>
      </c>
      <c r="AA35" s="40">
        <f>VLOOKUP(A35,kurspris!$A$1:$Q$913,17,FALSE)</f>
        <v>22600</v>
      </c>
      <c r="AB35" s="40">
        <f t="shared" si="2"/>
        <v>5650</v>
      </c>
      <c r="AC35" s="40">
        <f t="shared" si="3"/>
        <v>18506.674999999999</v>
      </c>
      <c r="AD35" s="31">
        <f>VLOOKUP($A35,kurspris!$A$1:$Q$950,3,FALSE)</f>
        <v>0</v>
      </c>
      <c r="AE35" s="31">
        <f>VLOOKUP($A35,kurspris!$A$1:$Q$950,4,FALSE)</f>
        <v>0</v>
      </c>
      <c r="AF35" s="31">
        <f>VLOOKUP($A35,kurspris!$A$1:$Q$950,5,FALSE)</f>
        <v>0</v>
      </c>
      <c r="AG35" s="31">
        <f>VLOOKUP($A35,kurspris!$A$1:$Q$950,6,FALSE)</f>
        <v>0</v>
      </c>
      <c r="AH35" s="31">
        <f>VLOOKUP($A35,kurspris!$A$1:$Q$950,7,FALSE)</f>
        <v>0</v>
      </c>
      <c r="AI35" s="31">
        <f>VLOOKUP($A35,kurspris!$A$1:$Q$950,8,FALSE)</f>
        <v>0.5</v>
      </c>
      <c r="AJ35" s="31">
        <f>VLOOKUP($A35,kurspris!$A$1:$Q$950,9,FALSE)</f>
        <v>0</v>
      </c>
      <c r="AK35" s="31">
        <f>VLOOKUP($A35,kurspris!$A$1:$Q$950,10,FALSE)</f>
        <v>0.5</v>
      </c>
      <c r="AL35" s="31">
        <f>VLOOKUP($A35,kurspris!$A$1:$Q$950,11,FALSE)</f>
        <v>0</v>
      </c>
      <c r="AM35" s="31">
        <f>VLOOKUP($A35,kurspris!$A$1:$Q$950,12,FALSE)</f>
        <v>0</v>
      </c>
      <c r="AN35" s="31">
        <f>VLOOKUP($A35,kurspris!$A$1:$Q$950,13,FALSE)</f>
        <v>0</v>
      </c>
      <c r="AO35" s="31">
        <f>VLOOKUP($A35,kurspris!$A$1:$Q$950,14,FALSE)</f>
        <v>0</v>
      </c>
      <c r="AP35" s="57" t="s">
        <v>2506</v>
      </c>
      <c r="AQ35"/>
      <c r="AR35" s="31">
        <f t="shared" si="4"/>
        <v>0</v>
      </c>
      <c r="AS35" s="219">
        <f t="shared" si="5"/>
        <v>0</v>
      </c>
      <c r="AT35" s="31">
        <f t="shared" si="6"/>
        <v>0</v>
      </c>
      <c r="AU35" s="219">
        <f t="shared" si="7"/>
        <v>0</v>
      </c>
      <c r="AV35" s="31">
        <f t="shared" si="8"/>
        <v>0</v>
      </c>
      <c r="AW35" s="31">
        <f t="shared" si="9"/>
        <v>0</v>
      </c>
      <c r="AX35" s="31">
        <f t="shared" si="10"/>
        <v>0</v>
      </c>
      <c r="AY35" s="219">
        <f t="shared" si="11"/>
        <v>0</v>
      </c>
      <c r="AZ35" s="196">
        <f t="shared" si="12"/>
        <v>0</v>
      </c>
      <c r="BA35" s="219">
        <f t="shared" si="13"/>
        <v>0</v>
      </c>
      <c r="BB35" s="31">
        <f t="shared" si="14"/>
        <v>0.125</v>
      </c>
      <c r="BC35" s="219">
        <f t="shared" si="15"/>
        <v>0.10625</v>
      </c>
      <c r="BD35" s="31">
        <f t="shared" si="16"/>
        <v>0</v>
      </c>
      <c r="BE35" s="219">
        <f t="shared" si="17"/>
        <v>0</v>
      </c>
      <c r="BF35" s="31">
        <f t="shared" si="18"/>
        <v>0.125</v>
      </c>
      <c r="BG35" s="219">
        <f t="shared" si="19"/>
        <v>0.10625</v>
      </c>
      <c r="BH35" s="31">
        <f t="shared" si="20"/>
        <v>0</v>
      </c>
      <c r="BI35" s="219">
        <f t="shared" si="21"/>
        <v>0</v>
      </c>
      <c r="BJ35" s="31">
        <f t="shared" si="22"/>
        <v>0</v>
      </c>
      <c r="BK35" s="219">
        <f t="shared" si="23"/>
        <v>0</v>
      </c>
      <c r="BL35" s="31">
        <f t="shared" si="24"/>
        <v>0</v>
      </c>
      <c r="BM35" s="219">
        <f t="shared" si="25"/>
        <v>0</v>
      </c>
      <c r="BN35" s="31">
        <f t="shared" si="26"/>
        <v>0</v>
      </c>
      <c r="BO35" s="219">
        <f t="shared" si="27"/>
        <v>0</v>
      </c>
    </row>
    <row r="36" spans="1:67" x14ac:dyDescent="0.25">
      <c r="A36" s="31" t="s">
        <v>2143</v>
      </c>
      <c r="B36" s="176" t="str">
        <f>VLOOKUP(A36,kurspris!$A$1:$B$992,2,FALSE)</f>
        <v>Genetik och evolution</v>
      </c>
      <c r="D36" s="60" t="s">
        <v>482</v>
      </c>
      <c r="E36" s="576" t="s">
        <v>2434</v>
      </c>
      <c r="F36" s="31" t="s">
        <v>2273</v>
      </c>
      <c r="G36" t="s">
        <v>2437</v>
      </c>
      <c r="H36" t="s">
        <v>2335</v>
      </c>
      <c r="J36" s="31" t="s">
        <v>2233</v>
      </c>
      <c r="L36" s="38">
        <v>1</v>
      </c>
      <c r="M36">
        <v>15</v>
      </c>
      <c r="P36" s="31">
        <v>1</v>
      </c>
      <c r="Q36" s="196">
        <f t="shared" si="28"/>
        <v>0.25</v>
      </c>
      <c r="R36" s="38">
        <v>0.85</v>
      </c>
      <c r="S36" s="280">
        <f t="shared" si="0"/>
        <v>0.21249999999999999</v>
      </c>
      <c r="T36" s="31">
        <f>VLOOKUP(A36,'Ansvar kurs'!$A$1:$C$1123,2,FALSE)</f>
        <v>5100</v>
      </c>
      <c r="U36" s="31" t="str">
        <f>VLOOKUP(T36,Orgenheter!$A$1:$C$166,2,FALSE)</f>
        <v>EMG</v>
      </c>
      <c r="V36" s="31" t="str">
        <f>VLOOKUP(T36,Orgenheter!$A$1:$C$166,3,FALSE)</f>
        <v>TekNat</v>
      </c>
      <c r="W36" s="35" t="str">
        <f>VLOOKUP(D36,Program!$A$1:$B$36,2,FALSE)</f>
        <v>Ämneslärarprogrammet - Gy</v>
      </c>
      <c r="X36" s="40">
        <f>VLOOKUP(A36,kurspris!$A$1:$Q$913,15,FALSE)</f>
        <v>20757</v>
      </c>
      <c r="Y36" s="40">
        <f>VLOOKUP(A36,kurspris!$A$1:$Q$913,16,FALSE)</f>
        <v>36082</v>
      </c>
      <c r="Z36" s="40">
        <f t="shared" si="1"/>
        <v>12856.674999999999</v>
      </c>
      <c r="AA36" s="40">
        <f>VLOOKUP(A36,kurspris!$A$1:$Q$913,17,FALSE)</f>
        <v>22600</v>
      </c>
      <c r="AB36" s="40">
        <f t="shared" si="2"/>
        <v>5650</v>
      </c>
      <c r="AC36" s="40">
        <f t="shared" si="3"/>
        <v>18506.674999999999</v>
      </c>
      <c r="AD36" s="31">
        <f>VLOOKUP($A36,kurspris!$A$1:$Q$950,3,FALSE)</f>
        <v>0</v>
      </c>
      <c r="AE36" s="31">
        <f>VLOOKUP($A36,kurspris!$A$1:$Q$950,4,FALSE)</f>
        <v>0</v>
      </c>
      <c r="AF36" s="31">
        <f>VLOOKUP($A36,kurspris!$A$1:$Q$950,5,FALSE)</f>
        <v>0</v>
      </c>
      <c r="AG36" s="31">
        <f>VLOOKUP($A36,kurspris!$A$1:$Q$950,6,FALSE)</f>
        <v>0</v>
      </c>
      <c r="AH36" s="31">
        <f>VLOOKUP($A36,kurspris!$A$1:$Q$950,7,FALSE)</f>
        <v>0</v>
      </c>
      <c r="AI36" s="31">
        <f>VLOOKUP($A36,kurspris!$A$1:$Q$950,8,FALSE)</f>
        <v>0.5</v>
      </c>
      <c r="AJ36" s="31">
        <f>VLOOKUP($A36,kurspris!$A$1:$Q$950,9,FALSE)</f>
        <v>0</v>
      </c>
      <c r="AK36" s="31">
        <f>VLOOKUP($A36,kurspris!$A$1:$Q$950,10,FALSE)</f>
        <v>0.5</v>
      </c>
      <c r="AL36" s="31">
        <f>VLOOKUP($A36,kurspris!$A$1:$Q$950,11,FALSE)</f>
        <v>0</v>
      </c>
      <c r="AM36" s="31">
        <f>VLOOKUP($A36,kurspris!$A$1:$Q$950,12,FALSE)</f>
        <v>0</v>
      </c>
      <c r="AN36" s="31">
        <f>VLOOKUP($A36,kurspris!$A$1:$Q$950,13,FALSE)</f>
        <v>0</v>
      </c>
      <c r="AO36" s="31">
        <f>VLOOKUP($A36,kurspris!$A$1:$Q$950,14,FALSE)</f>
        <v>0</v>
      </c>
      <c r="AP36" s="57" t="s">
        <v>2506</v>
      </c>
      <c r="AQ36"/>
      <c r="AR36" s="31">
        <f t="shared" si="4"/>
        <v>0</v>
      </c>
      <c r="AS36" s="219">
        <f t="shared" si="5"/>
        <v>0</v>
      </c>
      <c r="AT36" s="31">
        <f t="shared" si="6"/>
        <v>0</v>
      </c>
      <c r="AU36" s="219">
        <f t="shared" si="7"/>
        <v>0</v>
      </c>
      <c r="AV36" s="31">
        <f t="shared" si="8"/>
        <v>0</v>
      </c>
      <c r="AW36" s="31">
        <f t="shared" si="9"/>
        <v>0</v>
      </c>
      <c r="AX36" s="31">
        <f t="shared" si="10"/>
        <v>0</v>
      </c>
      <c r="AY36" s="219">
        <f t="shared" si="11"/>
        <v>0</v>
      </c>
      <c r="AZ36" s="196">
        <f t="shared" si="12"/>
        <v>0</v>
      </c>
      <c r="BA36" s="219">
        <f t="shared" si="13"/>
        <v>0</v>
      </c>
      <c r="BB36" s="31">
        <f t="shared" si="14"/>
        <v>0.125</v>
      </c>
      <c r="BC36" s="219">
        <f t="shared" si="15"/>
        <v>0.10625</v>
      </c>
      <c r="BD36" s="31">
        <f t="shared" si="16"/>
        <v>0</v>
      </c>
      <c r="BE36" s="219">
        <f t="shared" si="17"/>
        <v>0</v>
      </c>
      <c r="BF36" s="31">
        <f t="shared" si="18"/>
        <v>0.125</v>
      </c>
      <c r="BG36" s="219">
        <f t="shared" si="19"/>
        <v>0.10625</v>
      </c>
      <c r="BH36" s="31">
        <f t="shared" si="20"/>
        <v>0</v>
      </c>
      <c r="BI36" s="219">
        <f t="shared" si="21"/>
        <v>0</v>
      </c>
      <c r="BJ36" s="31">
        <f t="shared" si="22"/>
        <v>0</v>
      </c>
      <c r="BK36" s="219">
        <f t="shared" si="23"/>
        <v>0</v>
      </c>
      <c r="BL36" s="31">
        <f t="shared" si="24"/>
        <v>0</v>
      </c>
      <c r="BM36" s="219">
        <f t="shared" si="25"/>
        <v>0</v>
      </c>
      <c r="BN36" s="31">
        <f t="shared" si="26"/>
        <v>0</v>
      </c>
      <c r="BO36" s="219">
        <f t="shared" si="27"/>
        <v>0</v>
      </c>
    </row>
    <row r="37" spans="1:67" x14ac:dyDescent="0.25">
      <c r="A37" s="31" t="s">
        <v>2143</v>
      </c>
      <c r="B37" s="176" t="str">
        <f>VLOOKUP(A37,kurspris!$A$1:$B$992,2,FALSE)</f>
        <v>Genetik och evolution</v>
      </c>
      <c r="D37" s="60" t="s">
        <v>482</v>
      </c>
      <c r="E37" s="576" t="s">
        <v>2432</v>
      </c>
      <c r="F37" s="31" t="s">
        <v>2273</v>
      </c>
      <c r="G37" t="s">
        <v>2437</v>
      </c>
      <c r="H37" t="s">
        <v>2335</v>
      </c>
      <c r="J37" s="31" t="s">
        <v>2234</v>
      </c>
      <c r="L37" s="38">
        <v>1</v>
      </c>
      <c r="M37">
        <v>15</v>
      </c>
      <c r="P37" s="31">
        <v>3</v>
      </c>
      <c r="Q37" s="196">
        <f t="shared" si="28"/>
        <v>0.75</v>
      </c>
      <c r="R37" s="38">
        <v>0.85</v>
      </c>
      <c r="S37" s="280">
        <f t="shared" si="0"/>
        <v>0.63749999999999996</v>
      </c>
      <c r="T37" s="31">
        <f>VLOOKUP(A37,'Ansvar kurs'!$A$1:$C$1123,2,FALSE)</f>
        <v>5100</v>
      </c>
      <c r="U37" s="31" t="str">
        <f>VLOOKUP(T37,Orgenheter!$A$1:$C$166,2,FALSE)</f>
        <v>EMG</v>
      </c>
      <c r="V37" s="31" t="str">
        <f>VLOOKUP(T37,Orgenheter!$A$1:$C$166,3,FALSE)</f>
        <v>TekNat</v>
      </c>
      <c r="W37" s="35" t="str">
        <f>VLOOKUP(D37,Program!$A$1:$B$36,2,FALSE)</f>
        <v>Ämneslärarprogrammet - Gy</v>
      </c>
      <c r="X37" s="40">
        <f>VLOOKUP(A37,kurspris!$A$1:$Q$913,15,FALSE)</f>
        <v>20757</v>
      </c>
      <c r="Y37" s="40">
        <f>VLOOKUP(A37,kurspris!$A$1:$Q$913,16,FALSE)</f>
        <v>36082</v>
      </c>
      <c r="Z37" s="40">
        <f t="shared" si="1"/>
        <v>38570.024999999994</v>
      </c>
      <c r="AA37" s="40">
        <f>VLOOKUP(A37,kurspris!$A$1:$Q$913,17,FALSE)</f>
        <v>22600</v>
      </c>
      <c r="AB37" s="40">
        <f t="shared" si="2"/>
        <v>16950</v>
      </c>
      <c r="AC37" s="40">
        <f t="shared" si="3"/>
        <v>55520.024999999994</v>
      </c>
      <c r="AD37" s="31">
        <f>VLOOKUP($A37,kurspris!$A$1:$Q$950,3,FALSE)</f>
        <v>0</v>
      </c>
      <c r="AE37" s="31">
        <f>VLOOKUP($A37,kurspris!$A$1:$Q$950,4,FALSE)</f>
        <v>0</v>
      </c>
      <c r="AF37" s="31">
        <f>VLOOKUP($A37,kurspris!$A$1:$Q$950,5,FALSE)</f>
        <v>0</v>
      </c>
      <c r="AG37" s="31">
        <f>VLOOKUP($A37,kurspris!$A$1:$Q$950,6,FALSE)</f>
        <v>0</v>
      </c>
      <c r="AH37" s="31">
        <f>VLOOKUP($A37,kurspris!$A$1:$Q$950,7,FALSE)</f>
        <v>0</v>
      </c>
      <c r="AI37" s="31">
        <f>VLOOKUP($A37,kurspris!$A$1:$Q$950,8,FALSE)</f>
        <v>0.5</v>
      </c>
      <c r="AJ37" s="31">
        <f>VLOOKUP($A37,kurspris!$A$1:$Q$950,9,FALSE)</f>
        <v>0</v>
      </c>
      <c r="AK37" s="31">
        <f>VLOOKUP($A37,kurspris!$A$1:$Q$950,10,FALSE)</f>
        <v>0.5</v>
      </c>
      <c r="AL37" s="31">
        <f>VLOOKUP($A37,kurspris!$A$1:$Q$950,11,FALSE)</f>
        <v>0</v>
      </c>
      <c r="AM37" s="31">
        <f>VLOOKUP($A37,kurspris!$A$1:$Q$950,12,FALSE)</f>
        <v>0</v>
      </c>
      <c r="AN37" s="31">
        <f>VLOOKUP($A37,kurspris!$A$1:$Q$950,13,FALSE)</f>
        <v>0</v>
      </c>
      <c r="AO37" s="31">
        <f>VLOOKUP($A37,kurspris!$A$1:$Q$950,14,FALSE)</f>
        <v>0</v>
      </c>
      <c r="AP37" s="57" t="s">
        <v>2506</v>
      </c>
      <c r="AQ37"/>
      <c r="AR37" s="31">
        <f t="shared" si="4"/>
        <v>0</v>
      </c>
      <c r="AS37" s="219">
        <f t="shared" si="5"/>
        <v>0</v>
      </c>
      <c r="AT37" s="31">
        <f t="shared" si="6"/>
        <v>0</v>
      </c>
      <c r="AU37" s="219">
        <f t="shared" si="7"/>
        <v>0</v>
      </c>
      <c r="AV37" s="31">
        <f t="shared" si="8"/>
        <v>0</v>
      </c>
      <c r="AW37" s="31">
        <f t="shared" si="9"/>
        <v>0</v>
      </c>
      <c r="AX37" s="31">
        <f t="shared" si="10"/>
        <v>0</v>
      </c>
      <c r="AY37" s="219">
        <f t="shared" si="11"/>
        <v>0</v>
      </c>
      <c r="AZ37" s="196">
        <f t="shared" si="12"/>
        <v>0</v>
      </c>
      <c r="BA37" s="219">
        <f t="shared" si="13"/>
        <v>0</v>
      </c>
      <c r="BB37" s="31">
        <f t="shared" si="14"/>
        <v>0.375</v>
      </c>
      <c r="BC37" s="219">
        <f t="shared" si="15"/>
        <v>0.31874999999999998</v>
      </c>
      <c r="BD37" s="31">
        <f t="shared" si="16"/>
        <v>0</v>
      </c>
      <c r="BE37" s="219">
        <f t="shared" si="17"/>
        <v>0</v>
      </c>
      <c r="BF37" s="31">
        <f t="shared" si="18"/>
        <v>0.375</v>
      </c>
      <c r="BG37" s="219">
        <f t="shared" si="19"/>
        <v>0.31874999999999998</v>
      </c>
      <c r="BH37" s="31">
        <f t="shared" si="20"/>
        <v>0</v>
      </c>
      <c r="BI37" s="219">
        <f t="shared" si="21"/>
        <v>0</v>
      </c>
      <c r="BJ37" s="31">
        <f t="shared" si="22"/>
        <v>0</v>
      </c>
      <c r="BK37" s="219">
        <f t="shared" si="23"/>
        <v>0</v>
      </c>
      <c r="BL37" s="31">
        <f t="shared" si="24"/>
        <v>0</v>
      </c>
      <c r="BM37" s="219">
        <f t="shared" si="25"/>
        <v>0</v>
      </c>
      <c r="BN37" s="31">
        <f t="shared" si="26"/>
        <v>0</v>
      </c>
      <c r="BO37" s="219">
        <f t="shared" si="27"/>
        <v>0</v>
      </c>
    </row>
    <row r="38" spans="1:67" x14ac:dyDescent="0.25">
      <c r="A38" s="31" t="s">
        <v>1460</v>
      </c>
      <c r="B38" s="176" t="str">
        <f>VLOOKUP(A38,kurspris!$A$1:$B$992,2,FALSE)</f>
        <v>Biologididaktik 1 för ämneslärare för gymnasium</v>
      </c>
      <c r="C38" s="31">
        <v>62301</v>
      </c>
      <c r="D38" s="60" t="s">
        <v>117</v>
      </c>
      <c r="E38" s="60"/>
      <c r="F38" s="57" t="s">
        <v>2274</v>
      </c>
      <c r="H38" s="31" t="s">
        <v>2335</v>
      </c>
      <c r="I38" s="31" t="s">
        <v>2399</v>
      </c>
      <c r="L38" s="38"/>
      <c r="M38">
        <v>7.5</v>
      </c>
      <c r="P38" s="31">
        <v>1</v>
      </c>
      <c r="Q38" s="539">
        <v>0.125</v>
      </c>
      <c r="R38" s="38">
        <v>0.8</v>
      </c>
      <c r="S38" s="280">
        <f t="shared" si="0"/>
        <v>0.1</v>
      </c>
      <c r="T38" s="31">
        <f>VLOOKUP(A38,'Ansvar kurs'!$A$1:$C$1123,2,FALSE)</f>
        <v>5740</v>
      </c>
      <c r="U38" s="31" t="str">
        <f>VLOOKUP(T38,Orgenheter!$A$1:$C$166,2,FALSE)</f>
        <v>NMD</v>
      </c>
      <c r="V38" s="31" t="str">
        <f>VLOOKUP(T38,Orgenheter!$A$1:$C$166,3,FALSE)</f>
        <v>TekNat</v>
      </c>
      <c r="W38" s="35" t="str">
        <f>VLOOKUP(D38,Program!$A$1:$B$36,2,FALSE)</f>
        <v>Fristående och övriga kurser</v>
      </c>
      <c r="X38" s="40">
        <f>VLOOKUP(A38,kurspris!$A$1:$Q$913,15,FALSE)</f>
        <v>20757</v>
      </c>
      <c r="Y38" s="40">
        <f>VLOOKUP(A38,kurspris!$A$1:$Q$913,16,FALSE)</f>
        <v>36082</v>
      </c>
      <c r="Z38" s="40">
        <f t="shared" si="1"/>
        <v>6202.8250000000007</v>
      </c>
      <c r="AA38" s="40">
        <f>VLOOKUP(A38,kurspris!$A$1:$Q$913,17,FALSE)</f>
        <v>22600</v>
      </c>
      <c r="AB38" s="40">
        <f t="shared" si="2"/>
        <v>2825</v>
      </c>
      <c r="AC38" s="40">
        <f t="shared" si="3"/>
        <v>9027.8250000000007</v>
      </c>
      <c r="AD38" s="31">
        <f>VLOOKUP($A38,kurspris!$A$1:$Q$950,3,FALSE)</f>
        <v>0</v>
      </c>
      <c r="AE38" s="31">
        <f>VLOOKUP($A38,kurspris!$A$1:$Q$950,4,FALSE)</f>
        <v>0</v>
      </c>
      <c r="AF38" s="31">
        <f>VLOOKUP($A38,kurspris!$A$1:$Q$950,5,FALSE)</f>
        <v>0</v>
      </c>
      <c r="AG38" s="31">
        <f>VLOOKUP($A38,kurspris!$A$1:$Q$950,6,FALSE)</f>
        <v>0</v>
      </c>
      <c r="AH38" s="31">
        <f>VLOOKUP($A38,kurspris!$A$1:$Q$950,7,FALSE)</f>
        <v>0</v>
      </c>
      <c r="AI38" s="31">
        <f>VLOOKUP($A38,kurspris!$A$1:$Q$950,8,FALSE)</f>
        <v>1</v>
      </c>
      <c r="AJ38" s="31">
        <f>VLOOKUP($A38,kurspris!$A$1:$Q$950,9,FALSE)</f>
        <v>0</v>
      </c>
      <c r="AK38" s="31">
        <f>VLOOKUP($A38,kurspris!$A$1:$Q$950,10,FALSE)</f>
        <v>0</v>
      </c>
      <c r="AL38" s="31">
        <f>VLOOKUP($A38,kurspris!$A$1:$Q$950,11,FALSE)</f>
        <v>0</v>
      </c>
      <c r="AM38" s="31">
        <f>VLOOKUP($A38,kurspris!$A$1:$Q$950,12,FALSE)</f>
        <v>0</v>
      </c>
      <c r="AN38" s="31">
        <f>VLOOKUP($A38,kurspris!$A$1:$Q$950,13,FALSE)</f>
        <v>0</v>
      </c>
      <c r="AO38" s="31">
        <f>VLOOKUP($A38,kurspris!$A$1:$Q$950,14,FALSE)</f>
        <v>0</v>
      </c>
      <c r="AP38" s="57" t="s">
        <v>2402</v>
      </c>
      <c r="AQ38"/>
      <c r="AR38" s="31">
        <f t="shared" si="4"/>
        <v>0</v>
      </c>
      <c r="AS38" s="219">
        <f t="shared" si="5"/>
        <v>0</v>
      </c>
      <c r="AT38" s="31">
        <f t="shared" si="6"/>
        <v>0</v>
      </c>
      <c r="AU38" s="219">
        <f t="shared" si="7"/>
        <v>0</v>
      </c>
      <c r="AV38" s="31">
        <f t="shared" si="8"/>
        <v>0</v>
      </c>
      <c r="AW38" s="31">
        <f t="shared" si="9"/>
        <v>0</v>
      </c>
      <c r="AX38" s="31">
        <f t="shared" si="10"/>
        <v>0</v>
      </c>
      <c r="AY38" s="219">
        <f t="shared" si="11"/>
        <v>0</v>
      </c>
      <c r="AZ38" s="196">
        <f t="shared" si="12"/>
        <v>0</v>
      </c>
      <c r="BA38" s="219">
        <f t="shared" si="13"/>
        <v>0</v>
      </c>
      <c r="BB38" s="31">
        <f t="shared" si="14"/>
        <v>0.125</v>
      </c>
      <c r="BC38" s="219">
        <f t="shared" si="15"/>
        <v>0.1</v>
      </c>
      <c r="BD38" s="31">
        <f t="shared" si="16"/>
        <v>0</v>
      </c>
      <c r="BE38" s="219">
        <f t="shared" si="17"/>
        <v>0</v>
      </c>
      <c r="BF38" s="31">
        <f t="shared" si="18"/>
        <v>0</v>
      </c>
      <c r="BG38" s="219">
        <f t="shared" si="19"/>
        <v>0</v>
      </c>
      <c r="BH38" s="31">
        <f t="shared" si="20"/>
        <v>0</v>
      </c>
      <c r="BI38" s="219">
        <f t="shared" si="21"/>
        <v>0</v>
      </c>
      <c r="BJ38" s="31">
        <f t="shared" si="22"/>
        <v>0</v>
      </c>
      <c r="BK38" s="219">
        <f t="shared" si="23"/>
        <v>0</v>
      </c>
      <c r="BL38" s="31">
        <f t="shared" si="24"/>
        <v>0</v>
      </c>
      <c r="BM38" s="219">
        <f t="shared" si="25"/>
        <v>0</v>
      </c>
      <c r="BN38" s="31">
        <f t="shared" si="26"/>
        <v>0</v>
      </c>
      <c r="BO38" s="219">
        <f t="shared" si="27"/>
        <v>0</v>
      </c>
    </row>
    <row r="39" spans="1:67" x14ac:dyDescent="0.25">
      <c r="A39" s="31" t="s">
        <v>1460</v>
      </c>
      <c r="B39" s="176" t="str">
        <f>VLOOKUP(A39,kurspris!$A$1:$B$992,2,FALSE)</f>
        <v>Biologididaktik 1 för ämneslärare för gymnasium</v>
      </c>
      <c r="C39" s="31">
        <v>62301</v>
      </c>
      <c r="D39" s="60" t="s">
        <v>482</v>
      </c>
      <c r="E39" s="60"/>
      <c r="F39" s="57" t="s">
        <v>2274</v>
      </c>
      <c r="H39" s="31" t="s">
        <v>2335</v>
      </c>
      <c r="I39" s="31" t="s">
        <v>2399</v>
      </c>
      <c r="J39" s="31" t="s">
        <v>2234</v>
      </c>
      <c r="L39" s="38"/>
      <c r="M39">
        <v>7.5</v>
      </c>
      <c r="P39" s="31">
        <v>3</v>
      </c>
      <c r="Q39" s="539">
        <v>0.375</v>
      </c>
      <c r="R39" s="38">
        <v>0.85</v>
      </c>
      <c r="S39" s="280">
        <f t="shared" si="0"/>
        <v>0.31874999999999998</v>
      </c>
      <c r="T39" s="31">
        <f>VLOOKUP(A39,'Ansvar kurs'!$A$1:$C$1123,2,FALSE)</f>
        <v>5740</v>
      </c>
      <c r="U39" s="31" t="str">
        <f>VLOOKUP(T39,Orgenheter!$A$1:$C$166,2,FALSE)</f>
        <v>NMD</v>
      </c>
      <c r="V39" s="31" t="str">
        <f>VLOOKUP(T39,Orgenheter!$A$1:$C$166,3,FALSE)</f>
        <v>TekNat</v>
      </c>
      <c r="W39" s="35" t="str">
        <f>VLOOKUP(D39,Program!$A$1:$B$36,2,FALSE)</f>
        <v>Ämneslärarprogrammet - Gy</v>
      </c>
      <c r="X39" s="40">
        <f>VLOOKUP(A39,kurspris!$A$1:$Q$913,15,FALSE)</f>
        <v>20757</v>
      </c>
      <c r="Y39" s="40">
        <f>VLOOKUP(A39,kurspris!$A$1:$Q$913,16,FALSE)</f>
        <v>36082</v>
      </c>
      <c r="Z39" s="40">
        <f t="shared" si="1"/>
        <v>19285.012499999997</v>
      </c>
      <c r="AA39" s="40">
        <f>VLOOKUP(A39,kurspris!$A$1:$Q$913,17,FALSE)</f>
        <v>22600</v>
      </c>
      <c r="AB39" s="40">
        <f t="shared" si="2"/>
        <v>8475</v>
      </c>
      <c r="AC39" s="40">
        <f t="shared" si="3"/>
        <v>27760.012499999997</v>
      </c>
      <c r="AD39" s="31">
        <f>VLOOKUP($A39,kurspris!$A$1:$Q$950,3,FALSE)</f>
        <v>0</v>
      </c>
      <c r="AE39" s="31">
        <f>VLOOKUP($A39,kurspris!$A$1:$Q$950,4,FALSE)</f>
        <v>0</v>
      </c>
      <c r="AF39" s="31">
        <f>VLOOKUP($A39,kurspris!$A$1:$Q$950,5,FALSE)</f>
        <v>0</v>
      </c>
      <c r="AG39" s="31">
        <f>VLOOKUP($A39,kurspris!$A$1:$Q$950,6,FALSE)</f>
        <v>0</v>
      </c>
      <c r="AH39" s="31">
        <f>VLOOKUP($A39,kurspris!$A$1:$Q$950,7,FALSE)</f>
        <v>0</v>
      </c>
      <c r="AI39" s="31">
        <f>VLOOKUP($A39,kurspris!$A$1:$Q$950,8,FALSE)</f>
        <v>1</v>
      </c>
      <c r="AJ39" s="31">
        <f>VLOOKUP($A39,kurspris!$A$1:$Q$950,9,FALSE)</f>
        <v>0</v>
      </c>
      <c r="AK39" s="31">
        <f>VLOOKUP($A39,kurspris!$A$1:$Q$950,10,FALSE)</f>
        <v>0</v>
      </c>
      <c r="AL39" s="31">
        <f>VLOOKUP($A39,kurspris!$A$1:$Q$950,11,FALSE)</f>
        <v>0</v>
      </c>
      <c r="AM39" s="31">
        <f>VLOOKUP($A39,kurspris!$A$1:$Q$950,12,FALSE)</f>
        <v>0</v>
      </c>
      <c r="AN39" s="31">
        <f>VLOOKUP($A39,kurspris!$A$1:$Q$950,13,FALSE)</f>
        <v>0</v>
      </c>
      <c r="AO39" s="31">
        <f>VLOOKUP($A39,kurspris!$A$1:$Q$950,14,FALSE)</f>
        <v>0</v>
      </c>
      <c r="AP39" s="57" t="s">
        <v>2402</v>
      </c>
      <c r="AQ39"/>
      <c r="AR39" s="31">
        <f t="shared" si="4"/>
        <v>0</v>
      </c>
      <c r="AS39" s="219">
        <f t="shared" si="5"/>
        <v>0</v>
      </c>
      <c r="AT39" s="31">
        <f t="shared" si="6"/>
        <v>0</v>
      </c>
      <c r="AU39" s="219">
        <f t="shared" si="7"/>
        <v>0</v>
      </c>
      <c r="AV39" s="31">
        <f t="shared" si="8"/>
        <v>0</v>
      </c>
      <c r="AW39" s="31">
        <f t="shared" si="9"/>
        <v>0</v>
      </c>
      <c r="AX39" s="31">
        <f t="shared" si="10"/>
        <v>0</v>
      </c>
      <c r="AY39" s="219">
        <f t="shared" si="11"/>
        <v>0</v>
      </c>
      <c r="AZ39" s="196">
        <f t="shared" si="12"/>
        <v>0</v>
      </c>
      <c r="BA39" s="219">
        <f t="shared" si="13"/>
        <v>0</v>
      </c>
      <c r="BB39" s="31">
        <f t="shared" si="14"/>
        <v>0.375</v>
      </c>
      <c r="BC39" s="219">
        <f t="shared" si="15"/>
        <v>0.31874999999999998</v>
      </c>
      <c r="BD39" s="31">
        <f t="shared" si="16"/>
        <v>0</v>
      </c>
      <c r="BE39" s="219">
        <f t="shared" si="17"/>
        <v>0</v>
      </c>
      <c r="BF39" s="31">
        <f t="shared" si="18"/>
        <v>0</v>
      </c>
      <c r="BG39" s="219">
        <f t="shared" si="19"/>
        <v>0</v>
      </c>
      <c r="BH39" s="31">
        <f t="shared" si="20"/>
        <v>0</v>
      </c>
      <c r="BI39" s="219">
        <f t="shared" si="21"/>
        <v>0</v>
      </c>
      <c r="BJ39" s="31">
        <f t="shared" si="22"/>
        <v>0</v>
      </c>
      <c r="BK39" s="219">
        <f t="shared" si="23"/>
        <v>0</v>
      </c>
      <c r="BL39" s="31">
        <f t="shared" si="24"/>
        <v>0</v>
      </c>
      <c r="BM39" s="219">
        <f t="shared" si="25"/>
        <v>0</v>
      </c>
      <c r="BN39" s="31">
        <f t="shared" si="26"/>
        <v>0</v>
      </c>
      <c r="BO39" s="219">
        <f t="shared" si="27"/>
        <v>0</v>
      </c>
    </row>
    <row r="40" spans="1:67" x14ac:dyDescent="0.25">
      <c r="A40" s="31" t="s">
        <v>1460</v>
      </c>
      <c r="B40" s="176" t="str">
        <f>VLOOKUP(A40,kurspris!$A$1:$B$992,2,FALSE)</f>
        <v>Biologididaktik 1 för ämneslärare för gymnasium</v>
      </c>
      <c r="C40" s="31">
        <v>62301</v>
      </c>
      <c r="D40" s="60" t="s">
        <v>482</v>
      </c>
      <c r="E40" s="60"/>
      <c r="F40" s="57" t="s">
        <v>2274</v>
      </c>
      <c r="H40" s="31" t="s">
        <v>2335</v>
      </c>
      <c r="I40" s="31" t="s">
        <v>2399</v>
      </c>
      <c r="J40" s="31" t="s">
        <v>2231</v>
      </c>
      <c r="L40" s="38"/>
      <c r="M40">
        <v>7.5</v>
      </c>
      <c r="P40" s="31">
        <v>1</v>
      </c>
      <c r="Q40" s="539">
        <v>0.125</v>
      </c>
      <c r="R40" s="38">
        <v>0.85</v>
      </c>
      <c r="S40" s="280">
        <f t="shared" si="0"/>
        <v>0.10625</v>
      </c>
      <c r="T40" s="31">
        <f>VLOOKUP(A40,'Ansvar kurs'!$A$1:$C$1123,2,FALSE)</f>
        <v>5740</v>
      </c>
      <c r="U40" s="31" t="str">
        <f>VLOOKUP(T40,Orgenheter!$A$1:$C$166,2,FALSE)</f>
        <v>NMD</v>
      </c>
      <c r="V40" s="31" t="str">
        <f>VLOOKUP(T40,Orgenheter!$A$1:$C$166,3,FALSE)</f>
        <v>TekNat</v>
      </c>
      <c r="W40" s="35" t="str">
        <f>VLOOKUP(D40,Program!$A$1:$B$36,2,FALSE)</f>
        <v>Ämneslärarprogrammet - Gy</v>
      </c>
      <c r="X40" s="40">
        <f>VLOOKUP(A40,kurspris!$A$1:$Q$913,15,FALSE)</f>
        <v>20757</v>
      </c>
      <c r="Y40" s="40">
        <f>VLOOKUP(A40,kurspris!$A$1:$Q$913,16,FALSE)</f>
        <v>36082</v>
      </c>
      <c r="Z40" s="40">
        <f t="shared" si="1"/>
        <v>6428.3374999999996</v>
      </c>
      <c r="AA40" s="40">
        <f>VLOOKUP(A40,kurspris!$A$1:$Q$913,17,FALSE)</f>
        <v>22600</v>
      </c>
      <c r="AB40" s="40">
        <f t="shared" si="2"/>
        <v>2825</v>
      </c>
      <c r="AC40" s="40">
        <f t="shared" si="3"/>
        <v>9253.3374999999996</v>
      </c>
      <c r="AD40" s="31">
        <f>VLOOKUP($A40,kurspris!$A$1:$Q$950,3,FALSE)</f>
        <v>0</v>
      </c>
      <c r="AE40" s="31">
        <f>VLOOKUP($A40,kurspris!$A$1:$Q$950,4,FALSE)</f>
        <v>0</v>
      </c>
      <c r="AF40" s="31">
        <f>VLOOKUP($A40,kurspris!$A$1:$Q$950,5,FALSE)</f>
        <v>0</v>
      </c>
      <c r="AG40" s="31">
        <f>VLOOKUP($A40,kurspris!$A$1:$Q$950,6,FALSE)</f>
        <v>0</v>
      </c>
      <c r="AH40" s="31">
        <f>VLOOKUP($A40,kurspris!$A$1:$Q$950,7,FALSE)</f>
        <v>0</v>
      </c>
      <c r="AI40" s="31">
        <f>VLOOKUP($A40,kurspris!$A$1:$Q$950,8,FALSE)</f>
        <v>1</v>
      </c>
      <c r="AJ40" s="31">
        <f>VLOOKUP($A40,kurspris!$A$1:$Q$950,9,FALSE)</f>
        <v>0</v>
      </c>
      <c r="AK40" s="31">
        <f>VLOOKUP($A40,kurspris!$A$1:$Q$950,10,FALSE)</f>
        <v>0</v>
      </c>
      <c r="AL40" s="31">
        <f>VLOOKUP($A40,kurspris!$A$1:$Q$950,11,FALSE)</f>
        <v>0</v>
      </c>
      <c r="AM40" s="31">
        <f>VLOOKUP($A40,kurspris!$A$1:$Q$950,12,FALSE)</f>
        <v>0</v>
      </c>
      <c r="AN40" s="31">
        <f>VLOOKUP($A40,kurspris!$A$1:$Q$950,13,FALSE)</f>
        <v>0</v>
      </c>
      <c r="AO40" s="31">
        <f>VLOOKUP($A40,kurspris!$A$1:$Q$950,14,FALSE)</f>
        <v>0</v>
      </c>
      <c r="AP40" s="57" t="s">
        <v>2402</v>
      </c>
      <c r="AQ40"/>
      <c r="AR40" s="31">
        <f t="shared" si="4"/>
        <v>0</v>
      </c>
      <c r="AS40" s="219">
        <f t="shared" si="5"/>
        <v>0</v>
      </c>
      <c r="AT40" s="31">
        <f t="shared" si="6"/>
        <v>0</v>
      </c>
      <c r="AU40" s="219">
        <f t="shared" si="7"/>
        <v>0</v>
      </c>
      <c r="AV40" s="31">
        <f t="shared" si="8"/>
        <v>0</v>
      </c>
      <c r="AW40" s="31">
        <f t="shared" si="9"/>
        <v>0</v>
      </c>
      <c r="AX40" s="31">
        <f t="shared" si="10"/>
        <v>0</v>
      </c>
      <c r="AY40" s="219">
        <f t="shared" si="11"/>
        <v>0</v>
      </c>
      <c r="AZ40" s="196">
        <f t="shared" si="12"/>
        <v>0</v>
      </c>
      <c r="BA40" s="219">
        <f t="shared" si="13"/>
        <v>0</v>
      </c>
      <c r="BB40" s="31">
        <f t="shared" si="14"/>
        <v>0.125</v>
      </c>
      <c r="BC40" s="219">
        <f t="shared" si="15"/>
        <v>0.10625</v>
      </c>
      <c r="BD40" s="31">
        <f t="shared" si="16"/>
        <v>0</v>
      </c>
      <c r="BE40" s="219">
        <f t="shared" si="17"/>
        <v>0</v>
      </c>
      <c r="BF40" s="31">
        <f t="shared" si="18"/>
        <v>0</v>
      </c>
      <c r="BG40" s="219">
        <f t="shared" si="19"/>
        <v>0</v>
      </c>
      <c r="BH40" s="31">
        <f t="shared" si="20"/>
        <v>0</v>
      </c>
      <c r="BI40" s="219">
        <f t="shared" si="21"/>
        <v>0</v>
      </c>
      <c r="BJ40" s="31">
        <f t="shared" si="22"/>
        <v>0</v>
      </c>
      <c r="BK40" s="219">
        <f t="shared" si="23"/>
        <v>0</v>
      </c>
      <c r="BL40" s="31">
        <f t="shared" si="24"/>
        <v>0</v>
      </c>
      <c r="BM40" s="219">
        <f t="shared" si="25"/>
        <v>0</v>
      </c>
      <c r="BN40" s="31">
        <f t="shared" si="26"/>
        <v>0</v>
      </c>
      <c r="BO40" s="219">
        <f t="shared" si="27"/>
        <v>0</v>
      </c>
    </row>
    <row r="41" spans="1:67" x14ac:dyDescent="0.25">
      <c r="A41" s="31" t="s">
        <v>1460</v>
      </c>
      <c r="B41" s="176" t="str">
        <f>VLOOKUP(A41,kurspris!$A$1:$B$992,2,FALSE)</f>
        <v>Biologididaktik 1 för ämneslärare för gymnasium</v>
      </c>
      <c r="C41" s="31">
        <v>62301</v>
      </c>
      <c r="D41" s="60" t="s">
        <v>482</v>
      </c>
      <c r="E41" s="60"/>
      <c r="F41" s="57" t="s">
        <v>2274</v>
      </c>
      <c r="H41" s="31" t="s">
        <v>2335</v>
      </c>
      <c r="I41" s="31" t="s">
        <v>2399</v>
      </c>
      <c r="J41" s="31" t="s">
        <v>2232</v>
      </c>
      <c r="L41" s="38"/>
      <c r="M41">
        <v>7.5</v>
      </c>
      <c r="P41" s="31">
        <v>2</v>
      </c>
      <c r="Q41" s="539">
        <v>0.25</v>
      </c>
      <c r="R41" s="38">
        <v>0.85</v>
      </c>
      <c r="S41" s="280">
        <f t="shared" si="0"/>
        <v>0.21249999999999999</v>
      </c>
      <c r="T41" s="31">
        <f>VLOOKUP(A41,'Ansvar kurs'!$A$1:$C$1123,2,FALSE)</f>
        <v>5740</v>
      </c>
      <c r="U41" s="31" t="str">
        <f>VLOOKUP(T41,Orgenheter!$A$1:$C$166,2,FALSE)</f>
        <v>NMD</v>
      </c>
      <c r="V41" s="31" t="str">
        <f>VLOOKUP(T41,Orgenheter!$A$1:$C$166,3,FALSE)</f>
        <v>TekNat</v>
      </c>
      <c r="W41" s="35" t="str">
        <f>VLOOKUP(D41,Program!$A$1:$B$36,2,FALSE)</f>
        <v>Ämneslärarprogrammet - Gy</v>
      </c>
      <c r="X41" s="40">
        <f>VLOOKUP(A41,kurspris!$A$1:$Q$913,15,FALSE)</f>
        <v>20757</v>
      </c>
      <c r="Y41" s="40">
        <f>VLOOKUP(A41,kurspris!$A$1:$Q$913,16,FALSE)</f>
        <v>36082</v>
      </c>
      <c r="Z41" s="40">
        <f t="shared" si="1"/>
        <v>12856.674999999999</v>
      </c>
      <c r="AA41" s="40">
        <f>VLOOKUP(A41,kurspris!$A$1:$Q$913,17,FALSE)</f>
        <v>22600</v>
      </c>
      <c r="AB41" s="40">
        <f t="shared" si="2"/>
        <v>5650</v>
      </c>
      <c r="AC41" s="40">
        <f t="shared" si="3"/>
        <v>18506.674999999999</v>
      </c>
      <c r="AD41" s="31">
        <f>VLOOKUP($A41,kurspris!$A$1:$Q$950,3,FALSE)</f>
        <v>0</v>
      </c>
      <c r="AE41" s="31">
        <f>VLOOKUP($A41,kurspris!$A$1:$Q$950,4,FALSE)</f>
        <v>0</v>
      </c>
      <c r="AF41" s="31">
        <f>VLOOKUP($A41,kurspris!$A$1:$Q$950,5,FALSE)</f>
        <v>0</v>
      </c>
      <c r="AG41" s="31">
        <f>VLOOKUP($A41,kurspris!$A$1:$Q$950,6,FALSE)</f>
        <v>0</v>
      </c>
      <c r="AH41" s="31">
        <f>VLOOKUP($A41,kurspris!$A$1:$Q$950,7,FALSE)</f>
        <v>0</v>
      </c>
      <c r="AI41" s="31">
        <f>VLOOKUP($A41,kurspris!$A$1:$Q$950,8,FALSE)</f>
        <v>1</v>
      </c>
      <c r="AJ41" s="31">
        <f>VLOOKUP($A41,kurspris!$A$1:$Q$950,9,FALSE)</f>
        <v>0</v>
      </c>
      <c r="AK41" s="31">
        <f>VLOOKUP($A41,kurspris!$A$1:$Q$950,10,FALSE)</f>
        <v>0</v>
      </c>
      <c r="AL41" s="31">
        <f>VLOOKUP($A41,kurspris!$A$1:$Q$950,11,FALSE)</f>
        <v>0</v>
      </c>
      <c r="AM41" s="31">
        <f>VLOOKUP($A41,kurspris!$A$1:$Q$950,12,FALSE)</f>
        <v>0</v>
      </c>
      <c r="AN41" s="31">
        <f>VLOOKUP($A41,kurspris!$A$1:$Q$950,13,FALSE)</f>
        <v>0</v>
      </c>
      <c r="AO41" s="31">
        <f>VLOOKUP($A41,kurspris!$A$1:$Q$950,14,FALSE)</f>
        <v>0</v>
      </c>
      <c r="AP41" s="57" t="s">
        <v>2402</v>
      </c>
      <c r="AQ41"/>
      <c r="AR41" s="31">
        <f t="shared" si="4"/>
        <v>0</v>
      </c>
      <c r="AS41" s="219">
        <f t="shared" si="5"/>
        <v>0</v>
      </c>
      <c r="AT41" s="31">
        <f t="shared" si="6"/>
        <v>0</v>
      </c>
      <c r="AU41" s="219">
        <f t="shared" si="7"/>
        <v>0</v>
      </c>
      <c r="AV41" s="31">
        <f t="shared" si="8"/>
        <v>0</v>
      </c>
      <c r="AW41" s="31">
        <f t="shared" si="9"/>
        <v>0</v>
      </c>
      <c r="AX41" s="31">
        <f t="shared" si="10"/>
        <v>0</v>
      </c>
      <c r="AY41" s="219">
        <f t="shared" si="11"/>
        <v>0</v>
      </c>
      <c r="AZ41" s="196">
        <f t="shared" si="12"/>
        <v>0</v>
      </c>
      <c r="BA41" s="219">
        <f t="shared" si="13"/>
        <v>0</v>
      </c>
      <c r="BB41" s="31">
        <f t="shared" si="14"/>
        <v>0.25</v>
      </c>
      <c r="BC41" s="219">
        <f t="shared" si="15"/>
        <v>0.21249999999999999</v>
      </c>
      <c r="BD41" s="31">
        <f t="shared" si="16"/>
        <v>0</v>
      </c>
      <c r="BE41" s="219">
        <f t="shared" si="17"/>
        <v>0</v>
      </c>
      <c r="BF41" s="31">
        <f t="shared" si="18"/>
        <v>0</v>
      </c>
      <c r="BG41" s="219">
        <f t="shared" si="19"/>
        <v>0</v>
      </c>
      <c r="BH41" s="31">
        <f t="shared" si="20"/>
        <v>0</v>
      </c>
      <c r="BI41" s="219">
        <f t="shared" si="21"/>
        <v>0</v>
      </c>
      <c r="BJ41" s="31">
        <f t="shared" si="22"/>
        <v>0</v>
      </c>
      <c r="BK41" s="219">
        <f t="shared" si="23"/>
        <v>0</v>
      </c>
      <c r="BL41" s="31">
        <f t="shared" si="24"/>
        <v>0</v>
      </c>
      <c r="BM41" s="219">
        <f t="shared" si="25"/>
        <v>0</v>
      </c>
      <c r="BN41" s="31">
        <f t="shared" si="26"/>
        <v>0</v>
      </c>
      <c r="BO41" s="219">
        <f t="shared" si="27"/>
        <v>0</v>
      </c>
    </row>
    <row r="42" spans="1:67" x14ac:dyDescent="0.25">
      <c r="A42" s="31" t="s">
        <v>1460</v>
      </c>
      <c r="B42" s="176" t="str">
        <f>VLOOKUP(A42,kurspris!$A$1:$B$992,2,FALSE)</f>
        <v>Biologididaktik 1 för ämneslärare för gymnasium</v>
      </c>
      <c r="C42" s="31">
        <v>62301</v>
      </c>
      <c r="D42" s="31" t="s">
        <v>482</v>
      </c>
      <c r="F42" s="57" t="s">
        <v>2274</v>
      </c>
      <c r="H42" s="31" t="s">
        <v>2335</v>
      </c>
      <c r="I42" s="31" t="s">
        <v>2399</v>
      </c>
      <c r="J42" s="31" t="s">
        <v>2233</v>
      </c>
      <c r="L42" s="38"/>
      <c r="M42">
        <v>7.5</v>
      </c>
      <c r="P42" s="31">
        <v>3</v>
      </c>
      <c r="Q42" s="539">
        <v>0.375</v>
      </c>
      <c r="R42" s="38">
        <v>0.85</v>
      </c>
      <c r="S42" s="280">
        <f t="shared" si="0"/>
        <v>0.31874999999999998</v>
      </c>
      <c r="T42" s="31">
        <f>VLOOKUP(A42,'Ansvar kurs'!$A$1:$C$1123,2,FALSE)</f>
        <v>5740</v>
      </c>
      <c r="U42" s="31" t="str">
        <f>VLOOKUP(T42,Orgenheter!$A$1:$C$166,2,FALSE)</f>
        <v>NMD</v>
      </c>
      <c r="V42" s="31" t="str">
        <f>VLOOKUP(T42,Orgenheter!$A$1:$C$166,3,FALSE)</f>
        <v>TekNat</v>
      </c>
      <c r="W42" s="35" t="str">
        <f>VLOOKUP(D42,Program!$A$1:$B$36,2,FALSE)</f>
        <v>Ämneslärarprogrammet - Gy</v>
      </c>
      <c r="X42" s="40">
        <f>VLOOKUP(A42,kurspris!$A$1:$Q$913,15,FALSE)</f>
        <v>20757</v>
      </c>
      <c r="Y42" s="40">
        <f>VLOOKUP(A42,kurspris!$A$1:$Q$913,16,FALSE)</f>
        <v>36082</v>
      </c>
      <c r="Z42" s="40">
        <f t="shared" si="1"/>
        <v>19285.012499999997</v>
      </c>
      <c r="AA42" s="40">
        <f>VLOOKUP(A42,kurspris!$A$1:$Q$913,17,FALSE)</f>
        <v>22600</v>
      </c>
      <c r="AB42" s="40">
        <f t="shared" si="2"/>
        <v>8475</v>
      </c>
      <c r="AC42" s="40">
        <f t="shared" si="3"/>
        <v>27760.012499999997</v>
      </c>
      <c r="AD42" s="31">
        <f>VLOOKUP($A42,kurspris!$A$1:$Q$950,3,FALSE)</f>
        <v>0</v>
      </c>
      <c r="AE42" s="31">
        <f>VLOOKUP($A42,kurspris!$A$1:$Q$950,4,FALSE)</f>
        <v>0</v>
      </c>
      <c r="AF42" s="31">
        <f>VLOOKUP($A42,kurspris!$A$1:$Q$950,5,FALSE)</f>
        <v>0</v>
      </c>
      <c r="AG42" s="31">
        <f>VLOOKUP($A42,kurspris!$A$1:$Q$950,6,FALSE)</f>
        <v>0</v>
      </c>
      <c r="AH42" s="31">
        <f>VLOOKUP($A42,kurspris!$A$1:$Q$950,7,FALSE)</f>
        <v>0</v>
      </c>
      <c r="AI42" s="31">
        <f>VLOOKUP($A42,kurspris!$A$1:$Q$950,8,FALSE)</f>
        <v>1</v>
      </c>
      <c r="AJ42" s="31">
        <f>VLOOKUP($A42,kurspris!$A$1:$Q$950,9,FALSE)</f>
        <v>0</v>
      </c>
      <c r="AK42" s="31">
        <f>VLOOKUP($A42,kurspris!$A$1:$Q$950,10,FALSE)</f>
        <v>0</v>
      </c>
      <c r="AL42" s="31">
        <f>VLOOKUP($A42,kurspris!$A$1:$Q$950,11,FALSE)</f>
        <v>0</v>
      </c>
      <c r="AM42" s="31">
        <f>VLOOKUP($A42,kurspris!$A$1:$Q$950,12,FALSE)</f>
        <v>0</v>
      </c>
      <c r="AN42" s="31">
        <f>VLOOKUP($A42,kurspris!$A$1:$Q$950,13,FALSE)</f>
        <v>0</v>
      </c>
      <c r="AO42" s="31">
        <f>VLOOKUP($A42,kurspris!$A$1:$Q$950,14,FALSE)</f>
        <v>0</v>
      </c>
      <c r="AP42" s="57" t="s">
        <v>2402</v>
      </c>
      <c r="AQ42" s="37"/>
      <c r="AR42" s="31">
        <f t="shared" si="4"/>
        <v>0</v>
      </c>
      <c r="AS42" s="219">
        <f t="shared" si="5"/>
        <v>0</v>
      </c>
      <c r="AT42" s="31">
        <f t="shared" si="6"/>
        <v>0</v>
      </c>
      <c r="AU42" s="219">
        <f t="shared" si="7"/>
        <v>0</v>
      </c>
      <c r="AV42" s="31">
        <f t="shared" si="8"/>
        <v>0</v>
      </c>
      <c r="AW42" s="31">
        <f t="shared" si="9"/>
        <v>0</v>
      </c>
      <c r="AX42" s="31">
        <f t="shared" si="10"/>
        <v>0</v>
      </c>
      <c r="AY42" s="219">
        <f t="shared" si="11"/>
        <v>0</v>
      </c>
      <c r="AZ42" s="196">
        <f t="shared" si="12"/>
        <v>0</v>
      </c>
      <c r="BA42" s="219">
        <f t="shared" si="13"/>
        <v>0</v>
      </c>
      <c r="BB42" s="31">
        <f t="shared" si="14"/>
        <v>0.375</v>
      </c>
      <c r="BC42" s="219">
        <f t="shared" si="15"/>
        <v>0.31874999999999998</v>
      </c>
      <c r="BD42" s="31">
        <f t="shared" si="16"/>
        <v>0</v>
      </c>
      <c r="BE42" s="219">
        <f t="shared" si="17"/>
        <v>0</v>
      </c>
      <c r="BF42" s="31">
        <f t="shared" si="18"/>
        <v>0</v>
      </c>
      <c r="BG42" s="219">
        <f t="shared" si="19"/>
        <v>0</v>
      </c>
      <c r="BH42" s="31">
        <f t="shared" si="20"/>
        <v>0</v>
      </c>
      <c r="BI42" s="219">
        <f t="shared" si="21"/>
        <v>0</v>
      </c>
      <c r="BJ42" s="31">
        <f t="shared" si="22"/>
        <v>0</v>
      </c>
      <c r="BK42" s="219">
        <f t="shared" si="23"/>
        <v>0</v>
      </c>
      <c r="BL42" s="31">
        <f t="shared" si="24"/>
        <v>0</v>
      </c>
      <c r="BM42" s="219">
        <f t="shared" si="25"/>
        <v>0</v>
      </c>
      <c r="BN42" s="31">
        <f t="shared" si="26"/>
        <v>0</v>
      </c>
      <c r="BO42" s="219">
        <f t="shared" si="27"/>
        <v>0</v>
      </c>
    </row>
    <row r="43" spans="1:67" x14ac:dyDescent="0.25">
      <c r="A43" s="31" t="s">
        <v>1461</v>
      </c>
      <c r="B43" s="176" t="str">
        <f>VLOOKUP(A43,kurspris!$A$1:$B$992,2,FALSE)</f>
        <v>Biologididaktik 2 för ämneslärare för gymnasium</v>
      </c>
      <c r="C43" s="31">
        <v>62302</v>
      </c>
      <c r="D43" s="60" t="s">
        <v>117</v>
      </c>
      <c r="E43" s="60"/>
      <c r="F43" s="57" t="s">
        <v>2274</v>
      </c>
      <c r="H43" s="31" t="s">
        <v>2335</v>
      </c>
      <c r="I43" s="31" t="s">
        <v>2399</v>
      </c>
      <c r="L43" s="38"/>
      <c r="M43">
        <v>7.5</v>
      </c>
      <c r="P43" s="31">
        <v>1</v>
      </c>
      <c r="Q43" s="539">
        <v>0.125</v>
      </c>
      <c r="R43" s="38">
        <v>0.8</v>
      </c>
      <c r="S43" s="280">
        <f t="shared" si="0"/>
        <v>0.1</v>
      </c>
      <c r="T43" s="31">
        <f>VLOOKUP(A43,'Ansvar kurs'!$A$1:$C$1123,2,FALSE)</f>
        <v>5740</v>
      </c>
      <c r="U43" s="31" t="str">
        <f>VLOOKUP(T43,Orgenheter!$A$1:$C$166,2,FALSE)</f>
        <v>NMD</v>
      </c>
      <c r="V43" s="31" t="str">
        <f>VLOOKUP(T43,Orgenheter!$A$1:$C$166,3,FALSE)</f>
        <v>TekNat</v>
      </c>
      <c r="W43" s="35" t="str">
        <f>VLOOKUP(D43,Program!$A$1:$B$36,2,FALSE)</f>
        <v>Fristående och övriga kurser</v>
      </c>
      <c r="X43" s="40">
        <f>VLOOKUP(A43,kurspris!$A$1:$Q$913,15,FALSE)</f>
        <v>20757</v>
      </c>
      <c r="Y43" s="40">
        <f>VLOOKUP(A43,kurspris!$A$1:$Q$913,16,FALSE)</f>
        <v>36082</v>
      </c>
      <c r="Z43" s="40">
        <f t="shared" si="1"/>
        <v>6202.8250000000007</v>
      </c>
      <c r="AA43" s="40">
        <f>VLOOKUP(A43,kurspris!$A$1:$Q$913,17,FALSE)</f>
        <v>22600</v>
      </c>
      <c r="AB43" s="40">
        <f t="shared" si="2"/>
        <v>2825</v>
      </c>
      <c r="AC43" s="40">
        <f t="shared" si="3"/>
        <v>9027.8250000000007</v>
      </c>
      <c r="AD43" s="31">
        <f>VLOOKUP($A43,kurspris!$A$1:$Q$950,3,FALSE)</f>
        <v>0</v>
      </c>
      <c r="AE43" s="31">
        <f>VLOOKUP($A43,kurspris!$A$1:$Q$950,4,FALSE)</f>
        <v>0</v>
      </c>
      <c r="AF43" s="31">
        <f>VLOOKUP($A43,kurspris!$A$1:$Q$950,5,FALSE)</f>
        <v>0</v>
      </c>
      <c r="AG43" s="31">
        <f>VLOOKUP($A43,kurspris!$A$1:$Q$950,6,FALSE)</f>
        <v>0</v>
      </c>
      <c r="AH43" s="31">
        <f>VLOOKUP($A43,kurspris!$A$1:$Q$950,7,FALSE)</f>
        <v>0</v>
      </c>
      <c r="AI43" s="31">
        <f>VLOOKUP($A43,kurspris!$A$1:$Q$950,8,FALSE)</f>
        <v>1</v>
      </c>
      <c r="AJ43" s="31">
        <f>VLOOKUP($A43,kurspris!$A$1:$Q$950,9,FALSE)</f>
        <v>0</v>
      </c>
      <c r="AK43" s="31">
        <f>VLOOKUP($A43,kurspris!$A$1:$Q$950,10,FALSE)</f>
        <v>0</v>
      </c>
      <c r="AL43" s="31">
        <f>VLOOKUP($A43,kurspris!$A$1:$Q$950,11,FALSE)</f>
        <v>0</v>
      </c>
      <c r="AM43" s="31">
        <f>VLOOKUP($A43,kurspris!$A$1:$Q$950,12,FALSE)</f>
        <v>0</v>
      </c>
      <c r="AN43" s="31">
        <f>VLOOKUP($A43,kurspris!$A$1:$Q$950,13,FALSE)</f>
        <v>0</v>
      </c>
      <c r="AO43" s="31">
        <f>VLOOKUP($A43,kurspris!$A$1:$Q$950,14,FALSE)</f>
        <v>0</v>
      </c>
      <c r="AP43" s="57" t="s">
        <v>2402</v>
      </c>
      <c r="AQ43"/>
      <c r="AR43" s="31">
        <f t="shared" si="4"/>
        <v>0</v>
      </c>
      <c r="AS43" s="219">
        <f t="shared" si="5"/>
        <v>0</v>
      </c>
      <c r="AT43" s="31">
        <f t="shared" si="6"/>
        <v>0</v>
      </c>
      <c r="AU43" s="219">
        <f t="shared" si="7"/>
        <v>0</v>
      </c>
      <c r="AV43" s="31">
        <f t="shared" si="8"/>
        <v>0</v>
      </c>
      <c r="AW43" s="31">
        <f t="shared" si="9"/>
        <v>0</v>
      </c>
      <c r="AX43" s="31">
        <f t="shared" si="10"/>
        <v>0</v>
      </c>
      <c r="AY43" s="219">
        <f t="shared" si="11"/>
        <v>0</v>
      </c>
      <c r="AZ43" s="196">
        <f t="shared" si="12"/>
        <v>0</v>
      </c>
      <c r="BA43" s="219">
        <f t="shared" si="13"/>
        <v>0</v>
      </c>
      <c r="BB43" s="31">
        <f t="shared" si="14"/>
        <v>0.125</v>
      </c>
      <c r="BC43" s="219">
        <f t="shared" si="15"/>
        <v>0.1</v>
      </c>
      <c r="BD43" s="31">
        <f t="shared" si="16"/>
        <v>0</v>
      </c>
      <c r="BE43" s="219">
        <f t="shared" si="17"/>
        <v>0</v>
      </c>
      <c r="BF43" s="31">
        <f t="shared" si="18"/>
        <v>0</v>
      </c>
      <c r="BG43" s="219">
        <f t="shared" si="19"/>
        <v>0</v>
      </c>
      <c r="BH43" s="31">
        <f t="shared" si="20"/>
        <v>0</v>
      </c>
      <c r="BI43" s="219">
        <f t="shared" si="21"/>
        <v>0</v>
      </c>
      <c r="BJ43" s="31">
        <f t="shared" si="22"/>
        <v>0</v>
      </c>
      <c r="BK43" s="219">
        <f t="shared" si="23"/>
        <v>0</v>
      </c>
      <c r="BL43" s="31">
        <f t="shared" si="24"/>
        <v>0</v>
      </c>
      <c r="BM43" s="219">
        <f t="shared" si="25"/>
        <v>0</v>
      </c>
      <c r="BN43" s="31">
        <f t="shared" si="26"/>
        <v>0</v>
      </c>
      <c r="BO43" s="219">
        <f t="shared" si="27"/>
        <v>0</v>
      </c>
    </row>
    <row r="44" spans="1:67" x14ac:dyDescent="0.25">
      <c r="A44" s="31" t="s">
        <v>1461</v>
      </c>
      <c r="B44" s="176" t="str">
        <f>VLOOKUP(A44,kurspris!$A$1:$B$992,2,FALSE)</f>
        <v>Biologididaktik 2 för ämneslärare för gymnasium</v>
      </c>
      <c r="C44" s="31">
        <v>62302</v>
      </c>
      <c r="D44" s="60" t="s">
        <v>482</v>
      </c>
      <c r="E44" s="60"/>
      <c r="F44" s="57" t="s">
        <v>2274</v>
      </c>
      <c r="H44" s="31" t="s">
        <v>2335</v>
      </c>
      <c r="I44" s="31" t="s">
        <v>2399</v>
      </c>
      <c r="J44" s="31" t="s">
        <v>2234</v>
      </c>
      <c r="L44" s="38"/>
      <c r="M44">
        <v>7.5</v>
      </c>
      <c r="P44" s="31">
        <v>2</v>
      </c>
      <c r="Q44" s="539">
        <v>0.25</v>
      </c>
      <c r="R44" s="38">
        <v>0.85</v>
      </c>
      <c r="S44" s="280">
        <f t="shared" si="0"/>
        <v>0.21249999999999999</v>
      </c>
      <c r="T44" s="31">
        <f>VLOOKUP(A44,'Ansvar kurs'!$A$1:$C$1123,2,FALSE)</f>
        <v>5740</v>
      </c>
      <c r="U44" s="31" t="str">
        <f>VLOOKUP(T44,Orgenheter!$A$1:$C$166,2,FALSE)</f>
        <v>NMD</v>
      </c>
      <c r="V44" s="31" t="str">
        <f>VLOOKUP(T44,Orgenheter!$A$1:$C$166,3,FALSE)</f>
        <v>TekNat</v>
      </c>
      <c r="W44" s="35" t="str">
        <f>VLOOKUP(D44,Program!$A$1:$B$36,2,FALSE)</f>
        <v>Ämneslärarprogrammet - Gy</v>
      </c>
      <c r="X44" s="40">
        <f>VLOOKUP(A44,kurspris!$A$1:$Q$913,15,FALSE)</f>
        <v>20757</v>
      </c>
      <c r="Y44" s="40">
        <f>VLOOKUP(A44,kurspris!$A$1:$Q$913,16,FALSE)</f>
        <v>36082</v>
      </c>
      <c r="Z44" s="40">
        <f t="shared" si="1"/>
        <v>12856.674999999999</v>
      </c>
      <c r="AA44" s="40">
        <f>VLOOKUP(A44,kurspris!$A$1:$Q$913,17,FALSE)</f>
        <v>22600</v>
      </c>
      <c r="AB44" s="40">
        <f t="shared" si="2"/>
        <v>5650</v>
      </c>
      <c r="AC44" s="40">
        <f t="shared" si="3"/>
        <v>18506.674999999999</v>
      </c>
      <c r="AD44" s="31">
        <f>VLOOKUP($A44,kurspris!$A$1:$Q$950,3,FALSE)</f>
        <v>0</v>
      </c>
      <c r="AE44" s="31">
        <f>VLOOKUP($A44,kurspris!$A$1:$Q$950,4,FALSE)</f>
        <v>0</v>
      </c>
      <c r="AF44" s="31">
        <f>VLOOKUP($A44,kurspris!$A$1:$Q$950,5,FALSE)</f>
        <v>0</v>
      </c>
      <c r="AG44" s="31">
        <f>VLOOKUP($A44,kurspris!$A$1:$Q$950,6,FALSE)</f>
        <v>0</v>
      </c>
      <c r="AH44" s="31">
        <f>VLOOKUP($A44,kurspris!$A$1:$Q$950,7,FALSE)</f>
        <v>0</v>
      </c>
      <c r="AI44" s="31">
        <f>VLOOKUP($A44,kurspris!$A$1:$Q$950,8,FALSE)</f>
        <v>1</v>
      </c>
      <c r="AJ44" s="31">
        <f>VLOOKUP($A44,kurspris!$A$1:$Q$950,9,FALSE)</f>
        <v>0</v>
      </c>
      <c r="AK44" s="31">
        <f>VLOOKUP($A44,kurspris!$A$1:$Q$950,10,FALSE)</f>
        <v>0</v>
      </c>
      <c r="AL44" s="31">
        <f>VLOOKUP($A44,kurspris!$A$1:$Q$950,11,FALSE)</f>
        <v>0</v>
      </c>
      <c r="AM44" s="31">
        <f>VLOOKUP($A44,kurspris!$A$1:$Q$950,12,FALSE)</f>
        <v>0</v>
      </c>
      <c r="AN44" s="31">
        <f>VLOOKUP($A44,kurspris!$A$1:$Q$950,13,FALSE)</f>
        <v>0</v>
      </c>
      <c r="AO44" s="31">
        <f>VLOOKUP($A44,kurspris!$A$1:$Q$950,14,FALSE)</f>
        <v>0</v>
      </c>
      <c r="AP44" s="57" t="s">
        <v>2402</v>
      </c>
      <c r="AQ44"/>
      <c r="AR44" s="31">
        <f t="shared" si="4"/>
        <v>0</v>
      </c>
      <c r="AS44" s="219">
        <f t="shared" si="5"/>
        <v>0</v>
      </c>
      <c r="AT44" s="31">
        <f t="shared" si="6"/>
        <v>0</v>
      </c>
      <c r="AU44" s="219">
        <f t="shared" si="7"/>
        <v>0</v>
      </c>
      <c r="AV44" s="31">
        <f t="shared" si="8"/>
        <v>0</v>
      </c>
      <c r="AW44" s="31">
        <f t="shared" si="9"/>
        <v>0</v>
      </c>
      <c r="AX44" s="31">
        <f t="shared" si="10"/>
        <v>0</v>
      </c>
      <c r="AY44" s="219">
        <f t="shared" si="11"/>
        <v>0</v>
      </c>
      <c r="AZ44" s="196">
        <f t="shared" si="12"/>
        <v>0</v>
      </c>
      <c r="BA44" s="219">
        <f t="shared" si="13"/>
        <v>0</v>
      </c>
      <c r="BB44" s="31">
        <f t="shared" si="14"/>
        <v>0.25</v>
      </c>
      <c r="BC44" s="219">
        <f t="shared" si="15"/>
        <v>0.21249999999999999</v>
      </c>
      <c r="BD44" s="31">
        <f t="shared" si="16"/>
        <v>0</v>
      </c>
      <c r="BE44" s="219">
        <f t="shared" si="17"/>
        <v>0</v>
      </c>
      <c r="BF44" s="31">
        <f t="shared" si="18"/>
        <v>0</v>
      </c>
      <c r="BG44" s="219">
        <f t="shared" si="19"/>
        <v>0</v>
      </c>
      <c r="BH44" s="31">
        <f t="shared" si="20"/>
        <v>0</v>
      </c>
      <c r="BI44" s="219">
        <f t="shared" si="21"/>
        <v>0</v>
      </c>
      <c r="BJ44" s="31">
        <f t="shared" si="22"/>
        <v>0</v>
      </c>
      <c r="BK44" s="219">
        <f t="shared" si="23"/>
        <v>0</v>
      </c>
      <c r="BL44" s="31">
        <f t="shared" si="24"/>
        <v>0</v>
      </c>
      <c r="BM44" s="219">
        <f t="shared" si="25"/>
        <v>0</v>
      </c>
      <c r="BN44" s="31">
        <f t="shared" si="26"/>
        <v>0</v>
      </c>
      <c r="BO44" s="219">
        <f t="shared" si="27"/>
        <v>0</v>
      </c>
    </row>
    <row r="45" spans="1:67" x14ac:dyDescent="0.25">
      <c r="A45" s="31" t="s">
        <v>1461</v>
      </c>
      <c r="B45" s="176" t="str">
        <f>VLOOKUP(A45,kurspris!$A$1:$B$992,2,FALSE)</f>
        <v>Biologididaktik 2 för ämneslärare för gymnasium</v>
      </c>
      <c r="C45" s="31">
        <v>62302</v>
      </c>
      <c r="D45" s="60" t="s">
        <v>482</v>
      </c>
      <c r="E45" s="60"/>
      <c r="F45" s="57" t="s">
        <v>2274</v>
      </c>
      <c r="H45" s="31" t="s">
        <v>2335</v>
      </c>
      <c r="I45" s="31" t="s">
        <v>2399</v>
      </c>
      <c r="J45" s="31" t="s">
        <v>2231</v>
      </c>
      <c r="L45" s="38"/>
      <c r="M45">
        <v>7.5</v>
      </c>
      <c r="P45" s="31">
        <v>1</v>
      </c>
      <c r="Q45" s="539">
        <v>0.125</v>
      </c>
      <c r="R45" s="38">
        <v>0.85</v>
      </c>
      <c r="S45" s="280">
        <f t="shared" si="0"/>
        <v>0.10625</v>
      </c>
      <c r="T45" s="31">
        <f>VLOOKUP(A45,'Ansvar kurs'!$A$1:$C$1123,2,FALSE)</f>
        <v>5740</v>
      </c>
      <c r="U45" s="31" t="str">
        <f>VLOOKUP(T45,Orgenheter!$A$1:$C$166,2,FALSE)</f>
        <v>NMD</v>
      </c>
      <c r="V45" s="31" t="str">
        <f>VLOOKUP(T45,Orgenheter!$A$1:$C$166,3,FALSE)</f>
        <v>TekNat</v>
      </c>
      <c r="W45" s="35" t="str">
        <f>VLOOKUP(D45,Program!$A$1:$B$36,2,FALSE)</f>
        <v>Ämneslärarprogrammet - Gy</v>
      </c>
      <c r="X45" s="40">
        <f>VLOOKUP(A45,kurspris!$A$1:$Q$913,15,FALSE)</f>
        <v>20757</v>
      </c>
      <c r="Y45" s="40">
        <f>VLOOKUP(A45,kurspris!$A$1:$Q$913,16,FALSE)</f>
        <v>36082</v>
      </c>
      <c r="Z45" s="40">
        <f t="shared" si="1"/>
        <v>6428.3374999999996</v>
      </c>
      <c r="AA45" s="40">
        <f>VLOOKUP(A45,kurspris!$A$1:$Q$913,17,FALSE)</f>
        <v>22600</v>
      </c>
      <c r="AB45" s="40">
        <f t="shared" si="2"/>
        <v>2825</v>
      </c>
      <c r="AC45" s="40">
        <f t="shared" si="3"/>
        <v>9253.3374999999996</v>
      </c>
      <c r="AD45" s="31">
        <f>VLOOKUP($A45,kurspris!$A$1:$Q$950,3,FALSE)</f>
        <v>0</v>
      </c>
      <c r="AE45" s="31">
        <f>VLOOKUP($A45,kurspris!$A$1:$Q$950,4,FALSE)</f>
        <v>0</v>
      </c>
      <c r="AF45" s="31">
        <f>VLOOKUP($A45,kurspris!$A$1:$Q$950,5,FALSE)</f>
        <v>0</v>
      </c>
      <c r="AG45" s="31">
        <f>VLOOKUP($A45,kurspris!$A$1:$Q$950,6,FALSE)</f>
        <v>0</v>
      </c>
      <c r="AH45" s="31">
        <f>VLOOKUP($A45,kurspris!$A$1:$Q$950,7,FALSE)</f>
        <v>0</v>
      </c>
      <c r="AI45" s="31">
        <f>VLOOKUP($A45,kurspris!$A$1:$Q$950,8,FALSE)</f>
        <v>1</v>
      </c>
      <c r="AJ45" s="31">
        <f>VLOOKUP($A45,kurspris!$A$1:$Q$950,9,FALSE)</f>
        <v>0</v>
      </c>
      <c r="AK45" s="31">
        <f>VLOOKUP($A45,kurspris!$A$1:$Q$950,10,FALSE)</f>
        <v>0</v>
      </c>
      <c r="AL45" s="31">
        <f>VLOOKUP($A45,kurspris!$A$1:$Q$950,11,FALSE)</f>
        <v>0</v>
      </c>
      <c r="AM45" s="31">
        <f>VLOOKUP($A45,kurspris!$A$1:$Q$950,12,FALSE)</f>
        <v>0</v>
      </c>
      <c r="AN45" s="31">
        <f>VLOOKUP($A45,kurspris!$A$1:$Q$950,13,FALSE)</f>
        <v>0</v>
      </c>
      <c r="AO45" s="31">
        <f>VLOOKUP($A45,kurspris!$A$1:$Q$950,14,FALSE)</f>
        <v>0</v>
      </c>
      <c r="AP45" s="57" t="s">
        <v>2402</v>
      </c>
      <c r="AQ45"/>
      <c r="AR45" s="31">
        <f t="shared" si="4"/>
        <v>0</v>
      </c>
      <c r="AS45" s="219">
        <f t="shared" si="5"/>
        <v>0</v>
      </c>
      <c r="AT45" s="31">
        <f t="shared" si="6"/>
        <v>0</v>
      </c>
      <c r="AU45" s="219">
        <f t="shared" si="7"/>
        <v>0</v>
      </c>
      <c r="AV45" s="31">
        <f t="shared" si="8"/>
        <v>0</v>
      </c>
      <c r="AW45" s="31">
        <f t="shared" si="9"/>
        <v>0</v>
      </c>
      <c r="AX45" s="31">
        <f t="shared" si="10"/>
        <v>0</v>
      </c>
      <c r="AY45" s="219">
        <f t="shared" si="11"/>
        <v>0</v>
      </c>
      <c r="AZ45" s="196">
        <f t="shared" si="12"/>
        <v>0</v>
      </c>
      <c r="BA45" s="219">
        <f t="shared" si="13"/>
        <v>0</v>
      </c>
      <c r="BB45" s="31">
        <f t="shared" si="14"/>
        <v>0.125</v>
      </c>
      <c r="BC45" s="219">
        <f t="shared" si="15"/>
        <v>0.10625</v>
      </c>
      <c r="BD45" s="31">
        <f t="shared" si="16"/>
        <v>0</v>
      </c>
      <c r="BE45" s="219">
        <f t="shared" si="17"/>
        <v>0</v>
      </c>
      <c r="BF45" s="31">
        <f t="shared" si="18"/>
        <v>0</v>
      </c>
      <c r="BG45" s="219">
        <f t="shared" si="19"/>
        <v>0</v>
      </c>
      <c r="BH45" s="31">
        <f t="shared" si="20"/>
        <v>0</v>
      </c>
      <c r="BI45" s="219">
        <f t="shared" si="21"/>
        <v>0</v>
      </c>
      <c r="BJ45" s="31">
        <f t="shared" si="22"/>
        <v>0</v>
      </c>
      <c r="BK45" s="219">
        <f t="shared" si="23"/>
        <v>0</v>
      </c>
      <c r="BL45" s="31">
        <f t="shared" si="24"/>
        <v>0</v>
      </c>
      <c r="BM45" s="219">
        <f t="shared" si="25"/>
        <v>0</v>
      </c>
      <c r="BN45" s="31">
        <f t="shared" si="26"/>
        <v>0</v>
      </c>
      <c r="BO45" s="219">
        <f t="shared" si="27"/>
        <v>0</v>
      </c>
    </row>
    <row r="46" spans="1:67" x14ac:dyDescent="0.25">
      <c r="A46" s="31" t="s">
        <v>1461</v>
      </c>
      <c r="B46" s="176" t="str">
        <f>VLOOKUP(A46,kurspris!$A$1:$B$992,2,FALSE)</f>
        <v>Biologididaktik 2 för ämneslärare för gymnasium</v>
      </c>
      <c r="C46" s="31">
        <v>62302</v>
      </c>
      <c r="D46" s="60" t="s">
        <v>482</v>
      </c>
      <c r="E46" s="60"/>
      <c r="F46" s="57" t="s">
        <v>2274</v>
      </c>
      <c r="H46" s="31" t="s">
        <v>2335</v>
      </c>
      <c r="I46" s="31" t="s">
        <v>2399</v>
      </c>
      <c r="J46" s="31" t="s">
        <v>2232</v>
      </c>
      <c r="L46" s="38"/>
      <c r="M46">
        <v>7.5</v>
      </c>
      <c r="P46" s="31">
        <v>2</v>
      </c>
      <c r="Q46" s="539">
        <v>0.25</v>
      </c>
      <c r="R46" s="38">
        <v>0.85</v>
      </c>
      <c r="S46" s="280">
        <f t="shared" si="0"/>
        <v>0.21249999999999999</v>
      </c>
      <c r="T46" s="31">
        <f>VLOOKUP(A46,'Ansvar kurs'!$A$1:$C$1123,2,FALSE)</f>
        <v>5740</v>
      </c>
      <c r="U46" s="31" t="str">
        <f>VLOOKUP(T46,Orgenheter!$A$1:$C$166,2,FALSE)</f>
        <v>NMD</v>
      </c>
      <c r="V46" s="31" t="str">
        <f>VLOOKUP(T46,Orgenheter!$A$1:$C$166,3,FALSE)</f>
        <v>TekNat</v>
      </c>
      <c r="W46" s="35" t="str">
        <f>VLOOKUP(D46,Program!$A$1:$B$36,2,FALSE)</f>
        <v>Ämneslärarprogrammet - Gy</v>
      </c>
      <c r="X46" s="40">
        <f>VLOOKUP(A46,kurspris!$A$1:$Q$913,15,FALSE)</f>
        <v>20757</v>
      </c>
      <c r="Y46" s="40">
        <f>VLOOKUP(A46,kurspris!$A$1:$Q$913,16,FALSE)</f>
        <v>36082</v>
      </c>
      <c r="Z46" s="40">
        <f t="shared" si="1"/>
        <v>12856.674999999999</v>
      </c>
      <c r="AA46" s="40">
        <f>VLOOKUP(A46,kurspris!$A$1:$Q$913,17,FALSE)</f>
        <v>22600</v>
      </c>
      <c r="AB46" s="40">
        <f t="shared" si="2"/>
        <v>5650</v>
      </c>
      <c r="AC46" s="40">
        <f t="shared" si="3"/>
        <v>18506.674999999999</v>
      </c>
      <c r="AD46" s="31">
        <f>VLOOKUP($A46,kurspris!$A$1:$Q$950,3,FALSE)</f>
        <v>0</v>
      </c>
      <c r="AE46" s="31">
        <f>VLOOKUP($A46,kurspris!$A$1:$Q$950,4,FALSE)</f>
        <v>0</v>
      </c>
      <c r="AF46" s="31">
        <f>VLOOKUP($A46,kurspris!$A$1:$Q$950,5,FALSE)</f>
        <v>0</v>
      </c>
      <c r="AG46" s="31">
        <f>VLOOKUP($A46,kurspris!$A$1:$Q$950,6,FALSE)</f>
        <v>0</v>
      </c>
      <c r="AH46" s="31">
        <f>VLOOKUP($A46,kurspris!$A$1:$Q$950,7,FALSE)</f>
        <v>0</v>
      </c>
      <c r="AI46" s="31">
        <f>VLOOKUP($A46,kurspris!$A$1:$Q$950,8,FALSE)</f>
        <v>1</v>
      </c>
      <c r="AJ46" s="31">
        <f>VLOOKUP($A46,kurspris!$A$1:$Q$950,9,FALSE)</f>
        <v>0</v>
      </c>
      <c r="AK46" s="31">
        <f>VLOOKUP($A46,kurspris!$A$1:$Q$950,10,FALSE)</f>
        <v>0</v>
      </c>
      <c r="AL46" s="31">
        <f>VLOOKUP($A46,kurspris!$A$1:$Q$950,11,FALSE)</f>
        <v>0</v>
      </c>
      <c r="AM46" s="31">
        <f>VLOOKUP($A46,kurspris!$A$1:$Q$950,12,FALSE)</f>
        <v>0</v>
      </c>
      <c r="AN46" s="31">
        <f>VLOOKUP($A46,kurspris!$A$1:$Q$950,13,FALSE)</f>
        <v>0</v>
      </c>
      <c r="AO46" s="31">
        <f>VLOOKUP($A46,kurspris!$A$1:$Q$950,14,FALSE)</f>
        <v>0</v>
      </c>
      <c r="AP46" s="57" t="s">
        <v>2402</v>
      </c>
      <c r="AQ46"/>
      <c r="AR46" s="31">
        <f t="shared" si="4"/>
        <v>0</v>
      </c>
      <c r="AS46" s="219">
        <f t="shared" si="5"/>
        <v>0</v>
      </c>
      <c r="AT46" s="31">
        <f t="shared" si="6"/>
        <v>0</v>
      </c>
      <c r="AU46" s="219">
        <f t="shared" si="7"/>
        <v>0</v>
      </c>
      <c r="AV46" s="31">
        <f t="shared" si="8"/>
        <v>0</v>
      </c>
      <c r="AW46" s="31">
        <f t="shared" si="9"/>
        <v>0</v>
      </c>
      <c r="AX46" s="31">
        <f t="shared" si="10"/>
        <v>0</v>
      </c>
      <c r="AY46" s="219">
        <f t="shared" si="11"/>
        <v>0</v>
      </c>
      <c r="AZ46" s="196">
        <f t="shared" si="12"/>
        <v>0</v>
      </c>
      <c r="BA46" s="219">
        <f t="shared" si="13"/>
        <v>0</v>
      </c>
      <c r="BB46" s="31">
        <f t="shared" si="14"/>
        <v>0.25</v>
      </c>
      <c r="BC46" s="219">
        <f t="shared" si="15"/>
        <v>0.21249999999999999</v>
      </c>
      <c r="BD46" s="31">
        <f t="shared" si="16"/>
        <v>0</v>
      </c>
      <c r="BE46" s="219">
        <f t="shared" si="17"/>
        <v>0</v>
      </c>
      <c r="BF46" s="31">
        <f t="shared" si="18"/>
        <v>0</v>
      </c>
      <c r="BG46" s="219">
        <f t="shared" si="19"/>
        <v>0</v>
      </c>
      <c r="BH46" s="31">
        <f t="shared" si="20"/>
        <v>0</v>
      </c>
      <c r="BI46" s="219">
        <f t="shared" si="21"/>
        <v>0</v>
      </c>
      <c r="BJ46" s="31">
        <f t="shared" si="22"/>
        <v>0</v>
      </c>
      <c r="BK46" s="219">
        <f t="shared" si="23"/>
        <v>0</v>
      </c>
      <c r="BL46" s="31">
        <f t="shared" si="24"/>
        <v>0</v>
      </c>
      <c r="BM46" s="219">
        <f t="shared" si="25"/>
        <v>0</v>
      </c>
      <c r="BN46" s="31">
        <f t="shared" si="26"/>
        <v>0</v>
      </c>
      <c r="BO46" s="219">
        <f t="shared" si="27"/>
        <v>0</v>
      </c>
    </row>
    <row r="47" spans="1:67" x14ac:dyDescent="0.25">
      <c r="A47" s="31" t="s">
        <v>1461</v>
      </c>
      <c r="B47" s="176" t="str">
        <f>VLOOKUP(A47,kurspris!$A$1:$B$992,2,FALSE)</f>
        <v>Biologididaktik 2 för ämneslärare för gymnasium</v>
      </c>
      <c r="C47" s="31">
        <v>62302</v>
      </c>
      <c r="D47" s="60" t="s">
        <v>482</v>
      </c>
      <c r="E47" s="60"/>
      <c r="F47" s="57" t="s">
        <v>2274</v>
      </c>
      <c r="H47" s="31" t="s">
        <v>2335</v>
      </c>
      <c r="I47" s="31" t="s">
        <v>2399</v>
      </c>
      <c r="J47" s="31" t="s">
        <v>2233</v>
      </c>
      <c r="L47" s="38"/>
      <c r="M47">
        <v>7.5</v>
      </c>
      <c r="P47" s="31">
        <v>3</v>
      </c>
      <c r="Q47" s="539">
        <v>0.375</v>
      </c>
      <c r="R47" s="38">
        <v>0.85</v>
      </c>
      <c r="S47" s="280">
        <f t="shared" si="0"/>
        <v>0.31874999999999998</v>
      </c>
      <c r="T47" s="31">
        <f>VLOOKUP(A47,'Ansvar kurs'!$A$1:$C$1123,2,FALSE)</f>
        <v>5740</v>
      </c>
      <c r="U47" s="31" t="str">
        <f>VLOOKUP(T47,Orgenheter!$A$1:$C$166,2,FALSE)</f>
        <v>NMD</v>
      </c>
      <c r="V47" s="31" t="str">
        <f>VLOOKUP(T47,Orgenheter!$A$1:$C$166,3,FALSE)</f>
        <v>TekNat</v>
      </c>
      <c r="W47" s="35" t="str">
        <f>VLOOKUP(D47,Program!$A$1:$B$36,2,FALSE)</f>
        <v>Ämneslärarprogrammet - Gy</v>
      </c>
      <c r="X47" s="40">
        <f>VLOOKUP(A47,kurspris!$A$1:$Q$913,15,FALSE)</f>
        <v>20757</v>
      </c>
      <c r="Y47" s="40">
        <f>VLOOKUP(A47,kurspris!$A$1:$Q$913,16,FALSE)</f>
        <v>36082</v>
      </c>
      <c r="Z47" s="40">
        <f t="shared" si="1"/>
        <v>19285.012499999997</v>
      </c>
      <c r="AA47" s="40">
        <f>VLOOKUP(A47,kurspris!$A$1:$Q$913,17,FALSE)</f>
        <v>22600</v>
      </c>
      <c r="AB47" s="40">
        <f t="shared" si="2"/>
        <v>8475</v>
      </c>
      <c r="AC47" s="40">
        <f t="shared" si="3"/>
        <v>27760.012499999997</v>
      </c>
      <c r="AD47" s="31">
        <f>VLOOKUP($A47,kurspris!$A$1:$Q$950,3,FALSE)</f>
        <v>0</v>
      </c>
      <c r="AE47" s="31">
        <f>VLOOKUP($A47,kurspris!$A$1:$Q$950,4,FALSE)</f>
        <v>0</v>
      </c>
      <c r="AF47" s="31">
        <f>VLOOKUP($A47,kurspris!$A$1:$Q$950,5,FALSE)</f>
        <v>0</v>
      </c>
      <c r="AG47" s="31">
        <f>VLOOKUP($A47,kurspris!$A$1:$Q$950,6,FALSE)</f>
        <v>0</v>
      </c>
      <c r="AH47" s="31">
        <f>VLOOKUP($A47,kurspris!$A$1:$Q$950,7,FALSE)</f>
        <v>0</v>
      </c>
      <c r="AI47" s="31">
        <f>VLOOKUP($A47,kurspris!$A$1:$Q$950,8,FALSE)</f>
        <v>1</v>
      </c>
      <c r="AJ47" s="31">
        <f>VLOOKUP($A47,kurspris!$A$1:$Q$950,9,FALSE)</f>
        <v>0</v>
      </c>
      <c r="AK47" s="31">
        <f>VLOOKUP($A47,kurspris!$A$1:$Q$950,10,FALSE)</f>
        <v>0</v>
      </c>
      <c r="AL47" s="31">
        <f>VLOOKUP($A47,kurspris!$A$1:$Q$950,11,FALSE)</f>
        <v>0</v>
      </c>
      <c r="AM47" s="31">
        <f>VLOOKUP($A47,kurspris!$A$1:$Q$950,12,FALSE)</f>
        <v>0</v>
      </c>
      <c r="AN47" s="31">
        <f>VLOOKUP($A47,kurspris!$A$1:$Q$950,13,FALSE)</f>
        <v>0</v>
      </c>
      <c r="AO47" s="31">
        <f>VLOOKUP($A47,kurspris!$A$1:$Q$950,14,FALSE)</f>
        <v>0</v>
      </c>
      <c r="AP47" s="57" t="s">
        <v>2402</v>
      </c>
      <c r="AQ47"/>
      <c r="AR47" s="31">
        <f t="shared" si="4"/>
        <v>0</v>
      </c>
      <c r="AS47" s="219">
        <f t="shared" si="5"/>
        <v>0</v>
      </c>
      <c r="AT47" s="31">
        <f t="shared" si="6"/>
        <v>0</v>
      </c>
      <c r="AU47" s="219">
        <f t="shared" si="7"/>
        <v>0</v>
      </c>
      <c r="AV47" s="31">
        <f t="shared" si="8"/>
        <v>0</v>
      </c>
      <c r="AW47" s="31">
        <f t="shared" si="9"/>
        <v>0</v>
      </c>
      <c r="AX47" s="31">
        <f t="shared" si="10"/>
        <v>0</v>
      </c>
      <c r="AY47" s="219">
        <f t="shared" si="11"/>
        <v>0</v>
      </c>
      <c r="AZ47" s="196">
        <f t="shared" si="12"/>
        <v>0</v>
      </c>
      <c r="BA47" s="219">
        <f t="shared" si="13"/>
        <v>0</v>
      </c>
      <c r="BB47" s="31">
        <f t="shared" si="14"/>
        <v>0.375</v>
      </c>
      <c r="BC47" s="219">
        <f t="shared" si="15"/>
        <v>0.31874999999999998</v>
      </c>
      <c r="BD47" s="31">
        <f t="shared" si="16"/>
        <v>0</v>
      </c>
      <c r="BE47" s="219">
        <f t="shared" si="17"/>
        <v>0</v>
      </c>
      <c r="BF47" s="31">
        <f t="shared" si="18"/>
        <v>0</v>
      </c>
      <c r="BG47" s="219">
        <f t="shared" si="19"/>
        <v>0</v>
      </c>
      <c r="BH47" s="31">
        <f t="shared" si="20"/>
        <v>0</v>
      </c>
      <c r="BI47" s="219">
        <f t="shared" si="21"/>
        <v>0</v>
      </c>
      <c r="BJ47" s="31">
        <f t="shared" si="22"/>
        <v>0</v>
      </c>
      <c r="BK47" s="219">
        <f t="shared" si="23"/>
        <v>0</v>
      </c>
      <c r="BL47" s="31">
        <f t="shared" si="24"/>
        <v>0</v>
      </c>
      <c r="BM47" s="219">
        <f t="shared" si="25"/>
        <v>0</v>
      </c>
      <c r="BN47" s="31">
        <f t="shared" si="26"/>
        <v>0</v>
      </c>
      <c r="BO47" s="219">
        <f t="shared" si="27"/>
        <v>0</v>
      </c>
    </row>
    <row r="48" spans="1:67" x14ac:dyDescent="0.25">
      <c r="A48" s="31" t="s">
        <v>1928</v>
      </c>
      <c r="B48" s="176" t="str">
        <f>VLOOKUP(A48,kurspris!$A$1:$B$992,2,FALSE)</f>
        <v>Programmeringsteknik med C och Matlab</v>
      </c>
      <c r="D48" s="60" t="s">
        <v>482</v>
      </c>
      <c r="E48" s="576" t="s">
        <v>2434</v>
      </c>
      <c r="F48" s="31" t="s">
        <v>2273</v>
      </c>
      <c r="G48" t="s">
        <v>2439</v>
      </c>
      <c r="H48" t="s">
        <v>2335</v>
      </c>
      <c r="J48" s="31" t="s">
        <v>2233</v>
      </c>
      <c r="L48" s="38">
        <v>1</v>
      </c>
      <c r="M48">
        <v>7.5</v>
      </c>
      <c r="P48" s="31">
        <v>1</v>
      </c>
      <c r="Q48" s="196">
        <f t="shared" ref="Q48:Q63" si="29">(M48/60)*P48</f>
        <v>0.125</v>
      </c>
      <c r="R48" s="38">
        <v>0.85</v>
      </c>
      <c r="S48" s="280">
        <f t="shared" si="0"/>
        <v>0.10625</v>
      </c>
      <c r="T48" s="31">
        <f>VLOOKUP(A48,'Ansvar kurs'!$A$1:$C$1123,2,FALSE)</f>
        <v>5700</v>
      </c>
      <c r="U48" s="31" t="str">
        <f>VLOOKUP(T48,Orgenheter!$A$1:$C$166,2,FALSE)</f>
        <v xml:space="preserve">Inst för datavetenskap        </v>
      </c>
      <c r="V48" s="31" t="str">
        <f>VLOOKUP(T48,Orgenheter!$A$1:$C$166,3,FALSE)</f>
        <v>TekNat</v>
      </c>
      <c r="W48" s="35" t="str">
        <f>VLOOKUP(D48,Program!$A$1:$B$36,2,FALSE)</f>
        <v>Ämneslärarprogrammet - Gy</v>
      </c>
      <c r="X48" s="40">
        <f>VLOOKUP(A48,kurspris!$A$1:$Q$913,15,FALSE)</f>
        <v>20757</v>
      </c>
      <c r="Y48" s="40">
        <f>VLOOKUP(A48,kurspris!$A$1:$Q$913,16,FALSE)</f>
        <v>36082</v>
      </c>
      <c r="Z48" s="40">
        <f t="shared" si="1"/>
        <v>6428.3374999999996</v>
      </c>
      <c r="AA48" s="40">
        <f>VLOOKUP(A48,kurspris!$A$1:$Q$913,17,FALSE)</f>
        <v>22600</v>
      </c>
      <c r="AB48" s="40">
        <f t="shared" si="2"/>
        <v>2825</v>
      </c>
      <c r="AC48" s="40">
        <f t="shared" si="3"/>
        <v>9253.3374999999996</v>
      </c>
      <c r="AD48" s="31">
        <f>VLOOKUP($A48,kurspris!$A$1:$Q$950,3,FALSE)</f>
        <v>0</v>
      </c>
      <c r="AE48" s="31">
        <f>VLOOKUP($A48,kurspris!$A$1:$Q$950,4,FALSE)</f>
        <v>0</v>
      </c>
      <c r="AF48" s="31">
        <f>VLOOKUP($A48,kurspris!$A$1:$Q$950,5,FALSE)</f>
        <v>0</v>
      </c>
      <c r="AG48" s="31">
        <f>VLOOKUP($A48,kurspris!$A$1:$Q$950,6,FALSE)</f>
        <v>0</v>
      </c>
      <c r="AH48" s="31">
        <f>VLOOKUP($A48,kurspris!$A$1:$Q$950,7,FALSE)</f>
        <v>0</v>
      </c>
      <c r="AI48" s="31">
        <f>VLOOKUP($A48,kurspris!$A$1:$Q$950,8,FALSE)</f>
        <v>0.5</v>
      </c>
      <c r="AJ48" s="31">
        <f>VLOOKUP($A48,kurspris!$A$1:$Q$950,9,FALSE)</f>
        <v>0</v>
      </c>
      <c r="AK48" s="31">
        <f>VLOOKUP($A48,kurspris!$A$1:$Q$950,10,FALSE)</f>
        <v>0.5</v>
      </c>
      <c r="AL48" s="31">
        <f>VLOOKUP($A48,kurspris!$A$1:$Q$950,11,FALSE)</f>
        <v>0</v>
      </c>
      <c r="AM48" s="31">
        <f>VLOOKUP($A48,kurspris!$A$1:$Q$950,12,FALSE)</f>
        <v>0</v>
      </c>
      <c r="AN48" s="31">
        <f>VLOOKUP($A48,kurspris!$A$1:$Q$950,13,FALSE)</f>
        <v>0</v>
      </c>
      <c r="AO48" s="31">
        <f>VLOOKUP($A48,kurspris!$A$1:$Q$950,14,FALSE)</f>
        <v>0</v>
      </c>
      <c r="AP48" s="57" t="s">
        <v>2506</v>
      </c>
      <c r="AQ48"/>
      <c r="AR48" s="31">
        <f t="shared" si="4"/>
        <v>0</v>
      </c>
      <c r="AS48" s="219">
        <f t="shared" si="5"/>
        <v>0</v>
      </c>
      <c r="AT48" s="31">
        <f t="shared" si="6"/>
        <v>0</v>
      </c>
      <c r="AU48" s="219">
        <f t="shared" si="7"/>
        <v>0</v>
      </c>
      <c r="AV48" s="31">
        <f t="shared" si="8"/>
        <v>0</v>
      </c>
      <c r="AW48" s="31">
        <f t="shared" si="9"/>
        <v>0</v>
      </c>
      <c r="AX48" s="31">
        <f t="shared" si="10"/>
        <v>0</v>
      </c>
      <c r="AY48" s="219">
        <f t="shared" si="11"/>
        <v>0</v>
      </c>
      <c r="AZ48" s="196">
        <f t="shared" si="12"/>
        <v>0</v>
      </c>
      <c r="BA48" s="219">
        <f t="shared" si="13"/>
        <v>0</v>
      </c>
      <c r="BB48" s="31">
        <f t="shared" si="14"/>
        <v>6.25E-2</v>
      </c>
      <c r="BC48" s="219">
        <f t="shared" si="15"/>
        <v>5.3124999999999999E-2</v>
      </c>
      <c r="BD48" s="31">
        <f t="shared" si="16"/>
        <v>0</v>
      </c>
      <c r="BE48" s="219">
        <f t="shared" si="17"/>
        <v>0</v>
      </c>
      <c r="BF48" s="31">
        <f t="shared" si="18"/>
        <v>6.25E-2</v>
      </c>
      <c r="BG48" s="219">
        <f t="shared" si="19"/>
        <v>5.3124999999999999E-2</v>
      </c>
      <c r="BH48" s="31">
        <f t="shared" si="20"/>
        <v>0</v>
      </c>
      <c r="BI48" s="219">
        <f t="shared" si="21"/>
        <v>0</v>
      </c>
      <c r="BJ48" s="31">
        <f t="shared" si="22"/>
        <v>0</v>
      </c>
      <c r="BK48" s="219">
        <f t="shared" si="23"/>
        <v>0</v>
      </c>
      <c r="BL48" s="31">
        <f t="shared" si="24"/>
        <v>0</v>
      </c>
      <c r="BM48" s="219">
        <f t="shared" si="25"/>
        <v>0</v>
      </c>
      <c r="BN48" s="31">
        <f t="shared" si="26"/>
        <v>0</v>
      </c>
      <c r="BO48" s="219">
        <f t="shared" si="27"/>
        <v>0</v>
      </c>
    </row>
    <row r="49" spans="1:67" x14ac:dyDescent="0.25">
      <c r="A49" s="222" t="s">
        <v>1928</v>
      </c>
      <c r="B49" s="176" t="str">
        <f>VLOOKUP(A49,kurspris!$A$1:$B$992,2,FALSE)</f>
        <v>Programmeringsteknik med C och Matlab</v>
      </c>
      <c r="D49" s="60" t="s">
        <v>482</v>
      </c>
      <c r="E49" s="576" t="s">
        <v>2433</v>
      </c>
      <c r="F49" s="31" t="s">
        <v>2273</v>
      </c>
      <c r="G49" t="s">
        <v>2439</v>
      </c>
      <c r="H49" t="s">
        <v>2335</v>
      </c>
      <c r="J49" s="31" t="s">
        <v>2233</v>
      </c>
      <c r="L49" s="38">
        <v>1</v>
      </c>
      <c r="M49">
        <v>7.5</v>
      </c>
      <c r="P49" s="31">
        <v>1</v>
      </c>
      <c r="Q49" s="196">
        <f t="shared" si="29"/>
        <v>0.125</v>
      </c>
      <c r="R49" s="38">
        <v>0.85</v>
      </c>
      <c r="S49" s="280">
        <f t="shared" si="0"/>
        <v>0.10625</v>
      </c>
      <c r="T49" s="31">
        <f>VLOOKUP(A49,'Ansvar kurs'!$A$1:$C$1123,2,FALSE)</f>
        <v>5700</v>
      </c>
      <c r="U49" s="31" t="str">
        <f>VLOOKUP(T49,Orgenheter!$A$1:$C$166,2,FALSE)</f>
        <v xml:space="preserve">Inst för datavetenskap        </v>
      </c>
      <c r="V49" s="31" t="str">
        <f>VLOOKUP(T49,Orgenheter!$A$1:$C$166,3,FALSE)</f>
        <v>TekNat</v>
      </c>
      <c r="W49" s="35" t="str">
        <f>VLOOKUP(D49,Program!$A$1:$B$36,2,FALSE)</f>
        <v>Ämneslärarprogrammet - Gy</v>
      </c>
      <c r="X49" s="40">
        <f>VLOOKUP(A49,kurspris!$A$1:$Q$913,15,FALSE)</f>
        <v>20757</v>
      </c>
      <c r="Y49" s="40">
        <f>VLOOKUP(A49,kurspris!$A$1:$Q$913,16,FALSE)</f>
        <v>36082</v>
      </c>
      <c r="Z49" s="40">
        <f t="shared" si="1"/>
        <v>6428.3374999999996</v>
      </c>
      <c r="AA49" s="40">
        <f>VLOOKUP(A49,kurspris!$A$1:$Q$913,17,FALSE)</f>
        <v>22600</v>
      </c>
      <c r="AB49" s="40">
        <f t="shared" si="2"/>
        <v>2825</v>
      </c>
      <c r="AC49" s="40">
        <f t="shared" si="3"/>
        <v>9253.3374999999996</v>
      </c>
      <c r="AD49" s="31">
        <f>VLOOKUP($A49,kurspris!$A$1:$Q$950,3,FALSE)</f>
        <v>0</v>
      </c>
      <c r="AE49" s="31">
        <f>VLOOKUP($A49,kurspris!$A$1:$Q$950,4,FALSE)</f>
        <v>0</v>
      </c>
      <c r="AF49" s="31">
        <f>VLOOKUP($A49,kurspris!$A$1:$Q$950,5,FALSE)</f>
        <v>0</v>
      </c>
      <c r="AG49" s="31">
        <f>VLOOKUP($A49,kurspris!$A$1:$Q$950,6,FALSE)</f>
        <v>0</v>
      </c>
      <c r="AH49" s="31">
        <f>VLOOKUP($A49,kurspris!$A$1:$Q$950,7,FALSE)</f>
        <v>0</v>
      </c>
      <c r="AI49" s="31">
        <f>VLOOKUP($A49,kurspris!$A$1:$Q$950,8,FALSE)</f>
        <v>0.5</v>
      </c>
      <c r="AJ49" s="31">
        <f>VLOOKUP($A49,kurspris!$A$1:$Q$950,9,FALSE)</f>
        <v>0</v>
      </c>
      <c r="AK49" s="31">
        <f>VLOOKUP($A49,kurspris!$A$1:$Q$950,10,FALSE)</f>
        <v>0.5</v>
      </c>
      <c r="AL49" s="31">
        <f>VLOOKUP($A49,kurspris!$A$1:$Q$950,11,FALSE)</f>
        <v>0</v>
      </c>
      <c r="AM49" s="31">
        <f>VLOOKUP($A49,kurspris!$A$1:$Q$950,12,FALSE)</f>
        <v>0</v>
      </c>
      <c r="AN49" s="31">
        <f>VLOOKUP($A49,kurspris!$A$1:$Q$950,13,FALSE)</f>
        <v>0</v>
      </c>
      <c r="AO49" s="31">
        <f>VLOOKUP($A49,kurspris!$A$1:$Q$950,14,FALSE)</f>
        <v>0</v>
      </c>
      <c r="AP49" s="57" t="s">
        <v>2506</v>
      </c>
      <c r="AQ49"/>
      <c r="AR49" s="31">
        <f t="shared" si="4"/>
        <v>0</v>
      </c>
      <c r="AS49" s="219">
        <f t="shared" si="5"/>
        <v>0</v>
      </c>
      <c r="AT49" s="31">
        <f t="shared" si="6"/>
        <v>0</v>
      </c>
      <c r="AU49" s="219">
        <f t="shared" si="7"/>
        <v>0</v>
      </c>
      <c r="AV49" s="31">
        <f t="shared" si="8"/>
        <v>0</v>
      </c>
      <c r="AW49" s="31">
        <f t="shared" si="9"/>
        <v>0</v>
      </c>
      <c r="AX49" s="31">
        <f t="shared" si="10"/>
        <v>0</v>
      </c>
      <c r="AY49" s="219">
        <f t="shared" si="11"/>
        <v>0</v>
      </c>
      <c r="AZ49" s="196">
        <f t="shared" si="12"/>
        <v>0</v>
      </c>
      <c r="BA49" s="219">
        <f t="shared" si="13"/>
        <v>0</v>
      </c>
      <c r="BB49" s="31">
        <f t="shared" si="14"/>
        <v>6.25E-2</v>
      </c>
      <c r="BC49" s="219">
        <f t="shared" si="15"/>
        <v>5.3124999999999999E-2</v>
      </c>
      <c r="BD49" s="31">
        <f t="shared" si="16"/>
        <v>0</v>
      </c>
      <c r="BE49" s="219">
        <f t="shared" si="17"/>
        <v>0</v>
      </c>
      <c r="BF49" s="31">
        <f t="shared" si="18"/>
        <v>6.25E-2</v>
      </c>
      <c r="BG49" s="219">
        <f t="shared" si="19"/>
        <v>5.3124999999999999E-2</v>
      </c>
      <c r="BH49" s="31">
        <f t="shared" si="20"/>
        <v>0</v>
      </c>
      <c r="BI49" s="219">
        <f t="shared" si="21"/>
        <v>0</v>
      </c>
      <c r="BJ49" s="31">
        <f t="shared" si="22"/>
        <v>0</v>
      </c>
      <c r="BK49" s="219">
        <f t="shared" si="23"/>
        <v>0</v>
      </c>
      <c r="BL49" s="31">
        <f t="shared" si="24"/>
        <v>0</v>
      </c>
      <c r="BM49" s="219">
        <f t="shared" si="25"/>
        <v>0</v>
      </c>
      <c r="BN49" s="31">
        <f t="shared" si="26"/>
        <v>0</v>
      </c>
      <c r="BO49" s="219">
        <f t="shared" si="27"/>
        <v>0</v>
      </c>
    </row>
    <row r="50" spans="1:67" x14ac:dyDescent="0.25">
      <c r="A50" s="157" t="s">
        <v>1699</v>
      </c>
      <c r="B50" s="176" t="str">
        <f>VLOOKUP(A50,kurspris!$A$1:$B$992,2,FALSE)</f>
        <v>Engelska 2 för ämneslärare med inriktning mot gymnasiet</v>
      </c>
      <c r="C50" s="35"/>
      <c r="D50" s="31" t="s">
        <v>117</v>
      </c>
      <c r="F50" s="31" t="s">
        <v>2273</v>
      </c>
      <c r="I50" s="31" t="s">
        <v>2276</v>
      </c>
      <c r="L50" s="38">
        <v>1</v>
      </c>
      <c r="M50" s="325">
        <v>30</v>
      </c>
      <c r="P50" s="31">
        <v>2</v>
      </c>
      <c r="Q50" s="196">
        <f t="shared" si="29"/>
        <v>1</v>
      </c>
      <c r="R50" s="38">
        <v>0.8</v>
      </c>
      <c r="S50" s="280">
        <f t="shared" si="0"/>
        <v>0.8</v>
      </c>
      <c r="T50" s="31">
        <f>VLOOKUP(A50,'Ansvar kurs'!$A$1:$C$1123,2,FALSE)</f>
        <v>1620</v>
      </c>
      <c r="U50" s="31" t="str">
        <f>VLOOKUP(T50,Orgenheter!$A$1:$C$166,2,FALSE)</f>
        <v>Inst för språkstudier</v>
      </c>
      <c r="V50" s="31" t="str">
        <f>VLOOKUP(T50,Orgenheter!$A$1:$C$166,3,FALSE)</f>
        <v>Hum</v>
      </c>
      <c r="W50" s="35" t="str">
        <f>VLOOKUP(D50,Program!$A$1:$B$36,2,FALSE)</f>
        <v>Fristående och övriga kurser</v>
      </c>
      <c r="X50" s="40">
        <f>VLOOKUP(A50,kurspris!$A$1:$Q$913,15,FALSE)</f>
        <v>20766</v>
      </c>
      <c r="Y50" s="40">
        <f>VLOOKUP(A50,kurspris!$A$1:$Q$913,16,FALSE)</f>
        <v>17442</v>
      </c>
      <c r="Z50" s="40">
        <f t="shared" si="1"/>
        <v>34719.599999999999</v>
      </c>
      <c r="AA50" s="40">
        <f>VLOOKUP(A50,kurspris!$A$1:$Q$913,17,FALSE)</f>
        <v>6000</v>
      </c>
      <c r="AB50" s="40">
        <f t="shared" si="2"/>
        <v>6000</v>
      </c>
      <c r="AC50" s="40">
        <f t="shared" si="3"/>
        <v>40719.599999999999</v>
      </c>
      <c r="AD50" s="31">
        <f>VLOOKUP($A50,kurspris!$A$1:$Q$950,3,FALSE)</f>
        <v>0</v>
      </c>
      <c r="AE50" s="31">
        <f>VLOOKUP($A50,kurspris!$A$1:$Q$950,4,FALSE)</f>
        <v>1</v>
      </c>
      <c r="AF50" s="31">
        <f>VLOOKUP($A50,kurspris!$A$1:$Q$950,5,FALSE)</f>
        <v>0</v>
      </c>
      <c r="AG50" s="31">
        <f>VLOOKUP($A50,kurspris!$A$1:$Q$950,6,FALSE)</f>
        <v>0</v>
      </c>
      <c r="AH50" s="31">
        <f>VLOOKUP($A50,kurspris!$A$1:$Q$950,7,FALSE)</f>
        <v>0</v>
      </c>
      <c r="AI50" s="31">
        <f>VLOOKUP($A50,kurspris!$A$1:$Q$950,8,FALSE)</f>
        <v>0</v>
      </c>
      <c r="AJ50" s="31">
        <f>VLOOKUP($A50,kurspris!$A$1:$Q$950,9,FALSE)</f>
        <v>0</v>
      </c>
      <c r="AK50" s="31">
        <f>VLOOKUP($A50,kurspris!$A$1:$Q$950,10,FALSE)</f>
        <v>0</v>
      </c>
      <c r="AL50" s="31">
        <f>VLOOKUP($A50,kurspris!$A$1:$Q$950,11,FALSE)</f>
        <v>0</v>
      </c>
      <c r="AM50" s="31">
        <f>VLOOKUP($A50,kurspris!$A$1:$Q$950,12,FALSE)</f>
        <v>0</v>
      </c>
      <c r="AN50" s="31">
        <f>VLOOKUP($A50,kurspris!$A$1:$Q$950,13,FALSE)</f>
        <v>0</v>
      </c>
      <c r="AO50" s="31">
        <f>VLOOKUP($A50,kurspris!$A$1:$Q$950,14,FALSE)</f>
        <v>0</v>
      </c>
      <c r="AP50" s="57" t="s">
        <v>2267</v>
      </c>
      <c r="AQ50"/>
      <c r="AR50" s="31">
        <f t="shared" si="4"/>
        <v>0</v>
      </c>
      <c r="AS50" s="219">
        <f t="shared" si="5"/>
        <v>0</v>
      </c>
      <c r="AT50" s="31">
        <f t="shared" si="6"/>
        <v>1</v>
      </c>
      <c r="AU50" s="219">
        <f t="shared" si="7"/>
        <v>0.8</v>
      </c>
      <c r="AV50" s="31">
        <f t="shared" si="8"/>
        <v>0</v>
      </c>
      <c r="AW50" s="31">
        <f t="shared" si="9"/>
        <v>0</v>
      </c>
      <c r="AX50" s="31">
        <f t="shared" si="10"/>
        <v>0</v>
      </c>
      <c r="AY50" s="219">
        <f t="shared" si="11"/>
        <v>0</v>
      </c>
      <c r="AZ50" s="196">
        <f t="shared" si="12"/>
        <v>0</v>
      </c>
      <c r="BA50" s="219">
        <f t="shared" si="13"/>
        <v>0</v>
      </c>
      <c r="BB50" s="31">
        <f t="shared" si="14"/>
        <v>0</v>
      </c>
      <c r="BC50" s="219">
        <f t="shared" si="15"/>
        <v>0</v>
      </c>
      <c r="BD50" s="31">
        <f t="shared" si="16"/>
        <v>0</v>
      </c>
      <c r="BE50" s="219">
        <f t="shared" si="17"/>
        <v>0</v>
      </c>
      <c r="BF50" s="31">
        <f t="shared" si="18"/>
        <v>0</v>
      </c>
      <c r="BG50" s="219">
        <f t="shared" si="19"/>
        <v>0</v>
      </c>
      <c r="BH50" s="31">
        <f t="shared" si="20"/>
        <v>0</v>
      </c>
      <c r="BI50" s="219">
        <f t="shared" si="21"/>
        <v>0</v>
      </c>
      <c r="BJ50" s="31">
        <f t="shared" si="22"/>
        <v>0</v>
      </c>
      <c r="BK50" s="219">
        <f t="shared" si="23"/>
        <v>0</v>
      </c>
      <c r="BL50" s="31">
        <f t="shared" si="24"/>
        <v>0</v>
      </c>
      <c r="BM50" s="219">
        <f t="shared" si="25"/>
        <v>0</v>
      </c>
      <c r="BN50" s="31">
        <f t="shared" si="26"/>
        <v>0</v>
      </c>
      <c r="BO50" s="219">
        <f t="shared" si="27"/>
        <v>0</v>
      </c>
    </row>
    <row r="51" spans="1:67" x14ac:dyDescent="0.25">
      <c r="A51" s="31" t="s">
        <v>1699</v>
      </c>
      <c r="B51" s="176" t="str">
        <f>VLOOKUP(A51,kurspris!$A$1:$B$992,2,FALSE)</f>
        <v>Engelska 2 för ämneslärare med inriktning mot gymnasiet</v>
      </c>
      <c r="D51" s="60" t="s">
        <v>482</v>
      </c>
      <c r="E51" s="576" t="s">
        <v>2429</v>
      </c>
      <c r="F51" s="31" t="s">
        <v>2273</v>
      </c>
      <c r="G51" t="s">
        <v>2458</v>
      </c>
      <c r="H51" t="s">
        <v>2335</v>
      </c>
      <c r="J51" s="31" t="s">
        <v>2236</v>
      </c>
      <c r="L51" s="38">
        <v>1</v>
      </c>
      <c r="M51">
        <v>30</v>
      </c>
      <c r="P51" s="31">
        <v>1</v>
      </c>
      <c r="Q51" s="196">
        <f t="shared" si="29"/>
        <v>0.5</v>
      </c>
      <c r="R51" s="38">
        <v>0.85</v>
      </c>
      <c r="S51" s="280">
        <f t="shared" si="0"/>
        <v>0.42499999999999999</v>
      </c>
      <c r="T51" s="31">
        <f>VLOOKUP(A51,'Ansvar kurs'!$A$1:$C$1123,2,FALSE)</f>
        <v>1620</v>
      </c>
      <c r="U51" s="31" t="str">
        <f>VLOOKUP(T51,Orgenheter!$A$1:$C$166,2,FALSE)</f>
        <v>Inst för språkstudier</v>
      </c>
      <c r="V51" s="31" t="str">
        <f>VLOOKUP(T51,Orgenheter!$A$1:$C$166,3,FALSE)</f>
        <v>Hum</v>
      </c>
      <c r="W51" s="35" t="str">
        <f>VLOOKUP(D51,Program!$A$1:$B$36,2,FALSE)</f>
        <v>Ämneslärarprogrammet - Gy</v>
      </c>
      <c r="X51" s="40">
        <f>VLOOKUP(A51,kurspris!$A$1:$Q$913,15,FALSE)</f>
        <v>20766</v>
      </c>
      <c r="Y51" s="40">
        <f>VLOOKUP(A51,kurspris!$A$1:$Q$913,16,FALSE)</f>
        <v>17442</v>
      </c>
      <c r="Z51" s="40">
        <f t="shared" si="1"/>
        <v>17795.849999999999</v>
      </c>
      <c r="AA51" s="40">
        <f>VLOOKUP(A51,kurspris!$A$1:$Q$913,17,FALSE)</f>
        <v>6000</v>
      </c>
      <c r="AB51" s="40">
        <f t="shared" si="2"/>
        <v>3000</v>
      </c>
      <c r="AC51" s="40">
        <f t="shared" si="3"/>
        <v>20795.849999999999</v>
      </c>
      <c r="AD51" s="31">
        <f>VLOOKUP($A51,kurspris!$A$1:$Q$950,3,FALSE)</f>
        <v>0</v>
      </c>
      <c r="AE51" s="31">
        <f>VLOOKUP($A51,kurspris!$A$1:$Q$950,4,FALSE)</f>
        <v>1</v>
      </c>
      <c r="AF51" s="31">
        <f>VLOOKUP($A51,kurspris!$A$1:$Q$950,5,FALSE)</f>
        <v>0</v>
      </c>
      <c r="AG51" s="31">
        <f>VLOOKUP($A51,kurspris!$A$1:$Q$950,6,FALSE)</f>
        <v>0</v>
      </c>
      <c r="AH51" s="31">
        <f>VLOOKUP($A51,kurspris!$A$1:$Q$950,7,FALSE)</f>
        <v>0</v>
      </c>
      <c r="AI51" s="31">
        <f>VLOOKUP($A51,kurspris!$A$1:$Q$950,8,FALSE)</f>
        <v>0</v>
      </c>
      <c r="AJ51" s="31">
        <f>VLOOKUP($A51,kurspris!$A$1:$Q$950,9,FALSE)</f>
        <v>0</v>
      </c>
      <c r="AK51" s="31">
        <f>VLOOKUP($A51,kurspris!$A$1:$Q$950,10,FALSE)</f>
        <v>0</v>
      </c>
      <c r="AL51" s="31">
        <f>VLOOKUP($A51,kurspris!$A$1:$Q$950,11,FALSE)</f>
        <v>0</v>
      </c>
      <c r="AM51" s="31">
        <f>VLOOKUP($A51,kurspris!$A$1:$Q$950,12,FALSE)</f>
        <v>0</v>
      </c>
      <c r="AN51" s="31">
        <f>VLOOKUP($A51,kurspris!$A$1:$Q$950,13,FALSE)</f>
        <v>0</v>
      </c>
      <c r="AO51" s="31">
        <f>VLOOKUP($A51,kurspris!$A$1:$Q$950,14,FALSE)</f>
        <v>0</v>
      </c>
      <c r="AP51" s="57" t="s">
        <v>2506</v>
      </c>
      <c r="AQ51"/>
      <c r="AR51" s="31">
        <f t="shared" si="4"/>
        <v>0</v>
      </c>
      <c r="AS51" s="219">
        <f t="shared" si="5"/>
        <v>0</v>
      </c>
      <c r="AT51" s="31">
        <f t="shared" si="6"/>
        <v>0.5</v>
      </c>
      <c r="AU51" s="219">
        <f t="shared" si="7"/>
        <v>0.42499999999999999</v>
      </c>
      <c r="AV51" s="31">
        <f t="shared" si="8"/>
        <v>0</v>
      </c>
      <c r="AW51" s="31">
        <f t="shared" si="9"/>
        <v>0</v>
      </c>
      <c r="AX51" s="31">
        <f t="shared" si="10"/>
        <v>0</v>
      </c>
      <c r="AY51" s="219">
        <f t="shared" si="11"/>
        <v>0</v>
      </c>
      <c r="AZ51" s="196">
        <f t="shared" si="12"/>
        <v>0</v>
      </c>
      <c r="BA51" s="219">
        <f t="shared" si="13"/>
        <v>0</v>
      </c>
      <c r="BB51" s="31">
        <f t="shared" si="14"/>
        <v>0</v>
      </c>
      <c r="BC51" s="219">
        <f t="shared" si="15"/>
        <v>0</v>
      </c>
      <c r="BD51" s="31">
        <f t="shared" si="16"/>
        <v>0</v>
      </c>
      <c r="BE51" s="219">
        <f t="shared" si="17"/>
        <v>0</v>
      </c>
      <c r="BF51" s="31">
        <f t="shared" si="18"/>
        <v>0</v>
      </c>
      <c r="BG51" s="219">
        <f t="shared" si="19"/>
        <v>0</v>
      </c>
      <c r="BH51" s="31">
        <f t="shared" si="20"/>
        <v>0</v>
      </c>
      <c r="BI51" s="219">
        <f t="shared" si="21"/>
        <v>0</v>
      </c>
      <c r="BJ51" s="31">
        <f t="shared" si="22"/>
        <v>0</v>
      </c>
      <c r="BK51" s="219">
        <f t="shared" si="23"/>
        <v>0</v>
      </c>
      <c r="BL51" s="31">
        <f t="shared" si="24"/>
        <v>0</v>
      </c>
      <c r="BM51" s="219">
        <f t="shared" si="25"/>
        <v>0</v>
      </c>
      <c r="BN51" s="31">
        <f t="shared" si="26"/>
        <v>0</v>
      </c>
      <c r="BO51" s="219">
        <f t="shared" si="27"/>
        <v>0</v>
      </c>
    </row>
    <row r="52" spans="1:67" x14ac:dyDescent="0.25">
      <c r="A52" s="31" t="s">
        <v>1699</v>
      </c>
      <c r="B52" s="176" t="str">
        <f>VLOOKUP(A52,kurspris!$A$1:$B$992,2,FALSE)</f>
        <v>Engelska 2 för ämneslärare med inriktning mot gymnasiet</v>
      </c>
      <c r="D52" s="60" t="s">
        <v>482</v>
      </c>
      <c r="E52" s="576" t="s">
        <v>2225</v>
      </c>
      <c r="F52" s="31" t="s">
        <v>2273</v>
      </c>
      <c r="G52" t="s">
        <v>2458</v>
      </c>
      <c r="H52" t="s">
        <v>2335</v>
      </c>
      <c r="J52" s="31" t="s">
        <v>2237</v>
      </c>
      <c r="L52" s="38">
        <v>1</v>
      </c>
      <c r="M52">
        <v>30</v>
      </c>
      <c r="P52" s="31">
        <v>1</v>
      </c>
      <c r="Q52" s="196">
        <f t="shared" si="29"/>
        <v>0.5</v>
      </c>
      <c r="R52" s="38">
        <v>0.85</v>
      </c>
      <c r="S52" s="280">
        <f t="shared" si="0"/>
        <v>0.42499999999999999</v>
      </c>
      <c r="T52" s="31">
        <f>VLOOKUP(A52,'Ansvar kurs'!$A$1:$C$1123,2,FALSE)</f>
        <v>1620</v>
      </c>
      <c r="U52" s="31" t="str">
        <f>VLOOKUP(T52,Orgenheter!$A$1:$C$166,2,FALSE)</f>
        <v>Inst för språkstudier</v>
      </c>
      <c r="V52" s="31" t="str">
        <f>VLOOKUP(T52,Orgenheter!$A$1:$C$166,3,FALSE)</f>
        <v>Hum</v>
      </c>
      <c r="W52" s="35" t="str">
        <f>VLOOKUP(D52,Program!$A$1:$B$36,2,FALSE)</f>
        <v>Ämneslärarprogrammet - Gy</v>
      </c>
      <c r="X52" s="40">
        <f>VLOOKUP(A52,kurspris!$A$1:$Q$913,15,FALSE)</f>
        <v>20766</v>
      </c>
      <c r="Y52" s="40">
        <f>VLOOKUP(A52,kurspris!$A$1:$Q$913,16,FALSE)</f>
        <v>17442</v>
      </c>
      <c r="Z52" s="40">
        <f t="shared" si="1"/>
        <v>17795.849999999999</v>
      </c>
      <c r="AA52" s="40">
        <f>VLOOKUP(A52,kurspris!$A$1:$Q$913,17,FALSE)</f>
        <v>6000</v>
      </c>
      <c r="AB52" s="40">
        <f t="shared" si="2"/>
        <v>3000</v>
      </c>
      <c r="AC52" s="40">
        <f t="shared" si="3"/>
        <v>20795.849999999999</v>
      </c>
      <c r="AD52" s="31">
        <f>VLOOKUP($A52,kurspris!$A$1:$Q$950,3,FALSE)</f>
        <v>0</v>
      </c>
      <c r="AE52" s="31">
        <f>VLOOKUP($A52,kurspris!$A$1:$Q$950,4,FALSE)</f>
        <v>1</v>
      </c>
      <c r="AF52" s="31">
        <f>VLOOKUP($A52,kurspris!$A$1:$Q$950,5,FALSE)</f>
        <v>0</v>
      </c>
      <c r="AG52" s="31">
        <f>VLOOKUP($A52,kurspris!$A$1:$Q$950,6,FALSE)</f>
        <v>0</v>
      </c>
      <c r="AH52" s="31">
        <f>VLOOKUP($A52,kurspris!$A$1:$Q$950,7,FALSE)</f>
        <v>0</v>
      </c>
      <c r="AI52" s="31">
        <f>VLOOKUP($A52,kurspris!$A$1:$Q$950,8,FALSE)</f>
        <v>0</v>
      </c>
      <c r="AJ52" s="31">
        <f>VLOOKUP($A52,kurspris!$A$1:$Q$950,9,FALSE)</f>
        <v>0</v>
      </c>
      <c r="AK52" s="31">
        <f>VLOOKUP($A52,kurspris!$A$1:$Q$950,10,FALSE)</f>
        <v>0</v>
      </c>
      <c r="AL52" s="31">
        <f>VLOOKUP($A52,kurspris!$A$1:$Q$950,11,FALSE)</f>
        <v>0</v>
      </c>
      <c r="AM52" s="31">
        <f>VLOOKUP($A52,kurspris!$A$1:$Q$950,12,FALSE)</f>
        <v>0</v>
      </c>
      <c r="AN52" s="31">
        <f>VLOOKUP($A52,kurspris!$A$1:$Q$950,13,FALSE)</f>
        <v>0</v>
      </c>
      <c r="AO52" s="31">
        <f>VLOOKUP($A52,kurspris!$A$1:$Q$950,14,FALSE)</f>
        <v>0</v>
      </c>
      <c r="AP52" s="57" t="s">
        <v>2506</v>
      </c>
      <c r="AQ52"/>
      <c r="AR52" s="31">
        <f t="shared" si="4"/>
        <v>0</v>
      </c>
      <c r="AS52" s="219">
        <f t="shared" si="5"/>
        <v>0</v>
      </c>
      <c r="AT52" s="31">
        <f t="shared" si="6"/>
        <v>0.5</v>
      </c>
      <c r="AU52" s="219">
        <f t="shared" si="7"/>
        <v>0.42499999999999999</v>
      </c>
      <c r="AV52" s="31">
        <f t="shared" si="8"/>
        <v>0</v>
      </c>
      <c r="AW52" s="31">
        <f t="shared" si="9"/>
        <v>0</v>
      </c>
      <c r="AX52" s="31">
        <f t="shared" si="10"/>
        <v>0</v>
      </c>
      <c r="AY52" s="219">
        <f t="shared" si="11"/>
        <v>0</v>
      </c>
      <c r="AZ52" s="196">
        <f t="shared" si="12"/>
        <v>0</v>
      </c>
      <c r="BA52" s="219">
        <f t="shared" si="13"/>
        <v>0</v>
      </c>
      <c r="BB52" s="31">
        <f t="shared" si="14"/>
        <v>0</v>
      </c>
      <c r="BC52" s="219">
        <f t="shared" si="15"/>
        <v>0</v>
      </c>
      <c r="BD52" s="31">
        <f t="shared" si="16"/>
        <v>0</v>
      </c>
      <c r="BE52" s="219">
        <f t="shared" si="17"/>
        <v>0</v>
      </c>
      <c r="BF52" s="31">
        <f t="shared" si="18"/>
        <v>0</v>
      </c>
      <c r="BG52" s="219">
        <f t="shared" si="19"/>
        <v>0</v>
      </c>
      <c r="BH52" s="31">
        <f t="shared" si="20"/>
        <v>0</v>
      </c>
      <c r="BI52" s="219">
        <f t="shared" si="21"/>
        <v>0</v>
      </c>
      <c r="BJ52" s="31">
        <f t="shared" si="22"/>
        <v>0</v>
      </c>
      <c r="BK52" s="219">
        <f t="shared" si="23"/>
        <v>0</v>
      </c>
      <c r="BL52" s="31">
        <f t="shared" si="24"/>
        <v>0</v>
      </c>
      <c r="BM52" s="219">
        <f t="shared" si="25"/>
        <v>0</v>
      </c>
      <c r="BN52" s="31">
        <f t="shared" si="26"/>
        <v>0</v>
      </c>
      <c r="BO52" s="219">
        <f t="shared" si="27"/>
        <v>0</v>
      </c>
    </row>
    <row r="53" spans="1:67" x14ac:dyDescent="0.25">
      <c r="A53" s="31" t="s">
        <v>1699</v>
      </c>
      <c r="B53" s="176" t="str">
        <f>VLOOKUP(A53,kurspris!$A$1:$B$992,2,FALSE)</f>
        <v>Engelska 2 för ämneslärare med inriktning mot gymnasiet</v>
      </c>
      <c r="D53" s="60" t="s">
        <v>482</v>
      </c>
      <c r="E53" s="576" t="s">
        <v>2225</v>
      </c>
      <c r="F53" s="31" t="s">
        <v>2273</v>
      </c>
      <c r="G53" t="s">
        <v>2458</v>
      </c>
      <c r="H53" t="s">
        <v>2335</v>
      </c>
      <c r="J53" s="31" t="s">
        <v>2231</v>
      </c>
      <c r="L53" s="38">
        <v>1</v>
      </c>
      <c r="M53">
        <v>30</v>
      </c>
      <c r="P53" s="31">
        <v>1</v>
      </c>
      <c r="Q53" s="196">
        <f t="shared" si="29"/>
        <v>0.5</v>
      </c>
      <c r="R53" s="38">
        <v>0.85</v>
      </c>
      <c r="S53" s="280">
        <f t="shared" si="0"/>
        <v>0.42499999999999999</v>
      </c>
      <c r="T53" s="31">
        <f>VLOOKUP(A53,'Ansvar kurs'!$A$1:$C$1123,2,FALSE)</f>
        <v>1620</v>
      </c>
      <c r="U53" s="31" t="str">
        <f>VLOOKUP(T53,Orgenheter!$A$1:$C$166,2,FALSE)</f>
        <v>Inst för språkstudier</v>
      </c>
      <c r="V53" s="31" t="str">
        <f>VLOOKUP(T53,Orgenheter!$A$1:$C$166,3,FALSE)</f>
        <v>Hum</v>
      </c>
      <c r="W53" s="35" t="str">
        <f>VLOOKUP(D53,Program!$A$1:$B$36,2,FALSE)</f>
        <v>Ämneslärarprogrammet - Gy</v>
      </c>
      <c r="X53" s="40">
        <f>VLOOKUP(A53,kurspris!$A$1:$Q$913,15,FALSE)</f>
        <v>20766</v>
      </c>
      <c r="Y53" s="40">
        <f>VLOOKUP(A53,kurspris!$A$1:$Q$913,16,FALSE)</f>
        <v>17442</v>
      </c>
      <c r="Z53" s="40">
        <f t="shared" si="1"/>
        <v>17795.849999999999</v>
      </c>
      <c r="AA53" s="40">
        <f>VLOOKUP(A53,kurspris!$A$1:$Q$913,17,FALSE)</f>
        <v>6000</v>
      </c>
      <c r="AB53" s="40">
        <f t="shared" si="2"/>
        <v>3000</v>
      </c>
      <c r="AC53" s="40">
        <f t="shared" si="3"/>
        <v>20795.849999999999</v>
      </c>
      <c r="AD53" s="31">
        <f>VLOOKUP($A53,kurspris!$A$1:$Q$950,3,FALSE)</f>
        <v>0</v>
      </c>
      <c r="AE53" s="31">
        <f>VLOOKUP($A53,kurspris!$A$1:$Q$950,4,FALSE)</f>
        <v>1</v>
      </c>
      <c r="AF53" s="31">
        <f>VLOOKUP($A53,kurspris!$A$1:$Q$950,5,FALSE)</f>
        <v>0</v>
      </c>
      <c r="AG53" s="31">
        <f>VLOOKUP($A53,kurspris!$A$1:$Q$950,6,FALSE)</f>
        <v>0</v>
      </c>
      <c r="AH53" s="31">
        <f>VLOOKUP($A53,kurspris!$A$1:$Q$950,7,FALSE)</f>
        <v>0</v>
      </c>
      <c r="AI53" s="31">
        <f>VLOOKUP($A53,kurspris!$A$1:$Q$950,8,FALSE)</f>
        <v>0</v>
      </c>
      <c r="AJ53" s="31">
        <f>VLOOKUP($A53,kurspris!$A$1:$Q$950,9,FALSE)</f>
        <v>0</v>
      </c>
      <c r="AK53" s="31">
        <f>VLOOKUP($A53,kurspris!$A$1:$Q$950,10,FALSE)</f>
        <v>0</v>
      </c>
      <c r="AL53" s="31">
        <f>VLOOKUP($A53,kurspris!$A$1:$Q$950,11,FALSE)</f>
        <v>0</v>
      </c>
      <c r="AM53" s="31">
        <f>VLOOKUP($A53,kurspris!$A$1:$Q$950,12,FALSE)</f>
        <v>0</v>
      </c>
      <c r="AN53" s="31">
        <f>VLOOKUP($A53,kurspris!$A$1:$Q$950,13,FALSE)</f>
        <v>0</v>
      </c>
      <c r="AO53" s="31">
        <f>VLOOKUP($A53,kurspris!$A$1:$Q$950,14,FALSE)</f>
        <v>0</v>
      </c>
      <c r="AP53" s="57" t="s">
        <v>2506</v>
      </c>
      <c r="AQ53"/>
      <c r="AR53" s="31">
        <f t="shared" si="4"/>
        <v>0</v>
      </c>
      <c r="AS53" s="219">
        <f t="shared" si="5"/>
        <v>0</v>
      </c>
      <c r="AT53" s="31">
        <f t="shared" si="6"/>
        <v>0.5</v>
      </c>
      <c r="AU53" s="219">
        <f t="shared" si="7"/>
        <v>0.42499999999999999</v>
      </c>
      <c r="AV53" s="31">
        <f t="shared" si="8"/>
        <v>0</v>
      </c>
      <c r="AW53" s="31">
        <f t="shared" si="9"/>
        <v>0</v>
      </c>
      <c r="AX53" s="31">
        <f t="shared" si="10"/>
        <v>0</v>
      </c>
      <c r="AY53" s="219">
        <f t="shared" si="11"/>
        <v>0</v>
      </c>
      <c r="AZ53" s="196">
        <f t="shared" si="12"/>
        <v>0</v>
      </c>
      <c r="BA53" s="219">
        <f t="shared" si="13"/>
        <v>0</v>
      </c>
      <c r="BB53" s="31">
        <f t="shared" si="14"/>
        <v>0</v>
      </c>
      <c r="BC53" s="219">
        <f t="shared" si="15"/>
        <v>0</v>
      </c>
      <c r="BD53" s="31">
        <f t="shared" si="16"/>
        <v>0</v>
      </c>
      <c r="BE53" s="219">
        <f t="shared" si="17"/>
        <v>0</v>
      </c>
      <c r="BF53" s="31">
        <f t="shared" si="18"/>
        <v>0</v>
      </c>
      <c r="BG53" s="219">
        <f t="shared" si="19"/>
        <v>0</v>
      </c>
      <c r="BH53" s="31">
        <f t="shared" si="20"/>
        <v>0</v>
      </c>
      <c r="BI53" s="219">
        <f t="shared" si="21"/>
        <v>0</v>
      </c>
      <c r="BJ53" s="31">
        <f t="shared" si="22"/>
        <v>0</v>
      </c>
      <c r="BK53" s="219">
        <f t="shared" si="23"/>
        <v>0</v>
      </c>
      <c r="BL53" s="31">
        <f t="shared" si="24"/>
        <v>0</v>
      </c>
      <c r="BM53" s="219">
        <f t="shared" si="25"/>
        <v>0</v>
      </c>
      <c r="BN53" s="31">
        <f t="shared" si="26"/>
        <v>0</v>
      </c>
      <c r="BO53" s="219">
        <f t="shared" si="27"/>
        <v>0</v>
      </c>
    </row>
    <row r="54" spans="1:67" x14ac:dyDescent="0.25">
      <c r="A54" s="31" t="s">
        <v>1699</v>
      </c>
      <c r="B54" s="176" t="str">
        <f>VLOOKUP(A54,kurspris!$A$1:$B$992,2,FALSE)</f>
        <v>Engelska 2 för ämneslärare med inriktning mot gymnasiet</v>
      </c>
      <c r="D54" s="60" t="s">
        <v>482</v>
      </c>
      <c r="E54" s="576" t="s">
        <v>2225</v>
      </c>
      <c r="F54" s="31" t="s">
        <v>2273</v>
      </c>
      <c r="G54" t="s">
        <v>2458</v>
      </c>
      <c r="H54" t="s">
        <v>2335</v>
      </c>
      <c r="J54" s="31" t="s">
        <v>2238</v>
      </c>
      <c r="L54" s="38">
        <v>1</v>
      </c>
      <c r="M54">
        <v>30</v>
      </c>
      <c r="P54" s="31">
        <v>1</v>
      </c>
      <c r="Q54" s="196">
        <f t="shared" si="29"/>
        <v>0.5</v>
      </c>
      <c r="R54" s="38">
        <v>0.85</v>
      </c>
      <c r="S54" s="280">
        <f t="shared" si="0"/>
        <v>0.42499999999999999</v>
      </c>
      <c r="T54" s="31">
        <f>VLOOKUP(A54,'Ansvar kurs'!$A$1:$C$1123,2,FALSE)</f>
        <v>1620</v>
      </c>
      <c r="U54" s="31" t="str">
        <f>VLOOKUP(T54,Orgenheter!$A$1:$C$166,2,FALSE)</f>
        <v>Inst för språkstudier</v>
      </c>
      <c r="V54" s="31" t="str">
        <f>VLOOKUP(T54,Orgenheter!$A$1:$C$166,3,FALSE)</f>
        <v>Hum</v>
      </c>
      <c r="W54" s="35" t="str">
        <f>VLOOKUP(D54,Program!$A$1:$B$36,2,FALSE)</f>
        <v>Ämneslärarprogrammet - Gy</v>
      </c>
      <c r="X54" s="40">
        <f>VLOOKUP(A54,kurspris!$A$1:$Q$913,15,FALSE)</f>
        <v>20766</v>
      </c>
      <c r="Y54" s="40">
        <f>VLOOKUP(A54,kurspris!$A$1:$Q$913,16,FALSE)</f>
        <v>17442</v>
      </c>
      <c r="Z54" s="40">
        <f t="shared" si="1"/>
        <v>17795.849999999999</v>
      </c>
      <c r="AA54" s="40">
        <f>VLOOKUP(A54,kurspris!$A$1:$Q$913,17,FALSE)</f>
        <v>6000</v>
      </c>
      <c r="AB54" s="40">
        <f t="shared" si="2"/>
        <v>3000</v>
      </c>
      <c r="AC54" s="40">
        <f t="shared" si="3"/>
        <v>20795.849999999999</v>
      </c>
      <c r="AD54" s="31">
        <f>VLOOKUP($A54,kurspris!$A$1:$Q$950,3,FALSE)</f>
        <v>0</v>
      </c>
      <c r="AE54" s="31">
        <f>VLOOKUP($A54,kurspris!$A$1:$Q$950,4,FALSE)</f>
        <v>1</v>
      </c>
      <c r="AF54" s="31">
        <f>VLOOKUP($A54,kurspris!$A$1:$Q$950,5,FALSE)</f>
        <v>0</v>
      </c>
      <c r="AG54" s="31">
        <f>VLOOKUP($A54,kurspris!$A$1:$Q$950,6,FALSE)</f>
        <v>0</v>
      </c>
      <c r="AH54" s="31">
        <f>VLOOKUP($A54,kurspris!$A$1:$Q$950,7,FALSE)</f>
        <v>0</v>
      </c>
      <c r="AI54" s="31">
        <f>VLOOKUP($A54,kurspris!$A$1:$Q$950,8,FALSE)</f>
        <v>0</v>
      </c>
      <c r="AJ54" s="31">
        <f>VLOOKUP($A54,kurspris!$A$1:$Q$950,9,FALSE)</f>
        <v>0</v>
      </c>
      <c r="AK54" s="31">
        <f>VLOOKUP($A54,kurspris!$A$1:$Q$950,10,FALSE)</f>
        <v>0</v>
      </c>
      <c r="AL54" s="31">
        <f>VLOOKUP($A54,kurspris!$A$1:$Q$950,11,FALSE)</f>
        <v>0</v>
      </c>
      <c r="AM54" s="31">
        <f>VLOOKUP($A54,kurspris!$A$1:$Q$950,12,FALSE)</f>
        <v>0</v>
      </c>
      <c r="AN54" s="31">
        <f>VLOOKUP($A54,kurspris!$A$1:$Q$950,13,FALSE)</f>
        <v>0</v>
      </c>
      <c r="AO54" s="31">
        <f>VLOOKUP($A54,kurspris!$A$1:$Q$950,14,FALSE)</f>
        <v>0</v>
      </c>
      <c r="AP54" s="57" t="s">
        <v>2506</v>
      </c>
      <c r="AQ54"/>
      <c r="AR54" s="31">
        <f t="shared" si="4"/>
        <v>0</v>
      </c>
      <c r="AS54" s="219">
        <f t="shared" si="5"/>
        <v>0</v>
      </c>
      <c r="AT54" s="31">
        <f t="shared" si="6"/>
        <v>0.5</v>
      </c>
      <c r="AU54" s="219">
        <f t="shared" si="7"/>
        <v>0.42499999999999999</v>
      </c>
      <c r="AV54" s="31">
        <f t="shared" si="8"/>
        <v>0</v>
      </c>
      <c r="AW54" s="31">
        <f t="shared" si="9"/>
        <v>0</v>
      </c>
      <c r="AX54" s="31">
        <f t="shared" si="10"/>
        <v>0</v>
      </c>
      <c r="AY54" s="219">
        <f t="shared" si="11"/>
        <v>0</v>
      </c>
      <c r="AZ54" s="196">
        <f t="shared" si="12"/>
        <v>0</v>
      </c>
      <c r="BA54" s="219">
        <f t="shared" si="13"/>
        <v>0</v>
      </c>
      <c r="BB54" s="31">
        <f t="shared" si="14"/>
        <v>0</v>
      </c>
      <c r="BC54" s="219">
        <f t="shared" si="15"/>
        <v>0</v>
      </c>
      <c r="BD54" s="31">
        <f t="shared" si="16"/>
        <v>0</v>
      </c>
      <c r="BE54" s="219">
        <f t="shared" si="17"/>
        <v>0</v>
      </c>
      <c r="BF54" s="31">
        <f t="shared" si="18"/>
        <v>0</v>
      </c>
      <c r="BG54" s="219">
        <f t="shared" si="19"/>
        <v>0</v>
      </c>
      <c r="BH54" s="31">
        <f t="shared" si="20"/>
        <v>0</v>
      </c>
      <c r="BI54" s="219">
        <f t="shared" si="21"/>
        <v>0</v>
      </c>
      <c r="BJ54" s="31">
        <f t="shared" si="22"/>
        <v>0</v>
      </c>
      <c r="BK54" s="219">
        <f t="shared" si="23"/>
        <v>0</v>
      </c>
      <c r="BL54" s="31">
        <f t="shared" si="24"/>
        <v>0</v>
      </c>
      <c r="BM54" s="219">
        <f t="shared" si="25"/>
        <v>0</v>
      </c>
      <c r="BN54" s="31">
        <f t="shared" si="26"/>
        <v>0</v>
      </c>
      <c r="BO54" s="219">
        <f t="shared" si="27"/>
        <v>0</v>
      </c>
    </row>
    <row r="55" spans="1:67" x14ac:dyDescent="0.25">
      <c r="A55" s="31" t="s">
        <v>1699</v>
      </c>
      <c r="B55" s="176" t="str">
        <f>VLOOKUP(A55,kurspris!$A$1:$B$992,2,FALSE)</f>
        <v>Engelska 2 för ämneslärare med inriktning mot gymnasiet</v>
      </c>
      <c r="D55" s="60" t="s">
        <v>482</v>
      </c>
      <c r="E55" s="576" t="s">
        <v>2225</v>
      </c>
      <c r="F55" s="31" t="s">
        <v>2273</v>
      </c>
      <c r="G55" t="s">
        <v>2458</v>
      </c>
      <c r="H55" t="s">
        <v>2335</v>
      </c>
      <c r="J55" s="31" t="s">
        <v>2232</v>
      </c>
      <c r="L55" s="38">
        <v>1</v>
      </c>
      <c r="M55">
        <v>30</v>
      </c>
      <c r="P55" s="31">
        <v>3</v>
      </c>
      <c r="Q55" s="196">
        <f t="shared" si="29"/>
        <v>1.5</v>
      </c>
      <c r="R55" s="38">
        <v>0.85</v>
      </c>
      <c r="S55" s="280">
        <f t="shared" si="0"/>
        <v>1.2749999999999999</v>
      </c>
      <c r="T55" s="31">
        <f>VLOOKUP(A55,'Ansvar kurs'!$A$1:$C$1123,2,FALSE)</f>
        <v>1620</v>
      </c>
      <c r="U55" s="31" t="str">
        <f>VLOOKUP(T55,Orgenheter!$A$1:$C$166,2,FALSE)</f>
        <v>Inst för språkstudier</v>
      </c>
      <c r="V55" s="31" t="str">
        <f>VLOOKUP(T55,Orgenheter!$A$1:$C$166,3,FALSE)</f>
        <v>Hum</v>
      </c>
      <c r="W55" s="35" t="str">
        <f>VLOOKUP(D55,Program!$A$1:$B$36,2,FALSE)</f>
        <v>Ämneslärarprogrammet - Gy</v>
      </c>
      <c r="X55" s="40">
        <f>VLOOKUP(A55,kurspris!$A$1:$Q$913,15,FALSE)</f>
        <v>20766</v>
      </c>
      <c r="Y55" s="40">
        <f>VLOOKUP(A55,kurspris!$A$1:$Q$913,16,FALSE)</f>
        <v>17442</v>
      </c>
      <c r="Z55" s="40">
        <f t="shared" si="1"/>
        <v>53387.55</v>
      </c>
      <c r="AA55" s="40">
        <f>VLOOKUP(A55,kurspris!$A$1:$Q$913,17,FALSE)</f>
        <v>6000</v>
      </c>
      <c r="AB55" s="40">
        <f t="shared" si="2"/>
        <v>9000</v>
      </c>
      <c r="AC55" s="40">
        <f t="shared" si="3"/>
        <v>62387.55</v>
      </c>
      <c r="AD55" s="31">
        <f>VLOOKUP($A55,kurspris!$A$1:$Q$950,3,FALSE)</f>
        <v>0</v>
      </c>
      <c r="AE55" s="31">
        <f>VLOOKUP($A55,kurspris!$A$1:$Q$950,4,FALSE)</f>
        <v>1</v>
      </c>
      <c r="AF55" s="31">
        <f>VLOOKUP($A55,kurspris!$A$1:$Q$950,5,FALSE)</f>
        <v>0</v>
      </c>
      <c r="AG55" s="31">
        <f>VLOOKUP($A55,kurspris!$A$1:$Q$950,6,FALSE)</f>
        <v>0</v>
      </c>
      <c r="AH55" s="31">
        <f>VLOOKUP($A55,kurspris!$A$1:$Q$950,7,FALSE)</f>
        <v>0</v>
      </c>
      <c r="AI55" s="31">
        <f>VLOOKUP($A55,kurspris!$A$1:$Q$950,8,FALSE)</f>
        <v>0</v>
      </c>
      <c r="AJ55" s="31">
        <f>VLOOKUP($A55,kurspris!$A$1:$Q$950,9,FALSE)</f>
        <v>0</v>
      </c>
      <c r="AK55" s="31">
        <f>VLOOKUP($A55,kurspris!$A$1:$Q$950,10,FALSE)</f>
        <v>0</v>
      </c>
      <c r="AL55" s="31">
        <f>VLOOKUP($A55,kurspris!$A$1:$Q$950,11,FALSE)</f>
        <v>0</v>
      </c>
      <c r="AM55" s="31">
        <f>VLOOKUP($A55,kurspris!$A$1:$Q$950,12,FALSE)</f>
        <v>0</v>
      </c>
      <c r="AN55" s="31">
        <f>VLOOKUP($A55,kurspris!$A$1:$Q$950,13,FALSE)</f>
        <v>0</v>
      </c>
      <c r="AO55" s="31">
        <f>VLOOKUP($A55,kurspris!$A$1:$Q$950,14,FALSE)</f>
        <v>0</v>
      </c>
      <c r="AP55" s="57" t="s">
        <v>2506</v>
      </c>
      <c r="AQ55"/>
      <c r="AR55" s="31">
        <f t="shared" si="4"/>
        <v>0</v>
      </c>
      <c r="AS55" s="219">
        <f t="shared" si="5"/>
        <v>0</v>
      </c>
      <c r="AT55" s="31">
        <f t="shared" si="6"/>
        <v>1.5</v>
      </c>
      <c r="AU55" s="219">
        <f t="shared" si="7"/>
        <v>1.2749999999999999</v>
      </c>
      <c r="AV55" s="31">
        <f t="shared" si="8"/>
        <v>0</v>
      </c>
      <c r="AW55" s="31">
        <f t="shared" si="9"/>
        <v>0</v>
      </c>
      <c r="AX55" s="31">
        <f t="shared" si="10"/>
        <v>0</v>
      </c>
      <c r="AY55" s="219">
        <f t="shared" si="11"/>
        <v>0</v>
      </c>
      <c r="AZ55" s="196">
        <f t="shared" si="12"/>
        <v>0</v>
      </c>
      <c r="BA55" s="219">
        <f t="shared" si="13"/>
        <v>0</v>
      </c>
      <c r="BB55" s="31">
        <f t="shared" si="14"/>
        <v>0</v>
      </c>
      <c r="BC55" s="219">
        <f t="shared" si="15"/>
        <v>0</v>
      </c>
      <c r="BD55" s="31">
        <f t="shared" si="16"/>
        <v>0</v>
      </c>
      <c r="BE55" s="219">
        <f t="shared" si="17"/>
        <v>0</v>
      </c>
      <c r="BF55" s="31">
        <f t="shared" si="18"/>
        <v>0</v>
      </c>
      <c r="BG55" s="219">
        <f t="shared" si="19"/>
        <v>0</v>
      </c>
      <c r="BH55" s="31">
        <f t="shared" si="20"/>
        <v>0</v>
      </c>
      <c r="BI55" s="219">
        <f t="shared" si="21"/>
        <v>0</v>
      </c>
      <c r="BJ55" s="31">
        <f t="shared" si="22"/>
        <v>0</v>
      </c>
      <c r="BK55" s="219">
        <f t="shared" si="23"/>
        <v>0</v>
      </c>
      <c r="BL55" s="31">
        <f t="shared" si="24"/>
        <v>0</v>
      </c>
      <c r="BM55" s="219">
        <f t="shared" si="25"/>
        <v>0</v>
      </c>
      <c r="BN55" s="31">
        <f t="shared" si="26"/>
        <v>0</v>
      </c>
      <c r="BO55" s="219">
        <f t="shared" si="27"/>
        <v>0</v>
      </c>
    </row>
    <row r="56" spans="1:67" x14ac:dyDescent="0.25">
      <c r="A56" s="31" t="s">
        <v>1699</v>
      </c>
      <c r="B56" s="176" t="str">
        <f>VLOOKUP(A56,kurspris!$A$1:$B$992,2,FALSE)</f>
        <v>Engelska 2 för ämneslärare med inriktning mot gymnasiet</v>
      </c>
      <c r="D56" s="60" t="s">
        <v>482</v>
      </c>
      <c r="E56" s="576" t="s">
        <v>2225</v>
      </c>
      <c r="F56" s="31" t="s">
        <v>2273</v>
      </c>
      <c r="G56" t="s">
        <v>2458</v>
      </c>
      <c r="H56" t="s">
        <v>2335</v>
      </c>
      <c r="J56" s="31" t="s">
        <v>2233</v>
      </c>
      <c r="L56" s="38">
        <v>1</v>
      </c>
      <c r="M56">
        <v>30</v>
      </c>
      <c r="P56" s="31">
        <v>1</v>
      </c>
      <c r="Q56" s="196">
        <f t="shared" si="29"/>
        <v>0.5</v>
      </c>
      <c r="R56" s="38">
        <v>0.85</v>
      </c>
      <c r="S56" s="280">
        <f t="shared" si="0"/>
        <v>0.42499999999999999</v>
      </c>
      <c r="T56" s="31">
        <f>VLOOKUP(A56,'Ansvar kurs'!$A$1:$C$1123,2,FALSE)</f>
        <v>1620</v>
      </c>
      <c r="U56" s="31" t="str">
        <f>VLOOKUP(T56,Orgenheter!$A$1:$C$166,2,FALSE)</f>
        <v>Inst för språkstudier</v>
      </c>
      <c r="V56" s="31" t="str">
        <f>VLOOKUP(T56,Orgenheter!$A$1:$C$166,3,FALSE)</f>
        <v>Hum</v>
      </c>
      <c r="W56" s="35" t="str">
        <f>VLOOKUP(D56,Program!$A$1:$B$36,2,FALSE)</f>
        <v>Ämneslärarprogrammet - Gy</v>
      </c>
      <c r="X56" s="40">
        <f>VLOOKUP(A56,kurspris!$A$1:$Q$913,15,FALSE)</f>
        <v>20766</v>
      </c>
      <c r="Y56" s="40">
        <f>VLOOKUP(A56,kurspris!$A$1:$Q$913,16,FALSE)</f>
        <v>17442</v>
      </c>
      <c r="Z56" s="40">
        <f t="shared" si="1"/>
        <v>17795.849999999999</v>
      </c>
      <c r="AA56" s="40">
        <f>VLOOKUP(A56,kurspris!$A$1:$Q$913,17,FALSE)</f>
        <v>6000</v>
      </c>
      <c r="AB56" s="40">
        <f t="shared" si="2"/>
        <v>3000</v>
      </c>
      <c r="AC56" s="40">
        <f t="shared" si="3"/>
        <v>20795.849999999999</v>
      </c>
      <c r="AD56" s="31">
        <f>VLOOKUP($A56,kurspris!$A$1:$Q$950,3,FALSE)</f>
        <v>0</v>
      </c>
      <c r="AE56" s="31">
        <f>VLOOKUP($A56,kurspris!$A$1:$Q$950,4,FALSE)</f>
        <v>1</v>
      </c>
      <c r="AF56" s="31">
        <f>VLOOKUP($A56,kurspris!$A$1:$Q$950,5,FALSE)</f>
        <v>0</v>
      </c>
      <c r="AG56" s="31">
        <f>VLOOKUP($A56,kurspris!$A$1:$Q$950,6,FALSE)</f>
        <v>0</v>
      </c>
      <c r="AH56" s="31">
        <f>VLOOKUP($A56,kurspris!$A$1:$Q$950,7,FALSE)</f>
        <v>0</v>
      </c>
      <c r="AI56" s="31">
        <f>VLOOKUP($A56,kurspris!$A$1:$Q$950,8,FALSE)</f>
        <v>0</v>
      </c>
      <c r="AJ56" s="31">
        <f>VLOOKUP($A56,kurspris!$A$1:$Q$950,9,FALSE)</f>
        <v>0</v>
      </c>
      <c r="AK56" s="31">
        <f>VLOOKUP($A56,kurspris!$A$1:$Q$950,10,FALSE)</f>
        <v>0</v>
      </c>
      <c r="AL56" s="31">
        <f>VLOOKUP($A56,kurspris!$A$1:$Q$950,11,FALSE)</f>
        <v>0</v>
      </c>
      <c r="AM56" s="31">
        <f>VLOOKUP($A56,kurspris!$A$1:$Q$950,12,FALSE)</f>
        <v>0</v>
      </c>
      <c r="AN56" s="31">
        <f>VLOOKUP($A56,kurspris!$A$1:$Q$950,13,FALSE)</f>
        <v>0</v>
      </c>
      <c r="AO56" s="31">
        <f>VLOOKUP($A56,kurspris!$A$1:$Q$950,14,FALSE)</f>
        <v>0</v>
      </c>
      <c r="AP56" s="57" t="s">
        <v>2506</v>
      </c>
      <c r="AQ56"/>
      <c r="AR56" s="31">
        <f t="shared" si="4"/>
        <v>0</v>
      </c>
      <c r="AS56" s="219">
        <f t="shared" si="5"/>
        <v>0</v>
      </c>
      <c r="AT56" s="31">
        <f t="shared" si="6"/>
        <v>0.5</v>
      </c>
      <c r="AU56" s="219">
        <f t="shared" si="7"/>
        <v>0.42499999999999999</v>
      </c>
      <c r="AV56" s="31">
        <f t="shared" si="8"/>
        <v>0</v>
      </c>
      <c r="AW56" s="31">
        <f t="shared" si="9"/>
        <v>0</v>
      </c>
      <c r="AX56" s="31">
        <f t="shared" si="10"/>
        <v>0</v>
      </c>
      <c r="AY56" s="219">
        <f t="shared" si="11"/>
        <v>0</v>
      </c>
      <c r="AZ56" s="196">
        <f t="shared" si="12"/>
        <v>0</v>
      </c>
      <c r="BA56" s="219">
        <f t="shared" si="13"/>
        <v>0</v>
      </c>
      <c r="BB56" s="31">
        <f t="shared" si="14"/>
        <v>0</v>
      </c>
      <c r="BC56" s="219">
        <f t="shared" si="15"/>
        <v>0</v>
      </c>
      <c r="BD56" s="31">
        <f t="shared" si="16"/>
        <v>0</v>
      </c>
      <c r="BE56" s="219">
        <f t="shared" si="17"/>
        <v>0</v>
      </c>
      <c r="BF56" s="31">
        <f t="shared" si="18"/>
        <v>0</v>
      </c>
      <c r="BG56" s="219">
        <f t="shared" si="19"/>
        <v>0</v>
      </c>
      <c r="BH56" s="31">
        <f t="shared" si="20"/>
        <v>0</v>
      </c>
      <c r="BI56" s="219">
        <f t="shared" si="21"/>
        <v>0</v>
      </c>
      <c r="BJ56" s="31">
        <f t="shared" si="22"/>
        <v>0</v>
      </c>
      <c r="BK56" s="219">
        <f t="shared" si="23"/>
        <v>0</v>
      </c>
      <c r="BL56" s="31">
        <f t="shared" si="24"/>
        <v>0</v>
      </c>
      <c r="BM56" s="219">
        <f t="shared" si="25"/>
        <v>0</v>
      </c>
      <c r="BN56" s="31">
        <f t="shared" si="26"/>
        <v>0</v>
      </c>
      <c r="BO56" s="219">
        <f t="shared" si="27"/>
        <v>0</v>
      </c>
    </row>
    <row r="57" spans="1:67" x14ac:dyDescent="0.25">
      <c r="A57" s="31" t="s">
        <v>1699</v>
      </c>
      <c r="B57" s="176" t="str">
        <f>VLOOKUP(A57,kurspris!$A$1:$B$992,2,FALSE)</f>
        <v>Engelska 2 för ämneslärare med inriktning mot gymnasiet</v>
      </c>
      <c r="D57" s="60" t="s">
        <v>482</v>
      </c>
      <c r="E57" s="576" t="s">
        <v>2225</v>
      </c>
      <c r="F57" s="31" t="s">
        <v>2273</v>
      </c>
      <c r="G57" t="s">
        <v>2458</v>
      </c>
      <c r="H57" t="s">
        <v>2335</v>
      </c>
      <c r="J57" s="31" t="s">
        <v>2239</v>
      </c>
      <c r="L57" s="38">
        <v>1</v>
      </c>
      <c r="M57">
        <v>30</v>
      </c>
      <c r="P57" s="31">
        <v>1</v>
      </c>
      <c r="Q57" s="196">
        <f t="shared" si="29"/>
        <v>0.5</v>
      </c>
      <c r="R57" s="38">
        <v>0.85</v>
      </c>
      <c r="S57" s="280">
        <f t="shared" si="0"/>
        <v>0.42499999999999999</v>
      </c>
      <c r="T57" s="31">
        <f>VLOOKUP(A57,'Ansvar kurs'!$A$1:$C$1123,2,FALSE)</f>
        <v>1620</v>
      </c>
      <c r="U57" s="31" t="str">
        <f>VLOOKUP(T57,Orgenheter!$A$1:$C$166,2,FALSE)</f>
        <v>Inst för språkstudier</v>
      </c>
      <c r="V57" s="31" t="str">
        <f>VLOOKUP(T57,Orgenheter!$A$1:$C$166,3,FALSE)</f>
        <v>Hum</v>
      </c>
      <c r="W57" s="35" t="str">
        <f>VLOOKUP(D57,Program!$A$1:$B$36,2,FALSE)</f>
        <v>Ämneslärarprogrammet - Gy</v>
      </c>
      <c r="X57" s="40">
        <f>VLOOKUP(A57,kurspris!$A$1:$Q$913,15,FALSE)</f>
        <v>20766</v>
      </c>
      <c r="Y57" s="40">
        <f>VLOOKUP(A57,kurspris!$A$1:$Q$913,16,FALSE)</f>
        <v>17442</v>
      </c>
      <c r="Z57" s="40">
        <f t="shared" si="1"/>
        <v>17795.849999999999</v>
      </c>
      <c r="AA57" s="40">
        <f>VLOOKUP(A57,kurspris!$A$1:$Q$913,17,FALSE)</f>
        <v>6000</v>
      </c>
      <c r="AB57" s="40">
        <f t="shared" si="2"/>
        <v>3000</v>
      </c>
      <c r="AC57" s="40">
        <f t="shared" si="3"/>
        <v>20795.849999999999</v>
      </c>
      <c r="AD57" s="31">
        <f>VLOOKUP($A57,kurspris!$A$1:$Q$950,3,FALSE)</f>
        <v>0</v>
      </c>
      <c r="AE57" s="31">
        <f>VLOOKUP($A57,kurspris!$A$1:$Q$950,4,FALSE)</f>
        <v>1</v>
      </c>
      <c r="AF57" s="31">
        <f>VLOOKUP($A57,kurspris!$A$1:$Q$950,5,FALSE)</f>
        <v>0</v>
      </c>
      <c r="AG57" s="31">
        <f>VLOOKUP($A57,kurspris!$A$1:$Q$950,6,FALSE)</f>
        <v>0</v>
      </c>
      <c r="AH57" s="31">
        <f>VLOOKUP($A57,kurspris!$A$1:$Q$950,7,FALSE)</f>
        <v>0</v>
      </c>
      <c r="AI57" s="31">
        <f>VLOOKUP($A57,kurspris!$A$1:$Q$950,8,FALSE)</f>
        <v>0</v>
      </c>
      <c r="AJ57" s="31">
        <f>VLOOKUP($A57,kurspris!$A$1:$Q$950,9,FALSE)</f>
        <v>0</v>
      </c>
      <c r="AK57" s="31">
        <f>VLOOKUP($A57,kurspris!$A$1:$Q$950,10,FALSE)</f>
        <v>0</v>
      </c>
      <c r="AL57" s="31">
        <f>VLOOKUP($A57,kurspris!$A$1:$Q$950,11,FALSE)</f>
        <v>0</v>
      </c>
      <c r="AM57" s="31">
        <f>VLOOKUP($A57,kurspris!$A$1:$Q$950,12,FALSE)</f>
        <v>0</v>
      </c>
      <c r="AN57" s="31">
        <f>VLOOKUP($A57,kurspris!$A$1:$Q$950,13,FALSE)</f>
        <v>0</v>
      </c>
      <c r="AO57" s="31">
        <f>VLOOKUP($A57,kurspris!$A$1:$Q$950,14,FALSE)</f>
        <v>0</v>
      </c>
      <c r="AP57" s="57" t="s">
        <v>2506</v>
      </c>
      <c r="AQ57"/>
      <c r="AR57" s="31">
        <f t="shared" si="4"/>
        <v>0</v>
      </c>
      <c r="AS57" s="219">
        <f t="shared" si="5"/>
        <v>0</v>
      </c>
      <c r="AT57" s="31">
        <f t="shared" si="6"/>
        <v>0.5</v>
      </c>
      <c r="AU57" s="219">
        <f t="shared" si="7"/>
        <v>0.42499999999999999</v>
      </c>
      <c r="AV57" s="31">
        <f t="shared" si="8"/>
        <v>0</v>
      </c>
      <c r="AW57" s="31">
        <f t="shared" si="9"/>
        <v>0</v>
      </c>
      <c r="AX57" s="31">
        <f t="shared" si="10"/>
        <v>0</v>
      </c>
      <c r="AY57" s="219">
        <f t="shared" si="11"/>
        <v>0</v>
      </c>
      <c r="AZ57" s="196">
        <f t="shared" si="12"/>
        <v>0</v>
      </c>
      <c r="BA57" s="219">
        <f t="shared" si="13"/>
        <v>0</v>
      </c>
      <c r="BB57" s="31">
        <f t="shared" si="14"/>
        <v>0</v>
      </c>
      <c r="BC57" s="219">
        <f t="shared" si="15"/>
        <v>0</v>
      </c>
      <c r="BD57" s="31">
        <f t="shared" si="16"/>
        <v>0</v>
      </c>
      <c r="BE57" s="219">
        <f t="shared" si="17"/>
        <v>0</v>
      </c>
      <c r="BF57" s="31">
        <f t="shared" si="18"/>
        <v>0</v>
      </c>
      <c r="BG57" s="219">
        <f t="shared" si="19"/>
        <v>0</v>
      </c>
      <c r="BH57" s="31">
        <f t="shared" si="20"/>
        <v>0</v>
      </c>
      <c r="BI57" s="219">
        <f t="shared" si="21"/>
        <v>0</v>
      </c>
      <c r="BJ57" s="31">
        <f t="shared" si="22"/>
        <v>0</v>
      </c>
      <c r="BK57" s="219">
        <f t="shared" si="23"/>
        <v>0</v>
      </c>
      <c r="BL57" s="31">
        <f t="shared" si="24"/>
        <v>0</v>
      </c>
      <c r="BM57" s="219">
        <f t="shared" si="25"/>
        <v>0</v>
      </c>
      <c r="BN57" s="31">
        <f t="shared" si="26"/>
        <v>0</v>
      </c>
      <c r="BO57" s="219">
        <f t="shared" si="27"/>
        <v>0</v>
      </c>
    </row>
    <row r="58" spans="1:67" x14ac:dyDescent="0.25">
      <c r="A58" s="31" t="s">
        <v>1699</v>
      </c>
      <c r="B58" s="176" t="str">
        <f>VLOOKUP(A58,kurspris!$A$1:$B$992,2,FALSE)</f>
        <v>Engelska 2 för ämneslärare med inriktning mot gymnasiet</v>
      </c>
      <c r="D58" s="60" t="s">
        <v>482</v>
      </c>
      <c r="E58" s="576" t="s">
        <v>2225</v>
      </c>
      <c r="F58" s="31" t="s">
        <v>2273</v>
      </c>
      <c r="G58" t="s">
        <v>2458</v>
      </c>
      <c r="H58" t="s">
        <v>2335</v>
      </c>
      <c r="J58" s="31" t="s">
        <v>2240</v>
      </c>
      <c r="L58" s="38">
        <v>1</v>
      </c>
      <c r="M58">
        <v>30</v>
      </c>
      <c r="P58" s="31">
        <v>7</v>
      </c>
      <c r="Q58" s="196">
        <f t="shared" si="29"/>
        <v>3.5</v>
      </c>
      <c r="R58" s="38">
        <v>0.85</v>
      </c>
      <c r="S58" s="280">
        <f t="shared" si="0"/>
        <v>2.9750000000000001</v>
      </c>
      <c r="T58" s="31">
        <f>VLOOKUP(A58,'Ansvar kurs'!$A$1:$C$1123,2,FALSE)</f>
        <v>1620</v>
      </c>
      <c r="U58" s="31" t="str">
        <f>VLOOKUP(T58,Orgenheter!$A$1:$C$166,2,FALSE)</f>
        <v>Inst för språkstudier</v>
      </c>
      <c r="V58" s="31" t="str">
        <f>VLOOKUP(T58,Orgenheter!$A$1:$C$166,3,FALSE)</f>
        <v>Hum</v>
      </c>
      <c r="W58" s="35" t="str">
        <f>VLOOKUP(D58,Program!$A$1:$B$36,2,FALSE)</f>
        <v>Ämneslärarprogrammet - Gy</v>
      </c>
      <c r="X58" s="40">
        <f>VLOOKUP(A58,kurspris!$A$1:$Q$913,15,FALSE)</f>
        <v>20766</v>
      </c>
      <c r="Y58" s="40">
        <f>VLOOKUP(A58,kurspris!$A$1:$Q$913,16,FALSE)</f>
        <v>17442</v>
      </c>
      <c r="Z58" s="40">
        <f t="shared" si="1"/>
        <v>124570.95000000001</v>
      </c>
      <c r="AA58" s="40">
        <f>VLOOKUP(A58,kurspris!$A$1:$Q$913,17,FALSE)</f>
        <v>6000</v>
      </c>
      <c r="AB58" s="40">
        <f t="shared" si="2"/>
        <v>21000</v>
      </c>
      <c r="AC58" s="40">
        <f t="shared" si="3"/>
        <v>145570.95000000001</v>
      </c>
      <c r="AD58" s="31">
        <f>VLOOKUP($A58,kurspris!$A$1:$Q$950,3,FALSE)</f>
        <v>0</v>
      </c>
      <c r="AE58" s="31">
        <f>VLOOKUP($A58,kurspris!$A$1:$Q$950,4,FALSE)</f>
        <v>1</v>
      </c>
      <c r="AF58" s="31">
        <f>VLOOKUP($A58,kurspris!$A$1:$Q$950,5,FALSE)</f>
        <v>0</v>
      </c>
      <c r="AG58" s="31">
        <f>VLOOKUP($A58,kurspris!$A$1:$Q$950,6,FALSE)</f>
        <v>0</v>
      </c>
      <c r="AH58" s="31">
        <f>VLOOKUP($A58,kurspris!$A$1:$Q$950,7,FALSE)</f>
        <v>0</v>
      </c>
      <c r="AI58" s="31">
        <f>VLOOKUP($A58,kurspris!$A$1:$Q$950,8,FALSE)</f>
        <v>0</v>
      </c>
      <c r="AJ58" s="31">
        <f>VLOOKUP($A58,kurspris!$A$1:$Q$950,9,FALSE)</f>
        <v>0</v>
      </c>
      <c r="AK58" s="31">
        <f>VLOOKUP($A58,kurspris!$A$1:$Q$950,10,FALSE)</f>
        <v>0</v>
      </c>
      <c r="AL58" s="31">
        <f>VLOOKUP($A58,kurspris!$A$1:$Q$950,11,FALSE)</f>
        <v>0</v>
      </c>
      <c r="AM58" s="31">
        <f>VLOOKUP($A58,kurspris!$A$1:$Q$950,12,FALSE)</f>
        <v>0</v>
      </c>
      <c r="AN58" s="31">
        <f>VLOOKUP($A58,kurspris!$A$1:$Q$950,13,FALSE)</f>
        <v>0</v>
      </c>
      <c r="AO58" s="31">
        <f>VLOOKUP($A58,kurspris!$A$1:$Q$950,14,FALSE)</f>
        <v>0</v>
      </c>
      <c r="AP58" s="57" t="s">
        <v>2506</v>
      </c>
      <c r="AQ58"/>
      <c r="AR58" s="31">
        <f t="shared" si="4"/>
        <v>0</v>
      </c>
      <c r="AS58" s="219">
        <f t="shared" si="5"/>
        <v>0</v>
      </c>
      <c r="AT58" s="31">
        <f t="shared" si="6"/>
        <v>3.5</v>
      </c>
      <c r="AU58" s="219">
        <f t="shared" si="7"/>
        <v>2.9750000000000001</v>
      </c>
      <c r="AV58" s="31">
        <f t="shared" si="8"/>
        <v>0</v>
      </c>
      <c r="AW58" s="31">
        <f t="shared" si="9"/>
        <v>0</v>
      </c>
      <c r="AX58" s="31">
        <f t="shared" si="10"/>
        <v>0</v>
      </c>
      <c r="AY58" s="219">
        <f t="shared" si="11"/>
        <v>0</v>
      </c>
      <c r="AZ58" s="196">
        <f t="shared" si="12"/>
        <v>0</v>
      </c>
      <c r="BA58" s="219">
        <f t="shared" si="13"/>
        <v>0</v>
      </c>
      <c r="BB58" s="31">
        <f t="shared" si="14"/>
        <v>0</v>
      </c>
      <c r="BC58" s="219">
        <f t="shared" si="15"/>
        <v>0</v>
      </c>
      <c r="BD58" s="31">
        <f t="shared" si="16"/>
        <v>0</v>
      </c>
      <c r="BE58" s="219">
        <f t="shared" si="17"/>
        <v>0</v>
      </c>
      <c r="BF58" s="31">
        <f t="shared" si="18"/>
        <v>0</v>
      </c>
      <c r="BG58" s="219">
        <f t="shared" si="19"/>
        <v>0</v>
      </c>
      <c r="BH58" s="31">
        <f t="shared" si="20"/>
        <v>0</v>
      </c>
      <c r="BI58" s="219">
        <f t="shared" si="21"/>
        <v>0</v>
      </c>
      <c r="BJ58" s="31">
        <f t="shared" si="22"/>
        <v>0</v>
      </c>
      <c r="BK58" s="219">
        <f t="shared" si="23"/>
        <v>0</v>
      </c>
      <c r="BL58" s="31">
        <f t="shared" si="24"/>
        <v>0</v>
      </c>
      <c r="BM58" s="219">
        <f t="shared" si="25"/>
        <v>0</v>
      </c>
      <c r="BN58" s="31">
        <f t="shared" si="26"/>
        <v>0</v>
      </c>
      <c r="BO58" s="219">
        <f t="shared" si="27"/>
        <v>0</v>
      </c>
    </row>
    <row r="59" spans="1:67" x14ac:dyDescent="0.25">
      <c r="A59" s="31" t="s">
        <v>1699</v>
      </c>
      <c r="B59" s="176" t="str">
        <f>VLOOKUP(A59,kurspris!$A$1:$B$992,2,FALSE)</f>
        <v>Engelska 2 för ämneslärare med inriktning mot gymnasiet</v>
      </c>
      <c r="D59" s="60" t="s">
        <v>482</v>
      </c>
      <c r="E59" s="576" t="s">
        <v>2434</v>
      </c>
      <c r="F59" s="31" t="s">
        <v>2273</v>
      </c>
      <c r="G59" t="s">
        <v>2458</v>
      </c>
      <c r="H59" t="s">
        <v>2335</v>
      </c>
      <c r="J59" s="31" t="s">
        <v>2231</v>
      </c>
      <c r="L59" s="38">
        <v>1</v>
      </c>
      <c r="M59">
        <v>30</v>
      </c>
      <c r="P59" s="31">
        <v>3</v>
      </c>
      <c r="Q59" s="196">
        <f t="shared" si="29"/>
        <v>1.5</v>
      </c>
      <c r="R59" s="38">
        <v>0.85</v>
      </c>
      <c r="S59" s="280">
        <f t="shared" si="0"/>
        <v>1.2749999999999999</v>
      </c>
      <c r="T59" s="31">
        <f>VLOOKUP(A59,'Ansvar kurs'!$A$1:$C$1123,2,FALSE)</f>
        <v>1620</v>
      </c>
      <c r="U59" s="31" t="str">
        <f>VLOOKUP(T59,Orgenheter!$A$1:$C$166,2,FALSE)</f>
        <v>Inst för språkstudier</v>
      </c>
      <c r="V59" s="31" t="str">
        <f>VLOOKUP(T59,Orgenheter!$A$1:$C$166,3,FALSE)</f>
        <v>Hum</v>
      </c>
      <c r="W59" s="35" t="str">
        <f>VLOOKUP(D59,Program!$A$1:$B$36,2,FALSE)</f>
        <v>Ämneslärarprogrammet - Gy</v>
      </c>
      <c r="X59" s="40">
        <f>VLOOKUP(A59,kurspris!$A$1:$Q$913,15,FALSE)</f>
        <v>20766</v>
      </c>
      <c r="Y59" s="40">
        <f>VLOOKUP(A59,kurspris!$A$1:$Q$913,16,FALSE)</f>
        <v>17442</v>
      </c>
      <c r="Z59" s="40">
        <f t="shared" si="1"/>
        <v>53387.55</v>
      </c>
      <c r="AA59" s="40">
        <f>VLOOKUP(A59,kurspris!$A$1:$Q$913,17,FALSE)</f>
        <v>6000</v>
      </c>
      <c r="AB59" s="40">
        <f t="shared" si="2"/>
        <v>9000</v>
      </c>
      <c r="AC59" s="40">
        <f t="shared" si="3"/>
        <v>62387.55</v>
      </c>
      <c r="AD59" s="31">
        <f>VLOOKUP($A59,kurspris!$A$1:$Q$950,3,FALSE)</f>
        <v>0</v>
      </c>
      <c r="AE59" s="31">
        <f>VLOOKUP($A59,kurspris!$A$1:$Q$950,4,FALSE)</f>
        <v>1</v>
      </c>
      <c r="AF59" s="31">
        <f>VLOOKUP($A59,kurspris!$A$1:$Q$950,5,FALSE)</f>
        <v>0</v>
      </c>
      <c r="AG59" s="31">
        <f>VLOOKUP($A59,kurspris!$A$1:$Q$950,6,FALSE)</f>
        <v>0</v>
      </c>
      <c r="AH59" s="31">
        <f>VLOOKUP($A59,kurspris!$A$1:$Q$950,7,FALSE)</f>
        <v>0</v>
      </c>
      <c r="AI59" s="31">
        <f>VLOOKUP($A59,kurspris!$A$1:$Q$950,8,FALSE)</f>
        <v>0</v>
      </c>
      <c r="AJ59" s="31">
        <f>VLOOKUP($A59,kurspris!$A$1:$Q$950,9,FALSE)</f>
        <v>0</v>
      </c>
      <c r="AK59" s="31">
        <f>VLOOKUP($A59,kurspris!$A$1:$Q$950,10,FALSE)</f>
        <v>0</v>
      </c>
      <c r="AL59" s="31">
        <f>VLOOKUP($A59,kurspris!$A$1:$Q$950,11,FALSE)</f>
        <v>0</v>
      </c>
      <c r="AM59" s="31">
        <f>VLOOKUP($A59,kurspris!$A$1:$Q$950,12,FALSE)</f>
        <v>0</v>
      </c>
      <c r="AN59" s="31">
        <f>VLOOKUP($A59,kurspris!$A$1:$Q$950,13,FALSE)</f>
        <v>0</v>
      </c>
      <c r="AO59" s="31">
        <f>VLOOKUP($A59,kurspris!$A$1:$Q$950,14,FALSE)</f>
        <v>0</v>
      </c>
      <c r="AP59" s="57" t="s">
        <v>2506</v>
      </c>
      <c r="AQ59"/>
      <c r="AR59" s="31">
        <f t="shared" si="4"/>
        <v>0</v>
      </c>
      <c r="AS59" s="219">
        <f t="shared" si="5"/>
        <v>0</v>
      </c>
      <c r="AT59" s="31">
        <f t="shared" si="6"/>
        <v>1.5</v>
      </c>
      <c r="AU59" s="219">
        <f t="shared" si="7"/>
        <v>1.2749999999999999</v>
      </c>
      <c r="AV59" s="31">
        <f t="shared" si="8"/>
        <v>0</v>
      </c>
      <c r="AW59" s="31">
        <f t="shared" si="9"/>
        <v>0</v>
      </c>
      <c r="AX59" s="31">
        <f t="shared" si="10"/>
        <v>0</v>
      </c>
      <c r="AY59" s="219">
        <f t="shared" si="11"/>
        <v>0</v>
      </c>
      <c r="AZ59" s="196">
        <f t="shared" si="12"/>
        <v>0</v>
      </c>
      <c r="BA59" s="219">
        <f t="shared" si="13"/>
        <v>0</v>
      </c>
      <c r="BB59" s="31">
        <f t="shared" si="14"/>
        <v>0</v>
      </c>
      <c r="BC59" s="219">
        <f t="shared" si="15"/>
        <v>0</v>
      </c>
      <c r="BD59" s="31">
        <f t="shared" si="16"/>
        <v>0</v>
      </c>
      <c r="BE59" s="219">
        <f t="shared" si="17"/>
        <v>0</v>
      </c>
      <c r="BF59" s="31">
        <f t="shared" si="18"/>
        <v>0</v>
      </c>
      <c r="BG59" s="219">
        <f t="shared" si="19"/>
        <v>0</v>
      </c>
      <c r="BH59" s="31">
        <f t="shared" si="20"/>
        <v>0</v>
      </c>
      <c r="BI59" s="219">
        <f t="shared" si="21"/>
        <v>0</v>
      </c>
      <c r="BJ59" s="31">
        <f t="shared" si="22"/>
        <v>0</v>
      </c>
      <c r="BK59" s="219">
        <f t="shared" si="23"/>
        <v>0</v>
      </c>
      <c r="BL59" s="31">
        <f t="shared" si="24"/>
        <v>0</v>
      </c>
      <c r="BM59" s="219">
        <f t="shared" si="25"/>
        <v>0</v>
      </c>
      <c r="BN59" s="31">
        <f t="shared" si="26"/>
        <v>0</v>
      </c>
      <c r="BO59" s="219">
        <f t="shared" si="27"/>
        <v>0</v>
      </c>
    </row>
    <row r="60" spans="1:67" x14ac:dyDescent="0.25">
      <c r="A60" s="31" t="s">
        <v>1699</v>
      </c>
      <c r="B60" s="176" t="str">
        <f>VLOOKUP(A60,kurspris!$A$1:$B$992,2,FALSE)</f>
        <v>Engelska 2 för ämneslärare med inriktning mot gymnasiet</v>
      </c>
      <c r="D60" s="60" t="s">
        <v>482</v>
      </c>
      <c r="E60" s="576" t="s">
        <v>2432</v>
      </c>
      <c r="F60" s="31" t="s">
        <v>2273</v>
      </c>
      <c r="G60" t="s">
        <v>2458</v>
      </c>
      <c r="H60" t="s">
        <v>2335</v>
      </c>
      <c r="J60" s="31" t="s">
        <v>2231</v>
      </c>
      <c r="L60" s="38">
        <v>1</v>
      </c>
      <c r="M60">
        <v>30</v>
      </c>
      <c r="P60" s="31">
        <v>18</v>
      </c>
      <c r="Q60" s="196">
        <f t="shared" si="29"/>
        <v>9</v>
      </c>
      <c r="R60" s="38">
        <v>0.85</v>
      </c>
      <c r="S60" s="280">
        <f t="shared" si="0"/>
        <v>7.6499999999999995</v>
      </c>
      <c r="T60" s="31">
        <f>VLOOKUP(A60,'Ansvar kurs'!$A$1:$C$1123,2,FALSE)</f>
        <v>1620</v>
      </c>
      <c r="U60" s="31" t="str">
        <f>VLOOKUP(T60,Orgenheter!$A$1:$C$166,2,FALSE)</f>
        <v>Inst för språkstudier</v>
      </c>
      <c r="V60" s="31" t="str">
        <f>VLOOKUP(T60,Orgenheter!$A$1:$C$166,3,FALSE)</f>
        <v>Hum</v>
      </c>
      <c r="W60" s="35" t="str">
        <f>VLOOKUP(D60,Program!$A$1:$B$36,2,FALSE)</f>
        <v>Ämneslärarprogrammet - Gy</v>
      </c>
      <c r="X60" s="40">
        <f>VLOOKUP(A60,kurspris!$A$1:$Q$913,15,FALSE)</f>
        <v>20766</v>
      </c>
      <c r="Y60" s="40">
        <f>VLOOKUP(A60,kurspris!$A$1:$Q$913,16,FALSE)</f>
        <v>17442</v>
      </c>
      <c r="Z60" s="40">
        <f t="shared" si="1"/>
        <v>320325.3</v>
      </c>
      <c r="AA60" s="40">
        <f>VLOOKUP(A60,kurspris!$A$1:$Q$913,17,FALSE)</f>
        <v>6000</v>
      </c>
      <c r="AB60" s="40">
        <f t="shared" si="2"/>
        <v>54000</v>
      </c>
      <c r="AC60" s="40">
        <f t="shared" si="3"/>
        <v>374325.3</v>
      </c>
      <c r="AD60" s="31">
        <f>VLOOKUP($A60,kurspris!$A$1:$Q$950,3,FALSE)</f>
        <v>0</v>
      </c>
      <c r="AE60" s="31">
        <f>VLOOKUP($A60,kurspris!$A$1:$Q$950,4,FALSE)</f>
        <v>1</v>
      </c>
      <c r="AF60" s="31">
        <f>VLOOKUP($A60,kurspris!$A$1:$Q$950,5,FALSE)</f>
        <v>0</v>
      </c>
      <c r="AG60" s="31">
        <f>VLOOKUP($A60,kurspris!$A$1:$Q$950,6,FALSE)</f>
        <v>0</v>
      </c>
      <c r="AH60" s="31">
        <f>VLOOKUP($A60,kurspris!$A$1:$Q$950,7,FALSE)</f>
        <v>0</v>
      </c>
      <c r="AI60" s="31">
        <f>VLOOKUP($A60,kurspris!$A$1:$Q$950,8,FALSE)</f>
        <v>0</v>
      </c>
      <c r="AJ60" s="31">
        <f>VLOOKUP($A60,kurspris!$A$1:$Q$950,9,FALSE)</f>
        <v>0</v>
      </c>
      <c r="AK60" s="31">
        <f>VLOOKUP($A60,kurspris!$A$1:$Q$950,10,FALSE)</f>
        <v>0</v>
      </c>
      <c r="AL60" s="31">
        <f>VLOOKUP($A60,kurspris!$A$1:$Q$950,11,FALSE)</f>
        <v>0</v>
      </c>
      <c r="AM60" s="31">
        <f>VLOOKUP($A60,kurspris!$A$1:$Q$950,12,FALSE)</f>
        <v>0</v>
      </c>
      <c r="AN60" s="31">
        <f>VLOOKUP($A60,kurspris!$A$1:$Q$950,13,FALSE)</f>
        <v>0</v>
      </c>
      <c r="AO60" s="31">
        <f>VLOOKUP($A60,kurspris!$A$1:$Q$950,14,FALSE)</f>
        <v>0</v>
      </c>
      <c r="AP60" s="57" t="s">
        <v>2506</v>
      </c>
      <c r="AQ60"/>
      <c r="AR60" s="31">
        <f t="shared" si="4"/>
        <v>0</v>
      </c>
      <c r="AS60" s="219">
        <f t="shared" si="5"/>
        <v>0</v>
      </c>
      <c r="AT60" s="31">
        <f t="shared" si="6"/>
        <v>9</v>
      </c>
      <c r="AU60" s="219">
        <f t="shared" si="7"/>
        <v>7.6499999999999995</v>
      </c>
      <c r="AV60" s="31">
        <f t="shared" si="8"/>
        <v>0</v>
      </c>
      <c r="AW60" s="31">
        <f t="shared" si="9"/>
        <v>0</v>
      </c>
      <c r="AX60" s="31">
        <f t="shared" si="10"/>
        <v>0</v>
      </c>
      <c r="AY60" s="219">
        <f t="shared" si="11"/>
        <v>0</v>
      </c>
      <c r="AZ60" s="196">
        <f t="shared" si="12"/>
        <v>0</v>
      </c>
      <c r="BA60" s="219">
        <f t="shared" si="13"/>
        <v>0</v>
      </c>
      <c r="BB60" s="31">
        <f t="shared" si="14"/>
        <v>0</v>
      </c>
      <c r="BC60" s="219">
        <f t="shared" si="15"/>
        <v>0</v>
      </c>
      <c r="BD60" s="31">
        <f t="shared" si="16"/>
        <v>0</v>
      </c>
      <c r="BE60" s="219">
        <f t="shared" si="17"/>
        <v>0</v>
      </c>
      <c r="BF60" s="31">
        <f t="shared" si="18"/>
        <v>0</v>
      </c>
      <c r="BG60" s="219">
        <f t="shared" si="19"/>
        <v>0</v>
      </c>
      <c r="BH60" s="31">
        <f t="shared" si="20"/>
        <v>0</v>
      </c>
      <c r="BI60" s="219">
        <f t="shared" si="21"/>
        <v>0</v>
      </c>
      <c r="BJ60" s="31">
        <f t="shared" si="22"/>
        <v>0</v>
      </c>
      <c r="BK60" s="219">
        <f t="shared" si="23"/>
        <v>0</v>
      </c>
      <c r="BL60" s="31">
        <f t="shared" si="24"/>
        <v>0</v>
      </c>
      <c r="BM60" s="219">
        <f t="shared" si="25"/>
        <v>0</v>
      </c>
      <c r="BN60" s="31">
        <f t="shared" si="26"/>
        <v>0</v>
      </c>
      <c r="BO60" s="219">
        <f t="shared" si="27"/>
        <v>0</v>
      </c>
    </row>
    <row r="61" spans="1:67" x14ac:dyDescent="0.25">
      <c r="A61" s="31" t="s">
        <v>1837</v>
      </c>
      <c r="B61" s="176" t="str">
        <f>VLOOKUP(A61,kurspris!$A$1:$B$992,2,FALSE)</f>
        <v>Att undervisa i engelska (VFU)</v>
      </c>
      <c r="D61" s="60" t="s">
        <v>482</v>
      </c>
      <c r="E61" s="576" t="s">
        <v>2225</v>
      </c>
      <c r="F61" s="31" t="s">
        <v>2273</v>
      </c>
      <c r="G61" t="s">
        <v>2444</v>
      </c>
      <c r="H61" t="s">
        <v>2335</v>
      </c>
      <c r="J61" s="31" t="s">
        <v>2231</v>
      </c>
      <c r="L61" s="38">
        <v>1</v>
      </c>
      <c r="M61">
        <v>6</v>
      </c>
      <c r="P61" s="31">
        <v>1</v>
      </c>
      <c r="Q61" s="196">
        <f t="shared" si="29"/>
        <v>0.1</v>
      </c>
      <c r="R61" s="38">
        <v>0.85</v>
      </c>
      <c r="S61" s="280">
        <f t="shared" si="0"/>
        <v>8.5000000000000006E-2</v>
      </c>
      <c r="T61" s="31">
        <f>VLOOKUP(A61,'Ansvar kurs'!$A$1:$C$1123,2,FALSE)</f>
        <v>1620</v>
      </c>
      <c r="U61" s="31" t="str">
        <f>VLOOKUP(T61,Orgenheter!$A$1:$C$166,2,FALSE)</f>
        <v>Inst för språkstudier</v>
      </c>
      <c r="V61" s="31" t="str">
        <f>VLOOKUP(T61,Orgenheter!$A$1:$C$166,3,FALSE)</f>
        <v>Hum</v>
      </c>
      <c r="W61" s="35" t="str">
        <f>VLOOKUP(D61,Program!$A$1:$B$36,2,FALSE)</f>
        <v>Ämneslärarprogrammet - Gy</v>
      </c>
      <c r="X61" s="40">
        <f>VLOOKUP(A61,kurspris!$A$1:$Q$913,15,FALSE)</f>
        <v>25235</v>
      </c>
      <c r="Y61" s="40">
        <f>VLOOKUP(A61,kurspris!$A$1:$Q$913,16,FALSE)</f>
        <v>27976</v>
      </c>
      <c r="Z61" s="40">
        <f t="shared" si="1"/>
        <v>4901.46</v>
      </c>
      <c r="AA61" s="40">
        <f>VLOOKUP(A61,kurspris!$A$1:$Q$913,17,FALSE)</f>
        <v>3600</v>
      </c>
      <c r="AB61" s="40">
        <f t="shared" si="2"/>
        <v>360</v>
      </c>
      <c r="AC61" s="40">
        <f t="shared" si="3"/>
        <v>5261.46</v>
      </c>
      <c r="AD61" s="31">
        <f>VLOOKUP($A61,kurspris!$A$1:$Q$950,3,FALSE)</f>
        <v>0</v>
      </c>
      <c r="AE61" s="31">
        <f>VLOOKUP($A61,kurspris!$A$1:$Q$950,4,FALSE)</f>
        <v>0</v>
      </c>
      <c r="AF61" s="31">
        <f>VLOOKUP($A61,kurspris!$A$1:$Q$950,5,FALSE)</f>
        <v>0</v>
      </c>
      <c r="AG61" s="31">
        <f>VLOOKUP($A61,kurspris!$A$1:$Q$950,6,FALSE)</f>
        <v>0</v>
      </c>
      <c r="AH61" s="31">
        <f>VLOOKUP($A61,kurspris!$A$1:$Q$950,7,FALSE)</f>
        <v>0</v>
      </c>
      <c r="AI61" s="31">
        <f>VLOOKUP($A61,kurspris!$A$1:$Q$950,8,FALSE)</f>
        <v>0</v>
      </c>
      <c r="AJ61" s="31">
        <f>VLOOKUP($A61,kurspris!$A$1:$Q$950,9,FALSE)</f>
        <v>0</v>
      </c>
      <c r="AK61" s="31">
        <f>VLOOKUP($A61,kurspris!$A$1:$Q$950,10,FALSE)</f>
        <v>0</v>
      </c>
      <c r="AL61" s="31">
        <f>VLOOKUP($A61,kurspris!$A$1:$Q$950,11,FALSE)</f>
        <v>1</v>
      </c>
      <c r="AM61" s="31">
        <f>VLOOKUP($A61,kurspris!$A$1:$Q$950,12,FALSE)</f>
        <v>0</v>
      </c>
      <c r="AN61" s="31">
        <f>VLOOKUP($A61,kurspris!$A$1:$Q$950,13,FALSE)</f>
        <v>0</v>
      </c>
      <c r="AO61" s="31">
        <f>VLOOKUP($A61,kurspris!$A$1:$Q$950,14,FALSE)</f>
        <v>0</v>
      </c>
      <c r="AP61" s="57" t="s">
        <v>2506</v>
      </c>
      <c r="AQ61"/>
      <c r="AR61" s="31">
        <f t="shared" si="4"/>
        <v>0</v>
      </c>
      <c r="AS61" s="219">
        <f t="shared" si="5"/>
        <v>0</v>
      </c>
      <c r="AT61" s="31">
        <f t="shared" si="6"/>
        <v>0</v>
      </c>
      <c r="AU61" s="219">
        <f t="shared" si="7"/>
        <v>0</v>
      </c>
      <c r="AV61" s="31">
        <f t="shared" si="8"/>
        <v>0</v>
      </c>
      <c r="AW61" s="31">
        <f t="shared" si="9"/>
        <v>0</v>
      </c>
      <c r="AX61" s="31">
        <f t="shared" si="10"/>
        <v>0</v>
      </c>
      <c r="AY61" s="219">
        <f t="shared" si="11"/>
        <v>0</v>
      </c>
      <c r="AZ61" s="196">
        <f t="shared" si="12"/>
        <v>0</v>
      </c>
      <c r="BA61" s="219">
        <f t="shared" si="13"/>
        <v>0</v>
      </c>
      <c r="BB61" s="31">
        <f t="shared" si="14"/>
        <v>0</v>
      </c>
      <c r="BC61" s="219">
        <f t="shared" si="15"/>
        <v>0</v>
      </c>
      <c r="BD61" s="31">
        <f t="shared" si="16"/>
        <v>0</v>
      </c>
      <c r="BE61" s="219">
        <f t="shared" si="17"/>
        <v>0</v>
      </c>
      <c r="BF61" s="31">
        <f t="shared" si="18"/>
        <v>0</v>
      </c>
      <c r="BG61" s="219">
        <f t="shared" si="19"/>
        <v>0</v>
      </c>
      <c r="BH61" s="31">
        <f t="shared" si="20"/>
        <v>0.1</v>
      </c>
      <c r="BI61" s="219">
        <f t="shared" si="21"/>
        <v>8.5000000000000006E-2</v>
      </c>
      <c r="BJ61" s="31">
        <f t="shared" si="22"/>
        <v>0</v>
      </c>
      <c r="BK61" s="219">
        <f t="shared" si="23"/>
        <v>0</v>
      </c>
      <c r="BL61" s="31">
        <f t="shared" si="24"/>
        <v>0</v>
      </c>
      <c r="BM61" s="219">
        <f t="shared" si="25"/>
        <v>0</v>
      </c>
      <c r="BN61" s="31">
        <f t="shared" si="26"/>
        <v>0</v>
      </c>
      <c r="BO61" s="219">
        <f t="shared" si="27"/>
        <v>0</v>
      </c>
    </row>
    <row r="62" spans="1:67" x14ac:dyDescent="0.25">
      <c r="A62" s="31" t="s">
        <v>1837</v>
      </c>
      <c r="B62" s="176" t="str">
        <f>VLOOKUP(A62,kurspris!$A$1:$B$992,2,FALSE)</f>
        <v>Att undervisa i engelska (VFU)</v>
      </c>
      <c r="D62" s="60" t="s">
        <v>482</v>
      </c>
      <c r="E62" s="576" t="s">
        <v>2434</v>
      </c>
      <c r="F62" s="31" t="s">
        <v>2273</v>
      </c>
      <c r="G62" t="s">
        <v>2444</v>
      </c>
      <c r="H62" t="s">
        <v>2335</v>
      </c>
      <c r="J62" s="31" t="s">
        <v>2231</v>
      </c>
      <c r="L62" s="38">
        <v>1</v>
      </c>
      <c r="M62">
        <v>6</v>
      </c>
      <c r="P62" s="31">
        <v>10</v>
      </c>
      <c r="Q62" s="196">
        <f t="shared" si="29"/>
        <v>1</v>
      </c>
      <c r="R62" s="38">
        <v>0.85</v>
      </c>
      <c r="S62" s="280">
        <f t="shared" si="0"/>
        <v>0.85</v>
      </c>
      <c r="T62" s="31">
        <f>VLOOKUP(A62,'Ansvar kurs'!$A$1:$C$1123,2,FALSE)</f>
        <v>1620</v>
      </c>
      <c r="U62" s="31" t="str">
        <f>VLOOKUP(T62,Orgenheter!$A$1:$C$166,2,FALSE)</f>
        <v>Inst för språkstudier</v>
      </c>
      <c r="V62" s="31" t="str">
        <f>VLOOKUP(T62,Orgenheter!$A$1:$C$166,3,FALSE)</f>
        <v>Hum</v>
      </c>
      <c r="W62" s="35" t="str">
        <f>VLOOKUP(D62,Program!$A$1:$B$36,2,FALSE)</f>
        <v>Ämneslärarprogrammet - Gy</v>
      </c>
      <c r="X62" s="40">
        <f>VLOOKUP(A62,kurspris!$A$1:$Q$913,15,FALSE)</f>
        <v>25235</v>
      </c>
      <c r="Y62" s="40">
        <f>VLOOKUP(A62,kurspris!$A$1:$Q$913,16,FALSE)</f>
        <v>27976</v>
      </c>
      <c r="Z62" s="40">
        <f t="shared" si="1"/>
        <v>49014.6</v>
      </c>
      <c r="AA62" s="40">
        <f>VLOOKUP(A62,kurspris!$A$1:$Q$913,17,FALSE)</f>
        <v>3600</v>
      </c>
      <c r="AB62" s="40">
        <f t="shared" si="2"/>
        <v>3600</v>
      </c>
      <c r="AC62" s="40">
        <f t="shared" si="3"/>
        <v>52614.6</v>
      </c>
      <c r="AD62" s="31">
        <f>VLOOKUP($A62,kurspris!$A$1:$Q$950,3,FALSE)</f>
        <v>0</v>
      </c>
      <c r="AE62" s="31">
        <f>VLOOKUP($A62,kurspris!$A$1:$Q$950,4,FALSE)</f>
        <v>0</v>
      </c>
      <c r="AF62" s="31">
        <f>VLOOKUP($A62,kurspris!$A$1:$Q$950,5,FALSE)</f>
        <v>0</v>
      </c>
      <c r="AG62" s="31">
        <f>VLOOKUP($A62,kurspris!$A$1:$Q$950,6,FALSE)</f>
        <v>0</v>
      </c>
      <c r="AH62" s="31">
        <f>VLOOKUP($A62,kurspris!$A$1:$Q$950,7,FALSE)</f>
        <v>0</v>
      </c>
      <c r="AI62" s="31">
        <f>VLOOKUP($A62,kurspris!$A$1:$Q$950,8,FALSE)</f>
        <v>0</v>
      </c>
      <c r="AJ62" s="31">
        <f>VLOOKUP($A62,kurspris!$A$1:$Q$950,9,FALSE)</f>
        <v>0</v>
      </c>
      <c r="AK62" s="31">
        <f>VLOOKUP($A62,kurspris!$A$1:$Q$950,10,FALSE)</f>
        <v>0</v>
      </c>
      <c r="AL62" s="31">
        <f>VLOOKUP($A62,kurspris!$A$1:$Q$950,11,FALSE)</f>
        <v>1</v>
      </c>
      <c r="AM62" s="31">
        <f>VLOOKUP($A62,kurspris!$A$1:$Q$950,12,FALSE)</f>
        <v>0</v>
      </c>
      <c r="AN62" s="31">
        <f>VLOOKUP($A62,kurspris!$A$1:$Q$950,13,FALSE)</f>
        <v>0</v>
      </c>
      <c r="AO62" s="31">
        <f>VLOOKUP($A62,kurspris!$A$1:$Q$950,14,FALSE)</f>
        <v>0</v>
      </c>
      <c r="AP62" s="57" t="s">
        <v>2506</v>
      </c>
      <c r="AQ62"/>
      <c r="AR62" s="31">
        <f t="shared" si="4"/>
        <v>0</v>
      </c>
      <c r="AS62" s="219">
        <f t="shared" si="5"/>
        <v>0</v>
      </c>
      <c r="AT62" s="31">
        <f t="shared" si="6"/>
        <v>0</v>
      </c>
      <c r="AU62" s="219">
        <f t="shared" si="7"/>
        <v>0</v>
      </c>
      <c r="AV62" s="31">
        <f t="shared" si="8"/>
        <v>0</v>
      </c>
      <c r="AW62" s="31">
        <f t="shared" si="9"/>
        <v>0</v>
      </c>
      <c r="AX62" s="31">
        <f t="shared" si="10"/>
        <v>0</v>
      </c>
      <c r="AY62" s="219">
        <f t="shared" si="11"/>
        <v>0</v>
      </c>
      <c r="AZ62" s="196">
        <f t="shared" si="12"/>
        <v>0</v>
      </c>
      <c r="BA62" s="219">
        <f t="shared" si="13"/>
        <v>0</v>
      </c>
      <c r="BB62" s="31">
        <f t="shared" si="14"/>
        <v>0</v>
      </c>
      <c r="BC62" s="219">
        <f t="shared" si="15"/>
        <v>0</v>
      </c>
      <c r="BD62" s="31">
        <f t="shared" si="16"/>
        <v>0</v>
      </c>
      <c r="BE62" s="219">
        <f t="shared" si="17"/>
        <v>0</v>
      </c>
      <c r="BF62" s="31">
        <f t="shared" si="18"/>
        <v>0</v>
      </c>
      <c r="BG62" s="219">
        <f t="shared" si="19"/>
        <v>0</v>
      </c>
      <c r="BH62" s="31">
        <f t="shared" si="20"/>
        <v>1</v>
      </c>
      <c r="BI62" s="219">
        <f t="shared" si="21"/>
        <v>0.85</v>
      </c>
      <c r="BJ62" s="31">
        <f t="shared" si="22"/>
        <v>0</v>
      </c>
      <c r="BK62" s="219">
        <f t="shared" si="23"/>
        <v>0</v>
      </c>
      <c r="BL62" s="31">
        <f t="shared" si="24"/>
        <v>0</v>
      </c>
      <c r="BM62" s="219">
        <f t="shared" si="25"/>
        <v>0</v>
      </c>
      <c r="BN62" s="31">
        <f t="shared" si="26"/>
        <v>0</v>
      </c>
      <c r="BO62" s="219">
        <f t="shared" si="27"/>
        <v>0</v>
      </c>
    </row>
    <row r="63" spans="1:67" x14ac:dyDescent="0.25">
      <c r="A63" s="31" t="s">
        <v>1837</v>
      </c>
      <c r="B63" s="176" t="str">
        <f>VLOOKUP(A63,kurspris!$A$1:$B$992,2,FALSE)</f>
        <v>Att undervisa i engelska (VFU)</v>
      </c>
      <c r="D63" s="60" t="s">
        <v>2155</v>
      </c>
      <c r="E63" s="576" t="s">
        <v>2434</v>
      </c>
      <c r="F63" s="31" t="s">
        <v>2273</v>
      </c>
      <c r="G63" s="31" t="s">
        <v>2444</v>
      </c>
      <c r="H63" s="31" t="s">
        <v>2335</v>
      </c>
      <c r="I63" s="31" t="s">
        <v>2276</v>
      </c>
      <c r="L63" s="38">
        <v>1</v>
      </c>
      <c r="M63" s="325">
        <v>6</v>
      </c>
      <c r="P63" s="31">
        <v>1</v>
      </c>
      <c r="Q63" s="196">
        <f t="shared" si="29"/>
        <v>0.1</v>
      </c>
      <c r="R63" s="38">
        <v>0.85</v>
      </c>
      <c r="S63" s="280">
        <f t="shared" si="0"/>
        <v>8.5000000000000006E-2</v>
      </c>
      <c r="T63" s="31">
        <f>VLOOKUP(A63,'Ansvar kurs'!$A$1:$C$1123,2,FALSE)</f>
        <v>1620</v>
      </c>
      <c r="U63" s="31" t="str">
        <f>VLOOKUP(T63,Orgenheter!$A$1:$C$166,2,FALSE)</f>
        <v>Inst för språkstudier</v>
      </c>
      <c r="V63" s="31" t="str">
        <f>VLOOKUP(T63,Orgenheter!$A$1:$C$166,3,FALSE)</f>
        <v>Hum</v>
      </c>
      <c r="W63" s="35" t="str">
        <f>VLOOKUP(D63,Program!$A$1:$B$36,2,FALSE)</f>
        <v>KPU - åk 7-9 och Gy</v>
      </c>
      <c r="X63" s="40">
        <f>VLOOKUP(A63,kurspris!$A$1:$Q$913,15,FALSE)</f>
        <v>25235</v>
      </c>
      <c r="Y63" s="40">
        <f>VLOOKUP(A63,kurspris!$A$1:$Q$913,16,FALSE)</f>
        <v>27976</v>
      </c>
      <c r="Z63" s="40">
        <f t="shared" si="1"/>
        <v>4901.46</v>
      </c>
      <c r="AA63" s="40">
        <f>VLOOKUP(A63,kurspris!$A$1:$Q$913,17,FALSE)</f>
        <v>3600</v>
      </c>
      <c r="AB63" s="40">
        <f t="shared" si="2"/>
        <v>360</v>
      </c>
      <c r="AC63" s="40">
        <f t="shared" si="3"/>
        <v>5261.46</v>
      </c>
      <c r="AD63" s="31">
        <f>VLOOKUP($A63,kurspris!$A$1:$Q$950,3,FALSE)</f>
        <v>0</v>
      </c>
      <c r="AE63" s="31">
        <f>VLOOKUP($A63,kurspris!$A$1:$Q$950,4,FALSE)</f>
        <v>0</v>
      </c>
      <c r="AF63" s="31">
        <f>VLOOKUP($A63,kurspris!$A$1:$Q$950,5,FALSE)</f>
        <v>0</v>
      </c>
      <c r="AG63" s="31">
        <f>VLOOKUP($A63,kurspris!$A$1:$Q$950,6,FALSE)</f>
        <v>0</v>
      </c>
      <c r="AH63" s="31">
        <f>VLOOKUP($A63,kurspris!$A$1:$Q$950,7,FALSE)</f>
        <v>0</v>
      </c>
      <c r="AI63" s="31">
        <f>VLOOKUP($A63,kurspris!$A$1:$Q$950,8,FALSE)</f>
        <v>0</v>
      </c>
      <c r="AJ63" s="31">
        <f>VLOOKUP($A63,kurspris!$A$1:$Q$950,9,FALSE)</f>
        <v>0</v>
      </c>
      <c r="AK63" s="31">
        <f>VLOOKUP($A63,kurspris!$A$1:$Q$950,10,FALSE)</f>
        <v>0</v>
      </c>
      <c r="AL63" s="31">
        <f>VLOOKUP($A63,kurspris!$A$1:$Q$950,11,FALSE)</f>
        <v>1</v>
      </c>
      <c r="AM63" s="31">
        <f>VLOOKUP($A63,kurspris!$A$1:$Q$950,12,FALSE)</f>
        <v>0</v>
      </c>
      <c r="AN63" s="31">
        <f>VLOOKUP($A63,kurspris!$A$1:$Q$950,13,FALSE)</f>
        <v>0</v>
      </c>
      <c r="AO63" s="31">
        <f>VLOOKUP($A63,kurspris!$A$1:$Q$950,14,FALSE)</f>
        <v>0</v>
      </c>
      <c r="AP63" s="57" t="s">
        <v>2502</v>
      </c>
      <c r="AQ63"/>
      <c r="AR63" s="31">
        <f t="shared" si="4"/>
        <v>0</v>
      </c>
      <c r="AS63" s="219">
        <f t="shared" si="5"/>
        <v>0</v>
      </c>
      <c r="AT63" s="31">
        <f t="shared" si="6"/>
        <v>0</v>
      </c>
      <c r="AU63" s="219">
        <f t="shared" si="7"/>
        <v>0</v>
      </c>
      <c r="AV63" s="31">
        <f t="shared" si="8"/>
        <v>0</v>
      </c>
      <c r="AW63" s="31">
        <f t="shared" si="9"/>
        <v>0</v>
      </c>
      <c r="AX63" s="31">
        <f t="shared" si="10"/>
        <v>0</v>
      </c>
      <c r="AY63" s="219">
        <f t="shared" si="11"/>
        <v>0</v>
      </c>
      <c r="AZ63" s="196">
        <f t="shared" si="12"/>
        <v>0</v>
      </c>
      <c r="BA63" s="219">
        <f t="shared" si="13"/>
        <v>0</v>
      </c>
      <c r="BB63" s="31">
        <f t="shared" si="14"/>
        <v>0</v>
      </c>
      <c r="BC63" s="219">
        <f t="shared" si="15"/>
        <v>0</v>
      </c>
      <c r="BD63" s="31">
        <f t="shared" si="16"/>
        <v>0</v>
      </c>
      <c r="BE63" s="219">
        <f t="shared" si="17"/>
        <v>0</v>
      </c>
      <c r="BF63" s="31">
        <f t="shared" si="18"/>
        <v>0</v>
      </c>
      <c r="BG63" s="219">
        <f t="shared" si="19"/>
        <v>0</v>
      </c>
      <c r="BH63" s="31">
        <f t="shared" si="20"/>
        <v>0.1</v>
      </c>
      <c r="BI63" s="219">
        <f t="shared" si="21"/>
        <v>8.5000000000000006E-2</v>
      </c>
      <c r="BJ63" s="31">
        <f t="shared" si="22"/>
        <v>0</v>
      </c>
      <c r="BK63" s="219">
        <f t="shared" si="23"/>
        <v>0</v>
      </c>
      <c r="BL63" s="31">
        <f t="shared" si="24"/>
        <v>0</v>
      </c>
      <c r="BM63" s="219">
        <f t="shared" si="25"/>
        <v>0</v>
      </c>
      <c r="BN63" s="31">
        <f t="shared" si="26"/>
        <v>0</v>
      </c>
      <c r="BO63" s="219">
        <f t="shared" si="27"/>
        <v>0</v>
      </c>
    </row>
    <row r="64" spans="1:67" x14ac:dyDescent="0.25">
      <c r="A64" s="31" t="s">
        <v>1855</v>
      </c>
      <c r="B64" s="176" t="str">
        <f>VLOOKUP(A64,kurspris!$A$1:$B$992,2,FALSE)</f>
        <v>Engelska för F-3, kurs 1</v>
      </c>
      <c r="C64" s="31">
        <v>71403</v>
      </c>
      <c r="D64" s="60" t="s">
        <v>485</v>
      </c>
      <c r="E64" s="60"/>
      <c r="F64" s="57" t="s">
        <v>2274</v>
      </c>
      <c r="H64" s="31" t="s">
        <v>2335</v>
      </c>
      <c r="I64" s="31" t="s">
        <v>2399</v>
      </c>
      <c r="L64" s="38"/>
      <c r="M64">
        <v>7.5</v>
      </c>
      <c r="P64" s="31">
        <v>53</v>
      </c>
      <c r="Q64" s="539">
        <v>6.625</v>
      </c>
      <c r="R64" s="38">
        <v>0.85</v>
      </c>
      <c r="S64" s="280">
        <f t="shared" si="0"/>
        <v>5.6312499999999996</v>
      </c>
      <c r="T64" s="31">
        <f>VLOOKUP(A64,'Ansvar kurs'!$A$1:$C$1123,2,FALSE)</f>
        <v>1620</v>
      </c>
      <c r="U64" s="31" t="str">
        <f>VLOOKUP(T64,Orgenheter!$A$1:$C$166,2,FALSE)</f>
        <v>Inst för språkstudier</v>
      </c>
      <c r="V64" s="31" t="str">
        <f>VLOOKUP(T64,Orgenheter!$A$1:$C$166,3,FALSE)</f>
        <v>Hum</v>
      </c>
      <c r="W64" s="35" t="str">
        <f>VLOOKUP(D64,Program!$A$1:$B$36,2,FALSE)</f>
        <v>Grundlärarprogrammet - förskoleklass och åk 1-3</v>
      </c>
      <c r="X64" s="40">
        <f>VLOOKUP(A64,kurspris!$A$1:$Q$913,15,FALSE)</f>
        <v>20766</v>
      </c>
      <c r="Y64" s="40">
        <f>VLOOKUP(A64,kurspris!$A$1:$Q$913,16,FALSE)</f>
        <v>17442</v>
      </c>
      <c r="Z64" s="40">
        <f t="shared" si="1"/>
        <v>235795.01250000001</v>
      </c>
      <c r="AA64" s="40">
        <f>VLOOKUP(A64,kurspris!$A$1:$Q$913,17,FALSE)</f>
        <v>6000</v>
      </c>
      <c r="AB64" s="40">
        <f t="shared" si="2"/>
        <v>39750</v>
      </c>
      <c r="AC64" s="40">
        <f t="shared" si="3"/>
        <v>275545.01250000001</v>
      </c>
      <c r="AD64" s="31">
        <f>VLOOKUP($A64,kurspris!$A$1:$Q$950,3,FALSE)</f>
        <v>0</v>
      </c>
      <c r="AE64" s="31">
        <f>VLOOKUP($A64,kurspris!$A$1:$Q$950,4,FALSE)</f>
        <v>1</v>
      </c>
      <c r="AF64" s="31">
        <f>VLOOKUP($A64,kurspris!$A$1:$Q$950,5,FALSE)</f>
        <v>0</v>
      </c>
      <c r="AG64" s="31">
        <f>VLOOKUP($A64,kurspris!$A$1:$Q$950,6,FALSE)</f>
        <v>0</v>
      </c>
      <c r="AH64" s="31">
        <f>VLOOKUP($A64,kurspris!$A$1:$Q$950,7,FALSE)</f>
        <v>0</v>
      </c>
      <c r="AI64" s="31">
        <f>VLOOKUP($A64,kurspris!$A$1:$Q$950,8,FALSE)</f>
        <v>0</v>
      </c>
      <c r="AJ64" s="31">
        <f>VLOOKUP($A64,kurspris!$A$1:$Q$950,9,FALSE)</f>
        <v>0</v>
      </c>
      <c r="AK64" s="31">
        <f>VLOOKUP($A64,kurspris!$A$1:$Q$950,10,FALSE)</f>
        <v>0</v>
      </c>
      <c r="AL64" s="31">
        <f>VLOOKUP($A64,kurspris!$A$1:$Q$950,11,FALSE)</f>
        <v>0</v>
      </c>
      <c r="AM64" s="31">
        <f>VLOOKUP($A64,kurspris!$A$1:$Q$950,12,FALSE)</f>
        <v>0</v>
      </c>
      <c r="AN64" s="31">
        <f>VLOOKUP($A64,kurspris!$A$1:$Q$950,13,FALSE)</f>
        <v>0</v>
      </c>
      <c r="AO64" s="31">
        <f>VLOOKUP($A64,kurspris!$A$1:$Q$950,14,FALSE)</f>
        <v>0</v>
      </c>
      <c r="AP64" s="57" t="s">
        <v>2402</v>
      </c>
      <c r="AQ64"/>
      <c r="AR64" s="31">
        <f t="shared" si="4"/>
        <v>0</v>
      </c>
      <c r="AS64" s="219">
        <f t="shared" si="5"/>
        <v>0</v>
      </c>
      <c r="AT64" s="31">
        <f t="shared" si="6"/>
        <v>6.625</v>
      </c>
      <c r="AU64" s="219">
        <f t="shared" si="7"/>
        <v>5.6312499999999996</v>
      </c>
      <c r="AV64" s="31">
        <f t="shared" si="8"/>
        <v>0</v>
      </c>
      <c r="AW64" s="31">
        <f t="shared" si="9"/>
        <v>0</v>
      </c>
      <c r="AX64" s="31">
        <f t="shared" si="10"/>
        <v>0</v>
      </c>
      <c r="AY64" s="219">
        <f t="shared" si="11"/>
        <v>0</v>
      </c>
      <c r="AZ64" s="196">
        <f t="shared" si="12"/>
        <v>0</v>
      </c>
      <c r="BA64" s="219">
        <f t="shared" si="13"/>
        <v>0</v>
      </c>
      <c r="BB64" s="31">
        <f t="shared" si="14"/>
        <v>0</v>
      </c>
      <c r="BC64" s="219">
        <f t="shared" si="15"/>
        <v>0</v>
      </c>
      <c r="BD64" s="31">
        <f t="shared" si="16"/>
        <v>0</v>
      </c>
      <c r="BE64" s="219">
        <f t="shared" si="17"/>
        <v>0</v>
      </c>
      <c r="BF64" s="31">
        <f t="shared" si="18"/>
        <v>0</v>
      </c>
      <c r="BG64" s="219">
        <f t="shared" si="19"/>
        <v>0</v>
      </c>
      <c r="BH64" s="31">
        <f t="shared" si="20"/>
        <v>0</v>
      </c>
      <c r="BI64" s="219">
        <f t="shared" si="21"/>
        <v>0</v>
      </c>
      <c r="BJ64" s="31">
        <f t="shared" si="22"/>
        <v>0</v>
      </c>
      <c r="BK64" s="219">
        <f t="shared" si="23"/>
        <v>0</v>
      </c>
      <c r="BL64" s="31">
        <f t="shared" si="24"/>
        <v>0</v>
      </c>
      <c r="BM64" s="219">
        <f t="shared" si="25"/>
        <v>0</v>
      </c>
      <c r="BN64" s="31">
        <f t="shared" si="26"/>
        <v>0</v>
      </c>
      <c r="BO64" s="219">
        <f t="shared" si="27"/>
        <v>0</v>
      </c>
    </row>
    <row r="65" spans="1:67" x14ac:dyDescent="0.25">
      <c r="A65" s="31" t="s">
        <v>1856</v>
      </c>
      <c r="B65" s="176" t="str">
        <f>VLOOKUP(A65,kurspris!$A$1:$B$992,2,FALSE)</f>
        <v>Engelska för åk 4-6, kurs 1</v>
      </c>
      <c r="C65" s="31">
        <v>71405</v>
      </c>
      <c r="D65" s="31" t="s">
        <v>523</v>
      </c>
      <c r="F65" s="57" t="s">
        <v>2274</v>
      </c>
      <c r="H65" s="31" t="s">
        <v>2335</v>
      </c>
      <c r="I65" s="31" t="s">
        <v>2399</v>
      </c>
      <c r="L65" s="38"/>
      <c r="M65">
        <v>7.5</v>
      </c>
      <c r="P65" s="31">
        <v>48</v>
      </c>
      <c r="Q65" s="539">
        <v>6</v>
      </c>
      <c r="R65" s="38">
        <v>0.85</v>
      </c>
      <c r="S65" s="280">
        <f t="shared" si="0"/>
        <v>5.0999999999999996</v>
      </c>
      <c r="T65" s="31">
        <f>VLOOKUP(A65,'Ansvar kurs'!$A$1:$C$1123,2,FALSE)</f>
        <v>1620</v>
      </c>
      <c r="U65" s="31" t="str">
        <f>VLOOKUP(T65,Orgenheter!$A$1:$C$166,2,FALSE)</f>
        <v>Inst för språkstudier</v>
      </c>
      <c r="V65" s="31" t="str">
        <f>VLOOKUP(T65,Orgenheter!$A$1:$C$166,3,FALSE)</f>
        <v>Hum</v>
      </c>
      <c r="W65" s="35" t="str">
        <f>VLOOKUP(D65,Program!$A$1:$B$36,2,FALSE)</f>
        <v>Grundlärarprogrammet - grundskolans åk 4-6</v>
      </c>
      <c r="X65" s="40">
        <f>VLOOKUP(A65,kurspris!$A$1:$Q$913,15,FALSE)</f>
        <v>20766</v>
      </c>
      <c r="Y65" s="40">
        <f>VLOOKUP(A65,kurspris!$A$1:$Q$913,16,FALSE)</f>
        <v>17442</v>
      </c>
      <c r="Z65" s="40">
        <f t="shared" si="1"/>
        <v>213550.2</v>
      </c>
      <c r="AA65" s="40">
        <f>VLOOKUP(A65,kurspris!$A$1:$Q$913,17,FALSE)</f>
        <v>6000</v>
      </c>
      <c r="AB65" s="40">
        <f t="shared" si="2"/>
        <v>36000</v>
      </c>
      <c r="AC65" s="40">
        <f t="shared" si="3"/>
        <v>249550.2</v>
      </c>
      <c r="AD65" s="31">
        <f>VLOOKUP($A65,kurspris!$A$1:$Q$950,3,FALSE)</f>
        <v>0</v>
      </c>
      <c r="AE65" s="31">
        <f>VLOOKUP($A65,kurspris!$A$1:$Q$950,4,FALSE)</f>
        <v>1</v>
      </c>
      <c r="AF65" s="31">
        <f>VLOOKUP($A65,kurspris!$A$1:$Q$950,5,FALSE)</f>
        <v>0</v>
      </c>
      <c r="AG65" s="31">
        <f>VLOOKUP($A65,kurspris!$A$1:$Q$950,6,FALSE)</f>
        <v>0</v>
      </c>
      <c r="AH65" s="31">
        <f>VLOOKUP($A65,kurspris!$A$1:$Q$950,7,FALSE)</f>
        <v>0</v>
      </c>
      <c r="AI65" s="31">
        <f>VLOOKUP($A65,kurspris!$A$1:$Q$950,8,FALSE)</f>
        <v>0</v>
      </c>
      <c r="AJ65" s="31">
        <f>VLOOKUP($A65,kurspris!$A$1:$Q$950,9,FALSE)</f>
        <v>0</v>
      </c>
      <c r="AK65" s="31">
        <f>VLOOKUP($A65,kurspris!$A$1:$Q$950,10,FALSE)</f>
        <v>0</v>
      </c>
      <c r="AL65" s="31">
        <f>VLOOKUP($A65,kurspris!$A$1:$Q$950,11,FALSE)</f>
        <v>0</v>
      </c>
      <c r="AM65" s="31">
        <f>VLOOKUP($A65,kurspris!$A$1:$Q$950,12,FALSE)</f>
        <v>0</v>
      </c>
      <c r="AN65" s="31">
        <f>VLOOKUP($A65,kurspris!$A$1:$Q$950,13,FALSE)</f>
        <v>0</v>
      </c>
      <c r="AO65" s="31">
        <f>VLOOKUP($A65,kurspris!$A$1:$Q$950,14,FALSE)</f>
        <v>0</v>
      </c>
      <c r="AP65" s="57" t="s">
        <v>2402</v>
      </c>
      <c r="AQ65" s="37"/>
      <c r="AR65" s="31">
        <f t="shared" si="4"/>
        <v>0</v>
      </c>
      <c r="AS65" s="219">
        <f t="shared" si="5"/>
        <v>0</v>
      </c>
      <c r="AT65" s="31">
        <f t="shared" si="6"/>
        <v>6</v>
      </c>
      <c r="AU65" s="219">
        <f t="shared" si="7"/>
        <v>5.0999999999999996</v>
      </c>
      <c r="AV65" s="31">
        <f t="shared" si="8"/>
        <v>0</v>
      </c>
      <c r="AW65" s="31">
        <f t="shared" si="9"/>
        <v>0</v>
      </c>
      <c r="AX65" s="31">
        <f t="shared" si="10"/>
        <v>0</v>
      </c>
      <c r="AY65" s="219">
        <f t="shared" si="11"/>
        <v>0</v>
      </c>
      <c r="AZ65" s="196">
        <f t="shared" si="12"/>
        <v>0</v>
      </c>
      <c r="BA65" s="219">
        <f t="shared" si="13"/>
        <v>0</v>
      </c>
      <c r="BB65" s="31">
        <f t="shared" si="14"/>
        <v>0</v>
      </c>
      <c r="BC65" s="219">
        <f t="shared" si="15"/>
        <v>0</v>
      </c>
      <c r="BD65" s="31">
        <f t="shared" si="16"/>
        <v>0</v>
      </c>
      <c r="BE65" s="219">
        <f t="shared" si="17"/>
        <v>0</v>
      </c>
      <c r="BF65" s="31">
        <f t="shared" si="18"/>
        <v>0</v>
      </c>
      <c r="BG65" s="219">
        <f t="shared" si="19"/>
        <v>0</v>
      </c>
      <c r="BH65" s="31">
        <f t="shared" si="20"/>
        <v>0</v>
      </c>
      <c r="BI65" s="219">
        <f t="shared" si="21"/>
        <v>0</v>
      </c>
      <c r="BJ65" s="31">
        <f t="shared" si="22"/>
        <v>0</v>
      </c>
      <c r="BK65" s="219">
        <f t="shared" si="23"/>
        <v>0</v>
      </c>
      <c r="BL65" s="31">
        <f t="shared" si="24"/>
        <v>0</v>
      </c>
      <c r="BM65" s="219">
        <f t="shared" si="25"/>
        <v>0</v>
      </c>
      <c r="BN65" s="31">
        <f t="shared" si="26"/>
        <v>0</v>
      </c>
      <c r="BO65" s="219">
        <f t="shared" si="27"/>
        <v>0</v>
      </c>
    </row>
    <row r="66" spans="1:67" x14ac:dyDescent="0.25">
      <c r="A66" s="31" t="s">
        <v>1924</v>
      </c>
      <c r="B66" s="176" t="str">
        <f>VLOOKUP(A66,kurspris!$A$1:$B$992,2,FALSE)</f>
        <v>Engelska för F-3, kurs 2</v>
      </c>
      <c r="D66" s="60" t="s">
        <v>485</v>
      </c>
      <c r="E66" s="576" t="s">
        <v>2432</v>
      </c>
      <c r="F66" s="31" t="s">
        <v>2273</v>
      </c>
      <c r="G66" t="s">
        <v>2439</v>
      </c>
      <c r="H66" t="s">
        <v>2335</v>
      </c>
      <c r="I66" s="31" t="s">
        <v>2276</v>
      </c>
      <c r="L66" s="38">
        <v>1</v>
      </c>
      <c r="M66">
        <v>7.5</v>
      </c>
      <c r="P66" s="31">
        <v>46</v>
      </c>
      <c r="Q66" s="196">
        <f>(M66/60)*P66</f>
        <v>5.75</v>
      </c>
      <c r="R66" s="38">
        <v>0.85</v>
      </c>
      <c r="S66" s="280">
        <f t="shared" ref="S66:S129" si="30">Q66*R66</f>
        <v>4.8875000000000002</v>
      </c>
      <c r="T66" s="31">
        <f>VLOOKUP(A66,'Ansvar kurs'!$A$1:$C$1123,2,FALSE)</f>
        <v>1620</v>
      </c>
      <c r="U66" s="31" t="str">
        <f>VLOOKUP(T66,Orgenheter!$A$1:$C$166,2,FALSE)</f>
        <v>Inst för språkstudier</v>
      </c>
      <c r="V66" s="31" t="str">
        <f>VLOOKUP(T66,Orgenheter!$A$1:$C$166,3,FALSE)</f>
        <v>Hum</v>
      </c>
      <c r="W66" s="35" t="str">
        <f>VLOOKUP(D66,Program!$A$1:$B$36,2,FALSE)</f>
        <v>Grundlärarprogrammet - förskoleklass och åk 1-3</v>
      </c>
      <c r="X66" s="40">
        <f>VLOOKUP(A66,kurspris!$A$1:$Q$913,15,FALSE)</f>
        <v>20766</v>
      </c>
      <c r="Y66" s="40">
        <f>VLOOKUP(A66,kurspris!$A$1:$Q$913,16,FALSE)</f>
        <v>17442</v>
      </c>
      <c r="Z66" s="40">
        <f t="shared" ref="Z66:Z129" si="31">X66*Q66+S66*Y66</f>
        <v>204652.27500000002</v>
      </c>
      <c r="AA66" s="40">
        <f>VLOOKUP(A66,kurspris!$A$1:$Q$913,17,FALSE)</f>
        <v>6000</v>
      </c>
      <c r="AB66" s="40">
        <f t="shared" ref="AB66:AB129" si="32">AA66*Q66</f>
        <v>34500</v>
      </c>
      <c r="AC66" s="40">
        <f t="shared" ref="AC66:AC129" si="33">Z66+AB66</f>
        <v>239152.27500000002</v>
      </c>
      <c r="AD66" s="31">
        <f>VLOOKUP($A66,kurspris!$A$1:$Q$950,3,FALSE)</f>
        <v>0</v>
      </c>
      <c r="AE66" s="31">
        <f>VLOOKUP($A66,kurspris!$A$1:$Q$950,4,FALSE)</f>
        <v>1</v>
      </c>
      <c r="AF66" s="31">
        <f>VLOOKUP($A66,kurspris!$A$1:$Q$950,5,FALSE)</f>
        <v>0</v>
      </c>
      <c r="AG66" s="31">
        <f>VLOOKUP($A66,kurspris!$A$1:$Q$950,6,FALSE)</f>
        <v>0</v>
      </c>
      <c r="AH66" s="31">
        <f>VLOOKUP($A66,kurspris!$A$1:$Q$950,7,FALSE)</f>
        <v>0</v>
      </c>
      <c r="AI66" s="31">
        <f>VLOOKUP($A66,kurspris!$A$1:$Q$950,8,FALSE)</f>
        <v>0</v>
      </c>
      <c r="AJ66" s="31">
        <f>VLOOKUP($A66,kurspris!$A$1:$Q$950,9,FALSE)</f>
        <v>0</v>
      </c>
      <c r="AK66" s="31">
        <f>VLOOKUP($A66,kurspris!$A$1:$Q$950,10,FALSE)</f>
        <v>0</v>
      </c>
      <c r="AL66" s="31">
        <f>VLOOKUP($A66,kurspris!$A$1:$Q$950,11,FALSE)</f>
        <v>0</v>
      </c>
      <c r="AM66" s="31">
        <f>VLOOKUP($A66,kurspris!$A$1:$Q$950,12,FALSE)</f>
        <v>0</v>
      </c>
      <c r="AN66" s="31">
        <f>VLOOKUP($A66,kurspris!$A$1:$Q$950,13,FALSE)</f>
        <v>0</v>
      </c>
      <c r="AO66" s="31">
        <f>VLOOKUP($A66,kurspris!$A$1:$Q$950,14,FALSE)</f>
        <v>0</v>
      </c>
      <c r="AP66" s="57" t="s">
        <v>2504</v>
      </c>
      <c r="AQ66"/>
      <c r="AR66" s="31">
        <f t="shared" ref="AR66:AR129" si="34">$Q66*AD66</f>
        <v>0</v>
      </c>
      <c r="AS66" s="219">
        <f t="shared" ref="AS66:AS129" si="35">$S66*AD66</f>
        <v>0</v>
      </c>
      <c r="AT66" s="31">
        <f t="shared" ref="AT66:AT129" si="36">$Q66*AE66</f>
        <v>5.75</v>
      </c>
      <c r="AU66" s="219">
        <f t="shared" ref="AU66:AU129" si="37">$S66*AE66</f>
        <v>4.8875000000000002</v>
      </c>
      <c r="AV66" s="31">
        <f t="shared" ref="AV66:AV129" si="38">$Q66*AF66</f>
        <v>0</v>
      </c>
      <c r="AW66" s="31">
        <f t="shared" ref="AW66:AW129" si="39">$S66*AF66</f>
        <v>0</v>
      </c>
      <c r="AX66" s="31">
        <f t="shared" ref="AX66:AX129" si="40">$Q66*AG66</f>
        <v>0</v>
      </c>
      <c r="AY66" s="219">
        <f t="shared" ref="AY66:AY129" si="41">$S66*AG66</f>
        <v>0</v>
      </c>
      <c r="AZ66" s="196">
        <f t="shared" ref="AZ66:AZ129" si="42">$Q66*AH66</f>
        <v>0</v>
      </c>
      <c r="BA66" s="219">
        <f t="shared" ref="BA66:BA129" si="43">$S66*AH66</f>
        <v>0</v>
      </c>
      <c r="BB66" s="31">
        <f t="shared" ref="BB66:BB129" si="44">$Q66*AI66</f>
        <v>0</v>
      </c>
      <c r="BC66" s="219">
        <f t="shared" ref="BC66:BC129" si="45">$S66*AI66</f>
        <v>0</v>
      </c>
      <c r="BD66" s="31">
        <f t="shared" ref="BD66:BD129" si="46">$Q66*AJ66</f>
        <v>0</v>
      </c>
      <c r="BE66" s="219">
        <f t="shared" ref="BE66:BE129" si="47">$S66*AJ66</f>
        <v>0</v>
      </c>
      <c r="BF66" s="31">
        <f t="shared" ref="BF66:BF129" si="48">$Q66*AK66</f>
        <v>0</v>
      </c>
      <c r="BG66" s="219">
        <f t="shared" ref="BG66:BG129" si="49">$S66*AK66</f>
        <v>0</v>
      </c>
      <c r="BH66" s="31">
        <f t="shared" ref="BH66:BH129" si="50">$Q66*AL66</f>
        <v>0</v>
      </c>
      <c r="BI66" s="219">
        <f t="shared" ref="BI66:BI129" si="51">$S66*AL66</f>
        <v>0</v>
      </c>
      <c r="BJ66" s="31">
        <f t="shared" ref="BJ66:BJ129" si="52">$Q66*AM66</f>
        <v>0</v>
      </c>
      <c r="BK66" s="219">
        <f t="shared" ref="BK66:BK129" si="53">$S66*AM66</f>
        <v>0</v>
      </c>
      <c r="BL66" s="31">
        <f t="shared" ref="BL66:BL129" si="54">$Q66*AN66</f>
        <v>0</v>
      </c>
      <c r="BM66" s="219">
        <f t="shared" ref="BM66:BM129" si="55">$S66*AN66</f>
        <v>0</v>
      </c>
      <c r="BN66" s="31">
        <f t="shared" ref="BN66:BN129" si="56">$Q66*AO66</f>
        <v>0</v>
      </c>
      <c r="BO66" s="219">
        <f t="shared" ref="BO66:BO129" si="57">$S66*AO66</f>
        <v>0</v>
      </c>
    </row>
    <row r="67" spans="1:67" x14ac:dyDescent="0.25">
      <c r="A67" s="31" t="s">
        <v>1925</v>
      </c>
      <c r="B67" s="176" t="str">
        <f>VLOOKUP(A67,kurspris!$A$1:$B$992,2,FALSE)</f>
        <v>Engelska för åk 4-6, kurs 2</v>
      </c>
      <c r="D67" s="60" t="s">
        <v>523</v>
      </c>
      <c r="E67" s="576" t="s">
        <v>2432</v>
      </c>
      <c r="F67" s="31" t="s">
        <v>2273</v>
      </c>
      <c r="G67" t="s">
        <v>2439</v>
      </c>
      <c r="H67" t="s">
        <v>2335</v>
      </c>
      <c r="I67" s="31" t="s">
        <v>2276</v>
      </c>
      <c r="L67" s="38">
        <v>1</v>
      </c>
      <c r="M67">
        <v>7.5</v>
      </c>
      <c r="P67" s="31">
        <v>42</v>
      </c>
      <c r="Q67" s="196">
        <f>(M67/60)*P67</f>
        <v>5.25</v>
      </c>
      <c r="R67" s="38">
        <v>0.85</v>
      </c>
      <c r="S67" s="280">
        <f t="shared" si="30"/>
        <v>4.4624999999999995</v>
      </c>
      <c r="T67" s="31">
        <f>VLOOKUP(A67,'Ansvar kurs'!$A$1:$C$1123,2,FALSE)</f>
        <v>1620</v>
      </c>
      <c r="U67" s="31" t="str">
        <f>VLOOKUP(T67,Orgenheter!$A$1:$C$166,2,FALSE)</f>
        <v>Inst för språkstudier</v>
      </c>
      <c r="V67" s="31" t="str">
        <f>VLOOKUP(T67,Orgenheter!$A$1:$C$166,3,FALSE)</f>
        <v>Hum</v>
      </c>
      <c r="W67" s="35" t="str">
        <f>VLOOKUP(D67,Program!$A$1:$B$36,2,FALSE)</f>
        <v>Grundlärarprogrammet - grundskolans åk 4-6</v>
      </c>
      <c r="X67" s="40">
        <f>VLOOKUP(A67,kurspris!$A$1:$Q$913,15,FALSE)</f>
        <v>20766</v>
      </c>
      <c r="Y67" s="40">
        <f>VLOOKUP(A67,kurspris!$A$1:$Q$913,16,FALSE)</f>
        <v>17442</v>
      </c>
      <c r="Z67" s="40">
        <f t="shared" si="31"/>
        <v>186856.42499999999</v>
      </c>
      <c r="AA67" s="40">
        <f>VLOOKUP(A67,kurspris!$A$1:$Q$913,17,FALSE)</f>
        <v>6000</v>
      </c>
      <c r="AB67" s="40">
        <f t="shared" si="32"/>
        <v>31500</v>
      </c>
      <c r="AC67" s="40">
        <f t="shared" si="33"/>
        <v>218356.42499999999</v>
      </c>
      <c r="AD67" s="31">
        <f>VLOOKUP($A67,kurspris!$A$1:$Q$950,3,FALSE)</f>
        <v>0</v>
      </c>
      <c r="AE67" s="31">
        <f>VLOOKUP($A67,kurspris!$A$1:$Q$950,4,FALSE)</f>
        <v>1</v>
      </c>
      <c r="AF67" s="31">
        <f>VLOOKUP($A67,kurspris!$A$1:$Q$950,5,FALSE)</f>
        <v>0</v>
      </c>
      <c r="AG67" s="31">
        <f>VLOOKUP($A67,kurspris!$A$1:$Q$950,6,FALSE)</f>
        <v>0</v>
      </c>
      <c r="AH67" s="31">
        <f>VLOOKUP($A67,kurspris!$A$1:$Q$950,7,FALSE)</f>
        <v>0</v>
      </c>
      <c r="AI67" s="31">
        <f>VLOOKUP($A67,kurspris!$A$1:$Q$950,8,FALSE)</f>
        <v>0</v>
      </c>
      <c r="AJ67" s="31">
        <f>VLOOKUP($A67,kurspris!$A$1:$Q$950,9,FALSE)</f>
        <v>0</v>
      </c>
      <c r="AK67" s="31">
        <f>VLOOKUP($A67,kurspris!$A$1:$Q$950,10,FALSE)</f>
        <v>0</v>
      </c>
      <c r="AL67" s="31">
        <f>VLOOKUP($A67,kurspris!$A$1:$Q$950,11,FALSE)</f>
        <v>0</v>
      </c>
      <c r="AM67" s="31">
        <f>VLOOKUP($A67,kurspris!$A$1:$Q$950,12,FALSE)</f>
        <v>0</v>
      </c>
      <c r="AN67" s="31">
        <f>VLOOKUP($A67,kurspris!$A$1:$Q$950,13,FALSE)</f>
        <v>0</v>
      </c>
      <c r="AO67" s="31">
        <f>VLOOKUP($A67,kurspris!$A$1:$Q$950,14,FALSE)</f>
        <v>0</v>
      </c>
      <c r="AP67" s="57" t="s">
        <v>2504</v>
      </c>
      <c r="AQ67"/>
      <c r="AR67" s="31">
        <f t="shared" si="34"/>
        <v>0</v>
      </c>
      <c r="AS67" s="219">
        <f t="shared" si="35"/>
        <v>0</v>
      </c>
      <c r="AT67" s="31">
        <f t="shared" si="36"/>
        <v>5.25</v>
      </c>
      <c r="AU67" s="219">
        <f t="shared" si="37"/>
        <v>4.4624999999999995</v>
      </c>
      <c r="AV67" s="31">
        <f t="shared" si="38"/>
        <v>0</v>
      </c>
      <c r="AW67" s="31">
        <f t="shared" si="39"/>
        <v>0</v>
      </c>
      <c r="AX67" s="31">
        <f t="shared" si="40"/>
        <v>0</v>
      </c>
      <c r="AY67" s="219">
        <f t="shared" si="41"/>
        <v>0</v>
      </c>
      <c r="AZ67" s="196">
        <f t="shared" si="42"/>
        <v>0</v>
      </c>
      <c r="BA67" s="219">
        <f t="shared" si="43"/>
        <v>0</v>
      </c>
      <c r="BB67" s="31">
        <f t="shared" si="44"/>
        <v>0</v>
      </c>
      <c r="BC67" s="219">
        <f t="shared" si="45"/>
        <v>0</v>
      </c>
      <c r="BD67" s="31">
        <f t="shared" si="46"/>
        <v>0</v>
      </c>
      <c r="BE67" s="219">
        <f t="shared" si="47"/>
        <v>0</v>
      </c>
      <c r="BF67" s="31">
        <f t="shared" si="48"/>
        <v>0</v>
      </c>
      <c r="BG67" s="219">
        <f t="shared" si="49"/>
        <v>0</v>
      </c>
      <c r="BH67" s="31">
        <f t="shared" si="50"/>
        <v>0</v>
      </c>
      <c r="BI67" s="219">
        <f t="shared" si="51"/>
        <v>0</v>
      </c>
      <c r="BJ67" s="31">
        <f t="shared" si="52"/>
        <v>0</v>
      </c>
      <c r="BK67" s="219">
        <f t="shared" si="53"/>
        <v>0</v>
      </c>
      <c r="BL67" s="31">
        <f t="shared" si="54"/>
        <v>0</v>
      </c>
      <c r="BM67" s="219">
        <f t="shared" si="55"/>
        <v>0</v>
      </c>
      <c r="BN67" s="31">
        <f t="shared" si="56"/>
        <v>0</v>
      </c>
      <c r="BO67" s="219">
        <f t="shared" si="57"/>
        <v>0</v>
      </c>
    </row>
    <row r="68" spans="1:67" x14ac:dyDescent="0.25">
      <c r="A68" s="31" t="s">
        <v>1926</v>
      </c>
      <c r="B68" s="176" t="str">
        <f>VLOOKUP(A68,kurspris!$A$1:$B$992,2,FALSE)</f>
        <v>Engelska för åk 4-6, kurs 3</v>
      </c>
      <c r="D68" s="60" t="s">
        <v>523</v>
      </c>
      <c r="E68" s="576" t="s">
        <v>2226</v>
      </c>
      <c r="F68" s="31" t="s">
        <v>2273</v>
      </c>
      <c r="G68" t="s">
        <v>2440</v>
      </c>
      <c r="H68" t="s">
        <v>2335</v>
      </c>
      <c r="I68" s="31" t="s">
        <v>2276</v>
      </c>
      <c r="L68" s="38">
        <v>1</v>
      </c>
      <c r="M68">
        <v>15</v>
      </c>
      <c r="P68" s="31">
        <v>1</v>
      </c>
      <c r="Q68" s="196">
        <f>(M68/60)*P68</f>
        <v>0.25</v>
      </c>
      <c r="R68" s="38">
        <v>0.85</v>
      </c>
      <c r="S68" s="280">
        <f t="shared" si="30"/>
        <v>0.21249999999999999</v>
      </c>
      <c r="T68" s="31">
        <f>VLOOKUP(A68,'Ansvar kurs'!$A$1:$C$1123,2,FALSE)</f>
        <v>1620</v>
      </c>
      <c r="U68" s="31" t="str">
        <f>VLOOKUP(T68,Orgenheter!$A$1:$C$166,2,FALSE)</f>
        <v>Inst för språkstudier</v>
      </c>
      <c r="V68" s="31" t="str">
        <f>VLOOKUP(T68,Orgenheter!$A$1:$C$166,3,FALSE)</f>
        <v>Hum</v>
      </c>
      <c r="W68" s="35" t="str">
        <f>VLOOKUP(D68,Program!$A$1:$B$36,2,FALSE)</f>
        <v>Grundlärarprogrammet - grundskolans åk 4-6</v>
      </c>
      <c r="X68" s="40">
        <f>VLOOKUP(A68,kurspris!$A$1:$Q$913,15,FALSE)</f>
        <v>20766</v>
      </c>
      <c r="Y68" s="40">
        <f>VLOOKUP(A68,kurspris!$A$1:$Q$913,16,FALSE)</f>
        <v>17442</v>
      </c>
      <c r="Z68" s="40">
        <f t="shared" si="31"/>
        <v>8897.9249999999993</v>
      </c>
      <c r="AA68" s="40">
        <f>VLOOKUP(A68,kurspris!$A$1:$Q$913,17,FALSE)</f>
        <v>6000</v>
      </c>
      <c r="AB68" s="40">
        <f t="shared" si="32"/>
        <v>1500</v>
      </c>
      <c r="AC68" s="40">
        <f t="shared" si="33"/>
        <v>10397.924999999999</v>
      </c>
      <c r="AD68" s="31">
        <f>VLOOKUP($A68,kurspris!$A$1:$Q$950,3,FALSE)</f>
        <v>0</v>
      </c>
      <c r="AE68" s="31">
        <f>VLOOKUP($A68,kurspris!$A$1:$Q$950,4,FALSE)</f>
        <v>1</v>
      </c>
      <c r="AF68" s="31">
        <f>VLOOKUP($A68,kurspris!$A$1:$Q$950,5,FALSE)</f>
        <v>0</v>
      </c>
      <c r="AG68" s="31">
        <f>VLOOKUP($A68,kurspris!$A$1:$Q$950,6,FALSE)</f>
        <v>0</v>
      </c>
      <c r="AH68" s="31">
        <f>VLOOKUP($A68,kurspris!$A$1:$Q$950,7,FALSE)</f>
        <v>0</v>
      </c>
      <c r="AI68" s="31">
        <f>VLOOKUP($A68,kurspris!$A$1:$Q$950,8,FALSE)</f>
        <v>0</v>
      </c>
      <c r="AJ68" s="31">
        <f>VLOOKUP($A68,kurspris!$A$1:$Q$950,9,FALSE)</f>
        <v>0</v>
      </c>
      <c r="AK68" s="31">
        <f>VLOOKUP($A68,kurspris!$A$1:$Q$950,10,FALSE)</f>
        <v>0</v>
      </c>
      <c r="AL68" s="31">
        <f>VLOOKUP($A68,kurspris!$A$1:$Q$950,11,FALSE)</f>
        <v>0</v>
      </c>
      <c r="AM68" s="31">
        <f>VLOOKUP($A68,kurspris!$A$1:$Q$950,12,FALSE)</f>
        <v>0</v>
      </c>
      <c r="AN68" s="31">
        <f>VLOOKUP($A68,kurspris!$A$1:$Q$950,13,FALSE)</f>
        <v>0</v>
      </c>
      <c r="AO68" s="31">
        <f>VLOOKUP($A68,kurspris!$A$1:$Q$950,14,FALSE)</f>
        <v>0</v>
      </c>
      <c r="AP68" s="57" t="s">
        <v>2504</v>
      </c>
      <c r="AQ68"/>
      <c r="AR68" s="31">
        <f t="shared" si="34"/>
        <v>0</v>
      </c>
      <c r="AS68" s="219">
        <f t="shared" si="35"/>
        <v>0</v>
      </c>
      <c r="AT68" s="31">
        <f t="shared" si="36"/>
        <v>0.25</v>
      </c>
      <c r="AU68" s="219">
        <f t="shared" si="37"/>
        <v>0.21249999999999999</v>
      </c>
      <c r="AV68" s="31">
        <f t="shared" si="38"/>
        <v>0</v>
      </c>
      <c r="AW68" s="31">
        <f t="shared" si="39"/>
        <v>0</v>
      </c>
      <c r="AX68" s="31">
        <f t="shared" si="40"/>
        <v>0</v>
      </c>
      <c r="AY68" s="219">
        <f t="shared" si="41"/>
        <v>0</v>
      </c>
      <c r="AZ68" s="196">
        <f t="shared" si="42"/>
        <v>0</v>
      </c>
      <c r="BA68" s="219">
        <f t="shared" si="43"/>
        <v>0</v>
      </c>
      <c r="BB68" s="31">
        <f t="shared" si="44"/>
        <v>0</v>
      </c>
      <c r="BC68" s="219">
        <f t="shared" si="45"/>
        <v>0</v>
      </c>
      <c r="BD68" s="31">
        <f t="shared" si="46"/>
        <v>0</v>
      </c>
      <c r="BE68" s="219">
        <f t="shared" si="47"/>
        <v>0</v>
      </c>
      <c r="BF68" s="31">
        <f t="shared" si="48"/>
        <v>0</v>
      </c>
      <c r="BG68" s="219">
        <f t="shared" si="49"/>
        <v>0</v>
      </c>
      <c r="BH68" s="31">
        <f t="shared" si="50"/>
        <v>0</v>
      </c>
      <c r="BI68" s="219">
        <f t="shared" si="51"/>
        <v>0</v>
      </c>
      <c r="BJ68" s="31">
        <f t="shared" si="52"/>
        <v>0</v>
      </c>
      <c r="BK68" s="219">
        <f t="shared" si="53"/>
        <v>0</v>
      </c>
      <c r="BL68" s="31">
        <f t="shared" si="54"/>
        <v>0</v>
      </c>
      <c r="BM68" s="219">
        <f t="shared" si="55"/>
        <v>0</v>
      </c>
      <c r="BN68" s="31">
        <f t="shared" si="56"/>
        <v>0</v>
      </c>
      <c r="BO68" s="219">
        <f t="shared" si="57"/>
        <v>0</v>
      </c>
    </row>
    <row r="69" spans="1:67" x14ac:dyDescent="0.25">
      <c r="A69" s="31" t="s">
        <v>1926</v>
      </c>
      <c r="B69" s="176" t="str">
        <f>VLOOKUP(A69,kurspris!$A$1:$B$992,2,FALSE)</f>
        <v>Engelska för åk 4-6, kurs 3</v>
      </c>
      <c r="D69" s="60" t="s">
        <v>523</v>
      </c>
      <c r="E69" s="576" t="s">
        <v>2434</v>
      </c>
      <c r="F69" s="31" t="s">
        <v>2273</v>
      </c>
      <c r="G69" t="s">
        <v>2440</v>
      </c>
      <c r="H69" t="s">
        <v>2335</v>
      </c>
      <c r="I69" s="31" t="s">
        <v>2276</v>
      </c>
      <c r="L69" s="38">
        <v>1</v>
      </c>
      <c r="M69">
        <v>15</v>
      </c>
      <c r="P69" s="31">
        <v>21</v>
      </c>
      <c r="Q69" s="196">
        <f>(M69/60)*P69</f>
        <v>5.25</v>
      </c>
      <c r="R69" s="38">
        <v>0.85</v>
      </c>
      <c r="S69" s="280">
        <f t="shared" si="30"/>
        <v>4.4624999999999995</v>
      </c>
      <c r="T69" s="31">
        <f>VLOOKUP(A69,'Ansvar kurs'!$A$1:$C$1123,2,FALSE)</f>
        <v>1620</v>
      </c>
      <c r="U69" s="31" t="str">
        <f>VLOOKUP(T69,Orgenheter!$A$1:$C$166,2,FALSE)</f>
        <v>Inst för språkstudier</v>
      </c>
      <c r="V69" s="31" t="str">
        <f>VLOOKUP(T69,Orgenheter!$A$1:$C$166,3,FALSE)</f>
        <v>Hum</v>
      </c>
      <c r="W69" s="35" t="str">
        <f>VLOOKUP(D69,Program!$A$1:$B$36,2,FALSE)</f>
        <v>Grundlärarprogrammet - grundskolans åk 4-6</v>
      </c>
      <c r="X69" s="40">
        <f>VLOOKUP(A69,kurspris!$A$1:$Q$913,15,FALSE)</f>
        <v>20766</v>
      </c>
      <c r="Y69" s="40">
        <f>VLOOKUP(A69,kurspris!$A$1:$Q$913,16,FALSE)</f>
        <v>17442</v>
      </c>
      <c r="Z69" s="40">
        <f t="shared" si="31"/>
        <v>186856.42499999999</v>
      </c>
      <c r="AA69" s="40">
        <f>VLOOKUP(A69,kurspris!$A$1:$Q$913,17,FALSE)</f>
        <v>6000</v>
      </c>
      <c r="AB69" s="40">
        <f t="shared" si="32"/>
        <v>31500</v>
      </c>
      <c r="AC69" s="40">
        <f t="shared" si="33"/>
        <v>218356.42499999999</v>
      </c>
      <c r="AD69" s="31">
        <f>VLOOKUP($A69,kurspris!$A$1:$Q$950,3,FALSE)</f>
        <v>0</v>
      </c>
      <c r="AE69" s="31">
        <f>VLOOKUP($A69,kurspris!$A$1:$Q$950,4,FALSE)</f>
        <v>1</v>
      </c>
      <c r="AF69" s="31">
        <f>VLOOKUP($A69,kurspris!$A$1:$Q$950,5,FALSE)</f>
        <v>0</v>
      </c>
      <c r="AG69" s="31">
        <f>VLOOKUP($A69,kurspris!$A$1:$Q$950,6,FALSE)</f>
        <v>0</v>
      </c>
      <c r="AH69" s="31">
        <f>VLOOKUP($A69,kurspris!$A$1:$Q$950,7,FALSE)</f>
        <v>0</v>
      </c>
      <c r="AI69" s="31">
        <f>VLOOKUP($A69,kurspris!$A$1:$Q$950,8,FALSE)</f>
        <v>0</v>
      </c>
      <c r="AJ69" s="31">
        <f>VLOOKUP($A69,kurspris!$A$1:$Q$950,9,FALSE)</f>
        <v>0</v>
      </c>
      <c r="AK69" s="31">
        <f>VLOOKUP($A69,kurspris!$A$1:$Q$950,10,FALSE)</f>
        <v>0</v>
      </c>
      <c r="AL69" s="31">
        <f>VLOOKUP($A69,kurspris!$A$1:$Q$950,11,FALSE)</f>
        <v>0</v>
      </c>
      <c r="AM69" s="31">
        <f>VLOOKUP($A69,kurspris!$A$1:$Q$950,12,FALSE)</f>
        <v>0</v>
      </c>
      <c r="AN69" s="31">
        <f>VLOOKUP($A69,kurspris!$A$1:$Q$950,13,FALSE)</f>
        <v>0</v>
      </c>
      <c r="AO69" s="31">
        <f>VLOOKUP($A69,kurspris!$A$1:$Q$950,14,FALSE)</f>
        <v>0</v>
      </c>
      <c r="AP69" s="57" t="s">
        <v>2504</v>
      </c>
      <c r="AQ69"/>
      <c r="AR69" s="31">
        <f t="shared" si="34"/>
        <v>0</v>
      </c>
      <c r="AS69" s="219">
        <f t="shared" si="35"/>
        <v>0</v>
      </c>
      <c r="AT69" s="31">
        <f t="shared" si="36"/>
        <v>5.25</v>
      </c>
      <c r="AU69" s="219">
        <f t="shared" si="37"/>
        <v>4.4624999999999995</v>
      </c>
      <c r="AV69" s="31">
        <f t="shared" si="38"/>
        <v>0</v>
      </c>
      <c r="AW69" s="31">
        <f t="shared" si="39"/>
        <v>0</v>
      </c>
      <c r="AX69" s="31">
        <f t="shared" si="40"/>
        <v>0</v>
      </c>
      <c r="AY69" s="219">
        <f t="shared" si="41"/>
        <v>0</v>
      </c>
      <c r="AZ69" s="196">
        <f t="shared" si="42"/>
        <v>0</v>
      </c>
      <c r="BA69" s="219">
        <f t="shared" si="43"/>
        <v>0</v>
      </c>
      <c r="BB69" s="31">
        <f t="shared" si="44"/>
        <v>0</v>
      </c>
      <c r="BC69" s="219">
        <f t="shared" si="45"/>
        <v>0</v>
      </c>
      <c r="BD69" s="31">
        <f t="shared" si="46"/>
        <v>0</v>
      </c>
      <c r="BE69" s="219">
        <f t="shared" si="47"/>
        <v>0</v>
      </c>
      <c r="BF69" s="31">
        <f t="shared" si="48"/>
        <v>0</v>
      </c>
      <c r="BG69" s="219">
        <f t="shared" si="49"/>
        <v>0</v>
      </c>
      <c r="BH69" s="31">
        <f t="shared" si="50"/>
        <v>0</v>
      </c>
      <c r="BI69" s="219">
        <f t="shared" si="51"/>
        <v>0</v>
      </c>
      <c r="BJ69" s="31">
        <f t="shared" si="52"/>
        <v>0</v>
      </c>
      <c r="BK69" s="219">
        <f t="shared" si="53"/>
        <v>0</v>
      </c>
      <c r="BL69" s="31">
        <f t="shared" si="54"/>
        <v>0</v>
      </c>
      <c r="BM69" s="219">
        <f t="shared" si="55"/>
        <v>0</v>
      </c>
      <c r="BN69" s="31">
        <f t="shared" si="56"/>
        <v>0</v>
      </c>
      <c r="BO69" s="219">
        <f t="shared" si="57"/>
        <v>0</v>
      </c>
    </row>
    <row r="70" spans="1:67" x14ac:dyDescent="0.25">
      <c r="A70" s="173" t="s">
        <v>2118</v>
      </c>
      <c r="B70" s="530" t="str">
        <f>VLOOKUP(A70,kurspris!$A$1:$B$992,2,FALSE)</f>
        <v>Kommunikativ kompetens i engelska för grundlärare</v>
      </c>
      <c r="C70" s="173"/>
      <c r="D70" s="173" t="s">
        <v>117</v>
      </c>
      <c r="E70" s="173"/>
      <c r="F70" s="531" t="s">
        <v>2319</v>
      </c>
      <c r="G70" s="173"/>
      <c r="H70" s="173"/>
      <c r="I70" s="173" t="s">
        <v>2275</v>
      </c>
      <c r="J70" s="173"/>
      <c r="K70" s="173"/>
      <c r="L70" s="532">
        <v>0.5</v>
      </c>
      <c r="M70" s="533">
        <v>7.5</v>
      </c>
      <c r="N70" s="173"/>
      <c r="O70" s="173"/>
      <c r="P70" s="173">
        <v>41</v>
      </c>
      <c r="Q70" s="196">
        <f>(M70/60)*P70</f>
        <v>5.125</v>
      </c>
      <c r="R70" s="38">
        <v>0.8</v>
      </c>
      <c r="S70" s="280">
        <f t="shared" si="30"/>
        <v>4.1000000000000005</v>
      </c>
      <c r="T70" s="31">
        <f>VLOOKUP(A70,'Ansvar kurs'!$A$1:$C$1123,2,FALSE)</f>
        <v>1620</v>
      </c>
      <c r="U70" s="31" t="str">
        <f>VLOOKUP(T70,Orgenheter!$A$1:$C$166,2,FALSE)</f>
        <v>Inst för språkstudier</v>
      </c>
      <c r="V70" s="31" t="str">
        <f>VLOOKUP(T70,Orgenheter!$A$1:$C$166,3,FALSE)</f>
        <v>Hum</v>
      </c>
      <c r="W70" s="35" t="str">
        <f>VLOOKUP(D70,Program!$A$1:$B$36,2,FALSE)</f>
        <v>Fristående och övriga kurser</v>
      </c>
      <c r="X70" s="40">
        <f>VLOOKUP(A70,kurspris!$A$1:$Q$913,15,FALSE)</f>
        <v>20766</v>
      </c>
      <c r="Y70" s="40">
        <f>VLOOKUP(A70,kurspris!$A$1:$Q$913,16,FALSE)</f>
        <v>17442</v>
      </c>
      <c r="Z70" s="40">
        <f t="shared" si="31"/>
        <v>177937.95</v>
      </c>
      <c r="AA70" s="40">
        <f>VLOOKUP(A70,kurspris!$A$1:$Q$913,17,FALSE)</f>
        <v>6000</v>
      </c>
      <c r="AB70" s="40">
        <f t="shared" si="32"/>
        <v>30750</v>
      </c>
      <c r="AC70" s="40">
        <f t="shared" si="33"/>
        <v>208687.95</v>
      </c>
      <c r="AD70" s="31">
        <f>VLOOKUP($A70,kurspris!$A$1:$Q$950,3,FALSE)</f>
        <v>0</v>
      </c>
      <c r="AE70" s="31">
        <f>VLOOKUP($A70,kurspris!$A$1:$Q$950,4,FALSE)</f>
        <v>1</v>
      </c>
      <c r="AF70" s="31">
        <f>VLOOKUP($A70,kurspris!$A$1:$Q$950,5,FALSE)</f>
        <v>0</v>
      </c>
      <c r="AG70" s="31">
        <f>VLOOKUP($A70,kurspris!$A$1:$Q$950,6,FALSE)</f>
        <v>0</v>
      </c>
      <c r="AH70" s="31">
        <f>VLOOKUP($A70,kurspris!$A$1:$Q$950,7,FALSE)</f>
        <v>0</v>
      </c>
      <c r="AI70" s="31">
        <f>VLOOKUP($A70,kurspris!$A$1:$Q$950,8,FALSE)</f>
        <v>0</v>
      </c>
      <c r="AJ70" s="31">
        <f>VLOOKUP($A70,kurspris!$A$1:$Q$950,9,FALSE)</f>
        <v>0</v>
      </c>
      <c r="AK70" s="31">
        <f>VLOOKUP($A70,kurspris!$A$1:$Q$950,10,FALSE)</f>
        <v>0</v>
      </c>
      <c r="AL70" s="31">
        <f>VLOOKUP($A70,kurspris!$A$1:$Q$950,11,FALSE)</f>
        <v>0</v>
      </c>
      <c r="AM70" s="31">
        <f>VLOOKUP($A70,kurspris!$A$1:$Q$950,12,FALSE)</f>
        <v>0</v>
      </c>
      <c r="AN70" s="31">
        <f>VLOOKUP($A70,kurspris!$A$1:$Q$950,13,FALSE)</f>
        <v>0</v>
      </c>
      <c r="AO70" s="31">
        <f>VLOOKUP($A70,kurspris!$A$1:$Q$950,14,FALSE)</f>
        <v>0</v>
      </c>
      <c r="AP70" s="57" t="s">
        <v>2267</v>
      </c>
      <c r="AQ70" t="s">
        <v>2378</v>
      </c>
      <c r="AR70" s="31">
        <f t="shared" si="34"/>
        <v>0</v>
      </c>
      <c r="AS70" s="219">
        <f t="shared" si="35"/>
        <v>0</v>
      </c>
      <c r="AT70" s="31">
        <f t="shared" si="36"/>
        <v>5.125</v>
      </c>
      <c r="AU70" s="219">
        <f t="shared" si="37"/>
        <v>4.1000000000000005</v>
      </c>
      <c r="AV70" s="31">
        <f t="shared" si="38"/>
        <v>0</v>
      </c>
      <c r="AW70" s="31">
        <f t="shared" si="39"/>
        <v>0</v>
      </c>
      <c r="AX70" s="31">
        <f t="shared" si="40"/>
        <v>0</v>
      </c>
      <c r="AY70" s="219">
        <f t="shared" si="41"/>
        <v>0</v>
      </c>
      <c r="AZ70" s="196">
        <f t="shared" si="42"/>
        <v>0</v>
      </c>
      <c r="BA70" s="219">
        <f t="shared" si="43"/>
        <v>0</v>
      </c>
      <c r="BB70" s="31">
        <f t="shared" si="44"/>
        <v>0</v>
      </c>
      <c r="BC70" s="219">
        <f t="shared" si="45"/>
        <v>0</v>
      </c>
      <c r="BD70" s="31">
        <f t="shared" si="46"/>
        <v>0</v>
      </c>
      <c r="BE70" s="219">
        <f t="shared" si="47"/>
        <v>0</v>
      </c>
      <c r="BF70" s="31">
        <f t="shared" si="48"/>
        <v>0</v>
      </c>
      <c r="BG70" s="219">
        <f t="shared" si="49"/>
        <v>0</v>
      </c>
      <c r="BH70" s="31">
        <f t="shared" si="50"/>
        <v>0</v>
      </c>
      <c r="BI70" s="219">
        <f t="shared" si="51"/>
        <v>0</v>
      </c>
      <c r="BJ70" s="31">
        <f t="shared" si="52"/>
        <v>0</v>
      </c>
      <c r="BK70" s="219">
        <f t="shared" si="53"/>
        <v>0</v>
      </c>
      <c r="BL70" s="31">
        <f t="shared" si="54"/>
        <v>0</v>
      </c>
      <c r="BM70" s="219">
        <f t="shared" si="55"/>
        <v>0</v>
      </c>
      <c r="BN70" s="31">
        <f t="shared" si="56"/>
        <v>0</v>
      </c>
      <c r="BO70" s="219">
        <f t="shared" si="57"/>
        <v>0</v>
      </c>
    </row>
    <row r="71" spans="1:67" x14ac:dyDescent="0.25">
      <c r="A71" s="31" t="s">
        <v>2071</v>
      </c>
      <c r="B71" s="176" t="str">
        <f>VLOOKUP(A71,kurspris!$A$1:$B$992,2,FALSE)</f>
        <v>Engelska 1 för ämneslärare</v>
      </c>
      <c r="C71" s="31">
        <v>71411</v>
      </c>
      <c r="D71" s="60" t="s">
        <v>117</v>
      </c>
      <c r="E71" s="60"/>
      <c r="F71" s="57" t="s">
        <v>2274</v>
      </c>
      <c r="H71" s="31" t="s">
        <v>2335</v>
      </c>
      <c r="I71" s="31" t="s">
        <v>2399</v>
      </c>
      <c r="L71" s="38"/>
      <c r="M71">
        <v>30</v>
      </c>
      <c r="P71" s="31">
        <v>7</v>
      </c>
      <c r="Q71" s="539">
        <v>3.5</v>
      </c>
      <c r="R71" s="38">
        <v>0.8</v>
      </c>
      <c r="S71" s="280">
        <f t="shared" si="30"/>
        <v>2.8000000000000003</v>
      </c>
      <c r="T71" s="31">
        <f>VLOOKUP(A71,'Ansvar kurs'!$A$1:$C$1123,2,FALSE)</f>
        <v>1620</v>
      </c>
      <c r="U71" s="31" t="str">
        <f>VLOOKUP(T71,Orgenheter!$A$1:$C$166,2,FALSE)</f>
        <v>Inst för språkstudier</v>
      </c>
      <c r="V71" s="31" t="str">
        <f>VLOOKUP(T71,Orgenheter!$A$1:$C$166,3,FALSE)</f>
        <v>Hum</v>
      </c>
      <c r="W71" s="35" t="str">
        <f>VLOOKUP(D71,Program!$A$1:$B$36,2,FALSE)</f>
        <v>Fristående och övriga kurser</v>
      </c>
      <c r="X71" s="40">
        <f>VLOOKUP(A71,kurspris!$A$1:$Q$913,15,FALSE)</f>
        <v>20766</v>
      </c>
      <c r="Y71" s="40">
        <f>VLOOKUP(A71,kurspris!$A$1:$Q$913,16,FALSE)</f>
        <v>17442</v>
      </c>
      <c r="Z71" s="40">
        <f t="shared" si="31"/>
        <v>121518.6</v>
      </c>
      <c r="AA71" s="40">
        <f>VLOOKUP(A71,kurspris!$A$1:$Q$913,17,FALSE)</f>
        <v>6000</v>
      </c>
      <c r="AB71" s="40">
        <f t="shared" si="32"/>
        <v>21000</v>
      </c>
      <c r="AC71" s="40">
        <f t="shared" si="33"/>
        <v>142518.6</v>
      </c>
      <c r="AD71" s="31">
        <f>VLOOKUP($A71,kurspris!$A$1:$Q$950,3,FALSE)</f>
        <v>0</v>
      </c>
      <c r="AE71" s="31">
        <f>VLOOKUP($A71,kurspris!$A$1:$Q$950,4,FALSE)</f>
        <v>1</v>
      </c>
      <c r="AF71" s="31">
        <f>VLOOKUP($A71,kurspris!$A$1:$Q$950,5,FALSE)</f>
        <v>0</v>
      </c>
      <c r="AG71" s="31">
        <f>VLOOKUP($A71,kurspris!$A$1:$Q$950,6,FALSE)</f>
        <v>0</v>
      </c>
      <c r="AH71" s="31">
        <f>VLOOKUP($A71,kurspris!$A$1:$Q$950,7,FALSE)</f>
        <v>0</v>
      </c>
      <c r="AI71" s="31">
        <f>VLOOKUP($A71,kurspris!$A$1:$Q$950,8,FALSE)</f>
        <v>0</v>
      </c>
      <c r="AJ71" s="31">
        <f>VLOOKUP($A71,kurspris!$A$1:$Q$950,9,FALSE)</f>
        <v>0</v>
      </c>
      <c r="AK71" s="31">
        <f>VLOOKUP($A71,kurspris!$A$1:$Q$950,10,FALSE)</f>
        <v>0</v>
      </c>
      <c r="AL71" s="31">
        <f>VLOOKUP($A71,kurspris!$A$1:$Q$950,11,FALSE)</f>
        <v>0</v>
      </c>
      <c r="AM71" s="31">
        <f>VLOOKUP($A71,kurspris!$A$1:$Q$950,12,FALSE)</f>
        <v>0</v>
      </c>
      <c r="AN71" s="31">
        <f>VLOOKUP($A71,kurspris!$A$1:$Q$950,13,FALSE)</f>
        <v>0</v>
      </c>
      <c r="AO71" s="31">
        <f>VLOOKUP($A71,kurspris!$A$1:$Q$950,14,FALSE)</f>
        <v>0</v>
      </c>
      <c r="AP71" s="57" t="s">
        <v>2402</v>
      </c>
      <c r="AQ71"/>
      <c r="AR71" s="31">
        <f t="shared" si="34"/>
        <v>0</v>
      </c>
      <c r="AS71" s="219">
        <f t="shared" si="35"/>
        <v>0</v>
      </c>
      <c r="AT71" s="31">
        <f t="shared" si="36"/>
        <v>3.5</v>
      </c>
      <c r="AU71" s="219">
        <f t="shared" si="37"/>
        <v>2.8000000000000003</v>
      </c>
      <c r="AV71" s="31">
        <f t="shared" si="38"/>
        <v>0</v>
      </c>
      <c r="AW71" s="31">
        <f t="shared" si="39"/>
        <v>0</v>
      </c>
      <c r="AX71" s="31">
        <f t="shared" si="40"/>
        <v>0</v>
      </c>
      <c r="AY71" s="219">
        <f t="shared" si="41"/>
        <v>0</v>
      </c>
      <c r="AZ71" s="196">
        <f t="shared" si="42"/>
        <v>0</v>
      </c>
      <c r="BA71" s="219">
        <f t="shared" si="43"/>
        <v>0</v>
      </c>
      <c r="BB71" s="31">
        <f t="shared" si="44"/>
        <v>0</v>
      </c>
      <c r="BC71" s="219">
        <f t="shared" si="45"/>
        <v>0</v>
      </c>
      <c r="BD71" s="31">
        <f t="shared" si="46"/>
        <v>0</v>
      </c>
      <c r="BE71" s="219">
        <f t="shared" si="47"/>
        <v>0</v>
      </c>
      <c r="BF71" s="31">
        <f t="shared" si="48"/>
        <v>0</v>
      </c>
      <c r="BG71" s="219">
        <f t="shared" si="49"/>
        <v>0</v>
      </c>
      <c r="BH71" s="31">
        <f t="shared" si="50"/>
        <v>0</v>
      </c>
      <c r="BI71" s="219">
        <f t="shared" si="51"/>
        <v>0</v>
      </c>
      <c r="BJ71" s="31">
        <f t="shared" si="52"/>
        <v>0</v>
      </c>
      <c r="BK71" s="219">
        <f t="shared" si="53"/>
        <v>0</v>
      </c>
      <c r="BL71" s="31">
        <f t="shared" si="54"/>
        <v>0</v>
      </c>
      <c r="BM71" s="219">
        <f t="shared" si="55"/>
        <v>0</v>
      </c>
      <c r="BN71" s="31">
        <f t="shared" si="56"/>
        <v>0</v>
      </c>
      <c r="BO71" s="219">
        <f t="shared" si="57"/>
        <v>0</v>
      </c>
    </row>
    <row r="72" spans="1:67" x14ac:dyDescent="0.25">
      <c r="A72" s="31" t="s">
        <v>2071</v>
      </c>
      <c r="B72" s="176" t="str">
        <f>VLOOKUP(A72,kurspris!$A$1:$B$992,2,FALSE)</f>
        <v>Engelska 1 för ämneslärare</v>
      </c>
      <c r="C72" s="31">
        <v>71411</v>
      </c>
      <c r="D72" s="60" t="s">
        <v>482</v>
      </c>
      <c r="E72" s="60"/>
      <c r="F72" s="57" t="s">
        <v>2274</v>
      </c>
      <c r="H72" s="31" t="s">
        <v>2335</v>
      </c>
      <c r="I72" s="31" t="s">
        <v>2399</v>
      </c>
      <c r="J72" s="31" t="s">
        <v>2237</v>
      </c>
      <c r="L72" s="38"/>
      <c r="M72">
        <v>30</v>
      </c>
      <c r="P72" s="31">
        <v>2</v>
      </c>
      <c r="Q72" s="539">
        <v>1</v>
      </c>
      <c r="R72" s="38">
        <v>0.85</v>
      </c>
      <c r="S72" s="280">
        <f t="shared" si="30"/>
        <v>0.85</v>
      </c>
      <c r="T72" s="31">
        <f>VLOOKUP(A72,'Ansvar kurs'!$A$1:$C$1123,2,FALSE)</f>
        <v>1620</v>
      </c>
      <c r="U72" s="31" t="str">
        <f>VLOOKUP(T72,Orgenheter!$A$1:$C$166,2,FALSE)</f>
        <v>Inst för språkstudier</v>
      </c>
      <c r="V72" s="31" t="str">
        <f>VLOOKUP(T72,Orgenheter!$A$1:$C$166,3,FALSE)</f>
        <v>Hum</v>
      </c>
      <c r="W72" s="35" t="str">
        <f>VLOOKUP(D72,Program!$A$1:$B$36,2,FALSE)</f>
        <v>Ämneslärarprogrammet - Gy</v>
      </c>
      <c r="X72" s="40">
        <f>VLOOKUP(A72,kurspris!$A$1:$Q$913,15,FALSE)</f>
        <v>20766</v>
      </c>
      <c r="Y72" s="40">
        <f>VLOOKUP(A72,kurspris!$A$1:$Q$913,16,FALSE)</f>
        <v>17442</v>
      </c>
      <c r="Z72" s="40">
        <f t="shared" si="31"/>
        <v>35591.699999999997</v>
      </c>
      <c r="AA72" s="40">
        <f>VLOOKUP(A72,kurspris!$A$1:$Q$913,17,FALSE)</f>
        <v>6000</v>
      </c>
      <c r="AB72" s="40">
        <f t="shared" si="32"/>
        <v>6000</v>
      </c>
      <c r="AC72" s="40">
        <f t="shared" si="33"/>
        <v>41591.699999999997</v>
      </c>
      <c r="AD72" s="31">
        <f>VLOOKUP($A72,kurspris!$A$1:$Q$950,3,FALSE)</f>
        <v>0</v>
      </c>
      <c r="AE72" s="31">
        <f>VLOOKUP($A72,kurspris!$A$1:$Q$950,4,FALSE)</f>
        <v>1</v>
      </c>
      <c r="AF72" s="31">
        <f>VLOOKUP($A72,kurspris!$A$1:$Q$950,5,FALSE)</f>
        <v>0</v>
      </c>
      <c r="AG72" s="31">
        <f>VLOOKUP($A72,kurspris!$A$1:$Q$950,6,FALSE)</f>
        <v>0</v>
      </c>
      <c r="AH72" s="31">
        <f>VLOOKUP($A72,kurspris!$A$1:$Q$950,7,FALSE)</f>
        <v>0</v>
      </c>
      <c r="AI72" s="31">
        <f>VLOOKUP($A72,kurspris!$A$1:$Q$950,8,FALSE)</f>
        <v>0</v>
      </c>
      <c r="AJ72" s="31">
        <f>VLOOKUP($A72,kurspris!$A$1:$Q$950,9,FALSE)</f>
        <v>0</v>
      </c>
      <c r="AK72" s="31">
        <f>VLOOKUP($A72,kurspris!$A$1:$Q$950,10,FALSE)</f>
        <v>0</v>
      </c>
      <c r="AL72" s="31">
        <f>VLOOKUP($A72,kurspris!$A$1:$Q$950,11,FALSE)</f>
        <v>0</v>
      </c>
      <c r="AM72" s="31">
        <f>VLOOKUP($A72,kurspris!$A$1:$Q$950,12,FALSE)</f>
        <v>0</v>
      </c>
      <c r="AN72" s="31">
        <f>VLOOKUP($A72,kurspris!$A$1:$Q$950,13,FALSE)</f>
        <v>0</v>
      </c>
      <c r="AO72" s="31">
        <f>VLOOKUP($A72,kurspris!$A$1:$Q$950,14,FALSE)</f>
        <v>0</v>
      </c>
      <c r="AP72" s="57" t="s">
        <v>2402</v>
      </c>
      <c r="AQ72"/>
      <c r="AR72" s="31">
        <f t="shared" si="34"/>
        <v>0</v>
      </c>
      <c r="AS72" s="219">
        <f t="shared" si="35"/>
        <v>0</v>
      </c>
      <c r="AT72" s="31">
        <f t="shared" si="36"/>
        <v>1</v>
      </c>
      <c r="AU72" s="219">
        <f t="shared" si="37"/>
        <v>0.85</v>
      </c>
      <c r="AV72" s="31">
        <f t="shared" si="38"/>
        <v>0</v>
      </c>
      <c r="AW72" s="31">
        <f t="shared" si="39"/>
        <v>0</v>
      </c>
      <c r="AX72" s="31">
        <f t="shared" si="40"/>
        <v>0</v>
      </c>
      <c r="AY72" s="219">
        <f t="shared" si="41"/>
        <v>0</v>
      </c>
      <c r="AZ72" s="196">
        <f t="shared" si="42"/>
        <v>0</v>
      </c>
      <c r="BA72" s="219">
        <f t="shared" si="43"/>
        <v>0</v>
      </c>
      <c r="BB72" s="31">
        <f t="shared" si="44"/>
        <v>0</v>
      </c>
      <c r="BC72" s="219">
        <f t="shared" si="45"/>
        <v>0</v>
      </c>
      <c r="BD72" s="31">
        <f t="shared" si="46"/>
        <v>0</v>
      </c>
      <c r="BE72" s="219">
        <f t="shared" si="47"/>
        <v>0</v>
      </c>
      <c r="BF72" s="31">
        <f t="shared" si="48"/>
        <v>0</v>
      </c>
      <c r="BG72" s="219">
        <f t="shared" si="49"/>
        <v>0</v>
      </c>
      <c r="BH72" s="31">
        <f t="shared" si="50"/>
        <v>0</v>
      </c>
      <c r="BI72" s="219">
        <f t="shared" si="51"/>
        <v>0</v>
      </c>
      <c r="BJ72" s="31">
        <f t="shared" si="52"/>
        <v>0</v>
      </c>
      <c r="BK72" s="219">
        <f t="shared" si="53"/>
        <v>0</v>
      </c>
      <c r="BL72" s="31">
        <f t="shared" si="54"/>
        <v>0</v>
      </c>
      <c r="BM72" s="219">
        <f t="shared" si="55"/>
        <v>0</v>
      </c>
      <c r="BN72" s="31">
        <f t="shared" si="56"/>
        <v>0</v>
      </c>
      <c r="BO72" s="219">
        <f t="shared" si="57"/>
        <v>0</v>
      </c>
    </row>
    <row r="73" spans="1:67" x14ac:dyDescent="0.25">
      <c r="A73" s="31" t="s">
        <v>2071</v>
      </c>
      <c r="B73" s="176" t="str">
        <f>VLOOKUP(A73,kurspris!$A$1:$B$992,2,FALSE)</f>
        <v>Engelska 1 för ämneslärare</v>
      </c>
      <c r="C73" s="31">
        <v>71411</v>
      </c>
      <c r="D73" s="60" t="s">
        <v>482</v>
      </c>
      <c r="E73" s="60"/>
      <c r="F73" s="57" t="s">
        <v>2274</v>
      </c>
      <c r="H73" s="31" t="s">
        <v>2335</v>
      </c>
      <c r="I73" s="31" t="s">
        <v>2399</v>
      </c>
      <c r="J73" s="31" t="s">
        <v>2231</v>
      </c>
      <c r="L73" s="38"/>
      <c r="M73">
        <v>30</v>
      </c>
      <c r="P73" s="31">
        <v>28</v>
      </c>
      <c r="Q73" s="539">
        <v>14</v>
      </c>
      <c r="R73" s="38">
        <v>0.85</v>
      </c>
      <c r="S73" s="280">
        <f t="shared" si="30"/>
        <v>11.9</v>
      </c>
      <c r="T73" s="31">
        <f>VLOOKUP(A73,'Ansvar kurs'!$A$1:$C$1123,2,FALSE)</f>
        <v>1620</v>
      </c>
      <c r="U73" s="31" t="str">
        <f>VLOOKUP(T73,Orgenheter!$A$1:$C$166,2,FALSE)</f>
        <v>Inst för språkstudier</v>
      </c>
      <c r="V73" s="31" t="str">
        <f>VLOOKUP(T73,Orgenheter!$A$1:$C$166,3,FALSE)</f>
        <v>Hum</v>
      </c>
      <c r="W73" s="35" t="str">
        <f>VLOOKUP(D73,Program!$A$1:$B$36,2,FALSE)</f>
        <v>Ämneslärarprogrammet - Gy</v>
      </c>
      <c r="X73" s="40">
        <f>VLOOKUP(A73,kurspris!$A$1:$Q$913,15,FALSE)</f>
        <v>20766</v>
      </c>
      <c r="Y73" s="40">
        <f>VLOOKUP(A73,kurspris!$A$1:$Q$913,16,FALSE)</f>
        <v>17442</v>
      </c>
      <c r="Z73" s="40">
        <f t="shared" si="31"/>
        <v>498283.80000000005</v>
      </c>
      <c r="AA73" s="40">
        <f>VLOOKUP(A73,kurspris!$A$1:$Q$913,17,FALSE)</f>
        <v>6000</v>
      </c>
      <c r="AB73" s="40">
        <f t="shared" si="32"/>
        <v>84000</v>
      </c>
      <c r="AC73" s="40">
        <f t="shared" si="33"/>
        <v>582283.80000000005</v>
      </c>
      <c r="AD73" s="31">
        <f>VLOOKUP($A73,kurspris!$A$1:$Q$950,3,FALSE)</f>
        <v>0</v>
      </c>
      <c r="AE73" s="31">
        <f>VLOOKUP($A73,kurspris!$A$1:$Q$950,4,FALSE)</f>
        <v>1</v>
      </c>
      <c r="AF73" s="31">
        <f>VLOOKUP($A73,kurspris!$A$1:$Q$950,5,FALSE)</f>
        <v>0</v>
      </c>
      <c r="AG73" s="31">
        <f>VLOOKUP($A73,kurspris!$A$1:$Q$950,6,FALSE)</f>
        <v>0</v>
      </c>
      <c r="AH73" s="31">
        <f>VLOOKUP($A73,kurspris!$A$1:$Q$950,7,FALSE)</f>
        <v>0</v>
      </c>
      <c r="AI73" s="31">
        <f>VLOOKUP($A73,kurspris!$A$1:$Q$950,8,FALSE)</f>
        <v>0</v>
      </c>
      <c r="AJ73" s="31">
        <f>VLOOKUP($A73,kurspris!$A$1:$Q$950,9,FALSE)</f>
        <v>0</v>
      </c>
      <c r="AK73" s="31">
        <f>VLOOKUP($A73,kurspris!$A$1:$Q$950,10,FALSE)</f>
        <v>0</v>
      </c>
      <c r="AL73" s="31">
        <f>VLOOKUP($A73,kurspris!$A$1:$Q$950,11,FALSE)</f>
        <v>0</v>
      </c>
      <c r="AM73" s="31">
        <f>VLOOKUP($A73,kurspris!$A$1:$Q$950,12,FALSE)</f>
        <v>0</v>
      </c>
      <c r="AN73" s="31">
        <f>VLOOKUP($A73,kurspris!$A$1:$Q$950,13,FALSE)</f>
        <v>0</v>
      </c>
      <c r="AO73" s="31">
        <f>VLOOKUP($A73,kurspris!$A$1:$Q$950,14,FALSE)</f>
        <v>0</v>
      </c>
      <c r="AP73" s="57" t="s">
        <v>2402</v>
      </c>
      <c r="AQ73"/>
      <c r="AR73" s="31">
        <f t="shared" si="34"/>
        <v>0</v>
      </c>
      <c r="AS73" s="219">
        <f t="shared" si="35"/>
        <v>0</v>
      </c>
      <c r="AT73" s="31">
        <f t="shared" si="36"/>
        <v>14</v>
      </c>
      <c r="AU73" s="219">
        <f t="shared" si="37"/>
        <v>11.9</v>
      </c>
      <c r="AV73" s="31">
        <f t="shared" si="38"/>
        <v>0</v>
      </c>
      <c r="AW73" s="31">
        <f t="shared" si="39"/>
        <v>0</v>
      </c>
      <c r="AX73" s="31">
        <f t="shared" si="40"/>
        <v>0</v>
      </c>
      <c r="AY73" s="219">
        <f t="shared" si="41"/>
        <v>0</v>
      </c>
      <c r="AZ73" s="196">
        <f t="shared" si="42"/>
        <v>0</v>
      </c>
      <c r="BA73" s="219">
        <f t="shared" si="43"/>
        <v>0</v>
      </c>
      <c r="BB73" s="31">
        <f t="shared" si="44"/>
        <v>0</v>
      </c>
      <c r="BC73" s="219">
        <f t="shared" si="45"/>
        <v>0</v>
      </c>
      <c r="BD73" s="31">
        <f t="shared" si="46"/>
        <v>0</v>
      </c>
      <c r="BE73" s="219">
        <f t="shared" si="47"/>
        <v>0</v>
      </c>
      <c r="BF73" s="31">
        <f t="shared" si="48"/>
        <v>0</v>
      </c>
      <c r="BG73" s="219">
        <f t="shared" si="49"/>
        <v>0</v>
      </c>
      <c r="BH73" s="31">
        <f t="shared" si="50"/>
        <v>0</v>
      </c>
      <c r="BI73" s="219">
        <f t="shared" si="51"/>
        <v>0</v>
      </c>
      <c r="BJ73" s="31">
        <f t="shared" si="52"/>
        <v>0</v>
      </c>
      <c r="BK73" s="219">
        <f t="shared" si="53"/>
        <v>0</v>
      </c>
      <c r="BL73" s="31">
        <f t="shared" si="54"/>
        <v>0</v>
      </c>
      <c r="BM73" s="219">
        <f t="shared" si="55"/>
        <v>0</v>
      </c>
      <c r="BN73" s="31">
        <f t="shared" si="56"/>
        <v>0</v>
      </c>
      <c r="BO73" s="219">
        <f t="shared" si="57"/>
        <v>0</v>
      </c>
    </row>
    <row r="74" spans="1:67" x14ac:dyDescent="0.25">
      <c r="A74" s="31" t="s">
        <v>2071</v>
      </c>
      <c r="B74" s="176" t="str">
        <f>VLOOKUP(A74,kurspris!$A$1:$B$992,2,FALSE)</f>
        <v>Engelska 1 för ämneslärare</v>
      </c>
      <c r="C74" s="31">
        <v>71411</v>
      </c>
      <c r="D74" s="60" t="s">
        <v>482</v>
      </c>
      <c r="E74" s="60"/>
      <c r="F74" s="57" t="s">
        <v>2274</v>
      </c>
      <c r="H74" s="31" t="s">
        <v>2335</v>
      </c>
      <c r="I74" s="31" t="s">
        <v>2399</v>
      </c>
      <c r="J74" s="31" t="s">
        <v>2238</v>
      </c>
      <c r="L74" s="38"/>
      <c r="M74">
        <v>30</v>
      </c>
      <c r="P74" s="31">
        <v>1</v>
      </c>
      <c r="Q74" s="539">
        <v>0.5</v>
      </c>
      <c r="R74" s="38">
        <v>0.85</v>
      </c>
      <c r="S74" s="280">
        <f t="shared" si="30"/>
        <v>0.42499999999999999</v>
      </c>
      <c r="T74" s="31">
        <f>VLOOKUP(A74,'Ansvar kurs'!$A$1:$C$1123,2,FALSE)</f>
        <v>1620</v>
      </c>
      <c r="U74" s="31" t="str">
        <f>VLOOKUP(T74,Orgenheter!$A$1:$C$166,2,FALSE)</f>
        <v>Inst för språkstudier</v>
      </c>
      <c r="V74" s="31" t="str">
        <f>VLOOKUP(T74,Orgenheter!$A$1:$C$166,3,FALSE)</f>
        <v>Hum</v>
      </c>
      <c r="W74" s="35" t="str">
        <f>VLOOKUP(D74,Program!$A$1:$B$36,2,FALSE)</f>
        <v>Ämneslärarprogrammet - Gy</v>
      </c>
      <c r="X74" s="40">
        <f>VLOOKUP(A74,kurspris!$A$1:$Q$913,15,FALSE)</f>
        <v>20766</v>
      </c>
      <c r="Y74" s="40">
        <f>VLOOKUP(A74,kurspris!$A$1:$Q$913,16,FALSE)</f>
        <v>17442</v>
      </c>
      <c r="Z74" s="40">
        <f t="shared" si="31"/>
        <v>17795.849999999999</v>
      </c>
      <c r="AA74" s="40">
        <f>VLOOKUP(A74,kurspris!$A$1:$Q$913,17,FALSE)</f>
        <v>6000</v>
      </c>
      <c r="AB74" s="40">
        <f t="shared" si="32"/>
        <v>3000</v>
      </c>
      <c r="AC74" s="40">
        <f t="shared" si="33"/>
        <v>20795.849999999999</v>
      </c>
      <c r="AD74" s="31">
        <f>VLOOKUP($A74,kurspris!$A$1:$Q$950,3,FALSE)</f>
        <v>0</v>
      </c>
      <c r="AE74" s="31">
        <f>VLOOKUP($A74,kurspris!$A$1:$Q$950,4,FALSE)</f>
        <v>1</v>
      </c>
      <c r="AF74" s="31">
        <f>VLOOKUP($A74,kurspris!$A$1:$Q$950,5,FALSE)</f>
        <v>0</v>
      </c>
      <c r="AG74" s="31">
        <f>VLOOKUP($A74,kurspris!$A$1:$Q$950,6,FALSE)</f>
        <v>0</v>
      </c>
      <c r="AH74" s="31">
        <f>VLOOKUP($A74,kurspris!$A$1:$Q$950,7,FALSE)</f>
        <v>0</v>
      </c>
      <c r="AI74" s="31">
        <f>VLOOKUP($A74,kurspris!$A$1:$Q$950,8,FALSE)</f>
        <v>0</v>
      </c>
      <c r="AJ74" s="31">
        <f>VLOOKUP($A74,kurspris!$A$1:$Q$950,9,FALSE)</f>
        <v>0</v>
      </c>
      <c r="AK74" s="31">
        <f>VLOOKUP($A74,kurspris!$A$1:$Q$950,10,FALSE)</f>
        <v>0</v>
      </c>
      <c r="AL74" s="31">
        <f>VLOOKUP($A74,kurspris!$A$1:$Q$950,11,FALSE)</f>
        <v>0</v>
      </c>
      <c r="AM74" s="31">
        <f>VLOOKUP($A74,kurspris!$A$1:$Q$950,12,FALSE)</f>
        <v>0</v>
      </c>
      <c r="AN74" s="31">
        <f>VLOOKUP($A74,kurspris!$A$1:$Q$950,13,FALSE)</f>
        <v>0</v>
      </c>
      <c r="AO74" s="31">
        <f>VLOOKUP($A74,kurspris!$A$1:$Q$950,14,FALSE)</f>
        <v>0</v>
      </c>
      <c r="AP74" s="57" t="s">
        <v>2402</v>
      </c>
      <c r="AQ74"/>
      <c r="AR74" s="31">
        <f t="shared" si="34"/>
        <v>0</v>
      </c>
      <c r="AS74" s="219">
        <f t="shared" si="35"/>
        <v>0</v>
      </c>
      <c r="AT74" s="31">
        <f t="shared" si="36"/>
        <v>0.5</v>
      </c>
      <c r="AU74" s="219">
        <f t="shared" si="37"/>
        <v>0.42499999999999999</v>
      </c>
      <c r="AV74" s="31">
        <f t="shared" si="38"/>
        <v>0</v>
      </c>
      <c r="AW74" s="31">
        <f t="shared" si="39"/>
        <v>0</v>
      </c>
      <c r="AX74" s="31">
        <f t="shared" si="40"/>
        <v>0</v>
      </c>
      <c r="AY74" s="219">
        <f t="shared" si="41"/>
        <v>0</v>
      </c>
      <c r="AZ74" s="196">
        <f t="shared" si="42"/>
        <v>0</v>
      </c>
      <c r="BA74" s="219">
        <f t="shared" si="43"/>
        <v>0</v>
      </c>
      <c r="BB74" s="31">
        <f t="shared" si="44"/>
        <v>0</v>
      </c>
      <c r="BC74" s="219">
        <f t="shared" si="45"/>
        <v>0</v>
      </c>
      <c r="BD74" s="31">
        <f t="shared" si="46"/>
        <v>0</v>
      </c>
      <c r="BE74" s="219">
        <f t="shared" si="47"/>
        <v>0</v>
      </c>
      <c r="BF74" s="31">
        <f t="shared" si="48"/>
        <v>0</v>
      </c>
      <c r="BG74" s="219">
        <f t="shared" si="49"/>
        <v>0</v>
      </c>
      <c r="BH74" s="31">
        <f t="shared" si="50"/>
        <v>0</v>
      </c>
      <c r="BI74" s="219">
        <f t="shared" si="51"/>
        <v>0</v>
      </c>
      <c r="BJ74" s="31">
        <f t="shared" si="52"/>
        <v>0</v>
      </c>
      <c r="BK74" s="219">
        <f t="shared" si="53"/>
        <v>0</v>
      </c>
      <c r="BL74" s="31">
        <f t="shared" si="54"/>
        <v>0</v>
      </c>
      <c r="BM74" s="219">
        <f t="shared" si="55"/>
        <v>0</v>
      </c>
      <c r="BN74" s="31">
        <f t="shared" si="56"/>
        <v>0</v>
      </c>
      <c r="BO74" s="219">
        <f t="shared" si="57"/>
        <v>0</v>
      </c>
    </row>
    <row r="75" spans="1:67" x14ac:dyDescent="0.25">
      <c r="A75" s="31" t="s">
        <v>2071</v>
      </c>
      <c r="B75" s="176" t="str">
        <f>VLOOKUP(A75,kurspris!$A$1:$B$992,2,FALSE)</f>
        <v>Engelska 1 för ämneslärare</v>
      </c>
      <c r="C75" s="31">
        <v>71411</v>
      </c>
      <c r="D75" s="60" t="s">
        <v>482</v>
      </c>
      <c r="E75" s="60"/>
      <c r="F75" s="57" t="s">
        <v>2274</v>
      </c>
      <c r="H75" s="31" t="s">
        <v>2335</v>
      </c>
      <c r="I75" s="31" t="s">
        <v>2399</v>
      </c>
      <c r="J75" s="31" t="s">
        <v>2241</v>
      </c>
      <c r="L75" s="38"/>
      <c r="M75">
        <v>30</v>
      </c>
      <c r="P75" s="31">
        <v>1</v>
      </c>
      <c r="Q75" s="539">
        <v>0.5</v>
      </c>
      <c r="R75" s="38">
        <v>0.85</v>
      </c>
      <c r="S75" s="280">
        <f t="shared" si="30"/>
        <v>0.42499999999999999</v>
      </c>
      <c r="T75" s="31">
        <f>VLOOKUP(A75,'Ansvar kurs'!$A$1:$C$1123,2,FALSE)</f>
        <v>1620</v>
      </c>
      <c r="U75" s="31" t="str">
        <f>VLOOKUP(T75,Orgenheter!$A$1:$C$166,2,FALSE)</f>
        <v>Inst för språkstudier</v>
      </c>
      <c r="V75" s="31" t="str">
        <f>VLOOKUP(T75,Orgenheter!$A$1:$C$166,3,FALSE)</f>
        <v>Hum</v>
      </c>
      <c r="W75" s="35" t="str">
        <f>VLOOKUP(D75,Program!$A$1:$B$36,2,FALSE)</f>
        <v>Ämneslärarprogrammet - Gy</v>
      </c>
      <c r="X75" s="40">
        <f>VLOOKUP(A75,kurspris!$A$1:$Q$913,15,FALSE)</f>
        <v>20766</v>
      </c>
      <c r="Y75" s="40">
        <f>VLOOKUP(A75,kurspris!$A$1:$Q$913,16,FALSE)</f>
        <v>17442</v>
      </c>
      <c r="Z75" s="40">
        <f t="shared" si="31"/>
        <v>17795.849999999999</v>
      </c>
      <c r="AA75" s="40">
        <f>VLOOKUP(A75,kurspris!$A$1:$Q$913,17,FALSE)</f>
        <v>6000</v>
      </c>
      <c r="AB75" s="40">
        <f t="shared" si="32"/>
        <v>3000</v>
      </c>
      <c r="AC75" s="40">
        <f t="shared" si="33"/>
        <v>20795.849999999999</v>
      </c>
      <c r="AD75" s="31">
        <f>VLOOKUP($A75,kurspris!$A$1:$Q$950,3,FALSE)</f>
        <v>0</v>
      </c>
      <c r="AE75" s="31">
        <f>VLOOKUP($A75,kurspris!$A$1:$Q$950,4,FALSE)</f>
        <v>1</v>
      </c>
      <c r="AF75" s="31">
        <f>VLOOKUP($A75,kurspris!$A$1:$Q$950,5,FALSE)</f>
        <v>0</v>
      </c>
      <c r="AG75" s="31">
        <f>VLOOKUP($A75,kurspris!$A$1:$Q$950,6,FALSE)</f>
        <v>0</v>
      </c>
      <c r="AH75" s="31">
        <f>VLOOKUP($A75,kurspris!$A$1:$Q$950,7,FALSE)</f>
        <v>0</v>
      </c>
      <c r="AI75" s="31">
        <f>VLOOKUP($A75,kurspris!$A$1:$Q$950,8,FALSE)</f>
        <v>0</v>
      </c>
      <c r="AJ75" s="31">
        <f>VLOOKUP($A75,kurspris!$A$1:$Q$950,9,FALSE)</f>
        <v>0</v>
      </c>
      <c r="AK75" s="31">
        <f>VLOOKUP($A75,kurspris!$A$1:$Q$950,10,FALSE)</f>
        <v>0</v>
      </c>
      <c r="AL75" s="31">
        <f>VLOOKUP($A75,kurspris!$A$1:$Q$950,11,FALSE)</f>
        <v>0</v>
      </c>
      <c r="AM75" s="31">
        <f>VLOOKUP($A75,kurspris!$A$1:$Q$950,12,FALSE)</f>
        <v>0</v>
      </c>
      <c r="AN75" s="31">
        <f>VLOOKUP($A75,kurspris!$A$1:$Q$950,13,FALSE)</f>
        <v>0</v>
      </c>
      <c r="AO75" s="31">
        <f>VLOOKUP($A75,kurspris!$A$1:$Q$950,14,FALSE)</f>
        <v>0</v>
      </c>
      <c r="AP75" s="57" t="s">
        <v>2402</v>
      </c>
      <c r="AQ75"/>
      <c r="AR75" s="31">
        <f t="shared" si="34"/>
        <v>0</v>
      </c>
      <c r="AS75" s="219">
        <f t="shared" si="35"/>
        <v>0</v>
      </c>
      <c r="AT75" s="31">
        <f t="shared" si="36"/>
        <v>0.5</v>
      </c>
      <c r="AU75" s="219">
        <f t="shared" si="37"/>
        <v>0.42499999999999999</v>
      </c>
      <c r="AV75" s="31">
        <f t="shared" si="38"/>
        <v>0</v>
      </c>
      <c r="AW75" s="31">
        <f t="shared" si="39"/>
        <v>0</v>
      </c>
      <c r="AX75" s="31">
        <f t="shared" si="40"/>
        <v>0</v>
      </c>
      <c r="AY75" s="219">
        <f t="shared" si="41"/>
        <v>0</v>
      </c>
      <c r="AZ75" s="196">
        <f t="shared" si="42"/>
        <v>0</v>
      </c>
      <c r="BA75" s="219">
        <f t="shared" si="43"/>
        <v>0</v>
      </c>
      <c r="BB75" s="31">
        <f t="shared" si="44"/>
        <v>0</v>
      </c>
      <c r="BC75" s="219">
        <f t="shared" si="45"/>
        <v>0</v>
      </c>
      <c r="BD75" s="31">
        <f t="shared" si="46"/>
        <v>0</v>
      </c>
      <c r="BE75" s="219">
        <f t="shared" si="47"/>
        <v>0</v>
      </c>
      <c r="BF75" s="31">
        <f t="shared" si="48"/>
        <v>0</v>
      </c>
      <c r="BG75" s="219">
        <f t="shared" si="49"/>
        <v>0</v>
      </c>
      <c r="BH75" s="31">
        <f t="shared" si="50"/>
        <v>0</v>
      </c>
      <c r="BI75" s="219">
        <f t="shared" si="51"/>
        <v>0</v>
      </c>
      <c r="BJ75" s="31">
        <f t="shared" si="52"/>
        <v>0</v>
      </c>
      <c r="BK75" s="219">
        <f t="shared" si="53"/>
        <v>0</v>
      </c>
      <c r="BL75" s="31">
        <f t="shared" si="54"/>
        <v>0</v>
      </c>
      <c r="BM75" s="219">
        <f t="shared" si="55"/>
        <v>0</v>
      </c>
      <c r="BN75" s="31">
        <f t="shared" si="56"/>
        <v>0</v>
      </c>
      <c r="BO75" s="219">
        <f t="shared" si="57"/>
        <v>0</v>
      </c>
    </row>
    <row r="76" spans="1:67" x14ac:dyDescent="0.25">
      <c r="A76" s="31" t="s">
        <v>2071</v>
      </c>
      <c r="B76" s="176" t="str">
        <f>VLOOKUP(A76,kurspris!$A$1:$B$992,2,FALSE)</f>
        <v>Engelska 1 för ämneslärare</v>
      </c>
      <c r="C76" s="31">
        <v>71411</v>
      </c>
      <c r="D76" s="60" t="s">
        <v>482</v>
      </c>
      <c r="E76" s="60"/>
      <c r="F76" s="57" t="s">
        <v>2274</v>
      </c>
      <c r="H76" s="31" t="s">
        <v>2335</v>
      </c>
      <c r="I76" s="31" t="s">
        <v>2399</v>
      </c>
      <c r="J76" s="31" t="s">
        <v>2232</v>
      </c>
      <c r="L76" s="38"/>
      <c r="M76">
        <v>30</v>
      </c>
      <c r="P76" s="31">
        <v>5</v>
      </c>
      <c r="Q76" s="539">
        <v>2.5</v>
      </c>
      <c r="R76" s="38">
        <v>0.85</v>
      </c>
      <c r="S76" s="280">
        <f t="shared" si="30"/>
        <v>2.125</v>
      </c>
      <c r="T76" s="31">
        <f>VLOOKUP(A76,'Ansvar kurs'!$A$1:$C$1123,2,FALSE)</f>
        <v>1620</v>
      </c>
      <c r="U76" s="31" t="str">
        <f>VLOOKUP(T76,Orgenheter!$A$1:$C$166,2,FALSE)</f>
        <v>Inst för språkstudier</v>
      </c>
      <c r="V76" s="31" t="str">
        <f>VLOOKUP(T76,Orgenheter!$A$1:$C$166,3,FALSE)</f>
        <v>Hum</v>
      </c>
      <c r="W76" s="35" t="str">
        <f>VLOOKUP(D76,Program!$A$1:$B$36,2,FALSE)</f>
        <v>Ämneslärarprogrammet - Gy</v>
      </c>
      <c r="X76" s="40">
        <f>VLOOKUP(A76,kurspris!$A$1:$Q$913,15,FALSE)</f>
        <v>20766</v>
      </c>
      <c r="Y76" s="40">
        <f>VLOOKUP(A76,kurspris!$A$1:$Q$913,16,FALSE)</f>
        <v>17442</v>
      </c>
      <c r="Z76" s="40">
        <f t="shared" si="31"/>
        <v>88979.25</v>
      </c>
      <c r="AA76" s="40">
        <f>VLOOKUP(A76,kurspris!$A$1:$Q$913,17,FALSE)</f>
        <v>6000</v>
      </c>
      <c r="AB76" s="40">
        <f t="shared" si="32"/>
        <v>15000</v>
      </c>
      <c r="AC76" s="40">
        <f t="shared" si="33"/>
        <v>103979.25</v>
      </c>
      <c r="AD76" s="31">
        <f>VLOOKUP($A76,kurspris!$A$1:$Q$950,3,FALSE)</f>
        <v>0</v>
      </c>
      <c r="AE76" s="31">
        <f>VLOOKUP($A76,kurspris!$A$1:$Q$950,4,FALSE)</f>
        <v>1</v>
      </c>
      <c r="AF76" s="31">
        <f>VLOOKUP($A76,kurspris!$A$1:$Q$950,5,FALSE)</f>
        <v>0</v>
      </c>
      <c r="AG76" s="31">
        <f>VLOOKUP($A76,kurspris!$A$1:$Q$950,6,FALSE)</f>
        <v>0</v>
      </c>
      <c r="AH76" s="31">
        <f>VLOOKUP($A76,kurspris!$A$1:$Q$950,7,FALSE)</f>
        <v>0</v>
      </c>
      <c r="AI76" s="31">
        <f>VLOOKUP($A76,kurspris!$A$1:$Q$950,8,FALSE)</f>
        <v>0</v>
      </c>
      <c r="AJ76" s="31">
        <f>VLOOKUP($A76,kurspris!$A$1:$Q$950,9,FALSE)</f>
        <v>0</v>
      </c>
      <c r="AK76" s="31">
        <f>VLOOKUP($A76,kurspris!$A$1:$Q$950,10,FALSE)</f>
        <v>0</v>
      </c>
      <c r="AL76" s="31">
        <f>VLOOKUP($A76,kurspris!$A$1:$Q$950,11,FALSE)</f>
        <v>0</v>
      </c>
      <c r="AM76" s="31">
        <f>VLOOKUP($A76,kurspris!$A$1:$Q$950,12,FALSE)</f>
        <v>0</v>
      </c>
      <c r="AN76" s="31">
        <f>VLOOKUP($A76,kurspris!$A$1:$Q$950,13,FALSE)</f>
        <v>0</v>
      </c>
      <c r="AO76" s="31">
        <f>VLOOKUP($A76,kurspris!$A$1:$Q$950,14,FALSE)</f>
        <v>0</v>
      </c>
      <c r="AP76" s="57" t="s">
        <v>2402</v>
      </c>
      <c r="AQ76"/>
      <c r="AR76" s="31">
        <f t="shared" si="34"/>
        <v>0</v>
      </c>
      <c r="AS76" s="219">
        <f t="shared" si="35"/>
        <v>0</v>
      </c>
      <c r="AT76" s="31">
        <f t="shared" si="36"/>
        <v>2.5</v>
      </c>
      <c r="AU76" s="219">
        <f t="shared" si="37"/>
        <v>2.125</v>
      </c>
      <c r="AV76" s="31">
        <f t="shared" si="38"/>
        <v>0</v>
      </c>
      <c r="AW76" s="31">
        <f t="shared" si="39"/>
        <v>0</v>
      </c>
      <c r="AX76" s="31">
        <f t="shared" si="40"/>
        <v>0</v>
      </c>
      <c r="AY76" s="219">
        <f t="shared" si="41"/>
        <v>0</v>
      </c>
      <c r="AZ76" s="196">
        <f t="shared" si="42"/>
        <v>0</v>
      </c>
      <c r="BA76" s="219">
        <f t="shared" si="43"/>
        <v>0</v>
      </c>
      <c r="BB76" s="31">
        <f t="shared" si="44"/>
        <v>0</v>
      </c>
      <c r="BC76" s="219">
        <f t="shared" si="45"/>
        <v>0</v>
      </c>
      <c r="BD76" s="31">
        <f t="shared" si="46"/>
        <v>0</v>
      </c>
      <c r="BE76" s="219">
        <f t="shared" si="47"/>
        <v>0</v>
      </c>
      <c r="BF76" s="31">
        <f t="shared" si="48"/>
        <v>0</v>
      </c>
      <c r="BG76" s="219">
        <f t="shared" si="49"/>
        <v>0</v>
      </c>
      <c r="BH76" s="31">
        <f t="shared" si="50"/>
        <v>0</v>
      </c>
      <c r="BI76" s="219">
        <f t="shared" si="51"/>
        <v>0</v>
      </c>
      <c r="BJ76" s="31">
        <f t="shared" si="52"/>
        <v>0</v>
      </c>
      <c r="BK76" s="219">
        <f t="shared" si="53"/>
        <v>0</v>
      </c>
      <c r="BL76" s="31">
        <f t="shared" si="54"/>
        <v>0</v>
      </c>
      <c r="BM76" s="219">
        <f t="shared" si="55"/>
        <v>0</v>
      </c>
      <c r="BN76" s="31">
        <f t="shared" si="56"/>
        <v>0</v>
      </c>
      <c r="BO76" s="219">
        <f t="shared" si="57"/>
        <v>0</v>
      </c>
    </row>
    <row r="77" spans="1:67" x14ac:dyDescent="0.25">
      <c r="A77" s="57" t="s">
        <v>2071</v>
      </c>
      <c r="B77" s="176" t="str">
        <f>VLOOKUP(A77,kurspris!$A$1:$B$992,2,FALSE)</f>
        <v>Engelska 1 för ämneslärare</v>
      </c>
      <c r="C77" s="31">
        <v>71411</v>
      </c>
      <c r="D77" s="31" t="s">
        <v>482</v>
      </c>
      <c r="E77" s="57"/>
      <c r="F77" s="57" t="s">
        <v>2274</v>
      </c>
      <c r="H77" s="31" t="s">
        <v>2335</v>
      </c>
      <c r="I77" s="31" t="s">
        <v>2399</v>
      </c>
      <c r="J77" s="31" t="s">
        <v>2233</v>
      </c>
      <c r="L77" s="38"/>
      <c r="M77">
        <v>30</v>
      </c>
      <c r="P77" s="31">
        <v>1</v>
      </c>
      <c r="Q77" s="539">
        <v>0.5</v>
      </c>
      <c r="R77" s="38">
        <v>0.85</v>
      </c>
      <c r="S77" s="280">
        <f t="shared" si="30"/>
        <v>0.42499999999999999</v>
      </c>
      <c r="T77" s="31">
        <f>VLOOKUP(A77,'Ansvar kurs'!$A$1:$C$1123,2,FALSE)</f>
        <v>1620</v>
      </c>
      <c r="U77" s="31" t="str">
        <f>VLOOKUP(T77,Orgenheter!$A$1:$C$166,2,FALSE)</f>
        <v>Inst för språkstudier</v>
      </c>
      <c r="V77" s="31" t="str">
        <f>VLOOKUP(T77,Orgenheter!$A$1:$C$166,3,FALSE)</f>
        <v>Hum</v>
      </c>
      <c r="W77" s="35" t="str">
        <f>VLOOKUP(D77,Program!$A$1:$B$36,2,FALSE)</f>
        <v>Ämneslärarprogrammet - Gy</v>
      </c>
      <c r="X77" s="40">
        <f>VLOOKUP(A77,kurspris!$A$1:$Q$913,15,FALSE)</f>
        <v>20766</v>
      </c>
      <c r="Y77" s="40">
        <f>VLOOKUP(A77,kurspris!$A$1:$Q$913,16,FALSE)</f>
        <v>17442</v>
      </c>
      <c r="Z77" s="40">
        <f t="shared" si="31"/>
        <v>17795.849999999999</v>
      </c>
      <c r="AA77" s="40">
        <f>VLOOKUP(A77,kurspris!$A$1:$Q$913,17,FALSE)</f>
        <v>6000</v>
      </c>
      <c r="AB77" s="40">
        <f t="shared" si="32"/>
        <v>3000</v>
      </c>
      <c r="AC77" s="40">
        <f t="shared" si="33"/>
        <v>20795.849999999999</v>
      </c>
      <c r="AD77" s="31">
        <f>VLOOKUP($A77,kurspris!$A$1:$Q$950,3,FALSE)</f>
        <v>0</v>
      </c>
      <c r="AE77" s="31">
        <f>VLOOKUP($A77,kurspris!$A$1:$Q$950,4,FALSE)</f>
        <v>1</v>
      </c>
      <c r="AF77" s="31">
        <f>VLOOKUP($A77,kurspris!$A$1:$Q$950,5,FALSE)</f>
        <v>0</v>
      </c>
      <c r="AG77" s="31">
        <f>VLOOKUP($A77,kurspris!$A$1:$Q$950,6,FALSE)</f>
        <v>0</v>
      </c>
      <c r="AH77" s="31">
        <f>VLOOKUP($A77,kurspris!$A$1:$Q$950,7,FALSE)</f>
        <v>0</v>
      </c>
      <c r="AI77" s="31">
        <f>VLOOKUP($A77,kurspris!$A$1:$Q$950,8,FALSE)</f>
        <v>0</v>
      </c>
      <c r="AJ77" s="31">
        <f>VLOOKUP($A77,kurspris!$A$1:$Q$950,9,FALSE)</f>
        <v>0</v>
      </c>
      <c r="AK77" s="31">
        <f>VLOOKUP($A77,kurspris!$A$1:$Q$950,10,FALSE)</f>
        <v>0</v>
      </c>
      <c r="AL77" s="31">
        <f>VLOOKUP($A77,kurspris!$A$1:$Q$950,11,FALSE)</f>
        <v>0</v>
      </c>
      <c r="AM77" s="31">
        <f>VLOOKUP($A77,kurspris!$A$1:$Q$950,12,FALSE)</f>
        <v>0</v>
      </c>
      <c r="AN77" s="31">
        <f>VLOOKUP($A77,kurspris!$A$1:$Q$950,13,FALSE)</f>
        <v>0</v>
      </c>
      <c r="AO77" s="31">
        <f>VLOOKUP($A77,kurspris!$A$1:$Q$950,14,FALSE)</f>
        <v>0</v>
      </c>
      <c r="AP77" s="57" t="s">
        <v>2402</v>
      </c>
      <c r="AQ77"/>
      <c r="AR77" s="31">
        <f t="shared" si="34"/>
        <v>0</v>
      </c>
      <c r="AS77" s="219">
        <f t="shared" si="35"/>
        <v>0</v>
      </c>
      <c r="AT77" s="31">
        <f t="shared" si="36"/>
        <v>0.5</v>
      </c>
      <c r="AU77" s="219">
        <f t="shared" si="37"/>
        <v>0.42499999999999999</v>
      </c>
      <c r="AV77" s="31">
        <f t="shared" si="38"/>
        <v>0</v>
      </c>
      <c r="AW77" s="31">
        <f t="shared" si="39"/>
        <v>0</v>
      </c>
      <c r="AX77" s="31">
        <f t="shared" si="40"/>
        <v>0</v>
      </c>
      <c r="AY77" s="219">
        <f t="shared" si="41"/>
        <v>0</v>
      </c>
      <c r="AZ77" s="196">
        <f t="shared" si="42"/>
        <v>0</v>
      </c>
      <c r="BA77" s="219">
        <f t="shared" si="43"/>
        <v>0</v>
      </c>
      <c r="BB77" s="31">
        <f t="shared" si="44"/>
        <v>0</v>
      </c>
      <c r="BC77" s="219">
        <f t="shared" si="45"/>
        <v>0</v>
      </c>
      <c r="BD77" s="31">
        <f t="shared" si="46"/>
        <v>0</v>
      </c>
      <c r="BE77" s="219">
        <f t="shared" si="47"/>
        <v>0</v>
      </c>
      <c r="BF77" s="31">
        <f t="shared" si="48"/>
        <v>0</v>
      </c>
      <c r="BG77" s="219">
        <f t="shared" si="49"/>
        <v>0</v>
      </c>
      <c r="BH77" s="31">
        <f t="shared" si="50"/>
        <v>0</v>
      </c>
      <c r="BI77" s="219">
        <f t="shared" si="51"/>
        <v>0</v>
      </c>
      <c r="BJ77" s="31">
        <f t="shared" si="52"/>
        <v>0</v>
      </c>
      <c r="BK77" s="219">
        <f t="shared" si="53"/>
        <v>0</v>
      </c>
      <c r="BL77" s="31">
        <f t="shared" si="54"/>
        <v>0</v>
      </c>
      <c r="BM77" s="219">
        <f t="shared" si="55"/>
        <v>0</v>
      </c>
      <c r="BN77" s="31">
        <f t="shared" si="56"/>
        <v>0</v>
      </c>
      <c r="BO77" s="219">
        <f t="shared" si="57"/>
        <v>0</v>
      </c>
    </row>
    <row r="78" spans="1:67" x14ac:dyDescent="0.25">
      <c r="A78" s="31" t="s">
        <v>2071</v>
      </c>
      <c r="B78" s="176" t="str">
        <f>VLOOKUP(A78,kurspris!$A$1:$B$992,2,FALSE)</f>
        <v>Engelska 1 för ämneslärare</v>
      </c>
      <c r="C78" s="31">
        <v>71411</v>
      </c>
      <c r="D78" s="60" t="s">
        <v>482</v>
      </c>
      <c r="E78" s="60"/>
      <c r="F78" s="57" t="s">
        <v>2274</v>
      </c>
      <c r="H78" s="31" t="s">
        <v>2335</v>
      </c>
      <c r="I78" s="31" t="s">
        <v>2399</v>
      </c>
      <c r="J78" s="31" t="s">
        <v>2236</v>
      </c>
      <c r="L78" s="38"/>
      <c r="M78">
        <v>30</v>
      </c>
      <c r="P78" s="31">
        <v>1</v>
      </c>
      <c r="Q78" s="539">
        <v>0.5</v>
      </c>
      <c r="R78" s="38">
        <v>0.85</v>
      </c>
      <c r="S78" s="280">
        <f t="shared" si="30"/>
        <v>0.42499999999999999</v>
      </c>
      <c r="T78" s="31">
        <f>VLOOKUP(A78,'Ansvar kurs'!$A$1:$C$1123,2,FALSE)</f>
        <v>1620</v>
      </c>
      <c r="U78" s="31" t="str">
        <f>VLOOKUP(T78,Orgenheter!$A$1:$C$166,2,FALSE)</f>
        <v>Inst för språkstudier</v>
      </c>
      <c r="V78" s="31" t="str">
        <f>VLOOKUP(T78,Orgenheter!$A$1:$C$166,3,FALSE)</f>
        <v>Hum</v>
      </c>
      <c r="W78" s="35" t="str">
        <f>VLOOKUP(D78,Program!$A$1:$B$36,2,FALSE)</f>
        <v>Ämneslärarprogrammet - Gy</v>
      </c>
      <c r="X78" s="40">
        <f>VLOOKUP(A78,kurspris!$A$1:$Q$913,15,FALSE)</f>
        <v>20766</v>
      </c>
      <c r="Y78" s="40">
        <f>VLOOKUP(A78,kurspris!$A$1:$Q$913,16,FALSE)</f>
        <v>17442</v>
      </c>
      <c r="Z78" s="40">
        <f t="shared" si="31"/>
        <v>17795.849999999999</v>
      </c>
      <c r="AA78" s="40">
        <f>VLOOKUP(A78,kurspris!$A$1:$Q$913,17,FALSE)</f>
        <v>6000</v>
      </c>
      <c r="AB78" s="40">
        <f t="shared" si="32"/>
        <v>3000</v>
      </c>
      <c r="AC78" s="40">
        <f t="shared" si="33"/>
        <v>20795.849999999999</v>
      </c>
      <c r="AD78" s="31">
        <f>VLOOKUP($A78,kurspris!$A$1:$Q$950,3,FALSE)</f>
        <v>0</v>
      </c>
      <c r="AE78" s="31">
        <f>VLOOKUP($A78,kurspris!$A$1:$Q$950,4,FALSE)</f>
        <v>1</v>
      </c>
      <c r="AF78" s="31">
        <f>VLOOKUP($A78,kurspris!$A$1:$Q$950,5,FALSE)</f>
        <v>0</v>
      </c>
      <c r="AG78" s="31">
        <f>VLOOKUP($A78,kurspris!$A$1:$Q$950,6,FALSE)</f>
        <v>0</v>
      </c>
      <c r="AH78" s="31">
        <f>VLOOKUP($A78,kurspris!$A$1:$Q$950,7,FALSE)</f>
        <v>0</v>
      </c>
      <c r="AI78" s="31">
        <f>VLOOKUP($A78,kurspris!$A$1:$Q$950,8,FALSE)</f>
        <v>0</v>
      </c>
      <c r="AJ78" s="31">
        <f>VLOOKUP($A78,kurspris!$A$1:$Q$950,9,FALSE)</f>
        <v>0</v>
      </c>
      <c r="AK78" s="31">
        <f>VLOOKUP($A78,kurspris!$A$1:$Q$950,10,FALSE)</f>
        <v>0</v>
      </c>
      <c r="AL78" s="31">
        <f>VLOOKUP($A78,kurspris!$A$1:$Q$950,11,FALSE)</f>
        <v>0</v>
      </c>
      <c r="AM78" s="31">
        <f>VLOOKUP($A78,kurspris!$A$1:$Q$950,12,FALSE)</f>
        <v>0</v>
      </c>
      <c r="AN78" s="31">
        <f>VLOOKUP($A78,kurspris!$A$1:$Q$950,13,FALSE)</f>
        <v>0</v>
      </c>
      <c r="AO78" s="31">
        <f>VLOOKUP($A78,kurspris!$A$1:$Q$950,14,FALSE)</f>
        <v>0</v>
      </c>
      <c r="AP78" s="57" t="s">
        <v>2402</v>
      </c>
      <c r="AQ78"/>
      <c r="AR78" s="31">
        <f t="shared" si="34"/>
        <v>0</v>
      </c>
      <c r="AS78" s="219">
        <f t="shared" si="35"/>
        <v>0</v>
      </c>
      <c r="AT78" s="31">
        <f t="shared" si="36"/>
        <v>0.5</v>
      </c>
      <c r="AU78" s="219">
        <f t="shared" si="37"/>
        <v>0.42499999999999999</v>
      </c>
      <c r="AV78" s="31">
        <f t="shared" si="38"/>
        <v>0</v>
      </c>
      <c r="AW78" s="31">
        <f t="shared" si="39"/>
        <v>0</v>
      </c>
      <c r="AX78" s="31">
        <f t="shared" si="40"/>
        <v>0</v>
      </c>
      <c r="AY78" s="219">
        <f t="shared" si="41"/>
        <v>0</v>
      </c>
      <c r="AZ78" s="196">
        <f t="shared" si="42"/>
        <v>0</v>
      </c>
      <c r="BA78" s="219">
        <f t="shared" si="43"/>
        <v>0</v>
      </c>
      <c r="BB78" s="31">
        <f t="shared" si="44"/>
        <v>0</v>
      </c>
      <c r="BC78" s="219">
        <f t="shared" si="45"/>
        <v>0</v>
      </c>
      <c r="BD78" s="31">
        <f t="shared" si="46"/>
        <v>0</v>
      </c>
      <c r="BE78" s="219">
        <f t="shared" si="47"/>
        <v>0</v>
      </c>
      <c r="BF78" s="31">
        <f t="shared" si="48"/>
        <v>0</v>
      </c>
      <c r="BG78" s="219">
        <f t="shared" si="49"/>
        <v>0</v>
      </c>
      <c r="BH78" s="31">
        <f t="shared" si="50"/>
        <v>0</v>
      </c>
      <c r="BI78" s="219">
        <f t="shared" si="51"/>
        <v>0</v>
      </c>
      <c r="BJ78" s="31">
        <f t="shared" si="52"/>
        <v>0</v>
      </c>
      <c r="BK78" s="219">
        <f t="shared" si="53"/>
        <v>0</v>
      </c>
      <c r="BL78" s="31">
        <f t="shared" si="54"/>
        <v>0</v>
      </c>
      <c r="BM78" s="219">
        <f t="shared" si="55"/>
        <v>0</v>
      </c>
      <c r="BN78" s="31">
        <f t="shared" si="56"/>
        <v>0</v>
      </c>
      <c r="BO78" s="219">
        <f t="shared" si="57"/>
        <v>0</v>
      </c>
    </row>
    <row r="79" spans="1:67" x14ac:dyDescent="0.25">
      <c r="A79" s="31" t="s">
        <v>2071</v>
      </c>
      <c r="B79" s="176" t="str">
        <f>VLOOKUP(A79,kurspris!$A$1:$B$992,2,FALSE)</f>
        <v>Engelska 1 för ämneslärare</v>
      </c>
      <c r="C79" s="31">
        <v>71411</v>
      </c>
      <c r="D79" s="60" t="s">
        <v>482</v>
      </c>
      <c r="E79" s="60"/>
      <c r="F79" s="57" t="s">
        <v>2274</v>
      </c>
      <c r="H79" s="31" t="s">
        <v>2335</v>
      </c>
      <c r="I79" s="31" t="s">
        <v>2399</v>
      </c>
      <c r="J79" s="31" t="s">
        <v>2239</v>
      </c>
      <c r="L79" s="38"/>
      <c r="M79">
        <v>30</v>
      </c>
      <c r="P79" s="31">
        <v>1</v>
      </c>
      <c r="Q79" s="539">
        <v>0.5</v>
      </c>
      <c r="R79" s="38">
        <v>0.85</v>
      </c>
      <c r="S79" s="280">
        <f t="shared" si="30"/>
        <v>0.42499999999999999</v>
      </c>
      <c r="T79" s="31">
        <f>VLOOKUP(A79,'Ansvar kurs'!$A$1:$C$1123,2,FALSE)</f>
        <v>1620</v>
      </c>
      <c r="U79" s="31" t="str">
        <f>VLOOKUP(T79,Orgenheter!$A$1:$C$166,2,FALSE)</f>
        <v>Inst för språkstudier</v>
      </c>
      <c r="V79" s="31" t="str">
        <f>VLOOKUP(T79,Orgenheter!$A$1:$C$166,3,FALSE)</f>
        <v>Hum</v>
      </c>
      <c r="W79" s="35" t="str">
        <f>VLOOKUP(D79,Program!$A$1:$B$36,2,FALSE)</f>
        <v>Ämneslärarprogrammet - Gy</v>
      </c>
      <c r="X79" s="40">
        <f>VLOOKUP(A79,kurspris!$A$1:$Q$913,15,FALSE)</f>
        <v>20766</v>
      </c>
      <c r="Y79" s="40">
        <f>VLOOKUP(A79,kurspris!$A$1:$Q$913,16,FALSE)</f>
        <v>17442</v>
      </c>
      <c r="Z79" s="40">
        <f t="shared" si="31"/>
        <v>17795.849999999999</v>
      </c>
      <c r="AA79" s="40">
        <f>VLOOKUP(A79,kurspris!$A$1:$Q$913,17,FALSE)</f>
        <v>6000</v>
      </c>
      <c r="AB79" s="40">
        <f t="shared" si="32"/>
        <v>3000</v>
      </c>
      <c r="AC79" s="40">
        <f t="shared" si="33"/>
        <v>20795.849999999999</v>
      </c>
      <c r="AD79" s="31">
        <f>VLOOKUP($A79,kurspris!$A$1:$Q$950,3,FALSE)</f>
        <v>0</v>
      </c>
      <c r="AE79" s="31">
        <f>VLOOKUP($A79,kurspris!$A$1:$Q$950,4,FALSE)</f>
        <v>1</v>
      </c>
      <c r="AF79" s="31">
        <f>VLOOKUP($A79,kurspris!$A$1:$Q$950,5,FALSE)</f>
        <v>0</v>
      </c>
      <c r="AG79" s="31">
        <f>VLOOKUP($A79,kurspris!$A$1:$Q$950,6,FALSE)</f>
        <v>0</v>
      </c>
      <c r="AH79" s="31">
        <f>VLOOKUP($A79,kurspris!$A$1:$Q$950,7,FALSE)</f>
        <v>0</v>
      </c>
      <c r="AI79" s="31">
        <f>VLOOKUP($A79,kurspris!$A$1:$Q$950,8,FALSE)</f>
        <v>0</v>
      </c>
      <c r="AJ79" s="31">
        <f>VLOOKUP($A79,kurspris!$A$1:$Q$950,9,FALSE)</f>
        <v>0</v>
      </c>
      <c r="AK79" s="31">
        <f>VLOOKUP($A79,kurspris!$A$1:$Q$950,10,FALSE)</f>
        <v>0</v>
      </c>
      <c r="AL79" s="31">
        <f>VLOOKUP($A79,kurspris!$A$1:$Q$950,11,FALSE)</f>
        <v>0</v>
      </c>
      <c r="AM79" s="31">
        <f>VLOOKUP($A79,kurspris!$A$1:$Q$950,12,FALSE)</f>
        <v>0</v>
      </c>
      <c r="AN79" s="31">
        <f>VLOOKUP($A79,kurspris!$A$1:$Q$950,13,FALSE)</f>
        <v>0</v>
      </c>
      <c r="AO79" s="31">
        <f>VLOOKUP($A79,kurspris!$A$1:$Q$950,14,FALSE)</f>
        <v>0</v>
      </c>
      <c r="AP79" s="57" t="s">
        <v>2402</v>
      </c>
      <c r="AQ79"/>
      <c r="AR79" s="31">
        <f t="shared" si="34"/>
        <v>0</v>
      </c>
      <c r="AS79" s="219">
        <f t="shared" si="35"/>
        <v>0</v>
      </c>
      <c r="AT79" s="31">
        <f t="shared" si="36"/>
        <v>0.5</v>
      </c>
      <c r="AU79" s="219">
        <f t="shared" si="37"/>
        <v>0.42499999999999999</v>
      </c>
      <c r="AV79" s="31">
        <f t="shared" si="38"/>
        <v>0</v>
      </c>
      <c r="AW79" s="31">
        <f t="shared" si="39"/>
        <v>0</v>
      </c>
      <c r="AX79" s="31">
        <f t="shared" si="40"/>
        <v>0</v>
      </c>
      <c r="AY79" s="219">
        <f t="shared" si="41"/>
        <v>0</v>
      </c>
      <c r="AZ79" s="196">
        <f t="shared" si="42"/>
        <v>0</v>
      </c>
      <c r="BA79" s="219">
        <f t="shared" si="43"/>
        <v>0</v>
      </c>
      <c r="BB79" s="31">
        <f t="shared" si="44"/>
        <v>0</v>
      </c>
      <c r="BC79" s="219">
        <f t="shared" si="45"/>
        <v>0</v>
      </c>
      <c r="BD79" s="31">
        <f t="shared" si="46"/>
        <v>0</v>
      </c>
      <c r="BE79" s="219">
        <f t="shared" si="47"/>
        <v>0</v>
      </c>
      <c r="BF79" s="31">
        <f t="shared" si="48"/>
        <v>0</v>
      </c>
      <c r="BG79" s="219">
        <f t="shared" si="49"/>
        <v>0</v>
      </c>
      <c r="BH79" s="31">
        <f t="shared" si="50"/>
        <v>0</v>
      </c>
      <c r="BI79" s="219">
        <f t="shared" si="51"/>
        <v>0</v>
      </c>
      <c r="BJ79" s="31">
        <f t="shared" si="52"/>
        <v>0</v>
      </c>
      <c r="BK79" s="219">
        <f t="shared" si="53"/>
        <v>0</v>
      </c>
      <c r="BL79" s="31">
        <f t="shared" si="54"/>
        <v>0</v>
      </c>
      <c r="BM79" s="219">
        <f t="shared" si="55"/>
        <v>0</v>
      </c>
      <c r="BN79" s="31">
        <f t="shared" si="56"/>
        <v>0</v>
      </c>
      <c r="BO79" s="219">
        <f t="shared" si="57"/>
        <v>0</v>
      </c>
    </row>
    <row r="80" spans="1:67" x14ac:dyDescent="0.25">
      <c r="A80" s="157" t="s">
        <v>2071</v>
      </c>
      <c r="B80" s="176" t="str">
        <f>VLOOKUP(A80,kurspris!$A$1:$B$992,2,FALSE)</f>
        <v>Engelska 1 för ämneslärare</v>
      </c>
      <c r="C80" s="31">
        <v>71411</v>
      </c>
      <c r="D80" s="31" t="s">
        <v>482</v>
      </c>
      <c r="F80" s="57" t="s">
        <v>2274</v>
      </c>
      <c r="H80" s="31" t="s">
        <v>2335</v>
      </c>
      <c r="I80" s="31" t="s">
        <v>2399</v>
      </c>
      <c r="J80" s="31" t="s">
        <v>2240</v>
      </c>
      <c r="L80" s="38"/>
      <c r="M80">
        <v>30</v>
      </c>
      <c r="P80" s="31">
        <v>6</v>
      </c>
      <c r="Q80" s="539">
        <v>3</v>
      </c>
      <c r="R80" s="38">
        <v>0.85</v>
      </c>
      <c r="S80" s="280">
        <f t="shared" si="30"/>
        <v>2.5499999999999998</v>
      </c>
      <c r="T80" s="31">
        <f>VLOOKUP(A80,'Ansvar kurs'!$A$1:$C$1123,2,FALSE)</f>
        <v>1620</v>
      </c>
      <c r="U80" s="31" t="str">
        <f>VLOOKUP(T80,Orgenheter!$A$1:$C$166,2,FALSE)</f>
        <v>Inst för språkstudier</v>
      </c>
      <c r="V80" s="31" t="str">
        <f>VLOOKUP(T80,Orgenheter!$A$1:$C$166,3,FALSE)</f>
        <v>Hum</v>
      </c>
      <c r="W80" s="35" t="str">
        <f>VLOOKUP(D80,Program!$A$1:$B$36,2,FALSE)</f>
        <v>Ämneslärarprogrammet - Gy</v>
      </c>
      <c r="X80" s="40">
        <f>VLOOKUP(A80,kurspris!$A$1:$Q$913,15,FALSE)</f>
        <v>20766</v>
      </c>
      <c r="Y80" s="40">
        <f>VLOOKUP(A80,kurspris!$A$1:$Q$913,16,FALSE)</f>
        <v>17442</v>
      </c>
      <c r="Z80" s="40">
        <f t="shared" si="31"/>
        <v>106775.1</v>
      </c>
      <c r="AA80" s="40">
        <f>VLOOKUP(A80,kurspris!$A$1:$Q$913,17,FALSE)</f>
        <v>6000</v>
      </c>
      <c r="AB80" s="40">
        <f t="shared" si="32"/>
        <v>18000</v>
      </c>
      <c r="AC80" s="40">
        <f t="shared" si="33"/>
        <v>124775.1</v>
      </c>
      <c r="AD80" s="31">
        <f>VLOOKUP($A80,kurspris!$A$1:$Q$950,3,FALSE)</f>
        <v>0</v>
      </c>
      <c r="AE80" s="31">
        <f>VLOOKUP($A80,kurspris!$A$1:$Q$950,4,FALSE)</f>
        <v>1</v>
      </c>
      <c r="AF80" s="31">
        <f>VLOOKUP($A80,kurspris!$A$1:$Q$950,5,FALSE)</f>
        <v>0</v>
      </c>
      <c r="AG80" s="31">
        <f>VLOOKUP($A80,kurspris!$A$1:$Q$950,6,FALSE)</f>
        <v>0</v>
      </c>
      <c r="AH80" s="31">
        <f>VLOOKUP($A80,kurspris!$A$1:$Q$950,7,FALSE)</f>
        <v>0</v>
      </c>
      <c r="AI80" s="31">
        <f>VLOOKUP($A80,kurspris!$A$1:$Q$950,8,FALSE)</f>
        <v>0</v>
      </c>
      <c r="AJ80" s="31">
        <f>VLOOKUP($A80,kurspris!$A$1:$Q$950,9,FALSE)</f>
        <v>0</v>
      </c>
      <c r="AK80" s="31">
        <f>VLOOKUP($A80,kurspris!$A$1:$Q$950,10,FALSE)</f>
        <v>0</v>
      </c>
      <c r="AL80" s="31">
        <f>VLOOKUP($A80,kurspris!$A$1:$Q$950,11,FALSE)</f>
        <v>0</v>
      </c>
      <c r="AM80" s="31">
        <f>VLOOKUP($A80,kurspris!$A$1:$Q$950,12,FALSE)</f>
        <v>0</v>
      </c>
      <c r="AN80" s="31">
        <f>VLOOKUP($A80,kurspris!$A$1:$Q$950,13,FALSE)</f>
        <v>0</v>
      </c>
      <c r="AO80" s="31">
        <f>VLOOKUP($A80,kurspris!$A$1:$Q$950,14,FALSE)</f>
        <v>0</v>
      </c>
      <c r="AP80" s="57" t="s">
        <v>2402</v>
      </c>
      <c r="AQ80"/>
      <c r="AR80" s="31">
        <f t="shared" si="34"/>
        <v>0</v>
      </c>
      <c r="AS80" s="219">
        <f t="shared" si="35"/>
        <v>0</v>
      </c>
      <c r="AT80" s="31">
        <f t="shared" si="36"/>
        <v>3</v>
      </c>
      <c r="AU80" s="219">
        <f t="shared" si="37"/>
        <v>2.5499999999999998</v>
      </c>
      <c r="AV80" s="31">
        <f t="shared" si="38"/>
        <v>0</v>
      </c>
      <c r="AW80" s="31">
        <f t="shared" si="39"/>
        <v>0</v>
      </c>
      <c r="AX80" s="31">
        <f t="shared" si="40"/>
        <v>0</v>
      </c>
      <c r="AY80" s="219">
        <f t="shared" si="41"/>
        <v>0</v>
      </c>
      <c r="AZ80" s="196">
        <f t="shared" si="42"/>
        <v>0</v>
      </c>
      <c r="BA80" s="219">
        <f t="shared" si="43"/>
        <v>0</v>
      </c>
      <c r="BB80" s="31">
        <f t="shared" si="44"/>
        <v>0</v>
      </c>
      <c r="BC80" s="219">
        <f t="shared" si="45"/>
        <v>0</v>
      </c>
      <c r="BD80" s="31">
        <f t="shared" si="46"/>
        <v>0</v>
      </c>
      <c r="BE80" s="219">
        <f t="shared" si="47"/>
        <v>0</v>
      </c>
      <c r="BF80" s="31">
        <f t="shared" si="48"/>
        <v>0</v>
      </c>
      <c r="BG80" s="219">
        <f t="shared" si="49"/>
        <v>0</v>
      </c>
      <c r="BH80" s="31">
        <f t="shared" si="50"/>
        <v>0</v>
      </c>
      <c r="BI80" s="219">
        <f t="shared" si="51"/>
        <v>0</v>
      </c>
      <c r="BJ80" s="31">
        <f t="shared" si="52"/>
        <v>0</v>
      </c>
      <c r="BK80" s="219">
        <f t="shared" si="53"/>
        <v>0</v>
      </c>
      <c r="BL80" s="31">
        <f t="shared" si="54"/>
        <v>0</v>
      </c>
      <c r="BM80" s="219">
        <f t="shared" si="55"/>
        <v>0</v>
      </c>
      <c r="BN80" s="31">
        <f t="shared" si="56"/>
        <v>0</v>
      </c>
      <c r="BO80" s="219">
        <f t="shared" si="57"/>
        <v>0</v>
      </c>
    </row>
    <row r="81" spans="1:67" x14ac:dyDescent="0.25">
      <c r="A81" s="31" t="s">
        <v>2071</v>
      </c>
      <c r="B81" s="176" t="str">
        <f>VLOOKUP(A81,kurspris!$A$1:$B$992,2,FALSE)</f>
        <v>Engelska 1 för ämneslärare</v>
      </c>
      <c r="C81" s="31">
        <v>71411</v>
      </c>
      <c r="D81" s="60" t="s">
        <v>482</v>
      </c>
      <c r="E81" s="60"/>
      <c r="F81" s="57" t="s">
        <v>2274</v>
      </c>
      <c r="H81" s="31" t="s">
        <v>2335</v>
      </c>
      <c r="I81" s="31" t="s">
        <v>2399</v>
      </c>
      <c r="L81" s="38"/>
      <c r="M81">
        <v>30</v>
      </c>
      <c r="P81" s="31">
        <v>1</v>
      </c>
      <c r="Q81" s="539">
        <v>0.5</v>
      </c>
      <c r="R81" s="38">
        <v>0.85</v>
      </c>
      <c r="S81" s="280">
        <f t="shared" si="30"/>
        <v>0.42499999999999999</v>
      </c>
      <c r="T81" s="31">
        <f>VLOOKUP(A81,'Ansvar kurs'!$A$1:$C$1123,2,FALSE)</f>
        <v>1620</v>
      </c>
      <c r="U81" s="31" t="str">
        <f>VLOOKUP(T81,Orgenheter!$A$1:$C$166,2,FALSE)</f>
        <v>Inst för språkstudier</v>
      </c>
      <c r="V81" s="31" t="str">
        <f>VLOOKUP(T81,Orgenheter!$A$1:$C$166,3,FALSE)</f>
        <v>Hum</v>
      </c>
      <c r="W81" s="35" t="str">
        <f>VLOOKUP(D81,Program!$A$1:$B$36,2,FALSE)</f>
        <v>Ämneslärarprogrammet - Gy</v>
      </c>
      <c r="X81" s="40">
        <f>VLOOKUP(A81,kurspris!$A$1:$Q$913,15,FALSE)</f>
        <v>20766</v>
      </c>
      <c r="Y81" s="40">
        <f>VLOOKUP(A81,kurspris!$A$1:$Q$913,16,FALSE)</f>
        <v>17442</v>
      </c>
      <c r="Z81" s="40">
        <f t="shared" si="31"/>
        <v>17795.849999999999</v>
      </c>
      <c r="AA81" s="40">
        <f>VLOOKUP(A81,kurspris!$A$1:$Q$913,17,FALSE)</f>
        <v>6000</v>
      </c>
      <c r="AB81" s="40">
        <f t="shared" si="32"/>
        <v>3000</v>
      </c>
      <c r="AC81" s="40">
        <f t="shared" si="33"/>
        <v>20795.849999999999</v>
      </c>
      <c r="AD81" s="31">
        <f>VLOOKUP($A81,kurspris!$A$1:$Q$950,3,FALSE)</f>
        <v>0</v>
      </c>
      <c r="AE81" s="31">
        <f>VLOOKUP($A81,kurspris!$A$1:$Q$950,4,FALSE)</f>
        <v>1</v>
      </c>
      <c r="AF81" s="31">
        <f>VLOOKUP($A81,kurspris!$A$1:$Q$950,5,FALSE)</f>
        <v>0</v>
      </c>
      <c r="AG81" s="31">
        <f>VLOOKUP($A81,kurspris!$A$1:$Q$950,6,FALSE)</f>
        <v>0</v>
      </c>
      <c r="AH81" s="31">
        <f>VLOOKUP($A81,kurspris!$A$1:$Q$950,7,FALSE)</f>
        <v>0</v>
      </c>
      <c r="AI81" s="31">
        <f>VLOOKUP($A81,kurspris!$A$1:$Q$950,8,FALSE)</f>
        <v>0</v>
      </c>
      <c r="AJ81" s="31">
        <f>VLOOKUP($A81,kurspris!$A$1:$Q$950,9,FALSE)</f>
        <v>0</v>
      </c>
      <c r="AK81" s="31">
        <f>VLOOKUP($A81,kurspris!$A$1:$Q$950,10,FALSE)</f>
        <v>0</v>
      </c>
      <c r="AL81" s="31">
        <f>VLOOKUP($A81,kurspris!$A$1:$Q$950,11,FALSE)</f>
        <v>0</v>
      </c>
      <c r="AM81" s="31">
        <f>VLOOKUP($A81,kurspris!$A$1:$Q$950,12,FALSE)</f>
        <v>0</v>
      </c>
      <c r="AN81" s="31">
        <f>VLOOKUP($A81,kurspris!$A$1:$Q$950,13,FALSE)</f>
        <v>0</v>
      </c>
      <c r="AO81" s="31">
        <f>VLOOKUP($A81,kurspris!$A$1:$Q$950,14,FALSE)</f>
        <v>0</v>
      </c>
      <c r="AP81" s="57" t="s">
        <v>2402</v>
      </c>
      <c r="AQ81"/>
      <c r="AR81" s="31">
        <f t="shared" si="34"/>
        <v>0</v>
      </c>
      <c r="AS81" s="219">
        <f t="shared" si="35"/>
        <v>0</v>
      </c>
      <c r="AT81" s="31">
        <f t="shared" si="36"/>
        <v>0.5</v>
      </c>
      <c r="AU81" s="219">
        <f t="shared" si="37"/>
        <v>0.42499999999999999</v>
      </c>
      <c r="AV81" s="31">
        <f t="shared" si="38"/>
        <v>0</v>
      </c>
      <c r="AW81" s="31">
        <f t="shared" si="39"/>
        <v>0</v>
      </c>
      <c r="AX81" s="31">
        <f t="shared" si="40"/>
        <v>0</v>
      </c>
      <c r="AY81" s="219">
        <f t="shared" si="41"/>
        <v>0</v>
      </c>
      <c r="AZ81" s="196">
        <f t="shared" si="42"/>
        <v>0</v>
      </c>
      <c r="BA81" s="219">
        <f t="shared" si="43"/>
        <v>0</v>
      </c>
      <c r="BB81" s="31">
        <f t="shared" si="44"/>
        <v>0</v>
      </c>
      <c r="BC81" s="219">
        <f t="shared" si="45"/>
        <v>0</v>
      </c>
      <c r="BD81" s="31">
        <f t="shared" si="46"/>
        <v>0</v>
      </c>
      <c r="BE81" s="219">
        <f t="shared" si="47"/>
        <v>0</v>
      </c>
      <c r="BF81" s="31">
        <f t="shared" si="48"/>
        <v>0</v>
      </c>
      <c r="BG81" s="219">
        <f t="shared" si="49"/>
        <v>0</v>
      </c>
      <c r="BH81" s="31">
        <f t="shared" si="50"/>
        <v>0</v>
      </c>
      <c r="BI81" s="219">
        <f t="shared" si="51"/>
        <v>0</v>
      </c>
      <c r="BJ81" s="31">
        <f t="shared" si="52"/>
        <v>0</v>
      </c>
      <c r="BK81" s="219">
        <f t="shared" si="53"/>
        <v>0</v>
      </c>
      <c r="BL81" s="31">
        <f t="shared" si="54"/>
        <v>0</v>
      </c>
      <c r="BM81" s="219">
        <f t="shared" si="55"/>
        <v>0</v>
      </c>
      <c r="BN81" s="31">
        <f t="shared" si="56"/>
        <v>0</v>
      </c>
      <c r="BO81" s="219">
        <f t="shared" si="57"/>
        <v>0</v>
      </c>
    </row>
    <row r="82" spans="1:67" x14ac:dyDescent="0.25">
      <c r="A82" s="31" t="s">
        <v>2228</v>
      </c>
      <c r="B82" s="176" t="str">
        <f>VLOOKUP(A82,kurspris!$A$1:$B$992,2,FALSE)</f>
        <v>Engelska för ämneslärare, kurs 3</v>
      </c>
      <c r="C82" s="31">
        <v>71409</v>
      </c>
      <c r="D82" s="60" t="s">
        <v>482</v>
      </c>
      <c r="E82" s="60"/>
      <c r="F82" s="57" t="s">
        <v>2274</v>
      </c>
      <c r="H82" s="31" t="s">
        <v>2335</v>
      </c>
      <c r="I82" s="31" t="s">
        <v>2399</v>
      </c>
      <c r="J82" s="31" t="s">
        <v>2231</v>
      </c>
      <c r="L82" s="38"/>
      <c r="M82">
        <v>30</v>
      </c>
      <c r="P82" s="31">
        <v>10</v>
      </c>
      <c r="Q82" s="539">
        <v>5</v>
      </c>
      <c r="R82" s="38">
        <v>0.85</v>
      </c>
      <c r="S82" s="280">
        <f t="shared" si="30"/>
        <v>4.25</v>
      </c>
      <c r="T82" s="31">
        <f>VLOOKUP(A82,'Ansvar kurs'!$A$1:$C$1123,2,FALSE)</f>
        <v>1620</v>
      </c>
      <c r="U82" s="31" t="str">
        <f>VLOOKUP(T82,Orgenheter!$A$1:$C$166,2,FALSE)</f>
        <v>Inst för språkstudier</v>
      </c>
      <c r="V82" s="31" t="str">
        <f>VLOOKUP(T82,Orgenheter!$A$1:$C$166,3,FALSE)</f>
        <v>Hum</v>
      </c>
      <c r="W82" s="35" t="str">
        <f>VLOOKUP(D82,Program!$A$1:$B$36,2,FALSE)</f>
        <v>Ämneslärarprogrammet - Gy</v>
      </c>
      <c r="X82" s="40">
        <f>VLOOKUP(A82,kurspris!$A$1:$Q$913,15,FALSE)</f>
        <v>20766</v>
      </c>
      <c r="Y82" s="40">
        <f>VLOOKUP(A82,kurspris!$A$1:$Q$913,16,FALSE)</f>
        <v>17442</v>
      </c>
      <c r="Z82" s="40">
        <f t="shared" si="31"/>
        <v>177958.5</v>
      </c>
      <c r="AA82" s="40">
        <f>VLOOKUP(A82,kurspris!$A$1:$Q$913,17,FALSE)</f>
        <v>6000</v>
      </c>
      <c r="AB82" s="40">
        <f t="shared" si="32"/>
        <v>30000</v>
      </c>
      <c r="AC82" s="40">
        <f t="shared" si="33"/>
        <v>207958.5</v>
      </c>
      <c r="AD82" s="31">
        <f>VLOOKUP($A82,kurspris!$A$1:$Q$950,3,FALSE)</f>
        <v>0</v>
      </c>
      <c r="AE82" s="31">
        <f>VLOOKUP($A82,kurspris!$A$1:$Q$950,4,FALSE)</f>
        <v>1</v>
      </c>
      <c r="AF82" s="31">
        <f>VLOOKUP($A82,kurspris!$A$1:$Q$950,5,FALSE)</f>
        <v>0</v>
      </c>
      <c r="AG82" s="31">
        <f>VLOOKUP($A82,kurspris!$A$1:$Q$950,6,FALSE)</f>
        <v>0</v>
      </c>
      <c r="AH82" s="31">
        <f>VLOOKUP($A82,kurspris!$A$1:$Q$950,7,FALSE)</f>
        <v>0</v>
      </c>
      <c r="AI82" s="31">
        <f>VLOOKUP($A82,kurspris!$A$1:$Q$950,8,FALSE)</f>
        <v>0</v>
      </c>
      <c r="AJ82" s="31">
        <f>VLOOKUP($A82,kurspris!$A$1:$Q$950,9,FALSE)</f>
        <v>0</v>
      </c>
      <c r="AK82" s="31">
        <f>VLOOKUP($A82,kurspris!$A$1:$Q$950,10,FALSE)</f>
        <v>0</v>
      </c>
      <c r="AL82" s="31">
        <f>VLOOKUP($A82,kurspris!$A$1:$Q$950,11,FALSE)</f>
        <v>0</v>
      </c>
      <c r="AM82" s="31">
        <f>VLOOKUP($A82,kurspris!$A$1:$Q$950,12,FALSE)</f>
        <v>0</v>
      </c>
      <c r="AN82" s="31">
        <f>VLOOKUP($A82,kurspris!$A$1:$Q$950,13,FALSE)</f>
        <v>0</v>
      </c>
      <c r="AO82" s="31">
        <f>VLOOKUP($A82,kurspris!$A$1:$Q$950,14,FALSE)</f>
        <v>0</v>
      </c>
      <c r="AP82" s="57" t="s">
        <v>2402</v>
      </c>
      <c r="AQ82"/>
      <c r="AR82" s="31">
        <f t="shared" si="34"/>
        <v>0</v>
      </c>
      <c r="AS82" s="219">
        <f t="shared" si="35"/>
        <v>0</v>
      </c>
      <c r="AT82" s="31">
        <f t="shared" si="36"/>
        <v>5</v>
      </c>
      <c r="AU82" s="219">
        <f t="shared" si="37"/>
        <v>4.25</v>
      </c>
      <c r="AV82" s="31">
        <f t="shared" si="38"/>
        <v>0</v>
      </c>
      <c r="AW82" s="31">
        <f t="shared" si="39"/>
        <v>0</v>
      </c>
      <c r="AX82" s="31">
        <f t="shared" si="40"/>
        <v>0</v>
      </c>
      <c r="AY82" s="219">
        <f t="shared" si="41"/>
        <v>0</v>
      </c>
      <c r="AZ82" s="196">
        <f t="shared" si="42"/>
        <v>0</v>
      </c>
      <c r="BA82" s="219">
        <f t="shared" si="43"/>
        <v>0</v>
      </c>
      <c r="BB82" s="31">
        <f t="shared" si="44"/>
        <v>0</v>
      </c>
      <c r="BC82" s="219">
        <f t="shared" si="45"/>
        <v>0</v>
      </c>
      <c r="BD82" s="31">
        <f t="shared" si="46"/>
        <v>0</v>
      </c>
      <c r="BE82" s="219">
        <f t="shared" si="47"/>
        <v>0</v>
      </c>
      <c r="BF82" s="31">
        <f t="shared" si="48"/>
        <v>0</v>
      </c>
      <c r="BG82" s="219">
        <f t="shared" si="49"/>
        <v>0</v>
      </c>
      <c r="BH82" s="31">
        <f t="shared" si="50"/>
        <v>0</v>
      </c>
      <c r="BI82" s="219">
        <f t="shared" si="51"/>
        <v>0</v>
      </c>
      <c r="BJ82" s="31">
        <f t="shared" si="52"/>
        <v>0</v>
      </c>
      <c r="BK82" s="219">
        <f t="shared" si="53"/>
        <v>0</v>
      </c>
      <c r="BL82" s="31">
        <f t="shared" si="54"/>
        <v>0</v>
      </c>
      <c r="BM82" s="219">
        <f t="shared" si="55"/>
        <v>0</v>
      </c>
      <c r="BN82" s="31">
        <f t="shared" si="56"/>
        <v>0</v>
      </c>
      <c r="BO82" s="219">
        <f t="shared" si="57"/>
        <v>0</v>
      </c>
    </row>
    <row r="83" spans="1:67" x14ac:dyDescent="0.25">
      <c r="A83" s="31" t="s">
        <v>2228</v>
      </c>
      <c r="B83" s="176" t="str">
        <f>VLOOKUP(A83,kurspris!$A$1:$B$992,2,FALSE)</f>
        <v>Engelska för ämneslärare, kurs 3</v>
      </c>
      <c r="C83" s="31">
        <v>71409</v>
      </c>
      <c r="D83" s="60" t="s">
        <v>482</v>
      </c>
      <c r="E83" s="60"/>
      <c r="F83" s="57" t="s">
        <v>2274</v>
      </c>
      <c r="H83" s="31" t="s">
        <v>2335</v>
      </c>
      <c r="I83" s="31" t="s">
        <v>2399</v>
      </c>
      <c r="J83" s="31" t="s">
        <v>2241</v>
      </c>
      <c r="L83" s="38"/>
      <c r="M83">
        <v>30</v>
      </c>
      <c r="P83" s="31">
        <v>2</v>
      </c>
      <c r="Q83" s="539">
        <v>1</v>
      </c>
      <c r="R83" s="38">
        <v>0.85</v>
      </c>
      <c r="S83" s="280">
        <f t="shared" si="30"/>
        <v>0.85</v>
      </c>
      <c r="T83" s="31">
        <f>VLOOKUP(A83,'Ansvar kurs'!$A$1:$C$1123,2,FALSE)</f>
        <v>1620</v>
      </c>
      <c r="U83" s="31" t="str">
        <f>VLOOKUP(T83,Orgenheter!$A$1:$C$166,2,FALSE)</f>
        <v>Inst för språkstudier</v>
      </c>
      <c r="V83" s="31" t="str">
        <f>VLOOKUP(T83,Orgenheter!$A$1:$C$166,3,FALSE)</f>
        <v>Hum</v>
      </c>
      <c r="W83" s="35" t="str">
        <f>VLOOKUP(D83,Program!$A$1:$B$36,2,FALSE)</f>
        <v>Ämneslärarprogrammet - Gy</v>
      </c>
      <c r="X83" s="40">
        <f>VLOOKUP(A83,kurspris!$A$1:$Q$913,15,FALSE)</f>
        <v>20766</v>
      </c>
      <c r="Y83" s="40">
        <f>VLOOKUP(A83,kurspris!$A$1:$Q$913,16,FALSE)</f>
        <v>17442</v>
      </c>
      <c r="Z83" s="40">
        <f t="shared" si="31"/>
        <v>35591.699999999997</v>
      </c>
      <c r="AA83" s="40">
        <f>VLOOKUP(A83,kurspris!$A$1:$Q$913,17,FALSE)</f>
        <v>6000</v>
      </c>
      <c r="AB83" s="40">
        <f t="shared" si="32"/>
        <v>6000</v>
      </c>
      <c r="AC83" s="40">
        <f t="shared" si="33"/>
        <v>41591.699999999997</v>
      </c>
      <c r="AD83" s="31">
        <f>VLOOKUP($A83,kurspris!$A$1:$Q$950,3,FALSE)</f>
        <v>0</v>
      </c>
      <c r="AE83" s="31">
        <f>VLOOKUP($A83,kurspris!$A$1:$Q$950,4,FALSE)</f>
        <v>1</v>
      </c>
      <c r="AF83" s="31">
        <f>VLOOKUP($A83,kurspris!$A$1:$Q$950,5,FALSE)</f>
        <v>0</v>
      </c>
      <c r="AG83" s="31">
        <f>VLOOKUP($A83,kurspris!$A$1:$Q$950,6,FALSE)</f>
        <v>0</v>
      </c>
      <c r="AH83" s="31">
        <f>VLOOKUP($A83,kurspris!$A$1:$Q$950,7,FALSE)</f>
        <v>0</v>
      </c>
      <c r="AI83" s="31">
        <f>VLOOKUP($A83,kurspris!$A$1:$Q$950,8,FALSE)</f>
        <v>0</v>
      </c>
      <c r="AJ83" s="31">
        <f>VLOOKUP($A83,kurspris!$A$1:$Q$950,9,FALSE)</f>
        <v>0</v>
      </c>
      <c r="AK83" s="31">
        <f>VLOOKUP($A83,kurspris!$A$1:$Q$950,10,FALSE)</f>
        <v>0</v>
      </c>
      <c r="AL83" s="31">
        <f>VLOOKUP($A83,kurspris!$A$1:$Q$950,11,FALSE)</f>
        <v>0</v>
      </c>
      <c r="AM83" s="31">
        <f>VLOOKUP($A83,kurspris!$A$1:$Q$950,12,FALSE)</f>
        <v>0</v>
      </c>
      <c r="AN83" s="31">
        <f>VLOOKUP($A83,kurspris!$A$1:$Q$950,13,FALSE)</f>
        <v>0</v>
      </c>
      <c r="AO83" s="31">
        <f>VLOOKUP($A83,kurspris!$A$1:$Q$950,14,FALSE)</f>
        <v>0</v>
      </c>
      <c r="AP83" s="57" t="s">
        <v>2402</v>
      </c>
      <c r="AQ83"/>
      <c r="AR83" s="31">
        <f t="shared" si="34"/>
        <v>0</v>
      </c>
      <c r="AS83" s="219">
        <f t="shared" si="35"/>
        <v>0</v>
      </c>
      <c r="AT83" s="31">
        <f t="shared" si="36"/>
        <v>1</v>
      </c>
      <c r="AU83" s="219">
        <f t="shared" si="37"/>
        <v>0.85</v>
      </c>
      <c r="AV83" s="31">
        <f t="shared" si="38"/>
        <v>0</v>
      </c>
      <c r="AW83" s="31">
        <f t="shared" si="39"/>
        <v>0</v>
      </c>
      <c r="AX83" s="31">
        <f t="shared" si="40"/>
        <v>0</v>
      </c>
      <c r="AY83" s="219">
        <f t="shared" si="41"/>
        <v>0</v>
      </c>
      <c r="AZ83" s="196">
        <f t="shared" si="42"/>
        <v>0</v>
      </c>
      <c r="BA83" s="219">
        <f t="shared" si="43"/>
        <v>0</v>
      </c>
      <c r="BB83" s="31">
        <f t="shared" si="44"/>
        <v>0</v>
      </c>
      <c r="BC83" s="219">
        <f t="shared" si="45"/>
        <v>0</v>
      </c>
      <c r="BD83" s="31">
        <f t="shared" si="46"/>
        <v>0</v>
      </c>
      <c r="BE83" s="219">
        <f t="shared" si="47"/>
        <v>0</v>
      </c>
      <c r="BF83" s="31">
        <f t="shared" si="48"/>
        <v>0</v>
      </c>
      <c r="BG83" s="219">
        <f t="shared" si="49"/>
        <v>0</v>
      </c>
      <c r="BH83" s="31">
        <f t="shared" si="50"/>
        <v>0</v>
      </c>
      <c r="BI83" s="219">
        <f t="shared" si="51"/>
        <v>0</v>
      </c>
      <c r="BJ83" s="31">
        <f t="shared" si="52"/>
        <v>0</v>
      </c>
      <c r="BK83" s="219">
        <f t="shared" si="53"/>
        <v>0</v>
      </c>
      <c r="BL83" s="31">
        <f t="shared" si="54"/>
        <v>0</v>
      </c>
      <c r="BM83" s="219">
        <f t="shared" si="55"/>
        <v>0</v>
      </c>
      <c r="BN83" s="31">
        <f t="shared" si="56"/>
        <v>0</v>
      </c>
      <c r="BO83" s="219">
        <f t="shared" si="57"/>
        <v>0</v>
      </c>
    </row>
    <row r="84" spans="1:67" x14ac:dyDescent="0.25">
      <c r="A84" s="31" t="s">
        <v>2228</v>
      </c>
      <c r="B84" s="176" t="str">
        <f>VLOOKUP(A84,kurspris!$A$1:$B$992,2,FALSE)</f>
        <v>Engelska för ämneslärare, kurs 3</v>
      </c>
      <c r="C84" s="31">
        <v>71409</v>
      </c>
      <c r="D84" s="60" t="s">
        <v>482</v>
      </c>
      <c r="E84" s="60"/>
      <c r="F84" s="57" t="s">
        <v>2274</v>
      </c>
      <c r="H84" s="31" t="s">
        <v>2335</v>
      </c>
      <c r="I84" s="31" t="s">
        <v>2399</v>
      </c>
      <c r="J84" s="31" t="s">
        <v>2232</v>
      </c>
      <c r="L84" s="38"/>
      <c r="M84">
        <v>30</v>
      </c>
      <c r="P84" s="31">
        <v>6</v>
      </c>
      <c r="Q84" s="539">
        <v>3</v>
      </c>
      <c r="R84" s="38">
        <v>0.85</v>
      </c>
      <c r="S84" s="280">
        <f t="shared" si="30"/>
        <v>2.5499999999999998</v>
      </c>
      <c r="T84" s="31">
        <f>VLOOKUP(A84,'Ansvar kurs'!$A$1:$C$1123,2,FALSE)</f>
        <v>1620</v>
      </c>
      <c r="U84" s="31" t="str">
        <f>VLOOKUP(T84,Orgenheter!$A$1:$C$166,2,FALSE)</f>
        <v>Inst för språkstudier</v>
      </c>
      <c r="V84" s="31" t="str">
        <f>VLOOKUP(T84,Orgenheter!$A$1:$C$166,3,FALSE)</f>
        <v>Hum</v>
      </c>
      <c r="W84" s="35" t="str">
        <f>VLOOKUP(D84,Program!$A$1:$B$36,2,FALSE)</f>
        <v>Ämneslärarprogrammet - Gy</v>
      </c>
      <c r="X84" s="40">
        <f>VLOOKUP(A84,kurspris!$A$1:$Q$913,15,FALSE)</f>
        <v>20766</v>
      </c>
      <c r="Y84" s="40">
        <f>VLOOKUP(A84,kurspris!$A$1:$Q$913,16,FALSE)</f>
        <v>17442</v>
      </c>
      <c r="Z84" s="40">
        <f t="shared" si="31"/>
        <v>106775.1</v>
      </c>
      <c r="AA84" s="40">
        <f>VLOOKUP(A84,kurspris!$A$1:$Q$913,17,FALSE)</f>
        <v>6000</v>
      </c>
      <c r="AB84" s="40">
        <f t="shared" si="32"/>
        <v>18000</v>
      </c>
      <c r="AC84" s="40">
        <f t="shared" si="33"/>
        <v>124775.1</v>
      </c>
      <c r="AD84" s="31">
        <f>VLOOKUP($A84,kurspris!$A$1:$Q$950,3,FALSE)</f>
        <v>0</v>
      </c>
      <c r="AE84" s="31">
        <f>VLOOKUP($A84,kurspris!$A$1:$Q$950,4,FALSE)</f>
        <v>1</v>
      </c>
      <c r="AF84" s="31">
        <f>VLOOKUP($A84,kurspris!$A$1:$Q$950,5,FALSE)</f>
        <v>0</v>
      </c>
      <c r="AG84" s="31">
        <f>VLOOKUP($A84,kurspris!$A$1:$Q$950,6,FALSE)</f>
        <v>0</v>
      </c>
      <c r="AH84" s="31">
        <f>VLOOKUP($A84,kurspris!$A$1:$Q$950,7,FALSE)</f>
        <v>0</v>
      </c>
      <c r="AI84" s="31">
        <f>VLOOKUP($A84,kurspris!$A$1:$Q$950,8,FALSE)</f>
        <v>0</v>
      </c>
      <c r="AJ84" s="31">
        <f>VLOOKUP($A84,kurspris!$A$1:$Q$950,9,FALSE)</f>
        <v>0</v>
      </c>
      <c r="AK84" s="31">
        <f>VLOOKUP($A84,kurspris!$A$1:$Q$950,10,FALSE)</f>
        <v>0</v>
      </c>
      <c r="AL84" s="31">
        <f>VLOOKUP($A84,kurspris!$A$1:$Q$950,11,FALSE)</f>
        <v>0</v>
      </c>
      <c r="AM84" s="31">
        <f>VLOOKUP($A84,kurspris!$A$1:$Q$950,12,FALSE)</f>
        <v>0</v>
      </c>
      <c r="AN84" s="31">
        <f>VLOOKUP($A84,kurspris!$A$1:$Q$950,13,FALSE)</f>
        <v>0</v>
      </c>
      <c r="AO84" s="31">
        <f>VLOOKUP($A84,kurspris!$A$1:$Q$950,14,FALSE)</f>
        <v>0</v>
      </c>
      <c r="AP84" s="57" t="s">
        <v>2402</v>
      </c>
      <c r="AQ84"/>
      <c r="AR84" s="31">
        <f t="shared" si="34"/>
        <v>0</v>
      </c>
      <c r="AS84" s="219">
        <f t="shared" si="35"/>
        <v>0</v>
      </c>
      <c r="AT84" s="31">
        <f t="shared" si="36"/>
        <v>3</v>
      </c>
      <c r="AU84" s="219">
        <f t="shared" si="37"/>
        <v>2.5499999999999998</v>
      </c>
      <c r="AV84" s="31">
        <f t="shared" si="38"/>
        <v>0</v>
      </c>
      <c r="AW84" s="31">
        <f t="shared" si="39"/>
        <v>0</v>
      </c>
      <c r="AX84" s="31">
        <f t="shared" si="40"/>
        <v>0</v>
      </c>
      <c r="AY84" s="219">
        <f t="shared" si="41"/>
        <v>0</v>
      </c>
      <c r="AZ84" s="196">
        <f t="shared" si="42"/>
        <v>0</v>
      </c>
      <c r="BA84" s="219">
        <f t="shared" si="43"/>
        <v>0</v>
      </c>
      <c r="BB84" s="31">
        <f t="shared" si="44"/>
        <v>0</v>
      </c>
      <c r="BC84" s="219">
        <f t="shared" si="45"/>
        <v>0</v>
      </c>
      <c r="BD84" s="31">
        <f t="shared" si="46"/>
        <v>0</v>
      </c>
      <c r="BE84" s="219">
        <f t="shared" si="47"/>
        <v>0</v>
      </c>
      <c r="BF84" s="31">
        <f t="shared" si="48"/>
        <v>0</v>
      </c>
      <c r="BG84" s="219">
        <f t="shared" si="49"/>
        <v>0</v>
      </c>
      <c r="BH84" s="31">
        <f t="shared" si="50"/>
        <v>0</v>
      </c>
      <c r="BI84" s="219">
        <f t="shared" si="51"/>
        <v>0</v>
      </c>
      <c r="BJ84" s="31">
        <f t="shared" si="52"/>
        <v>0</v>
      </c>
      <c r="BK84" s="219">
        <f t="shared" si="53"/>
        <v>0</v>
      </c>
      <c r="BL84" s="31">
        <f t="shared" si="54"/>
        <v>0</v>
      </c>
      <c r="BM84" s="219">
        <f t="shared" si="55"/>
        <v>0</v>
      </c>
      <c r="BN84" s="31">
        <f t="shared" si="56"/>
        <v>0</v>
      </c>
      <c r="BO84" s="219">
        <f t="shared" si="57"/>
        <v>0</v>
      </c>
    </row>
    <row r="85" spans="1:67" x14ac:dyDescent="0.25">
      <c r="A85" s="31" t="s">
        <v>2228</v>
      </c>
      <c r="B85" s="176" t="str">
        <f>VLOOKUP(A85,kurspris!$A$1:$B$992,2,FALSE)</f>
        <v>Engelska för ämneslärare, kurs 3</v>
      </c>
      <c r="C85" s="31">
        <v>71409</v>
      </c>
      <c r="D85" s="60" t="s">
        <v>482</v>
      </c>
      <c r="E85" s="60"/>
      <c r="F85" s="57" t="s">
        <v>2274</v>
      </c>
      <c r="H85" s="31" t="s">
        <v>2335</v>
      </c>
      <c r="I85" s="31" t="s">
        <v>2399</v>
      </c>
      <c r="J85" s="31" t="s">
        <v>2233</v>
      </c>
      <c r="L85" s="38"/>
      <c r="M85">
        <v>30</v>
      </c>
      <c r="P85" s="31">
        <v>4</v>
      </c>
      <c r="Q85" s="539">
        <v>2</v>
      </c>
      <c r="R85" s="38">
        <v>0.85</v>
      </c>
      <c r="S85" s="280">
        <f t="shared" si="30"/>
        <v>1.7</v>
      </c>
      <c r="T85" s="31">
        <f>VLOOKUP(A85,'Ansvar kurs'!$A$1:$C$1123,2,FALSE)</f>
        <v>1620</v>
      </c>
      <c r="U85" s="31" t="str">
        <f>VLOOKUP(T85,Orgenheter!$A$1:$C$166,2,FALSE)</f>
        <v>Inst för språkstudier</v>
      </c>
      <c r="V85" s="31" t="str">
        <f>VLOOKUP(T85,Orgenheter!$A$1:$C$166,3,FALSE)</f>
        <v>Hum</v>
      </c>
      <c r="W85" s="35" t="str">
        <f>VLOOKUP(D85,Program!$A$1:$B$36,2,FALSE)</f>
        <v>Ämneslärarprogrammet - Gy</v>
      </c>
      <c r="X85" s="40">
        <f>VLOOKUP(A85,kurspris!$A$1:$Q$913,15,FALSE)</f>
        <v>20766</v>
      </c>
      <c r="Y85" s="40">
        <f>VLOOKUP(A85,kurspris!$A$1:$Q$913,16,FALSE)</f>
        <v>17442</v>
      </c>
      <c r="Z85" s="40">
        <f t="shared" si="31"/>
        <v>71183.399999999994</v>
      </c>
      <c r="AA85" s="40">
        <f>VLOOKUP(A85,kurspris!$A$1:$Q$913,17,FALSE)</f>
        <v>6000</v>
      </c>
      <c r="AB85" s="40">
        <f t="shared" si="32"/>
        <v>12000</v>
      </c>
      <c r="AC85" s="40">
        <f t="shared" si="33"/>
        <v>83183.399999999994</v>
      </c>
      <c r="AD85" s="31">
        <f>VLOOKUP($A85,kurspris!$A$1:$Q$950,3,FALSE)</f>
        <v>0</v>
      </c>
      <c r="AE85" s="31">
        <f>VLOOKUP($A85,kurspris!$A$1:$Q$950,4,FALSE)</f>
        <v>1</v>
      </c>
      <c r="AF85" s="31">
        <f>VLOOKUP($A85,kurspris!$A$1:$Q$950,5,FALSE)</f>
        <v>0</v>
      </c>
      <c r="AG85" s="31">
        <f>VLOOKUP($A85,kurspris!$A$1:$Q$950,6,FALSE)</f>
        <v>0</v>
      </c>
      <c r="AH85" s="31">
        <f>VLOOKUP($A85,kurspris!$A$1:$Q$950,7,FALSE)</f>
        <v>0</v>
      </c>
      <c r="AI85" s="31">
        <f>VLOOKUP($A85,kurspris!$A$1:$Q$950,8,FALSE)</f>
        <v>0</v>
      </c>
      <c r="AJ85" s="31">
        <f>VLOOKUP($A85,kurspris!$A$1:$Q$950,9,FALSE)</f>
        <v>0</v>
      </c>
      <c r="AK85" s="31">
        <f>VLOOKUP($A85,kurspris!$A$1:$Q$950,10,FALSE)</f>
        <v>0</v>
      </c>
      <c r="AL85" s="31">
        <f>VLOOKUP($A85,kurspris!$A$1:$Q$950,11,FALSE)</f>
        <v>0</v>
      </c>
      <c r="AM85" s="31">
        <f>VLOOKUP($A85,kurspris!$A$1:$Q$950,12,FALSE)</f>
        <v>0</v>
      </c>
      <c r="AN85" s="31">
        <f>VLOOKUP($A85,kurspris!$A$1:$Q$950,13,FALSE)</f>
        <v>0</v>
      </c>
      <c r="AO85" s="31">
        <f>VLOOKUP($A85,kurspris!$A$1:$Q$950,14,FALSE)</f>
        <v>0</v>
      </c>
      <c r="AP85" s="57" t="s">
        <v>2402</v>
      </c>
      <c r="AQ85"/>
      <c r="AR85" s="31">
        <f t="shared" si="34"/>
        <v>0</v>
      </c>
      <c r="AS85" s="219">
        <f t="shared" si="35"/>
        <v>0</v>
      </c>
      <c r="AT85" s="31">
        <f t="shared" si="36"/>
        <v>2</v>
      </c>
      <c r="AU85" s="219">
        <f t="shared" si="37"/>
        <v>1.7</v>
      </c>
      <c r="AV85" s="31">
        <f t="shared" si="38"/>
        <v>0</v>
      </c>
      <c r="AW85" s="31">
        <f t="shared" si="39"/>
        <v>0</v>
      </c>
      <c r="AX85" s="31">
        <f t="shared" si="40"/>
        <v>0</v>
      </c>
      <c r="AY85" s="219">
        <f t="shared" si="41"/>
        <v>0</v>
      </c>
      <c r="AZ85" s="196">
        <f t="shared" si="42"/>
        <v>0</v>
      </c>
      <c r="BA85" s="219">
        <f t="shared" si="43"/>
        <v>0</v>
      </c>
      <c r="BB85" s="31">
        <f t="shared" si="44"/>
        <v>0</v>
      </c>
      <c r="BC85" s="219">
        <f t="shared" si="45"/>
        <v>0</v>
      </c>
      <c r="BD85" s="31">
        <f t="shared" si="46"/>
        <v>0</v>
      </c>
      <c r="BE85" s="219">
        <f t="shared" si="47"/>
        <v>0</v>
      </c>
      <c r="BF85" s="31">
        <f t="shared" si="48"/>
        <v>0</v>
      </c>
      <c r="BG85" s="219">
        <f t="shared" si="49"/>
        <v>0</v>
      </c>
      <c r="BH85" s="31">
        <f t="shared" si="50"/>
        <v>0</v>
      </c>
      <c r="BI85" s="219">
        <f t="shared" si="51"/>
        <v>0</v>
      </c>
      <c r="BJ85" s="31">
        <f t="shared" si="52"/>
        <v>0</v>
      </c>
      <c r="BK85" s="219">
        <f t="shared" si="53"/>
        <v>0</v>
      </c>
      <c r="BL85" s="31">
        <f t="shared" si="54"/>
        <v>0</v>
      </c>
      <c r="BM85" s="219">
        <f t="shared" si="55"/>
        <v>0</v>
      </c>
      <c r="BN85" s="31">
        <f t="shared" si="56"/>
        <v>0</v>
      </c>
      <c r="BO85" s="219">
        <f t="shared" si="57"/>
        <v>0</v>
      </c>
    </row>
    <row r="86" spans="1:67" x14ac:dyDescent="0.25">
      <c r="A86" s="31" t="s">
        <v>2228</v>
      </c>
      <c r="B86" s="176" t="str">
        <f>VLOOKUP(A86,kurspris!$A$1:$B$992,2,FALSE)</f>
        <v>Engelska för ämneslärare, kurs 3</v>
      </c>
      <c r="C86" s="31">
        <v>71409</v>
      </c>
      <c r="D86" s="60" t="s">
        <v>482</v>
      </c>
      <c r="E86" s="60"/>
      <c r="F86" s="57" t="s">
        <v>2274</v>
      </c>
      <c r="H86" s="31" t="s">
        <v>2335</v>
      </c>
      <c r="I86" s="31" t="s">
        <v>2399</v>
      </c>
      <c r="J86" s="31" t="s">
        <v>2242</v>
      </c>
      <c r="L86" s="38"/>
      <c r="M86">
        <v>30</v>
      </c>
      <c r="P86" s="31">
        <v>2</v>
      </c>
      <c r="Q86" s="539">
        <v>1</v>
      </c>
      <c r="R86" s="38">
        <v>0.85</v>
      </c>
      <c r="S86" s="280">
        <f t="shared" si="30"/>
        <v>0.85</v>
      </c>
      <c r="T86" s="31">
        <f>VLOOKUP(A86,'Ansvar kurs'!$A$1:$C$1123,2,FALSE)</f>
        <v>1620</v>
      </c>
      <c r="U86" s="31" t="str">
        <f>VLOOKUP(T86,Orgenheter!$A$1:$C$166,2,FALSE)</f>
        <v>Inst för språkstudier</v>
      </c>
      <c r="V86" s="31" t="str">
        <f>VLOOKUP(T86,Orgenheter!$A$1:$C$166,3,FALSE)</f>
        <v>Hum</v>
      </c>
      <c r="W86" s="35" t="str">
        <f>VLOOKUP(D86,Program!$A$1:$B$36,2,FALSE)</f>
        <v>Ämneslärarprogrammet - Gy</v>
      </c>
      <c r="X86" s="40">
        <f>VLOOKUP(A86,kurspris!$A$1:$Q$913,15,FALSE)</f>
        <v>20766</v>
      </c>
      <c r="Y86" s="40">
        <f>VLOOKUP(A86,kurspris!$A$1:$Q$913,16,FALSE)</f>
        <v>17442</v>
      </c>
      <c r="Z86" s="40">
        <f t="shared" si="31"/>
        <v>35591.699999999997</v>
      </c>
      <c r="AA86" s="40">
        <f>VLOOKUP(A86,kurspris!$A$1:$Q$913,17,FALSE)</f>
        <v>6000</v>
      </c>
      <c r="AB86" s="40">
        <f t="shared" si="32"/>
        <v>6000</v>
      </c>
      <c r="AC86" s="40">
        <f t="shared" si="33"/>
        <v>41591.699999999997</v>
      </c>
      <c r="AD86" s="31">
        <f>VLOOKUP($A86,kurspris!$A$1:$Q$950,3,FALSE)</f>
        <v>0</v>
      </c>
      <c r="AE86" s="31">
        <f>VLOOKUP($A86,kurspris!$A$1:$Q$950,4,FALSE)</f>
        <v>1</v>
      </c>
      <c r="AF86" s="31">
        <f>VLOOKUP($A86,kurspris!$A$1:$Q$950,5,FALSE)</f>
        <v>0</v>
      </c>
      <c r="AG86" s="31">
        <f>VLOOKUP($A86,kurspris!$A$1:$Q$950,6,FALSE)</f>
        <v>0</v>
      </c>
      <c r="AH86" s="31">
        <f>VLOOKUP($A86,kurspris!$A$1:$Q$950,7,FALSE)</f>
        <v>0</v>
      </c>
      <c r="AI86" s="31">
        <f>VLOOKUP($A86,kurspris!$A$1:$Q$950,8,FALSE)</f>
        <v>0</v>
      </c>
      <c r="AJ86" s="31">
        <f>VLOOKUP($A86,kurspris!$A$1:$Q$950,9,FALSE)</f>
        <v>0</v>
      </c>
      <c r="AK86" s="31">
        <f>VLOOKUP($A86,kurspris!$A$1:$Q$950,10,FALSE)</f>
        <v>0</v>
      </c>
      <c r="AL86" s="31">
        <f>VLOOKUP($A86,kurspris!$A$1:$Q$950,11,FALSE)</f>
        <v>0</v>
      </c>
      <c r="AM86" s="31">
        <f>VLOOKUP($A86,kurspris!$A$1:$Q$950,12,FALSE)</f>
        <v>0</v>
      </c>
      <c r="AN86" s="31">
        <f>VLOOKUP($A86,kurspris!$A$1:$Q$950,13,FALSE)</f>
        <v>0</v>
      </c>
      <c r="AO86" s="31">
        <f>VLOOKUP($A86,kurspris!$A$1:$Q$950,14,FALSE)</f>
        <v>0</v>
      </c>
      <c r="AP86" s="57" t="s">
        <v>2402</v>
      </c>
      <c r="AQ86"/>
      <c r="AR86" s="31">
        <f t="shared" si="34"/>
        <v>0</v>
      </c>
      <c r="AS86" s="219">
        <f t="shared" si="35"/>
        <v>0</v>
      </c>
      <c r="AT86" s="31">
        <f t="shared" si="36"/>
        <v>1</v>
      </c>
      <c r="AU86" s="219">
        <f t="shared" si="37"/>
        <v>0.85</v>
      </c>
      <c r="AV86" s="31">
        <f t="shared" si="38"/>
        <v>0</v>
      </c>
      <c r="AW86" s="31">
        <f t="shared" si="39"/>
        <v>0</v>
      </c>
      <c r="AX86" s="31">
        <f t="shared" si="40"/>
        <v>0</v>
      </c>
      <c r="AY86" s="219">
        <f t="shared" si="41"/>
        <v>0</v>
      </c>
      <c r="AZ86" s="196">
        <f t="shared" si="42"/>
        <v>0</v>
      </c>
      <c r="BA86" s="219">
        <f t="shared" si="43"/>
        <v>0</v>
      </c>
      <c r="BB86" s="31">
        <f t="shared" si="44"/>
        <v>0</v>
      </c>
      <c r="BC86" s="219">
        <f t="shared" si="45"/>
        <v>0</v>
      </c>
      <c r="BD86" s="31">
        <f t="shared" si="46"/>
        <v>0</v>
      </c>
      <c r="BE86" s="219">
        <f t="shared" si="47"/>
        <v>0</v>
      </c>
      <c r="BF86" s="31">
        <f t="shared" si="48"/>
        <v>0</v>
      </c>
      <c r="BG86" s="219">
        <f t="shared" si="49"/>
        <v>0</v>
      </c>
      <c r="BH86" s="31">
        <f t="shared" si="50"/>
        <v>0</v>
      </c>
      <c r="BI86" s="219">
        <f t="shared" si="51"/>
        <v>0</v>
      </c>
      <c r="BJ86" s="31">
        <f t="shared" si="52"/>
        <v>0</v>
      </c>
      <c r="BK86" s="219">
        <f t="shared" si="53"/>
        <v>0</v>
      </c>
      <c r="BL86" s="31">
        <f t="shared" si="54"/>
        <v>0</v>
      </c>
      <c r="BM86" s="219">
        <f t="shared" si="55"/>
        <v>0</v>
      </c>
      <c r="BN86" s="31">
        <f t="shared" si="56"/>
        <v>0</v>
      </c>
      <c r="BO86" s="219">
        <f t="shared" si="57"/>
        <v>0</v>
      </c>
    </row>
    <row r="87" spans="1:67" x14ac:dyDescent="0.25">
      <c r="A87" s="31" t="s">
        <v>1005</v>
      </c>
      <c r="B87" s="176" t="str">
        <f>VLOOKUP(A87,kurspris!$A$1:$B$992,2,FALSE)</f>
        <v>Läraryrkets dimensioner (Estetiska ämnen)</v>
      </c>
      <c r="C87" s="31">
        <v>66309</v>
      </c>
      <c r="D87" s="60" t="s">
        <v>481</v>
      </c>
      <c r="E87" s="60"/>
      <c r="F87" s="57" t="s">
        <v>2274</v>
      </c>
      <c r="H87" s="31" t="s">
        <v>2335</v>
      </c>
      <c r="I87" s="31" t="s">
        <v>2399</v>
      </c>
      <c r="J87" s="31" t="s">
        <v>2244</v>
      </c>
      <c r="L87" s="38"/>
      <c r="M87">
        <v>22.5</v>
      </c>
      <c r="P87" s="31">
        <v>2</v>
      </c>
      <c r="Q87" s="539">
        <v>0.75</v>
      </c>
      <c r="R87" s="38">
        <v>0.85</v>
      </c>
      <c r="S87" s="280">
        <f t="shared" si="30"/>
        <v>0.63749999999999996</v>
      </c>
      <c r="T87" s="31">
        <f>VLOOKUP(A87,'Ansvar kurs'!$A$1:$C$1123,2,FALSE)</f>
        <v>1650</v>
      </c>
      <c r="U87" s="31" t="str">
        <f>VLOOKUP(T87,Orgenheter!$A$1:$C$166,2,FALSE)</f>
        <v xml:space="preserve">Estetiska ämnen               </v>
      </c>
      <c r="V87" s="31" t="str">
        <f>VLOOKUP(T87,Orgenheter!$A$1:$C$166,3,FALSE)</f>
        <v>Hum</v>
      </c>
      <c r="W87" s="35" t="str">
        <f>VLOOKUP(D87,Program!$A$1:$B$36,2,FALSE)</f>
        <v>Ämneslärarprogrammet - åk 7-9</v>
      </c>
      <c r="X87" s="40">
        <f>VLOOKUP(A87,kurspris!$A$1:$Q$913,15,FALSE)</f>
        <v>25235</v>
      </c>
      <c r="Y87" s="40">
        <f>VLOOKUP(A87,kurspris!$A$1:$Q$913,16,FALSE)</f>
        <v>27976</v>
      </c>
      <c r="Z87" s="40">
        <f t="shared" si="31"/>
        <v>36760.949999999997</v>
      </c>
      <c r="AA87" s="40">
        <f>VLOOKUP(A87,kurspris!$A$1:$Q$913,17,FALSE)</f>
        <v>3600</v>
      </c>
      <c r="AB87" s="40">
        <f t="shared" si="32"/>
        <v>2700</v>
      </c>
      <c r="AC87" s="40">
        <f t="shared" si="33"/>
        <v>39460.949999999997</v>
      </c>
      <c r="AD87" s="31">
        <f>VLOOKUP($A87,kurspris!$A$1:$Q$950,3,FALSE)</f>
        <v>0</v>
      </c>
      <c r="AE87" s="31">
        <f>VLOOKUP($A87,kurspris!$A$1:$Q$950,4,FALSE)</f>
        <v>0</v>
      </c>
      <c r="AF87" s="31">
        <f>VLOOKUP($A87,kurspris!$A$1:$Q$950,5,FALSE)</f>
        <v>0</v>
      </c>
      <c r="AG87" s="31">
        <f>VLOOKUP($A87,kurspris!$A$1:$Q$950,6,FALSE)</f>
        <v>0</v>
      </c>
      <c r="AH87" s="31">
        <f>VLOOKUP($A87,kurspris!$A$1:$Q$950,7,FALSE)</f>
        <v>0</v>
      </c>
      <c r="AI87" s="31">
        <f>VLOOKUP($A87,kurspris!$A$1:$Q$950,8,FALSE)</f>
        <v>0</v>
      </c>
      <c r="AJ87" s="31">
        <f>VLOOKUP($A87,kurspris!$A$1:$Q$950,9,FALSE)</f>
        <v>0</v>
      </c>
      <c r="AK87" s="31">
        <f>VLOOKUP($A87,kurspris!$A$1:$Q$950,10,FALSE)</f>
        <v>0</v>
      </c>
      <c r="AL87" s="31">
        <f>VLOOKUP($A87,kurspris!$A$1:$Q$950,11,FALSE)</f>
        <v>1</v>
      </c>
      <c r="AM87" s="31">
        <f>VLOOKUP($A87,kurspris!$A$1:$Q$950,12,FALSE)</f>
        <v>0</v>
      </c>
      <c r="AN87" s="31">
        <f>VLOOKUP($A87,kurspris!$A$1:$Q$950,13,FALSE)</f>
        <v>0</v>
      </c>
      <c r="AO87" s="31">
        <f>VLOOKUP($A87,kurspris!$A$1:$Q$950,14,FALSE)</f>
        <v>0</v>
      </c>
      <c r="AP87" s="57" t="s">
        <v>2402</v>
      </c>
      <c r="AQ87"/>
      <c r="AR87" s="31">
        <f t="shared" si="34"/>
        <v>0</v>
      </c>
      <c r="AS87" s="219">
        <f t="shared" si="35"/>
        <v>0</v>
      </c>
      <c r="AT87" s="31">
        <f t="shared" si="36"/>
        <v>0</v>
      </c>
      <c r="AU87" s="219">
        <f t="shared" si="37"/>
        <v>0</v>
      </c>
      <c r="AV87" s="31">
        <f t="shared" si="38"/>
        <v>0</v>
      </c>
      <c r="AW87" s="31">
        <f t="shared" si="39"/>
        <v>0</v>
      </c>
      <c r="AX87" s="31">
        <f t="shared" si="40"/>
        <v>0</v>
      </c>
      <c r="AY87" s="219">
        <f t="shared" si="41"/>
        <v>0</v>
      </c>
      <c r="AZ87" s="196">
        <f t="shared" si="42"/>
        <v>0</v>
      </c>
      <c r="BA87" s="219">
        <f t="shared" si="43"/>
        <v>0</v>
      </c>
      <c r="BB87" s="31">
        <f t="shared" si="44"/>
        <v>0</v>
      </c>
      <c r="BC87" s="219">
        <f t="shared" si="45"/>
        <v>0</v>
      </c>
      <c r="BD87" s="31">
        <f t="shared" si="46"/>
        <v>0</v>
      </c>
      <c r="BE87" s="219">
        <f t="shared" si="47"/>
        <v>0</v>
      </c>
      <c r="BF87" s="31">
        <f t="shared" si="48"/>
        <v>0</v>
      </c>
      <c r="BG87" s="219">
        <f t="shared" si="49"/>
        <v>0</v>
      </c>
      <c r="BH87" s="31">
        <f t="shared" si="50"/>
        <v>0.75</v>
      </c>
      <c r="BI87" s="219">
        <f t="shared" si="51"/>
        <v>0.63749999999999996</v>
      </c>
      <c r="BJ87" s="31">
        <f t="shared" si="52"/>
        <v>0</v>
      </c>
      <c r="BK87" s="219">
        <f t="shared" si="53"/>
        <v>0</v>
      </c>
      <c r="BL87" s="31">
        <f t="shared" si="54"/>
        <v>0</v>
      </c>
      <c r="BM87" s="219">
        <f t="shared" si="55"/>
        <v>0</v>
      </c>
      <c r="BN87" s="31">
        <f t="shared" si="56"/>
        <v>0</v>
      </c>
      <c r="BO87" s="219">
        <f t="shared" si="57"/>
        <v>0</v>
      </c>
    </row>
    <row r="88" spans="1:67" x14ac:dyDescent="0.25">
      <c r="A88" s="31" t="s">
        <v>1005</v>
      </c>
      <c r="B88" s="176" t="str">
        <f>VLOOKUP(A88,kurspris!$A$1:$B$992,2,FALSE)</f>
        <v>Läraryrkets dimensioner (Estetiska ämnen)</v>
      </c>
      <c r="D88" s="60" t="s">
        <v>482</v>
      </c>
      <c r="E88" s="576" t="s">
        <v>2429</v>
      </c>
      <c r="F88" s="31" t="s">
        <v>2273</v>
      </c>
      <c r="G88" t="s">
        <v>2456</v>
      </c>
      <c r="H88" t="s">
        <v>2335</v>
      </c>
      <c r="J88" s="31" t="s">
        <v>2236</v>
      </c>
      <c r="L88" s="38">
        <v>1</v>
      </c>
      <c r="M88">
        <v>22.5</v>
      </c>
      <c r="P88" s="31">
        <v>1</v>
      </c>
      <c r="Q88" s="196">
        <f>(M88/60)*P88</f>
        <v>0.375</v>
      </c>
      <c r="R88" s="38">
        <v>0.85</v>
      </c>
      <c r="S88" s="280">
        <f t="shared" si="30"/>
        <v>0.31874999999999998</v>
      </c>
      <c r="T88" s="31">
        <f>VLOOKUP(A88,'Ansvar kurs'!$A$1:$C$1123,2,FALSE)</f>
        <v>1650</v>
      </c>
      <c r="U88" s="31" t="str">
        <f>VLOOKUP(T88,Orgenheter!$A$1:$C$166,2,FALSE)</f>
        <v xml:space="preserve">Estetiska ämnen               </v>
      </c>
      <c r="V88" s="31" t="str">
        <f>VLOOKUP(T88,Orgenheter!$A$1:$C$166,3,FALSE)</f>
        <v>Hum</v>
      </c>
      <c r="W88" s="35" t="str">
        <f>VLOOKUP(D88,Program!$A$1:$B$36,2,FALSE)</f>
        <v>Ämneslärarprogrammet - Gy</v>
      </c>
      <c r="X88" s="40">
        <f>VLOOKUP(A88,kurspris!$A$1:$Q$913,15,FALSE)</f>
        <v>25235</v>
      </c>
      <c r="Y88" s="40">
        <f>VLOOKUP(A88,kurspris!$A$1:$Q$913,16,FALSE)</f>
        <v>27976</v>
      </c>
      <c r="Z88" s="40">
        <f t="shared" si="31"/>
        <v>18380.474999999999</v>
      </c>
      <c r="AA88" s="40">
        <f>VLOOKUP(A88,kurspris!$A$1:$Q$913,17,FALSE)</f>
        <v>3600</v>
      </c>
      <c r="AB88" s="40">
        <f t="shared" si="32"/>
        <v>1350</v>
      </c>
      <c r="AC88" s="40">
        <f t="shared" si="33"/>
        <v>19730.474999999999</v>
      </c>
      <c r="AD88" s="31">
        <f>VLOOKUP($A88,kurspris!$A$1:$Q$950,3,FALSE)</f>
        <v>0</v>
      </c>
      <c r="AE88" s="31">
        <f>VLOOKUP($A88,kurspris!$A$1:$Q$950,4,FALSE)</f>
        <v>0</v>
      </c>
      <c r="AF88" s="31">
        <f>VLOOKUP($A88,kurspris!$A$1:$Q$950,5,FALSE)</f>
        <v>0</v>
      </c>
      <c r="AG88" s="31">
        <f>VLOOKUP($A88,kurspris!$A$1:$Q$950,6,FALSE)</f>
        <v>0</v>
      </c>
      <c r="AH88" s="31">
        <f>VLOOKUP($A88,kurspris!$A$1:$Q$950,7,FALSE)</f>
        <v>0</v>
      </c>
      <c r="AI88" s="31">
        <f>VLOOKUP($A88,kurspris!$A$1:$Q$950,8,FALSE)</f>
        <v>0</v>
      </c>
      <c r="AJ88" s="31">
        <f>VLOOKUP($A88,kurspris!$A$1:$Q$950,9,FALSE)</f>
        <v>0</v>
      </c>
      <c r="AK88" s="31">
        <f>VLOOKUP($A88,kurspris!$A$1:$Q$950,10,FALSE)</f>
        <v>0</v>
      </c>
      <c r="AL88" s="31">
        <f>VLOOKUP($A88,kurspris!$A$1:$Q$950,11,FALSE)</f>
        <v>1</v>
      </c>
      <c r="AM88" s="31">
        <f>VLOOKUP($A88,kurspris!$A$1:$Q$950,12,FALSE)</f>
        <v>0</v>
      </c>
      <c r="AN88" s="31">
        <f>VLOOKUP($A88,kurspris!$A$1:$Q$950,13,FALSE)</f>
        <v>0</v>
      </c>
      <c r="AO88" s="31">
        <f>VLOOKUP($A88,kurspris!$A$1:$Q$950,14,FALSE)</f>
        <v>0</v>
      </c>
      <c r="AP88" s="57" t="s">
        <v>2506</v>
      </c>
      <c r="AQ88"/>
      <c r="AR88" s="31">
        <f t="shared" si="34"/>
        <v>0</v>
      </c>
      <c r="AS88" s="219">
        <f t="shared" si="35"/>
        <v>0</v>
      </c>
      <c r="AT88" s="31">
        <f t="shared" si="36"/>
        <v>0</v>
      </c>
      <c r="AU88" s="219">
        <f t="shared" si="37"/>
        <v>0</v>
      </c>
      <c r="AV88" s="31">
        <f t="shared" si="38"/>
        <v>0</v>
      </c>
      <c r="AW88" s="31">
        <f t="shared" si="39"/>
        <v>0</v>
      </c>
      <c r="AX88" s="31">
        <f t="shared" si="40"/>
        <v>0</v>
      </c>
      <c r="AY88" s="219">
        <f t="shared" si="41"/>
        <v>0</v>
      </c>
      <c r="AZ88" s="196">
        <f t="shared" si="42"/>
        <v>0</v>
      </c>
      <c r="BA88" s="219">
        <f t="shared" si="43"/>
        <v>0</v>
      </c>
      <c r="BB88" s="31">
        <f t="shared" si="44"/>
        <v>0</v>
      </c>
      <c r="BC88" s="219">
        <f t="shared" si="45"/>
        <v>0</v>
      </c>
      <c r="BD88" s="31">
        <f t="shared" si="46"/>
        <v>0</v>
      </c>
      <c r="BE88" s="219">
        <f t="shared" si="47"/>
        <v>0</v>
      </c>
      <c r="BF88" s="31">
        <f t="shared" si="48"/>
        <v>0</v>
      </c>
      <c r="BG88" s="219">
        <f t="shared" si="49"/>
        <v>0</v>
      </c>
      <c r="BH88" s="31">
        <f t="shared" si="50"/>
        <v>0.375</v>
      </c>
      <c r="BI88" s="219">
        <f t="shared" si="51"/>
        <v>0.31874999999999998</v>
      </c>
      <c r="BJ88" s="31">
        <f t="shared" si="52"/>
        <v>0</v>
      </c>
      <c r="BK88" s="219">
        <f t="shared" si="53"/>
        <v>0</v>
      </c>
      <c r="BL88" s="31">
        <f t="shared" si="54"/>
        <v>0</v>
      </c>
      <c r="BM88" s="219">
        <f t="shared" si="55"/>
        <v>0</v>
      </c>
      <c r="BN88" s="31">
        <f t="shared" si="56"/>
        <v>0</v>
      </c>
      <c r="BO88" s="219">
        <f t="shared" si="57"/>
        <v>0</v>
      </c>
    </row>
    <row r="89" spans="1:67" x14ac:dyDescent="0.25">
      <c r="A89" s="31" t="s">
        <v>1005</v>
      </c>
      <c r="B89" s="176" t="str">
        <f>VLOOKUP(A89,kurspris!$A$1:$B$992,2,FALSE)</f>
        <v>Läraryrkets dimensioner (Estetiska ämnen)</v>
      </c>
      <c r="D89" s="60" t="s">
        <v>482</v>
      </c>
      <c r="E89" s="576" t="s">
        <v>2227</v>
      </c>
      <c r="F89" s="31" t="s">
        <v>2273</v>
      </c>
      <c r="G89" t="s">
        <v>2456</v>
      </c>
      <c r="H89" t="s">
        <v>2335</v>
      </c>
      <c r="J89" s="31" t="s">
        <v>2237</v>
      </c>
      <c r="L89" s="38">
        <v>1</v>
      </c>
      <c r="M89">
        <v>22.5</v>
      </c>
      <c r="P89" s="31">
        <v>1</v>
      </c>
      <c r="Q89" s="196">
        <f>(M89/60)*P89</f>
        <v>0.375</v>
      </c>
      <c r="R89" s="38">
        <v>0.85</v>
      </c>
      <c r="S89" s="280">
        <f t="shared" si="30"/>
        <v>0.31874999999999998</v>
      </c>
      <c r="T89" s="31">
        <f>VLOOKUP(A89,'Ansvar kurs'!$A$1:$C$1123,2,FALSE)</f>
        <v>1650</v>
      </c>
      <c r="U89" s="31" t="str">
        <f>VLOOKUP(T89,Orgenheter!$A$1:$C$166,2,FALSE)</f>
        <v xml:space="preserve">Estetiska ämnen               </v>
      </c>
      <c r="V89" s="31" t="str">
        <f>VLOOKUP(T89,Orgenheter!$A$1:$C$166,3,FALSE)</f>
        <v>Hum</v>
      </c>
      <c r="W89" s="35" t="str">
        <f>VLOOKUP(D89,Program!$A$1:$B$36,2,FALSE)</f>
        <v>Ämneslärarprogrammet - Gy</v>
      </c>
      <c r="X89" s="40">
        <f>VLOOKUP(A89,kurspris!$A$1:$Q$913,15,FALSE)</f>
        <v>25235</v>
      </c>
      <c r="Y89" s="40">
        <f>VLOOKUP(A89,kurspris!$A$1:$Q$913,16,FALSE)</f>
        <v>27976</v>
      </c>
      <c r="Z89" s="40">
        <f t="shared" si="31"/>
        <v>18380.474999999999</v>
      </c>
      <c r="AA89" s="40">
        <f>VLOOKUP(A89,kurspris!$A$1:$Q$913,17,FALSE)</f>
        <v>3600</v>
      </c>
      <c r="AB89" s="40">
        <f t="shared" si="32"/>
        <v>1350</v>
      </c>
      <c r="AC89" s="40">
        <f t="shared" si="33"/>
        <v>19730.474999999999</v>
      </c>
      <c r="AD89" s="31">
        <f>VLOOKUP($A89,kurspris!$A$1:$Q$950,3,FALSE)</f>
        <v>0</v>
      </c>
      <c r="AE89" s="31">
        <f>VLOOKUP($A89,kurspris!$A$1:$Q$950,4,FALSE)</f>
        <v>0</v>
      </c>
      <c r="AF89" s="31">
        <f>VLOOKUP($A89,kurspris!$A$1:$Q$950,5,FALSE)</f>
        <v>0</v>
      </c>
      <c r="AG89" s="31">
        <f>VLOOKUP($A89,kurspris!$A$1:$Q$950,6,FALSE)</f>
        <v>0</v>
      </c>
      <c r="AH89" s="31">
        <f>VLOOKUP($A89,kurspris!$A$1:$Q$950,7,FALSE)</f>
        <v>0</v>
      </c>
      <c r="AI89" s="31">
        <f>VLOOKUP($A89,kurspris!$A$1:$Q$950,8,FALSE)</f>
        <v>0</v>
      </c>
      <c r="AJ89" s="31">
        <f>VLOOKUP($A89,kurspris!$A$1:$Q$950,9,FALSE)</f>
        <v>0</v>
      </c>
      <c r="AK89" s="31">
        <f>VLOOKUP($A89,kurspris!$A$1:$Q$950,10,FALSE)</f>
        <v>0</v>
      </c>
      <c r="AL89" s="31">
        <f>VLOOKUP($A89,kurspris!$A$1:$Q$950,11,FALSE)</f>
        <v>1</v>
      </c>
      <c r="AM89" s="31">
        <f>VLOOKUP($A89,kurspris!$A$1:$Q$950,12,FALSE)</f>
        <v>0</v>
      </c>
      <c r="AN89" s="31">
        <f>VLOOKUP($A89,kurspris!$A$1:$Q$950,13,FALSE)</f>
        <v>0</v>
      </c>
      <c r="AO89" s="31">
        <f>VLOOKUP($A89,kurspris!$A$1:$Q$950,14,FALSE)</f>
        <v>0</v>
      </c>
      <c r="AP89" s="57" t="s">
        <v>2506</v>
      </c>
      <c r="AQ89"/>
      <c r="AR89" s="31">
        <f t="shared" si="34"/>
        <v>0</v>
      </c>
      <c r="AS89" s="219">
        <f t="shared" si="35"/>
        <v>0</v>
      </c>
      <c r="AT89" s="31">
        <f t="shared" si="36"/>
        <v>0</v>
      </c>
      <c r="AU89" s="219">
        <f t="shared" si="37"/>
        <v>0</v>
      </c>
      <c r="AV89" s="31">
        <f t="shared" si="38"/>
        <v>0</v>
      </c>
      <c r="AW89" s="31">
        <f t="shared" si="39"/>
        <v>0</v>
      </c>
      <c r="AX89" s="31">
        <f t="shared" si="40"/>
        <v>0</v>
      </c>
      <c r="AY89" s="219">
        <f t="shared" si="41"/>
        <v>0</v>
      </c>
      <c r="AZ89" s="196">
        <f t="shared" si="42"/>
        <v>0</v>
      </c>
      <c r="BA89" s="219">
        <f t="shared" si="43"/>
        <v>0</v>
      </c>
      <c r="BB89" s="31">
        <f t="shared" si="44"/>
        <v>0</v>
      </c>
      <c r="BC89" s="219">
        <f t="shared" si="45"/>
        <v>0</v>
      </c>
      <c r="BD89" s="31">
        <f t="shared" si="46"/>
        <v>0</v>
      </c>
      <c r="BE89" s="219">
        <f t="shared" si="47"/>
        <v>0</v>
      </c>
      <c r="BF89" s="31">
        <f t="shared" si="48"/>
        <v>0</v>
      </c>
      <c r="BG89" s="219">
        <f t="shared" si="49"/>
        <v>0</v>
      </c>
      <c r="BH89" s="31">
        <f t="shared" si="50"/>
        <v>0.375</v>
      </c>
      <c r="BI89" s="219">
        <f t="shared" si="51"/>
        <v>0.31874999999999998</v>
      </c>
      <c r="BJ89" s="31">
        <f t="shared" si="52"/>
        <v>0</v>
      </c>
      <c r="BK89" s="219">
        <f t="shared" si="53"/>
        <v>0</v>
      </c>
      <c r="BL89" s="31">
        <f t="shared" si="54"/>
        <v>0</v>
      </c>
      <c r="BM89" s="219">
        <f t="shared" si="55"/>
        <v>0</v>
      </c>
      <c r="BN89" s="31">
        <f t="shared" si="56"/>
        <v>0</v>
      </c>
      <c r="BO89" s="219">
        <f t="shared" si="57"/>
        <v>0</v>
      </c>
    </row>
    <row r="90" spans="1:67" x14ac:dyDescent="0.25">
      <c r="A90" s="31" t="s">
        <v>1005</v>
      </c>
      <c r="B90" s="176" t="str">
        <f>VLOOKUP(A90,kurspris!$A$1:$B$992,2,FALSE)</f>
        <v>Läraryrkets dimensioner (Estetiska ämnen)</v>
      </c>
      <c r="C90" s="31">
        <v>66309</v>
      </c>
      <c r="D90" s="60" t="s">
        <v>482</v>
      </c>
      <c r="E90" s="60"/>
      <c r="F90" s="57" t="s">
        <v>2274</v>
      </c>
      <c r="H90" s="31" t="s">
        <v>2335</v>
      </c>
      <c r="I90" s="31" t="s">
        <v>2399</v>
      </c>
      <c r="J90" s="31" t="s">
        <v>2237</v>
      </c>
      <c r="L90" s="38"/>
      <c r="M90">
        <v>22.5</v>
      </c>
      <c r="P90" s="31">
        <v>3</v>
      </c>
      <c r="Q90" s="539">
        <v>1.125</v>
      </c>
      <c r="R90" s="38">
        <v>0.85</v>
      </c>
      <c r="S90" s="280">
        <f t="shared" si="30"/>
        <v>0.95624999999999993</v>
      </c>
      <c r="T90" s="31">
        <f>VLOOKUP(A90,'Ansvar kurs'!$A$1:$C$1123,2,FALSE)</f>
        <v>1650</v>
      </c>
      <c r="U90" s="31" t="str">
        <f>VLOOKUP(T90,Orgenheter!$A$1:$C$166,2,FALSE)</f>
        <v xml:space="preserve">Estetiska ämnen               </v>
      </c>
      <c r="V90" s="31" t="str">
        <f>VLOOKUP(T90,Orgenheter!$A$1:$C$166,3,FALSE)</f>
        <v>Hum</v>
      </c>
      <c r="W90" s="35" t="str">
        <f>VLOOKUP(D90,Program!$A$1:$B$36,2,FALSE)</f>
        <v>Ämneslärarprogrammet - Gy</v>
      </c>
      <c r="X90" s="40">
        <f>VLOOKUP(A90,kurspris!$A$1:$Q$913,15,FALSE)</f>
        <v>25235</v>
      </c>
      <c r="Y90" s="40">
        <f>VLOOKUP(A90,kurspris!$A$1:$Q$913,16,FALSE)</f>
        <v>27976</v>
      </c>
      <c r="Z90" s="40">
        <f t="shared" si="31"/>
        <v>55141.425000000003</v>
      </c>
      <c r="AA90" s="40">
        <f>VLOOKUP(A90,kurspris!$A$1:$Q$913,17,FALSE)</f>
        <v>3600</v>
      </c>
      <c r="AB90" s="40">
        <f t="shared" si="32"/>
        <v>4050</v>
      </c>
      <c r="AC90" s="40">
        <f t="shared" si="33"/>
        <v>59191.425000000003</v>
      </c>
      <c r="AD90" s="31">
        <f>VLOOKUP($A90,kurspris!$A$1:$Q$950,3,FALSE)</f>
        <v>0</v>
      </c>
      <c r="AE90" s="31">
        <f>VLOOKUP($A90,kurspris!$A$1:$Q$950,4,FALSE)</f>
        <v>0</v>
      </c>
      <c r="AF90" s="31">
        <f>VLOOKUP($A90,kurspris!$A$1:$Q$950,5,FALSE)</f>
        <v>0</v>
      </c>
      <c r="AG90" s="31">
        <f>VLOOKUP($A90,kurspris!$A$1:$Q$950,6,FALSE)</f>
        <v>0</v>
      </c>
      <c r="AH90" s="31">
        <f>VLOOKUP($A90,kurspris!$A$1:$Q$950,7,FALSE)</f>
        <v>0</v>
      </c>
      <c r="AI90" s="31">
        <f>VLOOKUP($A90,kurspris!$A$1:$Q$950,8,FALSE)</f>
        <v>0</v>
      </c>
      <c r="AJ90" s="31">
        <f>VLOOKUP($A90,kurspris!$A$1:$Q$950,9,FALSE)</f>
        <v>0</v>
      </c>
      <c r="AK90" s="31">
        <f>VLOOKUP($A90,kurspris!$A$1:$Q$950,10,FALSE)</f>
        <v>0</v>
      </c>
      <c r="AL90" s="31">
        <f>VLOOKUP($A90,kurspris!$A$1:$Q$950,11,FALSE)</f>
        <v>1</v>
      </c>
      <c r="AM90" s="31">
        <f>VLOOKUP($A90,kurspris!$A$1:$Q$950,12,FALSE)</f>
        <v>0</v>
      </c>
      <c r="AN90" s="31">
        <f>VLOOKUP($A90,kurspris!$A$1:$Q$950,13,FALSE)</f>
        <v>0</v>
      </c>
      <c r="AO90" s="31">
        <f>VLOOKUP($A90,kurspris!$A$1:$Q$950,14,FALSE)</f>
        <v>0</v>
      </c>
      <c r="AP90" s="57" t="s">
        <v>2402</v>
      </c>
      <c r="AQ90"/>
      <c r="AR90" s="31">
        <f t="shared" si="34"/>
        <v>0</v>
      </c>
      <c r="AS90" s="219">
        <f t="shared" si="35"/>
        <v>0</v>
      </c>
      <c r="AT90" s="31">
        <f t="shared" si="36"/>
        <v>0</v>
      </c>
      <c r="AU90" s="219">
        <f t="shared" si="37"/>
        <v>0</v>
      </c>
      <c r="AV90" s="31">
        <f t="shared" si="38"/>
        <v>0</v>
      </c>
      <c r="AW90" s="31">
        <f t="shared" si="39"/>
        <v>0</v>
      </c>
      <c r="AX90" s="31">
        <f t="shared" si="40"/>
        <v>0</v>
      </c>
      <c r="AY90" s="219">
        <f t="shared" si="41"/>
        <v>0</v>
      </c>
      <c r="AZ90" s="196">
        <f t="shared" si="42"/>
        <v>0</v>
      </c>
      <c r="BA90" s="219">
        <f t="shared" si="43"/>
        <v>0</v>
      </c>
      <c r="BB90" s="31">
        <f t="shared" si="44"/>
        <v>0</v>
      </c>
      <c r="BC90" s="219">
        <f t="shared" si="45"/>
        <v>0</v>
      </c>
      <c r="BD90" s="31">
        <f t="shared" si="46"/>
        <v>0</v>
      </c>
      <c r="BE90" s="219">
        <f t="shared" si="47"/>
        <v>0</v>
      </c>
      <c r="BF90" s="31">
        <f t="shared" si="48"/>
        <v>0</v>
      </c>
      <c r="BG90" s="219">
        <f t="shared" si="49"/>
        <v>0</v>
      </c>
      <c r="BH90" s="31">
        <f t="shared" si="50"/>
        <v>1.125</v>
      </c>
      <c r="BI90" s="219">
        <f t="shared" si="51"/>
        <v>0.95624999999999993</v>
      </c>
      <c r="BJ90" s="31">
        <f t="shared" si="52"/>
        <v>0</v>
      </c>
      <c r="BK90" s="219">
        <f t="shared" si="53"/>
        <v>0</v>
      </c>
      <c r="BL90" s="31">
        <f t="shared" si="54"/>
        <v>0</v>
      </c>
      <c r="BM90" s="219">
        <f t="shared" si="55"/>
        <v>0</v>
      </c>
      <c r="BN90" s="31">
        <f t="shared" si="56"/>
        <v>0</v>
      </c>
      <c r="BO90" s="219">
        <f t="shared" si="57"/>
        <v>0</v>
      </c>
    </row>
    <row r="91" spans="1:67" x14ac:dyDescent="0.25">
      <c r="A91" s="31" t="s">
        <v>1005</v>
      </c>
      <c r="B91" s="176" t="str">
        <f>VLOOKUP(A91,kurspris!$A$1:$B$992,2,FALSE)</f>
        <v>Läraryrkets dimensioner (Estetiska ämnen)</v>
      </c>
      <c r="C91" s="31">
        <v>66309</v>
      </c>
      <c r="D91" s="60" t="s">
        <v>482</v>
      </c>
      <c r="E91" s="60"/>
      <c r="F91" s="57" t="s">
        <v>2274</v>
      </c>
      <c r="H91" s="31" t="s">
        <v>2335</v>
      </c>
      <c r="I91" s="31" t="s">
        <v>2399</v>
      </c>
      <c r="J91" s="31" t="s">
        <v>2236</v>
      </c>
      <c r="L91" s="38"/>
      <c r="M91">
        <v>22.5</v>
      </c>
      <c r="P91" s="31">
        <v>3</v>
      </c>
      <c r="Q91" s="539">
        <v>1.125</v>
      </c>
      <c r="R91" s="38">
        <v>0.85</v>
      </c>
      <c r="S91" s="280">
        <f t="shared" si="30"/>
        <v>0.95624999999999993</v>
      </c>
      <c r="T91" s="31">
        <f>VLOOKUP(A91,'Ansvar kurs'!$A$1:$C$1123,2,FALSE)</f>
        <v>1650</v>
      </c>
      <c r="U91" s="31" t="str">
        <f>VLOOKUP(T91,Orgenheter!$A$1:$C$166,2,FALSE)</f>
        <v xml:space="preserve">Estetiska ämnen               </v>
      </c>
      <c r="V91" s="31" t="str">
        <f>VLOOKUP(T91,Orgenheter!$A$1:$C$166,3,FALSE)</f>
        <v>Hum</v>
      </c>
      <c r="W91" s="35" t="str">
        <f>VLOOKUP(D91,Program!$A$1:$B$36,2,FALSE)</f>
        <v>Ämneslärarprogrammet - Gy</v>
      </c>
      <c r="X91" s="40">
        <f>VLOOKUP(A91,kurspris!$A$1:$Q$913,15,FALSE)</f>
        <v>25235</v>
      </c>
      <c r="Y91" s="40">
        <f>VLOOKUP(A91,kurspris!$A$1:$Q$913,16,FALSE)</f>
        <v>27976</v>
      </c>
      <c r="Z91" s="40">
        <f t="shared" si="31"/>
        <v>55141.425000000003</v>
      </c>
      <c r="AA91" s="40">
        <f>VLOOKUP(A91,kurspris!$A$1:$Q$913,17,FALSE)</f>
        <v>3600</v>
      </c>
      <c r="AB91" s="40">
        <f t="shared" si="32"/>
        <v>4050</v>
      </c>
      <c r="AC91" s="40">
        <f t="shared" si="33"/>
        <v>59191.425000000003</v>
      </c>
      <c r="AD91" s="31">
        <f>VLOOKUP($A91,kurspris!$A$1:$Q$950,3,FALSE)</f>
        <v>0</v>
      </c>
      <c r="AE91" s="31">
        <f>VLOOKUP($A91,kurspris!$A$1:$Q$950,4,FALSE)</f>
        <v>0</v>
      </c>
      <c r="AF91" s="31">
        <f>VLOOKUP($A91,kurspris!$A$1:$Q$950,5,FALSE)</f>
        <v>0</v>
      </c>
      <c r="AG91" s="31">
        <f>VLOOKUP($A91,kurspris!$A$1:$Q$950,6,FALSE)</f>
        <v>0</v>
      </c>
      <c r="AH91" s="31">
        <f>VLOOKUP($A91,kurspris!$A$1:$Q$950,7,FALSE)</f>
        <v>0</v>
      </c>
      <c r="AI91" s="31">
        <f>VLOOKUP($A91,kurspris!$A$1:$Q$950,8,FALSE)</f>
        <v>0</v>
      </c>
      <c r="AJ91" s="31">
        <f>VLOOKUP($A91,kurspris!$A$1:$Q$950,9,FALSE)</f>
        <v>0</v>
      </c>
      <c r="AK91" s="31">
        <f>VLOOKUP($A91,kurspris!$A$1:$Q$950,10,FALSE)</f>
        <v>0</v>
      </c>
      <c r="AL91" s="31">
        <f>VLOOKUP($A91,kurspris!$A$1:$Q$950,11,FALSE)</f>
        <v>1</v>
      </c>
      <c r="AM91" s="31">
        <f>VLOOKUP($A91,kurspris!$A$1:$Q$950,12,FALSE)</f>
        <v>0</v>
      </c>
      <c r="AN91" s="31">
        <f>VLOOKUP($A91,kurspris!$A$1:$Q$950,13,FALSE)</f>
        <v>0</v>
      </c>
      <c r="AO91" s="31">
        <f>VLOOKUP($A91,kurspris!$A$1:$Q$950,14,FALSE)</f>
        <v>0</v>
      </c>
      <c r="AP91" s="57" t="s">
        <v>2402</v>
      </c>
      <c r="AQ91"/>
      <c r="AR91" s="31">
        <f t="shared" si="34"/>
        <v>0</v>
      </c>
      <c r="AS91" s="219">
        <f t="shared" si="35"/>
        <v>0</v>
      </c>
      <c r="AT91" s="31">
        <f t="shared" si="36"/>
        <v>0</v>
      </c>
      <c r="AU91" s="219">
        <f t="shared" si="37"/>
        <v>0</v>
      </c>
      <c r="AV91" s="31">
        <f t="shared" si="38"/>
        <v>0</v>
      </c>
      <c r="AW91" s="31">
        <f t="shared" si="39"/>
        <v>0</v>
      </c>
      <c r="AX91" s="31">
        <f t="shared" si="40"/>
        <v>0</v>
      </c>
      <c r="AY91" s="219">
        <f t="shared" si="41"/>
        <v>0</v>
      </c>
      <c r="AZ91" s="196">
        <f t="shared" si="42"/>
        <v>0</v>
      </c>
      <c r="BA91" s="219">
        <f t="shared" si="43"/>
        <v>0</v>
      </c>
      <c r="BB91" s="31">
        <f t="shared" si="44"/>
        <v>0</v>
      </c>
      <c r="BC91" s="219">
        <f t="shared" si="45"/>
        <v>0</v>
      </c>
      <c r="BD91" s="31">
        <f t="shared" si="46"/>
        <v>0</v>
      </c>
      <c r="BE91" s="219">
        <f t="shared" si="47"/>
        <v>0</v>
      </c>
      <c r="BF91" s="31">
        <f t="shared" si="48"/>
        <v>0</v>
      </c>
      <c r="BG91" s="219">
        <f t="shared" si="49"/>
        <v>0</v>
      </c>
      <c r="BH91" s="31">
        <f t="shared" si="50"/>
        <v>1.125</v>
      </c>
      <c r="BI91" s="219">
        <f t="shared" si="51"/>
        <v>0.95624999999999993</v>
      </c>
      <c r="BJ91" s="31">
        <f t="shared" si="52"/>
        <v>0</v>
      </c>
      <c r="BK91" s="219">
        <f t="shared" si="53"/>
        <v>0</v>
      </c>
      <c r="BL91" s="31">
        <f t="shared" si="54"/>
        <v>0</v>
      </c>
      <c r="BM91" s="219">
        <f t="shared" si="55"/>
        <v>0</v>
      </c>
      <c r="BN91" s="31">
        <f t="shared" si="56"/>
        <v>0</v>
      </c>
      <c r="BO91" s="219">
        <f t="shared" si="57"/>
        <v>0</v>
      </c>
    </row>
    <row r="92" spans="1:67" x14ac:dyDescent="0.25">
      <c r="A92" s="31" t="s">
        <v>1006</v>
      </c>
      <c r="B92" s="176" t="str">
        <f>VLOOKUP(A92,kurspris!$A$1:$B$992,2,FALSE)</f>
        <v>Examensarbete - estetiska ämnen</v>
      </c>
      <c r="D92" s="60" t="s">
        <v>481</v>
      </c>
      <c r="E92" s="576" t="s">
        <v>2226</v>
      </c>
      <c r="F92" s="31" t="s">
        <v>2273</v>
      </c>
      <c r="G92" s="244" t="s">
        <v>2470</v>
      </c>
      <c r="H92" t="s">
        <v>2335</v>
      </c>
      <c r="J92" s="31" t="s">
        <v>2244</v>
      </c>
      <c r="L92" s="38">
        <v>1</v>
      </c>
      <c r="M92" s="244">
        <v>22.5</v>
      </c>
      <c r="P92" s="31">
        <v>2</v>
      </c>
      <c r="Q92" s="196">
        <f>(M92/60)*P92</f>
        <v>0.75</v>
      </c>
      <c r="R92" s="38">
        <v>0.85</v>
      </c>
      <c r="S92" s="280">
        <f t="shared" si="30"/>
        <v>0.63749999999999996</v>
      </c>
      <c r="T92" s="31">
        <f>VLOOKUP(A92,'Ansvar kurs'!$A$1:$C$1123,2,FALSE)</f>
        <v>1650</v>
      </c>
      <c r="U92" s="31" t="str">
        <f>VLOOKUP(T92,Orgenheter!$A$1:$C$166,2,FALSE)</f>
        <v xml:space="preserve">Estetiska ämnen               </v>
      </c>
      <c r="V92" s="31" t="str">
        <f>VLOOKUP(T92,Orgenheter!$A$1:$C$166,3,FALSE)</f>
        <v>Hum</v>
      </c>
      <c r="W92" s="35" t="str">
        <f>VLOOKUP(D92,Program!$A$1:$B$36,2,FALSE)</f>
        <v>Ämneslärarprogrammet - åk 7-9</v>
      </c>
      <c r="X92" s="40">
        <f>VLOOKUP(A92,kurspris!$A$1:$Q$913,15,FALSE)</f>
        <v>20766</v>
      </c>
      <c r="Y92" s="40">
        <f>VLOOKUP(A92,kurspris!$A$1:$Q$913,16,FALSE)</f>
        <v>17442</v>
      </c>
      <c r="Z92" s="40">
        <f t="shared" si="31"/>
        <v>26693.775000000001</v>
      </c>
      <c r="AA92" s="40">
        <f>VLOOKUP(A92,kurspris!$A$1:$Q$913,17,FALSE)</f>
        <v>6000</v>
      </c>
      <c r="AB92" s="40">
        <f t="shared" si="32"/>
        <v>4500</v>
      </c>
      <c r="AC92" s="40">
        <f t="shared" si="33"/>
        <v>31193.775000000001</v>
      </c>
      <c r="AD92" s="31">
        <f>VLOOKUP($A92,kurspris!$A$1:$Q$950,3,FALSE)</f>
        <v>0</v>
      </c>
      <c r="AE92" s="31">
        <f>VLOOKUP($A92,kurspris!$A$1:$Q$950,4,FALSE)</f>
        <v>1</v>
      </c>
      <c r="AF92" s="31">
        <f>VLOOKUP($A92,kurspris!$A$1:$Q$950,5,FALSE)</f>
        <v>0</v>
      </c>
      <c r="AG92" s="31">
        <f>VLOOKUP($A92,kurspris!$A$1:$Q$950,6,FALSE)</f>
        <v>0</v>
      </c>
      <c r="AH92" s="31">
        <f>VLOOKUP($A92,kurspris!$A$1:$Q$950,7,FALSE)</f>
        <v>0</v>
      </c>
      <c r="AI92" s="31">
        <f>VLOOKUP($A92,kurspris!$A$1:$Q$950,8,FALSE)</f>
        <v>0</v>
      </c>
      <c r="AJ92" s="31">
        <f>VLOOKUP($A92,kurspris!$A$1:$Q$950,9,FALSE)</f>
        <v>0</v>
      </c>
      <c r="AK92" s="31">
        <f>VLOOKUP($A92,kurspris!$A$1:$Q$950,10,FALSE)</f>
        <v>0</v>
      </c>
      <c r="AL92" s="31">
        <f>VLOOKUP($A92,kurspris!$A$1:$Q$950,11,FALSE)</f>
        <v>0</v>
      </c>
      <c r="AM92" s="31">
        <f>VLOOKUP($A92,kurspris!$A$1:$Q$950,12,FALSE)</f>
        <v>0</v>
      </c>
      <c r="AN92" s="31">
        <f>VLOOKUP($A92,kurspris!$A$1:$Q$950,13,FALSE)</f>
        <v>0</v>
      </c>
      <c r="AO92" s="31">
        <f>VLOOKUP($A92,kurspris!$A$1:$Q$950,14,FALSE)</f>
        <v>0</v>
      </c>
      <c r="AP92" s="57" t="s">
        <v>2506</v>
      </c>
      <c r="AQ92" t="s">
        <v>2309</v>
      </c>
      <c r="AR92" s="31">
        <f t="shared" si="34"/>
        <v>0</v>
      </c>
      <c r="AS92" s="219">
        <f t="shared" si="35"/>
        <v>0</v>
      </c>
      <c r="AT92" s="31">
        <f t="shared" si="36"/>
        <v>0.75</v>
      </c>
      <c r="AU92" s="219">
        <f t="shared" si="37"/>
        <v>0.63749999999999996</v>
      </c>
      <c r="AV92" s="31">
        <f t="shared" si="38"/>
        <v>0</v>
      </c>
      <c r="AW92" s="31">
        <f t="shared" si="39"/>
        <v>0</v>
      </c>
      <c r="AX92" s="31">
        <f t="shared" si="40"/>
        <v>0</v>
      </c>
      <c r="AY92" s="219">
        <f t="shared" si="41"/>
        <v>0</v>
      </c>
      <c r="AZ92" s="196">
        <f t="shared" si="42"/>
        <v>0</v>
      </c>
      <c r="BA92" s="219">
        <f t="shared" si="43"/>
        <v>0</v>
      </c>
      <c r="BB92" s="31">
        <f t="shared" si="44"/>
        <v>0</v>
      </c>
      <c r="BC92" s="219">
        <f t="shared" si="45"/>
        <v>0</v>
      </c>
      <c r="BD92" s="31">
        <f t="shared" si="46"/>
        <v>0</v>
      </c>
      <c r="BE92" s="219">
        <f t="shared" si="47"/>
        <v>0</v>
      </c>
      <c r="BF92" s="31">
        <f t="shared" si="48"/>
        <v>0</v>
      </c>
      <c r="BG92" s="219">
        <f t="shared" si="49"/>
        <v>0</v>
      </c>
      <c r="BH92" s="31">
        <f t="shared" si="50"/>
        <v>0</v>
      </c>
      <c r="BI92" s="219">
        <f t="shared" si="51"/>
        <v>0</v>
      </c>
      <c r="BJ92" s="31">
        <f t="shared" si="52"/>
        <v>0</v>
      </c>
      <c r="BK92" s="219">
        <f t="shared" si="53"/>
        <v>0</v>
      </c>
      <c r="BL92" s="31">
        <f t="shared" si="54"/>
        <v>0</v>
      </c>
      <c r="BM92" s="219">
        <f t="shared" si="55"/>
        <v>0</v>
      </c>
      <c r="BN92" s="31">
        <f t="shared" si="56"/>
        <v>0</v>
      </c>
      <c r="BO92" s="219">
        <f t="shared" si="57"/>
        <v>0</v>
      </c>
    </row>
    <row r="93" spans="1:67" x14ac:dyDescent="0.25">
      <c r="A93" s="31" t="s">
        <v>1006</v>
      </c>
      <c r="B93" s="176" t="str">
        <f>VLOOKUP(A93,kurspris!$A$1:$B$992,2,FALSE)</f>
        <v>Examensarbete - estetiska ämnen</v>
      </c>
      <c r="D93" s="60" t="s">
        <v>481</v>
      </c>
      <c r="E93" s="576" t="s">
        <v>2225</v>
      </c>
      <c r="F93" s="31" t="s">
        <v>2273</v>
      </c>
      <c r="G93" s="244" t="s">
        <v>2454</v>
      </c>
      <c r="H93" t="s">
        <v>2335</v>
      </c>
      <c r="J93" s="31" t="s">
        <v>2245</v>
      </c>
      <c r="L93" s="38">
        <v>1</v>
      </c>
      <c r="M93" s="244">
        <v>7.5</v>
      </c>
      <c r="P93" s="31">
        <v>1</v>
      </c>
      <c r="Q93" s="196">
        <f>(M93/60)*P93</f>
        <v>0.125</v>
      </c>
      <c r="R93" s="38">
        <v>0.85</v>
      </c>
      <c r="S93" s="280">
        <f t="shared" si="30"/>
        <v>0.10625</v>
      </c>
      <c r="T93" s="31">
        <f>VLOOKUP(A93,'Ansvar kurs'!$A$1:$C$1123,2,FALSE)</f>
        <v>1650</v>
      </c>
      <c r="U93" s="31" t="str">
        <f>VLOOKUP(T93,Orgenheter!$A$1:$C$166,2,FALSE)</f>
        <v xml:space="preserve">Estetiska ämnen               </v>
      </c>
      <c r="V93" s="31" t="str">
        <f>VLOOKUP(T93,Orgenheter!$A$1:$C$166,3,FALSE)</f>
        <v>Hum</v>
      </c>
      <c r="W93" s="35" t="str">
        <f>VLOOKUP(D93,Program!$A$1:$B$36,2,FALSE)</f>
        <v>Ämneslärarprogrammet - åk 7-9</v>
      </c>
      <c r="X93" s="40">
        <f>VLOOKUP(A93,kurspris!$A$1:$Q$913,15,FALSE)</f>
        <v>20766</v>
      </c>
      <c r="Y93" s="40">
        <f>VLOOKUP(A93,kurspris!$A$1:$Q$913,16,FALSE)</f>
        <v>17442</v>
      </c>
      <c r="Z93" s="40">
        <f t="shared" si="31"/>
        <v>4448.9624999999996</v>
      </c>
      <c r="AA93" s="40">
        <f>VLOOKUP(A93,kurspris!$A$1:$Q$913,17,FALSE)</f>
        <v>6000</v>
      </c>
      <c r="AB93" s="40">
        <f t="shared" si="32"/>
        <v>750</v>
      </c>
      <c r="AC93" s="40">
        <f t="shared" si="33"/>
        <v>5198.9624999999996</v>
      </c>
      <c r="AD93" s="31">
        <f>VLOOKUP($A93,kurspris!$A$1:$Q$950,3,FALSE)</f>
        <v>0</v>
      </c>
      <c r="AE93" s="31">
        <f>VLOOKUP($A93,kurspris!$A$1:$Q$950,4,FALSE)</f>
        <v>1</v>
      </c>
      <c r="AF93" s="31">
        <f>VLOOKUP($A93,kurspris!$A$1:$Q$950,5,FALSE)</f>
        <v>0</v>
      </c>
      <c r="AG93" s="31">
        <f>VLOOKUP($A93,kurspris!$A$1:$Q$950,6,FALSE)</f>
        <v>0</v>
      </c>
      <c r="AH93" s="31">
        <f>VLOOKUP($A93,kurspris!$A$1:$Q$950,7,FALSE)</f>
        <v>0</v>
      </c>
      <c r="AI93" s="31">
        <f>VLOOKUP($A93,kurspris!$A$1:$Q$950,8,FALSE)</f>
        <v>0</v>
      </c>
      <c r="AJ93" s="31">
        <f>VLOOKUP($A93,kurspris!$A$1:$Q$950,9,FALSE)</f>
        <v>0</v>
      </c>
      <c r="AK93" s="31">
        <f>VLOOKUP($A93,kurspris!$A$1:$Q$950,10,FALSE)</f>
        <v>0</v>
      </c>
      <c r="AL93" s="31">
        <f>VLOOKUP($A93,kurspris!$A$1:$Q$950,11,FALSE)</f>
        <v>0</v>
      </c>
      <c r="AM93" s="31">
        <f>VLOOKUP($A93,kurspris!$A$1:$Q$950,12,FALSE)</f>
        <v>0</v>
      </c>
      <c r="AN93" s="31">
        <f>VLOOKUP($A93,kurspris!$A$1:$Q$950,13,FALSE)</f>
        <v>0</v>
      </c>
      <c r="AO93" s="31">
        <f>VLOOKUP($A93,kurspris!$A$1:$Q$950,14,FALSE)</f>
        <v>0</v>
      </c>
      <c r="AP93" s="57" t="s">
        <v>2506</v>
      </c>
      <c r="AQ93" t="s">
        <v>2311</v>
      </c>
      <c r="AR93" s="31">
        <f t="shared" si="34"/>
        <v>0</v>
      </c>
      <c r="AS93" s="219">
        <f t="shared" si="35"/>
        <v>0</v>
      </c>
      <c r="AT93" s="31">
        <f t="shared" si="36"/>
        <v>0.125</v>
      </c>
      <c r="AU93" s="219">
        <f t="shared" si="37"/>
        <v>0.10625</v>
      </c>
      <c r="AV93" s="31">
        <f t="shared" si="38"/>
        <v>0</v>
      </c>
      <c r="AW93" s="31">
        <f t="shared" si="39"/>
        <v>0</v>
      </c>
      <c r="AX93" s="31">
        <f t="shared" si="40"/>
        <v>0</v>
      </c>
      <c r="AY93" s="219">
        <f t="shared" si="41"/>
        <v>0</v>
      </c>
      <c r="AZ93" s="196">
        <f t="shared" si="42"/>
        <v>0</v>
      </c>
      <c r="BA93" s="219">
        <f t="shared" si="43"/>
        <v>0</v>
      </c>
      <c r="BB93" s="31">
        <f t="shared" si="44"/>
        <v>0</v>
      </c>
      <c r="BC93" s="219">
        <f t="shared" si="45"/>
        <v>0</v>
      </c>
      <c r="BD93" s="31">
        <f t="shared" si="46"/>
        <v>0</v>
      </c>
      <c r="BE93" s="219">
        <f t="shared" si="47"/>
        <v>0</v>
      </c>
      <c r="BF93" s="31">
        <f t="shared" si="48"/>
        <v>0</v>
      </c>
      <c r="BG93" s="219">
        <f t="shared" si="49"/>
        <v>0</v>
      </c>
      <c r="BH93" s="31">
        <f t="shared" si="50"/>
        <v>0</v>
      </c>
      <c r="BI93" s="219">
        <f t="shared" si="51"/>
        <v>0</v>
      </c>
      <c r="BJ93" s="31">
        <f t="shared" si="52"/>
        <v>0</v>
      </c>
      <c r="BK93" s="219">
        <f t="shared" si="53"/>
        <v>0</v>
      </c>
      <c r="BL93" s="31">
        <f t="shared" si="54"/>
        <v>0</v>
      </c>
      <c r="BM93" s="219">
        <f t="shared" si="55"/>
        <v>0</v>
      </c>
      <c r="BN93" s="31">
        <f t="shared" si="56"/>
        <v>0</v>
      </c>
      <c r="BO93" s="219">
        <f t="shared" si="57"/>
        <v>0</v>
      </c>
    </row>
    <row r="94" spans="1:67" x14ac:dyDescent="0.25">
      <c r="A94" s="31" t="s">
        <v>1006</v>
      </c>
      <c r="B94" s="176" t="str">
        <f>VLOOKUP(A94,kurspris!$A$1:$B$992,2,FALSE)</f>
        <v>Examensarbete - estetiska ämnen</v>
      </c>
      <c r="C94" s="31">
        <v>66308</v>
      </c>
      <c r="D94" s="60" t="s">
        <v>481</v>
      </c>
      <c r="E94" s="60"/>
      <c r="F94" s="57" t="s">
        <v>2274</v>
      </c>
      <c r="H94" s="31" t="s">
        <v>2335</v>
      </c>
      <c r="I94" s="31" t="s">
        <v>2399</v>
      </c>
      <c r="J94" s="31" t="s">
        <v>2244</v>
      </c>
      <c r="L94" s="38"/>
      <c r="M94" s="244">
        <v>7.5</v>
      </c>
      <c r="P94" s="31">
        <v>2</v>
      </c>
      <c r="Q94" s="539">
        <v>0.25</v>
      </c>
      <c r="R94" s="38">
        <v>0.85</v>
      </c>
      <c r="S94" s="280">
        <f t="shared" si="30"/>
        <v>0.21249999999999999</v>
      </c>
      <c r="T94" s="31">
        <f>VLOOKUP(A94,'Ansvar kurs'!$A$1:$C$1123,2,FALSE)</f>
        <v>1650</v>
      </c>
      <c r="U94" s="31" t="str">
        <f>VLOOKUP(T94,Orgenheter!$A$1:$C$166,2,FALSE)</f>
        <v xml:space="preserve">Estetiska ämnen               </v>
      </c>
      <c r="V94" s="31" t="str">
        <f>VLOOKUP(T94,Orgenheter!$A$1:$C$166,3,FALSE)</f>
        <v>Hum</v>
      </c>
      <c r="W94" s="35" t="str">
        <f>VLOOKUP(D94,Program!$A$1:$B$36,2,FALSE)</f>
        <v>Ämneslärarprogrammet - åk 7-9</v>
      </c>
      <c r="X94" s="40">
        <f>VLOOKUP(A94,kurspris!$A$1:$Q$913,15,FALSE)</f>
        <v>20766</v>
      </c>
      <c r="Y94" s="40">
        <f>VLOOKUP(A94,kurspris!$A$1:$Q$913,16,FALSE)</f>
        <v>17442</v>
      </c>
      <c r="Z94" s="40">
        <f t="shared" si="31"/>
        <v>8897.9249999999993</v>
      </c>
      <c r="AA94" s="40">
        <f>VLOOKUP(A94,kurspris!$A$1:$Q$913,17,FALSE)</f>
        <v>6000</v>
      </c>
      <c r="AB94" s="40">
        <f t="shared" si="32"/>
        <v>1500</v>
      </c>
      <c r="AC94" s="40">
        <f t="shared" si="33"/>
        <v>10397.924999999999</v>
      </c>
      <c r="AD94" s="31">
        <f>VLOOKUP($A94,kurspris!$A$1:$Q$950,3,FALSE)</f>
        <v>0</v>
      </c>
      <c r="AE94" s="31">
        <f>VLOOKUP($A94,kurspris!$A$1:$Q$950,4,FALSE)</f>
        <v>1</v>
      </c>
      <c r="AF94" s="31">
        <f>VLOOKUP($A94,kurspris!$A$1:$Q$950,5,FALSE)</f>
        <v>0</v>
      </c>
      <c r="AG94" s="31">
        <f>VLOOKUP($A94,kurspris!$A$1:$Q$950,6,FALSE)</f>
        <v>0</v>
      </c>
      <c r="AH94" s="31">
        <f>VLOOKUP($A94,kurspris!$A$1:$Q$950,7,FALSE)</f>
        <v>0</v>
      </c>
      <c r="AI94" s="31">
        <f>VLOOKUP($A94,kurspris!$A$1:$Q$950,8,FALSE)</f>
        <v>0</v>
      </c>
      <c r="AJ94" s="31">
        <f>VLOOKUP($A94,kurspris!$A$1:$Q$950,9,FALSE)</f>
        <v>0</v>
      </c>
      <c r="AK94" s="31">
        <f>VLOOKUP($A94,kurspris!$A$1:$Q$950,10,FALSE)</f>
        <v>0</v>
      </c>
      <c r="AL94" s="31">
        <f>VLOOKUP($A94,kurspris!$A$1:$Q$950,11,FALSE)</f>
        <v>0</v>
      </c>
      <c r="AM94" s="31">
        <f>VLOOKUP($A94,kurspris!$A$1:$Q$950,12,FALSE)</f>
        <v>0</v>
      </c>
      <c r="AN94" s="31">
        <f>VLOOKUP($A94,kurspris!$A$1:$Q$950,13,FALSE)</f>
        <v>0</v>
      </c>
      <c r="AO94" s="31">
        <f>VLOOKUP($A94,kurspris!$A$1:$Q$950,14,FALSE)</f>
        <v>0</v>
      </c>
      <c r="AP94" s="57" t="s">
        <v>2402</v>
      </c>
      <c r="AQ94" t="s">
        <v>2311</v>
      </c>
      <c r="AR94" s="31">
        <f t="shared" si="34"/>
        <v>0</v>
      </c>
      <c r="AS94" s="219">
        <f t="shared" si="35"/>
        <v>0</v>
      </c>
      <c r="AT94" s="31">
        <f t="shared" si="36"/>
        <v>0.25</v>
      </c>
      <c r="AU94" s="219">
        <f t="shared" si="37"/>
        <v>0.21249999999999999</v>
      </c>
      <c r="AV94" s="31">
        <f t="shared" si="38"/>
        <v>0</v>
      </c>
      <c r="AW94" s="31">
        <f t="shared" si="39"/>
        <v>0</v>
      </c>
      <c r="AX94" s="31">
        <f t="shared" si="40"/>
        <v>0</v>
      </c>
      <c r="AY94" s="219">
        <f t="shared" si="41"/>
        <v>0</v>
      </c>
      <c r="AZ94" s="196">
        <f t="shared" si="42"/>
        <v>0</v>
      </c>
      <c r="BA94" s="219">
        <f t="shared" si="43"/>
        <v>0</v>
      </c>
      <c r="BB94" s="31">
        <f t="shared" si="44"/>
        <v>0</v>
      </c>
      <c r="BC94" s="219">
        <f t="shared" si="45"/>
        <v>0</v>
      </c>
      <c r="BD94" s="31">
        <f t="shared" si="46"/>
        <v>0</v>
      </c>
      <c r="BE94" s="219">
        <f t="shared" si="47"/>
        <v>0</v>
      </c>
      <c r="BF94" s="31">
        <f t="shared" si="48"/>
        <v>0</v>
      </c>
      <c r="BG94" s="219">
        <f t="shared" si="49"/>
        <v>0</v>
      </c>
      <c r="BH94" s="31">
        <f t="shared" si="50"/>
        <v>0</v>
      </c>
      <c r="BI94" s="219">
        <f t="shared" si="51"/>
        <v>0</v>
      </c>
      <c r="BJ94" s="31">
        <f t="shared" si="52"/>
        <v>0</v>
      </c>
      <c r="BK94" s="219">
        <f t="shared" si="53"/>
        <v>0</v>
      </c>
      <c r="BL94" s="31">
        <f t="shared" si="54"/>
        <v>0</v>
      </c>
      <c r="BM94" s="219">
        <f t="shared" si="55"/>
        <v>0</v>
      </c>
      <c r="BN94" s="31">
        <f t="shared" si="56"/>
        <v>0</v>
      </c>
      <c r="BO94" s="219">
        <f t="shared" si="57"/>
        <v>0</v>
      </c>
    </row>
    <row r="95" spans="1:67" x14ac:dyDescent="0.25">
      <c r="A95" s="31" t="s">
        <v>1006</v>
      </c>
      <c r="B95" s="176" t="str">
        <f>VLOOKUP(A95,kurspris!$A$1:$B$992,2,FALSE)</f>
        <v>Examensarbete - estetiska ämnen</v>
      </c>
      <c r="D95" s="60" t="s">
        <v>482</v>
      </c>
      <c r="E95" s="576" t="s">
        <v>2429</v>
      </c>
      <c r="F95" s="31" t="s">
        <v>2273</v>
      </c>
      <c r="G95" s="244" t="s">
        <v>2454</v>
      </c>
      <c r="H95" t="s">
        <v>2335</v>
      </c>
      <c r="J95" s="31" t="s">
        <v>2236</v>
      </c>
      <c r="L95" s="38">
        <v>1</v>
      </c>
      <c r="M95" s="244">
        <v>7.5</v>
      </c>
      <c r="P95" s="31">
        <v>1</v>
      </c>
      <c r="Q95" s="196">
        <f>(M95/60)*P95</f>
        <v>0.125</v>
      </c>
      <c r="R95" s="38">
        <v>0.85</v>
      </c>
      <c r="S95" s="280">
        <f t="shared" si="30"/>
        <v>0.10625</v>
      </c>
      <c r="T95" s="31">
        <f>VLOOKUP(A95,'Ansvar kurs'!$A$1:$C$1123,2,FALSE)</f>
        <v>1650</v>
      </c>
      <c r="U95" s="31" t="str">
        <f>VLOOKUP(T95,Orgenheter!$A$1:$C$166,2,FALSE)</f>
        <v xml:space="preserve">Estetiska ämnen               </v>
      </c>
      <c r="V95" s="31" t="str">
        <f>VLOOKUP(T95,Orgenheter!$A$1:$C$166,3,FALSE)</f>
        <v>Hum</v>
      </c>
      <c r="W95" s="35" t="str">
        <f>VLOOKUP(D95,Program!$A$1:$B$36,2,FALSE)</f>
        <v>Ämneslärarprogrammet - Gy</v>
      </c>
      <c r="X95" s="40">
        <f>VLOOKUP(A95,kurspris!$A$1:$Q$913,15,FALSE)</f>
        <v>20766</v>
      </c>
      <c r="Y95" s="40">
        <f>VLOOKUP(A95,kurspris!$A$1:$Q$913,16,FALSE)</f>
        <v>17442</v>
      </c>
      <c r="Z95" s="40">
        <f t="shared" si="31"/>
        <v>4448.9624999999996</v>
      </c>
      <c r="AA95" s="40">
        <f>VLOOKUP(A95,kurspris!$A$1:$Q$913,17,FALSE)</f>
        <v>6000</v>
      </c>
      <c r="AB95" s="40">
        <f t="shared" si="32"/>
        <v>750</v>
      </c>
      <c r="AC95" s="40">
        <f t="shared" si="33"/>
        <v>5198.9624999999996</v>
      </c>
      <c r="AD95" s="31">
        <f>VLOOKUP($A95,kurspris!$A$1:$Q$950,3,FALSE)</f>
        <v>0</v>
      </c>
      <c r="AE95" s="31">
        <f>VLOOKUP($A95,kurspris!$A$1:$Q$950,4,FALSE)</f>
        <v>1</v>
      </c>
      <c r="AF95" s="31">
        <f>VLOOKUP($A95,kurspris!$A$1:$Q$950,5,FALSE)</f>
        <v>0</v>
      </c>
      <c r="AG95" s="31">
        <f>VLOOKUP($A95,kurspris!$A$1:$Q$950,6,FALSE)</f>
        <v>0</v>
      </c>
      <c r="AH95" s="31">
        <f>VLOOKUP($A95,kurspris!$A$1:$Q$950,7,FALSE)</f>
        <v>0</v>
      </c>
      <c r="AI95" s="31">
        <f>VLOOKUP($A95,kurspris!$A$1:$Q$950,8,FALSE)</f>
        <v>0</v>
      </c>
      <c r="AJ95" s="31">
        <f>VLOOKUP($A95,kurspris!$A$1:$Q$950,9,FALSE)</f>
        <v>0</v>
      </c>
      <c r="AK95" s="31">
        <f>VLOOKUP($A95,kurspris!$A$1:$Q$950,10,FALSE)</f>
        <v>0</v>
      </c>
      <c r="AL95" s="31">
        <f>VLOOKUP($A95,kurspris!$A$1:$Q$950,11,FALSE)</f>
        <v>0</v>
      </c>
      <c r="AM95" s="31">
        <f>VLOOKUP($A95,kurspris!$A$1:$Q$950,12,FALSE)</f>
        <v>0</v>
      </c>
      <c r="AN95" s="31">
        <f>VLOOKUP($A95,kurspris!$A$1:$Q$950,13,FALSE)</f>
        <v>0</v>
      </c>
      <c r="AO95" s="31">
        <f>VLOOKUP($A95,kurspris!$A$1:$Q$950,14,FALSE)</f>
        <v>0</v>
      </c>
      <c r="AP95" s="57" t="s">
        <v>2506</v>
      </c>
      <c r="AQ95" t="s">
        <v>2311</v>
      </c>
      <c r="AR95" s="31">
        <f t="shared" si="34"/>
        <v>0</v>
      </c>
      <c r="AS95" s="219">
        <f t="shared" si="35"/>
        <v>0</v>
      </c>
      <c r="AT95" s="31">
        <f t="shared" si="36"/>
        <v>0.125</v>
      </c>
      <c r="AU95" s="219">
        <f t="shared" si="37"/>
        <v>0.10625</v>
      </c>
      <c r="AV95" s="31">
        <f t="shared" si="38"/>
        <v>0</v>
      </c>
      <c r="AW95" s="31">
        <f t="shared" si="39"/>
        <v>0</v>
      </c>
      <c r="AX95" s="31">
        <f t="shared" si="40"/>
        <v>0</v>
      </c>
      <c r="AY95" s="219">
        <f t="shared" si="41"/>
        <v>0</v>
      </c>
      <c r="AZ95" s="196">
        <f t="shared" si="42"/>
        <v>0</v>
      </c>
      <c r="BA95" s="219">
        <f t="shared" si="43"/>
        <v>0</v>
      </c>
      <c r="BB95" s="31">
        <f t="shared" si="44"/>
        <v>0</v>
      </c>
      <c r="BC95" s="219">
        <f t="shared" si="45"/>
        <v>0</v>
      </c>
      <c r="BD95" s="31">
        <f t="shared" si="46"/>
        <v>0</v>
      </c>
      <c r="BE95" s="219">
        <f t="shared" si="47"/>
        <v>0</v>
      </c>
      <c r="BF95" s="31">
        <f t="shared" si="48"/>
        <v>0</v>
      </c>
      <c r="BG95" s="219">
        <f t="shared" si="49"/>
        <v>0</v>
      </c>
      <c r="BH95" s="31">
        <f t="shared" si="50"/>
        <v>0</v>
      </c>
      <c r="BI95" s="219">
        <f t="shared" si="51"/>
        <v>0</v>
      </c>
      <c r="BJ95" s="31">
        <f t="shared" si="52"/>
        <v>0</v>
      </c>
      <c r="BK95" s="219">
        <f t="shared" si="53"/>
        <v>0</v>
      </c>
      <c r="BL95" s="31">
        <f t="shared" si="54"/>
        <v>0</v>
      </c>
      <c r="BM95" s="219">
        <f t="shared" si="55"/>
        <v>0</v>
      </c>
      <c r="BN95" s="31">
        <f t="shared" si="56"/>
        <v>0</v>
      </c>
      <c r="BO95" s="219">
        <f t="shared" si="57"/>
        <v>0</v>
      </c>
    </row>
    <row r="96" spans="1:67" x14ac:dyDescent="0.25">
      <c r="A96" s="31" t="s">
        <v>1006</v>
      </c>
      <c r="B96" s="176" t="str">
        <f>VLOOKUP(A96,kurspris!$A$1:$B$992,2,FALSE)</f>
        <v>Examensarbete - estetiska ämnen</v>
      </c>
      <c r="D96" s="60" t="s">
        <v>482</v>
      </c>
      <c r="E96" s="576" t="s">
        <v>2227</v>
      </c>
      <c r="F96" s="31" t="s">
        <v>2273</v>
      </c>
      <c r="G96" s="244" t="s">
        <v>2454</v>
      </c>
      <c r="H96" t="s">
        <v>2335</v>
      </c>
      <c r="J96" s="31" t="s">
        <v>2237</v>
      </c>
      <c r="L96" s="38">
        <v>1</v>
      </c>
      <c r="M96" s="244">
        <v>7.5</v>
      </c>
      <c r="P96" s="31">
        <v>1</v>
      </c>
      <c r="Q96" s="196">
        <f>(M96/60)*P96</f>
        <v>0.125</v>
      </c>
      <c r="R96" s="38">
        <v>0.85</v>
      </c>
      <c r="S96" s="280">
        <f t="shared" si="30"/>
        <v>0.10625</v>
      </c>
      <c r="T96" s="31">
        <f>VLOOKUP(A96,'Ansvar kurs'!$A$1:$C$1123,2,FALSE)</f>
        <v>1650</v>
      </c>
      <c r="U96" s="31" t="str">
        <f>VLOOKUP(T96,Orgenheter!$A$1:$C$166,2,FALSE)</f>
        <v xml:space="preserve">Estetiska ämnen               </v>
      </c>
      <c r="V96" s="31" t="str">
        <f>VLOOKUP(T96,Orgenheter!$A$1:$C$166,3,FALSE)</f>
        <v>Hum</v>
      </c>
      <c r="W96" s="35" t="str">
        <f>VLOOKUP(D96,Program!$A$1:$B$36,2,FALSE)</f>
        <v>Ämneslärarprogrammet - Gy</v>
      </c>
      <c r="X96" s="40">
        <f>VLOOKUP(A96,kurspris!$A$1:$Q$913,15,FALSE)</f>
        <v>20766</v>
      </c>
      <c r="Y96" s="40">
        <f>VLOOKUP(A96,kurspris!$A$1:$Q$913,16,FALSE)</f>
        <v>17442</v>
      </c>
      <c r="Z96" s="40">
        <f t="shared" si="31"/>
        <v>4448.9624999999996</v>
      </c>
      <c r="AA96" s="40">
        <f>VLOOKUP(A96,kurspris!$A$1:$Q$913,17,FALSE)</f>
        <v>6000</v>
      </c>
      <c r="AB96" s="40">
        <f t="shared" si="32"/>
        <v>750</v>
      </c>
      <c r="AC96" s="40">
        <f t="shared" si="33"/>
        <v>5198.9624999999996</v>
      </c>
      <c r="AD96" s="31">
        <f>VLOOKUP($A96,kurspris!$A$1:$Q$950,3,FALSE)</f>
        <v>0</v>
      </c>
      <c r="AE96" s="31">
        <f>VLOOKUP($A96,kurspris!$A$1:$Q$950,4,FALSE)</f>
        <v>1</v>
      </c>
      <c r="AF96" s="31">
        <f>VLOOKUP($A96,kurspris!$A$1:$Q$950,5,FALSE)</f>
        <v>0</v>
      </c>
      <c r="AG96" s="31">
        <f>VLOOKUP($A96,kurspris!$A$1:$Q$950,6,FALSE)</f>
        <v>0</v>
      </c>
      <c r="AH96" s="31">
        <f>VLOOKUP($A96,kurspris!$A$1:$Q$950,7,FALSE)</f>
        <v>0</v>
      </c>
      <c r="AI96" s="31">
        <f>VLOOKUP($A96,kurspris!$A$1:$Q$950,8,FALSE)</f>
        <v>0</v>
      </c>
      <c r="AJ96" s="31">
        <f>VLOOKUP($A96,kurspris!$A$1:$Q$950,9,FALSE)</f>
        <v>0</v>
      </c>
      <c r="AK96" s="31">
        <f>VLOOKUP($A96,kurspris!$A$1:$Q$950,10,FALSE)</f>
        <v>0</v>
      </c>
      <c r="AL96" s="31">
        <f>VLOOKUP($A96,kurspris!$A$1:$Q$950,11,FALSE)</f>
        <v>0</v>
      </c>
      <c r="AM96" s="31">
        <f>VLOOKUP($A96,kurspris!$A$1:$Q$950,12,FALSE)</f>
        <v>0</v>
      </c>
      <c r="AN96" s="31">
        <f>VLOOKUP($A96,kurspris!$A$1:$Q$950,13,FALSE)</f>
        <v>0</v>
      </c>
      <c r="AO96" s="31">
        <f>VLOOKUP($A96,kurspris!$A$1:$Q$950,14,FALSE)</f>
        <v>0</v>
      </c>
      <c r="AP96" s="57" t="s">
        <v>2506</v>
      </c>
      <c r="AQ96" t="s">
        <v>2311</v>
      </c>
      <c r="AR96" s="31">
        <f t="shared" si="34"/>
        <v>0</v>
      </c>
      <c r="AS96" s="219">
        <f t="shared" si="35"/>
        <v>0</v>
      </c>
      <c r="AT96" s="31">
        <f t="shared" si="36"/>
        <v>0.125</v>
      </c>
      <c r="AU96" s="219">
        <f t="shared" si="37"/>
        <v>0.10625</v>
      </c>
      <c r="AV96" s="31">
        <f t="shared" si="38"/>
        <v>0</v>
      </c>
      <c r="AW96" s="31">
        <f t="shared" si="39"/>
        <v>0</v>
      </c>
      <c r="AX96" s="31">
        <f t="shared" si="40"/>
        <v>0</v>
      </c>
      <c r="AY96" s="219">
        <f t="shared" si="41"/>
        <v>0</v>
      </c>
      <c r="AZ96" s="196">
        <f t="shared" si="42"/>
        <v>0</v>
      </c>
      <c r="BA96" s="219">
        <f t="shared" si="43"/>
        <v>0</v>
      </c>
      <c r="BB96" s="31">
        <f t="shared" si="44"/>
        <v>0</v>
      </c>
      <c r="BC96" s="219">
        <f t="shared" si="45"/>
        <v>0</v>
      </c>
      <c r="BD96" s="31">
        <f t="shared" si="46"/>
        <v>0</v>
      </c>
      <c r="BE96" s="219">
        <f t="shared" si="47"/>
        <v>0</v>
      </c>
      <c r="BF96" s="31">
        <f t="shared" si="48"/>
        <v>0</v>
      </c>
      <c r="BG96" s="219">
        <f t="shared" si="49"/>
        <v>0</v>
      </c>
      <c r="BH96" s="31">
        <f t="shared" si="50"/>
        <v>0</v>
      </c>
      <c r="BI96" s="219">
        <f t="shared" si="51"/>
        <v>0</v>
      </c>
      <c r="BJ96" s="31">
        <f t="shared" si="52"/>
        <v>0</v>
      </c>
      <c r="BK96" s="219">
        <f t="shared" si="53"/>
        <v>0</v>
      </c>
      <c r="BL96" s="31">
        <f t="shared" si="54"/>
        <v>0</v>
      </c>
      <c r="BM96" s="219">
        <f t="shared" si="55"/>
        <v>0</v>
      </c>
      <c r="BN96" s="31">
        <f t="shared" si="56"/>
        <v>0</v>
      </c>
      <c r="BO96" s="219">
        <f t="shared" si="57"/>
        <v>0</v>
      </c>
    </row>
    <row r="97" spans="1:67" x14ac:dyDescent="0.25">
      <c r="A97" s="31" t="s">
        <v>1006</v>
      </c>
      <c r="B97" s="176" t="str">
        <f>VLOOKUP(A97,kurspris!$A$1:$B$992,2,FALSE)</f>
        <v>Examensarbete - estetiska ämnen</v>
      </c>
      <c r="D97" s="60" t="s">
        <v>482</v>
      </c>
      <c r="E97" s="576" t="s">
        <v>2226</v>
      </c>
      <c r="F97" s="31" t="s">
        <v>2273</v>
      </c>
      <c r="G97" s="244" t="s">
        <v>2454</v>
      </c>
      <c r="H97" t="s">
        <v>2335</v>
      </c>
      <c r="J97" s="31" t="s">
        <v>2231</v>
      </c>
      <c r="L97" s="38">
        <v>1</v>
      </c>
      <c r="M97" s="244">
        <v>7.5</v>
      </c>
      <c r="P97" s="31">
        <v>2</v>
      </c>
      <c r="Q97" s="196">
        <f>(M97/60)*P97</f>
        <v>0.25</v>
      </c>
      <c r="R97" s="38">
        <v>0.85</v>
      </c>
      <c r="S97" s="280">
        <f t="shared" si="30"/>
        <v>0.21249999999999999</v>
      </c>
      <c r="T97" s="31">
        <f>VLOOKUP(A97,'Ansvar kurs'!$A$1:$C$1123,2,FALSE)</f>
        <v>1650</v>
      </c>
      <c r="U97" s="31" t="str">
        <f>VLOOKUP(T97,Orgenheter!$A$1:$C$166,2,FALSE)</f>
        <v xml:space="preserve">Estetiska ämnen               </v>
      </c>
      <c r="V97" s="31" t="str">
        <f>VLOOKUP(T97,Orgenheter!$A$1:$C$166,3,FALSE)</f>
        <v>Hum</v>
      </c>
      <c r="W97" s="35" t="str">
        <f>VLOOKUP(D97,Program!$A$1:$B$36,2,FALSE)</f>
        <v>Ämneslärarprogrammet - Gy</v>
      </c>
      <c r="X97" s="40">
        <f>VLOOKUP(A97,kurspris!$A$1:$Q$913,15,FALSE)</f>
        <v>20766</v>
      </c>
      <c r="Y97" s="40">
        <f>VLOOKUP(A97,kurspris!$A$1:$Q$913,16,FALSE)</f>
        <v>17442</v>
      </c>
      <c r="Z97" s="40">
        <f t="shared" si="31"/>
        <v>8897.9249999999993</v>
      </c>
      <c r="AA97" s="40">
        <f>VLOOKUP(A97,kurspris!$A$1:$Q$913,17,FALSE)</f>
        <v>6000</v>
      </c>
      <c r="AB97" s="40">
        <f t="shared" si="32"/>
        <v>1500</v>
      </c>
      <c r="AC97" s="40">
        <f t="shared" si="33"/>
        <v>10397.924999999999</v>
      </c>
      <c r="AD97" s="31">
        <f>VLOOKUP($A97,kurspris!$A$1:$Q$950,3,FALSE)</f>
        <v>0</v>
      </c>
      <c r="AE97" s="31">
        <f>VLOOKUP($A97,kurspris!$A$1:$Q$950,4,FALSE)</f>
        <v>1</v>
      </c>
      <c r="AF97" s="31">
        <f>VLOOKUP($A97,kurspris!$A$1:$Q$950,5,FALSE)</f>
        <v>0</v>
      </c>
      <c r="AG97" s="31">
        <f>VLOOKUP($A97,kurspris!$A$1:$Q$950,6,FALSE)</f>
        <v>0</v>
      </c>
      <c r="AH97" s="31">
        <f>VLOOKUP($A97,kurspris!$A$1:$Q$950,7,FALSE)</f>
        <v>0</v>
      </c>
      <c r="AI97" s="31">
        <f>VLOOKUP($A97,kurspris!$A$1:$Q$950,8,FALSE)</f>
        <v>0</v>
      </c>
      <c r="AJ97" s="31">
        <f>VLOOKUP($A97,kurspris!$A$1:$Q$950,9,FALSE)</f>
        <v>0</v>
      </c>
      <c r="AK97" s="31">
        <f>VLOOKUP($A97,kurspris!$A$1:$Q$950,10,FALSE)</f>
        <v>0</v>
      </c>
      <c r="AL97" s="31">
        <f>VLOOKUP($A97,kurspris!$A$1:$Q$950,11,FALSE)</f>
        <v>0</v>
      </c>
      <c r="AM97" s="31">
        <f>VLOOKUP($A97,kurspris!$A$1:$Q$950,12,FALSE)</f>
        <v>0</v>
      </c>
      <c r="AN97" s="31">
        <f>VLOOKUP($A97,kurspris!$A$1:$Q$950,13,FALSE)</f>
        <v>0</v>
      </c>
      <c r="AO97" s="31">
        <f>VLOOKUP($A97,kurspris!$A$1:$Q$950,14,FALSE)</f>
        <v>0</v>
      </c>
      <c r="AP97" s="57" t="s">
        <v>2506</v>
      </c>
      <c r="AQ97" t="s">
        <v>2311</v>
      </c>
      <c r="AR97" s="31">
        <f t="shared" si="34"/>
        <v>0</v>
      </c>
      <c r="AS97" s="219">
        <f t="shared" si="35"/>
        <v>0</v>
      </c>
      <c r="AT97" s="31">
        <f t="shared" si="36"/>
        <v>0.25</v>
      </c>
      <c r="AU97" s="219">
        <f t="shared" si="37"/>
        <v>0.21249999999999999</v>
      </c>
      <c r="AV97" s="31">
        <f t="shared" si="38"/>
        <v>0</v>
      </c>
      <c r="AW97" s="31">
        <f t="shared" si="39"/>
        <v>0</v>
      </c>
      <c r="AX97" s="31">
        <f t="shared" si="40"/>
        <v>0</v>
      </c>
      <c r="AY97" s="219">
        <f t="shared" si="41"/>
        <v>0</v>
      </c>
      <c r="AZ97" s="196">
        <f t="shared" si="42"/>
        <v>0</v>
      </c>
      <c r="BA97" s="219">
        <f t="shared" si="43"/>
        <v>0</v>
      </c>
      <c r="BB97" s="31">
        <f t="shared" si="44"/>
        <v>0</v>
      </c>
      <c r="BC97" s="219">
        <f t="shared" si="45"/>
        <v>0</v>
      </c>
      <c r="BD97" s="31">
        <f t="shared" si="46"/>
        <v>0</v>
      </c>
      <c r="BE97" s="219">
        <f t="shared" si="47"/>
        <v>0</v>
      </c>
      <c r="BF97" s="31">
        <f t="shared" si="48"/>
        <v>0</v>
      </c>
      <c r="BG97" s="219">
        <f t="shared" si="49"/>
        <v>0</v>
      </c>
      <c r="BH97" s="31">
        <f t="shared" si="50"/>
        <v>0</v>
      </c>
      <c r="BI97" s="219">
        <f t="shared" si="51"/>
        <v>0</v>
      </c>
      <c r="BJ97" s="31">
        <f t="shared" si="52"/>
        <v>0</v>
      </c>
      <c r="BK97" s="219">
        <f t="shared" si="53"/>
        <v>0</v>
      </c>
      <c r="BL97" s="31">
        <f t="shared" si="54"/>
        <v>0</v>
      </c>
      <c r="BM97" s="219">
        <f t="shared" si="55"/>
        <v>0</v>
      </c>
      <c r="BN97" s="31">
        <f t="shared" si="56"/>
        <v>0</v>
      </c>
      <c r="BO97" s="219">
        <f t="shared" si="57"/>
        <v>0</v>
      </c>
    </row>
    <row r="98" spans="1:67" x14ac:dyDescent="0.25">
      <c r="A98" s="31" t="s">
        <v>1006</v>
      </c>
      <c r="B98" s="176" t="str">
        <f>VLOOKUP(A98,kurspris!$A$1:$B$992,2,FALSE)</f>
        <v>Examensarbete - estetiska ämnen</v>
      </c>
      <c r="D98" s="60" t="s">
        <v>482</v>
      </c>
      <c r="E98" s="576" t="s">
        <v>2226</v>
      </c>
      <c r="F98" s="31" t="s">
        <v>2273</v>
      </c>
      <c r="G98" s="244" t="s">
        <v>2454</v>
      </c>
      <c r="H98" t="s">
        <v>2335</v>
      </c>
      <c r="J98" s="31" t="s">
        <v>2236</v>
      </c>
      <c r="L98" s="38">
        <v>1</v>
      </c>
      <c r="M98" s="244">
        <v>7.5</v>
      </c>
      <c r="P98" s="31">
        <v>2</v>
      </c>
      <c r="Q98" s="196">
        <f>(M98/60)*P98</f>
        <v>0.25</v>
      </c>
      <c r="R98" s="38">
        <v>0.85</v>
      </c>
      <c r="S98" s="280">
        <f t="shared" si="30"/>
        <v>0.21249999999999999</v>
      </c>
      <c r="T98" s="31">
        <f>VLOOKUP(A98,'Ansvar kurs'!$A$1:$C$1123,2,FALSE)</f>
        <v>1650</v>
      </c>
      <c r="U98" s="31" t="str">
        <f>VLOOKUP(T98,Orgenheter!$A$1:$C$166,2,FALSE)</f>
        <v xml:space="preserve">Estetiska ämnen               </v>
      </c>
      <c r="V98" s="31" t="str">
        <f>VLOOKUP(T98,Orgenheter!$A$1:$C$166,3,FALSE)</f>
        <v>Hum</v>
      </c>
      <c r="W98" s="35" t="str">
        <f>VLOOKUP(D98,Program!$A$1:$B$36,2,FALSE)</f>
        <v>Ämneslärarprogrammet - Gy</v>
      </c>
      <c r="X98" s="40">
        <f>VLOOKUP(A98,kurspris!$A$1:$Q$913,15,FALSE)</f>
        <v>20766</v>
      </c>
      <c r="Y98" s="40">
        <f>VLOOKUP(A98,kurspris!$A$1:$Q$913,16,FALSE)</f>
        <v>17442</v>
      </c>
      <c r="Z98" s="40">
        <f t="shared" si="31"/>
        <v>8897.9249999999993</v>
      </c>
      <c r="AA98" s="40">
        <f>VLOOKUP(A98,kurspris!$A$1:$Q$913,17,FALSE)</f>
        <v>6000</v>
      </c>
      <c r="AB98" s="40">
        <f t="shared" si="32"/>
        <v>1500</v>
      </c>
      <c r="AC98" s="40">
        <f t="shared" si="33"/>
        <v>10397.924999999999</v>
      </c>
      <c r="AD98" s="31">
        <f>VLOOKUP($A98,kurspris!$A$1:$Q$950,3,FALSE)</f>
        <v>0</v>
      </c>
      <c r="AE98" s="31">
        <f>VLOOKUP($A98,kurspris!$A$1:$Q$950,4,FALSE)</f>
        <v>1</v>
      </c>
      <c r="AF98" s="31">
        <f>VLOOKUP($A98,kurspris!$A$1:$Q$950,5,FALSE)</f>
        <v>0</v>
      </c>
      <c r="AG98" s="31">
        <f>VLOOKUP($A98,kurspris!$A$1:$Q$950,6,FALSE)</f>
        <v>0</v>
      </c>
      <c r="AH98" s="31">
        <f>VLOOKUP($A98,kurspris!$A$1:$Q$950,7,FALSE)</f>
        <v>0</v>
      </c>
      <c r="AI98" s="31">
        <f>VLOOKUP($A98,kurspris!$A$1:$Q$950,8,FALSE)</f>
        <v>0</v>
      </c>
      <c r="AJ98" s="31">
        <f>VLOOKUP($A98,kurspris!$A$1:$Q$950,9,FALSE)</f>
        <v>0</v>
      </c>
      <c r="AK98" s="31">
        <f>VLOOKUP($A98,kurspris!$A$1:$Q$950,10,FALSE)</f>
        <v>0</v>
      </c>
      <c r="AL98" s="31">
        <f>VLOOKUP($A98,kurspris!$A$1:$Q$950,11,FALSE)</f>
        <v>0</v>
      </c>
      <c r="AM98" s="31">
        <f>VLOOKUP($A98,kurspris!$A$1:$Q$950,12,FALSE)</f>
        <v>0</v>
      </c>
      <c r="AN98" s="31">
        <f>VLOOKUP($A98,kurspris!$A$1:$Q$950,13,FALSE)</f>
        <v>0</v>
      </c>
      <c r="AO98" s="31">
        <f>VLOOKUP($A98,kurspris!$A$1:$Q$950,14,FALSE)</f>
        <v>0</v>
      </c>
      <c r="AP98" s="57" t="s">
        <v>2506</v>
      </c>
      <c r="AQ98" t="s">
        <v>2311</v>
      </c>
      <c r="AR98" s="31">
        <f t="shared" si="34"/>
        <v>0</v>
      </c>
      <c r="AS98" s="219">
        <f t="shared" si="35"/>
        <v>0</v>
      </c>
      <c r="AT98" s="31">
        <f t="shared" si="36"/>
        <v>0.25</v>
      </c>
      <c r="AU98" s="219">
        <f t="shared" si="37"/>
        <v>0.21249999999999999</v>
      </c>
      <c r="AV98" s="31">
        <f t="shared" si="38"/>
        <v>0</v>
      </c>
      <c r="AW98" s="31">
        <f t="shared" si="39"/>
        <v>0</v>
      </c>
      <c r="AX98" s="31">
        <f t="shared" si="40"/>
        <v>0</v>
      </c>
      <c r="AY98" s="219">
        <f t="shared" si="41"/>
        <v>0</v>
      </c>
      <c r="AZ98" s="196">
        <f t="shared" si="42"/>
        <v>0</v>
      </c>
      <c r="BA98" s="219">
        <f t="shared" si="43"/>
        <v>0</v>
      </c>
      <c r="BB98" s="31">
        <f t="shared" si="44"/>
        <v>0</v>
      </c>
      <c r="BC98" s="219">
        <f t="shared" si="45"/>
        <v>0</v>
      </c>
      <c r="BD98" s="31">
        <f t="shared" si="46"/>
        <v>0</v>
      </c>
      <c r="BE98" s="219">
        <f t="shared" si="47"/>
        <v>0</v>
      </c>
      <c r="BF98" s="31">
        <f t="shared" si="48"/>
        <v>0</v>
      </c>
      <c r="BG98" s="219">
        <f t="shared" si="49"/>
        <v>0</v>
      </c>
      <c r="BH98" s="31">
        <f t="shared" si="50"/>
        <v>0</v>
      </c>
      <c r="BI98" s="219">
        <f t="shared" si="51"/>
        <v>0</v>
      </c>
      <c r="BJ98" s="31">
        <f t="shared" si="52"/>
        <v>0</v>
      </c>
      <c r="BK98" s="219">
        <f t="shared" si="53"/>
        <v>0</v>
      </c>
      <c r="BL98" s="31">
        <f t="shared" si="54"/>
        <v>0</v>
      </c>
      <c r="BM98" s="219">
        <f t="shared" si="55"/>
        <v>0</v>
      </c>
      <c r="BN98" s="31">
        <f t="shared" si="56"/>
        <v>0</v>
      </c>
      <c r="BO98" s="219">
        <f t="shared" si="57"/>
        <v>0</v>
      </c>
    </row>
    <row r="99" spans="1:67" x14ac:dyDescent="0.25">
      <c r="A99" s="31" t="s">
        <v>563</v>
      </c>
      <c r="B99" s="176" t="str">
        <f>VLOOKUP(A99,kurspris!$A$1:$B$992,2,FALSE)</f>
        <v>Bild 2a, distans</v>
      </c>
      <c r="D99" s="31" t="s">
        <v>117</v>
      </c>
      <c r="F99" s="31" t="s">
        <v>2273</v>
      </c>
      <c r="I99" s="31" t="s">
        <v>2275</v>
      </c>
      <c r="L99" s="38">
        <v>0.5</v>
      </c>
      <c r="M99" s="325">
        <v>15</v>
      </c>
      <c r="P99" s="31">
        <v>12</v>
      </c>
      <c r="Q99" s="196">
        <f>(M99/60)*P99</f>
        <v>3</v>
      </c>
      <c r="R99" s="38">
        <v>0.8</v>
      </c>
      <c r="S99" s="280">
        <f t="shared" si="30"/>
        <v>2.4000000000000004</v>
      </c>
      <c r="T99" s="31">
        <f>VLOOKUP(A99,'Ansvar kurs'!$A$1:$C$1123,2,FALSE)</f>
        <v>1650</v>
      </c>
      <c r="U99" s="31" t="str">
        <f>VLOOKUP(T99,Orgenheter!$A$1:$C$166,2,FALSE)</f>
        <v xml:space="preserve">Estetiska ämnen               </v>
      </c>
      <c r="V99" s="31" t="str">
        <f>VLOOKUP(T99,Orgenheter!$A$1:$C$166,3,FALSE)</f>
        <v>Hum</v>
      </c>
      <c r="W99" s="35" t="str">
        <f>VLOOKUP(D99,Program!$A$1:$B$36,2,FALSE)</f>
        <v>Fristående och övriga kurser</v>
      </c>
      <c r="X99" s="40">
        <f>VLOOKUP(A99,kurspris!$A$1:$Q$913,15,FALSE)</f>
        <v>51362</v>
      </c>
      <c r="Y99" s="40">
        <f>VLOOKUP(A99,kurspris!$A$1:$Q$913,16,FALSE)</f>
        <v>59096</v>
      </c>
      <c r="Z99" s="40">
        <f t="shared" si="31"/>
        <v>295916.40000000002</v>
      </c>
      <c r="AA99" s="40">
        <f>VLOOKUP(A99,kurspris!$A$1:$Q$913,17,FALSE)</f>
        <v>71500</v>
      </c>
      <c r="AB99" s="40">
        <f t="shared" si="32"/>
        <v>214500</v>
      </c>
      <c r="AC99" s="40">
        <f t="shared" si="33"/>
        <v>510416.4</v>
      </c>
      <c r="AD99" s="31">
        <f>VLOOKUP($A99,kurspris!$A$1:$Q$950,3,FALSE)</f>
        <v>1</v>
      </c>
      <c r="AE99" s="31">
        <f>VLOOKUP($A99,kurspris!$A$1:$Q$950,4,FALSE)</f>
        <v>0</v>
      </c>
      <c r="AF99" s="31">
        <f>VLOOKUP($A99,kurspris!$A$1:$Q$950,5,FALSE)</f>
        <v>0</v>
      </c>
      <c r="AG99" s="31">
        <f>VLOOKUP($A99,kurspris!$A$1:$Q$950,6,FALSE)</f>
        <v>0</v>
      </c>
      <c r="AH99" s="31">
        <f>VLOOKUP($A99,kurspris!$A$1:$Q$950,7,FALSE)</f>
        <v>0</v>
      </c>
      <c r="AI99" s="31">
        <f>VLOOKUP($A99,kurspris!$A$1:$Q$950,8,FALSE)</f>
        <v>0</v>
      </c>
      <c r="AJ99" s="31">
        <f>VLOOKUP($A99,kurspris!$A$1:$Q$950,9,FALSE)</f>
        <v>0</v>
      </c>
      <c r="AK99" s="31">
        <f>VLOOKUP($A99,kurspris!$A$1:$Q$950,10,FALSE)</f>
        <v>0</v>
      </c>
      <c r="AL99" s="31">
        <f>VLOOKUP($A99,kurspris!$A$1:$Q$950,11,FALSE)</f>
        <v>0</v>
      </c>
      <c r="AM99" s="31">
        <f>VLOOKUP($A99,kurspris!$A$1:$Q$950,12,FALSE)</f>
        <v>0</v>
      </c>
      <c r="AN99" s="31">
        <f>VLOOKUP($A99,kurspris!$A$1:$Q$950,13,FALSE)</f>
        <v>0</v>
      </c>
      <c r="AO99" s="31">
        <f>VLOOKUP($A99,kurspris!$A$1:$Q$950,14,FALSE)</f>
        <v>0</v>
      </c>
      <c r="AP99" s="57" t="s">
        <v>2267</v>
      </c>
      <c r="AQ99"/>
      <c r="AR99" s="31">
        <f t="shared" si="34"/>
        <v>3</v>
      </c>
      <c r="AS99" s="219">
        <f t="shared" si="35"/>
        <v>2.4000000000000004</v>
      </c>
      <c r="AT99" s="31">
        <f t="shared" si="36"/>
        <v>0</v>
      </c>
      <c r="AU99" s="219">
        <f t="shared" si="37"/>
        <v>0</v>
      </c>
      <c r="AV99" s="31">
        <f t="shared" si="38"/>
        <v>0</v>
      </c>
      <c r="AW99" s="31">
        <f t="shared" si="39"/>
        <v>0</v>
      </c>
      <c r="AX99" s="31">
        <f t="shared" si="40"/>
        <v>0</v>
      </c>
      <c r="AY99" s="219">
        <f t="shared" si="41"/>
        <v>0</v>
      </c>
      <c r="AZ99" s="196">
        <f t="shared" si="42"/>
        <v>0</v>
      </c>
      <c r="BA99" s="219">
        <f t="shared" si="43"/>
        <v>0</v>
      </c>
      <c r="BB99" s="31">
        <f t="shared" si="44"/>
        <v>0</v>
      </c>
      <c r="BC99" s="219">
        <f t="shared" si="45"/>
        <v>0</v>
      </c>
      <c r="BD99" s="31">
        <f t="shared" si="46"/>
        <v>0</v>
      </c>
      <c r="BE99" s="219">
        <f t="shared" si="47"/>
        <v>0</v>
      </c>
      <c r="BF99" s="31">
        <f t="shared" si="48"/>
        <v>0</v>
      </c>
      <c r="BG99" s="219">
        <f t="shared" si="49"/>
        <v>0</v>
      </c>
      <c r="BH99" s="31">
        <f t="shared" si="50"/>
        <v>0</v>
      </c>
      <c r="BI99" s="219">
        <f t="shared" si="51"/>
        <v>0</v>
      </c>
      <c r="BJ99" s="31">
        <f t="shared" si="52"/>
        <v>0</v>
      </c>
      <c r="BK99" s="219">
        <f t="shared" si="53"/>
        <v>0</v>
      </c>
      <c r="BL99" s="31">
        <f t="shared" si="54"/>
        <v>0</v>
      </c>
      <c r="BM99" s="219">
        <f t="shared" si="55"/>
        <v>0</v>
      </c>
      <c r="BN99" s="31">
        <f t="shared" si="56"/>
        <v>0</v>
      </c>
      <c r="BO99" s="219">
        <f t="shared" si="57"/>
        <v>0</v>
      </c>
    </row>
    <row r="100" spans="1:67" x14ac:dyDescent="0.25">
      <c r="A100" s="31" t="s">
        <v>1342</v>
      </c>
      <c r="B100" s="176" t="str">
        <f>VLOOKUP(A100,kurspris!$A$1:$B$992,2,FALSE)</f>
        <v>Ämnesdidaktik i skolpraktiken, del 1</v>
      </c>
      <c r="C100" s="31">
        <v>66310</v>
      </c>
      <c r="D100" s="60" t="s">
        <v>625</v>
      </c>
      <c r="E100" s="60"/>
      <c r="F100" s="57" t="s">
        <v>2274</v>
      </c>
      <c r="H100" s="31" t="s">
        <v>2335</v>
      </c>
      <c r="I100" s="31" t="s">
        <v>2399</v>
      </c>
      <c r="J100" s="31" t="s">
        <v>2251</v>
      </c>
      <c r="L100" s="38"/>
      <c r="M100">
        <v>15</v>
      </c>
      <c r="P100" s="31">
        <v>12</v>
      </c>
      <c r="Q100" s="539">
        <v>3</v>
      </c>
      <c r="R100" s="38">
        <v>0.85</v>
      </c>
      <c r="S100" s="280">
        <f t="shared" si="30"/>
        <v>2.5499999999999998</v>
      </c>
      <c r="T100" s="31">
        <f>VLOOKUP(A100,'Ansvar kurs'!$A$1:$C$1123,2,FALSE)</f>
        <v>1650</v>
      </c>
      <c r="U100" s="31" t="str">
        <f>VLOOKUP(T100,Orgenheter!$A$1:$C$166,2,FALSE)</f>
        <v xml:space="preserve">Estetiska ämnen               </v>
      </c>
      <c r="V100" s="31" t="str">
        <f>VLOOKUP(T100,Orgenheter!$A$1:$C$166,3,FALSE)</f>
        <v>Hum</v>
      </c>
      <c r="W100" s="35" t="str">
        <f>VLOOKUP(D100,Program!$A$1:$B$36,2,FALSE)</f>
        <v>KPU - åk 7-9</v>
      </c>
      <c r="X100" s="40">
        <f>VLOOKUP(A100,kurspris!$A$1:$Q$913,15,FALSE)</f>
        <v>25235</v>
      </c>
      <c r="Y100" s="40">
        <f>VLOOKUP(A100,kurspris!$A$1:$Q$913,16,FALSE)</f>
        <v>27976</v>
      </c>
      <c r="Z100" s="40">
        <f t="shared" si="31"/>
        <v>147043.79999999999</v>
      </c>
      <c r="AA100" s="40">
        <f>VLOOKUP(A100,kurspris!$A$1:$Q$913,17,FALSE)</f>
        <v>3600</v>
      </c>
      <c r="AB100" s="40">
        <f t="shared" si="32"/>
        <v>10800</v>
      </c>
      <c r="AC100" s="40">
        <f t="shared" si="33"/>
        <v>157843.79999999999</v>
      </c>
      <c r="AD100" s="31">
        <f>VLOOKUP($A100,kurspris!$A$1:$Q$950,3,FALSE)</f>
        <v>0</v>
      </c>
      <c r="AE100" s="31">
        <f>VLOOKUP($A100,kurspris!$A$1:$Q$950,4,FALSE)</f>
        <v>0</v>
      </c>
      <c r="AF100" s="31">
        <f>VLOOKUP($A100,kurspris!$A$1:$Q$950,5,FALSE)</f>
        <v>0</v>
      </c>
      <c r="AG100" s="31">
        <f>VLOOKUP($A100,kurspris!$A$1:$Q$950,6,FALSE)</f>
        <v>0</v>
      </c>
      <c r="AH100" s="31">
        <f>VLOOKUP($A100,kurspris!$A$1:$Q$950,7,FALSE)</f>
        <v>0</v>
      </c>
      <c r="AI100" s="31">
        <f>VLOOKUP($A100,kurspris!$A$1:$Q$950,8,FALSE)</f>
        <v>0</v>
      </c>
      <c r="AJ100" s="31">
        <f>VLOOKUP($A100,kurspris!$A$1:$Q$950,9,FALSE)</f>
        <v>0</v>
      </c>
      <c r="AK100" s="31">
        <f>VLOOKUP($A100,kurspris!$A$1:$Q$950,10,FALSE)</f>
        <v>0</v>
      </c>
      <c r="AL100" s="31">
        <f>VLOOKUP($A100,kurspris!$A$1:$Q$950,11,FALSE)</f>
        <v>1</v>
      </c>
      <c r="AM100" s="31">
        <f>VLOOKUP($A100,kurspris!$A$1:$Q$950,12,FALSE)</f>
        <v>0</v>
      </c>
      <c r="AN100" s="31">
        <f>VLOOKUP($A100,kurspris!$A$1:$Q$950,13,FALSE)</f>
        <v>0</v>
      </c>
      <c r="AO100" s="31">
        <f>VLOOKUP($A100,kurspris!$A$1:$Q$950,14,FALSE)</f>
        <v>0</v>
      </c>
      <c r="AP100" s="57" t="s">
        <v>2402</v>
      </c>
      <c r="AQ100"/>
      <c r="AR100" s="31">
        <f t="shared" si="34"/>
        <v>0</v>
      </c>
      <c r="AS100" s="219">
        <f t="shared" si="35"/>
        <v>0</v>
      </c>
      <c r="AT100" s="31">
        <f t="shared" si="36"/>
        <v>0</v>
      </c>
      <c r="AU100" s="219">
        <f t="shared" si="37"/>
        <v>0</v>
      </c>
      <c r="AV100" s="31">
        <f t="shared" si="38"/>
        <v>0</v>
      </c>
      <c r="AW100" s="31">
        <f t="shared" si="39"/>
        <v>0</v>
      </c>
      <c r="AX100" s="31">
        <f t="shared" si="40"/>
        <v>0</v>
      </c>
      <c r="AY100" s="219">
        <f t="shared" si="41"/>
        <v>0</v>
      </c>
      <c r="AZ100" s="196">
        <f t="shared" si="42"/>
        <v>0</v>
      </c>
      <c r="BA100" s="219">
        <f t="shared" si="43"/>
        <v>0</v>
      </c>
      <c r="BB100" s="31">
        <f t="shared" si="44"/>
        <v>0</v>
      </c>
      <c r="BC100" s="219">
        <f t="shared" si="45"/>
        <v>0</v>
      </c>
      <c r="BD100" s="31">
        <f t="shared" si="46"/>
        <v>0</v>
      </c>
      <c r="BE100" s="219">
        <f t="shared" si="47"/>
        <v>0</v>
      </c>
      <c r="BF100" s="31">
        <f t="shared" si="48"/>
        <v>0</v>
      </c>
      <c r="BG100" s="219">
        <f t="shared" si="49"/>
        <v>0</v>
      </c>
      <c r="BH100" s="31">
        <f t="shared" si="50"/>
        <v>3</v>
      </c>
      <c r="BI100" s="219">
        <f t="shared" si="51"/>
        <v>2.5499999999999998</v>
      </c>
      <c r="BJ100" s="31">
        <f t="shared" si="52"/>
        <v>0</v>
      </c>
      <c r="BK100" s="219">
        <f t="shared" si="53"/>
        <v>0</v>
      </c>
      <c r="BL100" s="31">
        <f t="shared" si="54"/>
        <v>0</v>
      </c>
      <c r="BM100" s="219">
        <f t="shared" si="55"/>
        <v>0</v>
      </c>
      <c r="BN100" s="31">
        <f t="shared" si="56"/>
        <v>0</v>
      </c>
      <c r="BO100" s="219">
        <f t="shared" si="57"/>
        <v>0</v>
      </c>
    </row>
    <row r="101" spans="1:67" x14ac:dyDescent="0.25">
      <c r="A101" s="31" t="s">
        <v>1342</v>
      </c>
      <c r="B101" s="176" t="str">
        <f>VLOOKUP(A101,kurspris!$A$1:$B$992,2,FALSE)</f>
        <v>Ämnesdidaktik i skolpraktiken, del 1</v>
      </c>
      <c r="C101" s="31">
        <v>66310</v>
      </c>
      <c r="D101" s="60" t="s">
        <v>625</v>
      </c>
      <c r="E101" s="60"/>
      <c r="F101" s="57" t="s">
        <v>2274</v>
      </c>
      <c r="H101" s="31" t="s">
        <v>2335</v>
      </c>
      <c r="I101" s="31" t="s">
        <v>2399</v>
      </c>
      <c r="L101" s="38"/>
      <c r="M101">
        <v>15</v>
      </c>
      <c r="P101" s="31">
        <v>1</v>
      </c>
      <c r="Q101" s="539">
        <v>0.25</v>
      </c>
      <c r="R101" s="38">
        <v>0.85</v>
      </c>
      <c r="S101" s="280">
        <f t="shared" si="30"/>
        <v>0.21249999999999999</v>
      </c>
      <c r="T101" s="31">
        <f>VLOOKUP(A101,'Ansvar kurs'!$A$1:$C$1123,2,FALSE)</f>
        <v>1650</v>
      </c>
      <c r="U101" s="31" t="str">
        <f>VLOOKUP(T101,Orgenheter!$A$1:$C$166,2,FALSE)</f>
        <v xml:space="preserve">Estetiska ämnen               </v>
      </c>
      <c r="V101" s="31" t="str">
        <f>VLOOKUP(T101,Orgenheter!$A$1:$C$166,3,FALSE)</f>
        <v>Hum</v>
      </c>
      <c r="W101" s="35" t="str">
        <f>VLOOKUP(D101,Program!$A$1:$B$36,2,FALSE)</f>
        <v>KPU - åk 7-9</v>
      </c>
      <c r="X101" s="40">
        <f>VLOOKUP(A101,kurspris!$A$1:$Q$913,15,FALSE)</f>
        <v>25235</v>
      </c>
      <c r="Y101" s="40">
        <f>VLOOKUP(A101,kurspris!$A$1:$Q$913,16,FALSE)</f>
        <v>27976</v>
      </c>
      <c r="Z101" s="40">
        <f t="shared" si="31"/>
        <v>12253.65</v>
      </c>
      <c r="AA101" s="40">
        <f>VLOOKUP(A101,kurspris!$A$1:$Q$913,17,FALSE)</f>
        <v>3600</v>
      </c>
      <c r="AB101" s="40">
        <f t="shared" si="32"/>
        <v>900</v>
      </c>
      <c r="AC101" s="40">
        <f t="shared" si="33"/>
        <v>13153.65</v>
      </c>
      <c r="AD101" s="31">
        <f>VLOOKUP($A101,kurspris!$A$1:$Q$950,3,FALSE)</f>
        <v>0</v>
      </c>
      <c r="AE101" s="31">
        <f>VLOOKUP($A101,kurspris!$A$1:$Q$950,4,FALSE)</f>
        <v>0</v>
      </c>
      <c r="AF101" s="31">
        <f>VLOOKUP($A101,kurspris!$A$1:$Q$950,5,FALSE)</f>
        <v>0</v>
      </c>
      <c r="AG101" s="31">
        <f>VLOOKUP($A101,kurspris!$A$1:$Q$950,6,FALSE)</f>
        <v>0</v>
      </c>
      <c r="AH101" s="31">
        <f>VLOOKUP($A101,kurspris!$A$1:$Q$950,7,FALSE)</f>
        <v>0</v>
      </c>
      <c r="AI101" s="31">
        <f>VLOOKUP($A101,kurspris!$A$1:$Q$950,8,FALSE)</f>
        <v>0</v>
      </c>
      <c r="AJ101" s="31">
        <f>VLOOKUP($A101,kurspris!$A$1:$Q$950,9,FALSE)</f>
        <v>0</v>
      </c>
      <c r="AK101" s="31">
        <f>VLOOKUP($A101,kurspris!$A$1:$Q$950,10,FALSE)</f>
        <v>0</v>
      </c>
      <c r="AL101" s="31">
        <f>VLOOKUP($A101,kurspris!$A$1:$Q$950,11,FALSE)</f>
        <v>1</v>
      </c>
      <c r="AM101" s="31">
        <f>VLOOKUP($A101,kurspris!$A$1:$Q$950,12,FALSE)</f>
        <v>0</v>
      </c>
      <c r="AN101" s="31">
        <f>VLOOKUP($A101,kurspris!$A$1:$Q$950,13,FALSE)</f>
        <v>0</v>
      </c>
      <c r="AO101" s="31">
        <f>VLOOKUP($A101,kurspris!$A$1:$Q$950,14,FALSE)</f>
        <v>0</v>
      </c>
      <c r="AP101" s="57" t="s">
        <v>2402</v>
      </c>
      <c r="AQ101"/>
      <c r="AR101" s="31">
        <f t="shared" si="34"/>
        <v>0</v>
      </c>
      <c r="AS101" s="219">
        <f t="shared" si="35"/>
        <v>0</v>
      </c>
      <c r="AT101" s="31">
        <f t="shared" si="36"/>
        <v>0</v>
      </c>
      <c r="AU101" s="219">
        <f t="shared" si="37"/>
        <v>0</v>
      </c>
      <c r="AV101" s="31">
        <f t="shared" si="38"/>
        <v>0</v>
      </c>
      <c r="AW101" s="31">
        <f t="shared" si="39"/>
        <v>0</v>
      </c>
      <c r="AX101" s="31">
        <f t="shared" si="40"/>
        <v>0</v>
      </c>
      <c r="AY101" s="219">
        <f t="shared" si="41"/>
        <v>0</v>
      </c>
      <c r="AZ101" s="196">
        <f t="shared" si="42"/>
        <v>0</v>
      </c>
      <c r="BA101" s="219">
        <f t="shared" si="43"/>
        <v>0</v>
      </c>
      <c r="BB101" s="31">
        <f t="shared" si="44"/>
        <v>0</v>
      </c>
      <c r="BC101" s="219">
        <f t="shared" si="45"/>
        <v>0</v>
      </c>
      <c r="BD101" s="31">
        <f t="shared" si="46"/>
        <v>0</v>
      </c>
      <c r="BE101" s="219">
        <f t="shared" si="47"/>
        <v>0</v>
      </c>
      <c r="BF101" s="31">
        <f t="shared" si="48"/>
        <v>0</v>
      </c>
      <c r="BG101" s="219">
        <f t="shared" si="49"/>
        <v>0</v>
      </c>
      <c r="BH101" s="31">
        <f t="shared" si="50"/>
        <v>0.25</v>
      </c>
      <c r="BI101" s="219">
        <f t="shared" si="51"/>
        <v>0.21249999999999999</v>
      </c>
      <c r="BJ101" s="31">
        <f t="shared" si="52"/>
        <v>0</v>
      </c>
      <c r="BK101" s="219">
        <f t="shared" si="53"/>
        <v>0</v>
      </c>
      <c r="BL101" s="31">
        <f t="shared" si="54"/>
        <v>0</v>
      </c>
      <c r="BM101" s="219">
        <f t="shared" si="55"/>
        <v>0</v>
      </c>
      <c r="BN101" s="31">
        <f t="shared" si="56"/>
        <v>0</v>
      </c>
      <c r="BO101" s="219">
        <f t="shared" si="57"/>
        <v>0</v>
      </c>
    </row>
    <row r="102" spans="1:67" x14ac:dyDescent="0.25">
      <c r="A102" s="31" t="s">
        <v>1342</v>
      </c>
      <c r="B102" s="176" t="str">
        <f>VLOOKUP(A102,kurspris!$A$1:$B$992,2,FALSE)</f>
        <v>Ämnesdidaktik i skolpraktiken, del 1</v>
      </c>
      <c r="C102" s="31">
        <v>66310</v>
      </c>
      <c r="D102" s="60" t="s">
        <v>626</v>
      </c>
      <c r="E102" s="60"/>
      <c r="F102" s="57" t="s">
        <v>2274</v>
      </c>
      <c r="H102" s="31" t="s">
        <v>2335</v>
      </c>
      <c r="I102" s="31" t="s">
        <v>2399</v>
      </c>
      <c r="J102" s="31" t="s">
        <v>2252</v>
      </c>
      <c r="L102" s="38"/>
      <c r="M102">
        <v>15</v>
      </c>
      <c r="P102" s="31">
        <v>4</v>
      </c>
      <c r="Q102" s="539">
        <v>1</v>
      </c>
      <c r="R102" s="38">
        <v>0.85</v>
      </c>
      <c r="S102" s="280">
        <f t="shared" si="30"/>
        <v>0.85</v>
      </c>
      <c r="T102" s="31">
        <f>VLOOKUP(A102,'Ansvar kurs'!$A$1:$C$1123,2,FALSE)</f>
        <v>1650</v>
      </c>
      <c r="U102" s="31" t="str">
        <f>VLOOKUP(T102,Orgenheter!$A$1:$C$166,2,FALSE)</f>
        <v xml:space="preserve">Estetiska ämnen               </v>
      </c>
      <c r="V102" s="31" t="str">
        <f>VLOOKUP(T102,Orgenheter!$A$1:$C$166,3,FALSE)</f>
        <v>Hum</v>
      </c>
      <c r="W102" s="35" t="str">
        <f>VLOOKUP(D102,Program!$A$1:$B$36,2,FALSE)</f>
        <v>KPU - Gy</v>
      </c>
      <c r="X102" s="40">
        <f>VLOOKUP(A102,kurspris!$A$1:$Q$913,15,FALSE)</f>
        <v>25235</v>
      </c>
      <c r="Y102" s="40">
        <f>VLOOKUP(A102,kurspris!$A$1:$Q$913,16,FALSE)</f>
        <v>27976</v>
      </c>
      <c r="Z102" s="40">
        <f t="shared" si="31"/>
        <v>49014.6</v>
      </c>
      <c r="AA102" s="40">
        <f>VLOOKUP(A102,kurspris!$A$1:$Q$913,17,FALSE)</f>
        <v>3600</v>
      </c>
      <c r="AB102" s="40">
        <f t="shared" si="32"/>
        <v>3600</v>
      </c>
      <c r="AC102" s="40">
        <f t="shared" si="33"/>
        <v>52614.6</v>
      </c>
      <c r="AD102" s="31">
        <f>VLOOKUP($A102,kurspris!$A$1:$Q$950,3,FALSE)</f>
        <v>0</v>
      </c>
      <c r="AE102" s="31">
        <f>VLOOKUP($A102,kurspris!$A$1:$Q$950,4,FALSE)</f>
        <v>0</v>
      </c>
      <c r="AF102" s="31">
        <f>VLOOKUP($A102,kurspris!$A$1:$Q$950,5,FALSE)</f>
        <v>0</v>
      </c>
      <c r="AG102" s="31">
        <f>VLOOKUP($A102,kurspris!$A$1:$Q$950,6,FALSE)</f>
        <v>0</v>
      </c>
      <c r="AH102" s="31">
        <f>VLOOKUP($A102,kurspris!$A$1:$Q$950,7,FALSE)</f>
        <v>0</v>
      </c>
      <c r="AI102" s="31">
        <f>VLOOKUP($A102,kurspris!$A$1:$Q$950,8,FALSE)</f>
        <v>0</v>
      </c>
      <c r="AJ102" s="31">
        <f>VLOOKUP($A102,kurspris!$A$1:$Q$950,9,FALSE)</f>
        <v>0</v>
      </c>
      <c r="AK102" s="31">
        <f>VLOOKUP($A102,kurspris!$A$1:$Q$950,10,FALSE)</f>
        <v>0</v>
      </c>
      <c r="AL102" s="31">
        <f>VLOOKUP($A102,kurspris!$A$1:$Q$950,11,FALSE)</f>
        <v>1</v>
      </c>
      <c r="AM102" s="31">
        <f>VLOOKUP($A102,kurspris!$A$1:$Q$950,12,FALSE)</f>
        <v>0</v>
      </c>
      <c r="AN102" s="31">
        <f>VLOOKUP($A102,kurspris!$A$1:$Q$950,13,FALSE)</f>
        <v>0</v>
      </c>
      <c r="AO102" s="31">
        <f>VLOOKUP($A102,kurspris!$A$1:$Q$950,14,FALSE)</f>
        <v>0</v>
      </c>
      <c r="AP102" s="57" t="s">
        <v>2402</v>
      </c>
      <c r="AQ102"/>
      <c r="AR102" s="31">
        <f t="shared" si="34"/>
        <v>0</v>
      </c>
      <c r="AS102" s="219">
        <f t="shared" si="35"/>
        <v>0</v>
      </c>
      <c r="AT102" s="31">
        <f t="shared" si="36"/>
        <v>0</v>
      </c>
      <c r="AU102" s="219">
        <f t="shared" si="37"/>
        <v>0</v>
      </c>
      <c r="AV102" s="31">
        <f t="shared" si="38"/>
        <v>0</v>
      </c>
      <c r="AW102" s="31">
        <f t="shared" si="39"/>
        <v>0</v>
      </c>
      <c r="AX102" s="31">
        <f t="shared" si="40"/>
        <v>0</v>
      </c>
      <c r="AY102" s="219">
        <f t="shared" si="41"/>
        <v>0</v>
      </c>
      <c r="AZ102" s="196">
        <f t="shared" si="42"/>
        <v>0</v>
      </c>
      <c r="BA102" s="219">
        <f t="shared" si="43"/>
        <v>0</v>
      </c>
      <c r="BB102" s="31">
        <f t="shared" si="44"/>
        <v>0</v>
      </c>
      <c r="BC102" s="219">
        <f t="shared" si="45"/>
        <v>0</v>
      </c>
      <c r="BD102" s="31">
        <f t="shared" si="46"/>
        <v>0</v>
      </c>
      <c r="BE102" s="219">
        <f t="shared" si="47"/>
        <v>0</v>
      </c>
      <c r="BF102" s="31">
        <f t="shared" si="48"/>
        <v>0</v>
      </c>
      <c r="BG102" s="219">
        <f t="shared" si="49"/>
        <v>0</v>
      </c>
      <c r="BH102" s="31">
        <f t="shared" si="50"/>
        <v>1</v>
      </c>
      <c r="BI102" s="219">
        <f t="shared" si="51"/>
        <v>0.85</v>
      </c>
      <c r="BJ102" s="31">
        <f t="shared" si="52"/>
        <v>0</v>
      </c>
      <c r="BK102" s="219">
        <f t="shared" si="53"/>
        <v>0</v>
      </c>
      <c r="BL102" s="31">
        <f t="shared" si="54"/>
        <v>0</v>
      </c>
      <c r="BM102" s="219">
        <f t="shared" si="55"/>
        <v>0</v>
      </c>
      <c r="BN102" s="31">
        <f t="shared" si="56"/>
        <v>0</v>
      </c>
      <c r="BO102" s="219">
        <f t="shared" si="57"/>
        <v>0</v>
      </c>
    </row>
    <row r="103" spans="1:67" x14ac:dyDescent="0.25">
      <c r="A103" s="31" t="s">
        <v>1342</v>
      </c>
      <c r="B103" s="176" t="str">
        <f>VLOOKUP(A103,kurspris!$A$1:$B$992,2,FALSE)</f>
        <v>Ämnesdidaktik i skolpraktiken, del 1</v>
      </c>
      <c r="C103" s="31">
        <v>66310</v>
      </c>
      <c r="D103" s="60" t="s">
        <v>84</v>
      </c>
      <c r="E103" s="60"/>
      <c r="F103" s="57" t="s">
        <v>2274</v>
      </c>
      <c r="H103" s="31" t="s">
        <v>2335</v>
      </c>
      <c r="I103" s="31" t="s">
        <v>2399</v>
      </c>
      <c r="L103" s="38"/>
      <c r="M103">
        <v>15</v>
      </c>
      <c r="P103" s="31">
        <v>1</v>
      </c>
      <c r="Q103" s="539">
        <v>0.25</v>
      </c>
      <c r="R103" s="38">
        <v>0.85</v>
      </c>
      <c r="S103" s="280">
        <f t="shared" si="30"/>
        <v>0.21249999999999999</v>
      </c>
      <c r="T103" s="31">
        <f>VLOOKUP(A103,'Ansvar kurs'!$A$1:$C$1123,2,FALSE)</f>
        <v>1650</v>
      </c>
      <c r="U103" s="31" t="str">
        <f>VLOOKUP(T103,Orgenheter!$A$1:$C$166,2,FALSE)</f>
        <v xml:space="preserve">Estetiska ämnen               </v>
      </c>
      <c r="V103" s="31" t="str">
        <f>VLOOKUP(T103,Orgenheter!$A$1:$C$166,3,FALSE)</f>
        <v>Hum</v>
      </c>
      <c r="W103" s="35" t="str">
        <f>VLOOKUP(D103,Program!$A$1:$B$36,2,FALSE)</f>
        <v>VAL-projektet</v>
      </c>
      <c r="X103" s="40">
        <f>VLOOKUP(A103,kurspris!$A$1:$Q$913,15,FALSE)</f>
        <v>25235</v>
      </c>
      <c r="Y103" s="40">
        <f>VLOOKUP(A103,kurspris!$A$1:$Q$913,16,FALSE)</f>
        <v>27976</v>
      </c>
      <c r="Z103" s="40">
        <f t="shared" si="31"/>
        <v>12253.65</v>
      </c>
      <c r="AA103" s="40">
        <f>VLOOKUP(A103,kurspris!$A$1:$Q$913,17,FALSE)</f>
        <v>3600</v>
      </c>
      <c r="AB103" s="40">
        <f t="shared" si="32"/>
        <v>900</v>
      </c>
      <c r="AC103" s="40">
        <f t="shared" si="33"/>
        <v>13153.65</v>
      </c>
      <c r="AD103" s="31">
        <f>VLOOKUP($A103,kurspris!$A$1:$Q$950,3,FALSE)</f>
        <v>0</v>
      </c>
      <c r="AE103" s="31">
        <f>VLOOKUP($A103,kurspris!$A$1:$Q$950,4,FALSE)</f>
        <v>0</v>
      </c>
      <c r="AF103" s="31">
        <f>VLOOKUP($A103,kurspris!$A$1:$Q$950,5,FALSE)</f>
        <v>0</v>
      </c>
      <c r="AG103" s="31">
        <f>VLOOKUP($A103,kurspris!$A$1:$Q$950,6,FALSE)</f>
        <v>0</v>
      </c>
      <c r="AH103" s="31">
        <f>VLOOKUP($A103,kurspris!$A$1:$Q$950,7,FALSE)</f>
        <v>0</v>
      </c>
      <c r="AI103" s="31">
        <f>VLOOKUP($A103,kurspris!$A$1:$Q$950,8,FALSE)</f>
        <v>0</v>
      </c>
      <c r="AJ103" s="31">
        <f>VLOOKUP($A103,kurspris!$A$1:$Q$950,9,FALSE)</f>
        <v>0</v>
      </c>
      <c r="AK103" s="31">
        <f>VLOOKUP($A103,kurspris!$A$1:$Q$950,10,FALSE)</f>
        <v>0</v>
      </c>
      <c r="AL103" s="31">
        <f>VLOOKUP($A103,kurspris!$A$1:$Q$950,11,FALSE)</f>
        <v>1</v>
      </c>
      <c r="AM103" s="31">
        <f>VLOOKUP($A103,kurspris!$A$1:$Q$950,12,FALSE)</f>
        <v>0</v>
      </c>
      <c r="AN103" s="31">
        <f>VLOOKUP($A103,kurspris!$A$1:$Q$950,13,FALSE)</f>
        <v>0</v>
      </c>
      <c r="AO103" s="31">
        <f>VLOOKUP($A103,kurspris!$A$1:$Q$950,14,FALSE)</f>
        <v>0</v>
      </c>
      <c r="AP103" s="57" t="s">
        <v>2402</v>
      </c>
      <c r="AQ103"/>
      <c r="AR103" s="31">
        <f t="shared" si="34"/>
        <v>0</v>
      </c>
      <c r="AS103" s="219">
        <f t="shared" si="35"/>
        <v>0</v>
      </c>
      <c r="AT103" s="31">
        <f t="shared" si="36"/>
        <v>0</v>
      </c>
      <c r="AU103" s="219">
        <f t="shared" si="37"/>
        <v>0</v>
      </c>
      <c r="AV103" s="31">
        <f t="shared" si="38"/>
        <v>0</v>
      </c>
      <c r="AW103" s="31">
        <f t="shared" si="39"/>
        <v>0</v>
      </c>
      <c r="AX103" s="31">
        <f t="shared" si="40"/>
        <v>0</v>
      </c>
      <c r="AY103" s="219">
        <f t="shared" si="41"/>
        <v>0</v>
      </c>
      <c r="AZ103" s="196">
        <f t="shared" si="42"/>
        <v>0</v>
      </c>
      <c r="BA103" s="219">
        <f t="shared" si="43"/>
        <v>0</v>
      </c>
      <c r="BB103" s="31">
        <f t="shared" si="44"/>
        <v>0</v>
      </c>
      <c r="BC103" s="219">
        <f t="shared" si="45"/>
        <v>0</v>
      </c>
      <c r="BD103" s="31">
        <f t="shared" si="46"/>
        <v>0</v>
      </c>
      <c r="BE103" s="219">
        <f t="shared" si="47"/>
        <v>0</v>
      </c>
      <c r="BF103" s="31">
        <f t="shared" si="48"/>
        <v>0</v>
      </c>
      <c r="BG103" s="219">
        <f t="shared" si="49"/>
        <v>0</v>
      </c>
      <c r="BH103" s="31">
        <f t="shared" si="50"/>
        <v>0.25</v>
      </c>
      <c r="BI103" s="219">
        <f t="shared" si="51"/>
        <v>0.21249999999999999</v>
      </c>
      <c r="BJ103" s="31">
        <f t="shared" si="52"/>
        <v>0</v>
      </c>
      <c r="BK103" s="219">
        <f t="shared" si="53"/>
        <v>0</v>
      </c>
      <c r="BL103" s="31">
        <f t="shared" si="54"/>
        <v>0</v>
      </c>
      <c r="BM103" s="219">
        <f t="shared" si="55"/>
        <v>0</v>
      </c>
      <c r="BN103" s="31">
        <f t="shared" si="56"/>
        <v>0</v>
      </c>
      <c r="BO103" s="219">
        <f t="shared" si="57"/>
        <v>0</v>
      </c>
    </row>
    <row r="104" spans="1:67" x14ac:dyDescent="0.25">
      <c r="A104" s="31" t="s">
        <v>1343</v>
      </c>
      <c r="B104" s="176" t="str">
        <f>VLOOKUP(A104,kurspris!$A$1:$B$992,2,FALSE)</f>
        <v>Ämnesdidaktik i skolpraktiken, del 2</v>
      </c>
      <c r="D104" s="60" t="s">
        <v>482</v>
      </c>
      <c r="E104" s="576" t="s">
        <v>2434</v>
      </c>
      <c r="F104" s="31" t="s">
        <v>2273</v>
      </c>
      <c r="G104" t="s">
        <v>2458</v>
      </c>
      <c r="H104" t="s">
        <v>2335</v>
      </c>
      <c r="J104" s="31" t="s">
        <v>2507</v>
      </c>
      <c r="L104" s="38">
        <v>0.5</v>
      </c>
      <c r="M104">
        <v>15</v>
      </c>
      <c r="P104" s="31">
        <v>1</v>
      </c>
      <c r="Q104" s="196">
        <f>(M104/60)*P104</f>
        <v>0.25</v>
      </c>
      <c r="R104" s="38">
        <v>0.85</v>
      </c>
      <c r="S104" s="280">
        <f t="shared" si="30"/>
        <v>0.21249999999999999</v>
      </c>
      <c r="T104" s="31">
        <f>VLOOKUP(A104,'Ansvar kurs'!$A$1:$C$1123,2,FALSE)</f>
        <v>1650</v>
      </c>
      <c r="U104" s="31" t="str">
        <f>VLOOKUP(T104,Orgenheter!$A$1:$C$166,2,FALSE)</f>
        <v xml:space="preserve">Estetiska ämnen               </v>
      </c>
      <c r="V104" s="31" t="str">
        <f>VLOOKUP(T104,Orgenheter!$A$1:$C$166,3,FALSE)</f>
        <v>Hum</v>
      </c>
      <c r="W104" s="35" t="str">
        <f>VLOOKUP(D104,Program!$A$1:$B$36,2,FALSE)</f>
        <v>Ämneslärarprogrammet - Gy</v>
      </c>
      <c r="X104" s="40">
        <f>VLOOKUP(A104,kurspris!$A$1:$Q$913,15,FALSE)</f>
        <v>25235</v>
      </c>
      <c r="Y104" s="40">
        <f>VLOOKUP(A104,kurspris!$A$1:$Q$913,16,FALSE)</f>
        <v>27976</v>
      </c>
      <c r="Z104" s="40">
        <f t="shared" si="31"/>
        <v>12253.65</v>
      </c>
      <c r="AA104" s="40">
        <f>VLOOKUP(A104,kurspris!$A$1:$Q$913,17,FALSE)</f>
        <v>3600</v>
      </c>
      <c r="AB104" s="40">
        <f t="shared" si="32"/>
        <v>900</v>
      </c>
      <c r="AC104" s="40">
        <f t="shared" si="33"/>
        <v>13153.65</v>
      </c>
      <c r="AD104" s="31">
        <f>VLOOKUP($A104,kurspris!$A$1:$Q$950,3,FALSE)</f>
        <v>0</v>
      </c>
      <c r="AE104" s="31">
        <f>VLOOKUP($A104,kurspris!$A$1:$Q$950,4,FALSE)</f>
        <v>0</v>
      </c>
      <c r="AF104" s="31">
        <f>VLOOKUP($A104,kurspris!$A$1:$Q$950,5,FALSE)</f>
        <v>0</v>
      </c>
      <c r="AG104" s="31">
        <f>VLOOKUP($A104,kurspris!$A$1:$Q$950,6,FALSE)</f>
        <v>0</v>
      </c>
      <c r="AH104" s="31">
        <f>VLOOKUP($A104,kurspris!$A$1:$Q$950,7,FALSE)</f>
        <v>0</v>
      </c>
      <c r="AI104" s="31">
        <f>VLOOKUP($A104,kurspris!$A$1:$Q$950,8,FALSE)</f>
        <v>0</v>
      </c>
      <c r="AJ104" s="31">
        <f>VLOOKUP($A104,kurspris!$A$1:$Q$950,9,FALSE)</f>
        <v>0</v>
      </c>
      <c r="AK104" s="31">
        <f>VLOOKUP($A104,kurspris!$A$1:$Q$950,10,FALSE)</f>
        <v>0</v>
      </c>
      <c r="AL104" s="31">
        <f>VLOOKUP($A104,kurspris!$A$1:$Q$950,11,FALSE)</f>
        <v>1</v>
      </c>
      <c r="AM104" s="31">
        <f>VLOOKUP($A104,kurspris!$A$1:$Q$950,12,FALSE)</f>
        <v>0</v>
      </c>
      <c r="AN104" s="31">
        <f>VLOOKUP($A104,kurspris!$A$1:$Q$950,13,FALSE)</f>
        <v>0</v>
      </c>
      <c r="AO104" s="31">
        <f>VLOOKUP($A104,kurspris!$A$1:$Q$950,14,FALSE)</f>
        <v>0</v>
      </c>
      <c r="AP104" s="57" t="s">
        <v>2506</v>
      </c>
      <c r="AQ104"/>
      <c r="AR104" s="31">
        <f t="shared" si="34"/>
        <v>0</v>
      </c>
      <c r="AS104" s="219">
        <f t="shared" si="35"/>
        <v>0</v>
      </c>
      <c r="AT104" s="31">
        <f t="shared" si="36"/>
        <v>0</v>
      </c>
      <c r="AU104" s="219">
        <f t="shared" si="37"/>
        <v>0</v>
      </c>
      <c r="AV104" s="31">
        <f t="shared" si="38"/>
        <v>0</v>
      </c>
      <c r="AW104" s="31">
        <f t="shared" si="39"/>
        <v>0</v>
      </c>
      <c r="AX104" s="31">
        <f t="shared" si="40"/>
        <v>0</v>
      </c>
      <c r="AY104" s="219">
        <f t="shared" si="41"/>
        <v>0</v>
      </c>
      <c r="AZ104" s="196">
        <f t="shared" si="42"/>
        <v>0</v>
      </c>
      <c r="BA104" s="219">
        <f t="shared" si="43"/>
        <v>0</v>
      </c>
      <c r="BB104" s="31">
        <f t="shared" si="44"/>
        <v>0</v>
      </c>
      <c r="BC104" s="219">
        <f t="shared" si="45"/>
        <v>0</v>
      </c>
      <c r="BD104" s="31">
        <f t="shared" si="46"/>
        <v>0</v>
      </c>
      <c r="BE104" s="219">
        <f t="shared" si="47"/>
        <v>0</v>
      </c>
      <c r="BF104" s="31">
        <f t="shared" si="48"/>
        <v>0</v>
      </c>
      <c r="BG104" s="219">
        <f t="shared" si="49"/>
        <v>0</v>
      </c>
      <c r="BH104" s="31">
        <f t="shared" si="50"/>
        <v>0.25</v>
      </c>
      <c r="BI104" s="219">
        <f t="shared" si="51"/>
        <v>0.21249999999999999</v>
      </c>
      <c r="BJ104" s="31">
        <f t="shared" si="52"/>
        <v>0</v>
      </c>
      <c r="BK104" s="219">
        <f t="shared" si="53"/>
        <v>0</v>
      </c>
      <c r="BL104" s="31">
        <f t="shared" si="54"/>
        <v>0</v>
      </c>
      <c r="BM104" s="219">
        <f t="shared" si="55"/>
        <v>0</v>
      </c>
      <c r="BN104" s="31">
        <f t="shared" si="56"/>
        <v>0</v>
      </c>
      <c r="BO104" s="219">
        <f t="shared" si="57"/>
        <v>0</v>
      </c>
    </row>
    <row r="105" spans="1:67" x14ac:dyDescent="0.25">
      <c r="A105" s="31" t="s">
        <v>1343</v>
      </c>
      <c r="B105" s="176" t="str">
        <f>VLOOKUP(A105,kurspris!$A$1:$B$992,2,FALSE)</f>
        <v>Ämnesdidaktik i skolpraktiken, del 2</v>
      </c>
      <c r="D105" s="60" t="s">
        <v>625</v>
      </c>
      <c r="E105" s="576" t="s">
        <v>2225</v>
      </c>
      <c r="F105" s="31" t="s">
        <v>2273</v>
      </c>
      <c r="G105" s="31" t="s">
        <v>2458</v>
      </c>
      <c r="H105" s="31" t="s">
        <v>2335</v>
      </c>
      <c r="I105" s="31" t="s">
        <v>2276</v>
      </c>
      <c r="J105" s="31" t="s">
        <v>2251</v>
      </c>
      <c r="L105" s="38">
        <v>0.5</v>
      </c>
      <c r="M105" s="325">
        <v>15</v>
      </c>
      <c r="P105" s="31">
        <v>1</v>
      </c>
      <c r="Q105" s="196">
        <f>(M105/60)*P105</f>
        <v>0.25</v>
      </c>
      <c r="R105" s="38">
        <v>0.85</v>
      </c>
      <c r="S105" s="280">
        <f t="shared" si="30"/>
        <v>0.21249999999999999</v>
      </c>
      <c r="T105" s="31">
        <f>VLOOKUP(A105,'Ansvar kurs'!$A$1:$C$1123,2,FALSE)</f>
        <v>1650</v>
      </c>
      <c r="U105" s="31" t="str">
        <f>VLOOKUP(T105,Orgenheter!$A$1:$C$166,2,FALSE)</f>
        <v xml:space="preserve">Estetiska ämnen               </v>
      </c>
      <c r="V105" s="31" t="str">
        <f>VLOOKUP(T105,Orgenheter!$A$1:$C$166,3,FALSE)</f>
        <v>Hum</v>
      </c>
      <c r="W105" s="35" t="str">
        <f>VLOOKUP(D105,Program!$A$1:$B$36,2,FALSE)</f>
        <v>KPU - åk 7-9</v>
      </c>
      <c r="X105" s="40">
        <f>VLOOKUP(A105,kurspris!$A$1:$Q$913,15,FALSE)</f>
        <v>25235</v>
      </c>
      <c r="Y105" s="40">
        <f>VLOOKUP(A105,kurspris!$A$1:$Q$913,16,FALSE)</f>
        <v>27976</v>
      </c>
      <c r="Z105" s="40">
        <f t="shared" si="31"/>
        <v>12253.65</v>
      </c>
      <c r="AA105" s="40">
        <f>VLOOKUP(A105,kurspris!$A$1:$Q$913,17,FALSE)</f>
        <v>3600</v>
      </c>
      <c r="AB105" s="40">
        <f t="shared" si="32"/>
        <v>900</v>
      </c>
      <c r="AC105" s="40">
        <f t="shared" si="33"/>
        <v>13153.65</v>
      </c>
      <c r="AD105" s="31">
        <f>VLOOKUP($A105,kurspris!$A$1:$Q$950,3,FALSE)</f>
        <v>0</v>
      </c>
      <c r="AE105" s="31">
        <f>VLOOKUP($A105,kurspris!$A$1:$Q$950,4,FALSE)</f>
        <v>0</v>
      </c>
      <c r="AF105" s="31">
        <f>VLOOKUP($A105,kurspris!$A$1:$Q$950,5,FALSE)</f>
        <v>0</v>
      </c>
      <c r="AG105" s="31">
        <f>VLOOKUP($A105,kurspris!$A$1:$Q$950,6,FALSE)</f>
        <v>0</v>
      </c>
      <c r="AH105" s="31">
        <f>VLOOKUP($A105,kurspris!$A$1:$Q$950,7,FALSE)</f>
        <v>0</v>
      </c>
      <c r="AI105" s="31">
        <f>VLOOKUP($A105,kurspris!$A$1:$Q$950,8,FALSE)</f>
        <v>0</v>
      </c>
      <c r="AJ105" s="31">
        <f>VLOOKUP($A105,kurspris!$A$1:$Q$950,9,FALSE)</f>
        <v>0</v>
      </c>
      <c r="AK105" s="31">
        <f>VLOOKUP($A105,kurspris!$A$1:$Q$950,10,FALSE)</f>
        <v>0</v>
      </c>
      <c r="AL105" s="31">
        <f>VLOOKUP($A105,kurspris!$A$1:$Q$950,11,FALSE)</f>
        <v>1</v>
      </c>
      <c r="AM105" s="31">
        <f>VLOOKUP($A105,kurspris!$A$1:$Q$950,12,FALSE)</f>
        <v>0</v>
      </c>
      <c r="AN105" s="31">
        <f>VLOOKUP($A105,kurspris!$A$1:$Q$950,13,FALSE)</f>
        <v>0</v>
      </c>
      <c r="AO105" s="31">
        <f>VLOOKUP($A105,kurspris!$A$1:$Q$950,14,FALSE)</f>
        <v>0</v>
      </c>
      <c r="AP105" s="57" t="s">
        <v>2502</v>
      </c>
      <c r="AR105" s="31">
        <f t="shared" si="34"/>
        <v>0</v>
      </c>
      <c r="AS105" s="219">
        <f t="shared" si="35"/>
        <v>0</v>
      </c>
      <c r="AT105" s="31">
        <f t="shared" si="36"/>
        <v>0</v>
      </c>
      <c r="AU105" s="219">
        <f t="shared" si="37"/>
        <v>0</v>
      </c>
      <c r="AV105" s="31">
        <f t="shared" si="38"/>
        <v>0</v>
      </c>
      <c r="AW105" s="31">
        <f t="shared" si="39"/>
        <v>0</v>
      </c>
      <c r="AX105" s="31">
        <f t="shared" si="40"/>
        <v>0</v>
      </c>
      <c r="AY105" s="219">
        <f t="shared" si="41"/>
        <v>0</v>
      </c>
      <c r="AZ105" s="196">
        <f t="shared" si="42"/>
        <v>0</v>
      </c>
      <c r="BA105" s="219">
        <f t="shared" si="43"/>
        <v>0</v>
      </c>
      <c r="BB105" s="31">
        <f t="shared" si="44"/>
        <v>0</v>
      </c>
      <c r="BC105" s="219">
        <f t="shared" si="45"/>
        <v>0</v>
      </c>
      <c r="BD105" s="31">
        <f t="shared" si="46"/>
        <v>0</v>
      </c>
      <c r="BE105" s="219">
        <f t="shared" si="47"/>
        <v>0</v>
      </c>
      <c r="BF105" s="31">
        <f t="shared" si="48"/>
        <v>0</v>
      </c>
      <c r="BG105" s="219">
        <f t="shared" si="49"/>
        <v>0</v>
      </c>
      <c r="BH105" s="31">
        <f t="shared" si="50"/>
        <v>0.25</v>
      </c>
      <c r="BI105" s="219">
        <f t="shared" si="51"/>
        <v>0.21249999999999999</v>
      </c>
      <c r="BJ105" s="31">
        <f t="shared" si="52"/>
        <v>0</v>
      </c>
      <c r="BK105" s="219">
        <f t="shared" si="53"/>
        <v>0</v>
      </c>
      <c r="BL105" s="31">
        <f t="shared" si="54"/>
        <v>0</v>
      </c>
      <c r="BM105" s="219">
        <f t="shared" si="55"/>
        <v>0</v>
      </c>
      <c r="BN105" s="31">
        <f t="shared" si="56"/>
        <v>0</v>
      </c>
      <c r="BO105" s="219">
        <f t="shared" si="57"/>
        <v>0</v>
      </c>
    </row>
    <row r="106" spans="1:67" x14ac:dyDescent="0.25">
      <c r="A106" s="31" t="s">
        <v>1343</v>
      </c>
      <c r="B106" s="176" t="str">
        <f>VLOOKUP(A106,kurspris!$A$1:$B$992,2,FALSE)</f>
        <v>Ämnesdidaktik i skolpraktiken, del 2</v>
      </c>
      <c r="D106" s="60" t="s">
        <v>625</v>
      </c>
      <c r="E106" s="576" t="s">
        <v>2434</v>
      </c>
      <c r="F106" s="31" t="s">
        <v>2273</v>
      </c>
      <c r="G106" s="31" t="s">
        <v>2458</v>
      </c>
      <c r="H106" s="31" t="s">
        <v>2335</v>
      </c>
      <c r="I106" s="31" t="s">
        <v>2276</v>
      </c>
      <c r="J106" s="31" t="s">
        <v>2251</v>
      </c>
      <c r="L106" s="38">
        <v>0.5</v>
      </c>
      <c r="M106" s="325">
        <v>15</v>
      </c>
      <c r="P106" s="31">
        <v>12</v>
      </c>
      <c r="Q106" s="196">
        <f>(M106/60)*P106</f>
        <v>3</v>
      </c>
      <c r="R106" s="38">
        <v>0.85</v>
      </c>
      <c r="S106" s="280">
        <f t="shared" si="30"/>
        <v>2.5499999999999998</v>
      </c>
      <c r="T106" s="31">
        <f>VLOOKUP(A106,'Ansvar kurs'!$A$1:$C$1123,2,FALSE)</f>
        <v>1650</v>
      </c>
      <c r="U106" s="31" t="str">
        <f>VLOOKUP(T106,Orgenheter!$A$1:$C$166,2,FALSE)</f>
        <v xml:space="preserve">Estetiska ämnen               </v>
      </c>
      <c r="V106" s="31" t="str">
        <f>VLOOKUP(T106,Orgenheter!$A$1:$C$166,3,FALSE)</f>
        <v>Hum</v>
      </c>
      <c r="W106" s="35" t="str">
        <f>VLOOKUP(D106,Program!$A$1:$B$36,2,FALSE)</f>
        <v>KPU - åk 7-9</v>
      </c>
      <c r="X106" s="40">
        <f>VLOOKUP(A106,kurspris!$A$1:$Q$913,15,FALSE)</f>
        <v>25235</v>
      </c>
      <c r="Y106" s="40">
        <f>VLOOKUP(A106,kurspris!$A$1:$Q$913,16,FALSE)</f>
        <v>27976</v>
      </c>
      <c r="Z106" s="40">
        <f t="shared" si="31"/>
        <v>147043.79999999999</v>
      </c>
      <c r="AA106" s="40">
        <f>VLOOKUP(A106,kurspris!$A$1:$Q$913,17,FALSE)</f>
        <v>3600</v>
      </c>
      <c r="AB106" s="40">
        <f t="shared" si="32"/>
        <v>10800</v>
      </c>
      <c r="AC106" s="40">
        <f t="shared" si="33"/>
        <v>157843.79999999999</v>
      </c>
      <c r="AD106" s="31">
        <f>VLOOKUP($A106,kurspris!$A$1:$Q$950,3,FALSE)</f>
        <v>0</v>
      </c>
      <c r="AE106" s="31">
        <f>VLOOKUP($A106,kurspris!$A$1:$Q$950,4,FALSE)</f>
        <v>0</v>
      </c>
      <c r="AF106" s="31">
        <f>VLOOKUP($A106,kurspris!$A$1:$Q$950,5,FALSE)</f>
        <v>0</v>
      </c>
      <c r="AG106" s="31">
        <f>VLOOKUP($A106,kurspris!$A$1:$Q$950,6,FALSE)</f>
        <v>0</v>
      </c>
      <c r="AH106" s="31">
        <f>VLOOKUP($A106,kurspris!$A$1:$Q$950,7,FALSE)</f>
        <v>0</v>
      </c>
      <c r="AI106" s="31">
        <f>VLOOKUP($A106,kurspris!$A$1:$Q$950,8,FALSE)</f>
        <v>0</v>
      </c>
      <c r="AJ106" s="31">
        <f>VLOOKUP($A106,kurspris!$A$1:$Q$950,9,FALSE)</f>
        <v>0</v>
      </c>
      <c r="AK106" s="31">
        <f>VLOOKUP($A106,kurspris!$A$1:$Q$950,10,FALSE)</f>
        <v>0</v>
      </c>
      <c r="AL106" s="31">
        <f>VLOOKUP($A106,kurspris!$A$1:$Q$950,11,FALSE)</f>
        <v>1</v>
      </c>
      <c r="AM106" s="31">
        <f>VLOOKUP($A106,kurspris!$A$1:$Q$950,12,FALSE)</f>
        <v>0</v>
      </c>
      <c r="AN106" s="31">
        <f>VLOOKUP($A106,kurspris!$A$1:$Q$950,13,FALSE)</f>
        <v>0</v>
      </c>
      <c r="AO106" s="31">
        <f>VLOOKUP($A106,kurspris!$A$1:$Q$950,14,FALSE)</f>
        <v>0</v>
      </c>
      <c r="AP106" s="57" t="s">
        <v>2502</v>
      </c>
      <c r="AQ106"/>
      <c r="AR106" s="31">
        <f t="shared" si="34"/>
        <v>0</v>
      </c>
      <c r="AS106" s="219">
        <f t="shared" si="35"/>
        <v>0</v>
      </c>
      <c r="AT106" s="31">
        <f t="shared" si="36"/>
        <v>0</v>
      </c>
      <c r="AU106" s="219">
        <f t="shared" si="37"/>
        <v>0</v>
      </c>
      <c r="AV106" s="31">
        <f t="shared" si="38"/>
        <v>0</v>
      </c>
      <c r="AW106" s="31">
        <f t="shared" si="39"/>
        <v>0</v>
      </c>
      <c r="AX106" s="31">
        <f t="shared" si="40"/>
        <v>0</v>
      </c>
      <c r="AY106" s="219">
        <f t="shared" si="41"/>
        <v>0</v>
      </c>
      <c r="AZ106" s="196">
        <f t="shared" si="42"/>
        <v>0</v>
      </c>
      <c r="BA106" s="219">
        <f t="shared" si="43"/>
        <v>0</v>
      </c>
      <c r="BB106" s="31">
        <f t="shared" si="44"/>
        <v>0</v>
      </c>
      <c r="BC106" s="219">
        <f t="shared" si="45"/>
        <v>0</v>
      </c>
      <c r="BD106" s="31">
        <f t="shared" si="46"/>
        <v>0</v>
      </c>
      <c r="BE106" s="219">
        <f t="shared" si="47"/>
        <v>0</v>
      </c>
      <c r="BF106" s="31">
        <f t="shared" si="48"/>
        <v>0</v>
      </c>
      <c r="BG106" s="219">
        <f t="shared" si="49"/>
        <v>0</v>
      </c>
      <c r="BH106" s="31">
        <f t="shared" si="50"/>
        <v>3</v>
      </c>
      <c r="BI106" s="219">
        <f t="shared" si="51"/>
        <v>2.5499999999999998</v>
      </c>
      <c r="BJ106" s="31">
        <f t="shared" si="52"/>
        <v>0</v>
      </c>
      <c r="BK106" s="219">
        <f t="shared" si="53"/>
        <v>0</v>
      </c>
      <c r="BL106" s="31">
        <f t="shared" si="54"/>
        <v>0</v>
      </c>
      <c r="BM106" s="219">
        <f t="shared" si="55"/>
        <v>0</v>
      </c>
      <c r="BN106" s="31">
        <f t="shared" si="56"/>
        <v>0</v>
      </c>
      <c r="BO106" s="219">
        <f t="shared" si="57"/>
        <v>0</v>
      </c>
    </row>
    <row r="107" spans="1:67" x14ac:dyDescent="0.25">
      <c r="A107" s="31" t="s">
        <v>1343</v>
      </c>
      <c r="B107" s="176" t="str">
        <f>VLOOKUP(A107,kurspris!$A$1:$B$992,2,FALSE)</f>
        <v>Ämnesdidaktik i skolpraktiken, del 2</v>
      </c>
      <c r="D107" s="60" t="s">
        <v>626</v>
      </c>
      <c r="E107" s="576" t="s">
        <v>2226</v>
      </c>
      <c r="F107" s="31" t="s">
        <v>2273</v>
      </c>
      <c r="G107" s="31" t="s">
        <v>2458</v>
      </c>
      <c r="H107" s="31" t="s">
        <v>2335</v>
      </c>
      <c r="I107" s="31" t="s">
        <v>2276</v>
      </c>
      <c r="J107" s="31" t="s">
        <v>2252</v>
      </c>
      <c r="L107" s="38">
        <v>0.5</v>
      </c>
      <c r="M107" s="325">
        <v>15</v>
      </c>
      <c r="P107" s="31">
        <v>1</v>
      </c>
      <c r="Q107" s="196">
        <f>(M107/60)*P107</f>
        <v>0.25</v>
      </c>
      <c r="R107" s="38">
        <v>0.85</v>
      </c>
      <c r="S107" s="280">
        <f t="shared" si="30"/>
        <v>0.21249999999999999</v>
      </c>
      <c r="T107" s="31">
        <f>VLOOKUP(A107,'Ansvar kurs'!$A$1:$C$1123,2,FALSE)</f>
        <v>1650</v>
      </c>
      <c r="U107" s="31" t="str">
        <f>VLOOKUP(T107,Orgenheter!$A$1:$C$166,2,FALSE)</f>
        <v xml:space="preserve">Estetiska ämnen               </v>
      </c>
      <c r="V107" s="31" t="str">
        <f>VLOOKUP(T107,Orgenheter!$A$1:$C$166,3,FALSE)</f>
        <v>Hum</v>
      </c>
      <c r="W107" s="35" t="str">
        <f>VLOOKUP(D107,Program!$A$1:$B$36,2,FALSE)</f>
        <v>KPU - Gy</v>
      </c>
      <c r="X107" s="40">
        <f>VLOOKUP(A107,kurspris!$A$1:$Q$913,15,FALSE)</f>
        <v>25235</v>
      </c>
      <c r="Y107" s="40">
        <f>VLOOKUP(A107,kurspris!$A$1:$Q$913,16,FALSE)</f>
        <v>27976</v>
      </c>
      <c r="Z107" s="40">
        <f t="shared" si="31"/>
        <v>12253.65</v>
      </c>
      <c r="AA107" s="40">
        <f>VLOOKUP(A107,kurspris!$A$1:$Q$913,17,FALSE)</f>
        <v>3600</v>
      </c>
      <c r="AB107" s="40">
        <f t="shared" si="32"/>
        <v>900</v>
      </c>
      <c r="AC107" s="40">
        <f t="shared" si="33"/>
        <v>13153.65</v>
      </c>
      <c r="AD107" s="31">
        <f>VLOOKUP($A107,kurspris!$A$1:$Q$950,3,FALSE)</f>
        <v>0</v>
      </c>
      <c r="AE107" s="31">
        <f>VLOOKUP($A107,kurspris!$A$1:$Q$950,4,FALSE)</f>
        <v>0</v>
      </c>
      <c r="AF107" s="31">
        <f>VLOOKUP($A107,kurspris!$A$1:$Q$950,5,FALSE)</f>
        <v>0</v>
      </c>
      <c r="AG107" s="31">
        <f>VLOOKUP($A107,kurspris!$A$1:$Q$950,6,FALSE)</f>
        <v>0</v>
      </c>
      <c r="AH107" s="31">
        <f>VLOOKUP($A107,kurspris!$A$1:$Q$950,7,FALSE)</f>
        <v>0</v>
      </c>
      <c r="AI107" s="31">
        <f>VLOOKUP($A107,kurspris!$A$1:$Q$950,8,FALSE)</f>
        <v>0</v>
      </c>
      <c r="AJ107" s="31">
        <f>VLOOKUP($A107,kurspris!$A$1:$Q$950,9,FALSE)</f>
        <v>0</v>
      </c>
      <c r="AK107" s="31">
        <f>VLOOKUP($A107,kurspris!$A$1:$Q$950,10,FALSE)</f>
        <v>0</v>
      </c>
      <c r="AL107" s="31">
        <f>VLOOKUP($A107,kurspris!$A$1:$Q$950,11,FALSE)</f>
        <v>1</v>
      </c>
      <c r="AM107" s="31">
        <f>VLOOKUP($A107,kurspris!$A$1:$Q$950,12,FALSE)</f>
        <v>0</v>
      </c>
      <c r="AN107" s="31">
        <f>VLOOKUP($A107,kurspris!$A$1:$Q$950,13,FALSE)</f>
        <v>0</v>
      </c>
      <c r="AO107" s="31">
        <f>VLOOKUP($A107,kurspris!$A$1:$Q$950,14,FALSE)</f>
        <v>0</v>
      </c>
      <c r="AP107" s="57" t="s">
        <v>2502</v>
      </c>
      <c r="AR107" s="31">
        <f t="shared" si="34"/>
        <v>0</v>
      </c>
      <c r="AS107" s="219">
        <f t="shared" si="35"/>
        <v>0</v>
      </c>
      <c r="AT107" s="31">
        <f t="shared" si="36"/>
        <v>0</v>
      </c>
      <c r="AU107" s="219">
        <f t="shared" si="37"/>
        <v>0</v>
      </c>
      <c r="AV107" s="31">
        <f t="shared" si="38"/>
        <v>0</v>
      </c>
      <c r="AW107" s="31">
        <f t="shared" si="39"/>
        <v>0</v>
      </c>
      <c r="AX107" s="31">
        <f t="shared" si="40"/>
        <v>0</v>
      </c>
      <c r="AY107" s="219">
        <f t="shared" si="41"/>
        <v>0</v>
      </c>
      <c r="AZ107" s="196">
        <f t="shared" si="42"/>
        <v>0</v>
      </c>
      <c r="BA107" s="219">
        <f t="shared" si="43"/>
        <v>0</v>
      </c>
      <c r="BB107" s="31">
        <f t="shared" si="44"/>
        <v>0</v>
      </c>
      <c r="BC107" s="219">
        <f t="shared" si="45"/>
        <v>0</v>
      </c>
      <c r="BD107" s="31">
        <f t="shared" si="46"/>
        <v>0</v>
      </c>
      <c r="BE107" s="219">
        <f t="shared" si="47"/>
        <v>0</v>
      </c>
      <c r="BF107" s="31">
        <f t="shared" si="48"/>
        <v>0</v>
      </c>
      <c r="BG107" s="219">
        <f t="shared" si="49"/>
        <v>0</v>
      </c>
      <c r="BH107" s="31">
        <f t="shared" si="50"/>
        <v>0.25</v>
      </c>
      <c r="BI107" s="219">
        <f t="shared" si="51"/>
        <v>0.21249999999999999</v>
      </c>
      <c r="BJ107" s="31">
        <f t="shared" si="52"/>
        <v>0</v>
      </c>
      <c r="BK107" s="219">
        <f t="shared" si="53"/>
        <v>0</v>
      </c>
      <c r="BL107" s="31">
        <f t="shared" si="54"/>
        <v>0</v>
      </c>
      <c r="BM107" s="219">
        <f t="shared" si="55"/>
        <v>0</v>
      </c>
      <c r="BN107" s="31">
        <f t="shared" si="56"/>
        <v>0</v>
      </c>
      <c r="BO107" s="219">
        <f t="shared" si="57"/>
        <v>0</v>
      </c>
    </row>
    <row r="108" spans="1:67" x14ac:dyDescent="0.25">
      <c r="A108" s="31" t="s">
        <v>1343</v>
      </c>
      <c r="B108" s="176" t="str">
        <f>VLOOKUP(A108,kurspris!$A$1:$B$992,2,FALSE)</f>
        <v>Ämnesdidaktik i skolpraktiken, del 2</v>
      </c>
      <c r="D108" s="60" t="s">
        <v>626</v>
      </c>
      <c r="E108" s="576" t="s">
        <v>2434</v>
      </c>
      <c r="F108" s="31" t="s">
        <v>2273</v>
      </c>
      <c r="G108" s="31" t="s">
        <v>2458</v>
      </c>
      <c r="H108" s="31" t="s">
        <v>2335</v>
      </c>
      <c r="I108" s="31" t="s">
        <v>2276</v>
      </c>
      <c r="J108" s="31" t="s">
        <v>2252</v>
      </c>
      <c r="L108" s="38">
        <v>0.5</v>
      </c>
      <c r="M108" s="325">
        <v>15</v>
      </c>
      <c r="P108" s="31">
        <v>3</v>
      </c>
      <c r="Q108" s="196">
        <f>(M108/60)*P108</f>
        <v>0.75</v>
      </c>
      <c r="R108" s="38">
        <v>0.85</v>
      </c>
      <c r="S108" s="280">
        <f t="shared" si="30"/>
        <v>0.63749999999999996</v>
      </c>
      <c r="T108" s="31">
        <f>VLOOKUP(A108,'Ansvar kurs'!$A$1:$C$1123,2,FALSE)</f>
        <v>1650</v>
      </c>
      <c r="U108" s="31" t="str">
        <f>VLOOKUP(T108,Orgenheter!$A$1:$C$166,2,FALSE)</f>
        <v xml:space="preserve">Estetiska ämnen               </v>
      </c>
      <c r="V108" s="31" t="str">
        <f>VLOOKUP(T108,Orgenheter!$A$1:$C$166,3,FALSE)</f>
        <v>Hum</v>
      </c>
      <c r="W108" s="35" t="str">
        <f>VLOOKUP(D108,Program!$A$1:$B$36,2,FALSE)</f>
        <v>KPU - Gy</v>
      </c>
      <c r="X108" s="40">
        <f>VLOOKUP(A108,kurspris!$A$1:$Q$913,15,FALSE)</f>
        <v>25235</v>
      </c>
      <c r="Y108" s="40">
        <f>VLOOKUP(A108,kurspris!$A$1:$Q$913,16,FALSE)</f>
        <v>27976</v>
      </c>
      <c r="Z108" s="40">
        <f t="shared" si="31"/>
        <v>36760.949999999997</v>
      </c>
      <c r="AA108" s="40">
        <f>VLOOKUP(A108,kurspris!$A$1:$Q$913,17,FALSE)</f>
        <v>3600</v>
      </c>
      <c r="AB108" s="40">
        <f t="shared" si="32"/>
        <v>2700</v>
      </c>
      <c r="AC108" s="40">
        <f t="shared" si="33"/>
        <v>39460.949999999997</v>
      </c>
      <c r="AD108" s="31">
        <f>VLOOKUP($A108,kurspris!$A$1:$Q$950,3,FALSE)</f>
        <v>0</v>
      </c>
      <c r="AE108" s="31">
        <f>VLOOKUP($A108,kurspris!$A$1:$Q$950,4,FALSE)</f>
        <v>0</v>
      </c>
      <c r="AF108" s="31">
        <f>VLOOKUP($A108,kurspris!$A$1:$Q$950,5,FALSE)</f>
        <v>0</v>
      </c>
      <c r="AG108" s="31">
        <f>VLOOKUP($A108,kurspris!$A$1:$Q$950,6,FALSE)</f>
        <v>0</v>
      </c>
      <c r="AH108" s="31">
        <f>VLOOKUP($A108,kurspris!$A$1:$Q$950,7,FALSE)</f>
        <v>0</v>
      </c>
      <c r="AI108" s="31">
        <f>VLOOKUP($A108,kurspris!$A$1:$Q$950,8,FALSE)</f>
        <v>0</v>
      </c>
      <c r="AJ108" s="31">
        <f>VLOOKUP($A108,kurspris!$A$1:$Q$950,9,FALSE)</f>
        <v>0</v>
      </c>
      <c r="AK108" s="31">
        <f>VLOOKUP($A108,kurspris!$A$1:$Q$950,10,FALSE)</f>
        <v>0</v>
      </c>
      <c r="AL108" s="31">
        <f>VLOOKUP($A108,kurspris!$A$1:$Q$950,11,FALSE)</f>
        <v>1</v>
      </c>
      <c r="AM108" s="31">
        <f>VLOOKUP($A108,kurspris!$A$1:$Q$950,12,FALSE)</f>
        <v>0</v>
      </c>
      <c r="AN108" s="31">
        <f>VLOOKUP($A108,kurspris!$A$1:$Q$950,13,FALSE)</f>
        <v>0</v>
      </c>
      <c r="AO108" s="31">
        <f>VLOOKUP($A108,kurspris!$A$1:$Q$950,14,FALSE)</f>
        <v>0</v>
      </c>
      <c r="AP108" s="57" t="s">
        <v>2502</v>
      </c>
      <c r="AQ108"/>
      <c r="AR108" s="31">
        <f t="shared" si="34"/>
        <v>0</v>
      </c>
      <c r="AS108" s="219">
        <f t="shared" si="35"/>
        <v>0</v>
      </c>
      <c r="AT108" s="31">
        <f t="shared" si="36"/>
        <v>0</v>
      </c>
      <c r="AU108" s="219">
        <f t="shared" si="37"/>
        <v>0</v>
      </c>
      <c r="AV108" s="31">
        <f t="shared" si="38"/>
        <v>0</v>
      </c>
      <c r="AW108" s="31">
        <f t="shared" si="39"/>
        <v>0</v>
      </c>
      <c r="AX108" s="31">
        <f t="shared" si="40"/>
        <v>0</v>
      </c>
      <c r="AY108" s="219">
        <f t="shared" si="41"/>
        <v>0</v>
      </c>
      <c r="AZ108" s="196">
        <f t="shared" si="42"/>
        <v>0</v>
      </c>
      <c r="BA108" s="219">
        <f t="shared" si="43"/>
        <v>0</v>
      </c>
      <c r="BB108" s="31">
        <f t="shared" si="44"/>
        <v>0</v>
      </c>
      <c r="BC108" s="219">
        <f t="shared" si="45"/>
        <v>0</v>
      </c>
      <c r="BD108" s="31">
        <f t="shared" si="46"/>
        <v>0</v>
      </c>
      <c r="BE108" s="219">
        <f t="shared" si="47"/>
        <v>0</v>
      </c>
      <c r="BF108" s="31">
        <f t="shared" si="48"/>
        <v>0</v>
      </c>
      <c r="BG108" s="219">
        <f t="shared" si="49"/>
        <v>0</v>
      </c>
      <c r="BH108" s="31">
        <f t="shared" si="50"/>
        <v>0.75</v>
      </c>
      <c r="BI108" s="219">
        <f t="shared" si="51"/>
        <v>0.63749999999999996</v>
      </c>
      <c r="BJ108" s="31">
        <f t="shared" si="52"/>
        <v>0</v>
      </c>
      <c r="BK108" s="219">
        <f t="shared" si="53"/>
        <v>0</v>
      </c>
      <c r="BL108" s="31">
        <f t="shared" si="54"/>
        <v>0</v>
      </c>
      <c r="BM108" s="219">
        <f t="shared" si="55"/>
        <v>0</v>
      </c>
      <c r="BN108" s="31">
        <f t="shared" si="56"/>
        <v>0</v>
      </c>
      <c r="BO108" s="219">
        <f t="shared" si="57"/>
        <v>0</v>
      </c>
    </row>
    <row r="109" spans="1:67" x14ac:dyDescent="0.25">
      <c r="A109" s="31" t="s">
        <v>1344</v>
      </c>
      <c r="B109" s="176" t="str">
        <f>VLOOKUP(A109,kurspris!$A$1:$B$992,2,FALSE)</f>
        <v>Examensarbete med ämnesdidaktisk inriktning</v>
      </c>
      <c r="C109" s="31">
        <v>66312</v>
      </c>
      <c r="D109" s="60" t="s">
        <v>1587</v>
      </c>
      <c r="E109" s="60"/>
      <c r="F109" s="57" t="s">
        <v>2274</v>
      </c>
      <c r="H109" s="31" t="s">
        <v>2335</v>
      </c>
      <c r="I109" s="31" t="s">
        <v>2399</v>
      </c>
      <c r="L109" s="38"/>
      <c r="M109">
        <v>15</v>
      </c>
      <c r="P109" s="31">
        <v>1</v>
      </c>
      <c r="Q109" s="539">
        <v>0.25</v>
      </c>
      <c r="R109" s="38">
        <v>0.85</v>
      </c>
      <c r="S109" s="280">
        <f t="shared" si="30"/>
        <v>0.21249999999999999</v>
      </c>
      <c r="T109" s="31">
        <f>VLOOKUP(A109,'Ansvar kurs'!$A$1:$C$1123,2,FALSE)</f>
        <v>1650</v>
      </c>
      <c r="U109" s="31" t="str">
        <f>VLOOKUP(T109,Orgenheter!$A$1:$C$166,2,FALSE)</f>
        <v xml:space="preserve">Estetiska ämnen               </v>
      </c>
      <c r="V109" s="31" t="str">
        <f>VLOOKUP(T109,Orgenheter!$A$1:$C$166,3,FALSE)</f>
        <v>Hum</v>
      </c>
      <c r="W109" s="35" t="str">
        <f>VLOOKUP(D109,Program!$A$1:$B$36,2,FALSE)</f>
        <v>KPU - Förhöjd studietakt - utbildningsbidrag</v>
      </c>
      <c r="X109" s="40">
        <f>VLOOKUP(A109,kurspris!$A$1:$Q$913,15,FALSE)</f>
        <v>26554</v>
      </c>
      <c r="Y109" s="40">
        <f>VLOOKUP(A109,kurspris!$A$1:$Q$913,16,FALSE)</f>
        <v>33465</v>
      </c>
      <c r="Z109" s="40">
        <f t="shared" si="31"/>
        <v>13749.8125</v>
      </c>
      <c r="AA109" s="40">
        <f>VLOOKUP(A109,kurspris!$A$1:$Q$913,17,FALSE)</f>
        <v>6000</v>
      </c>
      <c r="AB109" s="40">
        <f t="shared" si="32"/>
        <v>1500</v>
      </c>
      <c r="AC109" s="40">
        <f t="shared" si="33"/>
        <v>15249.8125</v>
      </c>
      <c r="AD109" s="31">
        <f>VLOOKUP($A109,kurspris!$A$1:$Q$950,3,FALSE)</f>
        <v>0</v>
      </c>
      <c r="AE109" s="31">
        <f>VLOOKUP($A109,kurspris!$A$1:$Q$950,4,FALSE)</f>
        <v>0</v>
      </c>
      <c r="AF109" s="31">
        <f>VLOOKUP($A109,kurspris!$A$1:$Q$950,5,FALSE)</f>
        <v>0</v>
      </c>
      <c r="AG109" s="31">
        <f>VLOOKUP($A109,kurspris!$A$1:$Q$950,6,FALSE)</f>
        <v>1</v>
      </c>
      <c r="AH109" s="31">
        <f>VLOOKUP($A109,kurspris!$A$1:$Q$950,7,FALSE)</f>
        <v>0</v>
      </c>
      <c r="AI109" s="31">
        <f>VLOOKUP($A109,kurspris!$A$1:$Q$950,8,FALSE)</f>
        <v>0</v>
      </c>
      <c r="AJ109" s="31">
        <f>VLOOKUP($A109,kurspris!$A$1:$Q$950,9,FALSE)</f>
        <v>0</v>
      </c>
      <c r="AK109" s="31">
        <f>VLOOKUP($A109,kurspris!$A$1:$Q$950,10,FALSE)</f>
        <v>0</v>
      </c>
      <c r="AL109" s="31">
        <f>VLOOKUP($A109,kurspris!$A$1:$Q$950,11,FALSE)</f>
        <v>0</v>
      </c>
      <c r="AM109" s="31">
        <f>VLOOKUP($A109,kurspris!$A$1:$Q$950,12,FALSE)</f>
        <v>0</v>
      </c>
      <c r="AN109" s="31">
        <f>VLOOKUP($A109,kurspris!$A$1:$Q$950,13,FALSE)</f>
        <v>0</v>
      </c>
      <c r="AO109" s="31">
        <f>VLOOKUP($A109,kurspris!$A$1:$Q$950,14,FALSE)</f>
        <v>0</v>
      </c>
      <c r="AP109" s="57" t="s">
        <v>2402</v>
      </c>
      <c r="AQ109"/>
      <c r="AR109" s="31">
        <f t="shared" si="34"/>
        <v>0</v>
      </c>
      <c r="AS109" s="219">
        <f t="shared" si="35"/>
        <v>0</v>
      </c>
      <c r="AT109" s="31">
        <f t="shared" si="36"/>
        <v>0</v>
      </c>
      <c r="AU109" s="219">
        <f t="shared" si="37"/>
        <v>0</v>
      </c>
      <c r="AV109" s="31">
        <f t="shared" si="38"/>
        <v>0</v>
      </c>
      <c r="AW109" s="31">
        <f t="shared" si="39"/>
        <v>0</v>
      </c>
      <c r="AX109" s="31">
        <f t="shared" si="40"/>
        <v>0.25</v>
      </c>
      <c r="AY109" s="219">
        <f t="shared" si="41"/>
        <v>0.21249999999999999</v>
      </c>
      <c r="AZ109" s="196">
        <f t="shared" si="42"/>
        <v>0</v>
      </c>
      <c r="BA109" s="219">
        <f t="shared" si="43"/>
        <v>0</v>
      </c>
      <c r="BB109" s="31">
        <f t="shared" si="44"/>
        <v>0</v>
      </c>
      <c r="BC109" s="219">
        <f t="shared" si="45"/>
        <v>0</v>
      </c>
      <c r="BD109" s="31">
        <f t="shared" si="46"/>
        <v>0</v>
      </c>
      <c r="BE109" s="219">
        <f t="shared" si="47"/>
        <v>0</v>
      </c>
      <c r="BF109" s="31">
        <f t="shared" si="48"/>
        <v>0</v>
      </c>
      <c r="BG109" s="219">
        <f t="shared" si="49"/>
        <v>0</v>
      </c>
      <c r="BH109" s="31">
        <f t="shared" si="50"/>
        <v>0</v>
      </c>
      <c r="BI109" s="219">
        <f t="shared" si="51"/>
        <v>0</v>
      </c>
      <c r="BJ109" s="31">
        <f t="shared" si="52"/>
        <v>0</v>
      </c>
      <c r="BK109" s="219">
        <f t="shared" si="53"/>
        <v>0</v>
      </c>
      <c r="BL109" s="31">
        <f t="shared" si="54"/>
        <v>0</v>
      </c>
      <c r="BM109" s="219">
        <f t="shared" si="55"/>
        <v>0</v>
      </c>
      <c r="BN109" s="31">
        <f t="shared" si="56"/>
        <v>0</v>
      </c>
      <c r="BO109" s="219">
        <f t="shared" si="57"/>
        <v>0</v>
      </c>
    </row>
    <row r="110" spans="1:67" x14ac:dyDescent="0.25">
      <c r="A110" s="31" t="s">
        <v>1344</v>
      </c>
      <c r="B110" s="176" t="str">
        <f>VLOOKUP(A110,kurspris!$A$1:$B$992,2,FALSE)</f>
        <v>Examensarbete med ämnesdidaktisk inriktning</v>
      </c>
      <c r="C110" s="31">
        <v>66312</v>
      </c>
      <c r="D110" s="60" t="s">
        <v>625</v>
      </c>
      <c r="E110" s="60"/>
      <c r="F110" s="57" t="s">
        <v>2274</v>
      </c>
      <c r="H110" s="31" t="s">
        <v>2335</v>
      </c>
      <c r="I110" s="31" t="s">
        <v>2399</v>
      </c>
      <c r="J110" s="31" t="s">
        <v>2251</v>
      </c>
      <c r="L110" s="38"/>
      <c r="M110">
        <v>15</v>
      </c>
      <c r="P110" s="31">
        <v>13</v>
      </c>
      <c r="Q110" s="539">
        <v>3.25</v>
      </c>
      <c r="R110" s="38">
        <v>0.85</v>
      </c>
      <c r="S110" s="280">
        <f t="shared" si="30"/>
        <v>2.7624999999999997</v>
      </c>
      <c r="T110" s="31">
        <f>VLOOKUP(A110,'Ansvar kurs'!$A$1:$C$1123,2,FALSE)</f>
        <v>1650</v>
      </c>
      <c r="U110" s="31" t="str">
        <f>VLOOKUP(T110,Orgenheter!$A$1:$C$166,2,FALSE)</f>
        <v xml:space="preserve">Estetiska ämnen               </v>
      </c>
      <c r="V110" s="31" t="str">
        <f>VLOOKUP(T110,Orgenheter!$A$1:$C$166,3,FALSE)</f>
        <v>Hum</v>
      </c>
      <c r="W110" s="35" t="str">
        <f>VLOOKUP(D110,Program!$A$1:$B$36,2,FALSE)</f>
        <v>KPU - åk 7-9</v>
      </c>
      <c r="X110" s="40">
        <f>VLOOKUP(A110,kurspris!$A$1:$Q$913,15,FALSE)</f>
        <v>26554</v>
      </c>
      <c r="Y110" s="40">
        <f>VLOOKUP(A110,kurspris!$A$1:$Q$913,16,FALSE)</f>
        <v>33465</v>
      </c>
      <c r="Z110" s="40">
        <f t="shared" si="31"/>
        <v>178747.5625</v>
      </c>
      <c r="AA110" s="40">
        <f>VLOOKUP(A110,kurspris!$A$1:$Q$913,17,FALSE)</f>
        <v>6000</v>
      </c>
      <c r="AB110" s="40">
        <f t="shared" si="32"/>
        <v>19500</v>
      </c>
      <c r="AC110" s="40">
        <f t="shared" si="33"/>
        <v>198247.5625</v>
      </c>
      <c r="AD110" s="31">
        <f>VLOOKUP($A110,kurspris!$A$1:$Q$950,3,FALSE)</f>
        <v>0</v>
      </c>
      <c r="AE110" s="31">
        <f>VLOOKUP($A110,kurspris!$A$1:$Q$950,4,FALSE)</f>
        <v>0</v>
      </c>
      <c r="AF110" s="31">
        <f>VLOOKUP($A110,kurspris!$A$1:$Q$950,5,FALSE)</f>
        <v>0</v>
      </c>
      <c r="AG110" s="31">
        <f>VLOOKUP($A110,kurspris!$A$1:$Q$950,6,FALSE)</f>
        <v>1</v>
      </c>
      <c r="AH110" s="31">
        <f>VLOOKUP($A110,kurspris!$A$1:$Q$950,7,FALSE)</f>
        <v>0</v>
      </c>
      <c r="AI110" s="31">
        <f>VLOOKUP($A110,kurspris!$A$1:$Q$950,8,FALSE)</f>
        <v>0</v>
      </c>
      <c r="AJ110" s="31">
        <f>VLOOKUP($A110,kurspris!$A$1:$Q$950,9,FALSE)</f>
        <v>0</v>
      </c>
      <c r="AK110" s="31">
        <f>VLOOKUP($A110,kurspris!$A$1:$Q$950,10,FALSE)</f>
        <v>0</v>
      </c>
      <c r="AL110" s="31">
        <f>VLOOKUP($A110,kurspris!$A$1:$Q$950,11,FALSE)</f>
        <v>0</v>
      </c>
      <c r="AM110" s="31">
        <f>VLOOKUP($A110,kurspris!$A$1:$Q$950,12,FALSE)</f>
        <v>0</v>
      </c>
      <c r="AN110" s="31">
        <f>VLOOKUP($A110,kurspris!$A$1:$Q$950,13,FALSE)</f>
        <v>0</v>
      </c>
      <c r="AO110" s="31">
        <f>VLOOKUP($A110,kurspris!$A$1:$Q$950,14,FALSE)</f>
        <v>0</v>
      </c>
      <c r="AP110" s="57" t="s">
        <v>2402</v>
      </c>
      <c r="AQ110"/>
      <c r="AR110" s="31">
        <f t="shared" si="34"/>
        <v>0</v>
      </c>
      <c r="AS110" s="219">
        <f t="shared" si="35"/>
        <v>0</v>
      </c>
      <c r="AT110" s="31">
        <f t="shared" si="36"/>
        <v>0</v>
      </c>
      <c r="AU110" s="219">
        <f t="shared" si="37"/>
        <v>0</v>
      </c>
      <c r="AV110" s="31">
        <f t="shared" si="38"/>
        <v>0</v>
      </c>
      <c r="AW110" s="31">
        <f t="shared" si="39"/>
        <v>0</v>
      </c>
      <c r="AX110" s="31">
        <f t="shared" si="40"/>
        <v>3.25</v>
      </c>
      <c r="AY110" s="219">
        <f t="shared" si="41"/>
        <v>2.7624999999999997</v>
      </c>
      <c r="AZ110" s="196">
        <f t="shared" si="42"/>
        <v>0</v>
      </c>
      <c r="BA110" s="219">
        <f t="shared" si="43"/>
        <v>0</v>
      </c>
      <c r="BB110" s="31">
        <f t="shared" si="44"/>
        <v>0</v>
      </c>
      <c r="BC110" s="219">
        <f t="shared" si="45"/>
        <v>0</v>
      </c>
      <c r="BD110" s="31">
        <f t="shared" si="46"/>
        <v>0</v>
      </c>
      <c r="BE110" s="219">
        <f t="shared" si="47"/>
        <v>0</v>
      </c>
      <c r="BF110" s="31">
        <f t="shared" si="48"/>
        <v>0</v>
      </c>
      <c r="BG110" s="219">
        <f t="shared" si="49"/>
        <v>0</v>
      </c>
      <c r="BH110" s="31">
        <f t="shared" si="50"/>
        <v>0</v>
      </c>
      <c r="BI110" s="219">
        <f t="shared" si="51"/>
        <v>0</v>
      </c>
      <c r="BJ110" s="31">
        <f t="shared" si="52"/>
        <v>0</v>
      </c>
      <c r="BK110" s="219">
        <f t="shared" si="53"/>
        <v>0</v>
      </c>
      <c r="BL110" s="31">
        <f t="shared" si="54"/>
        <v>0</v>
      </c>
      <c r="BM110" s="219">
        <f t="shared" si="55"/>
        <v>0</v>
      </c>
      <c r="BN110" s="31">
        <f t="shared" si="56"/>
        <v>0</v>
      </c>
      <c r="BO110" s="219">
        <f t="shared" si="57"/>
        <v>0</v>
      </c>
    </row>
    <row r="111" spans="1:67" x14ac:dyDescent="0.25">
      <c r="A111" s="31" t="s">
        <v>1344</v>
      </c>
      <c r="B111" s="176" t="str">
        <f>VLOOKUP(A111,kurspris!$A$1:$B$992,2,FALSE)</f>
        <v>Examensarbete med ämnesdidaktisk inriktning</v>
      </c>
      <c r="C111" s="31">
        <v>66312</v>
      </c>
      <c r="D111" s="60" t="s">
        <v>626</v>
      </c>
      <c r="E111" s="60"/>
      <c r="F111" s="57" t="s">
        <v>2274</v>
      </c>
      <c r="H111" s="31" t="s">
        <v>2335</v>
      </c>
      <c r="I111" s="31" t="s">
        <v>2399</v>
      </c>
      <c r="J111" s="31" t="s">
        <v>2252</v>
      </c>
      <c r="L111" s="38"/>
      <c r="M111">
        <v>15</v>
      </c>
      <c r="P111" s="31">
        <v>8</v>
      </c>
      <c r="Q111" s="539">
        <v>2</v>
      </c>
      <c r="R111" s="38">
        <v>0.85</v>
      </c>
      <c r="S111" s="280">
        <f t="shared" si="30"/>
        <v>1.7</v>
      </c>
      <c r="T111" s="31">
        <f>VLOOKUP(A111,'Ansvar kurs'!$A$1:$C$1123,2,FALSE)</f>
        <v>1650</v>
      </c>
      <c r="U111" s="31" t="str">
        <f>VLOOKUP(T111,Orgenheter!$A$1:$C$166,2,FALSE)</f>
        <v xml:space="preserve">Estetiska ämnen               </v>
      </c>
      <c r="V111" s="31" t="str">
        <f>VLOOKUP(T111,Orgenheter!$A$1:$C$166,3,FALSE)</f>
        <v>Hum</v>
      </c>
      <c r="W111" s="35" t="str">
        <f>VLOOKUP(D111,Program!$A$1:$B$36,2,FALSE)</f>
        <v>KPU - Gy</v>
      </c>
      <c r="X111" s="40">
        <f>VLOOKUP(A111,kurspris!$A$1:$Q$913,15,FALSE)</f>
        <v>26554</v>
      </c>
      <c r="Y111" s="40">
        <f>VLOOKUP(A111,kurspris!$A$1:$Q$913,16,FALSE)</f>
        <v>33465</v>
      </c>
      <c r="Z111" s="40">
        <f t="shared" si="31"/>
        <v>109998.5</v>
      </c>
      <c r="AA111" s="40">
        <f>VLOOKUP(A111,kurspris!$A$1:$Q$913,17,FALSE)</f>
        <v>6000</v>
      </c>
      <c r="AB111" s="40">
        <f t="shared" si="32"/>
        <v>12000</v>
      </c>
      <c r="AC111" s="40">
        <f t="shared" si="33"/>
        <v>121998.5</v>
      </c>
      <c r="AD111" s="31">
        <f>VLOOKUP($A111,kurspris!$A$1:$Q$950,3,FALSE)</f>
        <v>0</v>
      </c>
      <c r="AE111" s="31">
        <f>VLOOKUP($A111,kurspris!$A$1:$Q$950,4,FALSE)</f>
        <v>0</v>
      </c>
      <c r="AF111" s="31">
        <f>VLOOKUP($A111,kurspris!$A$1:$Q$950,5,FALSE)</f>
        <v>0</v>
      </c>
      <c r="AG111" s="31">
        <f>VLOOKUP($A111,kurspris!$A$1:$Q$950,6,FALSE)</f>
        <v>1</v>
      </c>
      <c r="AH111" s="31">
        <f>VLOOKUP($A111,kurspris!$A$1:$Q$950,7,FALSE)</f>
        <v>0</v>
      </c>
      <c r="AI111" s="31">
        <f>VLOOKUP($A111,kurspris!$A$1:$Q$950,8,FALSE)</f>
        <v>0</v>
      </c>
      <c r="AJ111" s="31">
        <f>VLOOKUP($A111,kurspris!$A$1:$Q$950,9,FALSE)</f>
        <v>0</v>
      </c>
      <c r="AK111" s="31">
        <f>VLOOKUP($A111,kurspris!$A$1:$Q$950,10,FALSE)</f>
        <v>0</v>
      </c>
      <c r="AL111" s="31">
        <f>VLOOKUP($A111,kurspris!$A$1:$Q$950,11,FALSE)</f>
        <v>0</v>
      </c>
      <c r="AM111" s="31">
        <f>VLOOKUP($A111,kurspris!$A$1:$Q$950,12,FALSE)</f>
        <v>0</v>
      </c>
      <c r="AN111" s="31">
        <f>VLOOKUP($A111,kurspris!$A$1:$Q$950,13,FALSE)</f>
        <v>0</v>
      </c>
      <c r="AO111" s="31">
        <f>VLOOKUP($A111,kurspris!$A$1:$Q$950,14,FALSE)</f>
        <v>0</v>
      </c>
      <c r="AP111" s="57" t="s">
        <v>2402</v>
      </c>
      <c r="AQ111"/>
      <c r="AR111" s="31">
        <f t="shared" si="34"/>
        <v>0</v>
      </c>
      <c r="AS111" s="219">
        <f t="shared" si="35"/>
        <v>0</v>
      </c>
      <c r="AT111" s="31">
        <f t="shared" si="36"/>
        <v>0</v>
      </c>
      <c r="AU111" s="219">
        <f t="shared" si="37"/>
        <v>0</v>
      </c>
      <c r="AV111" s="31">
        <f t="shared" si="38"/>
        <v>0</v>
      </c>
      <c r="AW111" s="31">
        <f t="shared" si="39"/>
        <v>0</v>
      </c>
      <c r="AX111" s="31">
        <f t="shared" si="40"/>
        <v>2</v>
      </c>
      <c r="AY111" s="219">
        <f t="shared" si="41"/>
        <v>1.7</v>
      </c>
      <c r="AZ111" s="196">
        <f t="shared" si="42"/>
        <v>0</v>
      </c>
      <c r="BA111" s="219">
        <f t="shared" si="43"/>
        <v>0</v>
      </c>
      <c r="BB111" s="31">
        <f t="shared" si="44"/>
        <v>0</v>
      </c>
      <c r="BC111" s="219">
        <f t="shared" si="45"/>
        <v>0</v>
      </c>
      <c r="BD111" s="31">
        <f t="shared" si="46"/>
        <v>0</v>
      </c>
      <c r="BE111" s="219">
        <f t="shared" si="47"/>
        <v>0</v>
      </c>
      <c r="BF111" s="31">
        <f t="shared" si="48"/>
        <v>0</v>
      </c>
      <c r="BG111" s="219">
        <f t="shared" si="49"/>
        <v>0</v>
      </c>
      <c r="BH111" s="31">
        <f t="shared" si="50"/>
        <v>0</v>
      </c>
      <c r="BI111" s="219">
        <f t="shared" si="51"/>
        <v>0</v>
      </c>
      <c r="BJ111" s="31">
        <f t="shared" si="52"/>
        <v>0</v>
      </c>
      <c r="BK111" s="219">
        <f t="shared" si="53"/>
        <v>0</v>
      </c>
      <c r="BL111" s="31">
        <f t="shared" si="54"/>
        <v>0</v>
      </c>
      <c r="BM111" s="219">
        <f t="shared" si="55"/>
        <v>0</v>
      </c>
      <c r="BN111" s="31">
        <f t="shared" si="56"/>
        <v>0</v>
      </c>
      <c r="BO111" s="219">
        <f t="shared" si="57"/>
        <v>0</v>
      </c>
    </row>
    <row r="112" spans="1:67" x14ac:dyDescent="0.25">
      <c r="A112" s="31" t="s">
        <v>1344</v>
      </c>
      <c r="B112" s="176" t="str">
        <f>VLOOKUP(A112,kurspris!$A$1:$B$992,2,FALSE)</f>
        <v>Examensarbete med ämnesdidaktisk inriktning</v>
      </c>
      <c r="C112" s="31">
        <v>66312</v>
      </c>
      <c r="D112" s="60" t="s">
        <v>626</v>
      </c>
      <c r="E112" s="60"/>
      <c r="F112" s="57" t="s">
        <v>2274</v>
      </c>
      <c r="H112" s="31" t="s">
        <v>2335</v>
      </c>
      <c r="I112" s="31" t="s">
        <v>2399</v>
      </c>
      <c r="L112" s="38"/>
      <c r="M112">
        <v>15</v>
      </c>
      <c r="P112" s="31">
        <v>1</v>
      </c>
      <c r="Q112" s="539">
        <v>0.25</v>
      </c>
      <c r="R112" s="38">
        <v>0.85</v>
      </c>
      <c r="S112" s="280">
        <f t="shared" si="30"/>
        <v>0.21249999999999999</v>
      </c>
      <c r="T112" s="31">
        <f>VLOOKUP(A112,'Ansvar kurs'!$A$1:$C$1123,2,FALSE)</f>
        <v>1650</v>
      </c>
      <c r="U112" s="31" t="str">
        <f>VLOOKUP(T112,Orgenheter!$A$1:$C$166,2,FALSE)</f>
        <v xml:space="preserve">Estetiska ämnen               </v>
      </c>
      <c r="V112" s="31" t="str">
        <f>VLOOKUP(T112,Orgenheter!$A$1:$C$166,3,FALSE)</f>
        <v>Hum</v>
      </c>
      <c r="W112" s="35" t="str">
        <f>VLOOKUP(D112,Program!$A$1:$B$36,2,FALSE)</f>
        <v>KPU - Gy</v>
      </c>
      <c r="X112" s="40">
        <f>VLOOKUP(A112,kurspris!$A$1:$Q$913,15,FALSE)</f>
        <v>26554</v>
      </c>
      <c r="Y112" s="40">
        <f>VLOOKUP(A112,kurspris!$A$1:$Q$913,16,FALSE)</f>
        <v>33465</v>
      </c>
      <c r="Z112" s="40">
        <f t="shared" si="31"/>
        <v>13749.8125</v>
      </c>
      <c r="AA112" s="40">
        <f>VLOOKUP(A112,kurspris!$A$1:$Q$913,17,FALSE)</f>
        <v>6000</v>
      </c>
      <c r="AB112" s="40">
        <f t="shared" si="32"/>
        <v>1500</v>
      </c>
      <c r="AC112" s="40">
        <f t="shared" si="33"/>
        <v>15249.8125</v>
      </c>
      <c r="AD112" s="31">
        <f>VLOOKUP($A112,kurspris!$A$1:$Q$950,3,FALSE)</f>
        <v>0</v>
      </c>
      <c r="AE112" s="31">
        <f>VLOOKUP($A112,kurspris!$A$1:$Q$950,4,FALSE)</f>
        <v>0</v>
      </c>
      <c r="AF112" s="31">
        <f>VLOOKUP($A112,kurspris!$A$1:$Q$950,5,FALSE)</f>
        <v>0</v>
      </c>
      <c r="AG112" s="31">
        <f>VLOOKUP($A112,kurspris!$A$1:$Q$950,6,FALSE)</f>
        <v>1</v>
      </c>
      <c r="AH112" s="31">
        <f>VLOOKUP($A112,kurspris!$A$1:$Q$950,7,FALSE)</f>
        <v>0</v>
      </c>
      <c r="AI112" s="31">
        <f>VLOOKUP($A112,kurspris!$A$1:$Q$950,8,FALSE)</f>
        <v>0</v>
      </c>
      <c r="AJ112" s="31">
        <f>VLOOKUP($A112,kurspris!$A$1:$Q$950,9,FALSE)</f>
        <v>0</v>
      </c>
      <c r="AK112" s="31">
        <f>VLOOKUP($A112,kurspris!$A$1:$Q$950,10,FALSE)</f>
        <v>0</v>
      </c>
      <c r="AL112" s="31">
        <f>VLOOKUP($A112,kurspris!$A$1:$Q$950,11,FALSE)</f>
        <v>0</v>
      </c>
      <c r="AM112" s="31">
        <f>VLOOKUP($A112,kurspris!$A$1:$Q$950,12,FALSE)</f>
        <v>0</v>
      </c>
      <c r="AN112" s="31">
        <f>VLOOKUP($A112,kurspris!$A$1:$Q$950,13,FALSE)</f>
        <v>0</v>
      </c>
      <c r="AO112" s="31">
        <f>VLOOKUP($A112,kurspris!$A$1:$Q$950,14,FALSE)</f>
        <v>0</v>
      </c>
      <c r="AP112" s="57" t="s">
        <v>2402</v>
      </c>
      <c r="AQ112"/>
      <c r="AR112" s="31">
        <f t="shared" si="34"/>
        <v>0</v>
      </c>
      <c r="AS112" s="219">
        <f t="shared" si="35"/>
        <v>0</v>
      </c>
      <c r="AT112" s="31">
        <f t="shared" si="36"/>
        <v>0</v>
      </c>
      <c r="AU112" s="219">
        <f t="shared" si="37"/>
        <v>0</v>
      </c>
      <c r="AV112" s="31">
        <f t="shared" si="38"/>
        <v>0</v>
      </c>
      <c r="AW112" s="31">
        <f t="shared" si="39"/>
        <v>0</v>
      </c>
      <c r="AX112" s="31">
        <f t="shared" si="40"/>
        <v>0.25</v>
      </c>
      <c r="AY112" s="219">
        <f t="shared" si="41"/>
        <v>0.21249999999999999</v>
      </c>
      <c r="AZ112" s="196">
        <f t="shared" si="42"/>
        <v>0</v>
      </c>
      <c r="BA112" s="219">
        <f t="shared" si="43"/>
        <v>0</v>
      </c>
      <c r="BB112" s="31">
        <f t="shared" si="44"/>
        <v>0</v>
      </c>
      <c r="BC112" s="219">
        <f t="shared" si="45"/>
        <v>0</v>
      </c>
      <c r="BD112" s="31">
        <f t="shared" si="46"/>
        <v>0</v>
      </c>
      <c r="BE112" s="219">
        <f t="shared" si="47"/>
        <v>0</v>
      </c>
      <c r="BF112" s="31">
        <f t="shared" si="48"/>
        <v>0</v>
      </c>
      <c r="BG112" s="219">
        <f t="shared" si="49"/>
        <v>0</v>
      </c>
      <c r="BH112" s="31">
        <f t="shared" si="50"/>
        <v>0</v>
      </c>
      <c r="BI112" s="219">
        <f t="shared" si="51"/>
        <v>0</v>
      </c>
      <c r="BJ112" s="31">
        <f t="shared" si="52"/>
        <v>0</v>
      </c>
      <c r="BK112" s="219">
        <f t="shared" si="53"/>
        <v>0</v>
      </c>
      <c r="BL112" s="31">
        <f t="shared" si="54"/>
        <v>0</v>
      </c>
      <c r="BM112" s="219">
        <f t="shared" si="55"/>
        <v>0</v>
      </c>
      <c r="BN112" s="31">
        <f t="shared" si="56"/>
        <v>0</v>
      </c>
      <c r="BO112" s="219">
        <f t="shared" si="57"/>
        <v>0</v>
      </c>
    </row>
    <row r="113" spans="1:67" x14ac:dyDescent="0.25">
      <c r="A113" s="157" t="s">
        <v>1590</v>
      </c>
      <c r="B113" s="176" t="str">
        <f>VLOOKUP(A113,kurspris!$A$1:$B$992,2,FALSE)</f>
        <v xml:space="preserve">Bild 2, fristående </v>
      </c>
      <c r="C113" s="35"/>
      <c r="D113" s="31" t="s">
        <v>117</v>
      </c>
      <c r="F113" s="60" t="s">
        <v>2273</v>
      </c>
      <c r="I113" s="31" t="s">
        <v>2276</v>
      </c>
      <c r="L113" s="38">
        <v>1</v>
      </c>
      <c r="M113" s="325">
        <v>30</v>
      </c>
      <c r="P113" s="31">
        <v>3</v>
      </c>
      <c r="Q113" s="196">
        <f>(M113/60)*P113</f>
        <v>1.5</v>
      </c>
      <c r="R113" s="38">
        <v>0.8</v>
      </c>
      <c r="S113" s="280">
        <f t="shared" si="30"/>
        <v>1.2000000000000002</v>
      </c>
      <c r="T113" s="31">
        <f>VLOOKUP(A113,'Ansvar kurs'!$A$1:$C$1123,2,FALSE)</f>
        <v>1650</v>
      </c>
      <c r="U113" s="31" t="str">
        <f>VLOOKUP(T113,Orgenheter!$A$1:$C$166,2,FALSE)</f>
        <v xml:space="preserve">Estetiska ämnen               </v>
      </c>
      <c r="V113" s="31" t="str">
        <f>VLOOKUP(T113,Orgenheter!$A$1:$C$166,3,FALSE)</f>
        <v>Hum</v>
      </c>
      <c r="W113" s="35" t="str">
        <f>VLOOKUP(D113,Program!$A$1:$B$36,2,FALSE)</f>
        <v>Fristående och övriga kurser</v>
      </c>
      <c r="X113" s="40">
        <f>VLOOKUP(A113,kurspris!$A$1:$Q$913,15,FALSE)</f>
        <v>51362</v>
      </c>
      <c r="Y113" s="40">
        <f>VLOOKUP(A113,kurspris!$A$1:$Q$913,16,FALSE)</f>
        <v>59096</v>
      </c>
      <c r="Z113" s="40">
        <f t="shared" si="31"/>
        <v>147958.20000000001</v>
      </c>
      <c r="AA113" s="40">
        <f>VLOOKUP(A113,kurspris!$A$1:$Q$913,17,FALSE)</f>
        <v>71500</v>
      </c>
      <c r="AB113" s="40">
        <f t="shared" si="32"/>
        <v>107250</v>
      </c>
      <c r="AC113" s="40">
        <f t="shared" si="33"/>
        <v>255208.2</v>
      </c>
      <c r="AD113" s="31">
        <f>VLOOKUP($A113,kurspris!$A$1:$Q$950,3,FALSE)</f>
        <v>1</v>
      </c>
      <c r="AE113" s="31">
        <f>VLOOKUP($A113,kurspris!$A$1:$Q$950,4,FALSE)</f>
        <v>0</v>
      </c>
      <c r="AF113" s="31">
        <f>VLOOKUP($A113,kurspris!$A$1:$Q$950,5,FALSE)</f>
        <v>0</v>
      </c>
      <c r="AG113" s="31">
        <f>VLOOKUP($A113,kurspris!$A$1:$Q$950,6,FALSE)</f>
        <v>0</v>
      </c>
      <c r="AH113" s="31">
        <f>VLOOKUP($A113,kurspris!$A$1:$Q$950,7,FALSE)</f>
        <v>0</v>
      </c>
      <c r="AI113" s="31">
        <f>VLOOKUP($A113,kurspris!$A$1:$Q$950,8,FALSE)</f>
        <v>0</v>
      </c>
      <c r="AJ113" s="31">
        <f>VLOOKUP($A113,kurspris!$A$1:$Q$950,9,FALSE)</f>
        <v>0</v>
      </c>
      <c r="AK113" s="31">
        <f>VLOOKUP($A113,kurspris!$A$1:$Q$950,10,FALSE)</f>
        <v>0</v>
      </c>
      <c r="AL113" s="31">
        <f>VLOOKUP($A113,kurspris!$A$1:$Q$950,11,FALSE)</f>
        <v>0</v>
      </c>
      <c r="AM113" s="31">
        <f>VLOOKUP($A113,kurspris!$A$1:$Q$950,12,FALSE)</f>
        <v>0</v>
      </c>
      <c r="AN113" s="31">
        <f>VLOOKUP($A113,kurspris!$A$1:$Q$950,13,FALSE)</f>
        <v>0</v>
      </c>
      <c r="AO113" s="31">
        <f>VLOOKUP($A113,kurspris!$A$1:$Q$950,14,FALSE)</f>
        <v>0</v>
      </c>
      <c r="AP113" s="57" t="s">
        <v>2267</v>
      </c>
      <c r="AQ113"/>
      <c r="AR113" s="31">
        <f t="shared" si="34"/>
        <v>1.5</v>
      </c>
      <c r="AS113" s="219">
        <f t="shared" si="35"/>
        <v>1.2000000000000002</v>
      </c>
      <c r="AT113" s="31">
        <f t="shared" si="36"/>
        <v>0</v>
      </c>
      <c r="AU113" s="219">
        <f t="shared" si="37"/>
        <v>0</v>
      </c>
      <c r="AV113" s="31">
        <f t="shared" si="38"/>
        <v>0</v>
      </c>
      <c r="AW113" s="31">
        <f t="shared" si="39"/>
        <v>0</v>
      </c>
      <c r="AX113" s="31">
        <f t="shared" si="40"/>
        <v>0</v>
      </c>
      <c r="AY113" s="219">
        <f t="shared" si="41"/>
        <v>0</v>
      </c>
      <c r="AZ113" s="196">
        <f t="shared" si="42"/>
        <v>0</v>
      </c>
      <c r="BA113" s="219">
        <f t="shared" si="43"/>
        <v>0</v>
      </c>
      <c r="BB113" s="31">
        <f t="shared" si="44"/>
        <v>0</v>
      </c>
      <c r="BC113" s="219">
        <f t="shared" si="45"/>
        <v>0</v>
      </c>
      <c r="BD113" s="31">
        <f t="shared" si="46"/>
        <v>0</v>
      </c>
      <c r="BE113" s="219">
        <f t="shared" si="47"/>
        <v>0</v>
      </c>
      <c r="BF113" s="31">
        <f t="shared" si="48"/>
        <v>0</v>
      </c>
      <c r="BG113" s="219">
        <f t="shared" si="49"/>
        <v>0</v>
      </c>
      <c r="BH113" s="31">
        <f t="shared" si="50"/>
        <v>0</v>
      </c>
      <c r="BI113" s="219">
        <f t="shared" si="51"/>
        <v>0</v>
      </c>
      <c r="BJ113" s="31">
        <f t="shared" si="52"/>
        <v>0</v>
      </c>
      <c r="BK113" s="219">
        <f t="shared" si="53"/>
        <v>0</v>
      </c>
      <c r="BL113" s="31">
        <f t="shared" si="54"/>
        <v>0</v>
      </c>
      <c r="BM113" s="219">
        <f t="shared" si="55"/>
        <v>0</v>
      </c>
      <c r="BN113" s="31">
        <f t="shared" si="56"/>
        <v>0</v>
      </c>
      <c r="BO113" s="219">
        <f t="shared" si="57"/>
        <v>0</v>
      </c>
    </row>
    <row r="114" spans="1:67" x14ac:dyDescent="0.25">
      <c r="A114" s="31" t="s">
        <v>1591</v>
      </c>
      <c r="B114" s="176" t="str">
        <f>VLOOKUP(A114,kurspris!$A$1:$B$992,2,FALSE)</f>
        <v>Forskning och utvecklingsarbete i skolan 1</v>
      </c>
      <c r="D114" s="31" t="s">
        <v>117</v>
      </c>
      <c r="F114" s="31" t="s">
        <v>2273</v>
      </c>
      <c r="I114" s="31" t="s">
        <v>2275</v>
      </c>
      <c r="L114" s="38">
        <v>0.25</v>
      </c>
      <c r="M114" s="325">
        <v>7.5</v>
      </c>
      <c r="P114" s="31">
        <v>5</v>
      </c>
      <c r="Q114" s="196">
        <f>(M114/60)*P114</f>
        <v>0.625</v>
      </c>
      <c r="R114" s="38">
        <v>0.8</v>
      </c>
      <c r="S114" s="280">
        <f t="shared" si="30"/>
        <v>0.5</v>
      </c>
      <c r="T114" s="31">
        <f>VLOOKUP(A114,'Ansvar kurs'!$A$1:$C$1123,2,FALSE)</f>
        <v>1650</v>
      </c>
      <c r="U114" s="31" t="str">
        <f>VLOOKUP(T114,Orgenheter!$A$1:$C$166,2,FALSE)</f>
        <v xml:space="preserve">Estetiska ämnen               </v>
      </c>
      <c r="V114" s="31" t="str">
        <f>VLOOKUP(T114,Orgenheter!$A$1:$C$166,3,FALSE)</f>
        <v>Hum</v>
      </c>
      <c r="W114" s="35" t="str">
        <f>VLOOKUP(D114,Program!$A$1:$B$36,2,FALSE)</f>
        <v>Fristående och övriga kurser</v>
      </c>
      <c r="X114" s="40">
        <f>VLOOKUP(A114,kurspris!$A$1:$Q$913,15,FALSE)</f>
        <v>20766</v>
      </c>
      <c r="Y114" s="40">
        <f>VLOOKUP(A114,kurspris!$A$1:$Q$913,16,FALSE)</f>
        <v>17442</v>
      </c>
      <c r="Z114" s="40">
        <f t="shared" si="31"/>
        <v>21699.75</v>
      </c>
      <c r="AA114" s="40">
        <f>VLOOKUP(A114,kurspris!$A$1:$Q$913,17,FALSE)</f>
        <v>6000</v>
      </c>
      <c r="AB114" s="40">
        <f t="shared" si="32"/>
        <v>3750</v>
      </c>
      <c r="AC114" s="40">
        <f t="shared" si="33"/>
        <v>25449.75</v>
      </c>
      <c r="AD114" s="31">
        <f>VLOOKUP($A114,kurspris!$A$1:$Q$950,3,FALSE)</f>
        <v>0</v>
      </c>
      <c r="AE114" s="31">
        <f>VLOOKUP($A114,kurspris!$A$1:$Q$950,4,FALSE)</f>
        <v>1</v>
      </c>
      <c r="AF114" s="31">
        <f>VLOOKUP($A114,kurspris!$A$1:$Q$950,5,FALSE)</f>
        <v>0</v>
      </c>
      <c r="AG114" s="31">
        <f>VLOOKUP($A114,kurspris!$A$1:$Q$950,6,FALSE)</f>
        <v>0</v>
      </c>
      <c r="AH114" s="31">
        <f>VLOOKUP($A114,kurspris!$A$1:$Q$950,7,FALSE)</f>
        <v>0</v>
      </c>
      <c r="AI114" s="31">
        <f>VLOOKUP($A114,kurspris!$A$1:$Q$950,8,FALSE)</f>
        <v>0</v>
      </c>
      <c r="AJ114" s="31">
        <f>VLOOKUP($A114,kurspris!$A$1:$Q$950,9,FALSE)</f>
        <v>0</v>
      </c>
      <c r="AK114" s="31">
        <f>VLOOKUP($A114,kurspris!$A$1:$Q$950,10,FALSE)</f>
        <v>0</v>
      </c>
      <c r="AL114" s="31">
        <f>VLOOKUP($A114,kurspris!$A$1:$Q$950,11,FALSE)</f>
        <v>0</v>
      </c>
      <c r="AM114" s="31">
        <f>VLOOKUP($A114,kurspris!$A$1:$Q$950,12,FALSE)</f>
        <v>0</v>
      </c>
      <c r="AN114" s="31">
        <f>VLOOKUP($A114,kurspris!$A$1:$Q$950,13,FALSE)</f>
        <v>0</v>
      </c>
      <c r="AO114" s="31">
        <f>VLOOKUP($A114,kurspris!$A$1:$Q$950,14,FALSE)</f>
        <v>0</v>
      </c>
      <c r="AP114" s="57" t="s">
        <v>2267</v>
      </c>
      <c r="AQ114" s="37"/>
      <c r="AR114" s="31">
        <f t="shared" si="34"/>
        <v>0</v>
      </c>
      <c r="AS114" s="219">
        <f t="shared" si="35"/>
        <v>0</v>
      </c>
      <c r="AT114" s="31">
        <f t="shared" si="36"/>
        <v>0.625</v>
      </c>
      <c r="AU114" s="219">
        <f t="shared" si="37"/>
        <v>0.5</v>
      </c>
      <c r="AV114" s="31">
        <f t="shared" si="38"/>
        <v>0</v>
      </c>
      <c r="AW114" s="31">
        <f t="shared" si="39"/>
        <v>0</v>
      </c>
      <c r="AX114" s="31">
        <f t="shared" si="40"/>
        <v>0</v>
      </c>
      <c r="AY114" s="219">
        <f t="shared" si="41"/>
        <v>0</v>
      </c>
      <c r="AZ114" s="196">
        <f t="shared" si="42"/>
        <v>0</v>
      </c>
      <c r="BA114" s="219">
        <f t="shared" si="43"/>
        <v>0</v>
      </c>
      <c r="BB114" s="31">
        <f t="shared" si="44"/>
        <v>0</v>
      </c>
      <c r="BC114" s="219">
        <f t="shared" si="45"/>
        <v>0</v>
      </c>
      <c r="BD114" s="31">
        <f t="shared" si="46"/>
        <v>0</v>
      </c>
      <c r="BE114" s="219">
        <f t="shared" si="47"/>
        <v>0</v>
      </c>
      <c r="BF114" s="31">
        <f t="shared" si="48"/>
        <v>0</v>
      </c>
      <c r="BG114" s="219">
        <f t="shared" si="49"/>
        <v>0</v>
      </c>
      <c r="BH114" s="31">
        <f t="shared" si="50"/>
        <v>0</v>
      </c>
      <c r="BI114" s="219">
        <f t="shared" si="51"/>
        <v>0</v>
      </c>
      <c r="BJ114" s="31">
        <f t="shared" si="52"/>
        <v>0</v>
      </c>
      <c r="BK114" s="219">
        <f t="shared" si="53"/>
        <v>0</v>
      </c>
      <c r="BL114" s="31">
        <f t="shared" si="54"/>
        <v>0</v>
      </c>
      <c r="BM114" s="219">
        <f t="shared" si="55"/>
        <v>0</v>
      </c>
      <c r="BN114" s="31">
        <f t="shared" si="56"/>
        <v>0</v>
      </c>
      <c r="BO114" s="219">
        <f t="shared" si="57"/>
        <v>0</v>
      </c>
    </row>
    <row r="115" spans="1:67" x14ac:dyDescent="0.25">
      <c r="A115" s="31" t="s">
        <v>1532</v>
      </c>
      <c r="B115" s="176" t="str">
        <f>VLOOKUP(A115,kurspris!$A$1:$B$992,2,FALSE)</f>
        <v>Skapande lek i förskolan 1</v>
      </c>
      <c r="C115" s="31">
        <v>66311</v>
      </c>
      <c r="D115" s="60" t="s">
        <v>483</v>
      </c>
      <c r="E115" s="60"/>
      <c r="F115" s="57" t="s">
        <v>2274</v>
      </c>
      <c r="H115" s="31" t="s">
        <v>2335</v>
      </c>
      <c r="I115" s="31" t="s">
        <v>2399</v>
      </c>
      <c r="L115" s="38"/>
      <c r="M115">
        <v>7.5</v>
      </c>
      <c r="P115" s="31">
        <v>22</v>
      </c>
      <c r="Q115" s="539">
        <v>2.75</v>
      </c>
      <c r="R115" s="38">
        <v>0.85</v>
      </c>
      <c r="S115" s="280">
        <f t="shared" si="30"/>
        <v>2.3374999999999999</v>
      </c>
      <c r="T115" s="31">
        <f>VLOOKUP(A115,'Ansvar kurs'!$A$1:$C$1123,2,FALSE)</f>
        <v>1650</v>
      </c>
      <c r="U115" s="31" t="str">
        <f>VLOOKUP(T115,Orgenheter!$A$1:$C$166,2,FALSE)</f>
        <v xml:space="preserve">Estetiska ämnen               </v>
      </c>
      <c r="V115" s="31" t="str">
        <f>VLOOKUP(T115,Orgenheter!$A$1:$C$166,3,FALSE)</f>
        <v>Hum</v>
      </c>
      <c r="W115" s="35" t="str">
        <f>VLOOKUP(D115,Program!$A$1:$B$36,2,FALSE)</f>
        <v>Förskollärarprogrammet</v>
      </c>
      <c r="X115" s="40">
        <f>VLOOKUP(A115,kurspris!$A$1:$Q$913,15,FALSE)</f>
        <v>16920</v>
      </c>
      <c r="Y115" s="40">
        <f>VLOOKUP(A115,kurspris!$A$1:$Q$913,16,FALSE)</f>
        <v>27913</v>
      </c>
      <c r="Z115" s="40">
        <f t="shared" si="31"/>
        <v>111776.6375</v>
      </c>
      <c r="AA115" s="40">
        <f>VLOOKUP(A115,kurspris!$A$1:$Q$913,17,FALSE)</f>
        <v>17900</v>
      </c>
      <c r="AB115" s="40">
        <f t="shared" si="32"/>
        <v>49225</v>
      </c>
      <c r="AC115" s="40">
        <f t="shared" si="33"/>
        <v>161001.63750000001</v>
      </c>
      <c r="AD115" s="31">
        <f>VLOOKUP($A115,kurspris!$A$1:$Q$950,3,FALSE)</f>
        <v>0</v>
      </c>
      <c r="AE115" s="31">
        <f>VLOOKUP($A115,kurspris!$A$1:$Q$950,4,FALSE)</f>
        <v>0</v>
      </c>
      <c r="AF115" s="31">
        <f>VLOOKUP($A115,kurspris!$A$1:$Q$950,5,FALSE)</f>
        <v>0</v>
      </c>
      <c r="AG115" s="31">
        <f>VLOOKUP($A115,kurspris!$A$1:$Q$950,6,FALSE)</f>
        <v>0</v>
      </c>
      <c r="AH115" s="31">
        <f>VLOOKUP($A115,kurspris!$A$1:$Q$950,7,FALSE)</f>
        <v>0</v>
      </c>
      <c r="AI115" s="31">
        <f>VLOOKUP($A115,kurspris!$A$1:$Q$950,8,FALSE)</f>
        <v>0</v>
      </c>
      <c r="AJ115" s="31">
        <f>VLOOKUP($A115,kurspris!$A$1:$Q$950,9,FALSE)</f>
        <v>0</v>
      </c>
      <c r="AK115" s="31">
        <f>VLOOKUP($A115,kurspris!$A$1:$Q$950,10,FALSE)</f>
        <v>0</v>
      </c>
      <c r="AL115" s="31">
        <f>VLOOKUP($A115,kurspris!$A$1:$Q$950,11,FALSE)</f>
        <v>0</v>
      </c>
      <c r="AM115" s="31">
        <f>VLOOKUP($A115,kurspris!$A$1:$Q$950,12,FALSE)</f>
        <v>0</v>
      </c>
      <c r="AN115" s="31">
        <f>VLOOKUP($A115,kurspris!$A$1:$Q$950,13,FALSE)</f>
        <v>1</v>
      </c>
      <c r="AO115" s="31">
        <f>VLOOKUP($A115,kurspris!$A$1:$Q$950,14,FALSE)</f>
        <v>0</v>
      </c>
      <c r="AP115" s="57" t="s">
        <v>2402</v>
      </c>
      <c r="AQ115"/>
      <c r="AR115" s="31">
        <f t="shared" si="34"/>
        <v>0</v>
      </c>
      <c r="AS115" s="219">
        <f t="shared" si="35"/>
        <v>0</v>
      </c>
      <c r="AT115" s="31">
        <f t="shared" si="36"/>
        <v>0</v>
      </c>
      <c r="AU115" s="219">
        <f t="shared" si="37"/>
        <v>0</v>
      </c>
      <c r="AV115" s="31">
        <f t="shared" si="38"/>
        <v>0</v>
      </c>
      <c r="AW115" s="31">
        <f t="shared" si="39"/>
        <v>0</v>
      </c>
      <c r="AX115" s="31">
        <f t="shared" si="40"/>
        <v>0</v>
      </c>
      <c r="AY115" s="219">
        <f t="shared" si="41"/>
        <v>0</v>
      </c>
      <c r="AZ115" s="196">
        <f t="shared" si="42"/>
        <v>0</v>
      </c>
      <c r="BA115" s="219">
        <f t="shared" si="43"/>
        <v>0</v>
      </c>
      <c r="BB115" s="31">
        <f t="shared" si="44"/>
        <v>0</v>
      </c>
      <c r="BC115" s="219">
        <f t="shared" si="45"/>
        <v>0</v>
      </c>
      <c r="BD115" s="31">
        <f t="shared" si="46"/>
        <v>0</v>
      </c>
      <c r="BE115" s="219">
        <f t="shared" si="47"/>
        <v>0</v>
      </c>
      <c r="BF115" s="31">
        <f t="shared" si="48"/>
        <v>0</v>
      </c>
      <c r="BG115" s="219">
        <f t="shared" si="49"/>
        <v>0</v>
      </c>
      <c r="BH115" s="31">
        <f t="shared" si="50"/>
        <v>0</v>
      </c>
      <c r="BI115" s="219">
        <f t="shared" si="51"/>
        <v>0</v>
      </c>
      <c r="BJ115" s="31">
        <f t="shared" si="52"/>
        <v>0</v>
      </c>
      <c r="BK115" s="219">
        <f t="shared" si="53"/>
        <v>0</v>
      </c>
      <c r="BL115" s="31">
        <f t="shared" si="54"/>
        <v>2.75</v>
      </c>
      <c r="BM115" s="219">
        <f t="shared" si="55"/>
        <v>2.3374999999999999</v>
      </c>
      <c r="BN115" s="31">
        <f t="shared" si="56"/>
        <v>0</v>
      </c>
      <c r="BO115" s="219">
        <f t="shared" si="57"/>
        <v>0</v>
      </c>
    </row>
    <row r="116" spans="1:67" x14ac:dyDescent="0.25">
      <c r="A116" s="31" t="s">
        <v>1432</v>
      </c>
      <c r="B116" s="176" t="str">
        <f>VLOOKUP(A116,kurspris!$A$1:$B$992,2,FALSE)</f>
        <v>Praktiskt estetiskt ämne - Bild 1</v>
      </c>
      <c r="D116" s="60" t="s">
        <v>484</v>
      </c>
      <c r="E116" s="576" t="s">
        <v>2432</v>
      </c>
      <c r="F116" s="31" t="s">
        <v>2273</v>
      </c>
      <c r="G116" t="s">
        <v>2437</v>
      </c>
      <c r="H116" t="s">
        <v>2335</v>
      </c>
      <c r="I116" s="31" t="s">
        <v>2276</v>
      </c>
      <c r="L116" s="38">
        <v>1</v>
      </c>
      <c r="M116">
        <v>15</v>
      </c>
      <c r="P116" s="31">
        <v>11</v>
      </c>
      <c r="Q116" s="196">
        <f>(M116/60)*P116</f>
        <v>2.75</v>
      </c>
      <c r="R116" s="38">
        <v>0.85</v>
      </c>
      <c r="S116" s="280">
        <f t="shared" si="30"/>
        <v>2.3374999999999999</v>
      </c>
      <c r="T116" s="31">
        <f>VLOOKUP(A116,'Ansvar kurs'!$A$1:$C$1123,2,FALSE)</f>
        <v>1650</v>
      </c>
      <c r="U116" s="31" t="str">
        <f>VLOOKUP(T116,Orgenheter!$A$1:$C$166,2,FALSE)</f>
        <v xml:space="preserve">Estetiska ämnen               </v>
      </c>
      <c r="V116" s="31" t="str">
        <f>VLOOKUP(T116,Orgenheter!$A$1:$C$166,3,FALSE)</f>
        <v>Hum</v>
      </c>
      <c r="W116" s="35" t="str">
        <f>VLOOKUP(D116,Program!$A$1:$B$36,2,FALSE)</f>
        <v>Grundlärarprogrammet - fritidshem</v>
      </c>
      <c r="X116" s="40">
        <f>VLOOKUP(A116,kurspris!$A$1:$Q$913,15,FALSE)</f>
        <v>16920</v>
      </c>
      <c r="Y116" s="40">
        <f>VLOOKUP(A116,kurspris!$A$1:$Q$913,16,FALSE)</f>
        <v>27913</v>
      </c>
      <c r="Z116" s="40">
        <f t="shared" si="31"/>
        <v>111776.6375</v>
      </c>
      <c r="AA116" s="40">
        <f>VLOOKUP(A116,kurspris!$A$1:$Q$913,17,FALSE)</f>
        <v>17900</v>
      </c>
      <c r="AB116" s="40">
        <f t="shared" si="32"/>
        <v>49225</v>
      </c>
      <c r="AC116" s="40">
        <f t="shared" si="33"/>
        <v>161001.63750000001</v>
      </c>
      <c r="AD116" s="31">
        <f>VLOOKUP($A116,kurspris!$A$1:$Q$950,3,FALSE)</f>
        <v>0</v>
      </c>
      <c r="AE116" s="31">
        <f>VLOOKUP($A116,kurspris!$A$1:$Q$950,4,FALSE)</f>
        <v>0</v>
      </c>
      <c r="AF116" s="31">
        <f>VLOOKUP($A116,kurspris!$A$1:$Q$950,5,FALSE)</f>
        <v>0</v>
      </c>
      <c r="AG116" s="31">
        <f>VLOOKUP($A116,kurspris!$A$1:$Q$950,6,FALSE)</f>
        <v>0</v>
      </c>
      <c r="AH116" s="31">
        <f>VLOOKUP($A116,kurspris!$A$1:$Q$950,7,FALSE)</f>
        <v>0</v>
      </c>
      <c r="AI116" s="31">
        <f>VLOOKUP($A116,kurspris!$A$1:$Q$950,8,FALSE)</f>
        <v>0</v>
      </c>
      <c r="AJ116" s="31">
        <f>VLOOKUP($A116,kurspris!$A$1:$Q$950,9,FALSE)</f>
        <v>0</v>
      </c>
      <c r="AK116" s="31">
        <f>VLOOKUP($A116,kurspris!$A$1:$Q$950,10,FALSE)</f>
        <v>0</v>
      </c>
      <c r="AL116" s="31">
        <f>VLOOKUP($A116,kurspris!$A$1:$Q$950,11,FALSE)</f>
        <v>0</v>
      </c>
      <c r="AM116" s="31">
        <f>VLOOKUP($A116,kurspris!$A$1:$Q$950,12,FALSE)</f>
        <v>0</v>
      </c>
      <c r="AN116" s="31">
        <f>VLOOKUP($A116,kurspris!$A$1:$Q$950,13,FALSE)</f>
        <v>1</v>
      </c>
      <c r="AO116" s="31">
        <f>VLOOKUP($A116,kurspris!$A$1:$Q$950,14,FALSE)</f>
        <v>0</v>
      </c>
      <c r="AP116" s="57" t="s">
        <v>2504</v>
      </c>
      <c r="AQ116"/>
      <c r="AR116" s="31">
        <f t="shared" si="34"/>
        <v>0</v>
      </c>
      <c r="AS116" s="219">
        <f t="shared" si="35"/>
        <v>0</v>
      </c>
      <c r="AT116" s="31">
        <f t="shared" si="36"/>
        <v>0</v>
      </c>
      <c r="AU116" s="219">
        <f t="shared" si="37"/>
        <v>0</v>
      </c>
      <c r="AV116" s="31">
        <f t="shared" si="38"/>
        <v>0</v>
      </c>
      <c r="AW116" s="31">
        <f t="shared" si="39"/>
        <v>0</v>
      </c>
      <c r="AX116" s="31">
        <f t="shared" si="40"/>
        <v>0</v>
      </c>
      <c r="AY116" s="219">
        <f t="shared" si="41"/>
        <v>0</v>
      </c>
      <c r="AZ116" s="196">
        <f t="shared" si="42"/>
        <v>0</v>
      </c>
      <c r="BA116" s="219">
        <f t="shared" si="43"/>
        <v>0</v>
      </c>
      <c r="BB116" s="31">
        <f t="shared" si="44"/>
        <v>0</v>
      </c>
      <c r="BC116" s="219">
        <f t="shared" si="45"/>
        <v>0</v>
      </c>
      <c r="BD116" s="31">
        <f t="shared" si="46"/>
        <v>0</v>
      </c>
      <c r="BE116" s="219">
        <f t="shared" si="47"/>
        <v>0</v>
      </c>
      <c r="BF116" s="31">
        <f t="shared" si="48"/>
        <v>0</v>
      </c>
      <c r="BG116" s="219">
        <f t="shared" si="49"/>
        <v>0</v>
      </c>
      <c r="BH116" s="31">
        <f t="shared" si="50"/>
        <v>0</v>
      </c>
      <c r="BI116" s="219">
        <f t="shared" si="51"/>
        <v>0</v>
      </c>
      <c r="BJ116" s="31">
        <f t="shared" si="52"/>
        <v>0</v>
      </c>
      <c r="BK116" s="219">
        <f t="shared" si="53"/>
        <v>0</v>
      </c>
      <c r="BL116" s="31">
        <f t="shared" si="54"/>
        <v>2.75</v>
      </c>
      <c r="BM116" s="219">
        <f t="shared" si="55"/>
        <v>2.3374999999999999</v>
      </c>
      <c r="BN116" s="31">
        <f t="shared" si="56"/>
        <v>0</v>
      </c>
      <c r="BO116" s="219">
        <f t="shared" si="57"/>
        <v>0</v>
      </c>
    </row>
    <row r="117" spans="1:67" x14ac:dyDescent="0.25">
      <c r="A117" s="31" t="s">
        <v>1675</v>
      </c>
      <c r="B117" s="176" t="str">
        <f>VLOOKUP(A117,kurspris!$A$1:$B$992,2,FALSE)</f>
        <v>Praktiskt estetiskt ämne - Bild 2</v>
      </c>
      <c r="D117" s="60" t="s">
        <v>484</v>
      </c>
      <c r="E117" s="576" t="s">
        <v>2434</v>
      </c>
      <c r="F117" s="31" t="s">
        <v>2273</v>
      </c>
      <c r="G117" t="s">
        <v>2440</v>
      </c>
      <c r="H117" t="s">
        <v>2335</v>
      </c>
      <c r="I117" s="31" t="s">
        <v>2276</v>
      </c>
      <c r="L117" s="38">
        <v>1</v>
      </c>
      <c r="M117">
        <v>15</v>
      </c>
      <c r="P117" s="31">
        <v>5</v>
      </c>
      <c r="Q117" s="196">
        <f>(M117/60)*P117</f>
        <v>1.25</v>
      </c>
      <c r="R117" s="38">
        <v>0.85</v>
      </c>
      <c r="S117" s="280">
        <f t="shared" si="30"/>
        <v>1.0625</v>
      </c>
      <c r="T117" s="31">
        <f>VLOOKUP(A117,'Ansvar kurs'!$A$1:$C$1123,2,FALSE)</f>
        <v>1650</v>
      </c>
      <c r="U117" s="31" t="str">
        <f>VLOOKUP(T117,Orgenheter!$A$1:$C$166,2,FALSE)</f>
        <v xml:space="preserve">Estetiska ämnen               </v>
      </c>
      <c r="V117" s="31" t="str">
        <f>VLOOKUP(T117,Orgenheter!$A$1:$C$166,3,FALSE)</f>
        <v>Hum</v>
      </c>
      <c r="W117" s="35" t="str">
        <f>VLOOKUP(D117,Program!$A$1:$B$36,2,FALSE)</f>
        <v>Grundlärarprogrammet - fritidshem</v>
      </c>
      <c r="X117" s="40">
        <f>VLOOKUP(A117,kurspris!$A$1:$Q$913,15,FALSE)</f>
        <v>16920</v>
      </c>
      <c r="Y117" s="40">
        <f>VLOOKUP(A117,kurspris!$A$1:$Q$913,16,FALSE)</f>
        <v>27913</v>
      </c>
      <c r="Z117" s="40">
        <f t="shared" si="31"/>
        <v>50807.5625</v>
      </c>
      <c r="AA117" s="40">
        <f>VLOOKUP(A117,kurspris!$A$1:$Q$913,17,FALSE)</f>
        <v>17900</v>
      </c>
      <c r="AB117" s="40">
        <f t="shared" si="32"/>
        <v>22375</v>
      </c>
      <c r="AC117" s="40">
        <f t="shared" si="33"/>
        <v>73182.5625</v>
      </c>
      <c r="AD117" s="31">
        <f>VLOOKUP($A117,kurspris!$A$1:$Q$950,3,FALSE)</f>
        <v>0</v>
      </c>
      <c r="AE117" s="31">
        <f>VLOOKUP($A117,kurspris!$A$1:$Q$950,4,FALSE)</f>
        <v>0</v>
      </c>
      <c r="AF117" s="31">
        <f>VLOOKUP($A117,kurspris!$A$1:$Q$950,5,FALSE)</f>
        <v>0</v>
      </c>
      <c r="AG117" s="31">
        <f>VLOOKUP($A117,kurspris!$A$1:$Q$950,6,FALSE)</f>
        <v>0</v>
      </c>
      <c r="AH117" s="31">
        <f>VLOOKUP($A117,kurspris!$A$1:$Q$950,7,FALSE)</f>
        <v>0</v>
      </c>
      <c r="AI117" s="31">
        <f>VLOOKUP($A117,kurspris!$A$1:$Q$950,8,FALSE)</f>
        <v>0</v>
      </c>
      <c r="AJ117" s="31">
        <f>VLOOKUP($A117,kurspris!$A$1:$Q$950,9,FALSE)</f>
        <v>0</v>
      </c>
      <c r="AK117" s="31">
        <f>VLOOKUP($A117,kurspris!$A$1:$Q$950,10,FALSE)</f>
        <v>0</v>
      </c>
      <c r="AL117" s="31">
        <f>VLOOKUP($A117,kurspris!$A$1:$Q$950,11,FALSE)</f>
        <v>0</v>
      </c>
      <c r="AM117" s="31">
        <f>VLOOKUP($A117,kurspris!$A$1:$Q$950,12,FALSE)</f>
        <v>0</v>
      </c>
      <c r="AN117" s="31">
        <f>VLOOKUP($A117,kurspris!$A$1:$Q$950,13,FALSE)</f>
        <v>1</v>
      </c>
      <c r="AO117" s="31">
        <f>VLOOKUP($A117,kurspris!$A$1:$Q$950,14,FALSE)</f>
        <v>0</v>
      </c>
      <c r="AP117" s="57" t="s">
        <v>2504</v>
      </c>
      <c r="AQ117"/>
      <c r="AR117" s="31">
        <f t="shared" si="34"/>
        <v>0</v>
      </c>
      <c r="AS117" s="219">
        <f t="shared" si="35"/>
        <v>0</v>
      </c>
      <c r="AT117" s="31">
        <f t="shared" si="36"/>
        <v>0</v>
      </c>
      <c r="AU117" s="219">
        <f t="shared" si="37"/>
        <v>0</v>
      </c>
      <c r="AV117" s="31">
        <f t="shared" si="38"/>
        <v>0</v>
      </c>
      <c r="AW117" s="31">
        <f t="shared" si="39"/>
        <v>0</v>
      </c>
      <c r="AX117" s="31">
        <f t="shared" si="40"/>
        <v>0</v>
      </c>
      <c r="AY117" s="219">
        <f t="shared" si="41"/>
        <v>0</v>
      </c>
      <c r="AZ117" s="196">
        <f t="shared" si="42"/>
        <v>0</v>
      </c>
      <c r="BA117" s="219">
        <f t="shared" si="43"/>
        <v>0</v>
      </c>
      <c r="BB117" s="31">
        <f t="shared" si="44"/>
        <v>0</v>
      </c>
      <c r="BC117" s="219">
        <f t="shared" si="45"/>
        <v>0</v>
      </c>
      <c r="BD117" s="31">
        <f t="shared" si="46"/>
        <v>0</v>
      </c>
      <c r="BE117" s="219">
        <f t="shared" si="47"/>
        <v>0</v>
      </c>
      <c r="BF117" s="31">
        <f t="shared" si="48"/>
        <v>0</v>
      </c>
      <c r="BG117" s="219">
        <f t="shared" si="49"/>
        <v>0</v>
      </c>
      <c r="BH117" s="31">
        <f t="shared" si="50"/>
        <v>0</v>
      </c>
      <c r="BI117" s="219">
        <f t="shared" si="51"/>
        <v>0</v>
      </c>
      <c r="BJ117" s="31">
        <f t="shared" si="52"/>
        <v>0</v>
      </c>
      <c r="BK117" s="219">
        <f t="shared" si="53"/>
        <v>0</v>
      </c>
      <c r="BL117" s="31">
        <f t="shared" si="54"/>
        <v>1.25</v>
      </c>
      <c r="BM117" s="219">
        <f t="shared" si="55"/>
        <v>1.0625</v>
      </c>
      <c r="BN117" s="31">
        <f t="shared" si="56"/>
        <v>0</v>
      </c>
      <c r="BO117" s="219">
        <f t="shared" si="57"/>
        <v>0</v>
      </c>
    </row>
    <row r="118" spans="1:67" x14ac:dyDescent="0.25">
      <c r="A118" s="31" t="s">
        <v>1681</v>
      </c>
      <c r="B118" s="176" t="str">
        <f>VLOOKUP(A118,kurspris!$A$1:$B$992,2,FALSE)</f>
        <v>Läraryrkets dimensioner för fritidshem 2 (VFU)</v>
      </c>
      <c r="D118" s="60" t="s">
        <v>484</v>
      </c>
      <c r="E118" s="576" t="s">
        <v>2434</v>
      </c>
      <c r="F118" s="31" t="s">
        <v>2273</v>
      </c>
      <c r="G118" t="s">
        <v>2452</v>
      </c>
      <c r="H118" t="s">
        <v>2335</v>
      </c>
      <c r="I118" s="31" t="s">
        <v>2276</v>
      </c>
      <c r="L118" s="38">
        <v>1</v>
      </c>
      <c r="M118">
        <v>2.5</v>
      </c>
      <c r="P118" s="31">
        <v>5</v>
      </c>
      <c r="Q118" s="196">
        <f>(M118/60)*P118</f>
        <v>0.20833333333333331</v>
      </c>
      <c r="R118" s="38">
        <v>0.85</v>
      </c>
      <c r="S118" s="280">
        <f t="shared" si="30"/>
        <v>0.17708333333333331</v>
      </c>
      <c r="T118" s="31">
        <f>VLOOKUP(A118,'Ansvar kurs'!$A$1:$C$1123,2,FALSE)</f>
        <v>1650</v>
      </c>
      <c r="U118" s="31" t="str">
        <f>VLOOKUP(T118,Orgenheter!$A$1:$C$166,2,FALSE)</f>
        <v xml:space="preserve">Estetiska ämnen               </v>
      </c>
      <c r="V118" s="31" t="str">
        <f>VLOOKUP(T118,Orgenheter!$A$1:$C$166,3,FALSE)</f>
        <v>Hum</v>
      </c>
      <c r="W118" s="35" t="str">
        <f>VLOOKUP(D118,Program!$A$1:$B$36,2,FALSE)</f>
        <v>Grundlärarprogrammet - fritidshem</v>
      </c>
      <c r="X118" s="40">
        <f>VLOOKUP(A118,kurspris!$A$1:$Q$913,15,FALSE)</f>
        <v>25235</v>
      </c>
      <c r="Y118" s="40">
        <f>VLOOKUP(A118,kurspris!$A$1:$Q$913,16,FALSE)</f>
        <v>27976</v>
      </c>
      <c r="Z118" s="40">
        <f t="shared" si="31"/>
        <v>10211.375</v>
      </c>
      <c r="AA118" s="40">
        <f>VLOOKUP(A118,kurspris!$A$1:$Q$913,17,FALSE)</f>
        <v>3600</v>
      </c>
      <c r="AB118" s="40">
        <f t="shared" si="32"/>
        <v>749.99999999999989</v>
      </c>
      <c r="AC118" s="40">
        <f t="shared" si="33"/>
        <v>10961.375</v>
      </c>
      <c r="AD118" s="31">
        <f>VLOOKUP($A118,kurspris!$A$1:$Q$950,3,FALSE)</f>
        <v>0</v>
      </c>
      <c r="AE118" s="31">
        <f>VLOOKUP($A118,kurspris!$A$1:$Q$950,4,FALSE)</f>
        <v>0</v>
      </c>
      <c r="AF118" s="31">
        <f>VLOOKUP($A118,kurspris!$A$1:$Q$950,5,FALSE)</f>
        <v>0</v>
      </c>
      <c r="AG118" s="31">
        <f>VLOOKUP($A118,kurspris!$A$1:$Q$950,6,FALSE)</f>
        <v>0</v>
      </c>
      <c r="AH118" s="31">
        <f>VLOOKUP($A118,kurspris!$A$1:$Q$950,7,FALSE)</f>
        <v>0</v>
      </c>
      <c r="AI118" s="31">
        <f>VLOOKUP($A118,kurspris!$A$1:$Q$950,8,FALSE)</f>
        <v>0</v>
      </c>
      <c r="AJ118" s="31">
        <f>VLOOKUP($A118,kurspris!$A$1:$Q$950,9,FALSE)</f>
        <v>0</v>
      </c>
      <c r="AK118" s="31">
        <f>VLOOKUP($A118,kurspris!$A$1:$Q$950,10,FALSE)</f>
        <v>0</v>
      </c>
      <c r="AL118" s="31">
        <f>VLOOKUP($A118,kurspris!$A$1:$Q$950,11,FALSE)</f>
        <v>1</v>
      </c>
      <c r="AM118" s="31">
        <f>VLOOKUP($A118,kurspris!$A$1:$Q$950,12,FALSE)</f>
        <v>0</v>
      </c>
      <c r="AN118" s="31">
        <f>VLOOKUP($A118,kurspris!$A$1:$Q$950,13,FALSE)</f>
        <v>0</v>
      </c>
      <c r="AO118" s="31">
        <f>VLOOKUP($A118,kurspris!$A$1:$Q$950,14,FALSE)</f>
        <v>0</v>
      </c>
      <c r="AP118" s="57" t="s">
        <v>2504</v>
      </c>
      <c r="AQ118"/>
      <c r="AR118" s="31">
        <f t="shared" si="34"/>
        <v>0</v>
      </c>
      <c r="AS118" s="219">
        <f t="shared" si="35"/>
        <v>0</v>
      </c>
      <c r="AT118" s="31">
        <f t="shared" si="36"/>
        <v>0</v>
      </c>
      <c r="AU118" s="219">
        <f t="shared" si="37"/>
        <v>0</v>
      </c>
      <c r="AV118" s="31">
        <f t="shared" si="38"/>
        <v>0</v>
      </c>
      <c r="AW118" s="31">
        <f t="shared" si="39"/>
        <v>0</v>
      </c>
      <c r="AX118" s="31">
        <f t="shared" si="40"/>
        <v>0</v>
      </c>
      <c r="AY118" s="219">
        <f t="shared" si="41"/>
        <v>0</v>
      </c>
      <c r="AZ118" s="196">
        <f t="shared" si="42"/>
        <v>0</v>
      </c>
      <c r="BA118" s="219">
        <f t="shared" si="43"/>
        <v>0</v>
      </c>
      <c r="BB118" s="31">
        <f t="shared" si="44"/>
        <v>0</v>
      </c>
      <c r="BC118" s="219">
        <f t="shared" si="45"/>
        <v>0</v>
      </c>
      <c r="BD118" s="31">
        <f t="shared" si="46"/>
        <v>0</v>
      </c>
      <c r="BE118" s="219">
        <f t="shared" si="47"/>
        <v>0</v>
      </c>
      <c r="BF118" s="31">
        <f t="shared" si="48"/>
        <v>0</v>
      </c>
      <c r="BG118" s="219">
        <f t="shared" si="49"/>
        <v>0</v>
      </c>
      <c r="BH118" s="31">
        <f t="shared" si="50"/>
        <v>0.20833333333333331</v>
      </c>
      <c r="BI118" s="219">
        <f t="shared" si="51"/>
        <v>0.17708333333333331</v>
      </c>
      <c r="BJ118" s="31">
        <f t="shared" si="52"/>
        <v>0</v>
      </c>
      <c r="BK118" s="219">
        <f t="shared" si="53"/>
        <v>0</v>
      </c>
      <c r="BL118" s="31">
        <f t="shared" si="54"/>
        <v>0</v>
      </c>
      <c r="BM118" s="219">
        <f t="shared" si="55"/>
        <v>0</v>
      </c>
      <c r="BN118" s="31">
        <f t="shared" si="56"/>
        <v>0</v>
      </c>
      <c r="BO118" s="219">
        <f t="shared" si="57"/>
        <v>0</v>
      </c>
    </row>
    <row r="119" spans="1:67" x14ac:dyDescent="0.25">
      <c r="A119" s="31" t="s">
        <v>1763</v>
      </c>
      <c r="B119" s="176" t="str">
        <f>VLOOKUP(A119,kurspris!$A$1:$B$992,2,FALSE)</f>
        <v>Bild 1, distans</v>
      </c>
      <c r="C119" s="31">
        <v>66221</v>
      </c>
      <c r="D119" s="60" t="s">
        <v>117</v>
      </c>
      <c r="E119" s="60"/>
      <c r="F119" s="57" t="s">
        <v>2274</v>
      </c>
      <c r="H119" s="31" t="s">
        <v>2335</v>
      </c>
      <c r="I119" s="31" t="s">
        <v>2275</v>
      </c>
      <c r="L119" s="38"/>
      <c r="M119" s="244">
        <v>15</v>
      </c>
      <c r="P119" s="31">
        <v>19</v>
      </c>
      <c r="Q119" s="539">
        <v>4.75</v>
      </c>
      <c r="R119" s="38">
        <v>0.8</v>
      </c>
      <c r="S119" s="280">
        <f t="shared" si="30"/>
        <v>3.8000000000000003</v>
      </c>
      <c r="T119" s="31">
        <f>VLOOKUP(A119,'Ansvar kurs'!$A$1:$C$1123,2,FALSE)</f>
        <v>1650</v>
      </c>
      <c r="U119" s="31" t="str">
        <f>VLOOKUP(T119,Orgenheter!$A$1:$C$166,2,FALSE)</f>
        <v xml:space="preserve">Estetiska ämnen               </v>
      </c>
      <c r="V119" s="31" t="str">
        <f>VLOOKUP(T119,Orgenheter!$A$1:$C$166,3,FALSE)</f>
        <v>Hum</v>
      </c>
      <c r="W119" s="35" t="str">
        <f>VLOOKUP(D119,Program!$A$1:$B$36,2,FALSE)</f>
        <v>Fristående och övriga kurser</v>
      </c>
      <c r="X119" s="40">
        <f>VLOOKUP(A119,kurspris!$A$1:$Q$913,15,FALSE)</f>
        <v>51362</v>
      </c>
      <c r="Y119" s="40">
        <f>VLOOKUP(A119,kurspris!$A$1:$Q$913,16,FALSE)</f>
        <v>59096</v>
      </c>
      <c r="Z119" s="40">
        <f t="shared" si="31"/>
        <v>468534.30000000005</v>
      </c>
      <c r="AA119" s="40">
        <f>VLOOKUP(A119,kurspris!$A$1:$Q$913,17,FALSE)</f>
        <v>71500</v>
      </c>
      <c r="AB119" s="40">
        <f t="shared" si="32"/>
        <v>339625</v>
      </c>
      <c r="AC119" s="40">
        <f t="shared" si="33"/>
        <v>808159.3</v>
      </c>
      <c r="AD119" s="31">
        <f>VLOOKUP($A119,kurspris!$A$1:$Q$950,3,FALSE)</f>
        <v>1</v>
      </c>
      <c r="AE119" s="31">
        <f>VLOOKUP($A119,kurspris!$A$1:$Q$950,4,FALSE)</f>
        <v>0</v>
      </c>
      <c r="AF119" s="31">
        <f>VLOOKUP($A119,kurspris!$A$1:$Q$950,5,FALSE)</f>
        <v>0</v>
      </c>
      <c r="AG119" s="31">
        <f>VLOOKUP($A119,kurspris!$A$1:$Q$950,6,FALSE)</f>
        <v>0</v>
      </c>
      <c r="AH119" s="31">
        <f>VLOOKUP($A119,kurspris!$A$1:$Q$950,7,FALSE)</f>
        <v>0</v>
      </c>
      <c r="AI119" s="31">
        <f>VLOOKUP($A119,kurspris!$A$1:$Q$950,8,FALSE)</f>
        <v>0</v>
      </c>
      <c r="AJ119" s="31">
        <f>VLOOKUP($A119,kurspris!$A$1:$Q$950,9,FALSE)</f>
        <v>0</v>
      </c>
      <c r="AK119" s="31">
        <f>VLOOKUP($A119,kurspris!$A$1:$Q$950,10,FALSE)</f>
        <v>0</v>
      </c>
      <c r="AL119" s="31">
        <f>VLOOKUP($A119,kurspris!$A$1:$Q$950,11,FALSE)</f>
        <v>0</v>
      </c>
      <c r="AM119" s="31">
        <f>VLOOKUP($A119,kurspris!$A$1:$Q$950,12,FALSE)</f>
        <v>0</v>
      </c>
      <c r="AN119" s="31">
        <f>VLOOKUP($A119,kurspris!$A$1:$Q$950,13,FALSE)</f>
        <v>0</v>
      </c>
      <c r="AO119" s="31">
        <f>VLOOKUP($A119,kurspris!$A$1:$Q$950,14,FALSE)</f>
        <v>0</v>
      </c>
      <c r="AP119" s="57" t="s">
        <v>2402</v>
      </c>
      <c r="AQ119" t="s">
        <v>2308</v>
      </c>
      <c r="AR119" s="31">
        <f t="shared" si="34"/>
        <v>4.75</v>
      </c>
      <c r="AS119" s="219">
        <f t="shared" si="35"/>
        <v>3.8000000000000003</v>
      </c>
      <c r="AT119" s="31">
        <f t="shared" si="36"/>
        <v>0</v>
      </c>
      <c r="AU119" s="219">
        <f t="shared" si="37"/>
        <v>0</v>
      </c>
      <c r="AV119" s="31">
        <f t="shared" si="38"/>
        <v>0</v>
      </c>
      <c r="AW119" s="31">
        <f t="shared" si="39"/>
        <v>0</v>
      </c>
      <c r="AX119" s="31">
        <f t="shared" si="40"/>
        <v>0</v>
      </c>
      <c r="AY119" s="219">
        <f t="shared" si="41"/>
        <v>0</v>
      </c>
      <c r="AZ119" s="196">
        <f t="shared" si="42"/>
        <v>0</v>
      </c>
      <c r="BA119" s="219">
        <f t="shared" si="43"/>
        <v>0</v>
      </c>
      <c r="BB119" s="31">
        <f t="shared" si="44"/>
        <v>0</v>
      </c>
      <c r="BC119" s="219">
        <f t="shared" si="45"/>
        <v>0</v>
      </c>
      <c r="BD119" s="31">
        <f t="shared" si="46"/>
        <v>0</v>
      </c>
      <c r="BE119" s="219">
        <f t="shared" si="47"/>
        <v>0</v>
      </c>
      <c r="BF119" s="31">
        <f t="shared" si="48"/>
        <v>0</v>
      </c>
      <c r="BG119" s="219">
        <f t="shared" si="49"/>
        <v>0</v>
      </c>
      <c r="BH119" s="31">
        <f t="shared" si="50"/>
        <v>0</v>
      </c>
      <c r="BI119" s="219">
        <f t="shared" si="51"/>
        <v>0</v>
      </c>
      <c r="BJ119" s="31">
        <f t="shared" si="52"/>
        <v>0</v>
      </c>
      <c r="BK119" s="219">
        <f t="shared" si="53"/>
        <v>0</v>
      </c>
      <c r="BL119" s="31">
        <f t="shared" si="54"/>
        <v>0</v>
      </c>
      <c r="BM119" s="219">
        <f t="shared" si="55"/>
        <v>0</v>
      </c>
      <c r="BN119" s="31">
        <f t="shared" si="56"/>
        <v>0</v>
      </c>
      <c r="BO119" s="219">
        <f t="shared" si="57"/>
        <v>0</v>
      </c>
    </row>
    <row r="120" spans="1:67" x14ac:dyDescent="0.25">
      <c r="A120" s="31" t="s">
        <v>1763</v>
      </c>
      <c r="B120" s="176" t="str">
        <f>VLOOKUP(A120,kurspris!$A$1:$B$992,2,FALSE)</f>
        <v>Bild 1, distans</v>
      </c>
      <c r="D120" s="31" t="s">
        <v>117</v>
      </c>
      <c r="F120" s="31" t="s">
        <v>2273</v>
      </c>
      <c r="I120" s="31" t="s">
        <v>2275</v>
      </c>
      <c r="L120" s="38">
        <v>0.5</v>
      </c>
      <c r="M120" s="511">
        <v>15</v>
      </c>
      <c r="P120" s="31">
        <v>15</v>
      </c>
      <c r="Q120" s="196">
        <f>(M120/60)*P120</f>
        <v>3.75</v>
      </c>
      <c r="R120" s="38">
        <v>0.8</v>
      </c>
      <c r="S120" s="280">
        <f t="shared" si="30"/>
        <v>3</v>
      </c>
      <c r="T120" s="31">
        <f>VLOOKUP(A120,'Ansvar kurs'!$A$1:$C$1123,2,FALSE)</f>
        <v>1650</v>
      </c>
      <c r="U120" s="31" t="str">
        <f>VLOOKUP(T120,Orgenheter!$A$1:$C$166,2,FALSE)</f>
        <v xml:space="preserve">Estetiska ämnen               </v>
      </c>
      <c r="V120" s="31" t="str">
        <f>VLOOKUP(T120,Orgenheter!$A$1:$C$166,3,FALSE)</f>
        <v>Hum</v>
      </c>
      <c r="W120" s="35" t="str">
        <f>VLOOKUP(D120,Program!$A$1:$B$36,2,FALSE)</f>
        <v>Fristående och övriga kurser</v>
      </c>
      <c r="X120" s="40">
        <f>VLOOKUP(A120,kurspris!$A$1:$Q$913,15,FALSE)</f>
        <v>51362</v>
      </c>
      <c r="Y120" s="40">
        <f>VLOOKUP(A120,kurspris!$A$1:$Q$913,16,FALSE)</f>
        <v>59096</v>
      </c>
      <c r="Z120" s="40">
        <f t="shared" si="31"/>
        <v>369895.5</v>
      </c>
      <c r="AA120" s="40">
        <f>VLOOKUP(A120,kurspris!$A$1:$Q$913,17,FALSE)</f>
        <v>71500</v>
      </c>
      <c r="AB120" s="40">
        <f t="shared" si="32"/>
        <v>268125</v>
      </c>
      <c r="AC120" s="40">
        <f t="shared" si="33"/>
        <v>638020.5</v>
      </c>
      <c r="AD120" s="31">
        <f>VLOOKUP($A120,kurspris!$A$1:$Q$950,3,FALSE)</f>
        <v>1</v>
      </c>
      <c r="AE120" s="31">
        <f>VLOOKUP($A120,kurspris!$A$1:$Q$950,4,FALSE)</f>
        <v>0</v>
      </c>
      <c r="AF120" s="31">
        <f>VLOOKUP($A120,kurspris!$A$1:$Q$950,5,FALSE)</f>
        <v>0</v>
      </c>
      <c r="AG120" s="31">
        <f>VLOOKUP($A120,kurspris!$A$1:$Q$950,6,FALSE)</f>
        <v>0</v>
      </c>
      <c r="AH120" s="31">
        <f>VLOOKUP($A120,kurspris!$A$1:$Q$950,7,FALSE)</f>
        <v>0</v>
      </c>
      <c r="AI120" s="31">
        <f>VLOOKUP($A120,kurspris!$A$1:$Q$950,8,FALSE)</f>
        <v>0</v>
      </c>
      <c r="AJ120" s="31">
        <f>VLOOKUP($A120,kurspris!$A$1:$Q$950,9,FALSE)</f>
        <v>0</v>
      </c>
      <c r="AK120" s="31">
        <f>VLOOKUP($A120,kurspris!$A$1:$Q$950,10,FALSE)</f>
        <v>0</v>
      </c>
      <c r="AL120" s="31">
        <f>VLOOKUP($A120,kurspris!$A$1:$Q$950,11,FALSE)</f>
        <v>0</v>
      </c>
      <c r="AM120" s="31">
        <f>VLOOKUP($A120,kurspris!$A$1:$Q$950,12,FALSE)</f>
        <v>0</v>
      </c>
      <c r="AN120" s="31">
        <f>VLOOKUP($A120,kurspris!$A$1:$Q$950,13,FALSE)</f>
        <v>0</v>
      </c>
      <c r="AO120" s="31">
        <f>VLOOKUP($A120,kurspris!$A$1:$Q$950,14,FALSE)</f>
        <v>0</v>
      </c>
      <c r="AP120" s="57" t="s">
        <v>2267</v>
      </c>
      <c r="AQ120" t="s">
        <v>2308</v>
      </c>
      <c r="AR120" s="31">
        <f t="shared" si="34"/>
        <v>3.75</v>
      </c>
      <c r="AS120" s="219">
        <f t="shared" si="35"/>
        <v>3</v>
      </c>
      <c r="AT120" s="31">
        <f t="shared" si="36"/>
        <v>0</v>
      </c>
      <c r="AU120" s="219">
        <f t="shared" si="37"/>
        <v>0</v>
      </c>
      <c r="AV120" s="31">
        <f t="shared" si="38"/>
        <v>0</v>
      </c>
      <c r="AW120" s="31">
        <f t="shared" si="39"/>
        <v>0</v>
      </c>
      <c r="AX120" s="31">
        <f t="shared" si="40"/>
        <v>0</v>
      </c>
      <c r="AY120" s="219">
        <f t="shared" si="41"/>
        <v>0</v>
      </c>
      <c r="AZ120" s="196">
        <f t="shared" si="42"/>
        <v>0</v>
      </c>
      <c r="BA120" s="219">
        <f t="shared" si="43"/>
        <v>0</v>
      </c>
      <c r="BB120" s="31">
        <f t="shared" si="44"/>
        <v>0</v>
      </c>
      <c r="BC120" s="219">
        <f t="shared" si="45"/>
        <v>0</v>
      </c>
      <c r="BD120" s="31">
        <f t="shared" si="46"/>
        <v>0</v>
      </c>
      <c r="BE120" s="219">
        <f t="shared" si="47"/>
        <v>0</v>
      </c>
      <c r="BF120" s="31">
        <f t="shared" si="48"/>
        <v>0</v>
      </c>
      <c r="BG120" s="219">
        <f t="shared" si="49"/>
        <v>0</v>
      </c>
      <c r="BH120" s="31">
        <f t="shared" si="50"/>
        <v>0</v>
      </c>
      <c r="BI120" s="219">
        <f t="shared" si="51"/>
        <v>0</v>
      </c>
      <c r="BJ120" s="31">
        <f t="shared" si="52"/>
        <v>0</v>
      </c>
      <c r="BK120" s="219">
        <f t="shared" si="53"/>
        <v>0</v>
      </c>
      <c r="BL120" s="31">
        <f t="shared" si="54"/>
        <v>0</v>
      </c>
      <c r="BM120" s="219">
        <f t="shared" si="55"/>
        <v>0</v>
      </c>
      <c r="BN120" s="31">
        <f t="shared" si="56"/>
        <v>0</v>
      </c>
      <c r="BO120" s="219">
        <f t="shared" si="57"/>
        <v>0</v>
      </c>
    </row>
    <row r="121" spans="1:67" x14ac:dyDescent="0.25">
      <c r="A121" s="31" t="s">
        <v>2039</v>
      </c>
      <c r="B121" s="176" t="str">
        <f>VLOOKUP(A121,kurspris!$A$1:$B$992,2,FALSE)</f>
        <v>Bild 2b, distans</v>
      </c>
      <c r="C121" s="31">
        <v>66319</v>
      </c>
      <c r="D121" s="60" t="s">
        <v>117</v>
      </c>
      <c r="E121" s="60"/>
      <c r="F121" s="57" t="s">
        <v>2274</v>
      </c>
      <c r="H121" s="31" t="s">
        <v>2335</v>
      </c>
      <c r="I121" s="31" t="s">
        <v>2275</v>
      </c>
      <c r="L121" s="38"/>
      <c r="M121">
        <v>15</v>
      </c>
      <c r="P121" s="31">
        <v>6</v>
      </c>
      <c r="Q121" s="539">
        <v>1.5</v>
      </c>
      <c r="R121" s="38">
        <v>0.8</v>
      </c>
      <c r="S121" s="280">
        <f t="shared" si="30"/>
        <v>1.2000000000000002</v>
      </c>
      <c r="T121" s="31">
        <f>VLOOKUP(A121,'Ansvar kurs'!$A$1:$C$1123,2,FALSE)</f>
        <v>1650</v>
      </c>
      <c r="U121" s="31" t="str">
        <f>VLOOKUP(T121,Orgenheter!$A$1:$C$166,2,FALSE)</f>
        <v xml:space="preserve">Estetiska ämnen               </v>
      </c>
      <c r="V121" s="31" t="str">
        <f>VLOOKUP(T121,Orgenheter!$A$1:$C$166,3,FALSE)</f>
        <v>Hum</v>
      </c>
      <c r="W121" s="35" t="str">
        <f>VLOOKUP(D121,Program!$A$1:$B$36,2,FALSE)</f>
        <v>Fristående och övriga kurser</v>
      </c>
      <c r="X121" s="40">
        <f>VLOOKUP(A121,kurspris!$A$1:$Q$913,15,FALSE)</f>
        <v>51362</v>
      </c>
      <c r="Y121" s="40">
        <f>VLOOKUP(A121,kurspris!$A$1:$Q$913,16,FALSE)</f>
        <v>59096</v>
      </c>
      <c r="Z121" s="40">
        <f t="shared" si="31"/>
        <v>147958.20000000001</v>
      </c>
      <c r="AA121" s="40">
        <f>VLOOKUP(A121,kurspris!$A$1:$Q$913,17,FALSE)</f>
        <v>71500</v>
      </c>
      <c r="AB121" s="40">
        <f t="shared" si="32"/>
        <v>107250</v>
      </c>
      <c r="AC121" s="40">
        <f t="shared" si="33"/>
        <v>255208.2</v>
      </c>
      <c r="AD121" s="31">
        <f>VLOOKUP($A121,kurspris!$A$1:$Q$950,3,FALSE)</f>
        <v>1</v>
      </c>
      <c r="AE121" s="31">
        <f>VLOOKUP($A121,kurspris!$A$1:$Q$950,4,FALSE)</f>
        <v>0</v>
      </c>
      <c r="AF121" s="31">
        <f>VLOOKUP($A121,kurspris!$A$1:$Q$950,5,FALSE)</f>
        <v>0</v>
      </c>
      <c r="AG121" s="31">
        <f>VLOOKUP($A121,kurspris!$A$1:$Q$950,6,FALSE)</f>
        <v>0</v>
      </c>
      <c r="AH121" s="31">
        <f>VLOOKUP($A121,kurspris!$A$1:$Q$950,7,FALSE)</f>
        <v>0</v>
      </c>
      <c r="AI121" s="31">
        <f>VLOOKUP($A121,kurspris!$A$1:$Q$950,8,FALSE)</f>
        <v>0</v>
      </c>
      <c r="AJ121" s="31">
        <f>VLOOKUP($A121,kurspris!$A$1:$Q$950,9,FALSE)</f>
        <v>0</v>
      </c>
      <c r="AK121" s="31">
        <f>VLOOKUP($A121,kurspris!$A$1:$Q$950,10,FALSE)</f>
        <v>0</v>
      </c>
      <c r="AL121" s="31">
        <f>VLOOKUP($A121,kurspris!$A$1:$Q$950,11,FALSE)</f>
        <v>0</v>
      </c>
      <c r="AM121" s="31">
        <f>VLOOKUP($A121,kurspris!$A$1:$Q$950,12,FALSE)</f>
        <v>0</v>
      </c>
      <c r="AN121" s="31">
        <f>VLOOKUP($A121,kurspris!$A$1:$Q$950,13,FALSE)</f>
        <v>0</v>
      </c>
      <c r="AO121" s="31">
        <f>VLOOKUP($A121,kurspris!$A$1:$Q$950,14,FALSE)</f>
        <v>0</v>
      </c>
      <c r="AP121" s="57" t="s">
        <v>2402</v>
      </c>
      <c r="AQ121"/>
      <c r="AR121" s="31">
        <f t="shared" si="34"/>
        <v>1.5</v>
      </c>
      <c r="AS121" s="219">
        <f t="shared" si="35"/>
        <v>1.2000000000000002</v>
      </c>
      <c r="AT121" s="31">
        <f t="shared" si="36"/>
        <v>0</v>
      </c>
      <c r="AU121" s="219">
        <f t="shared" si="37"/>
        <v>0</v>
      </c>
      <c r="AV121" s="31">
        <f t="shared" si="38"/>
        <v>0</v>
      </c>
      <c r="AW121" s="31">
        <f t="shared" si="39"/>
        <v>0</v>
      </c>
      <c r="AX121" s="31">
        <f t="shared" si="40"/>
        <v>0</v>
      </c>
      <c r="AY121" s="219">
        <f t="shared" si="41"/>
        <v>0</v>
      </c>
      <c r="AZ121" s="196">
        <f t="shared" si="42"/>
        <v>0</v>
      </c>
      <c r="BA121" s="219">
        <f t="shared" si="43"/>
        <v>0</v>
      </c>
      <c r="BB121" s="31">
        <f t="shared" si="44"/>
        <v>0</v>
      </c>
      <c r="BC121" s="219">
        <f t="shared" si="45"/>
        <v>0</v>
      </c>
      <c r="BD121" s="31">
        <f t="shared" si="46"/>
        <v>0</v>
      </c>
      <c r="BE121" s="219">
        <f t="shared" si="47"/>
        <v>0</v>
      </c>
      <c r="BF121" s="31">
        <f t="shared" si="48"/>
        <v>0</v>
      </c>
      <c r="BG121" s="219">
        <f t="shared" si="49"/>
        <v>0</v>
      </c>
      <c r="BH121" s="31">
        <f t="shared" si="50"/>
        <v>0</v>
      </c>
      <c r="BI121" s="219">
        <f t="shared" si="51"/>
        <v>0</v>
      </c>
      <c r="BJ121" s="31">
        <f t="shared" si="52"/>
        <v>0</v>
      </c>
      <c r="BK121" s="219">
        <f t="shared" si="53"/>
        <v>0</v>
      </c>
      <c r="BL121" s="31">
        <f t="shared" si="54"/>
        <v>0</v>
      </c>
      <c r="BM121" s="219">
        <f t="shared" si="55"/>
        <v>0</v>
      </c>
      <c r="BN121" s="31">
        <f t="shared" si="56"/>
        <v>0</v>
      </c>
      <c r="BO121" s="219">
        <f t="shared" si="57"/>
        <v>0</v>
      </c>
    </row>
    <row r="122" spans="1:67" x14ac:dyDescent="0.25">
      <c r="A122" s="31" t="s">
        <v>1989</v>
      </c>
      <c r="B122" s="176" t="str">
        <f>VLOOKUP(A122,kurspris!$A$1:$B$992,2,FALSE)</f>
        <v>Bild 2a</v>
      </c>
      <c r="D122" s="60" t="s">
        <v>482</v>
      </c>
      <c r="E122" s="576" t="s">
        <v>2226</v>
      </c>
      <c r="F122" s="31" t="s">
        <v>2273</v>
      </c>
      <c r="G122" t="s">
        <v>2440</v>
      </c>
      <c r="H122" t="s">
        <v>2335</v>
      </c>
      <c r="J122" s="31" t="s">
        <v>2231</v>
      </c>
      <c r="L122" s="38">
        <v>1</v>
      </c>
      <c r="M122">
        <v>15</v>
      </c>
      <c r="P122" s="31">
        <v>1</v>
      </c>
      <c r="Q122" s="196">
        <f t="shared" ref="Q122:Q131" si="58">(M122/60)*P122</f>
        <v>0.25</v>
      </c>
      <c r="R122" s="38">
        <v>0.85</v>
      </c>
      <c r="S122" s="280">
        <f t="shared" si="30"/>
        <v>0.21249999999999999</v>
      </c>
      <c r="T122" s="31">
        <f>VLOOKUP(A122,'Ansvar kurs'!$A$1:$C$1123,2,FALSE)</f>
        <v>1650</v>
      </c>
      <c r="U122" s="31" t="str">
        <f>VLOOKUP(T122,Orgenheter!$A$1:$C$166,2,FALSE)</f>
        <v xml:space="preserve">Estetiska ämnen               </v>
      </c>
      <c r="V122" s="31" t="str">
        <f>VLOOKUP(T122,Orgenheter!$A$1:$C$166,3,FALSE)</f>
        <v>Hum</v>
      </c>
      <c r="W122" s="35" t="str">
        <f>VLOOKUP(D122,Program!$A$1:$B$36,2,FALSE)</f>
        <v>Ämneslärarprogrammet - Gy</v>
      </c>
      <c r="X122" s="40">
        <f>VLOOKUP(A122,kurspris!$A$1:$Q$913,15,FALSE)</f>
        <v>51362</v>
      </c>
      <c r="Y122" s="40">
        <f>VLOOKUP(A122,kurspris!$A$1:$Q$913,16,FALSE)</f>
        <v>59096</v>
      </c>
      <c r="Z122" s="40">
        <f t="shared" si="31"/>
        <v>25398.400000000001</v>
      </c>
      <c r="AA122" s="40">
        <f>VLOOKUP(A122,kurspris!$A$1:$Q$913,17,FALSE)</f>
        <v>71500</v>
      </c>
      <c r="AB122" s="40">
        <f t="shared" si="32"/>
        <v>17875</v>
      </c>
      <c r="AC122" s="40">
        <f t="shared" si="33"/>
        <v>43273.4</v>
      </c>
      <c r="AD122" s="31">
        <f>VLOOKUP($A122,kurspris!$A$1:$Q$950,3,FALSE)</f>
        <v>1</v>
      </c>
      <c r="AE122" s="31">
        <f>VLOOKUP($A122,kurspris!$A$1:$Q$950,4,FALSE)</f>
        <v>0</v>
      </c>
      <c r="AF122" s="31">
        <f>VLOOKUP($A122,kurspris!$A$1:$Q$950,5,FALSE)</f>
        <v>0</v>
      </c>
      <c r="AG122" s="31">
        <f>VLOOKUP($A122,kurspris!$A$1:$Q$950,6,FALSE)</f>
        <v>0</v>
      </c>
      <c r="AH122" s="31">
        <f>VLOOKUP($A122,kurspris!$A$1:$Q$950,7,FALSE)</f>
        <v>0</v>
      </c>
      <c r="AI122" s="31">
        <f>VLOOKUP($A122,kurspris!$A$1:$Q$950,8,FALSE)</f>
        <v>0</v>
      </c>
      <c r="AJ122" s="31">
        <f>VLOOKUP($A122,kurspris!$A$1:$Q$950,9,FALSE)</f>
        <v>0</v>
      </c>
      <c r="AK122" s="31">
        <f>VLOOKUP($A122,kurspris!$A$1:$Q$950,10,FALSE)</f>
        <v>0</v>
      </c>
      <c r="AL122" s="31">
        <f>VLOOKUP($A122,kurspris!$A$1:$Q$950,11,FALSE)</f>
        <v>0</v>
      </c>
      <c r="AM122" s="31">
        <f>VLOOKUP($A122,kurspris!$A$1:$Q$950,12,FALSE)</f>
        <v>0</v>
      </c>
      <c r="AN122" s="31">
        <f>VLOOKUP($A122,kurspris!$A$1:$Q$950,13,FALSE)</f>
        <v>0</v>
      </c>
      <c r="AO122" s="31">
        <f>VLOOKUP($A122,kurspris!$A$1:$Q$950,14,FALSE)</f>
        <v>0</v>
      </c>
      <c r="AP122" s="57" t="s">
        <v>2506</v>
      </c>
      <c r="AQ122"/>
      <c r="AR122" s="31">
        <f t="shared" si="34"/>
        <v>0.25</v>
      </c>
      <c r="AS122" s="219">
        <f t="shared" si="35"/>
        <v>0.21249999999999999</v>
      </c>
      <c r="AT122" s="31">
        <f t="shared" si="36"/>
        <v>0</v>
      </c>
      <c r="AU122" s="219">
        <f t="shared" si="37"/>
        <v>0</v>
      </c>
      <c r="AV122" s="31">
        <f t="shared" si="38"/>
        <v>0</v>
      </c>
      <c r="AW122" s="31">
        <f t="shared" si="39"/>
        <v>0</v>
      </c>
      <c r="AX122" s="31">
        <f t="shared" si="40"/>
        <v>0</v>
      </c>
      <c r="AY122" s="219">
        <f t="shared" si="41"/>
        <v>0</v>
      </c>
      <c r="AZ122" s="196">
        <f t="shared" si="42"/>
        <v>0</v>
      </c>
      <c r="BA122" s="219">
        <f t="shared" si="43"/>
        <v>0</v>
      </c>
      <c r="BB122" s="31">
        <f t="shared" si="44"/>
        <v>0</v>
      </c>
      <c r="BC122" s="219">
        <f t="shared" si="45"/>
        <v>0</v>
      </c>
      <c r="BD122" s="31">
        <f t="shared" si="46"/>
        <v>0</v>
      </c>
      <c r="BE122" s="219">
        <f t="shared" si="47"/>
        <v>0</v>
      </c>
      <c r="BF122" s="31">
        <f t="shared" si="48"/>
        <v>0</v>
      </c>
      <c r="BG122" s="219">
        <f t="shared" si="49"/>
        <v>0</v>
      </c>
      <c r="BH122" s="31">
        <f t="shared" si="50"/>
        <v>0</v>
      </c>
      <c r="BI122" s="219">
        <f t="shared" si="51"/>
        <v>0</v>
      </c>
      <c r="BJ122" s="31">
        <f t="shared" si="52"/>
        <v>0</v>
      </c>
      <c r="BK122" s="219">
        <f t="shared" si="53"/>
        <v>0</v>
      </c>
      <c r="BL122" s="31">
        <f t="shared" si="54"/>
        <v>0</v>
      </c>
      <c r="BM122" s="219">
        <f t="shared" si="55"/>
        <v>0</v>
      </c>
      <c r="BN122" s="31">
        <f t="shared" si="56"/>
        <v>0</v>
      </c>
      <c r="BO122" s="219">
        <f t="shared" si="57"/>
        <v>0</v>
      </c>
    </row>
    <row r="123" spans="1:67" x14ac:dyDescent="0.25">
      <c r="A123" s="31" t="s">
        <v>1989</v>
      </c>
      <c r="B123" s="176" t="str">
        <f>VLOOKUP(A123,kurspris!$A$1:$B$992,2,FALSE)</f>
        <v>Bild 2a</v>
      </c>
      <c r="D123" s="60" t="s">
        <v>482</v>
      </c>
      <c r="E123" s="576" t="s">
        <v>2225</v>
      </c>
      <c r="F123" s="31" t="s">
        <v>2273</v>
      </c>
      <c r="G123" t="s">
        <v>2440</v>
      </c>
      <c r="H123" t="s">
        <v>2335</v>
      </c>
      <c r="J123" s="31" t="s">
        <v>2231</v>
      </c>
      <c r="L123" s="38">
        <v>1</v>
      </c>
      <c r="M123">
        <v>15</v>
      </c>
      <c r="P123" s="31">
        <v>1</v>
      </c>
      <c r="Q123" s="196">
        <f t="shared" si="58"/>
        <v>0.25</v>
      </c>
      <c r="R123" s="38">
        <v>0.85</v>
      </c>
      <c r="S123" s="280">
        <f t="shared" si="30"/>
        <v>0.21249999999999999</v>
      </c>
      <c r="T123" s="31">
        <f>VLOOKUP(A123,'Ansvar kurs'!$A$1:$C$1123,2,FALSE)</f>
        <v>1650</v>
      </c>
      <c r="U123" s="31" t="str">
        <f>VLOOKUP(T123,Orgenheter!$A$1:$C$166,2,FALSE)</f>
        <v xml:space="preserve">Estetiska ämnen               </v>
      </c>
      <c r="V123" s="31" t="str">
        <f>VLOOKUP(T123,Orgenheter!$A$1:$C$166,3,FALSE)</f>
        <v>Hum</v>
      </c>
      <c r="W123" s="35" t="str">
        <f>VLOOKUP(D123,Program!$A$1:$B$36,2,FALSE)</f>
        <v>Ämneslärarprogrammet - Gy</v>
      </c>
      <c r="X123" s="40">
        <f>VLOOKUP(A123,kurspris!$A$1:$Q$913,15,FALSE)</f>
        <v>51362</v>
      </c>
      <c r="Y123" s="40">
        <f>VLOOKUP(A123,kurspris!$A$1:$Q$913,16,FALSE)</f>
        <v>59096</v>
      </c>
      <c r="Z123" s="40">
        <f t="shared" si="31"/>
        <v>25398.400000000001</v>
      </c>
      <c r="AA123" s="40">
        <f>VLOOKUP(A123,kurspris!$A$1:$Q$913,17,FALSE)</f>
        <v>71500</v>
      </c>
      <c r="AB123" s="40">
        <f t="shared" si="32"/>
        <v>17875</v>
      </c>
      <c r="AC123" s="40">
        <f t="shared" si="33"/>
        <v>43273.4</v>
      </c>
      <c r="AD123" s="31">
        <f>VLOOKUP($A123,kurspris!$A$1:$Q$950,3,FALSE)</f>
        <v>1</v>
      </c>
      <c r="AE123" s="31">
        <f>VLOOKUP($A123,kurspris!$A$1:$Q$950,4,FALSE)</f>
        <v>0</v>
      </c>
      <c r="AF123" s="31">
        <f>VLOOKUP($A123,kurspris!$A$1:$Q$950,5,FALSE)</f>
        <v>0</v>
      </c>
      <c r="AG123" s="31">
        <f>VLOOKUP($A123,kurspris!$A$1:$Q$950,6,FALSE)</f>
        <v>0</v>
      </c>
      <c r="AH123" s="31">
        <f>VLOOKUP($A123,kurspris!$A$1:$Q$950,7,FALSE)</f>
        <v>0</v>
      </c>
      <c r="AI123" s="31">
        <f>VLOOKUP($A123,kurspris!$A$1:$Q$950,8,FALSE)</f>
        <v>0</v>
      </c>
      <c r="AJ123" s="31">
        <f>VLOOKUP($A123,kurspris!$A$1:$Q$950,9,FALSE)</f>
        <v>0</v>
      </c>
      <c r="AK123" s="31">
        <f>VLOOKUP($A123,kurspris!$A$1:$Q$950,10,FALSE)</f>
        <v>0</v>
      </c>
      <c r="AL123" s="31">
        <f>VLOOKUP($A123,kurspris!$A$1:$Q$950,11,FALSE)</f>
        <v>0</v>
      </c>
      <c r="AM123" s="31">
        <f>VLOOKUP($A123,kurspris!$A$1:$Q$950,12,FALSE)</f>
        <v>0</v>
      </c>
      <c r="AN123" s="31">
        <f>VLOOKUP($A123,kurspris!$A$1:$Q$950,13,FALSE)</f>
        <v>0</v>
      </c>
      <c r="AO123" s="31">
        <f>VLOOKUP($A123,kurspris!$A$1:$Q$950,14,FALSE)</f>
        <v>0</v>
      </c>
      <c r="AP123" s="57" t="s">
        <v>2506</v>
      </c>
      <c r="AQ123"/>
      <c r="AR123" s="31">
        <f t="shared" si="34"/>
        <v>0.25</v>
      </c>
      <c r="AS123" s="219">
        <f t="shared" si="35"/>
        <v>0.21249999999999999</v>
      </c>
      <c r="AT123" s="31">
        <f t="shared" si="36"/>
        <v>0</v>
      </c>
      <c r="AU123" s="219">
        <f t="shared" si="37"/>
        <v>0</v>
      </c>
      <c r="AV123" s="31">
        <f t="shared" si="38"/>
        <v>0</v>
      </c>
      <c r="AW123" s="31">
        <f t="shared" si="39"/>
        <v>0</v>
      </c>
      <c r="AX123" s="31">
        <f t="shared" si="40"/>
        <v>0</v>
      </c>
      <c r="AY123" s="219">
        <f t="shared" si="41"/>
        <v>0</v>
      </c>
      <c r="AZ123" s="196">
        <f t="shared" si="42"/>
        <v>0</v>
      </c>
      <c r="BA123" s="219">
        <f t="shared" si="43"/>
        <v>0</v>
      </c>
      <c r="BB123" s="31">
        <f t="shared" si="44"/>
        <v>0</v>
      </c>
      <c r="BC123" s="219">
        <f t="shared" si="45"/>
        <v>0</v>
      </c>
      <c r="BD123" s="31">
        <f t="shared" si="46"/>
        <v>0</v>
      </c>
      <c r="BE123" s="219">
        <f t="shared" si="47"/>
        <v>0</v>
      </c>
      <c r="BF123" s="31">
        <f t="shared" si="48"/>
        <v>0</v>
      </c>
      <c r="BG123" s="219">
        <f t="shared" si="49"/>
        <v>0</v>
      </c>
      <c r="BH123" s="31">
        <f t="shared" si="50"/>
        <v>0</v>
      </c>
      <c r="BI123" s="219">
        <f t="shared" si="51"/>
        <v>0</v>
      </c>
      <c r="BJ123" s="31">
        <f t="shared" si="52"/>
        <v>0</v>
      </c>
      <c r="BK123" s="219">
        <f t="shared" si="53"/>
        <v>0</v>
      </c>
      <c r="BL123" s="31">
        <f t="shared" si="54"/>
        <v>0</v>
      </c>
      <c r="BM123" s="219">
        <f t="shared" si="55"/>
        <v>0</v>
      </c>
      <c r="BN123" s="31">
        <f t="shared" si="56"/>
        <v>0</v>
      </c>
      <c r="BO123" s="219">
        <f t="shared" si="57"/>
        <v>0</v>
      </c>
    </row>
    <row r="124" spans="1:67" x14ac:dyDescent="0.25">
      <c r="A124" s="31" t="s">
        <v>1989</v>
      </c>
      <c r="B124" s="176" t="str">
        <f>VLOOKUP(A124,kurspris!$A$1:$B$992,2,FALSE)</f>
        <v>Bild 2a</v>
      </c>
      <c r="D124" s="60" t="s">
        <v>482</v>
      </c>
      <c r="E124" s="576" t="s">
        <v>2225</v>
      </c>
      <c r="F124" s="31" t="s">
        <v>2273</v>
      </c>
      <c r="G124" t="s">
        <v>2440</v>
      </c>
      <c r="H124" t="s">
        <v>2335</v>
      </c>
      <c r="J124" s="31" t="s">
        <v>2241</v>
      </c>
      <c r="L124" s="38">
        <v>1</v>
      </c>
      <c r="M124">
        <v>15</v>
      </c>
      <c r="P124" s="31">
        <v>1</v>
      </c>
      <c r="Q124" s="196">
        <f t="shared" si="58"/>
        <v>0.25</v>
      </c>
      <c r="R124" s="38">
        <v>0.85</v>
      </c>
      <c r="S124" s="280">
        <f t="shared" si="30"/>
        <v>0.21249999999999999</v>
      </c>
      <c r="T124" s="31">
        <f>VLOOKUP(A124,'Ansvar kurs'!$A$1:$C$1123,2,FALSE)</f>
        <v>1650</v>
      </c>
      <c r="U124" s="31" t="str">
        <f>VLOOKUP(T124,Orgenheter!$A$1:$C$166,2,FALSE)</f>
        <v xml:space="preserve">Estetiska ämnen               </v>
      </c>
      <c r="V124" s="31" t="str">
        <f>VLOOKUP(T124,Orgenheter!$A$1:$C$166,3,FALSE)</f>
        <v>Hum</v>
      </c>
      <c r="W124" s="35" t="str">
        <f>VLOOKUP(D124,Program!$A$1:$B$36,2,FALSE)</f>
        <v>Ämneslärarprogrammet - Gy</v>
      </c>
      <c r="X124" s="40">
        <f>VLOOKUP(A124,kurspris!$A$1:$Q$913,15,FALSE)</f>
        <v>51362</v>
      </c>
      <c r="Y124" s="40">
        <f>VLOOKUP(A124,kurspris!$A$1:$Q$913,16,FALSE)</f>
        <v>59096</v>
      </c>
      <c r="Z124" s="40">
        <f t="shared" si="31"/>
        <v>25398.400000000001</v>
      </c>
      <c r="AA124" s="40">
        <f>VLOOKUP(A124,kurspris!$A$1:$Q$913,17,FALSE)</f>
        <v>71500</v>
      </c>
      <c r="AB124" s="40">
        <f t="shared" si="32"/>
        <v>17875</v>
      </c>
      <c r="AC124" s="40">
        <f t="shared" si="33"/>
        <v>43273.4</v>
      </c>
      <c r="AD124" s="31">
        <f>VLOOKUP($A124,kurspris!$A$1:$Q$950,3,FALSE)</f>
        <v>1</v>
      </c>
      <c r="AE124" s="31">
        <f>VLOOKUP($A124,kurspris!$A$1:$Q$950,4,FALSE)</f>
        <v>0</v>
      </c>
      <c r="AF124" s="31">
        <f>VLOOKUP($A124,kurspris!$A$1:$Q$950,5,FALSE)</f>
        <v>0</v>
      </c>
      <c r="AG124" s="31">
        <f>VLOOKUP($A124,kurspris!$A$1:$Q$950,6,FALSE)</f>
        <v>0</v>
      </c>
      <c r="AH124" s="31">
        <f>VLOOKUP($A124,kurspris!$A$1:$Q$950,7,FALSE)</f>
        <v>0</v>
      </c>
      <c r="AI124" s="31">
        <f>VLOOKUP($A124,kurspris!$A$1:$Q$950,8,FALSE)</f>
        <v>0</v>
      </c>
      <c r="AJ124" s="31">
        <f>VLOOKUP($A124,kurspris!$A$1:$Q$950,9,FALSE)</f>
        <v>0</v>
      </c>
      <c r="AK124" s="31">
        <f>VLOOKUP($A124,kurspris!$A$1:$Q$950,10,FALSE)</f>
        <v>0</v>
      </c>
      <c r="AL124" s="31">
        <f>VLOOKUP($A124,kurspris!$A$1:$Q$950,11,FALSE)</f>
        <v>0</v>
      </c>
      <c r="AM124" s="31">
        <f>VLOOKUP($A124,kurspris!$A$1:$Q$950,12,FALSE)</f>
        <v>0</v>
      </c>
      <c r="AN124" s="31">
        <f>VLOOKUP($A124,kurspris!$A$1:$Q$950,13,FALSE)</f>
        <v>0</v>
      </c>
      <c r="AO124" s="31">
        <f>VLOOKUP($A124,kurspris!$A$1:$Q$950,14,FALSE)</f>
        <v>0</v>
      </c>
      <c r="AP124" s="57" t="s">
        <v>2506</v>
      </c>
      <c r="AQ124"/>
      <c r="AR124" s="31">
        <f t="shared" si="34"/>
        <v>0.25</v>
      </c>
      <c r="AS124" s="219">
        <f t="shared" si="35"/>
        <v>0.21249999999999999</v>
      </c>
      <c r="AT124" s="31">
        <f t="shared" si="36"/>
        <v>0</v>
      </c>
      <c r="AU124" s="219">
        <f t="shared" si="37"/>
        <v>0</v>
      </c>
      <c r="AV124" s="31">
        <f t="shared" si="38"/>
        <v>0</v>
      </c>
      <c r="AW124" s="31">
        <f t="shared" si="39"/>
        <v>0</v>
      </c>
      <c r="AX124" s="31">
        <f t="shared" si="40"/>
        <v>0</v>
      </c>
      <c r="AY124" s="219">
        <f t="shared" si="41"/>
        <v>0</v>
      </c>
      <c r="AZ124" s="196">
        <f t="shared" si="42"/>
        <v>0</v>
      </c>
      <c r="BA124" s="219">
        <f t="shared" si="43"/>
        <v>0</v>
      </c>
      <c r="BB124" s="31">
        <f t="shared" si="44"/>
        <v>0</v>
      </c>
      <c r="BC124" s="219">
        <f t="shared" si="45"/>
        <v>0</v>
      </c>
      <c r="BD124" s="31">
        <f t="shared" si="46"/>
        <v>0</v>
      </c>
      <c r="BE124" s="219">
        <f t="shared" si="47"/>
        <v>0</v>
      </c>
      <c r="BF124" s="31">
        <f t="shared" si="48"/>
        <v>0</v>
      </c>
      <c r="BG124" s="219">
        <f t="shared" si="49"/>
        <v>0</v>
      </c>
      <c r="BH124" s="31">
        <f t="shared" si="50"/>
        <v>0</v>
      </c>
      <c r="BI124" s="219">
        <f t="shared" si="51"/>
        <v>0</v>
      </c>
      <c r="BJ124" s="31">
        <f t="shared" si="52"/>
        <v>0</v>
      </c>
      <c r="BK124" s="219">
        <f t="shared" si="53"/>
        <v>0</v>
      </c>
      <c r="BL124" s="31">
        <f t="shared" si="54"/>
        <v>0</v>
      </c>
      <c r="BM124" s="219">
        <f t="shared" si="55"/>
        <v>0</v>
      </c>
      <c r="BN124" s="31">
        <f t="shared" si="56"/>
        <v>0</v>
      </c>
      <c r="BO124" s="219">
        <f t="shared" si="57"/>
        <v>0</v>
      </c>
    </row>
    <row r="125" spans="1:67" x14ac:dyDescent="0.25">
      <c r="A125" s="31" t="s">
        <v>1989</v>
      </c>
      <c r="B125" s="176" t="str">
        <f>VLOOKUP(A125,kurspris!$A$1:$B$992,2,FALSE)</f>
        <v>Bild 2a</v>
      </c>
      <c r="D125" s="60" t="s">
        <v>482</v>
      </c>
      <c r="E125" s="576" t="s">
        <v>2225</v>
      </c>
      <c r="F125" s="31" t="s">
        <v>2273</v>
      </c>
      <c r="G125" t="s">
        <v>2440</v>
      </c>
      <c r="H125" t="s">
        <v>2335</v>
      </c>
      <c r="J125" s="31" t="s">
        <v>2239</v>
      </c>
      <c r="L125" s="38">
        <v>1</v>
      </c>
      <c r="M125">
        <v>15</v>
      </c>
      <c r="P125" s="31">
        <v>1</v>
      </c>
      <c r="Q125" s="196">
        <f t="shared" si="58"/>
        <v>0.25</v>
      </c>
      <c r="R125" s="38">
        <v>0.85</v>
      </c>
      <c r="S125" s="280">
        <f t="shared" si="30"/>
        <v>0.21249999999999999</v>
      </c>
      <c r="T125" s="31">
        <f>VLOOKUP(A125,'Ansvar kurs'!$A$1:$C$1123,2,FALSE)</f>
        <v>1650</v>
      </c>
      <c r="U125" s="31" t="str">
        <f>VLOOKUP(T125,Orgenheter!$A$1:$C$166,2,FALSE)</f>
        <v xml:space="preserve">Estetiska ämnen               </v>
      </c>
      <c r="V125" s="31" t="str">
        <f>VLOOKUP(T125,Orgenheter!$A$1:$C$166,3,FALSE)</f>
        <v>Hum</v>
      </c>
      <c r="W125" s="35" t="str">
        <f>VLOOKUP(D125,Program!$A$1:$B$36,2,FALSE)</f>
        <v>Ämneslärarprogrammet - Gy</v>
      </c>
      <c r="X125" s="40">
        <f>VLOOKUP(A125,kurspris!$A$1:$Q$913,15,FALSE)</f>
        <v>51362</v>
      </c>
      <c r="Y125" s="40">
        <f>VLOOKUP(A125,kurspris!$A$1:$Q$913,16,FALSE)</f>
        <v>59096</v>
      </c>
      <c r="Z125" s="40">
        <f t="shared" si="31"/>
        <v>25398.400000000001</v>
      </c>
      <c r="AA125" s="40">
        <f>VLOOKUP(A125,kurspris!$A$1:$Q$913,17,FALSE)</f>
        <v>71500</v>
      </c>
      <c r="AB125" s="40">
        <f t="shared" si="32"/>
        <v>17875</v>
      </c>
      <c r="AC125" s="40">
        <f t="shared" si="33"/>
        <v>43273.4</v>
      </c>
      <c r="AD125" s="31">
        <f>VLOOKUP($A125,kurspris!$A$1:$Q$950,3,FALSE)</f>
        <v>1</v>
      </c>
      <c r="AE125" s="31">
        <f>VLOOKUP($A125,kurspris!$A$1:$Q$950,4,FALSE)</f>
        <v>0</v>
      </c>
      <c r="AF125" s="31">
        <f>VLOOKUP($A125,kurspris!$A$1:$Q$950,5,FALSE)</f>
        <v>0</v>
      </c>
      <c r="AG125" s="31">
        <f>VLOOKUP($A125,kurspris!$A$1:$Q$950,6,FALSE)</f>
        <v>0</v>
      </c>
      <c r="AH125" s="31">
        <f>VLOOKUP($A125,kurspris!$A$1:$Q$950,7,FALSE)</f>
        <v>0</v>
      </c>
      <c r="AI125" s="31">
        <f>VLOOKUP($A125,kurspris!$A$1:$Q$950,8,FALSE)</f>
        <v>0</v>
      </c>
      <c r="AJ125" s="31">
        <f>VLOOKUP($A125,kurspris!$A$1:$Q$950,9,FALSE)</f>
        <v>0</v>
      </c>
      <c r="AK125" s="31">
        <f>VLOOKUP($A125,kurspris!$A$1:$Q$950,10,FALSE)</f>
        <v>0</v>
      </c>
      <c r="AL125" s="31">
        <f>VLOOKUP($A125,kurspris!$A$1:$Q$950,11,FALSE)</f>
        <v>0</v>
      </c>
      <c r="AM125" s="31">
        <f>VLOOKUP($A125,kurspris!$A$1:$Q$950,12,FALSE)</f>
        <v>0</v>
      </c>
      <c r="AN125" s="31">
        <f>VLOOKUP($A125,kurspris!$A$1:$Q$950,13,FALSE)</f>
        <v>0</v>
      </c>
      <c r="AO125" s="31">
        <f>VLOOKUP($A125,kurspris!$A$1:$Q$950,14,FALSE)</f>
        <v>0</v>
      </c>
      <c r="AP125" s="57" t="s">
        <v>2506</v>
      </c>
      <c r="AQ125"/>
      <c r="AR125" s="31">
        <f t="shared" si="34"/>
        <v>0.25</v>
      </c>
      <c r="AS125" s="219">
        <f t="shared" si="35"/>
        <v>0.21249999999999999</v>
      </c>
      <c r="AT125" s="31">
        <f t="shared" si="36"/>
        <v>0</v>
      </c>
      <c r="AU125" s="219">
        <f t="shared" si="37"/>
        <v>0</v>
      </c>
      <c r="AV125" s="31">
        <f t="shared" si="38"/>
        <v>0</v>
      </c>
      <c r="AW125" s="31">
        <f t="shared" si="39"/>
        <v>0</v>
      </c>
      <c r="AX125" s="31">
        <f t="shared" si="40"/>
        <v>0</v>
      </c>
      <c r="AY125" s="219">
        <f t="shared" si="41"/>
        <v>0</v>
      </c>
      <c r="AZ125" s="196">
        <f t="shared" si="42"/>
        <v>0</v>
      </c>
      <c r="BA125" s="219">
        <f t="shared" si="43"/>
        <v>0</v>
      </c>
      <c r="BB125" s="31">
        <f t="shared" si="44"/>
        <v>0</v>
      </c>
      <c r="BC125" s="219">
        <f t="shared" si="45"/>
        <v>0</v>
      </c>
      <c r="BD125" s="31">
        <f t="shared" si="46"/>
        <v>0</v>
      </c>
      <c r="BE125" s="219">
        <f t="shared" si="47"/>
        <v>0</v>
      </c>
      <c r="BF125" s="31">
        <f t="shared" si="48"/>
        <v>0</v>
      </c>
      <c r="BG125" s="219">
        <f t="shared" si="49"/>
        <v>0</v>
      </c>
      <c r="BH125" s="31">
        <f t="shared" si="50"/>
        <v>0</v>
      </c>
      <c r="BI125" s="219">
        <f t="shared" si="51"/>
        <v>0</v>
      </c>
      <c r="BJ125" s="31">
        <f t="shared" si="52"/>
        <v>0</v>
      </c>
      <c r="BK125" s="219">
        <f t="shared" si="53"/>
        <v>0</v>
      </c>
      <c r="BL125" s="31">
        <f t="shared" si="54"/>
        <v>0</v>
      </c>
      <c r="BM125" s="219">
        <f t="shared" si="55"/>
        <v>0</v>
      </c>
      <c r="BN125" s="31">
        <f t="shared" si="56"/>
        <v>0</v>
      </c>
      <c r="BO125" s="219">
        <f t="shared" si="57"/>
        <v>0</v>
      </c>
    </row>
    <row r="126" spans="1:67" x14ac:dyDescent="0.25">
      <c r="A126" s="31" t="s">
        <v>1989</v>
      </c>
      <c r="B126" s="176" t="str">
        <f>VLOOKUP(A126,kurspris!$A$1:$B$992,2,FALSE)</f>
        <v>Bild 2a</v>
      </c>
      <c r="D126" s="60" t="s">
        <v>482</v>
      </c>
      <c r="E126" s="576" t="s">
        <v>2432</v>
      </c>
      <c r="F126" s="31" t="s">
        <v>2273</v>
      </c>
      <c r="G126" t="s">
        <v>2440</v>
      </c>
      <c r="H126" t="s">
        <v>2335</v>
      </c>
      <c r="J126" s="31" t="s">
        <v>2237</v>
      </c>
      <c r="L126" s="38">
        <v>1</v>
      </c>
      <c r="M126">
        <v>15</v>
      </c>
      <c r="P126" s="31">
        <v>6</v>
      </c>
      <c r="Q126" s="196">
        <f t="shared" si="58"/>
        <v>1.5</v>
      </c>
      <c r="R126" s="38">
        <v>0.85</v>
      </c>
      <c r="S126" s="280">
        <f t="shared" si="30"/>
        <v>1.2749999999999999</v>
      </c>
      <c r="T126" s="31">
        <f>VLOOKUP(A126,'Ansvar kurs'!$A$1:$C$1123,2,FALSE)</f>
        <v>1650</v>
      </c>
      <c r="U126" s="31" t="str">
        <f>VLOOKUP(T126,Orgenheter!$A$1:$C$166,2,FALSE)</f>
        <v xml:space="preserve">Estetiska ämnen               </v>
      </c>
      <c r="V126" s="31" t="str">
        <f>VLOOKUP(T126,Orgenheter!$A$1:$C$166,3,FALSE)</f>
        <v>Hum</v>
      </c>
      <c r="W126" s="35" t="str">
        <f>VLOOKUP(D126,Program!$A$1:$B$36,2,FALSE)</f>
        <v>Ämneslärarprogrammet - Gy</v>
      </c>
      <c r="X126" s="40">
        <f>VLOOKUP(A126,kurspris!$A$1:$Q$913,15,FALSE)</f>
        <v>51362</v>
      </c>
      <c r="Y126" s="40">
        <f>VLOOKUP(A126,kurspris!$A$1:$Q$913,16,FALSE)</f>
        <v>59096</v>
      </c>
      <c r="Z126" s="40">
        <f t="shared" si="31"/>
        <v>152390.39999999999</v>
      </c>
      <c r="AA126" s="40">
        <f>VLOOKUP(A126,kurspris!$A$1:$Q$913,17,FALSE)</f>
        <v>71500</v>
      </c>
      <c r="AB126" s="40">
        <f t="shared" si="32"/>
        <v>107250</v>
      </c>
      <c r="AC126" s="40">
        <f t="shared" si="33"/>
        <v>259640.4</v>
      </c>
      <c r="AD126" s="31">
        <f>VLOOKUP($A126,kurspris!$A$1:$Q$950,3,FALSE)</f>
        <v>1</v>
      </c>
      <c r="AE126" s="31">
        <f>VLOOKUP($A126,kurspris!$A$1:$Q$950,4,FALSE)</f>
        <v>0</v>
      </c>
      <c r="AF126" s="31">
        <f>VLOOKUP($A126,kurspris!$A$1:$Q$950,5,FALSE)</f>
        <v>0</v>
      </c>
      <c r="AG126" s="31">
        <f>VLOOKUP($A126,kurspris!$A$1:$Q$950,6,FALSE)</f>
        <v>0</v>
      </c>
      <c r="AH126" s="31">
        <f>VLOOKUP($A126,kurspris!$A$1:$Q$950,7,FALSE)</f>
        <v>0</v>
      </c>
      <c r="AI126" s="31">
        <f>VLOOKUP($A126,kurspris!$A$1:$Q$950,8,FALSE)</f>
        <v>0</v>
      </c>
      <c r="AJ126" s="31">
        <f>VLOOKUP($A126,kurspris!$A$1:$Q$950,9,FALSE)</f>
        <v>0</v>
      </c>
      <c r="AK126" s="31">
        <f>VLOOKUP($A126,kurspris!$A$1:$Q$950,10,FALSE)</f>
        <v>0</v>
      </c>
      <c r="AL126" s="31">
        <f>VLOOKUP($A126,kurspris!$A$1:$Q$950,11,FALSE)</f>
        <v>0</v>
      </c>
      <c r="AM126" s="31">
        <f>VLOOKUP($A126,kurspris!$A$1:$Q$950,12,FALSE)</f>
        <v>0</v>
      </c>
      <c r="AN126" s="31">
        <f>VLOOKUP($A126,kurspris!$A$1:$Q$950,13,FALSE)</f>
        <v>0</v>
      </c>
      <c r="AO126" s="31">
        <f>VLOOKUP($A126,kurspris!$A$1:$Q$950,14,FALSE)</f>
        <v>0</v>
      </c>
      <c r="AP126" s="57" t="s">
        <v>2506</v>
      </c>
      <c r="AQ126"/>
      <c r="AR126" s="31">
        <f t="shared" si="34"/>
        <v>1.5</v>
      </c>
      <c r="AS126" s="219">
        <f t="shared" si="35"/>
        <v>1.2749999999999999</v>
      </c>
      <c r="AT126" s="31">
        <f t="shared" si="36"/>
        <v>0</v>
      </c>
      <c r="AU126" s="219">
        <f t="shared" si="37"/>
        <v>0</v>
      </c>
      <c r="AV126" s="31">
        <f t="shared" si="38"/>
        <v>0</v>
      </c>
      <c r="AW126" s="31">
        <f t="shared" si="39"/>
        <v>0</v>
      </c>
      <c r="AX126" s="31">
        <f t="shared" si="40"/>
        <v>0</v>
      </c>
      <c r="AY126" s="219">
        <f t="shared" si="41"/>
        <v>0</v>
      </c>
      <c r="AZ126" s="196">
        <f t="shared" si="42"/>
        <v>0</v>
      </c>
      <c r="BA126" s="219">
        <f t="shared" si="43"/>
        <v>0</v>
      </c>
      <c r="BB126" s="31">
        <f t="shared" si="44"/>
        <v>0</v>
      </c>
      <c r="BC126" s="219">
        <f t="shared" si="45"/>
        <v>0</v>
      </c>
      <c r="BD126" s="31">
        <f t="shared" si="46"/>
        <v>0</v>
      </c>
      <c r="BE126" s="219">
        <f t="shared" si="47"/>
        <v>0</v>
      </c>
      <c r="BF126" s="31">
        <f t="shared" si="48"/>
        <v>0</v>
      </c>
      <c r="BG126" s="219">
        <f t="shared" si="49"/>
        <v>0</v>
      </c>
      <c r="BH126" s="31">
        <f t="shared" si="50"/>
        <v>0</v>
      </c>
      <c r="BI126" s="219">
        <f t="shared" si="51"/>
        <v>0</v>
      </c>
      <c r="BJ126" s="31">
        <f t="shared" si="52"/>
        <v>0</v>
      </c>
      <c r="BK126" s="219">
        <f t="shared" si="53"/>
        <v>0</v>
      </c>
      <c r="BL126" s="31">
        <f t="shared" si="54"/>
        <v>0</v>
      </c>
      <c r="BM126" s="219">
        <f t="shared" si="55"/>
        <v>0</v>
      </c>
      <c r="BN126" s="31">
        <f t="shared" si="56"/>
        <v>0</v>
      </c>
      <c r="BO126" s="219">
        <f t="shared" si="57"/>
        <v>0</v>
      </c>
    </row>
    <row r="127" spans="1:67" x14ac:dyDescent="0.25">
      <c r="A127" s="57" t="s">
        <v>1990</v>
      </c>
      <c r="B127" s="176" t="str">
        <f>VLOOKUP(A127,kurspris!$A$1:$B$992,2,FALSE)</f>
        <v>Bild 2b</v>
      </c>
      <c r="D127" s="60" t="s">
        <v>482</v>
      </c>
      <c r="E127" s="577" t="s">
        <v>2226</v>
      </c>
      <c r="F127" s="31" t="s">
        <v>2273</v>
      </c>
      <c r="G127" t="s">
        <v>2437</v>
      </c>
      <c r="H127" t="s">
        <v>2335</v>
      </c>
      <c r="J127" s="31" t="s">
        <v>2231</v>
      </c>
      <c r="L127" s="38">
        <v>1</v>
      </c>
      <c r="M127">
        <v>15</v>
      </c>
      <c r="P127" s="31">
        <v>1</v>
      </c>
      <c r="Q127" s="196">
        <f t="shared" si="58"/>
        <v>0.25</v>
      </c>
      <c r="R127" s="38">
        <v>0.85</v>
      </c>
      <c r="S127" s="280">
        <f t="shared" si="30"/>
        <v>0.21249999999999999</v>
      </c>
      <c r="T127" s="31">
        <f>VLOOKUP(A127,'Ansvar kurs'!$A$1:$C$1123,2,FALSE)</f>
        <v>1650</v>
      </c>
      <c r="U127" s="31" t="str">
        <f>VLOOKUP(T127,Orgenheter!$A$1:$C$166,2,FALSE)</f>
        <v xml:space="preserve">Estetiska ämnen               </v>
      </c>
      <c r="V127" s="31" t="str">
        <f>VLOOKUP(T127,Orgenheter!$A$1:$C$166,3,FALSE)</f>
        <v>Hum</v>
      </c>
      <c r="W127" s="35" t="str">
        <f>VLOOKUP(D127,Program!$A$1:$B$36,2,FALSE)</f>
        <v>Ämneslärarprogrammet - Gy</v>
      </c>
      <c r="X127" s="40">
        <f>VLOOKUP(A127,kurspris!$A$1:$Q$913,15,FALSE)</f>
        <v>51362</v>
      </c>
      <c r="Y127" s="40">
        <f>VLOOKUP(A127,kurspris!$A$1:$Q$913,16,FALSE)</f>
        <v>59096</v>
      </c>
      <c r="Z127" s="40">
        <f t="shared" si="31"/>
        <v>25398.400000000001</v>
      </c>
      <c r="AA127" s="40">
        <f>VLOOKUP(A127,kurspris!$A$1:$Q$913,17,FALSE)</f>
        <v>71500</v>
      </c>
      <c r="AB127" s="40">
        <f t="shared" si="32"/>
        <v>17875</v>
      </c>
      <c r="AC127" s="40">
        <f t="shared" si="33"/>
        <v>43273.4</v>
      </c>
      <c r="AD127" s="31">
        <f>VLOOKUP($A127,kurspris!$A$1:$Q$950,3,FALSE)</f>
        <v>1</v>
      </c>
      <c r="AE127" s="31">
        <f>VLOOKUP($A127,kurspris!$A$1:$Q$950,4,FALSE)</f>
        <v>0</v>
      </c>
      <c r="AF127" s="31">
        <f>VLOOKUP($A127,kurspris!$A$1:$Q$950,5,FALSE)</f>
        <v>0</v>
      </c>
      <c r="AG127" s="31">
        <f>VLOOKUP($A127,kurspris!$A$1:$Q$950,6,FALSE)</f>
        <v>0</v>
      </c>
      <c r="AH127" s="31">
        <f>VLOOKUP($A127,kurspris!$A$1:$Q$950,7,FALSE)</f>
        <v>0</v>
      </c>
      <c r="AI127" s="31">
        <f>VLOOKUP($A127,kurspris!$A$1:$Q$950,8,FALSE)</f>
        <v>0</v>
      </c>
      <c r="AJ127" s="31">
        <f>VLOOKUP($A127,kurspris!$A$1:$Q$950,9,FALSE)</f>
        <v>0</v>
      </c>
      <c r="AK127" s="31">
        <f>VLOOKUP($A127,kurspris!$A$1:$Q$950,10,FALSE)</f>
        <v>0</v>
      </c>
      <c r="AL127" s="31">
        <f>VLOOKUP($A127,kurspris!$A$1:$Q$950,11,FALSE)</f>
        <v>0</v>
      </c>
      <c r="AM127" s="31">
        <f>VLOOKUP($A127,kurspris!$A$1:$Q$950,12,FALSE)</f>
        <v>0</v>
      </c>
      <c r="AN127" s="31">
        <f>VLOOKUP($A127,kurspris!$A$1:$Q$950,13,FALSE)</f>
        <v>0</v>
      </c>
      <c r="AO127" s="31">
        <f>VLOOKUP($A127,kurspris!$A$1:$Q$950,14,FALSE)</f>
        <v>0</v>
      </c>
      <c r="AP127" s="57" t="s">
        <v>2506</v>
      </c>
      <c r="AQ127"/>
      <c r="AR127" s="31">
        <f t="shared" si="34"/>
        <v>0.25</v>
      </c>
      <c r="AS127" s="219">
        <f t="shared" si="35"/>
        <v>0.21249999999999999</v>
      </c>
      <c r="AT127" s="31">
        <f t="shared" si="36"/>
        <v>0</v>
      </c>
      <c r="AU127" s="219">
        <f t="shared" si="37"/>
        <v>0</v>
      </c>
      <c r="AV127" s="31">
        <f t="shared" si="38"/>
        <v>0</v>
      </c>
      <c r="AW127" s="31">
        <f t="shared" si="39"/>
        <v>0</v>
      </c>
      <c r="AX127" s="31">
        <f t="shared" si="40"/>
        <v>0</v>
      </c>
      <c r="AY127" s="219">
        <f t="shared" si="41"/>
        <v>0</v>
      </c>
      <c r="AZ127" s="196">
        <f t="shared" si="42"/>
        <v>0</v>
      </c>
      <c r="BA127" s="219">
        <f t="shared" si="43"/>
        <v>0</v>
      </c>
      <c r="BB127" s="31">
        <f t="shared" si="44"/>
        <v>0</v>
      </c>
      <c r="BC127" s="219">
        <f t="shared" si="45"/>
        <v>0</v>
      </c>
      <c r="BD127" s="31">
        <f t="shared" si="46"/>
        <v>0</v>
      </c>
      <c r="BE127" s="219">
        <f t="shared" si="47"/>
        <v>0</v>
      </c>
      <c r="BF127" s="31">
        <f t="shared" si="48"/>
        <v>0</v>
      </c>
      <c r="BG127" s="219">
        <f t="shared" si="49"/>
        <v>0</v>
      </c>
      <c r="BH127" s="31">
        <f t="shared" si="50"/>
        <v>0</v>
      </c>
      <c r="BI127" s="219">
        <f t="shared" si="51"/>
        <v>0</v>
      </c>
      <c r="BJ127" s="31">
        <f t="shared" si="52"/>
        <v>0</v>
      </c>
      <c r="BK127" s="219">
        <f t="shared" si="53"/>
        <v>0</v>
      </c>
      <c r="BL127" s="31">
        <f t="shared" si="54"/>
        <v>0</v>
      </c>
      <c r="BM127" s="219">
        <f t="shared" si="55"/>
        <v>0</v>
      </c>
      <c r="BN127" s="31">
        <f t="shared" si="56"/>
        <v>0</v>
      </c>
      <c r="BO127" s="219">
        <f t="shared" si="57"/>
        <v>0</v>
      </c>
    </row>
    <row r="128" spans="1:67" x14ac:dyDescent="0.25">
      <c r="A128" s="31" t="s">
        <v>1990</v>
      </c>
      <c r="B128" s="176" t="str">
        <f>VLOOKUP(A128,kurspris!$A$1:$B$992,2,FALSE)</f>
        <v>Bild 2b</v>
      </c>
      <c r="D128" s="60" t="s">
        <v>482</v>
      </c>
      <c r="E128" s="576" t="s">
        <v>2225</v>
      </c>
      <c r="F128" s="31" t="s">
        <v>2273</v>
      </c>
      <c r="G128" t="s">
        <v>2437</v>
      </c>
      <c r="H128" t="s">
        <v>2335</v>
      </c>
      <c r="J128" s="31" t="s">
        <v>2231</v>
      </c>
      <c r="L128" s="38">
        <v>1</v>
      </c>
      <c r="M128">
        <v>15</v>
      </c>
      <c r="P128" s="31">
        <v>1</v>
      </c>
      <c r="Q128" s="196">
        <f t="shared" si="58"/>
        <v>0.25</v>
      </c>
      <c r="R128" s="38">
        <v>0.85</v>
      </c>
      <c r="S128" s="280">
        <f t="shared" si="30"/>
        <v>0.21249999999999999</v>
      </c>
      <c r="T128" s="31">
        <f>VLOOKUP(A128,'Ansvar kurs'!$A$1:$C$1123,2,FALSE)</f>
        <v>1650</v>
      </c>
      <c r="U128" s="31" t="str">
        <f>VLOOKUP(T128,Orgenheter!$A$1:$C$166,2,FALSE)</f>
        <v xml:space="preserve">Estetiska ämnen               </v>
      </c>
      <c r="V128" s="31" t="str">
        <f>VLOOKUP(T128,Orgenheter!$A$1:$C$166,3,FALSE)</f>
        <v>Hum</v>
      </c>
      <c r="W128" s="35" t="str">
        <f>VLOOKUP(D128,Program!$A$1:$B$36,2,FALSE)</f>
        <v>Ämneslärarprogrammet - Gy</v>
      </c>
      <c r="X128" s="40">
        <f>VLOOKUP(A128,kurspris!$A$1:$Q$913,15,FALSE)</f>
        <v>51362</v>
      </c>
      <c r="Y128" s="40">
        <f>VLOOKUP(A128,kurspris!$A$1:$Q$913,16,FALSE)</f>
        <v>59096</v>
      </c>
      <c r="Z128" s="40">
        <f t="shared" si="31"/>
        <v>25398.400000000001</v>
      </c>
      <c r="AA128" s="40">
        <f>VLOOKUP(A128,kurspris!$A$1:$Q$913,17,FALSE)</f>
        <v>71500</v>
      </c>
      <c r="AB128" s="40">
        <f t="shared" si="32"/>
        <v>17875</v>
      </c>
      <c r="AC128" s="40">
        <f t="shared" si="33"/>
        <v>43273.4</v>
      </c>
      <c r="AD128" s="31">
        <f>VLOOKUP($A128,kurspris!$A$1:$Q$950,3,FALSE)</f>
        <v>1</v>
      </c>
      <c r="AE128" s="31">
        <f>VLOOKUP($A128,kurspris!$A$1:$Q$950,4,FALSE)</f>
        <v>0</v>
      </c>
      <c r="AF128" s="31">
        <f>VLOOKUP($A128,kurspris!$A$1:$Q$950,5,FALSE)</f>
        <v>0</v>
      </c>
      <c r="AG128" s="31">
        <f>VLOOKUP($A128,kurspris!$A$1:$Q$950,6,FALSE)</f>
        <v>0</v>
      </c>
      <c r="AH128" s="31">
        <f>VLOOKUP($A128,kurspris!$A$1:$Q$950,7,FALSE)</f>
        <v>0</v>
      </c>
      <c r="AI128" s="31">
        <f>VLOOKUP($A128,kurspris!$A$1:$Q$950,8,FALSE)</f>
        <v>0</v>
      </c>
      <c r="AJ128" s="31">
        <f>VLOOKUP($A128,kurspris!$A$1:$Q$950,9,FALSE)</f>
        <v>0</v>
      </c>
      <c r="AK128" s="31">
        <f>VLOOKUP($A128,kurspris!$A$1:$Q$950,10,FALSE)</f>
        <v>0</v>
      </c>
      <c r="AL128" s="31">
        <f>VLOOKUP($A128,kurspris!$A$1:$Q$950,11,FALSE)</f>
        <v>0</v>
      </c>
      <c r="AM128" s="31">
        <f>VLOOKUP($A128,kurspris!$A$1:$Q$950,12,FALSE)</f>
        <v>0</v>
      </c>
      <c r="AN128" s="31">
        <f>VLOOKUP($A128,kurspris!$A$1:$Q$950,13,FALSE)</f>
        <v>0</v>
      </c>
      <c r="AO128" s="31">
        <f>VLOOKUP($A128,kurspris!$A$1:$Q$950,14,FALSE)</f>
        <v>0</v>
      </c>
      <c r="AP128" s="57" t="s">
        <v>2506</v>
      </c>
      <c r="AQ128"/>
      <c r="AR128" s="31">
        <f t="shared" si="34"/>
        <v>0.25</v>
      </c>
      <c r="AS128" s="219">
        <f t="shared" si="35"/>
        <v>0.21249999999999999</v>
      </c>
      <c r="AT128" s="31">
        <f t="shared" si="36"/>
        <v>0</v>
      </c>
      <c r="AU128" s="219">
        <f t="shared" si="37"/>
        <v>0</v>
      </c>
      <c r="AV128" s="31">
        <f t="shared" si="38"/>
        <v>0</v>
      </c>
      <c r="AW128" s="31">
        <f t="shared" si="39"/>
        <v>0</v>
      </c>
      <c r="AX128" s="31">
        <f t="shared" si="40"/>
        <v>0</v>
      </c>
      <c r="AY128" s="219">
        <f t="shared" si="41"/>
        <v>0</v>
      </c>
      <c r="AZ128" s="196">
        <f t="shared" si="42"/>
        <v>0</v>
      </c>
      <c r="BA128" s="219">
        <f t="shared" si="43"/>
        <v>0</v>
      </c>
      <c r="BB128" s="31">
        <f t="shared" si="44"/>
        <v>0</v>
      </c>
      <c r="BC128" s="219">
        <f t="shared" si="45"/>
        <v>0</v>
      </c>
      <c r="BD128" s="31">
        <f t="shared" si="46"/>
        <v>0</v>
      </c>
      <c r="BE128" s="219">
        <f t="shared" si="47"/>
        <v>0</v>
      </c>
      <c r="BF128" s="31">
        <f t="shared" si="48"/>
        <v>0</v>
      </c>
      <c r="BG128" s="219">
        <f t="shared" si="49"/>
        <v>0</v>
      </c>
      <c r="BH128" s="31">
        <f t="shared" si="50"/>
        <v>0</v>
      </c>
      <c r="BI128" s="219">
        <f t="shared" si="51"/>
        <v>0</v>
      </c>
      <c r="BJ128" s="31">
        <f t="shared" si="52"/>
        <v>0</v>
      </c>
      <c r="BK128" s="219">
        <f t="shared" si="53"/>
        <v>0</v>
      </c>
      <c r="BL128" s="31">
        <f t="shared" si="54"/>
        <v>0</v>
      </c>
      <c r="BM128" s="219">
        <f t="shared" si="55"/>
        <v>0</v>
      </c>
      <c r="BN128" s="31">
        <f t="shared" si="56"/>
        <v>0</v>
      </c>
      <c r="BO128" s="219">
        <f t="shared" si="57"/>
        <v>0</v>
      </c>
    </row>
    <row r="129" spans="1:67" x14ac:dyDescent="0.25">
      <c r="A129" s="31" t="s">
        <v>1990</v>
      </c>
      <c r="B129" s="176" t="str">
        <f>VLOOKUP(A129,kurspris!$A$1:$B$992,2,FALSE)</f>
        <v>Bild 2b</v>
      </c>
      <c r="D129" s="60" t="s">
        <v>482</v>
      </c>
      <c r="E129" s="576" t="s">
        <v>2225</v>
      </c>
      <c r="F129" s="31" t="s">
        <v>2273</v>
      </c>
      <c r="G129" t="s">
        <v>2437</v>
      </c>
      <c r="H129" t="s">
        <v>2335</v>
      </c>
      <c r="J129" s="31" t="s">
        <v>2241</v>
      </c>
      <c r="L129" s="38">
        <v>1</v>
      </c>
      <c r="M129">
        <v>15</v>
      </c>
      <c r="P129" s="31">
        <v>1</v>
      </c>
      <c r="Q129" s="196">
        <f t="shared" si="58"/>
        <v>0.25</v>
      </c>
      <c r="R129" s="38">
        <v>0.85</v>
      </c>
      <c r="S129" s="280">
        <f t="shared" si="30"/>
        <v>0.21249999999999999</v>
      </c>
      <c r="T129" s="31">
        <f>VLOOKUP(A129,'Ansvar kurs'!$A$1:$C$1123,2,FALSE)</f>
        <v>1650</v>
      </c>
      <c r="U129" s="31" t="str">
        <f>VLOOKUP(T129,Orgenheter!$A$1:$C$166,2,FALSE)</f>
        <v xml:space="preserve">Estetiska ämnen               </v>
      </c>
      <c r="V129" s="31" t="str">
        <f>VLOOKUP(T129,Orgenheter!$A$1:$C$166,3,FALSE)</f>
        <v>Hum</v>
      </c>
      <c r="W129" s="35" t="str">
        <f>VLOOKUP(D129,Program!$A$1:$B$36,2,FALSE)</f>
        <v>Ämneslärarprogrammet - Gy</v>
      </c>
      <c r="X129" s="40">
        <f>VLOOKUP(A129,kurspris!$A$1:$Q$913,15,FALSE)</f>
        <v>51362</v>
      </c>
      <c r="Y129" s="40">
        <f>VLOOKUP(A129,kurspris!$A$1:$Q$913,16,FALSE)</f>
        <v>59096</v>
      </c>
      <c r="Z129" s="40">
        <f t="shared" si="31"/>
        <v>25398.400000000001</v>
      </c>
      <c r="AA129" s="40">
        <f>VLOOKUP(A129,kurspris!$A$1:$Q$913,17,FALSE)</f>
        <v>71500</v>
      </c>
      <c r="AB129" s="40">
        <f t="shared" si="32"/>
        <v>17875</v>
      </c>
      <c r="AC129" s="40">
        <f t="shared" si="33"/>
        <v>43273.4</v>
      </c>
      <c r="AD129" s="31">
        <f>VLOOKUP($A129,kurspris!$A$1:$Q$950,3,FALSE)</f>
        <v>1</v>
      </c>
      <c r="AE129" s="31">
        <f>VLOOKUP($A129,kurspris!$A$1:$Q$950,4,FALSE)</f>
        <v>0</v>
      </c>
      <c r="AF129" s="31">
        <f>VLOOKUP($A129,kurspris!$A$1:$Q$950,5,FALSE)</f>
        <v>0</v>
      </c>
      <c r="AG129" s="31">
        <f>VLOOKUP($A129,kurspris!$A$1:$Q$950,6,FALSE)</f>
        <v>0</v>
      </c>
      <c r="AH129" s="31">
        <f>VLOOKUP($A129,kurspris!$A$1:$Q$950,7,FALSE)</f>
        <v>0</v>
      </c>
      <c r="AI129" s="31">
        <f>VLOOKUP($A129,kurspris!$A$1:$Q$950,8,FALSE)</f>
        <v>0</v>
      </c>
      <c r="AJ129" s="31">
        <f>VLOOKUP($A129,kurspris!$A$1:$Q$950,9,FALSE)</f>
        <v>0</v>
      </c>
      <c r="AK129" s="31">
        <f>VLOOKUP($A129,kurspris!$A$1:$Q$950,10,FALSE)</f>
        <v>0</v>
      </c>
      <c r="AL129" s="31">
        <f>VLOOKUP($A129,kurspris!$A$1:$Q$950,11,FALSE)</f>
        <v>0</v>
      </c>
      <c r="AM129" s="31">
        <f>VLOOKUP($A129,kurspris!$A$1:$Q$950,12,FALSE)</f>
        <v>0</v>
      </c>
      <c r="AN129" s="31">
        <f>VLOOKUP($A129,kurspris!$A$1:$Q$950,13,FALSE)</f>
        <v>0</v>
      </c>
      <c r="AO129" s="31">
        <f>VLOOKUP($A129,kurspris!$A$1:$Q$950,14,FALSE)</f>
        <v>0</v>
      </c>
      <c r="AP129" s="57" t="s">
        <v>2506</v>
      </c>
      <c r="AQ129"/>
      <c r="AR129" s="31">
        <f t="shared" si="34"/>
        <v>0.25</v>
      </c>
      <c r="AS129" s="219">
        <f t="shared" si="35"/>
        <v>0.21249999999999999</v>
      </c>
      <c r="AT129" s="31">
        <f t="shared" si="36"/>
        <v>0</v>
      </c>
      <c r="AU129" s="219">
        <f t="shared" si="37"/>
        <v>0</v>
      </c>
      <c r="AV129" s="31">
        <f t="shared" si="38"/>
        <v>0</v>
      </c>
      <c r="AW129" s="31">
        <f t="shared" si="39"/>
        <v>0</v>
      </c>
      <c r="AX129" s="31">
        <f t="shared" si="40"/>
        <v>0</v>
      </c>
      <c r="AY129" s="219">
        <f t="shared" si="41"/>
        <v>0</v>
      </c>
      <c r="AZ129" s="196">
        <f t="shared" si="42"/>
        <v>0</v>
      </c>
      <c r="BA129" s="219">
        <f t="shared" si="43"/>
        <v>0</v>
      </c>
      <c r="BB129" s="31">
        <f t="shared" si="44"/>
        <v>0</v>
      </c>
      <c r="BC129" s="219">
        <f t="shared" si="45"/>
        <v>0</v>
      </c>
      <c r="BD129" s="31">
        <f t="shared" si="46"/>
        <v>0</v>
      </c>
      <c r="BE129" s="219">
        <f t="shared" si="47"/>
        <v>0</v>
      </c>
      <c r="BF129" s="31">
        <f t="shared" si="48"/>
        <v>0</v>
      </c>
      <c r="BG129" s="219">
        <f t="shared" si="49"/>
        <v>0</v>
      </c>
      <c r="BH129" s="31">
        <f t="shared" si="50"/>
        <v>0</v>
      </c>
      <c r="BI129" s="219">
        <f t="shared" si="51"/>
        <v>0</v>
      </c>
      <c r="BJ129" s="31">
        <f t="shared" si="52"/>
        <v>0</v>
      </c>
      <c r="BK129" s="219">
        <f t="shared" si="53"/>
        <v>0</v>
      </c>
      <c r="BL129" s="31">
        <f t="shared" si="54"/>
        <v>0</v>
      </c>
      <c r="BM129" s="219">
        <f t="shared" si="55"/>
        <v>0</v>
      </c>
      <c r="BN129" s="31">
        <f t="shared" si="56"/>
        <v>0</v>
      </c>
      <c r="BO129" s="219">
        <f t="shared" si="57"/>
        <v>0</v>
      </c>
    </row>
    <row r="130" spans="1:67" x14ac:dyDescent="0.25">
      <c r="A130" s="31" t="s">
        <v>1990</v>
      </c>
      <c r="B130" s="176" t="str">
        <f>VLOOKUP(A130,kurspris!$A$1:$B$992,2,FALSE)</f>
        <v>Bild 2b</v>
      </c>
      <c r="D130" s="60" t="s">
        <v>482</v>
      </c>
      <c r="E130" s="576" t="s">
        <v>2225</v>
      </c>
      <c r="F130" s="31" t="s">
        <v>2273</v>
      </c>
      <c r="G130" t="s">
        <v>2437</v>
      </c>
      <c r="H130" t="s">
        <v>2335</v>
      </c>
      <c r="J130" s="31" t="s">
        <v>2239</v>
      </c>
      <c r="L130" s="38">
        <v>1</v>
      </c>
      <c r="M130">
        <v>15</v>
      </c>
      <c r="P130" s="31">
        <v>1</v>
      </c>
      <c r="Q130" s="196">
        <f t="shared" si="58"/>
        <v>0.25</v>
      </c>
      <c r="R130" s="38">
        <v>0.85</v>
      </c>
      <c r="S130" s="280">
        <f t="shared" ref="S130:S193" si="59">Q130*R130</f>
        <v>0.21249999999999999</v>
      </c>
      <c r="T130" s="31">
        <f>VLOOKUP(A130,'Ansvar kurs'!$A$1:$C$1123,2,FALSE)</f>
        <v>1650</v>
      </c>
      <c r="U130" s="31" t="str">
        <f>VLOOKUP(T130,Orgenheter!$A$1:$C$166,2,FALSE)</f>
        <v xml:space="preserve">Estetiska ämnen               </v>
      </c>
      <c r="V130" s="31" t="str">
        <f>VLOOKUP(T130,Orgenheter!$A$1:$C$166,3,FALSE)</f>
        <v>Hum</v>
      </c>
      <c r="W130" s="35" t="str">
        <f>VLOOKUP(D130,Program!$A$1:$B$36,2,FALSE)</f>
        <v>Ämneslärarprogrammet - Gy</v>
      </c>
      <c r="X130" s="40">
        <f>VLOOKUP(A130,kurspris!$A$1:$Q$913,15,FALSE)</f>
        <v>51362</v>
      </c>
      <c r="Y130" s="40">
        <f>VLOOKUP(A130,kurspris!$A$1:$Q$913,16,FALSE)</f>
        <v>59096</v>
      </c>
      <c r="Z130" s="40">
        <f t="shared" ref="Z130:Z193" si="60">X130*Q130+S130*Y130</f>
        <v>25398.400000000001</v>
      </c>
      <c r="AA130" s="40">
        <f>VLOOKUP(A130,kurspris!$A$1:$Q$913,17,FALSE)</f>
        <v>71500</v>
      </c>
      <c r="AB130" s="40">
        <f t="shared" ref="AB130:AB193" si="61">AA130*Q130</f>
        <v>17875</v>
      </c>
      <c r="AC130" s="40">
        <f t="shared" ref="AC130:AC193" si="62">Z130+AB130</f>
        <v>43273.4</v>
      </c>
      <c r="AD130" s="31">
        <f>VLOOKUP($A130,kurspris!$A$1:$Q$950,3,FALSE)</f>
        <v>1</v>
      </c>
      <c r="AE130" s="31">
        <f>VLOOKUP($A130,kurspris!$A$1:$Q$950,4,FALSE)</f>
        <v>0</v>
      </c>
      <c r="AF130" s="31">
        <f>VLOOKUP($A130,kurspris!$A$1:$Q$950,5,FALSE)</f>
        <v>0</v>
      </c>
      <c r="AG130" s="31">
        <f>VLOOKUP($A130,kurspris!$A$1:$Q$950,6,FALSE)</f>
        <v>0</v>
      </c>
      <c r="AH130" s="31">
        <f>VLOOKUP($A130,kurspris!$A$1:$Q$950,7,FALSE)</f>
        <v>0</v>
      </c>
      <c r="AI130" s="31">
        <f>VLOOKUP($A130,kurspris!$A$1:$Q$950,8,FALSE)</f>
        <v>0</v>
      </c>
      <c r="AJ130" s="31">
        <f>VLOOKUP($A130,kurspris!$A$1:$Q$950,9,FALSE)</f>
        <v>0</v>
      </c>
      <c r="AK130" s="31">
        <f>VLOOKUP($A130,kurspris!$A$1:$Q$950,10,FALSE)</f>
        <v>0</v>
      </c>
      <c r="AL130" s="31">
        <f>VLOOKUP($A130,kurspris!$A$1:$Q$950,11,FALSE)</f>
        <v>0</v>
      </c>
      <c r="AM130" s="31">
        <f>VLOOKUP($A130,kurspris!$A$1:$Q$950,12,FALSE)</f>
        <v>0</v>
      </c>
      <c r="AN130" s="31">
        <f>VLOOKUP($A130,kurspris!$A$1:$Q$950,13,FALSE)</f>
        <v>0</v>
      </c>
      <c r="AO130" s="31">
        <f>VLOOKUP($A130,kurspris!$A$1:$Q$950,14,FALSE)</f>
        <v>0</v>
      </c>
      <c r="AP130" s="57" t="s">
        <v>2506</v>
      </c>
      <c r="AQ130"/>
      <c r="AR130" s="31">
        <f t="shared" ref="AR130:AR193" si="63">$Q130*AD130</f>
        <v>0.25</v>
      </c>
      <c r="AS130" s="219">
        <f t="shared" ref="AS130:AS193" si="64">$S130*AD130</f>
        <v>0.21249999999999999</v>
      </c>
      <c r="AT130" s="31">
        <f t="shared" ref="AT130:AT193" si="65">$Q130*AE130</f>
        <v>0</v>
      </c>
      <c r="AU130" s="219">
        <f t="shared" ref="AU130:AU193" si="66">$S130*AE130</f>
        <v>0</v>
      </c>
      <c r="AV130" s="31">
        <f t="shared" ref="AV130:AV193" si="67">$Q130*AF130</f>
        <v>0</v>
      </c>
      <c r="AW130" s="31">
        <f t="shared" ref="AW130:AW193" si="68">$S130*AF130</f>
        <v>0</v>
      </c>
      <c r="AX130" s="31">
        <f t="shared" ref="AX130:AX193" si="69">$Q130*AG130</f>
        <v>0</v>
      </c>
      <c r="AY130" s="219">
        <f t="shared" ref="AY130:AY193" si="70">$S130*AG130</f>
        <v>0</v>
      </c>
      <c r="AZ130" s="196">
        <f t="shared" ref="AZ130:AZ193" si="71">$Q130*AH130</f>
        <v>0</v>
      </c>
      <c r="BA130" s="219">
        <f t="shared" ref="BA130:BA193" si="72">$S130*AH130</f>
        <v>0</v>
      </c>
      <c r="BB130" s="31">
        <f t="shared" ref="BB130:BB193" si="73">$Q130*AI130</f>
        <v>0</v>
      </c>
      <c r="BC130" s="219">
        <f t="shared" ref="BC130:BC193" si="74">$S130*AI130</f>
        <v>0</v>
      </c>
      <c r="BD130" s="31">
        <f t="shared" ref="BD130:BD193" si="75">$Q130*AJ130</f>
        <v>0</v>
      </c>
      <c r="BE130" s="219">
        <f t="shared" ref="BE130:BE193" si="76">$S130*AJ130</f>
        <v>0</v>
      </c>
      <c r="BF130" s="31">
        <f t="shared" ref="BF130:BF193" si="77">$Q130*AK130</f>
        <v>0</v>
      </c>
      <c r="BG130" s="219">
        <f t="shared" ref="BG130:BG193" si="78">$S130*AK130</f>
        <v>0</v>
      </c>
      <c r="BH130" s="31">
        <f t="shared" ref="BH130:BH193" si="79">$Q130*AL130</f>
        <v>0</v>
      </c>
      <c r="BI130" s="219">
        <f t="shared" ref="BI130:BI193" si="80">$S130*AL130</f>
        <v>0</v>
      </c>
      <c r="BJ130" s="31">
        <f t="shared" ref="BJ130:BJ193" si="81">$Q130*AM130</f>
        <v>0</v>
      </c>
      <c r="BK130" s="219">
        <f t="shared" ref="BK130:BK193" si="82">$S130*AM130</f>
        <v>0</v>
      </c>
      <c r="BL130" s="31">
        <f t="shared" ref="BL130:BL193" si="83">$Q130*AN130</f>
        <v>0</v>
      </c>
      <c r="BM130" s="219">
        <f t="shared" ref="BM130:BM193" si="84">$S130*AN130</f>
        <v>0</v>
      </c>
      <c r="BN130" s="31">
        <f t="shared" ref="BN130:BN193" si="85">$Q130*AO130</f>
        <v>0</v>
      </c>
      <c r="BO130" s="219">
        <f t="shared" ref="BO130:BO193" si="86">$S130*AO130</f>
        <v>0</v>
      </c>
    </row>
    <row r="131" spans="1:67" x14ac:dyDescent="0.25">
      <c r="A131" s="31" t="s">
        <v>1990</v>
      </c>
      <c r="B131" s="176" t="str">
        <f>VLOOKUP(A131,kurspris!$A$1:$B$992,2,FALSE)</f>
        <v>Bild 2b</v>
      </c>
      <c r="D131" s="60" t="s">
        <v>482</v>
      </c>
      <c r="E131" s="576" t="s">
        <v>2432</v>
      </c>
      <c r="F131" s="31" t="s">
        <v>2273</v>
      </c>
      <c r="G131" t="s">
        <v>2437</v>
      </c>
      <c r="H131" t="s">
        <v>2335</v>
      </c>
      <c r="J131" s="31" t="s">
        <v>2237</v>
      </c>
      <c r="L131" s="38">
        <v>1</v>
      </c>
      <c r="M131">
        <v>15</v>
      </c>
      <c r="P131" s="31">
        <v>6</v>
      </c>
      <c r="Q131" s="196">
        <f t="shared" si="58"/>
        <v>1.5</v>
      </c>
      <c r="R131" s="38">
        <v>0.85</v>
      </c>
      <c r="S131" s="280">
        <f t="shared" si="59"/>
        <v>1.2749999999999999</v>
      </c>
      <c r="T131" s="31">
        <f>VLOOKUP(A131,'Ansvar kurs'!$A$1:$C$1123,2,FALSE)</f>
        <v>1650</v>
      </c>
      <c r="U131" s="31" t="str">
        <f>VLOOKUP(T131,Orgenheter!$A$1:$C$166,2,FALSE)</f>
        <v xml:space="preserve">Estetiska ämnen               </v>
      </c>
      <c r="V131" s="31" t="str">
        <f>VLOOKUP(T131,Orgenheter!$A$1:$C$166,3,FALSE)</f>
        <v>Hum</v>
      </c>
      <c r="W131" s="35" t="str">
        <f>VLOOKUP(D131,Program!$A$1:$B$36,2,FALSE)</f>
        <v>Ämneslärarprogrammet - Gy</v>
      </c>
      <c r="X131" s="40">
        <f>VLOOKUP(A131,kurspris!$A$1:$Q$913,15,FALSE)</f>
        <v>51362</v>
      </c>
      <c r="Y131" s="40">
        <f>VLOOKUP(A131,kurspris!$A$1:$Q$913,16,FALSE)</f>
        <v>59096</v>
      </c>
      <c r="Z131" s="40">
        <f t="shared" si="60"/>
        <v>152390.39999999999</v>
      </c>
      <c r="AA131" s="40">
        <f>VLOOKUP(A131,kurspris!$A$1:$Q$913,17,FALSE)</f>
        <v>71500</v>
      </c>
      <c r="AB131" s="40">
        <f t="shared" si="61"/>
        <v>107250</v>
      </c>
      <c r="AC131" s="40">
        <f t="shared" si="62"/>
        <v>259640.4</v>
      </c>
      <c r="AD131" s="31">
        <f>VLOOKUP($A131,kurspris!$A$1:$Q$950,3,FALSE)</f>
        <v>1</v>
      </c>
      <c r="AE131" s="31">
        <f>VLOOKUP($A131,kurspris!$A$1:$Q$950,4,FALSE)</f>
        <v>0</v>
      </c>
      <c r="AF131" s="31">
        <f>VLOOKUP($A131,kurspris!$A$1:$Q$950,5,FALSE)</f>
        <v>0</v>
      </c>
      <c r="AG131" s="31">
        <f>VLOOKUP($A131,kurspris!$A$1:$Q$950,6,FALSE)</f>
        <v>0</v>
      </c>
      <c r="AH131" s="31">
        <f>VLOOKUP($A131,kurspris!$A$1:$Q$950,7,FALSE)</f>
        <v>0</v>
      </c>
      <c r="AI131" s="31">
        <f>VLOOKUP($A131,kurspris!$A$1:$Q$950,8,FALSE)</f>
        <v>0</v>
      </c>
      <c r="AJ131" s="31">
        <f>VLOOKUP($A131,kurspris!$A$1:$Q$950,9,FALSE)</f>
        <v>0</v>
      </c>
      <c r="AK131" s="31">
        <f>VLOOKUP($A131,kurspris!$A$1:$Q$950,10,FALSE)</f>
        <v>0</v>
      </c>
      <c r="AL131" s="31">
        <f>VLOOKUP($A131,kurspris!$A$1:$Q$950,11,FALSE)</f>
        <v>0</v>
      </c>
      <c r="AM131" s="31">
        <f>VLOOKUP($A131,kurspris!$A$1:$Q$950,12,FALSE)</f>
        <v>0</v>
      </c>
      <c r="AN131" s="31">
        <f>VLOOKUP($A131,kurspris!$A$1:$Q$950,13,FALSE)</f>
        <v>0</v>
      </c>
      <c r="AO131" s="31">
        <f>VLOOKUP($A131,kurspris!$A$1:$Q$950,14,FALSE)</f>
        <v>0</v>
      </c>
      <c r="AP131" s="57" t="s">
        <v>2506</v>
      </c>
      <c r="AQ131"/>
      <c r="AR131" s="31">
        <f t="shared" si="63"/>
        <v>1.5</v>
      </c>
      <c r="AS131" s="219">
        <f t="shared" si="64"/>
        <v>1.2749999999999999</v>
      </c>
      <c r="AT131" s="31">
        <f t="shared" si="65"/>
        <v>0</v>
      </c>
      <c r="AU131" s="219">
        <f t="shared" si="66"/>
        <v>0</v>
      </c>
      <c r="AV131" s="31">
        <f t="shared" si="67"/>
        <v>0</v>
      </c>
      <c r="AW131" s="31">
        <f t="shared" si="68"/>
        <v>0</v>
      </c>
      <c r="AX131" s="31">
        <f t="shared" si="69"/>
        <v>0</v>
      </c>
      <c r="AY131" s="219">
        <f t="shared" si="70"/>
        <v>0</v>
      </c>
      <c r="AZ131" s="196">
        <f t="shared" si="71"/>
        <v>0</v>
      </c>
      <c r="BA131" s="219">
        <f t="shared" si="72"/>
        <v>0</v>
      </c>
      <c r="BB131" s="31">
        <f t="shared" si="73"/>
        <v>0</v>
      </c>
      <c r="BC131" s="219">
        <f t="shared" si="74"/>
        <v>0</v>
      </c>
      <c r="BD131" s="31">
        <f t="shared" si="75"/>
        <v>0</v>
      </c>
      <c r="BE131" s="219">
        <f t="shared" si="76"/>
        <v>0</v>
      </c>
      <c r="BF131" s="31">
        <f t="shared" si="77"/>
        <v>0</v>
      </c>
      <c r="BG131" s="219">
        <f t="shared" si="78"/>
        <v>0</v>
      </c>
      <c r="BH131" s="31">
        <f t="shared" si="79"/>
        <v>0</v>
      </c>
      <c r="BI131" s="219">
        <f t="shared" si="80"/>
        <v>0</v>
      </c>
      <c r="BJ131" s="31">
        <f t="shared" si="81"/>
        <v>0</v>
      </c>
      <c r="BK131" s="219">
        <f t="shared" si="82"/>
        <v>0</v>
      </c>
      <c r="BL131" s="31">
        <f t="shared" si="83"/>
        <v>0</v>
      </c>
      <c r="BM131" s="219">
        <f t="shared" si="84"/>
        <v>0</v>
      </c>
      <c r="BN131" s="31">
        <f t="shared" si="85"/>
        <v>0</v>
      </c>
      <c r="BO131" s="219">
        <f t="shared" si="86"/>
        <v>0</v>
      </c>
    </row>
    <row r="132" spans="1:67" x14ac:dyDescent="0.25">
      <c r="A132" s="31" t="s">
        <v>1979</v>
      </c>
      <c r="B132" s="176" t="str">
        <f>VLOOKUP(A132,kurspris!$A$1:$B$992,2,FALSE)</f>
        <v>Skapande och lek för förskolan 2</v>
      </c>
      <c r="C132" s="31">
        <v>66318</v>
      </c>
      <c r="D132" s="60" t="s">
        <v>483</v>
      </c>
      <c r="E132" s="60"/>
      <c r="F132" s="57" t="s">
        <v>2274</v>
      </c>
      <c r="H132" s="31" t="s">
        <v>2335</v>
      </c>
      <c r="I132" s="31" t="s">
        <v>2399</v>
      </c>
      <c r="L132" s="38"/>
      <c r="M132">
        <v>15</v>
      </c>
      <c r="P132" s="31">
        <v>38</v>
      </c>
      <c r="Q132" s="539">
        <v>9.5</v>
      </c>
      <c r="R132" s="38">
        <v>0.85</v>
      </c>
      <c r="S132" s="280">
        <f t="shared" si="59"/>
        <v>8.0749999999999993</v>
      </c>
      <c r="T132" s="31">
        <f>VLOOKUP(A132,'Ansvar kurs'!$A$1:$C$1123,2,FALSE)</f>
        <v>1650</v>
      </c>
      <c r="U132" s="31" t="str">
        <f>VLOOKUP(T132,Orgenheter!$A$1:$C$166,2,FALSE)</f>
        <v xml:space="preserve">Estetiska ämnen               </v>
      </c>
      <c r="V132" s="31" t="str">
        <f>VLOOKUP(T132,Orgenheter!$A$1:$C$166,3,FALSE)</f>
        <v>Hum</v>
      </c>
      <c r="W132" s="35" t="str">
        <f>VLOOKUP(D132,Program!$A$1:$B$36,2,FALSE)</f>
        <v>Förskollärarprogrammet</v>
      </c>
      <c r="X132" s="40">
        <f>VLOOKUP(A132,kurspris!$A$1:$Q$913,15,FALSE)</f>
        <v>16920</v>
      </c>
      <c r="Y132" s="40">
        <f>VLOOKUP(A132,kurspris!$A$1:$Q$913,16,FALSE)</f>
        <v>27913</v>
      </c>
      <c r="Z132" s="40">
        <f t="shared" si="60"/>
        <v>386137.47499999998</v>
      </c>
      <c r="AA132" s="40">
        <f>VLOOKUP(A132,kurspris!$A$1:$Q$913,17,FALSE)</f>
        <v>17900</v>
      </c>
      <c r="AB132" s="40">
        <f t="shared" si="61"/>
        <v>170050</v>
      </c>
      <c r="AC132" s="40">
        <f t="shared" si="62"/>
        <v>556187.47499999998</v>
      </c>
      <c r="AD132" s="31">
        <f>VLOOKUP($A132,kurspris!$A$1:$Q$950,3,FALSE)</f>
        <v>0</v>
      </c>
      <c r="AE132" s="31">
        <f>VLOOKUP($A132,kurspris!$A$1:$Q$950,4,FALSE)</f>
        <v>0</v>
      </c>
      <c r="AF132" s="31">
        <f>VLOOKUP($A132,kurspris!$A$1:$Q$950,5,FALSE)</f>
        <v>0</v>
      </c>
      <c r="AG132" s="31">
        <f>VLOOKUP($A132,kurspris!$A$1:$Q$950,6,FALSE)</f>
        <v>0</v>
      </c>
      <c r="AH132" s="31">
        <f>VLOOKUP($A132,kurspris!$A$1:$Q$950,7,FALSE)</f>
        <v>0</v>
      </c>
      <c r="AI132" s="31">
        <f>VLOOKUP($A132,kurspris!$A$1:$Q$950,8,FALSE)</f>
        <v>0</v>
      </c>
      <c r="AJ132" s="31">
        <f>VLOOKUP($A132,kurspris!$A$1:$Q$950,9,FALSE)</f>
        <v>0</v>
      </c>
      <c r="AK132" s="31">
        <f>VLOOKUP($A132,kurspris!$A$1:$Q$950,10,FALSE)</f>
        <v>0</v>
      </c>
      <c r="AL132" s="31">
        <f>VLOOKUP($A132,kurspris!$A$1:$Q$950,11,FALSE)</f>
        <v>0</v>
      </c>
      <c r="AM132" s="31">
        <f>VLOOKUP($A132,kurspris!$A$1:$Q$950,12,FALSE)</f>
        <v>0</v>
      </c>
      <c r="AN132" s="31">
        <f>VLOOKUP($A132,kurspris!$A$1:$Q$950,13,FALSE)</f>
        <v>1</v>
      </c>
      <c r="AO132" s="31">
        <f>VLOOKUP($A132,kurspris!$A$1:$Q$950,14,FALSE)</f>
        <v>0</v>
      </c>
      <c r="AP132" s="57" t="s">
        <v>2402</v>
      </c>
      <c r="AQ132"/>
      <c r="AR132" s="31">
        <f t="shared" si="63"/>
        <v>0</v>
      </c>
      <c r="AS132" s="219">
        <f t="shared" si="64"/>
        <v>0</v>
      </c>
      <c r="AT132" s="31">
        <f t="shared" si="65"/>
        <v>0</v>
      </c>
      <c r="AU132" s="219">
        <f t="shared" si="66"/>
        <v>0</v>
      </c>
      <c r="AV132" s="31">
        <f t="shared" si="67"/>
        <v>0</v>
      </c>
      <c r="AW132" s="31">
        <f t="shared" si="68"/>
        <v>0</v>
      </c>
      <c r="AX132" s="31">
        <f t="shared" si="69"/>
        <v>0</v>
      </c>
      <c r="AY132" s="219">
        <f t="shared" si="70"/>
        <v>0</v>
      </c>
      <c r="AZ132" s="196">
        <f t="shared" si="71"/>
        <v>0</v>
      </c>
      <c r="BA132" s="219">
        <f t="shared" si="72"/>
        <v>0</v>
      </c>
      <c r="BB132" s="31">
        <f t="shared" si="73"/>
        <v>0</v>
      </c>
      <c r="BC132" s="219">
        <f t="shared" si="74"/>
        <v>0</v>
      </c>
      <c r="BD132" s="31">
        <f t="shared" si="75"/>
        <v>0</v>
      </c>
      <c r="BE132" s="219">
        <f t="shared" si="76"/>
        <v>0</v>
      </c>
      <c r="BF132" s="31">
        <f t="shared" si="77"/>
        <v>0</v>
      </c>
      <c r="BG132" s="219">
        <f t="shared" si="78"/>
        <v>0</v>
      </c>
      <c r="BH132" s="31">
        <f t="shared" si="79"/>
        <v>0</v>
      </c>
      <c r="BI132" s="219">
        <f t="shared" si="80"/>
        <v>0</v>
      </c>
      <c r="BJ132" s="31">
        <f t="shared" si="81"/>
        <v>0</v>
      </c>
      <c r="BK132" s="219">
        <f t="shared" si="82"/>
        <v>0</v>
      </c>
      <c r="BL132" s="31">
        <f t="shared" si="83"/>
        <v>9.5</v>
      </c>
      <c r="BM132" s="219">
        <f t="shared" si="84"/>
        <v>8.0749999999999993</v>
      </c>
      <c r="BN132" s="31">
        <f t="shared" si="85"/>
        <v>0</v>
      </c>
      <c r="BO132" s="219">
        <f t="shared" si="86"/>
        <v>0</v>
      </c>
    </row>
    <row r="133" spans="1:67" x14ac:dyDescent="0.25">
      <c r="A133" s="31" t="s">
        <v>2072</v>
      </c>
      <c r="B133" s="176" t="str">
        <f>VLOOKUP(A133,kurspris!$A$1:$B$992,2,FALSE)</f>
        <v>Att undervisa i bild</v>
      </c>
      <c r="D133" s="60" t="s">
        <v>482</v>
      </c>
      <c r="E133" s="576" t="s">
        <v>2225</v>
      </c>
      <c r="F133" s="31" t="s">
        <v>2273</v>
      </c>
      <c r="G133" t="s">
        <v>2444</v>
      </c>
      <c r="H133" t="s">
        <v>2335</v>
      </c>
      <c r="J133" s="31" t="s">
        <v>2237</v>
      </c>
      <c r="L133" s="38">
        <v>1</v>
      </c>
      <c r="M133">
        <v>6</v>
      </c>
      <c r="P133" s="31">
        <v>1</v>
      </c>
      <c r="Q133" s="196">
        <f>(M133/60)*P133</f>
        <v>0.1</v>
      </c>
      <c r="R133" s="38">
        <v>0.85</v>
      </c>
      <c r="S133" s="280">
        <f t="shared" si="59"/>
        <v>8.5000000000000006E-2</v>
      </c>
      <c r="T133" s="31">
        <f>VLOOKUP(A133,'Ansvar kurs'!$A$1:$C$1123,2,FALSE)</f>
        <v>1650</v>
      </c>
      <c r="U133" s="31" t="str">
        <f>VLOOKUP(T133,Orgenheter!$A$1:$C$166,2,FALSE)</f>
        <v xml:space="preserve">Estetiska ämnen               </v>
      </c>
      <c r="V133" s="31" t="str">
        <f>VLOOKUP(T133,Orgenheter!$A$1:$C$166,3,FALSE)</f>
        <v>Hum</v>
      </c>
      <c r="W133" s="35" t="str">
        <f>VLOOKUP(D133,Program!$A$1:$B$36,2,FALSE)</f>
        <v>Ämneslärarprogrammet - Gy</v>
      </c>
      <c r="X133" s="40">
        <f>VLOOKUP(A133,kurspris!$A$1:$Q$913,15,FALSE)</f>
        <v>25235</v>
      </c>
      <c r="Y133" s="40">
        <f>VLOOKUP(A133,kurspris!$A$1:$Q$913,16,FALSE)</f>
        <v>27976</v>
      </c>
      <c r="Z133" s="40">
        <f t="shared" si="60"/>
        <v>4901.46</v>
      </c>
      <c r="AA133" s="40">
        <f>VLOOKUP(A133,kurspris!$A$1:$Q$913,17,FALSE)</f>
        <v>3600</v>
      </c>
      <c r="AB133" s="40">
        <f t="shared" si="61"/>
        <v>360</v>
      </c>
      <c r="AC133" s="40">
        <f t="shared" si="62"/>
        <v>5261.46</v>
      </c>
      <c r="AD133" s="31">
        <f>VLOOKUP($A133,kurspris!$A$1:$Q$950,3,FALSE)</f>
        <v>0</v>
      </c>
      <c r="AE133" s="31">
        <f>VLOOKUP($A133,kurspris!$A$1:$Q$950,4,FALSE)</f>
        <v>0</v>
      </c>
      <c r="AF133" s="31">
        <f>VLOOKUP($A133,kurspris!$A$1:$Q$950,5,FALSE)</f>
        <v>0</v>
      </c>
      <c r="AG133" s="31">
        <f>VLOOKUP($A133,kurspris!$A$1:$Q$950,6,FALSE)</f>
        <v>0</v>
      </c>
      <c r="AH133" s="31">
        <f>VLOOKUP($A133,kurspris!$A$1:$Q$950,7,FALSE)</f>
        <v>0</v>
      </c>
      <c r="AI133" s="31">
        <f>VLOOKUP($A133,kurspris!$A$1:$Q$950,8,FALSE)</f>
        <v>0</v>
      </c>
      <c r="AJ133" s="31">
        <f>VLOOKUP($A133,kurspris!$A$1:$Q$950,9,FALSE)</f>
        <v>0</v>
      </c>
      <c r="AK133" s="31">
        <f>VLOOKUP($A133,kurspris!$A$1:$Q$950,10,FALSE)</f>
        <v>0</v>
      </c>
      <c r="AL133" s="31">
        <f>VLOOKUP($A133,kurspris!$A$1:$Q$950,11,FALSE)</f>
        <v>1</v>
      </c>
      <c r="AM133" s="31">
        <f>VLOOKUP($A133,kurspris!$A$1:$Q$950,12,FALSE)</f>
        <v>0</v>
      </c>
      <c r="AN133" s="31">
        <f>VLOOKUP($A133,kurspris!$A$1:$Q$950,13,FALSE)</f>
        <v>0</v>
      </c>
      <c r="AO133" s="31">
        <f>VLOOKUP($A133,kurspris!$A$1:$Q$950,14,FALSE)</f>
        <v>0</v>
      </c>
      <c r="AP133" s="57" t="s">
        <v>2506</v>
      </c>
      <c r="AQ133"/>
      <c r="AR133" s="31">
        <f t="shared" si="63"/>
        <v>0</v>
      </c>
      <c r="AS133" s="219">
        <f t="shared" si="64"/>
        <v>0</v>
      </c>
      <c r="AT133" s="31">
        <f t="shared" si="65"/>
        <v>0</v>
      </c>
      <c r="AU133" s="219">
        <f t="shared" si="66"/>
        <v>0</v>
      </c>
      <c r="AV133" s="31">
        <f t="shared" si="67"/>
        <v>0</v>
      </c>
      <c r="AW133" s="31">
        <f t="shared" si="68"/>
        <v>0</v>
      </c>
      <c r="AX133" s="31">
        <f t="shared" si="69"/>
        <v>0</v>
      </c>
      <c r="AY133" s="219">
        <f t="shared" si="70"/>
        <v>0</v>
      </c>
      <c r="AZ133" s="196">
        <f t="shared" si="71"/>
        <v>0</v>
      </c>
      <c r="BA133" s="219">
        <f t="shared" si="72"/>
        <v>0</v>
      </c>
      <c r="BB133" s="31">
        <f t="shared" si="73"/>
        <v>0</v>
      </c>
      <c r="BC133" s="219">
        <f t="shared" si="74"/>
        <v>0</v>
      </c>
      <c r="BD133" s="31">
        <f t="shared" si="75"/>
        <v>0</v>
      </c>
      <c r="BE133" s="219">
        <f t="shared" si="76"/>
        <v>0</v>
      </c>
      <c r="BF133" s="31">
        <f t="shared" si="77"/>
        <v>0</v>
      </c>
      <c r="BG133" s="219">
        <f t="shared" si="78"/>
        <v>0</v>
      </c>
      <c r="BH133" s="31">
        <f t="shared" si="79"/>
        <v>0.1</v>
      </c>
      <c r="BI133" s="219">
        <f t="shared" si="80"/>
        <v>8.5000000000000006E-2</v>
      </c>
      <c r="BJ133" s="31">
        <f t="shared" si="81"/>
        <v>0</v>
      </c>
      <c r="BK133" s="219">
        <f t="shared" si="82"/>
        <v>0</v>
      </c>
      <c r="BL133" s="31">
        <f t="shared" si="83"/>
        <v>0</v>
      </c>
      <c r="BM133" s="219">
        <f t="shared" si="84"/>
        <v>0</v>
      </c>
      <c r="BN133" s="31">
        <f t="shared" si="85"/>
        <v>0</v>
      </c>
      <c r="BO133" s="219">
        <f t="shared" si="86"/>
        <v>0</v>
      </c>
    </row>
    <row r="134" spans="1:67" x14ac:dyDescent="0.25">
      <c r="A134" s="31" t="s">
        <v>2072</v>
      </c>
      <c r="B134" s="176" t="str">
        <f>VLOOKUP(A134,kurspris!$A$1:$B$992,2,FALSE)</f>
        <v>Att undervisa i bild</v>
      </c>
      <c r="D134" s="60" t="s">
        <v>482</v>
      </c>
      <c r="E134" s="576" t="s">
        <v>2434</v>
      </c>
      <c r="F134" s="31" t="s">
        <v>2273</v>
      </c>
      <c r="G134" t="s">
        <v>2444</v>
      </c>
      <c r="H134" t="s">
        <v>2335</v>
      </c>
      <c r="J134" s="31" t="s">
        <v>2237</v>
      </c>
      <c r="L134" s="38">
        <v>1</v>
      </c>
      <c r="M134">
        <v>6</v>
      </c>
      <c r="P134" s="31">
        <v>2</v>
      </c>
      <c r="Q134" s="196">
        <f>(M134/60)*P134</f>
        <v>0.2</v>
      </c>
      <c r="R134" s="38">
        <v>0.85</v>
      </c>
      <c r="S134" s="280">
        <f t="shared" si="59"/>
        <v>0.17</v>
      </c>
      <c r="T134" s="31">
        <f>VLOOKUP(A134,'Ansvar kurs'!$A$1:$C$1123,2,FALSE)</f>
        <v>1650</v>
      </c>
      <c r="U134" s="31" t="str">
        <f>VLOOKUP(T134,Orgenheter!$A$1:$C$166,2,FALSE)</f>
        <v xml:space="preserve">Estetiska ämnen               </v>
      </c>
      <c r="V134" s="31" t="str">
        <f>VLOOKUP(T134,Orgenheter!$A$1:$C$166,3,FALSE)</f>
        <v>Hum</v>
      </c>
      <c r="W134" s="35" t="str">
        <f>VLOOKUP(D134,Program!$A$1:$B$36,2,FALSE)</f>
        <v>Ämneslärarprogrammet - Gy</v>
      </c>
      <c r="X134" s="40">
        <f>VLOOKUP(A134,kurspris!$A$1:$Q$913,15,FALSE)</f>
        <v>25235</v>
      </c>
      <c r="Y134" s="40">
        <f>VLOOKUP(A134,kurspris!$A$1:$Q$913,16,FALSE)</f>
        <v>27976</v>
      </c>
      <c r="Z134" s="40">
        <f t="shared" si="60"/>
        <v>9802.92</v>
      </c>
      <c r="AA134" s="40">
        <f>VLOOKUP(A134,kurspris!$A$1:$Q$913,17,FALSE)</f>
        <v>3600</v>
      </c>
      <c r="AB134" s="40">
        <f t="shared" si="61"/>
        <v>720</v>
      </c>
      <c r="AC134" s="40">
        <f t="shared" si="62"/>
        <v>10522.92</v>
      </c>
      <c r="AD134" s="31">
        <f>VLOOKUP($A134,kurspris!$A$1:$Q$950,3,FALSE)</f>
        <v>0</v>
      </c>
      <c r="AE134" s="31">
        <f>VLOOKUP($A134,kurspris!$A$1:$Q$950,4,FALSE)</f>
        <v>0</v>
      </c>
      <c r="AF134" s="31">
        <f>VLOOKUP($A134,kurspris!$A$1:$Q$950,5,FALSE)</f>
        <v>0</v>
      </c>
      <c r="AG134" s="31">
        <f>VLOOKUP($A134,kurspris!$A$1:$Q$950,6,FALSE)</f>
        <v>0</v>
      </c>
      <c r="AH134" s="31">
        <f>VLOOKUP($A134,kurspris!$A$1:$Q$950,7,FALSE)</f>
        <v>0</v>
      </c>
      <c r="AI134" s="31">
        <f>VLOOKUP($A134,kurspris!$A$1:$Q$950,8,FALSE)</f>
        <v>0</v>
      </c>
      <c r="AJ134" s="31">
        <f>VLOOKUP($A134,kurspris!$A$1:$Q$950,9,FALSE)</f>
        <v>0</v>
      </c>
      <c r="AK134" s="31">
        <f>VLOOKUP($A134,kurspris!$A$1:$Q$950,10,FALSE)</f>
        <v>0</v>
      </c>
      <c r="AL134" s="31">
        <f>VLOOKUP($A134,kurspris!$A$1:$Q$950,11,FALSE)</f>
        <v>1</v>
      </c>
      <c r="AM134" s="31">
        <f>VLOOKUP($A134,kurspris!$A$1:$Q$950,12,FALSE)</f>
        <v>0</v>
      </c>
      <c r="AN134" s="31">
        <f>VLOOKUP($A134,kurspris!$A$1:$Q$950,13,FALSE)</f>
        <v>0</v>
      </c>
      <c r="AO134" s="31">
        <f>VLOOKUP($A134,kurspris!$A$1:$Q$950,14,FALSE)</f>
        <v>0</v>
      </c>
      <c r="AP134" s="57" t="s">
        <v>2506</v>
      </c>
      <c r="AQ134"/>
      <c r="AR134" s="31">
        <f t="shared" si="63"/>
        <v>0</v>
      </c>
      <c r="AS134" s="219">
        <f t="shared" si="64"/>
        <v>0</v>
      </c>
      <c r="AT134" s="31">
        <f t="shared" si="65"/>
        <v>0</v>
      </c>
      <c r="AU134" s="219">
        <f t="shared" si="66"/>
        <v>0</v>
      </c>
      <c r="AV134" s="31">
        <f t="shared" si="67"/>
        <v>0</v>
      </c>
      <c r="AW134" s="31">
        <f t="shared" si="68"/>
        <v>0</v>
      </c>
      <c r="AX134" s="31">
        <f t="shared" si="69"/>
        <v>0</v>
      </c>
      <c r="AY134" s="219">
        <f t="shared" si="70"/>
        <v>0</v>
      </c>
      <c r="AZ134" s="196">
        <f t="shared" si="71"/>
        <v>0</v>
      </c>
      <c r="BA134" s="219">
        <f t="shared" si="72"/>
        <v>0</v>
      </c>
      <c r="BB134" s="31">
        <f t="shared" si="73"/>
        <v>0</v>
      </c>
      <c r="BC134" s="219">
        <f t="shared" si="74"/>
        <v>0</v>
      </c>
      <c r="BD134" s="31">
        <f t="shared" si="75"/>
        <v>0</v>
      </c>
      <c r="BE134" s="219">
        <f t="shared" si="76"/>
        <v>0</v>
      </c>
      <c r="BF134" s="31">
        <f t="shared" si="77"/>
        <v>0</v>
      </c>
      <c r="BG134" s="219">
        <f t="shared" si="78"/>
        <v>0</v>
      </c>
      <c r="BH134" s="31">
        <f t="shared" si="79"/>
        <v>0.2</v>
      </c>
      <c r="BI134" s="219">
        <f t="shared" si="80"/>
        <v>0.17</v>
      </c>
      <c r="BJ134" s="31">
        <f t="shared" si="81"/>
        <v>0</v>
      </c>
      <c r="BK134" s="219">
        <f t="shared" si="82"/>
        <v>0</v>
      </c>
      <c r="BL134" s="31">
        <f t="shared" si="83"/>
        <v>0</v>
      </c>
      <c r="BM134" s="219">
        <f t="shared" si="84"/>
        <v>0</v>
      </c>
      <c r="BN134" s="31">
        <f t="shared" si="85"/>
        <v>0</v>
      </c>
      <c r="BO134" s="219">
        <f t="shared" si="86"/>
        <v>0</v>
      </c>
    </row>
    <row r="135" spans="1:67" x14ac:dyDescent="0.25">
      <c r="A135" s="31" t="s">
        <v>2072</v>
      </c>
      <c r="B135" s="176" t="str">
        <f>VLOOKUP(A135,kurspris!$A$1:$B$992,2,FALSE)</f>
        <v>Att undervisa i bild</v>
      </c>
      <c r="D135" s="60" t="s">
        <v>482</v>
      </c>
      <c r="E135" s="576" t="s">
        <v>2432</v>
      </c>
      <c r="F135" s="31" t="s">
        <v>2273</v>
      </c>
      <c r="G135" t="s">
        <v>2444</v>
      </c>
      <c r="H135" t="s">
        <v>2335</v>
      </c>
      <c r="J135" s="31" t="s">
        <v>2237</v>
      </c>
      <c r="L135" s="38">
        <v>1</v>
      </c>
      <c r="M135">
        <v>6</v>
      </c>
      <c r="P135" s="31">
        <v>1</v>
      </c>
      <c r="Q135" s="196">
        <f>(M135/60)*P135</f>
        <v>0.1</v>
      </c>
      <c r="R135" s="38">
        <v>0.85</v>
      </c>
      <c r="S135" s="280">
        <f t="shared" si="59"/>
        <v>8.5000000000000006E-2</v>
      </c>
      <c r="T135" s="31">
        <f>VLOOKUP(A135,'Ansvar kurs'!$A$1:$C$1123,2,FALSE)</f>
        <v>1650</v>
      </c>
      <c r="U135" s="31" t="str">
        <f>VLOOKUP(T135,Orgenheter!$A$1:$C$166,2,FALSE)</f>
        <v xml:space="preserve">Estetiska ämnen               </v>
      </c>
      <c r="V135" s="31" t="str">
        <f>VLOOKUP(T135,Orgenheter!$A$1:$C$166,3,FALSE)</f>
        <v>Hum</v>
      </c>
      <c r="W135" s="35" t="str">
        <f>VLOOKUP(D135,Program!$A$1:$B$36,2,FALSE)</f>
        <v>Ämneslärarprogrammet - Gy</v>
      </c>
      <c r="X135" s="40">
        <f>VLOOKUP(A135,kurspris!$A$1:$Q$913,15,FALSE)</f>
        <v>25235</v>
      </c>
      <c r="Y135" s="40">
        <f>VLOOKUP(A135,kurspris!$A$1:$Q$913,16,FALSE)</f>
        <v>27976</v>
      </c>
      <c r="Z135" s="40">
        <f t="shared" si="60"/>
        <v>4901.46</v>
      </c>
      <c r="AA135" s="40">
        <f>VLOOKUP(A135,kurspris!$A$1:$Q$913,17,FALSE)</f>
        <v>3600</v>
      </c>
      <c r="AB135" s="40">
        <f t="shared" si="61"/>
        <v>360</v>
      </c>
      <c r="AC135" s="40">
        <f t="shared" si="62"/>
        <v>5261.46</v>
      </c>
      <c r="AD135" s="31">
        <f>VLOOKUP($A135,kurspris!$A$1:$Q$950,3,FALSE)</f>
        <v>0</v>
      </c>
      <c r="AE135" s="31">
        <f>VLOOKUP($A135,kurspris!$A$1:$Q$950,4,FALSE)</f>
        <v>0</v>
      </c>
      <c r="AF135" s="31">
        <f>VLOOKUP($A135,kurspris!$A$1:$Q$950,5,FALSE)</f>
        <v>0</v>
      </c>
      <c r="AG135" s="31">
        <f>VLOOKUP($A135,kurspris!$A$1:$Q$950,6,FALSE)</f>
        <v>0</v>
      </c>
      <c r="AH135" s="31">
        <f>VLOOKUP($A135,kurspris!$A$1:$Q$950,7,FALSE)</f>
        <v>0</v>
      </c>
      <c r="AI135" s="31">
        <f>VLOOKUP($A135,kurspris!$A$1:$Q$950,8,FALSE)</f>
        <v>0</v>
      </c>
      <c r="AJ135" s="31">
        <f>VLOOKUP($A135,kurspris!$A$1:$Q$950,9,FALSE)</f>
        <v>0</v>
      </c>
      <c r="AK135" s="31">
        <f>VLOOKUP($A135,kurspris!$A$1:$Q$950,10,FALSE)</f>
        <v>0</v>
      </c>
      <c r="AL135" s="31">
        <f>VLOOKUP($A135,kurspris!$A$1:$Q$950,11,FALSE)</f>
        <v>1</v>
      </c>
      <c r="AM135" s="31">
        <f>VLOOKUP($A135,kurspris!$A$1:$Q$950,12,FALSE)</f>
        <v>0</v>
      </c>
      <c r="AN135" s="31">
        <f>VLOOKUP($A135,kurspris!$A$1:$Q$950,13,FALSE)</f>
        <v>0</v>
      </c>
      <c r="AO135" s="31">
        <f>VLOOKUP($A135,kurspris!$A$1:$Q$950,14,FALSE)</f>
        <v>0</v>
      </c>
      <c r="AP135" s="57" t="s">
        <v>2506</v>
      </c>
      <c r="AQ135"/>
      <c r="AR135" s="31">
        <f t="shared" si="63"/>
        <v>0</v>
      </c>
      <c r="AS135" s="219">
        <f t="shared" si="64"/>
        <v>0</v>
      </c>
      <c r="AT135" s="31">
        <f t="shared" si="65"/>
        <v>0</v>
      </c>
      <c r="AU135" s="219">
        <f t="shared" si="66"/>
        <v>0</v>
      </c>
      <c r="AV135" s="31">
        <f t="shared" si="67"/>
        <v>0</v>
      </c>
      <c r="AW135" s="31">
        <f t="shared" si="68"/>
        <v>0</v>
      </c>
      <c r="AX135" s="31">
        <f t="shared" si="69"/>
        <v>0</v>
      </c>
      <c r="AY135" s="219">
        <f t="shared" si="70"/>
        <v>0</v>
      </c>
      <c r="AZ135" s="196">
        <f t="shared" si="71"/>
        <v>0</v>
      </c>
      <c r="BA135" s="219">
        <f t="shared" si="72"/>
        <v>0</v>
      </c>
      <c r="BB135" s="31">
        <f t="shared" si="73"/>
        <v>0</v>
      </c>
      <c r="BC135" s="219">
        <f t="shared" si="74"/>
        <v>0</v>
      </c>
      <c r="BD135" s="31">
        <f t="shared" si="75"/>
        <v>0</v>
      </c>
      <c r="BE135" s="219">
        <f t="shared" si="76"/>
        <v>0</v>
      </c>
      <c r="BF135" s="31">
        <f t="shared" si="77"/>
        <v>0</v>
      </c>
      <c r="BG135" s="219">
        <f t="shared" si="78"/>
        <v>0</v>
      </c>
      <c r="BH135" s="31">
        <f t="shared" si="79"/>
        <v>0.1</v>
      </c>
      <c r="BI135" s="219">
        <f t="shared" si="80"/>
        <v>8.5000000000000006E-2</v>
      </c>
      <c r="BJ135" s="31">
        <f t="shared" si="81"/>
        <v>0</v>
      </c>
      <c r="BK135" s="219">
        <f t="shared" si="82"/>
        <v>0</v>
      </c>
      <c r="BL135" s="31">
        <f t="shared" si="83"/>
        <v>0</v>
      </c>
      <c r="BM135" s="219">
        <f t="shared" si="84"/>
        <v>0</v>
      </c>
      <c r="BN135" s="31">
        <f t="shared" si="85"/>
        <v>0</v>
      </c>
      <c r="BO135" s="219">
        <f t="shared" si="86"/>
        <v>0</v>
      </c>
    </row>
    <row r="136" spans="1:67" x14ac:dyDescent="0.25">
      <c r="A136" s="31" t="s">
        <v>2072</v>
      </c>
      <c r="B136" s="176" t="str">
        <f>VLOOKUP(A136,kurspris!$A$1:$B$992,2,FALSE)</f>
        <v>Att undervisa i bild</v>
      </c>
      <c r="D136" s="60" t="s">
        <v>2155</v>
      </c>
      <c r="E136" s="576" t="s">
        <v>2225</v>
      </c>
      <c r="F136" s="31" t="s">
        <v>2273</v>
      </c>
      <c r="G136" s="31" t="s">
        <v>2444</v>
      </c>
      <c r="H136" s="31" t="s">
        <v>2335</v>
      </c>
      <c r="I136" s="31" t="s">
        <v>2276</v>
      </c>
      <c r="L136" s="38">
        <v>1</v>
      </c>
      <c r="M136" s="325">
        <v>6</v>
      </c>
      <c r="P136" s="31">
        <v>1</v>
      </c>
      <c r="Q136" s="196">
        <f>(M136/60)*P136</f>
        <v>0.1</v>
      </c>
      <c r="R136" s="38">
        <v>0.85</v>
      </c>
      <c r="S136" s="280">
        <f t="shared" si="59"/>
        <v>8.5000000000000006E-2</v>
      </c>
      <c r="T136" s="31">
        <f>VLOOKUP(A136,'Ansvar kurs'!$A$1:$C$1123,2,FALSE)</f>
        <v>1650</v>
      </c>
      <c r="U136" s="31" t="str">
        <f>VLOOKUP(T136,Orgenheter!$A$1:$C$166,2,FALSE)</f>
        <v xml:space="preserve">Estetiska ämnen               </v>
      </c>
      <c r="V136" s="31" t="str">
        <f>VLOOKUP(T136,Orgenheter!$A$1:$C$166,3,FALSE)</f>
        <v>Hum</v>
      </c>
      <c r="W136" s="35" t="str">
        <f>VLOOKUP(D136,Program!$A$1:$B$36,2,FALSE)</f>
        <v>KPU - åk 7-9 och Gy</v>
      </c>
      <c r="X136" s="40">
        <f>VLOOKUP(A136,kurspris!$A$1:$Q$913,15,FALSE)</f>
        <v>25235</v>
      </c>
      <c r="Y136" s="40">
        <f>VLOOKUP(A136,kurspris!$A$1:$Q$913,16,FALSE)</f>
        <v>27976</v>
      </c>
      <c r="Z136" s="40">
        <f t="shared" si="60"/>
        <v>4901.46</v>
      </c>
      <c r="AA136" s="40">
        <f>VLOOKUP(A136,kurspris!$A$1:$Q$913,17,FALSE)</f>
        <v>3600</v>
      </c>
      <c r="AB136" s="40">
        <f t="shared" si="61"/>
        <v>360</v>
      </c>
      <c r="AC136" s="40">
        <f t="shared" si="62"/>
        <v>5261.46</v>
      </c>
      <c r="AD136" s="31">
        <f>VLOOKUP($A136,kurspris!$A$1:$Q$950,3,FALSE)</f>
        <v>0</v>
      </c>
      <c r="AE136" s="31">
        <f>VLOOKUP($A136,kurspris!$A$1:$Q$950,4,FALSE)</f>
        <v>0</v>
      </c>
      <c r="AF136" s="31">
        <f>VLOOKUP($A136,kurspris!$A$1:$Q$950,5,FALSE)</f>
        <v>0</v>
      </c>
      <c r="AG136" s="31">
        <f>VLOOKUP($A136,kurspris!$A$1:$Q$950,6,FALSE)</f>
        <v>0</v>
      </c>
      <c r="AH136" s="31">
        <f>VLOOKUP($A136,kurspris!$A$1:$Q$950,7,FALSE)</f>
        <v>0</v>
      </c>
      <c r="AI136" s="31">
        <f>VLOOKUP($A136,kurspris!$A$1:$Q$950,8,FALSE)</f>
        <v>0</v>
      </c>
      <c r="AJ136" s="31">
        <f>VLOOKUP($A136,kurspris!$A$1:$Q$950,9,FALSE)</f>
        <v>0</v>
      </c>
      <c r="AK136" s="31">
        <f>VLOOKUP($A136,kurspris!$A$1:$Q$950,10,FALSE)</f>
        <v>0</v>
      </c>
      <c r="AL136" s="31">
        <f>VLOOKUP($A136,kurspris!$A$1:$Q$950,11,FALSE)</f>
        <v>1</v>
      </c>
      <c r="AM136" s="31">
        <f>VLOOKUP($A136,kurspris!$A$1:$Q$950,12,FALSE)</f>
        <v>0</v>
      </c>
      <c r="AN136" s="31">
        <f>VLOOKUP($A136,kurspris!$A$1:$Q$950,13,FALSE)</f>
        <v>0</v>
      </c>
      <c r="AO136" s="31">
        <f>VLOOKUP($A136,kurspris!$A$1:$Q$950,14,FALSE)</f>
        <v>0</v>
      </c>
      <c r="AP136" s="57" t="s">
        <v>2502</v>
      </c>
      <c r="AQ136"/>
      <c r="AR136" s="31">
        <f t="shared" si="63"/>
        <v>0</v>
      </c>
      <c r="AS136" s="219">
        <f t="shared" si="64"/>
        <v>0</v>
      </c>
      <c r="AT136" s="31">
        <f t="shared" si="65"/>
        <v>0</v>
      </c>
      <c r="AU136" s="219">
        <f t="shared" si="66"/>
        <v>0</v>
      </c>
      <c r="AV136" s="31">
        <f t="shared" si="67"/>
        <v>0</v>
      </c>
      <c r="AW136" s="31">
        <f t="shared" si="68"/>
        <v>0</v>
      </c>
      <c r="AX136" s="31">
        <f t="shared" si="69"/>
        <v>0</v>
      </c>
      <c r="AY136" s="219">
        <f t="shared" si="70"/>
        <v>0</v>
      </c>
      <c r="AZ136" s="196">
        <f t="shared" si="71"/>
        <v>0</v>
      </c>
      <c r="BA136" s="219">
        <f t="shared" si="72"/>
        <v>0</v>
      </c>
      <c r="BB136" s="31">
        <f t="shared" si="73"/>
        <v>0</v>
      </c>
      <c r="BC136" s="219">
        <f t="shared" si="74"/>
        <v>0</v>
      </c>
      <c r="BD136" s="31">
        <f t="shared" si="75"/>
        <v>0</v>
      </c>
      <c r="BE136" s="219">
        <f t="shared" si="76"/>
        <v>0</v>
      </c>
      <c r="BF136" s="31">
        <f t="shared" si="77"/>
        <v>0</v>
      </c>
      <c r="BG136" s="219">
        <f t="shared" si="78"/>
        <v>0</v>
      </c>
      <c r="BH136" s="31">
        <f t="shared" si="79"/>
        <v>0.1</v>
      </c>
      <c r="BI136" s="219">
        <f t="shared" si="80"/>
        <v>8.5000000000000006E-2</v>
      </c>
      <c r="BJ136" s="31">
        <f t="shared" si="81"/>
        <v>0</v>
      </c>
      <c r="BK136" s="219">
        <f t="shared" si="82"/>
        <v>0</v>
      </c>
      <c r="BL136" s="31">
        <f t="shared" si="83"/>
        <v>0</v>
      </c>
      <c r="BM136" s="219">
        <f t="shared" si="84"/>
        <v>0</v>
      </c>
      <c r="BN136" s="31">
        <f t="shared" si="85"/>
        <v>0</v>
      </c>
      <c r="BO136" s="219">
        <f t="shared" si="86"/>
        <v>0</v>
      </c>
    </row>
    <row r="137" spans="1:67" x14ac:dyDescent="0.25">
      <c r="A137" s="31" t="s">
        <v>1992</v>
      </c>
      <c r="B137" s="176" t="str">
        <f>VLOOKUP(A137,kurspris!$A$1:$B$992,2,FALSE)</f>
        <v>Att undervisa i slöjd - textil</v>
      </c>
      <c r="D137" s="60" t="s">
        <v>481</v>
      </c>
      <c r="E137" s="576" t="s">
        <v>2227</v>
      </c>
      <c r="F137" s="31" t="s">
        <v>2273</v>
      </c>
      <c r="G137" t="s">
        <v>2444</v>
      </c>
      <c r="H137" t="s">
        <v>2335</v>
      </c>
      <c r="J137" s="31" t="s">
        <v>2244</v>
      </c>
      <c r="L137" s="38">
        <v>1</v>
      </c>
      <c r="M137">
        <v>6</v>
      </c>
      <c r="P137" s="31">
        <v>1</v>
      </c>
      <c r="Q137" s="196">
        <f>(M137/60)*P137</f>
        <v>0.1</v>
      </c>
      <c r="R137" s="38">
        <v>0.85</v>
      </c>
      <c r="S137" s="280">
        <f t="shared" si="59"/>
        <v>8.5000000000000006E-2</v>
      </c>
      <c r="T137" s="31">
        <f>VLOOKUP(A137,'Ansvar kurs'!$A$1:$C$1123,2,FALSE)</f>
        <v>1650</v>
      </c>
      <c r="U137" s="31" t="str">
        <f>VLOOKUP(T137,Orgenheter!$A$1:$C$166,2,FALSE)</f>
        <v xml:space="preserve">Estetiska ämnen               </v>
      </c>
      <c r="V137" s="31" t="str">
        <f>VLOOKUP(T137,Orgenheter!$A$1:$C$166,3,FALSE)</f>
        <v>Hum</v>
      </c>
      <c r="W137" s="35" t="str">
        <f>VLOOKUP(D137,Program!$A$1:$B$36,2,FALSE)</f>
        <v>Ämneslärarprogrammet - åk 7-9</v>
      </c>
      <c r="X137" s="40">
        <f>VLOOKUP(A137,kurspris!$A$1:$Q$913,15,FALSE)</f>
        <v>25235</v>
      </c>
      <c r="Y137" s="40">
        <f>VLOOKUP(A137,kurspris!$A$1:$Q$913,16,FALSE)</f>
        <v>27976</v>
      </c>
      <c r="Z137" s="40">
        <f t="shared" si="60"/>
        <v>4901.46</v>
      </c>
      <c r="AA137" s="40">
        <f>VLOOKUP(A137,kurspris!$A$1:$Q$913,17,FALSE)</f>
        <v>3600</v>
      </c>
      <c r="AB137" s="40">
        <f t="shared" si="61"/>
        <v>360</v>
      </c>
      <c r="AC137" s="40">
        <f t="shared" si="62"/>
        <v>5261.46</v>
      </c>
      <c r="AD137" s="31">
        <f>VLOOKUP($A137,kurspris!$A$1:$Q$950,3,FALSE)</f>
        <v>0</v>
      </c>
      <c r="AE137" s="31">
        <f>VLOOKUP($A137,kurspris!$A$1:$Q$950,4,FALSE)</f>
        <v>0</v>
      </c>
      <c r="AF137" s="31">
        <f>VLOOKUP($A137,kurspris!$A$1:$Q$950,5,FALSE)</f>
        <v>0</v>
      </c>
      <c r="AG137" s="31">
        <f>VLOOKUP($A137,kurspris!$A$1:$Q$950,6,FALSE)</f>
        <v>0</v>
      </c>
      <c r="AH137" s="31">
        <f>VLOOKUP($A137,kurspris!$A$1:$Q$950,7,FALSE)</f>
        <v>0</v>
      </c>
      <c r="AI137" s="31">
        <f>VLOOKUP($A137,kurspris!$A$1:$Q$950,8,FALSE)</f>
        <v>0</v>
      </c>
      <c r="AJ137" s="31">
        <f>VLOOKUP($A137,kurspris!$A$1:$Q$950,9,FALSE)</f>
        <v>0</v>
      </c>
      <c r="AK137" s="31">
        <f>VLOOKUP($A137,kurspris!$A$1:$Q$950,10,FALSE)</f>
        <v>0</v>
      </c>
      <c r="AL137" s="31">
        <f>VLOOKUP($A137,kurspris!$A$1:$Q$950,11,FALSE)</f>
        <v>1</v>
      </c>
      <c r="AM137" s="31">
        <f>VLOOKUP($A137,kurspris!$A$1:$Q$950,12,FALSE)</f>
        <v>0</v>
      </c>
      <c r="AN137" s="31">
        <f>VLOOKUP($A137,kurspris!$A$1:$Q$950,13,FALSE)</f>
        <v>0</v>
      </c>
      <c r="AO137" s="31">
        <f>VLOOKUP($A137,kurspris!$A$1:$Q$950,14,FALSE)</f>
        <v>0</v>
      </c>
      <c r="AP137" s="57" t="s">
        <v>2506</v>
      </c>
      <c r="AQ137"/>
      <c r="AR137" s="31">
        <f t="shared" si="63"/>
        <v>0</v>
      </c>
      <c r="AS137" s="219">
        <f t="shared" si="64"/>
        <v>0</v>
      </c>
      <c r="AT137" s="31">
        <f t="shared" si="65"/>
        <v>0</v>
      </c>
      <c r="AU137" s="219">
        <f t="shared" si="66"/>
        <v>0</v>
      </c>
      <c r="AV137" s="31">
        <f t="shared" si="67"/>
        <v>0</v>
      </c>
      <c r="AW137" s="31">
        <f t="shared" si="68"/>
        <v>0</v>
      </c>
      <c r="AX137" s="31">
        <f t="shared" si="69"/>
        <v>0</v>
      </c>
      <c r="AY137" s="219">
        <f t="shared" si="70"/>
        <v>0</v>
      </c>
      <c r="AZ137" s="196">
        <f t="shared" si="71"/>
        <v>0</v>
      </c>
      <c r="BA137" s="219">
        <f t="shared" si="72"/>
        <v>0</v>
      </c>
      <c r="BB137" s="31">
        <f t="shared" si="73"/>
        <v>0</v>
      </c>
      <c r="BC137" s="219">
        <f t="shared" si="74"/>
        <v>0</v>
      </c>
      <c r="BD137" s="31">
        <f t="shared" si="75"/>
        <v>0</v>
      </c>
      <c r="BE137" s="219">
        <f t="shared" si="76"/>
        <v>0</v>
      </c>
      <c r="BF137" s="31">
        <f t="shared" si="77"/>
        <v>0</v>
      </c>
      <c r="BG137" s="219">
        <f t="shared" si="78"/>
        <v>0</v>
      </c>
      <c r="BH137" s="31">
        <f t="shared" si="79"/>
        <v>0.1</v>
      </c>
      <c r="BI137" s="219">
        <f t="shared" si="80"/>
        <v>8.5000000000000006E-2</v>
      </c>
      <c r="BJ137" s="31">
        <f t="shared" si="81"/>
        <v>0</v>
      </c>
      <c r="BK137" s="219">
        <f t="shared" si="82"/>
        <v>0</v>
      </c>
      <c r="BL137" s="31">
        <f t="shared" si="83"/>
        <v>0</v>
      </c>
      <c r="BM137" s="219">
        <f t="shared" si="84"/>
        <v>0</v>
      </c>
      <c r="BN137" s="31">
        <f t="shared" si="85"/>
        <v>0</v>
      </c>
      <c r="BO137" s="219">
        <f t="shared" si="86"/>
        <v>0</v>
      </c>
    </row>
    <row r="138" spans="1:67" x14ac:dyDescent="0.25">
      <c r="A138" s="31" t="s">
        <v>1992</v>
      </c>
      <c r="B138" s="176" t="str">
        <f>VLOOKUP(A138,kurspris!$A$1:$B$992,2,FALSE)</f>
        <v>Att undervisa i slöjd - textil</v>
      </c>
      <c r="C138" s="31" t="s">
        <v>2385</v>
      </c>
      <c r="D138" s="60" t="s">
        <v>481</v>
      </c>
      <c r="E138" s="60"/>
      <c r="F138" s="57" t="s">
        <v>2274</v>
      </c>
      <c r="H138" s="31" t="s">
        <v>2335</v>
      </c>
      <c r="I138" s="31" t="s">
        <v>2399</v>
      </c>
      <c r="J138" s="31" t="s">
        <v>2245</v>
      </c>
      <c r="L138" s="38"/>
      <c r="M138">
        <v>6</v>
      </c>
      <c r="P138" s="31">
        <v>1</v>
      </c>
      <c r="Q138" s="539">
        <v>0.1</v>
      </c>
      <c r="R138" s="38">
        <v>0.85</v>
      </c>
      <c r="S138" s="280">
        <f t="shared" si="59"/>
        <v>8.5000000000000006E-2</v>
      </c>
      <c r="T138" s="31">
        <f>VLOOKUP(A138,'Ansvar kurs'!$A$1:$C$1123,2,FALSE)</f>
        <v>1650</v>
      </c>
      <c r="U138" s="31" t="str">
        <f>VLOOKUP(T138,Orgenheter!$A$1:$C$166,2,FALSE)</f>
        <v xml:space="preserve">Estetiska ämnen               </v>
      </c>
      <c r="V138" s="31" t="str">
        <f>VLOOKUP(T138,Orgenheter!$A$1:$C$166,3,FALSE)</f>
        <v>Hum</v>
      </c>
      <c r="W138" s="35" t="str">
        <f>VLOOKUP(D138,Program!$A$1:$B$36,2,FALSE)</f>
        <v>Ämneslärarprogrammet - åk 7-9</v>
      </c>
      <c r="X138" s="40">
        <f>VLOOKUP(A138,kurspris!$A$1:$Q$913,15,FALSE)</f>
        <v>25235</v>
      </c>
      <c r="Y138" s="40">
        <f>VLOOKUP(A138,kurspris!$A$1:$Q$913,16,FALSE)</f>
        <v>27976</v>
      </c>
      <c r="Z138" s="40">
        <f t="shared" si="60"/>
        <v>4901.46</v>
      </c>
      <c r="AA138" s="40">
        <f>VLOOKUP(A138,kurspris!$A$1:$Q$913,17,FALSE)</f>
        <v>3600</v>
      </c>
      <c r="AB138" s="40">
        <f t="shared" si="61"/>
        <v>360</v>
      </c>
      <c r="AC138" s="40">
        <f t="shared" si="62"/>
        <v>5261.46</v>
      </c>
      <c r="AD138" s="31">
        <f>VLOOKUP($A138,kurspris!$A$1:$Q$950,3,FALSE)</f>
        <v>0</v>
      </c>
      <c r="AE138" s="31">
        <f>VLOOKUP($A138,kurspris!$A$1:$Q$950,4,FALSE)</f>
        <v>0</v>
      </c>
      <c r="AF138" s="31">
        <f>VLOOKUP($A138,kurspris!$A$1:$Q$950,5,FALSE)</f>
        <v>0</v>
      </c>
      <c r="AG138" s="31">
        <f>VLOOKUP($A138,kurspris!$A$1:$Q$950,6,FALSE)</f>
        <v>0</v>
      </c>
      <c r="AH138" s="31">
        <f>VLOOKUP($A138,kurspris!$A$1:$Q$950,7,FALSE)</f>
        <v>0</v>
      </c>
      <c r="AI138" s="31">
        <f>VLOOKUP($A138,kurspris!$A$1:$Q$950,8,FALSE)</f>
        <v>0</v>
      </c>
      <c r="AJ138" s="31">
        <f>VLOOKUP($A138,kurspris!$A$1:$Q$950,9,FALSE)</f>
        <v>0</v>
      </c>
      <c r="AK138" s="31">
        <f>VLOOKUP($A138,kurspris!$A$1:$Q$950,10,FALSE)</f>
        <v>0</v>
      </c>
      <c r="AL138" s="31">
        <f>VLOOKUP($A138,kurspris!$A$1:$Q$950,11,FALSE)</f>
        <v>1</v>
      </c>
      <c r="AM138" s="31">
        <f>VLOOKUP($A138,kurspris!$A$1:$Q$950,12,FALSE)</f>
        <v>0</v>
      </c>
      <c r="AN138" s="31">
        <f>VLOOKUP($A138,kurspris!$A$1:$Q$950,13,FALSE)</f>
        <v>0</v>
      </c>
      <c r="AO138" s="31">
        <f>VLOOKUP($A138,kurspris!$A$1:$Q$950,14,FALSE)</f>
        <v>0</v>
      </c>
      <c r="AP138" s="57" t="s">
        <v>2402</v>
      </c>
      <c r="AQ138"/>
      <c r="AR138" s="31">
        <f t="shared" si="63"/>
        <v>0</v>
      </c>
      <c r="AS138" s="219">
        <f t="shared" si="64"/>
        <v>0</v>
      </c>
      <c r="AT138" s="31">
        <f t="shared" si="65"/>
        <v>0</v>
      </c>
      <c r="AU138" s="219">
        <f t="shared" si="66"/>
        <v>0</v>
      </c>
      <c r="AV138" s="31">
        <f t="shared" si="67"/>
        <v>0</v>
      </c>
      <c r="AW138" s="31">
        <f t="shared" si="68"/>
        <v>0</v>
      </c>
      <c r="AX138" s="31">
        <f t="shared" si="69"/>
        <v>0</v>
      </c>
      <c r="AY138" s="219">
        <f t="shared" si="70"/>
        <v>0</v>
      </c>
      <c r="AZ138" s="196">
        <f t="shared" si="71"/>
        <v>0</v>
      </c>
      <c r="BA138" s="219">
        <f t="shared" si="72"/>
        <v>0</v>
      </c>
      <c r="BB138" s="31">
        <f t="shared" si="73"/>
        <v>0</v>
      </c>
      <c r="BC138" s="219">
        <f t="shared" si="74"/>
        <v>0</v>
      </c>
      <c r="BD138" s="31">
        <f t="shared" si="75"/>
        <v>0</v>
      </c>
      <c r="BE138" s="219">
        <f t="shared" si="76"/>
        <v>0</v>
      </c>
      <c r="BF138" s="31">
        <f t="shared" si="77"/>
        <v>0</v>
      </c>
      <c r="BG138" s="219">
        <f t="shared" si="78"/>
        <v>0</v>
      </c>
      <c r="BH138" s="31">
        <f t="shared" si="79"/>
        <v>0.1</v>
      </c>
      <c r="BI138" s="219">
        <f t="shared" si="80"/>
        <v>8.5000000000000006E-2</v>
      </c>
      <c r="BJ138" s="31">
        <f t="shared" si="81"/>
        <v>0</v>
      </c>
      <c r="BK138" s="219">
        <f t="shared" si="82"/>
        <v>0</v>
      </c>
      <c r="BL138" s="31">
        <f t="shared" si="83"/>
        <v>0</v>
      </c>
      <c r="BM138" s="219">
        <f t="shared" si="84"/>
        <v>0</v>
      </c>
      <c r="BN138" s="31">
        <f t="shared" si="85"/>
        <v>0</v>
      </c>
      <c r="BO138" s="219">
        <f t="shared" si="86"/>
        <v>0</v>
      </c>
    </row>
    <row r="139" spans="1:67" x14ac:dyDescent="0.25">
      <c r="A139" s="31" t="s">
        <v>2015</v>
      </c>
      <c r="B139" s="176" t="str">
        <f>VLOOKUP(A139,kurspris!$A$1:$B$992,2,FALSE)</f>
        <v>Bild 1</v>
      </c>
      <c r="C139" s="31">
        <v>66303</v>
      </c>
      <c r="D139" s="60" t="s">
        <v>117</v>
      </c>
      <c r="E139" s="60"/>
      <c r="F139" s="57" t="s">
        <v>2274</v>
      </c>
      <c r="H139" s="31" t="s">
        <v>2335</v>
      </c>
      <c r="I139" s="31" t="s">
        <v>2399</v>
      </c>
      <c r="L139" s="38"/>
      <c r="M139">
        <v>30</v>
      </c>
      <c r="P139" s="31">
        <v>3</v>
      </c>
      <c r="Q139" s="539">
        <v>1.5</v>
      </c>
      <c r="R139" s="38">
        <v>0.8</v>
      </c>
      <c r="S139" s="280">
        <f t="shared" si="59"/>
        <v>1.2000000000000002</v>
      </c>
      <c r="T139" s="31">
        <f>VLOOKUP(A139,'Ansvar kurs'!$A$1:$C$1123,2,FALSE)</f>
        <v>1650</v>
      </c>
      <c r="U139" s="31" t="str">
        <f>VLOOKUP(T139,Orgenheter!$A$1:$C$166,2,FALSE)</f>
        <v xml:space="preserve">Estetiska ämnen               </v>
      </c>
      <c r="V139" s="31" t="str">
        <f>VLOOKUP(T139,Orgenheter!$A$1:$C$166,3,FALSE)</f>
        <v>Hum</v>
      </c>
      <c r="W139" s="35" t="str">
        <f>VLOOKUP(D139,Program!$A$1:$B$36,2,FALSE)</f>
        <v>Fristående och övriga kurser</v>
      </c>
      <c r="X139" s="40">
        <f>VLOOKUP(A139,kurspris!$A$1:$Q$913,15,FALSE)</f>
        <v>51362</v>
      </c>
      <c r="Y139" s="40">
        <f>VLOOKUP(A139,kurspris!$A$1:$Q$913,16,FALSE)</f>
        <v>59096</v>
      </c>
      <c r="Z139" s="40">
        <f t="shared" si="60"/>
        <v>147958.20000000001</v>
      </c>
      <c r="AA139" s="40">
        <f>VLOOKUP(A139,kurspris!$A$1:$Q$913,17,FALSE)</f>
        <v>71500</v>
      </c>
      <c r="AB139" s="40">
        <f t="shared" si="61"/>
        <v>107250</v>
      </c>
      <c r="AC139" s="40">
        <f t="shared" si="62"/>
        <v>255208.2</v>
      </c>
      <c r="AD139" s="31">
        <f>VLOOKUP($A139,kurspris!$A$1:$Q$950,3,FALSE)</f>
        <v>1</v>
      </c>
      <c r="AE139" s="31">
        <f>VLOOKUP($A139,kurspris!$A$1:$Q$950,4,FALSE)</f>
        <v>0</v>
      </c>
      <c r="AF139" s="31">
        <f>VLOOKUP($A139,kurspris!$A$1:$Q$950,5,FALSE)</f>
        <v>0</v>
      </c>
      <c r="AG139" s="31">
        <f>VLOOKUP($A139,kurspris!$A$1:$Q$950,6,FALSE)</f>
        <v>0</v>
      </c>
      <c r="AH139" s="31">
        <f>VLOOKUP($A139,kurspris!$A$1:$Q$950,7,FALSE)</f>
        <v>0</v>
      </c>
      <c r="AI139" s="31">
        <f>VLOOKUP($A139,kurspris!$A$1:$Q$950,8,FALSE)</f>
        <v>0</v>
      </c>
      <c r="AJ139" s="31">
        <f>VLOOKUP($A139,kurspris!$A$1:$Q$950,9,FALSE)</f>
        <v>0</v>
      </c>
      <c r="AK139" s="31">
        <f>VLOOKUP($A139,kurspris!$A$1:$Q$950,10,FALSE)</f>
        <v>0</v>
      </c>
      <c r="AL139" s="31">
        <f>VLOOKUP($A139,kurspris!$A$1:$Q$950,11,FALSE)</f>
        <v>0</v>
      </c>
      <c r="AM139" s="31">
        <f>VLOOKUP($A139,kurspris!$A$1:$Q$950,12,FALSE)</f>
        <v>0</v>
      </c>
      <c r="AN139" s="31">
        <f>VLOOKUP($A139,kurspris!$A$1:$Q$950,13,FALSE)</f>
        <v>0</v>
      </c>
      <c r="AO139" s="31">
        <f>VLOOKUP($A139,kurspris!$A$1:$Q$950,14,FALSE)</f>
        <v>0</v>
      </c>
      <c r="AP139" s="57" t="s">
        <v>2402</v>
      </c>
      <c r="AQ139"/>
      <c r="AR139" s="31">
        <f t="shared" si="63"/>
        <v>1.5</v>
      </c>
      <c r="AS139" s="219">
        <f t="shared" si="64"/>
        <v>1.2000000000000002</v>
      </c>
      <c r="AT139" s="31">
        <f t="shared" si="65"/>
        <v>0</v>
      </c>
      <c r="AU139" s="219">
        <f t="shared" si="66"/>
        <v>0</v>
      </c>
      <c r="AV139" s="31">
        <f t="shared" si="67"/>
        <v>0</v>
      </c>
      <c r="AW139" s="31">
        <f t="shared" si="68"/>
        <v>0</v>
      </c>
      <c r="AX139" s="31">
        <f t="shared" si="69"/>
        <v>0</v>
      </c>
      <c r="AY139" s="219">
        <f t="shared" si="70"/>
        <v>0</v>
      </c>
      <c r="AZ139" s="196">
        <f t="shared" si="71"/>
        <v>0</v>
      </c>
      <c r="BA139" s="219">
        <f t="shared" si="72"/>
        <v>0</v>
      </c>
      <c r="BB139" s="31">
        <f t="shared" si="73"/>
        <v>0</v>
      </c>
      <c r="BC139" s="219">
        <f t="shared" si="74"/>
        <v>0</v>
      </c>
      <c r="BD139" s="31">
        <f t="shared" si="75"/>
        <v>0</v>
      </c>
      <c r="BE139" s="219">
        <f t="shared" si="76"/>
        <v>0</v>
      </c>
      <c r="BF139" s="31">
        <f t="shared" si="77"/>
        <v>0</v>
      </c>
      <c r="BG139" s="219">
        <f t="shared" si="78"/>
        <v>0</v>
      </c>
      <c r="BH139" s="31">
        <f t="shared" si="79"/>
        <v>0</v>
      </c>
      <c r="BI139" s="219">
        <f t="shared" si="80"/>
        <v>0</v>
      </c>
      <c r="BJ139" s="31">
        <f t="shared" si="81"/>
        <v>0</v>
      </c>
      <c r="BK139" s="219">
        <f t="shared" si="82"/>
        <v>0</v>
      </c>
      <c r="BL139" s="31">
        <f t="shared" si="83"/>
        <v>0</v>
      </c>
      <c r="BM139" s="219">
        <f t="shared" si="84"/>
        <v>0</v>
      </c>
      <c r="BN139" s="31">
        <f t="shared" si="85"/>
        <v>0</v>
      </c>
      <c r="BO139" s="219">
        <f t="shared" si="86"/>
        <v>0</v>
      </c>
    </row>
    <row r="140" spans="1:67" x14ac:dyDescent="0.25">
      <c r="A140" s="31" t="s">
        <v>2015</v>
      </c>
      <c r="B140" s="176" t="str">
        <f>VLOOKUP(A140,kurspris!$A$1:$B$992,2,FALSE)</f>
        <v>Bild 1</v>
      </c>
      <c r="C140" s="31">
        <v>66301</v>
      </c>
      <c r="D140" s="31" t="s">
        <v>482</v>
      </c>
      <c r="E140" s="60"/>
      <c r="F140" s="57" t="s">
        <v>2274</v>
      </c>
      <c r="H140" s="31" t="s">
        <v>2335</v>
      </c>
      <c r="I140" s="60" t="s">
        <v>2399</v>
      </c>
      <c r="J140" s="31" t="s">
        <v>2237</v>
      </c>
      <c r="L140" s="38"/>
      <c r="M140">
        <v>30</v>
      </c>
      <c r="P140" s="31">
        <v>9</v>
      </c>
      <c r="Q140" s="539">
        <v>4.5</v>
      </c>
      <c r="R140" s="38">
        <v>0.85</v>
      </c>
      <c r="S140" s="280">
        <f t="shared" si="59"/>
        <v>3.8249999999999997</v>
      </c>
      <c r="T140" s="31">
        <f>VLOOKUP(A140,'Ansvar kurs'!$A$1:$C$1123,2,FALSE)</f>
        <v>1650</v>
      </c>
      <c r="U140" s="31" t="str">
        <f>VLOOKUP(T140,Orgenheter!$A$1:$C$166,2,FALSE)</f>
        <v xml:space="preserve">Estetiska ämnen               </v>
      </c>
      <c r="V140" s="31" t="str">
        <f>VLOOKUP(T140,Orgenheter!$A$1:$C$166,3,FALSE)</f>
        <v>Hum</v>
      </c>
      <c r="W140" s="35" t="str">
        <f>VLOOKUP(D140,Program!$A$1:$B$36,2,FALSE)</f>
        <v>Ämneslärarprogrammet - Gy</v>
      </c>
      <c r="X140" s="40">
        <f>VLOOKUP(A140,kurspris!$A$1:$Q$913,15,FALSE)</f>
        <v>51362</v>
      </c>
      <c r="Y140" s="40">
        <f>VLOOKUP(A140,kurspris!$A$1:$Q$913,16,FALSE)</f>
        <v>59096</v>
      </c>
      <c r="Z140" s="40">
        <f t="shared" si="60"/>
        <v>457171.19999999995</v>
      </c>
      <c r="AA140" s="40">
        <f>VLOOKUP(A140,kurspris!$A$1:$Q$913,17,FALSE)</f>
        <v>71500</v>
      </c>
      <c r="AB140" s="40">
        <f t="shared" si="61"/>
        <v>321750</v>
      </c>
      <c r="AC140" s="40">
        <f t="shared" si="62"/>
        <v>778921.2</v>
      </c>
      <c r="AD140" s="31">
        <f>VLOOKUP($A140,kurspris!$A$1:$Q$950,3,FALSE)</f>
        <v>1</v>
      </c>
      <c r="AE140" s="31">
        <f>VLOOKUP($A140,kurspris!$A$1:$Q$950,4,FALSE)</f>
        <v>0</v>
      </c>
      <c r="AF140" s="31">
        <f>VLOOKUP($A140,kurspris!$A$1:$Q$950,5,FALSE)</f>
        <v>0</v>
      </c>
      <c r="AG140" s="31">
        <f>VLOOKUP($A140,kurspris!$A$1:$Q$950,6,FALSE)</f>
        <v>0</v>
      </c>
      <c r="AH140" s="31">
        <f>VLOOKUP($A140,kurspris!$A$1:$Q$950,7,FALSE)</f>
        <v>0</v>
      </c>
      <c r="AI140" s="31">
        <f>VLOOKUP($A140,kurspris!$A$1:$Q$950,8,FALSE)</f>
        <v>0</v>
      </c>
      <c r="AJ140" s="31">
        <f>VLOOKUP($A140,kurspris!$A$1:$Q$950,9,FALSE)</f>
        <v>0</v>
      </c>
      <c r="AK140" s="31">
        <f>VLOOKUP($A140,kurspris!$A$1:$Q$950,10,FALSE)</f>
        <v>0</v>
      </c>
      <c r="AL140" s="31">
        <f>VLOOKUP($A140,kurspris!$A$1:$Q$950,11,FALSE)</f>
        <v>0</v>
      </c>
      <c r="AM140" s="31">
        <f>VLOOKUP($A140,kurspris!$A$1:$Q$950,12,FALSE)</f>
        <v>0</v>
      </c>
      <c r="AN140" s="31">
        <f>VLOOKUP($A140,kurspris!$A$1:$Q$950,13,FALSE)</f>
        <v>0</v>
      </c>
      <c r="AO140" s="31">
        <f>VLOOKUP($A140,kurspris!$A$1:$Q$950,14,FALSE)</f>
        <v>0</v>
      </c>
      <c r="AP140" s="57" t="s">
        <v>2402</v>
      </c>
      <c r="AQ140" s="37"/>
      <c r="AR140" s="31">
        <f t="shared" si="63"/>
        <v>4.5</v>
      </c>
      <c r="AS140" s="219">
        <f t="shared" si="64"/>
        <v>3.8249999999999997</v>
      </c>
      <c r="AT140" s="31">
        <f t="shared" si="65"/>
        <v>0</v>
      </c>
      <c r="AU140" s="219">
        <f t="shared" si="66"/>
        <v>0</v>
      </c>
      <c r="AV140" s="31">
        <f t="shared" si="67"/>
        <v>0</v>
      </c>
      <c r="AW140" s="31">
        <f t="shared" si="68"/>
        <v>0</v>
      </c>
      <c r="AX140" s="31">
        <f t="shared" si="69"/>
        <v>0</v>
      </c>
      <c r="AY140" s="219">
        <f t="shared" si="70"/>
        <v>0</v>
      </c>
      <c r="AZ140" s="196">
        <f t="shared" si="71"/>
        <v>0</v>
      </c>
      <c r="BA140" s="219">
        <f t="shared" si="72"/>
        <v>0</v>
      </c>
      <c r="BB140" s="31">
        <f t="shared" si="73"/>
        <v>0</v>
      </c>
      <c r="BC140" s="219">
        <f t="shared" si="74"/>
        <v>0</v>
      </c>
      <c r="BD140" s="31">
        <f t="shared" si="75"/>
        <v>0</v>
      </c>
      <c r="BE140" s="219">
        <f t="shared" si="76"/>
        <v>0</v>
      </c>
      <c r="BF140" s="31">
        <f t="shared" si="77"/>
        <v>0</v>
      </c>
      <c r="BG140" s="219">
        <f t="shared" si="78"/>
        <v>0</v>
      </c>
      <c r="BH140" s="31">
        <f t="shared" si="79"/>
        <v>0</v>
      </c>
      <c r="BI140" s="219">
        <f t="shared" si="80"/>
        <v>0</v>
      </c>
      <c r="BJ140" s="31">
        <f t="shared" si="81"/>
        <v>0</v>
      </c>
      <c r="BK140" s="219">
        <f t="shared" si="82"/>
        <v>0</v>
      </c>
      <c r="BL140" s="31">
        <f t="shared" si="83"/>
        <v>0</v>
      </c>
      <c r="BM140" s="219">
        <f t="shared" si="84"/>
        <v>0</v>
      </c>
      <c r="BN140" s="31">
        <f t="shared" si="85"/>
        <v>0</v>
      </c>
      <c r="BO140" s="219">
        <f t="shared" si="86"/>
        <v>0</v>
      </c>
    </row>
    <row r="141" spans="1:67" x14ac:dyDescent="0.25">
      <c r="A141" s="31" t="s">
        <v>2015</v>
      </c>
      <c r="B141" s="176" t="str">
        <f>VLOOKUP(A141,kurspris!$A$1:$B$992,2,FALSE)</f>
        <v>Bild 1</v>
      </c>
      <c r="C141" s="31">
        <v>66301</v>
      </c>
      <c r="D141" s="31" t="s">
        <v>482</v>
      </c>
      <c r="F141" s="57" t="s">
        <v>2274</v>
      </c>
      <c r="H141" s="31" t="s">
        <v>2335</v>
      </c>
      <c r="I141" s="31" t="s">
        <v>2399</v>
      </c>
      <c r="J141" s="31" t="s">
        <v>2231</v>
      </c>
      <c r="L141" s="38"/>
      <c r="M141">
        <v>30</v>
      </c>
      <c r="P141" s="31">
        <v>2</v>
      </c>
      <c r="Q141" s="539">
        <v>1</v>
      </c>
      <c r="R141" s="38">
        <v>0.85</v>
      </c>
      <c r="S141" s="280">
        <f t="shared" si="59"/>
        <v>0.85</v>
      </c>
      <c r="T141" s="31">
        <f>VLOOKUP(A141,'Ansvar kurs'!$A$1:$C$1123,2,FALSE)</f>
        <v>1650</v>
      </c>
      <c r="U141" s="31" t="str">
        <f>VLOOKUP(T141,Orgenheter!$A$1:$C$166,2,FALSE)</f>
        <v xml:space="preserve">Estetiska ämnen               </v>
      </c>
      <c r="V141" s="31" t="str">
        <f>VLOOKUP(T141,Orgenheter!$A$1:$C$166,3,FALSE)</f>
        <v>Hum</v>
      </c>
      <c r="W141" s="35" t="str">
        <f>VLOOKUP(D141,Program!$A$1:$B$36,2,FALSE)</f>
        <v>Ämneslärarprogrammet - Gy</v>
      </c>
      <c r="X141" s="40">
        <f>VLOOKUP(A141,kurspris!$A$1:$Q$913,15,FALSE)</f>
        <v>51362</v>
      </c>
      <c r="Y141" s="40">
        <f>VLOOKUP(A141,kurspris!$A$1:$Q$913,16,FALSE)</f>
        <v>59096</v>
      </c>
      <c r="Z141" s="40">
        <f t="shared" si="60"/>
        <v>101593.60000000001</v>
      </c>
      <c r="AA141" s="40">
        <f>VLOOKUP(A141,kurspris!$A$1:$Q$913,17,FALSE)</f>
        <v>71500</v>
      </c>
      <c r="AB141" s="40">
        <f t="shared" si="61"/>
        <v>71500</v>
      </c>
      <c r="AC141" s="40">
        <f t="shared" si="62"/>
        <v>173093.6</v>
      </c>
      <c r="AD141" s="31">
        <f>VLOOKUP($A141,kurspris!$A$1:$Q$950,3,FALSE)</f>
        <v>1</v>
      </c>
      <c r="AE141" s="31">
        <f>VLOOKUP($A141,kurspris!$A$1:$Q$950,4,FALSE)</f>
        <v>0</v>
      </c>
      <c r="AF141" s="31">
        <f>VLOOKUP($A141,kurspris!$A$1:$Q$950,5,FALSE)</f>
        <v>0</v>
      </c>
      <c r="AG141" s="31">
        <f>VLOOKUP($A141,kurspris!$A$1:$Q$950,6,FALSE)</f>
        <v>0</v>
      </c>
      <c r="AH141" s="31">
        <f>VLOOKUP($A141,kurspris!$A$1:$Q$950,7,FALSE)</f>
        <v>0</v>
      </c>
      <c r="AI141" s="31">
        <f>VLOOKUP($A141,kurspris!$A$1:$Q$950,8,FALSE)</f>
        <v>0</v>
      </c>
      <c r="AJ141" s="31">
        <f>VLOOKUP($A141,kurspris!$A$1:$Q$950,9,FALSE)</f>
        <v>0</v>
      </c>
      <c r="AK141" s="31">
        <f>VLOOKUP($A141,kurspris!$A$1:$Q$950,10,FALSE)</f>
        <v>0</v>
      </c>
      <c r="AL141" s="31">
        <f>VLOOKUP($A141,kurspris!$A$1:$Q$950,11,FALSE)</f>
        <v>0</v>
      </c>
      <c r="AM141" s="31">
        <f>VLOOKUP($A141,kurspris!$A$1:$Q$950,12,FALSE)</f>
        <v>0</v>
      </c>
      <c r="AN141" s="31">
        <f>VLOOKUP($A141,kurspris!$A$1:$Q$950,13,FALSE)</f>
        <v>0</v>
      </c>
      <c r="AO141" s="31">
        <f>VLOOKUP($A141,kurspris!$A$1:$Q$950,14,FALSE)</f>
        <v>0</v>
      </c>
      <c r="AP141" s="57" t="s">
        <v>2402</v>
      </c>
      <c r="AQ141" s="37"/>
      <c r="AR141" s="31">
        <f t="shared" si="63"/>
        <v>1</v>
      </c>
      <c r="AS141" s="219">
        <f t="shared" si="64"/>
        <v>0.85</v>
      </c>
      <c r="AT141" s="31">
        <f t="shared" si="65"/>
        <v>0</v>
      </c>
      <c r="AU141" s="219">
        <f t="shared" si="66"/>
        <v>0</v>
      </c>
      <c r="AV141" s="31">
        <f t="shared" si="67"/>
        <v>0</v>
      </c>
      <c r="AW141" s="31">
        <f t="shared" si="68"/>
        <v>0</v>
      </c>
      <c r="AX141" s="31">
        <f t="shared" si="69"/>
        <v>0</v>
      </c>
      <c r="AY141" s="219">
        <f t="shared" si="70"/>
        <v>0</v>
      </c>
      <c r="AZ141" s="196">
        <f t="shared" si="71"/>
        <v>0</v>
      </c>
      <c r="BA141" s="219">
        <f t="shared" si="72"/>
        <v>0</v>
      </c>
      <c r="BB141" s="31">
        <f t="shared" si="73"/>
        <v>0</v>
      </c>
      <c r="BC141" s="219">
        <f t="shared" si="74"/>
        <v>0</v>
      </c>
      <c r="BD141" s="31">
        <f t="shared" si="75"/>
        <v>0</v>
      </c>
      <c r="BE141" s="219">
        <f t="shared" si="76"/>
        <v>0</v>
      </c>
      <c r="BF141" s="31">
        <f t="shared" si="77"/>
        <v>0</v>
      </c>
      <c r="BG141" s="219">
        <f t="shared" si="78"/>
        <v>0</v>
      </c>
      <c r="BH141" s="31">
        <f t="shared" si="79"/>
        <v>0</v>
      </c>
      <c r="BI141" s="219">
        <f t="shared" si="80"/>
        <v>0</v>
      </c>
      <c r="BJ141" s="31">
        <f t="shared" si="81"/>
        <v>0</v>
      </c>
      <c r="BK141" s="219">
        <f t="shared" si="82"/>
        <v>0</v>
      </c>
      <c r="BL141" s="31">
        <f t="shared" si="83"/>
        <v>0</v>
      </c>
      <c r="BM141" s="219">
        <f t="shared" si="84"/>
        <v>0</v>
      </c>
      <c r="BN141" s="31">
        <f t="shared" si="85"/>
        <v>0</v>
      </c>
      <c r="BO141" s="219">
        <f t="shared" si="86"/>
        <v>0</v>
      </c>
    </row>
    <row r="142" spans="1:67" x14ac:dyDescent="0.25">
      <c r="A142" s="31" t="s">
        <v>2015</v>
      </c>
      <c r="B142" s="176" t="str">
        <f>VLOOKUP(A142,kurspris!$A$1:$B$992,2,FALSE)</f>
        <v>Bild 1</v>
      </c>
      <c r="C142" s="31">
        <v>66301</v>
      </c>
      <c r="D142" s="60" t="s">
        <v>482</v>
      </c>
      <c r="E142" s="60"/>
      <c r="F142" s="57" t="s">
        <v>2274</v>
      </c>
      <c r="H142" s="31" t="s">
        <v>2335</v>
      </c>
      <c r="I142" s="31" t="s">
        <v>2399</v>
      </c>
      <c r="J142" s="31" t="s">
        <v>2239</v>
      </c>
      <c r="L142" s="38"/>
      <c r="M142">
        <v>30</v>
      </c>
      <c r="P142" s="31">
        <v>1</v>
      </c>
      <c r="Q142" s="539">
        <v>0.5</v>
      </c>
      <c r="R142" s="38">
        <v>0.85</v>
      </c>
      <c r="S142" s="280">
        <f t="shared" si="59"/>
        <v>0.42499999999999999</v>
      </c>
      <c r="T142" s="31">
        <f>VLOOKUP(A142,'Ansvar kurs'!$A$1:$C$1123,2,FALSE)</f>
        <v>1650</v>
      </c>
      <c r="U142" s="31" t="str">
        <f>VLOOKUP(T142,Orgenheter!$A$1:$C$166,2,FALSE)</f>
        <v xml:space="preserve">Estetiska ämnen               </v>
      </c>
      <c r="V142" s="31" t="str">
        <f>VLOOKUP(T142,Orgenheter!$A$1:$C$166,3,FALSE)</f>
        <v>Hum</v>
      </c>
      <c r="W142" s="35" t="str">
        <f>VLOOKUP(D142,Program!$A$1:$B$36,2,FALSE)</f>
        <v>Ämneslärarprogrammet - Gy</v>
      </c>
      <c r="X142" s="40">
        <f>VLOOKUP(A142,kurspris!$A$1:$Q$913,15,FALSE)</f>
        <v>51362</v>
      </c>
      <c r="Y142" s="40">
        <f>VLOOKUP(A142,kurspris!$A$1:$Q$913,16,FALSE)</f>
        <v>59096</v>
      </c>
      <c r="Z142" s="40">
        <f t="shared" si="60"/>
        <v>50796.800000000003</v>
      </c>
      <c r="AA142" s="40">
        <f>VLOOKUP(A142,kurspris!$A$1:$Q$913,17,FALSE)</f>
        <v>71500</v>
      </c>
      <c r="AB142" s="40">
        <f t="shared" si="61"/>
        <v>35750</v>
      </c>
      <c r="AC142" s="40">
        <f t="shared" si="62"/>
        <v>86546.8</v>
      </c>
      <c r="AD142" s="31">
        <f>VLOOKUP($A142,kurspris!$A$1:$Q$950,3,FALSE)</f>
        <v>1</v>
      </c>
      <c r="AE142" s="31">
        <f>VLOOKUP($A142,kurspris!$A$1:$Q$950,4,FALSE)</f>
        <v>0</v>
      </c>
      <c r="AF142" s="31">
        <f>VLOOKUP($A142,kurspris!$A$1:$Q$950,5,FALSE)</f>
        <v>0</v>
      </c>
      <c r="AG142" s="31">
        <f>VLOOKUP($A142,kurspris!$A$1:$Q$950,6,FALSE)</f>
        <v>0</v>
      </c>
      <c r="AH142" s="31">
        <f>VLOOKUP($A142,kurspris!$A$1:$Q$950,7,FALSE)</f>
        <v>0</v>
      </c>
      <c r="AI142" s="31">
        <f>VLOOKUP($A142,kurspris!$A$1:$Q$950,8,FALSE)</f>
        <v>0</v>
      </c>
      <c r="AJ142" s="31">
        <f>VLOOKUP($A142,kurspris!$A$1:$Q$950,9,FALSE)</f>
        <v>0</v>
      </c>
      <c r="AK142" s="31">
        <f>VLOOKUP($A142,kurspris!$A$1:$Q$950,10,FALSE)</f>
        <v>0</v>
      </c>
      <c r="AL142" s="31">
        <f>VLOOKUP($A142,kurspris!$A$1:$Q$950,11,FALSE)</f>
        <v>0</v>
      </c>
      <c r="AM142" s="31">
        <f>VLOOKUP($A142,kurspris!$A$1:$Q$950,12,FALSE)</f>
        <v>0</v>
      </c>
      <c r="AN142" s="31">
        <f>VLOOKUP($A142,kurspris!$A$1:$Q$950,13,FALSE)</f>
        <v>0</v>
      </c>
      <c r="AO142" s="31">
        <f>VLOOKUP($A142,kurspris!$A$1:$Q$950,14,FALSE)</f>
        <v>0</v>
      </c>
      <c r="AP142" s="57" t="s">
        <v>2402</v>
      </c>
      <c r="AQ142"/>
      <c r="AR142" s="31">
        <f t="shared" si="63"/>
        <v>0.5</v>
      </c>
      <c r="AS142" s="219">
        <f t="shared" si="64"/>
        <v>0.42499999999999999</v>
      </c>
      <c r="AT142" s="31">
        <f t="shared" si="65"/>
        <v>0</v>
      </c>
      <c r="AU142" s="219">
        <f t="shared" si="66"/>
        <v>0</v>
      </c>
      <c r="AV142" s="31">
        <f t="shared" si="67"/>
        <v>0</v>
      </c>
      <c r="AW142" s="31">
        <f t="shared" si="68"/>
        <v>0</v>
      </c>
      <c r="AX142" s="31">
        <f t="shared" si="69"/>
        <v>0</v>
      </c>
      <c r="AY142" s="219">
        <f t="shared" si="70"/>
        <v>0</v>
      </c>
      <c r="AZ142" s="196">
        <f t="shared" si="71"/>
        <v>0</v>
      </c>
      <c r="BA142" s="219">
        <f t="shared" si="72"/>
        <v>0</v>
      </c>
      <c r="BB142" s="31">
        <f t="shared" si="73"/>
        <v>0</v>
      </c>
      <c r="BC142" s="219">
        <f t="shared" si="74"/>
        <v>0</v>
      </c>
      <c r="BD142" s="31">
        <f t="shared" si="75"/>
        <v>0</v>
      </c>
      <c r="BE142" s="219">
        <f t="shared" si="76"/>
        <v>0</v>
      </c>
      <c r="BF142" s="31">
        <f t="shared" si="77"/>
        <v>0</v>
      </c>
      <c r="BG142" s="219">
        <f t="shared" si="78"/>
        <v>0</v>
      </c>
      <c r="BH142" s="31">
        <f t="shared" si="79"/>
        <v>0</v>
      </c>
      <c r="BI142" s="219">
        <f t="shared" si="80"/>
        <v>0</v>
      </c>
      <c r="BJ142" s="31">
        <f t="shared" si="81"/>
        <v>0</v>
      </c>
      <c r="BK142" s="219">
        <f t="shared" si="82"/>
        <v>0</v>
      </c>
      <c r="BL142" s="31">
        <f t="shared" si="83"/>
        <v>0</v>
      </c>
      <c r="BM142" s="219">
        <f t="shared" si="84"/>
        <v>0</v>
      </c>
      <c r="BN142" s="31">
        <f t="shared" si="85"/>
        <v>0</v>
      </c>
      <c r="BO142" s="219">
        <f t="shared" si="86"/>
        <v>0</v>
      </c>
    </row>
    <row r="143" spans="1:67" x14ac:dyDescent="0.25">
      <c r="A143" s="31" t="s">
        <v>2038</v>
      </c>
      <c r="B143" s="176" t="str">
        <f>VLOOKUP(A143,kurspris!$A$1:$B$992,2,FALSE)</f>
        <v>Bild 3</v>
      </c>
      <c r="C143" s="31">
        <v>66304</v>
      </c>
      <c r="D143" s="60" t="s">
        <v>117</v>
      </c>
      <c r="E143" s="60"/>
      <c r="F143" s="57" t="s">
        <v>2274</v>
      </c>
      <c r="H143" s="31" t="s">
        <v>2335</v>
      </c>
      <c r="I143" s="31" t="s">
        <v>2399</v>
      </c>
      <c r="L143" s="38"/>
      <c r="M143">
        <v>30</v>
      </c>
      <c r="P143" s="31">
        <v>10</v>
      </c>
      <c r="Q143" s="539">
        <v>5</v>
      </c>
      <c r="R143" s="38">
        <v>0.8</v>
      </c>
      <c r="S143" s="280">
        <f t="shared" si="59"/>
        <v>4</v>
      </c>
      <c r="T143" s="31">
        <f>VLOOKUP(A143,'Ansvar kurs'!$A$1:$C$1123,2,FALSE)</f>
        <v>1650</v>
      </c>
      <c r="U143" s="31" t="str">
        <f>VLOOKUP(T143,Orgenheter!$A$1:$C$166,2,FALSE)</f>
        <v xml:space="preserve">Estetiska ämnen               </v>
      </c>
      <c r="V143" s="31" t="str">
        <f>VLOOKUP(T143,Orgenheter!$A$1:$C$166,3,FALSE)</f>
        <v>Hum</v>
      </c>
      <c r="W143" s="35" t="str">
        <f>VLOOKUP(D143,Program!$A$1:$B$36,2,FALSE)</f>
        <v>Fristående och övriga kurser</v>
      </c>
      <c r="X143" s="40">
        <f>VLOOKUP(A143,kurspris!$A$1:$Q$913,15,FALSE)</f>
        <v>51362</v>
      </c>
      <c r="Y143" s="40">
        <f>VLOOKUP(A143,kurspris!$A$1:$Q$913,16,FALSE)</f>
        <v>59096</v>
      </c>
      <c r="Z143" s="40">
        <f t="shared" si="60"/>
        <v>493194</v>
      </c>
      <c r="AA143" s="40">
        <f>VLOOKUP(A143,kurspris!$A$1:$Q$913,17,FALSE)</f>
        <v>71500</v>
      </c>
      <c r="AB143" s="40">
        <f t="shared" si="61"/>
        <v>357500</v>
      </c>
      <c r="AC143" s="40">
        <f t="shared" si="62"/>
        <v>850694</v>
      </c>
      <c r="AD143" s="31">
        <f>VLOOKUP($A143,kurspris!$A$1:$Q$950,3,FALSE)</f>
        <v>1</v>
      </c>
      <c r="AE143" s="31">
        <f>VLOOKUP($A143,kurspris!$A$1:$Q$950,4,FALSE)</f>
        <v>0</v>
      </c>
      <c r="AF143" s="31">
        <f>VLOOKUP($A143,kurspris!$A$1:$Q$950,5,FALSE)</f>
        <v>0</v>
      </c>
      <c r="AG143" s="31">
        <f>VLOOKUP($A143,kurspris!$A$1:$Q$950,6,FALSE)</f>
        <v>0</v>
      </c>
      <c r="AH143" s="31">
        <f>VLOOKUP($A143,kurspris!$A$1:$Q$950,7,FALSE)</f>
        <v>0</v>
      </c>
      <c r="AI143" s="31">
        <f>VLOOKUP($A143,kurspris!$A$1:$Q$950,8,FALSE)</f>
        <v>0</v>
      </c>
      <c r="AJ143" s="31">
        <f>VLOOKUP($A143,kurspris!$A$1:$Q$950,9,FALSE)</f>
        <v>0</v>
      </c>
      <c r="AK143" s="31">
        <f>VLOOKUP($A143,kurspris!$A$1:$Q$950,10,FALSE)</f>
        <v>0</v>
      </c>
      <c r="AL143" s="31">
        <f>VLOOKUP($A143,kurspris!$A$1:$Q$950,11,FALSE)</f>
        <v>0</v>
      </c>
      <c r="AM143" s="31">
        <f>VLOOKUP($A143,kurspris!$A$1:$Q$950,12,FALSE)</f>
        <v>0</v>
      </c>
      <c r="AN143" s="31">
        <f>VLOOKUP($A143,kurspris!$A$1:$Q$950,13,FALSE)</f>
        <v>0</v>
      </c>
      <c r="AO143" s="31">
        <f>VLOOKUP($A143,kurspris!$A$1:$Q$950,14,FALSE)</f>
        <v>0</v>
      </c>
      <c r="AP143" s="57" t="s">
        <v>2402</v>
      </c>
      <c r="AQ143"/>
      <c r="AR143" s="31">
        <f t="shared" si="63"/>
        <v>5</v>
      </c>
      <c r="AS143" s="219">
        <f t="shared" si="64"/>
        <v>4</v>
      </c>
      <c r="AT143" s="31">
        <f t="shared" si="65"/>
        <v>0</v>
      </c>
      <c r="AU143" s="219">
        <f t="shared" si="66"/>
        <v>0</v>
      </c>
      <c r="AV143" s="31">
        <f t="shared" si="67"/>
        <v>0</v>
      </c>
      <c r="AW143" s="31">
        <f t="shared" si="68"/>
        <v>0</v>
      </c>
      <c r="AX143" s="31">
        <f t="shared" si="69"/>
        <v>0</v>
      </c>
      <c r="AY143" s="219">
        <f t="shared" si="70"/>
        <v>0</v>
      </c>
      <c r="AZ143" s="196">
        <f t="shared" si="71"/>
        <v>0</v>
      </c>
      <c r="BA143" s="219">
        <f t="shared" si="72"/>
        <v>0</v>
      </c>
      <c r="BB143" s="31">
        <f t="shared" si="73"/>
        <v>0</v>
      </c>
      <c r="BC143" s="219">
        <f t="shared" si="74"/>
        <v>0</v>
      </c>
      <c r="BD143" s="31">
        <f t="shared" si="75"/>
        <v>0</v>
      </c>
      <c r="BE143" s="219">
        <f t="shared" si="76"/>
        <v>0</v>
      </c>
      <c r="BF143" s="31">
        <f t="shared" si="77"/>
        <v>0</v>
      </c>
      <c r="BG143" s="219">
        <f t="shared" si="78"/>
        <v>0</v>
      </c>
      <c r="BH143" s="31">
        <f t="shared" si="79"/>
        <v>0</v>
      </c>
      <c r="BI143" s="219">
        <f t="shared" si="80"/>
        <v>0</v>
      </c>
      <c r="BJ143" s="31">
        <f t="shared" si="81"/>
        <v>0</v>
      </c>
      <c r="BK143" s="219">
        <f t="shared" si="82"/>
        <v>0</v>
      </c>
      <c r="BL143" s="31">
        <f t="shared" si="83"/>
        <v>0</v>
      </c>
      <c r="BM143" s="219">
        <f t="shared" si="84"/>
        <v>0</v>
      </c>
      <c r="BN143" s="31">
        <f t="shared" si="85"/>
        <v>0</v>
      </c>
      <c r="BO143" s="219">
        <f t="shared" si="86"/>
        <v>0</v>
      </c>
    </row>
    <row r="144" spans="1:67" x14ac:dyDescent="0.25">
      <c r="A144" s="31" t="s">
        <v>2038</v>
      </c>
      <c r="B144" s="176" t="str">
        <f>VLOOKUP(A144,kurspris!$A$1:$B$992,2,FALSE)</f>
        <v>Bild 3</v>
      </c>
      <c r="C144" s="31">
        <v>66304</v>
      </c>
      <c r="D144" s="60" t="s">
        <v>482</v>
      </c>
      <c r="E144" s="60"/>
      <c r="F144" s="57" t="s">
        <v>2274</v>
      </c>
      <c r="H144" s="31" t="s">
        <v>2335</v>
      </c>
      <c r="I144" s="31" t="s">
        <v>2399</v>
      </c>
      <c r="J144" s="31" t="s">
        <v>2237</v>
      </c>
      <c r="L144" s="38"/>
      <c r="M144">
        <v>30</v>
      </c>
      <c r="P144" s="31">
        <v>1</v>
      </c>
      <c r="Q144" s="539">
        <v>0.5</v>
      </c>
      <c r="R144" s="38">
        <v>0.85</v>
      </c>
      <c r="S144" s="280">
        <f t="shared" si="59"/>
        <v>0.42499999999999999</v>
      </c>
      <c r="T144" s="31">
        <f>VLOOKUP(A144,'Ansvar kurs'!$A$1:$C$1123,2,FALSE)</f>
        <v>1650</v>
      </c>
      <c r="U144" s="31" t="str">
        <f>VLOOKUP(T144,Orgenheter!$A$1:$C$166,2,FALSE)</f>
        <v xml:space="preserve">Estetiska ämnen               </v>
      </c>
      <c r="V144" s="31" t="str">
        <f>VLOOKUP(T144,Orgenheter!$A$1:$C$166,3,FALSE)</f>
        <v>Hum</v>
      </c>
      <c r="W144" s="35" t="str">
        <f>VLOOKUP(D144,Program!$A$1:$B$36,2,FALSE)</f>
        <v>Ämneslärarprogrammet - Gy</v>
      </c>
      <c r="X144" s="40">
        <f>VLOOKUP(A144,kurspris!$A$1:$Q$913,15,FALSE)</f>
        <v>51362</v>
      </c>
      <c r="Y144" s="40">
        <f>VLOOKUP(A144,kurspris!$A$1:$Q$913,16,FALSE)</f>
        <v>59096</v>
      </c>
      <c r="Z144" s="40">
        <f t="shared" si="60"/>
        <v>50796.800000000003</v>
      </c>
      <c r="AA144" s="40">
        <f>VLOOKUP(A144,kurspris!$A$1:$Q$913,17,FALSE)</f>
        <v>71500</v>
      </c>
      <c r="AB144" s="40">
        <f t="shared" si="61"/>
        <v>35750</v>
      </c>
      <c r="AC144" s="40">
        <f t="shared" si="62"/>
        <v>86546.8</v>
      </c>
      <c r="AD144" s="31">
        <f>VLOOKUP($A144,kurspris!$A$1:$Q$950,3,FALSE)</f>
        <v>1</v>
      </c>
      <c r="AE144" s="31">
        <f>VLOOKUP($A144,kurspris!$A$1:$Q$950,4,FALSE)</f>
        <v>0</v>
      </c>
      <c r="AF144" s="31">
        <f>VLOOKUP($A144,kurspris!$A$1:$Q$950,5,FALSE)</f>
        <v>0</v>
      </c>
      <c r="AG144" s="31">
        <f>VLOOKUP($A144,kurspris!$A$1:$Q$950,6,FALSE)</f>
        <v>0</v>
      </c>
      <c r="AH144" s="31">
        <f>VLOOKUP($A144,kurspris!$A$1:$Q$950,7,FALSE)</f>
        <v>0</v>
      </c>
      <c r="AI144" s="31">
        <f>VLOOKUP($A144,kurspris!$A$1:$Q$950,8,FALSE)</f>
        <v>0</v>
      </c>
      <c r="AJ144" s="31">
        <f>VLOOKUP($A144,kurspris!$A$1:$Q$950,9,FALSE)</f>
        <v>0</v>
      </c>
      <c r="AK144" s="31">
        <f>VLOOKUP($A144,kurspris!$A$1:$Q$950,10,FALSE)</f>
        <v>0</v>
      </c>
      <c r="AL144" s="31">
        <f>VLOOKUP($A144,kurspris!$A$1:$Q$950,11,FALSE)</f>
        <v>0</v>
      </c>
      <c r="AM144" s="31">
        <f>VLOOKUP($A144,kurspris!$A$1:$Q$950,12,FALSE)</f>
        <v>0</v>
      </c>
      <c r="AN144" s="31">
        <f>VLOOKUP($A144,kurspris!$A$1:$Q$950,13,FALSE)</f>
        <v>0</v>
      </c>
      <c r="AO144" s="31">
        <f>VLOOKUP($A144,kurspris!$A$1:$Q$950,14,FALSE)</f>
        <v>0</v>
      </c>
      <c r="AP144" s="57" t="s">
        <v>2402</v>
      </c>
      <c r="AQ144"/>
      <c r="AR144" s="31">
        <f t="shared" si="63"/>
        <v>0.5</v>
      </c>
      <c r="AS144" s="219">
        <f t="shared" si="64"/>
        <v>0.42499999999999999</v>
      </c>
      <c r="AT144" s="31">
        <f t="shared" si="65"/>
        <v>0</v>
      </c>
      <c r="AU144" s="219">
        <f t="shared" si="66"/>
        <v>0</v>
      </c>
      <c r="AV144" s="31">
        <f t="shared" si="67"/>
        <v>0</v>
      </c>
      <c r="AW144" s="31">
        <f t="shared" si="68"/>
        <v>0</v>
      </c>
      <c r="AX144" s="31">
        <f t="shared" si="69"/>
        <v>0</v>
      </c>
      <c r="AY144" s="219">
        <f t="shared" si="70"/>
        <v>0</v>
      </c>
      <c r="AZ144" s="196">
        <f t="shared" si="71"/>
        <v>0</v>
      </c>
      <c r="BA144" s="219">
        <f t="shared" si="72"/>
        <v>0</v>
      </c>
      <c r="BB144" s="31">
        <f t="shared" si="73"/>
        <v>0</v>
      </c>
      <c r="BC144" s="219">
        <f t="shared" si="74"/>
        <v>0</v>
      </c>
      <c r="BD144" s="31">
        <f t="shared" si="75"/>
        <v>0</v>
      </c>
      <c r="BE144" s="219">
        <f t="shared" si="76"/>
        <v>0</v>
      </c>
      <c r="BF144" s="31">
        <f t="shared" si="77"/>
        <v>0</v>
      </c>
      <c r="BG144" s="219">
        <f t="shared" si="78"/>
        <v>0</v>
      </c>
      <c r="BH144" s="31">
        <f t="shared" si="79"/>
        <v>0</v>
      </c>
      <c r="BI144" s="219">
        <f t="shared" si="80"/>
        <v>0</v>
      </c>
      <c r="BJ144" s="31">
        <f t="shared" si="81"/>
        <v>0</v>
      </c>
      <c r="BK144" s="219">
        <f t="shared" si="82"/>
        <v>0</v>
      </c>
      <c r="BL144" s="31">
        <f t="shared" si="83"/>
        <v>0</v>
      </c>
      <c r="BM144" s="219">
        <f t="shared" si="84"/>
        <v>0</v>
      </c>
      <c r="BN144" s="31">
        <f t="shared" si="85"/>
        <v>0</v>
      </c>
      <c r="BO144" s="219">
        <f t="shared" si="86"/>
        <v>0</v>
      </c>
    </row>
    <row r="145" spans="1:67" x14ac:dyDescent="0.25">
      <c r="A145" s="31" t="s">
        <v>2229</v>
      </c>
      <c r="B145" s="176" t="str">
        <f>VLOOKUP(A145,kurspris!$A$1:$B$992,2,FALSE)</f>
        <v>Grafisk design &amp; Media A för lärare</v>
      </c>
      <c r="C145" s="31">
        <v>66305</v>
      </c>
      <c r="D145" s="60" t="s">
        <v>482</v>
      </c>
      <c r="E145" s="60"/>
      <c r="F145" s="57" t="s">
        <v>2274</v>
      </c>
      <c r="H145" s="31" t="s">
        <v>2335</v>
      </c>
      <c r="I145" s="31" t="s">
        <v>2399</v>
      </c>
      <c r="J145" s="31" t="s">
        <v>2237</v>
      </c>
      <c r="L145" s="38"/>
      <c r="M145">
        <v>30</v>
      </c>
      <c r="P145" s="31">
        <v>3</v>
      </c>
      <c r="Q145" s="539">
        <v>1.5</v>
      </c>
      <c r="R145" s="38">
        <v>0.85</v>
      </c>
      <c r="S145" s="280">
        <f t="shared" si="59"/>
        <v>1.2749999999999999</v>
      </c>
      <c r="T145" s="31">
        <f>VLOOKUP(A145,'Ansvar kurs'!$A$1:$C$1123,2,FALSE)</f>
        <v>1650</v>
      </c>
      <c r="U145" s="31" t="str">
        <f>VLOOKUP(T145,Orgenheter!$A$1:$C$166,2,FALSE)</f>
        <v xml:space="preserve">Estetiska ämnen               </v>
      </c>
      <c r="V145" s="31" t="str">
        <f>VLOOKUP(T145,Orgenheter!$A$1:$C$166,3,FALSE)</f>
        <v>Hum</v>
      </c>
      <c r="W145" s="35" t="str">
        <f>VLOOKUP(D145,Program!$A$1:$B$36,2,FALSE)</f>
        <v>Ämneslärarprogrammet - Gy</v>
      </c>
      <c r="X145" s="40">
        <f>VLOOKUP(A145,kurspris!$A$1:$Q$913,15,FALSE)</f>
        <v>20757</v>
      </c>
      <c r="Y145" s="40">
        <f>VLOOKUP(A145,kurspris!$A$1:$Q$913,16,FALSE)</f>
        <v>36082</v>
      </c>
      <c r="Z145" s="40">
        <f t="shared" si="60"/>
        <v>77140.049999999988</v>
      </c>
      <c r="AA145" s="40">
        <f>VLOOKUP(A145,kurspris!$A$1:$Q$913,17,FALSE)</f>
        <v>22600</v>
      </c>
      <c r="AB145" s="40">
        <f t="shared" si="61"/>
        <v>33900</v>
      </c>
      <c r="AC145" s="40">
        <f t="shared" si="62"/>
        <v>111040.04999999999</v>
      </c>
      <c r="AD145" s="31">
        <f>VLOOKUP($A145,kurspris!$A$1:$Q$950,3,FALSE)</f>
        <v>0</v>
      </c>
      <c r="AE145" s="31">
        <f>VLOOKUP($A145,kurspris!$A$1:$Q$950,4,FALSE)</f>
        <v>0</v>
      </c>
      <c r="AF145" s="31">
        <f>VLOOKUP($A145,kurspris!$A$1:$Q$950,5,FALSE)</f>
        <v>0</v>
      </c>
      <c r="AG145" s="31">
        <f>VLOOKUP($A145,kurspris!$A$1:$Q$950,6,FALSE)</f>
        <v>0</v>
      </c>
      <c r="AH145" s="31">
        <f>VLOOKUP($A145,kurspris!$A$1:$Q$950,7,FALSE)</f>
        <v>0</v>
      </c>
      <c r="AI145" s="31">
        <f>VLOOKUP($A145,kurspris!$A$1:$Q$950,8,FALSE)</f>
        <v>0</v>
      </c>
      <c r="AJ145" s="31">
        <f>VLOOKUP($A145,kurspris!$A$1:$Q$950,9,FALSE)</f>
        <v>0</v>
      </c>
      <c r="AK145" s="31">
        <f>VLOOKUP($A145,kurspris!$A$1:$Q$950,10,FALSE)</f>
        <v>1</v>
      </c>
      <c r="AL145" s="31">
        <f>VLOOKUP($A145,kurspris!$A$1:$Q$950,11,FALSE)</f>
        <v>0</v>
      </c>
      <c r="AM145" s="31">
        <f>VLOOKUP($A145,kurspris!$A$1:$Q$950,12,FALSE)</f>
        <v>0</v>
      </c>
      <c r="AN145" s="31">
        <f>VLOOKUP($A145,kurspris!$A$1:$Q$950,13,FALSE)</f>
        <v>0</v>
      </c>
      <c r="AO145" s="31">
        <f>VLOOKUP($A145,kurspris!$A$1:$Q$950,14,FALSE)</f>
        <v>0</v>
      </c>
      <c r="AP145" s="57" t="s">
        <v>2402</v>
      </c>
      <c r="AQ145"/>
      <c r="AR145" s="31">
        <f t="shared" si="63"/>
        <v>0</v>
      </c>
      <c r="AS145" s="219">
        <f t="shared" si="64"/>
        <v>0</v>
      </c>
      <c r="AT145" s="31">
        <f t="shared" si="65"/>
        <v>0</v>
      </c>
      <c r="AU145" s="219">
        <f t="shared" si="66"/>
        <v>0</v>
      </c>
      <c r="AV145" s="31">
        <f t="shared" si="67"/>
        <v>0</v>
      </c>
      <c r="AW145" s="31">
        <f t="shared" si="68"/>
        <v>0</v>
      </c>
      <c r="AX145" s="31">
        <f t="shared" si="69"/>
        <v>0</v>
      </c>
      <c r="AY145" s="219">
        <f t="shared" si="70"/>
        <v>0</v>
      </c>
      <c r="AZ145" s="196">
        <f t="shared" si="71"/>
        <v>0</v>
      </c>
      <c r="BA145" s="219">
        <f t="shared" si="72"/>
        <v>0</v>
      </c>
      <c r="BB145" s="31">
        <f t="shared" si="73"/>
        <v>0</v>
      </c>
      <c r="BC145" s="219">
        <f t="shared" si="74"/>
        <v>0</v>
      </c>
      <c r="BD145" s="31">
        <f t="shared" si="75"/>
        <v>0</v>
      </c>
      <c r="BE145" s="219">
        <f t="shared" si="76"/>
        <v>0</v>
      </c>
      <c r="BF145" s="31">
        <f t="shared" si="77"/>
        <v>1.5</v>
      </c>
      <c r="BG145" s="219">
        <f t="shared" si="78"/>
        <v>1.2749999999999999</v>
      </c>
      <c r="BH145" s="31">
        <f t="shared" si="79"/>
        <v>0</v>
      </c>
      <c r="BI145" s="219">
        <f t="shared" si="80"/>
        <v>0</v>
      </c>
      <c r="BJ145" s="31">
        <f t="shared" si="81"/>
        <v>0</v>
      </c>
      <c r="BK145" s="219">
        <f t="shared" si="82"/>
        <v>0</v>
      </c>
      <c r="BL145" s="31">
        <f t="shared" si="83"/>
        <v>0</v>
      </c>
      <c r="BM145" s="219">
        <f t="shared" si="84"/>
        <v>0</v>
      </c>
      <c r="BN145" s="31">
        <f t="shared" si="85"/>
        <v>0</v>
      </c>
      <c r="BO145" s="219">
        <f t="shared" si="86"/>
        <v>0</v>
      </c>
    </row>
    <row r="146" spans="1:67" x14ac:dyDescent="0.25">
      <c r="A146" s="31" t="s">
        <v>2090</v>
      </c>
      <c r="B146" s="176" t="str">
        <f>VLOOKUP(A146,kurspris!$A$1:$B$992,2,FALSE)</f>
        <v>Skapande bild, distans</v>
      </c>
      <c r="C146" s="31">
        <v>66210</v>
      </c>
      <c r="D146" s="60" t="s">
        <v>117</v>
      </c>
      <c r="E146" s="60"/>
      <c r="F146" s="57" t="s">
        <v>2274</v>
      </c>
      <c r="H146" s="31" t="s">
        <v>2335</v>
      </c>
      <c r="I146" s="31" t="s">
        <v>2275</v>
      </c>
      <c r="L146" s="38"/>
      <c r="M146" s="244">
        <v>15</v>
      </c>
      <c r="P146" s="31">
        <v>12</v>
      </c>
      <c r="Q146" s="539">
        <v>3</v>
      </c>
      <c r="R146" s="38">
        <v>0.8</v>
      </c>
      <c r="S146" s="280">
        <f t="shared" si="59"/>
        <v>2.4000000000000004</v>
      </c>
      <c r="T146" s="31">
        <f>VLOOKUP(A146,'Ansvar kurs'!$A$1:$C$1123,2,FALSE)</f>
        <v>1650</v>
      </c>
      <c r="U146" s="31" t="str">
        <f>VLOOKUP(T146,Orgenheter!$A$1:$C$166,2,FALSE)</f>
        <v xml:space="preserve">Estetiska ämnen               </v>
      </c>
      <c r="V146" s="31" t="str">
        <f>VLOOKUP(T146,Orgenheter!$A$1:$C$166,3,FALSE)</f>
        <v>Hum</v>
      </c>
      <c r="W146" s="35" t="str">
        <f>VLOOKUP(D146,Program!$A$1:$B$36,2,FALSE)</f>
        <v>Fristående och övriga kurser</v>
      </c>
      <c r="X146" s="40">
        <f>VLOOKUP(A146,kurspris!$A$1:$Q$913,15,FALSE)</f>
        <v>43713</v>
      </c>
      <c r="Y146" s="40">
        <f>VLOOKUP(A146,kurspris!$A$1:$Q$913,16,FALSE)</f>
        <v>48682.5</v>
      </c>
      <c r="Z146" s="40">
        <f t="shared" si="60"/>
        <v>247977</v>
      </c>
      <c r="AA146" s="40">
        <f>VLOOKUP(A146,kurspris!$A$1:$Q$913,17,FALSE)</f>
        <v>55125</v>
      </c>
      <c r="AB146" s="40">
        <f t="shared" si="61"/>
        <v>165375</v>
      </c>
      <c r="AC146" s="40">
        <f t="shared" si="62"/>
        <v>413352</v>
      </c>
      <c r="AD146" s="31">
        <f>VLOOKUP($A146,kurspris!$A$1:$Q$950,3,FALSE)</f>
        <v>0.75</v>
      </c>
      <c r="AE146" s="31">
        <f>VLOOKUP($A146,kurspris!$A$1:$Q$950,4,FALSE)</f>
        <v>0.25</v>
      </c>
      <c r="AF146" s="31">
        <f>VLOOKUP($A146,kurspris!$A$1:$Q$950,5,FALSE)</f>
        <v>0</v>
      </c>
      <c r="AG146" s="31">
        <f>VLOOKUP($A146,kurspris!$A$1:$Q$950,6,FALSE)</f>
        <v>0</v>
      </c>
      <c r="AH146" s="31">
        <f>VLOOKUP($A146,kurspris!$A$1:$Q$950,7,FALSE)</f>
        <v>0</v>
      </c>
      <c r="AI146" s="31">
        <f>VLOOKUP($A146,kurspris!$A$1:$Q$950,8,FALSE)</f>
        <v>0</v>
      </c>
      <c r="AJ146" s="31">
        <f>VLOOKUP($A146,kurspris!$A$1:$Q$950,9,FALSE)</f>
        <v>0</v>
      </c>
      <c r="AK146" s="31">
        <f>VLOOKUP($A146,kurspris!$A$1:$Q$950,10,FALSE)</f>
        <v>0</v>
      </c>
      <c r="AL146" s="31">
        <f>VLOOKUP($A146,kurspris!$A$1:$Q$950,11,FALSE)</f>
        <v>0</v>
      </c>
      <c r="AM146" s="31">
        <f>VLOOKUP($A146,kurspris!$A$1:$Q$950,12,FALSE)</f>
        <v>0</v>
      </c>
      <c r="AN146" s="31">
        <f>VLOOKUP($A146,kurspris!$A$1:$Q$950,13,FALSE)</f>
        <v>0</v>
      </c>
      <c r="AO146" s="31">
        <f>VLOOKUP($A146,kurspris!$A$1:$Q$950,14,FALSE)</f>
        <v>0</v>
      </c>
      <c r="AP146" s="57" t="s">
        <v>2402</v>
      </c>
      <c r="AQ146" t="s">
        <v>2308</v>
      </c>
      <c r="AR146" s="31">
        <f t="shared" si="63"/>
        <v>2.25</v>
      </c>
      <c r="AS146" s="219">
        <f t="shared" si="64"/>
        <v>1.8000000000000003</v>
      </c>
      <c r="AT146" s="31">
        <f t="shared" si="65"/>
        <v>0.75</v>
      </c>
      <c r="AU146" s="219">
        <f t="shared" si="66"/>
        <v>0.60000000000000009</v>
      </c>
      <c r="AV146" s="31">
        <f t="shared" si="67"/>
        <v>0</v>
      </c>
      <c r="AW146" s="31">
        <f t="shared" si="68"/>
        <v>0</v>
      </c>
      <c r="AX146" s="31">
        <f t="shared" si="69"/>
        <v>0</v>
      </c>
      <c r="AY146" s="219">
        <f t="shared" si="70"/>
        <v>0</v>
      </c>
      <c r="AZ146" s="196">
        <f t="shared" si="71"/>
        <v>0</v>
      </c>
      <c r="BA146" s="219">
        <f t="shared" si="72"/>
        <v>0</v>
      </c>
      <c r="BB146" s="31">
        <f t="shared" si="73"/>
        <v>0</v>
      </c>
      <c r="BC146" s="219">
        <f t="shared" si="74"/>
        <v>0</v>
      </c>
      <c r="BD146" s="31">
        <f t="shared" si="75"/>
        <v>0</v>
      </c>
      <c r="BE146" s="219">
        <f t="shared" si="76"/>
        <v>0</v>
      </c>
      <c r="BF146" s="31">
        <f t="shared" si="77"/>
        <v>0</v>
      </c>
      <c r="BG146" s="219">
        <f t="shared" si="78"/>
        <v>0</v>
      </c>
      <c r="BH146" s="31">
        <f t="shared" si="79"/>
        <v>0</v>
      </c>
      <c r="BI146" s="219">
        <f t="shared" si="80"/>
        <v>0</v>
      </c>
      <c r="BJ146" s="31">
        <f t="shared" si="81"/>
        <v>0</v>
      </c>
      <c r="BK146" s="219">
        <f t="shared" si="82"/>
        <v>0</v>
      </c>
      <c r="BL146" s="31">
        <f t="shared" si="83"/>
        <v>0</v>
      </c>
      <c r="BM146" s="219">
        <f t="shared" si="84"/>
        <v>0</v>
      </c>
      <c r="BN146" s="31">
        <f t="shared" si="85"/>
        <v>0</v>
      </c>
      <c r="BO146" s="219">
        <f t="shared" si="86"/>
        <v>0</v>
      </c>
    </row>
    <row r="147" spans="1:67" x14ac:dyDescent="0.25">
      <c r="A147" s="31" t="s">
        <v>2090</v>
      </c>
      <c r="B147" s="176" t="str">
        <f>VLOOKUP(A147,kurspris!$A$1:$B$992,2,FALSE)</f>
        <v>Skapande bild, distans</v>
      </c>
      <c r="D147" s="31" t="s">
        <v>117</v>
      </c>
      <c r="F147" s="31" t="s">
        <v>2273</v>
      </c>
      <c r="I147" s="31" t="s">
        <v>2275</v>
      </c>
      <c r="L147" s="38">
        <v>0.5</v>
      </c>
      <c r="M147" s="511">
        <v>15</v>
      </c>
      <c r="P147" s="31">
        <v>18</v>
      </c>
      <c r="Q147" s="196">
        <f>(M147/60)*P147</f>
        <v>4.5</v>
      </c>
      <c r="R147" s="38">
        <v>0.8</v>
      </c>
      <c r="S147" s="280">
        <f t="shared" si="59"/>
        <v>3.6</v>
      </c>
      <c r="T147" s="31">
        <f>VLOOKUP(A147,'Ansvar kurs'!$A$1:$C$1123,2,FALSE)</f>
        <v>1650</v>
      </c>
      <c r="U147" s="31" t="str">
        <f>VLOOKUP(T147,Orgenheter!$A$1:$C$166,2,FALSE)</f>
        <v xml:space="preserve">Estetiska ämnen               </v>
      </c>
      <c r="V147" s="31" t="str">
        <f>VLOOKUP(T147,Orgenheter!$A$1:$C$166,3,FALSE)</f>
        <v>Hum</v>
      </c>
      <c r="W147" s="35" t="str">
        <f>VLOOKUP(D147,Program!$A$1:$B$36,2,FALSE)</f>
        <v>Fristående och övriga kurser</v>
      </c>
      <c r="X147" s="40">
        <f>VLOOKUP(A147,kurspris!$A$1:$Q$913,15,FALSE)</f>
        <v>43713</v>
      </c>
      <c r="Y147" s="40">
        <f>VLOOKUP(A147,kurspris!$A$1:$Q$913,16,FALSE)</f>
        <v>48682.5</v>
      </c>
      <c r="Z147" s="40">
        <f t="shared" si="60"/>
        <v>371965.5</v>
      </c>
      <c r="AA147" s="40">
        <f>VLOOKUP(A147,kurspris!$A$1:$Q$913,17,FALSE)</f>
        <v>55125</v>
      </c>
      <c r="AB147" s="40">
        <f t="shared" si="61"/>
        <v>248062.5</v>
      </c>
      <c r="AC147" s="40">
        <f t="shared" si="62"/>
        <v>620028</v>
      </c>
      <c r="AD147" s="31">
        <f>VLOOKUP($A147,kurspris!$A$1:$Q$950,3,FALSE)</f>
        <v>0.75</v>
      </c>
      <c r="AE147" s="31">
        <f>VLOOKUP($A147,kurspris!$A$1:$Q$950,4,FALSE)</f>
        <v>0.25</v>
      </c>
      <c r="AF147" s="31">
        <f>VLOOKUP($A147,kurspris!$A$1:$Q$950,5,FALSE)</f>
        <v>0</v>
      </c>
      <c r="AG147" s="31">
        <f>VLOOKUP($A147,kurspris!$A$1:$Q$950,6,FALSE)</f>
        <v>0</v>
      </c>
      <c r="AH147" s="31">
        <f>VLOOKUP($A147,kurspris!$A$1:$Q$950,7,FALSE)</f>
        <v>0</v>
      </c>
      <c r="AI147" s="31">
        <f>VLOOKUP($A147,kurspris!$A$1:$Q$950,8,FALSE)</f>
        <v>0</v>
      </c>
      <c r="AJ147" s="31">
        <f>VLOOKUP($A147,kurspris!$A$1:$Q$950,9,FALSE)</f>
        <v>0</v>
      </c>
      <c r="AK147" s="31">
        <f>VLOOKUP($A147,kurspris!$A$1:$Q$950,10,FALSE)</f>
        <v>0</v>
      </c>
      <c r="AL147" s="31">
        <f>VLOOKUP($A147,kurspris!$A$1:$Q$950,11,FALSE)</f>
        <v>0</v>
      </c>
      <c r="AM147" s="31">
        <f>VLOOKUP($A147,kurspris!$A$1:$Q$950,12,FALSE)</f>
        <v>0</v>
      </c>
      <c r="AN147" s="31">
        <f>VLOOKUP($A147,kurspris!$A$1:$Q$950,13,FALSE)</f>
        <v>0</v>
      </c>
      <c r="AO147" s="31">
        <f>VLOOKUP($A147,kurspris!$A$1:$Q$950,14,FALSE)</f>
        <v>0</v>
      </c>
      <c r="AP147" s="57" t="s">
        <v>2267</v>
      </c>
      <c r="AQ147" s="37" t="s">
        <v>2308</v>
      </c>
      <c r="AR147" s="31">
        <f t="shared" si="63"/>
        <v>3.375</v>
      </c>
      <c r="AS147" s="219">
        <f t="shared" si="64"/>
        <v>2.7</v>
      </c>
      <c r="AT147" s="31">
        <f t="shared" si="65"/>
        <v>1.125</v>
      </c>
      <c r="AU147" s="219">
        <f t="shared" si="66"/>
        <v>0.9</v>
      </c>
      <c r="AV147" s="31">
        <f t="shared" si="67"/>
        <v>0</v>
      </c>
      <c r="AW147" s="31">
        <f t="shared" si="68"/>
        <v>0</v>
      </c>
      <c r="AX147" s="31">
        <f t="shared" si="69"/>
        <v>0</v>
      </c>
      <c r="AY147" s="219">
        <f t="shared" si="70"/>
        <v>0</v>
      </c>
      <c r="AZ147" s="196">
        <f t="shared" si="71"/>
        <v>0</v>
      </c>
      <c r="BA147" s="219">
        <f t="shared" si="72"/>
        <v>0</v>
      </c>
      <c r="BB147" s="31">
        <f t="shared" si="73"/>
        <v>0</v>
      </c>
      <c r="BC147" s="219">
        <f t="shared" si="74"/>
        <v>0</v>
      </c>
      <c r="BD147" s="31">
        <f t="shared" si="75"/>
        <v>0</v>
      </c>
      <c r="BE147" s="219">
        <f t="shared" si="76"/>
        <v>0</v>
      </c>
      <c r="BF147" s="31">
        <f t="shared" si="77"/>
        <v>0</v>
      </c>
      <c r="BG147" s="219">
        <f t="shared" si="78"/>
        <v>0</v>
      </c>
      <c r="BH147" s="31">
        <f t="shared" si="79"/>
        <v>0</v>
      </c>
      <c r="BI147" s="219">
        <f t="shared" si="80"/>
        <v>0</v>
      </c>
      <c r="BJ147" s="31">
        <f t="shared" si="81"/>
        <v>0</v>
      </c>
      <c r="BK147" s="219">
        <f t="shared" si="82"/>
        <v>0</v>
      </c>
      <c r="BL147" s="31">
        <f t="shared" si="83"/>
        <v>0</v>
      </c>
      <c r="BM147" s="219">
        <f t="shared" si="84"/>
        <v>0</v>
      </c>
      <c r="BN147" s="31">
        <f t="shared" si="85"/>
        <v>0</v>
      </c>
      <c r="BO147" s="219">
        <f t="shared" si="86"/>
        <v>0</v>
      </c>
    </row>
    <row r="148" spans="1:67" x14ac:dyDescent="0.25">
      <c r="A148" s="31" t="s">
        <v>2383</v>
      </c>
      <c r="B148" s="176" t="str">
        <f>VLOOKUP(A148,kurspris!$A$1:$B$992,2,FALSE)</f>
        <v>Pedagogisk yrkesverksamhet: Examensarbete för magisterexamen</v>
      </c>
      <c r="C148" s="31">
        <v>66314</v>
      </c>
      <c r="D148" s="60" t="s">
        <v>117</v>
      </c>
      <c r="E148" s="60"/>
      <c r="F148" s="57" t="s">
        <v>2274</v>
      </c>
      <c r="H148" s="31" t="s">
        <v>2335</v>
      </c>
      <c r="I148" s="31" t="s">
        <v>2275</v>
      </c>
      <c r="L148" s="38"/>
      <c r="M148">
        <v>15</v>
      </c>
      <c r="P148" s="31">
        <v>9</v>
      </c>
      <c r="Q148" s="539">
        <v>2.25</v>
      </c>
      <c r="R148" s="38">
        <v>0.8</v>
      </c>
      <c r="S148" s="280">
        <f t="shared" si="59"/>
        <v>1.8</v>
      </c>
      <c r="T148" s="31">
        <f>VLOOKUP(A148,'Ansvar kurs'!$A$1:$C$1123,2,FALSE)</f>
        <v>1650</v>
      </c>
      <c r="U148" s="31" t="str">
        <f>VLOOKUP(T148,Orgenheter!$A$1:$C$166,2,FALSE)</f>
        <v xml:space="preserve">Estetiska ämnen               </v>
      </c>
      <c r="V148" s="31" t="str">
        <f>VLOOKUP(T148,Orgenheter!$A$1:$C$166,3,FALSE)</f>
        <v>Hum</v>
      </c>
      <c r="W148" s="35" t="str">
        <f>VLOOKUP(D148,Program!$A$1:$B$36,2,FALSE)</f>
        <v>Fristående och övriga kurser</v>
      </c>
      <c r="X148" s="40">
        <f>VLOOKUP(A148,kurspris!$A$1:$Q$913,15,FALSE)</f>
        <v>20766</v>
      </c>
      <c r="Y148" s="40">
        <f>VLOOKUP(A148,kurspris!$A$1:$Q$913,16,FALSE)</f>
        <v>17442</v>
      </c>
      <c r="Z148" s="40">
        <f t="shared" si="60"/>
        <v>78119.100000000006</v>
      </c>
      <c r="AA148" s="40">
        <f>VLOOKUP(A148,kurspris!$A$1:$Q$913,17,FALSE)</f>
        <v>6000</v>
      </c>
      <c r="AB148" s="40">
        <f t="shared" si="61"/>
        <v>13500</v>
      </c>
      <c r="AC148" s="40">
        <f t="shared" si="62"/>
        <v>91619.1</v>
      </c>
      <c r="AD148" s="31">
        <f>VLOOKUP($A148,kurspris!$A$1:$Q$950,3,FALSE)</f>
        <v>0</v>
      </c>
      <c r="AE148" s="31">
        <f>VLOOKUP($A148,kurspris!$A$1:$Q$950,4,FALSE)</f>
        <v>1</v>
      </c>
      <c r="AF148" s="31">
        <f>VLOOKUP($A148,kurspris!$A$1:$Q$950,5,FALSE)</f>
        <v>0</v>
      </c>
      <c r="AG148" s="31">
        <f>VLOOKUP($A148,kurspris!$A$1:$Q$950,6,FALSE)</f>
        <v>0</v>
      </c>
      <c r="AH148" s="31">
        <f>VLOOKUP($A148,kurspris!$A$1:$Q$950,7,FALSE)</f>
        <v>0</v>
      </c>
      <c r="AI148" s="31">
        <f>VLOOKUP($A148,kurspris!$A$1:$Q$950,8,FALSE)</f>
        <v>0</v>
      </c>
      <c r="AJ148" s="31">
        <f>VLOOKUP($A148,kurspris!$A$1:$Q$950,9,FALSE)</f>
        <v>0</v>
      </c>
      <c r="AK148" s="31">
        <f>VLOOKUP($A148,kurspris!$A$1:$Q$950,10,FALSE)</f>
        <v>0</v>
      </c>
      <c r="AL148" s="31">
        <f>VLOOKUP($A148,kurspris!$A$1:$Q$950,11,FALSE)</f>
        <v>0</v>
      </c>
      <c r="AM148" s="31">
        <f>VLOOKUP($A148,kurspris!$A$1:$Q$950,12,FALSE)</f>
        <v>0</v>
      </c>
      <c r="AN148" s="31">
        <f>VLOOKUP($A148,kurspris!$A$1:$Q$950,13,FALSE)</f>
        <v>0</v>
      </c>
      <c r="AO148" s="31">
        <f>VLOOKUP($A148,kurspris!$A$1:$Q$950,14,FALSE)</f>
        <v>0</v>
      </c>
      <c r="AP148" s="57" t="s">
        <v>2402</v>
      </c>
      <c r="AQ148"/>
      <c r="AR148" s="31">
        <f t="shared" si="63"/>
        <v>0</v>
      </c>
      <c r="AS148" s="219">
        <f t="shared" si="64"/>
        <v>0</v>
      </c>
      <c r="AT148" s="31">
        <f t="shared" si="65"/>
        <v>2.25</v>
      </c>
      <c r="AU148" s="219">
        <f t="shared" si="66"/>
        <v>1.8</v>
      </c>
      <c r="AV148" s="31">
        <f t="shared" si="67"/>
        <v>0</v>
      </c>
      <c r="AW148" s="31">
        <f t="shared" si="68"/>
        <v>0</v>
      </c>
      <c r="AX148" s="31">
        <f t="shared" si="69"/>
        <v>0</v>
      </c>
      <c r="AY148" s="219">
        <f t="shared" si="70"/>
        <v>0</v>
      </c>
      <c r="AZ148" s="196">
        <f t="shared" si="71"/>
        <v>0</v>
      </c>
      <c r="BA148" s="219">
        <f t="shared" si="72"/>
        <v>0</v>
      </c>
      <c r="BB148" s="31">
        <f t="shared" si="73"/>
        <v>0</v>
      </c>
      <c r="BC148" s="219">
        <f t="shared" si="74"/>
        <v>0</v>
      </c>
      <c r="BD148" s="31">
        <f t="shared" si="75"/>
        <v>0</v>
      </c>
      <c r="BE148" s="219">
        <f t="shared" si="76"/>
        <v>0</v>
      </c>
      <c r="BF148" s="31">
        <f t="shared" si="77"/>
        <v>0</v>
      </c>
      <c r="BG148" s="219">
        <f t="shared" si="78"/>
        <v>0</v>
      </c>
      <c r="BH148" s="31">
        <f t="shared" si="79"/>
        <v>0</v>
      </c>
      <c r="BI148" s="219">
        <f t="shared" si="80"/>
        <v>0</v>
      </c>
      <c r="BJ148" s="31">
        <f t="shared" si="81"/>
        <v>0</v>
      </c>
      <c r="BK148" s="219">
        <f t="shared" si="82"/>
        <v>0</v>
      </c>
      <c r="BL148" s="31">
        <f t="shared" si="83"/>
        <v>0</v>
      </c>
      <c r="BM148" s="219">
        <f t="shared" si="84"/>
        <v>0</v>
      </c>
      <c r="BN148" s="31">
        <f t="shared" si="85"/>
        <v>0</v>
      </c>
      <c r="BO148" s="219">
        <f t="shared" si="86"/>
        <v>0</v>
      </c>
    </row>
    <row r="149" spans="1:67" x14ac:dyDescent="0.25">
      <c r="A149" s="31" t="s">
        <v>2465</v>
      </c>
      <c r="B149" s="176" t="str">
        <f>VLOOKUP(A149,kurspris!$A$1:$B$992,2,FALSE)</f>
        <v>Grafisk design &amp; Media B för lärare</v>
      </c>
      <c r="D149" s="60" t="s">
        <v>482</v>
      </c>
      <c r="E149" s="576" t="s">
        <v>2225</v>
      </c>
      <c r="F149" s="31" t="s">
        <v>2273</v>
      </c>
      <c r="G149" t="s">
        <v>2458</v>
      </c>
      <c r="H149" t="s">
        <v>2335</v>
      </c>
      <c r="J149" s="31" t="s">
        <v>2237</v>
      </c>
      <c r="L149" s="38">
        <v>1</v>
      </c>
      <c r="M149">
        <v>30</v>
      </c>
      <c r="P149" s="31">
        <v>3</v>
      </c>
      <c r="Q149" s="196">
        <f t="shared" ref="Q149:Q158" si="87">(M149/60)*P149</f>
        <v>1.5</v>
      </c>
      <c r="R149" s="38">
        <v>0.85</v>
      </c>
      <c r="S149" s="280">
        <f t="shared" si="59"/>
        <v>1.2749999999999999</v>
      </c>
      <c r="T149" s="31">
        <f>VLOOKUP(A149,'Ansvar kurs'!$A$1:$C$1123,2,FALSE)</f>
        <v>1650</v>
      </c>
      <c r="U149" s="31" t="str">
        <f>VLOOKUP(T149,Orgenheter!$A$1:$C$166,2,FALSE)</f>
        <v xml:space="preserve">Estetiska ämnen               </v>
      </c>
      <c r="V149" s="31" t="str">
        <f>VLOOKUP(T149,Orgenheter!$A$1:$C$166,3,FALSE)</f>
        <v>Hum</v>
      </c>
      <c r="W149" s="35" t="str">
        <f>VLOOKUP(D149,Program!$A$1:$B$36,2,FALSE)</f>
        <v>Ämneslärarprogrammet - Gy</v>
      </c>
      <c r="X149" s="40">
        <f>VLOOKUP(A149,kurspris!$A$1:$Q$913,15,FALSE)</f>
        <v>20757</v>
      </c>
      <c r="Y149" s="40">
        <f>VLOOKUP(A149,kurspris!$A$1:$Q$913,16,FALSE)</f>
        <v>36082</v>
      </c>
      <c r="Z149" s="40">
        <f t="shared" si="60"/>
        <v>77140.049999999988</v>
      </c>
      <c r="AA149" s="40">
        <f>VLOOKUP(A149,kurspris!$A$1:$Q$913,17,FALSE)</f>
        <v>22600</v>
      </c>
      <c r="AB149" s="40">
        <f t="shared" si="61"/>
        <v>33900</v>
      </c>
      <c r="AC149" s="40">
        <f t="shared" si="62"/>
        <v>111040.04999999999</v>
      </c>
      <c r="AD149" s="31">
        <f>VLOOKUP($A149,kurspris!$A$1:$Q$950,3,FALSE)</f>
        <v>0</v>
      </c>
      <c r="AE149" s="31">
        <f>VLOOKUP($A149,kurspris!$A$1:$Q$950,4,FALSE)</f>
        <v>0</v>
      </c>
      <c r="AF149" s="31">
        <f>VLOOKUP($A149,kurspris!$A$1:$Q$950,5,FALSE)</f>
        <v>0</v>
      </c>
      <c r="AG149" s="31">
        <f>VLOOKUP($A149,kurspris!$A$1:$Q$950,6,FALSE)</f>
        <v>0</v>
      </c>
      <c r="AH149" s="31">
        <f>VLOOKUP($A149,kurspris!$A$1:$Q$950,7,FALSE)</f>
        <v>0</v>
      </c>
      <c r="AI149" s="31">
        <f>VLOOKUP($A149,kurspris!$A$1:$Q$950,8,FALSE)</f>
        <v>0</v>
      </c>
      <c r="AJ149" s="31">
        <f>VLOOKUP($A149,kurspris!$A$1:$Q$950,9,FALSE)</f>
        <v>0</v>
      </c>
      <c r="AK149" s="31">
        <f>VLOOKUP($A149,kurspris!$A$1:$Q$950,10,FALSE)</f>
        <v>1</v>
      </c>
      <c r="AL149" s="31">
        <f>VLOOKUP($A149,kurspris!$A$1:$Q$950,11,FALSE)</f>
        <v>0</v>
      </c>
      <c r="AM149" s="31">
        <f>VLOOKUP($A149,kurspris!$A$1:$Q$950,12,FALSE)</f>
        <v>0</v>
      </c>
      <c r="AN149" s="31">
        <f>VLOOKUP($A149,kurspris!$A$1:$Q$950,13,FALSE)</f>
        <v>0</v>
      </c>
      <c r="AO149" s="31">
        <f>VLOOKUP($A149,kurspris!$A$1:$Q$950,14,FALSE)</f>
        <v>0</v>
      </c>
      <c r="AP149" s="57" t="s">
        <v>2506</v>
      </c>
      <c r="AQ149"/>
      <c r="AR149" s="31">
        <f t="shared" si="63"/>
        <v>0</v>
      </c>
      <c r="AS149" s="219">
        <f t="shared" si="64"/>
        <v>0</v>
      </c>
      <c r="AT149" s="31">
        <f t="shared" si="65"/>
        <v>0</v>
      </c>
      <c r="AU149" s="219">
        <f t="shared" si="66"/>
        <v>0</v>
      </c>
      <c r="AV149" s="31">
        <f t="shared" si="67"/>
        <v>0</v>
      </c>
      <c r="AW149" s="31">
        <f t="shared" si="68"/>
        <v>0</v>
      </c>
      <c r="AX149" s="31">
        <f t="shared" si="69"/>
        <v>0</v>
      </c>
      <c r="AY149" s="219">
        <f t="shared" si="70"/>
        <v>0</v>
      </c>
      <c r="AZ149" s="196">
        <f t="shared" si="71"/>
        <v>0</v>
      </c>
      <c r="BA149" s="219">
        <f t="shared" si="72"/>
        <v>0</v>
      </c>
      <c r="BB149" s="31">
        <f t="shared" si="73"/>
        <v>0</v>
      </c>
      <c r="BC149" s="219">
        <f t="shared" si="74"/>
        <v>0</v>
      </c>
      <c r="BD149" s="31">
        <f t="shared" si="75"/>
        <v>0</v>
      </c>
      <c r="BE149" s="219">
        <f t="shared" si="76"/>
        <v>0</v>
      </c>
      <c r="BF149" s="31">
        <f t="shared" si="77"/>
        <v>1.5</v>
      </c>
      <c r="BG149" s="219">
        <f t="shared" si="78"/>
        <v>1.2749999999999999</v>
      </c>
      <c r="BH149" s="31">
        <f t="shared" si="79"/>
        <v>0</v>
      </c>
      <c r="BI149" s="219">
        <f t="shared" si="80"/>
        <v>0</v>
      </c>
      <c r="BJ149" s="31">
        <f t="shared" si="81"/>
        <v>0</v>
      </c>
      <c r="BK149" s="219">
        <f t="shared" si="82"/>
        <v>0</v>
      </c>
      <c r="BL149" s="31">
        <f t="shared" si="83"/>
        <v>0</v>
      </c>
      <c r="BM149" s="219">
        <f t="shared" si="84"/>
        <v>0</v>
      </c>
      <c r="BN149" s="31">
        <f t="shared" si="85"/>
        <v>0</v>
      </c>
      <c r="BO149" s="219">
        <f t="shared" si="86"/>
        <v>0</v>
      </c>
    </row>
    <row r="150" spans="1:67" x14ac:dyDescent="0.25">
      <c r="A150" s="31" t="s">
        <v>2466</v>
      </c>
      <c r="B150" s="176" t="str">
        <f>VLOOKUP(A150,kurspris!$A$1:$B$992,2,FALSE)</f>
        <v>Läraryrkets dimensioner - Musik</v>
      </c>
      <c r="D150" s="60" t="s">
        <v>482</v>
      </c>
      <c r="E150" s="576" t="s">
        <v>2226</v>
      </c>
      <c r="F150" s="31" t="s">
        <v>2273</v>
      </c>
      <c r="G150" t="s">
        <v>2456</v>
      </c>
      <c r="H150" t="s">
        <v>2335</v>
      </c>
      <c r="J150" s="31" t="s">
        <v>2236</v>
      </c>
      <c r="L150" s="38">
        <v>1</v>
      </c>
      <c r="M150">
        <v>22.5</v>
      </c>
      <c r="P150" s="31">
        <v>2</v>
      </c>
      <c r="Q150" s="196">
        <f t="shared" si="87"/>
        <v>0.75</v>
      </c>
      <c r="R150" s="38">
        <v>0.85</v>
      </c>
      <c r="S150" s="280">
        <f t="shared" si="59"/>
        <v>0.63749999999999996</v>
      </c>
      <c r="T150" s="31">
        <f>VLOOKUP(A150,'Ansvar kurs'!$A$1:$C$1123,2,FALSE)</f>
        <v>1650</v>
      </c>
      <c r="U150" s="31" t="str">
        <f>VLOOKUP(T150,Orgenheter!$A$1:$C$166,2,FALSE)</f>
        <v xml:space="preserve">Estetiska ämnen               </v>
      </c>
      <c r="V150" s="31" t="str">
        <f>VLOOKUP(T150,Orgenheter!$A$1:$C$166,3,FALSE)</f>
        <v>Hum</v>
      </c>
      <c r="W150" s="35" t="str">
        <f>VLOOKUP(D150,Program!$A$1:$B$36,2,FALSE)</f>
        <v>Ämneslärarprogrammet - Gy</v>
      </c>
      <c r="X150" s="40">
        <f>VLOOKUP(A150,kurspris!$A$1:$Q$913,15,FALSE)</f>
        <v>25235</v>
      </c>
      <c r="Y150" s="40">
        <f>VLOOKUP(A150,kurspris!$A$1:$Q$913,16,FALSE)</f>
        <v>27976</v>
      </c>
      <c r="Z150" s="40">
        <f t="shared" si="60"/>
        <v>36760.949999999997</v>
      </c>
      <c r="AA150" s="40">
        <f>VLOOKUP(A150,kurspris!$A$1:$Q$913,17,FALSE)</f>
        <v>3600</v>
      </c>
      <c r="AB150" s="40">
        <f t="shared" si="61"/>
        <v>2700</v>
      </c>
      <c r="AC150" s="40">
        <f t="shared" si="62"/>
        <v>39460.949999999997</v>
      </c>
      <c r="AD150" s="31">
        <f>VLOOKUP($A150,kurspris!$A$1:$Q$950,3,FALSE)</f>
        <v>0</v>
      </c>
      <c r="AE150" s="31">
        <f>VLOOKUP($A150,kurspris!$A$1:$Q$950,4,FALSE)</f>
        <v>0</v>
      </c>
      <c r="AF150" s="31">
        <f>VLOOKUP($A150,kurspris!$A$1:$Q$950,5,FALSE)</f>
        <v>0</v>
      </c>
      <c r="AG150" s="31">
        <f>VLOOKUP($A150,kurspris!$A$1:$Q$950,6,FALSE)</f>
        <v>0</v>
      </c>
      <c r="AH150" s="31">
        <f>VLOOKUP($A150,kurspris!$A$1:$Q$950,7,FALSE)</f>
        <v>0</v>
      </c>
      <c r="AI150" s="31">
        <f>VLOOKUP($A150,kurspris!$A$1:$Q$950,8,FALSE)</f>
        <v>0</v>
      </c>
      <c r="AJ150" s="31">
        <f>VLOOKUP($A150,kurspris!$A$1:$Q$950,9,FALSE)</f>
        <v>0</v>
      </c>
      <c r="AK150" s="31">
        <f>VLOOKUP($A150,kurspris!$A$1:$Q$950,10,FALSE)</f>
        <v>0</v>
      </c>
      <c r="AL150" s="31">
        <f>VLOOKUP($A150,kurspris!$A$1:$Q$950,11,FALSE)</f>
        <v>1</v>
      </c>
      <c r="AM150" s="31">
        <f>VLOOKUP($A150,kurspris!$A$1:$Q$950,12,FALSE)</f>
        <v>0</v>
      </c>
      <c r="AN150" s="31">
        <f>VLOOKUP($A150,kurspris!$A$1:$Q$950,13,FALSE)</f>
        <v>0</v>
      </c>
      <c r="AO150" s="31">
        <f>VLOOKUP($A150,kurspris!$A$1:$Q$950,14,FALSE)</f>
        <v>0</v>
      </c>
      <c r="AP150" s="57" t="s">
        <v>2506</v>
      </c>
      <c r="AQ150"/>
      <c r="AR150" s="31">
        <f t="shared" si="63"/>
        <v>0</v>
      </c>
      <c r="AS150" s="219">
        <f t="shared" si="64"/>
        <v>0</v>
      </c>
      <c r="AT150" s="31">
        <f t="shared" si="65"/>
        <v>0</v>
      </c>
      <c r="AU150" s="219">
        <f t="shared" si="66"/>
        <v>0</v>
      </c>
      <c r="AV150" s="31">
        <f t="shared" si="67"/>
        <v>0</v>
      </c>
      <c r="AW150" s="31">
        <f t="shared" si="68"/>
        <v>0</v>
      </c>
      <c r="AX150" s="31">
        <f t="shared" si="69"/>
        <v>0</v>
      </c>
      <c r="AY150" s="219">
        <f t="shared" si="70"/>
        <v>0</v>
      </c>
      <c r="AZ150" s="196">
        <f t="shared" si="71"/>
        <v>0</v>
      </c>
      <c r="BA150" s="219">
        <f t="shared" si="72"/>
        <v>0</v>
      </c>
      <c r="BB150" s="31">
        <f t="shared" si="73"/>
        <v>0</v>
      </c>
      <c r="BC150" s="219">
        <f t="shared" si="74"/>
        <v>0</v>
      </c>
      <c r="BD150" s="31">
        <f t="shared" si="75"/>
        <v>0</v>
      </c>
      <c r="BE150" s="219">
        <f t="shared" si="76"/>
        <v>0</v>
      </c>
      <c r="BF150" s="31">
        <f t="shared" si="77"/>
        <v>0</v>
      </c>
      <c r="BG150" s="219">
        <f t="shared" si="78"/>
        <v>0</v>
      </c>
      <c r="BH150" s="31">
        <f t="shared" si="79"/>
        <v>0.75</v>
      </c>
      <c r="BI150" s="219">
        <f t="shared" si="80"/>
        <v>0.63749999999999996</v>
      </c>
      <c r="BJ150" s="31">
        <f t="shared" si="81"/>
        <v>0</v>
      </c>
      <c r="BK150" s="219">
        <f t="shared" si="82"/>
        <v>0</v>
      </c>
      <c r="BL150" s="31">
        <f t="shared" si="83"/>
        <v>0</v>
      </c>
      <c r="BM150" s="219">
        <f t="shared" si="84"/>
        <v>0</v>
      </c>
      <c r="BN150" s="31">
        <f t="shared" si="85"/>
        <v>0</v>
      </c>
      <c r="BO150" s="219">
        <f t="shared" si="86"/>
        <v>0</v>
      </c>
    </row>
    <row r="151" spans="1:67" x14ac:dyDescent="0.25">
      <c r="A151" s="31" t="s">
        <v>2467</v>
      </c>
      <c r="B151" s="176" t="str">
        <f>VLOOKUP(A151,kurspris!$A$1:$B$992,2,FALSE)</f>
        <v>Läraryrkets dimensioner - ingångsämne slöjd för lärare i åk 7-9</v>
      </c>
      <c r="D151" s="60" t="s">
        <v>481</v>
      </c>
      <c r="E151" s="576" t="s">
        <v>2225</v>
      </c>
      <c r="F151" s="31" t="s">
        <v>2273</v>
      </c>
      <c r="G151" t="s">
        <v>2456</v>
      </c>
      <c r="H151" t="s">
        <v>2335</v>
      </c>
      <c r="J151" s="31" t="s">
        <v>2245</v>
      </c>
      <c r="L151" s="38">
        <v>1</v>
      </c>
      <c r="M151">
        <v>22.5</v>
      </c>
      <c r="P151" s="31">
        <v>1</v>
      </c>
      <c r="Q151" s="196">
        <f t="shared" si="87"/>
        <v>0.375</v>
      </c>
      <c r="R151" s="38">
        <v>0.85</v>
      </c>
      <c r="S151" s="280">
        <f t="shared" si="59"/>
        <v>0.31874999999999998</v>
      </c>
      <c r="T151" s="31">
        <f>VLOOKUP(A151,'Ansvar kurs'!$A$1:$C$1123,2,FALSE)</f>
        <v>1650</v>
      </c>
      <c r="U151" s="31" t="str">
        <f>VLOOKUP(T151,Orgenheter!$A$1:$C$166,2,FALSE)</f>
        <v xml:space="preserve">Estetiska ämnen               </v>
      </c>
      <c r="V151" s="31" t="str">
        <f>VLOOKUP(T151,Orgenheter!$A$1:$C$166,3,FALSE)</f>
        <v>Hum</v>
      </c>
      <c r="W151" s="35" t="str">
        <f>VLOOKUP(D151,Program!$A$1:$B$36,2,FALSE)</f>
        <v>Ämneslärarprogrammet - åk 7-9</v>
      </c>
      <c r="X151" s="40">
        <f>VLOOKUP(A151,kurspris!$A$1:$Q$913,15,FALSE)</f>
        <v>25235</v>
      </c>
      <c r="Y151" s="40">
        <f>VLOOKUP(A151,kurspris!$A$1:$Q$913,16,FALSE)</f>
        <v>27976</v>
      </c>
      <c r="Z151" s="40">
        <f t="shared" si="60"/>
        <v>18380.474999999999</v>
      </c>
      <c r="AA151" s="40">
        <f>VLOOKUP(A151,kurspris!$A$1:$Q$913,17,FALSE)</f>
        <v>3600</v>
      </c>
      <c r="AB151" s="40">
        <f t="shared" si="61"/>
        <v>1350</v>
      </c>
      <c r="AC151" s="40">
        <f t="shared" si="62"/>
        <v>19730.474999999999</v>
      </c>
      <c r="AD151" s="31">
        <f>VLOOKUP($A151,kurspris!$A$1:$Q$950,3,FALSE)</f>
        <v>0</v>
      </c>
      <c r="AE151" s="31">
        <f>VLOOKUP($A151,kurspris!$A$1:$Q$950,4,FALSE)</f>
        <v>0</v>
      </c>
      <c r="AF151" s="31">
        <f>VLOOKUP($A151,kurspris!$A$1:$Q$950,5,FALSE)</f>
        <v>0</v>
      </c>
      <c r="AG151" s="31">
        <f>VLOOKUP($A151,kurspris!$A$1:$Q$950,6,FALSE)</f>
        <v>0</v>
      </c>
      <c r="AH151" s="31">
        <f>VLOOKUP($A151,kurspris!$A$1:$Q$950,7,FALSE)</f>
        <v>0</v>
      </c>
      <c r="AI151" s="31">
        <f>VLOOKUP($A151,kurspris!$A$1:$Q$950,8,FALSE)</f>
        <v>0</v>
      </c>
      <c r="AJ151" s="31">
        <f>VLOOKUP($A151,kurspris!$A$1:$Q$950,9,FALSE)</f>
        <v>0</v>
      </c>
      <c r="AK151" s="31">
        <f>VLOOKUP($A151,kurspris!$A$1:$Q$950,10,FALSE)</f>
        <v>0</v>
      </c>
      <c r="AL151" s="31">
        <f>VLOOKUP($A151,kurspris!$A$1:$Q$950,11,FALSE)</f>
        <v>1</v>
      </c>
      <c r="AM151" s="31">
        <f>VLOOKUP($A151,kurspris!$A$1:$Q$950,12,FALSE)</f>
        <v>0</v>
      </c>
      <c r="AN151" s="31">
        <f>VLOOKUP($A151,kurspris!$A$1:$Q$950,13,FALSE)</f>
        <v>0</v>
      </c>
      <c r="AO151" s="31">
        <f>VLOOKUP($A151,kurspris!$A$1:$Q$950,14,FALSE)</f>
        <v>0</v>
      </c>
      <c r="AP151" s="57" t="s">
        <v>2506</v>
      </c>
      <c r="AQ151"/>
      <c r="AR151" s="31">
        <f t="shared" si="63"/>
        <v>0</v>
      </c>
      <c r="AS151" s="219">
        <f t="shared" si="64"/>
        <v>0</v>
      </c>
      <c r="AT151" s="31">
        <f t="shared" si="65"/>
        <v>0</v>
      </c>
      <c r="AU151" s="219">
        <f t="shared" si="66"/>
        <v>0</v>
      </c>
      <c r="AV151" s="31">
        <f t="shared" si="67"/>
        <v>0</v>
      </c>
      <c r="AW151" s="31">
        <f t="shared" si="68"/>
        <v>0</v>
      </c>
      <c r="AX151" s="31">
        <f t="shared" si="69"/>
        <v>0</v>
      </c>
      <c r="AY151" s="219">
        <f t="shared" si="70"/>
        <v>0</v>
      </c>
      <c r="AZ151" s="196">
        <f t="shared" si="71"/>
        <v>0</v>
      </c>
      <c r="BA151" s="219">
        <f t="shared" si="72"/>
        <v>0</v>
      </c>
      <c r="BB151" s="31">
        <f t="shared" si="73"/>
        <v>0</v>
      </c>
      <c r="BC151" s="219">
        <f t="shared" si="74"/>
        <v>0</v>
      </c>
      <c r="BD151" s="31">
        <f t="shared" si="75"/>
        <v>0</v>
      </c>
      <c r="BE151" s="219">
        <f t="shared" si="76"/>
        <v>0</v>
      </c>
      <c r="BF151" s="31">
        <f t="shared" si="77"/>
        <v>0</v>
      </c>
      <c r="BG151" s="219">
        <f t="shared" si="78"/>
        <v>0</v>
      </c>
      <c r="BH151" s="31">
        <f t="shared" si="79"/>
        <v>0.375</v>
      </c>
      <c r="BI151" s="219">
        <f t="shared" si="80"/>
        <v>0.31874999999999998</v>
      </c>
      <c r="BJ151" s="31">
        <f t="shared" si="81"/>
        <v>0</v>
      </c>
      <c r="BK151" s="219">
        <f t="shared" si="82"/>
        <v>0</v>
      </c>
      <c r="BL151" s="31">
        <f t="shared" si="83"/>
        <v>0</v>
      </c>
      <c r="BM151" s="219">
        <f t="shared" si="84"/>
        <v>0</v>
      </c>
      <c r="BN151" s="31">
        <f t="shared" si="85"/>
        <v>0</v>
      </c>
      <c r="BO151" s="219">
        <f t="shared" si="86"/>
        <v>0</v>
      </c>
    </row>
    <row r="152" spans="1:67" x14ac:dyDescent="0.25">
      <c r="A152" s="57" t="s">
        <v>2373</v>
      </c>
      <c r="B152" s="176" t="str">
        <f>VLOOKUP(A152,kurspris!$A$1:$B$992,2,FALSE)</f>
        <v>Skapande lek i  förskolan 2</v>
      </c>
      <c r="D152" s="60" t="s">
        <v>483</v>
      </c>
      <c r="E152" s="576" t="s">
        <v>2429</v>
      </c>
      <c r="F152" s="31" t="s">
        <v>2273</v>
      </c>
      <c r="G152" t="s">
        <v>2437</v>
      </c>
      <c r="H152" t="s">
        <v>2335</v>
      </c>
      <c r="I152" s="31" t="s">
        <v>2276</v>
      </c>
      <c r="L152" s="38">
        <v>1</v>
      </c>
      <c r="M152">
        <v>15</v>
      </c>
      <c r="P152" s="31">
        <v>1</v>
      </c>
      <c r="Q152" s="196">
        <f t="shared" si="87"/>
        <v>0.25</v>
      </c>
      <c r="R152" s="38">
        <v>0.85</v>
      </c>
      <c r="S152" s="280">
        <f t="shared" si="59"/>
        <v>0.21249999999999999</v>
      </c>
      <c r="T152" s="31">
        <f>VLOOKUP(A152,'Ansvar kurs'!$A$1:$C$1123,2,FALSE)</f>
        <v>1650</v>
      </c>
      <c r="U152" s="31" t="str">
        <f>VLOOKUP(T152,Orgenheter!$A$1:$C$166,2,FALSE)</f>
        <v xml:space="preserve">Estetiska ämnen               </v>
      </c>
      <c r="V152" s="31" t="str">
        <f>VLOOKUP(T152,Orgenheter!$A$1:$C$166,3,FALSE)</f>
        <v>Hum</v>
      </c>
      <c r="W152" s="35" t="str">
        <f>VLOOKUP(D152,Program!$A$1:$B$36,2,FALSE)</f>
        <v>Förskollärarprogrammet</v>
      </c>
      <c r="X152" s="40">
        <f>VLOOKUP(A152,kurspris!$A$1:$Q$913,15,FALSE)</f>
        <v>16920</v>
      </c>
      <c r="Y152" s="40">
        <f>VLOOKUP(A152,kurspris!$A$1:$Q$913,16,FALSE)</f>
        <v>27913</v>
      </c>
      <c r="Z152" s="40">
        <f t="shared" si="60"/>
        <v>10161.512500000001</v>
      </c>
      <c r="AA152" s="40">
        <f>VLOOKUP(A152,kurspris!$A$1:$Q$913,17,FALSE)</f>
        <v>17900</v>
      </c>
      <c r="AB152" s="40">
        <f t="shared" si="61"/>
        <v>4475</v>
      </c>
      <c r="AC152" s="40">
        <f t="shared" si="62"/>
        <v>14636.512500000001</v>
      </c>
      <c r="AD152" s="31">
        <f>VLOOKUP($A152,kurspris!$A$1:$Q$950,3,FALSE)</f>
        <v>0</v>
      </c>
      <c r="AE152" s="31">
        <f>VLOOKUP($A152,kurspris!$A$1:$Q$950,4,FALSE)</f>
        <v>0</v>
      </c>
      <c r="AF152" s="31">
        <f>VLOOKUP($A152,kurspris!$A$1:$Q$950,5,FALSE)</f>
        <v>0</v>
      </c>
      <c r="AG152" s="31">
        <f>VLOOKUP($A152,kurspris!$A$1:$Q$950,6,FALSE)</f>
        <v>0</v>
      </c>
      <c r="AH152" s="31">
        <f>VLOOKUP($A152,kurspris!$A$1:$Q$950,7,FALSE)</f>
        <v>0</v>
      </c>
      <c r="AI152" s="31">
        <f>VLOOKUP($A152,kurspris!$A$1:$Q$950,8,FALSE)</f>
        <v>0</v>
      </c>
      <c r="AJ152" s="31">
        <f>VLOOKUP($A152,kurspris!$A$1:$Q$950,9,FALSE)</f>
        <v>0</v>
      </c>
      <c r="AK152" s="31">
        <f>VLOOKUP($A152,kurspris!$A$1:$Q$950,10,FALSE)</f>
        <v>0</v>
      </c>
      <c r="AL152" s="31">
        <f>VLOOKUP($A152,kurspris!$A$1:$Q$950,11,FALSE)</f>
        <v>0</v>
      </c>
      <c r="AM152" s="31">
        <f>VLOOKUP($A152,kurspris!$A$1:$Q$950,12,FALSE)</f>
        <v>0</v>
      </c>
      <c r="AN152" s="31">
        <f>VLOOKUP($A152,kurspris!$A$1:$Q$950,13,FALSE)</f>
        <v>1</v>
      </c>
      <c r="AO152" s="31">
        <f>VLOOKUP($A152,kurspris!$A$1:$Q$950,14,FALSE)</f>
        <v>0</v>
      </c>
      <c r="AP152" s="57" t="s">
        <v>2506</v>
      </c>
      <c r="AQ152"/>
      <c r="AR152" s="31">
        <f t="shared" si="63"/>
        <v>0</v>
      </c>
      <c r="AS152" s="219">
        <f t="shared" si="64"/>
        <v>0</v>
      </c>
      <c r="AT152" s="31">
        <f t="shared" si="65"/>
        <v>0</v>
      </c>
      <c r="AU152" s="219">
        <f t="shared" si="66"/>
        <v>0</v>
      </c>
      <c r="AV152" s="31">
        <f t="shared" si="67"/>
        <v>0</v>
      </c>
      <c r="AW152" s="31">
        <f t="shared" si="68"/>
        <v>0</v>
      </c>
      <c r="AX152" s="31">
        <f t="shared" si="69"/>
        <v>0</v>
      </c>
      <c r="AY152" s="219">
        <f t="shared" si="70"/>
        <v>0</v>
      </c>
      <c r="AZ152" s="196">
        <f t="shared" si="71"/>
        <v>0</v>
      </c>
      <c r="BA152" s="219">
        <f t="shared" si="72"/>
        <v>0</v>
      </c>
      <c r="BB152" s="31">
        <f t="shared" si="73"/>
        <v>0</v>
      </c>
      <c r="BC152" s="219">
        <f t="shared" si="74"/>
        <v>0</v>
      </c>
      <c r="BD152" s="31">
        <f t="shared" si="75"/>
        <v>0</v>
      </c>
      <c r="BE152" s="219">
        <f t="shared" si="76"/>
        <v>0</v>
      </c>
      <c r="BF152" s="31">
        <f t="shared" si="77"/>
        <v>0</v>
      </c>
      <c r="BG152" s="219">
        <f t="shared" si="78"/>
        <v>0</v>
      </c>
      <c r="BH152" s="31">
        <f t="shared" si="79"/>
        <v>0</v>
      </c>
      <c r="BI152" s="219">
        <f t="shared" si="80"/>
        <v>0</v>
      </c>
      <c r="BJ152" s="31">
        <f t="shared" si="81"/>
        <v>0</v>
      </c>
      <c r="BK152" s="219">
        <f t="shared" si="82"/>
        <v>0</v>
      </c>
      <c r="BL152" s="31">
        <f t="shared" si="83"/>
        <v>0.25</v>
      </c>
      <c r="BM152" s="219">
        <f t="shared" si="84"/>
        <v>0.21249999999999999</v>
      </c>
      <c r="BN152" s="31">
        <f t="shared" si="85"/>
        <v>0</v>
      </c>
      <c r="BO152" s="219">
        <f t="shared" si="86"/>
        <v>0</v>
      </c>
    </row>
    <row r="153" spans="1:67" x14ac:dyDescent="0.25">
      <c r="A153" s="31" t="s">
        <v>2373</v>
      </c>
      <c r="B153" s="176" t="str">
        <f>VLOOKUP(A153,kurspris!$A$1:$B$992,2,FALSE)</f>
        <v>Skapande lek i  förskolan 2</v>
      </c>
      <c r="D153" s="60" t="s">
        <v>483</v>
      </c>
      <c r="E153" s="576" t="s">
        <v>2430</v>
      </c>
      <c r="F153" s="31" t="s">
        <v>2273</v>
      </c>
      <c r="G153" t="s">
        <v>2437</v>
      </c>
      <c r="H153" t="s">
        <v>2335</v>
      </c>
      <c r="I153" s="31" t="s">
        <v>2276</v>
      </c>
      <c r="L153" s="38">
        <v>1</v>
      </c>
      <c r="M153">
        <v>15</v>
      </c>
      <c r="P153" s="31">
        <v>1</v>
      </c>
      <c r="Q153" s="196">
        <f t="shared" si="87"/>
        <v>0.25</v>
      </c>
      <c r="R153" s="38">
        <v>0.85</v>
      </c>
      <c r="S153" s="280">
        <f t="shared" si="59"/>
        <v>0.21249999999999999</v>
      </c>
      <c r="T153" s="31">
        <f>VLOOKUP(A153,'Ansvar kurs'!$A$1:$C$1123,2,FALSE)</f>
        <v>1650</v>
      </c>
      <c r="U153" s="31" t="str">
        <f>VLOOKUP(T153,Orgenheter!$A$1:$C$166,2,FALSE)</f>
        <v xml:space="preserve">Estetiska ämnen               </v>
      </c>
      <c r="V153" s="31" t="str">
        <f>VLOOKUP(T153,Orgenheter!$A$1:$C$166,3,FALSE)</f>
        <v>Hum</v>
      </c>
      <c r="W153" s="35" t="str">
        <f>VLOOKUP(D153,Program!$A$1:$B$36,2,FALSE)</f>
        <v>Förskollärarprogrammet</v>
      </c>
      <c r="X153" s="40">
        <f>VLOOKUP(A153,kurspris!$A$1:$Q$913,15,FALSE)</f>
        <v>16920</v>
      </c>
      <c r="Y153" s="40">
        <f>VLOOKUP(A153,kurspris!$A$1:$Q$913,16,FALSE)</f>
        <v>27913</v>
      </c>
      <c r="Z153" s="40">
        <f t="shared" si="60"/>
        <v>10161.512500000001</v>
      </c>
      <c r="AA153" s="40">
        <f>VLOOKUP(A153,kurspris!$A$1:$Q$913,17,FALSE)</f>
        <v>17900</v>
      </c>
      <c r="AB153" s="40">
        <f t="shared" si="61"/>
        <v>4475</v>
      </c>
      <c r="AC153" s="40">
        <f t="shared" si="62"/>
        <v>14636.512500000001</v>
      </c>
      <c r="AD153" s="31">
        <f>VLOOKUP($A153,kurspris!$A$1:$Q$950,3,FALSE)</f>
        <v>0</v>
      </c>
      <c r="AE153" s="31">
        <f>VLOOKUP($A153,kurspris!$A$1:$Q$950,4,FALSE)</f>
        <v>0</v>
      </c>
      <c r="AF153" s="31">
        <f>VLOOKUP($A153,kurspris!$A$1:$Q$950,5,FALSE)</f>
        <v>0</v>
      </c>
      <c r="AG153" s="31">
        <f>VLOOKUP($A153,kurspris!$A$1:$Q$950,6,FALSE)</f>
        <v>0</v>
      </c>
      <c r="AH153" s="31">
        <f>VLOOKUP($A153,kurspris!$A$1:$Q$950,7,FALSE)</f>
        <v>0</v>
      </c>
      <c r="AI153" s="31">
        <f>VLOOKUP($A153,kurspris!$A$1:$Q$950,8,FALSE)</f>
        <v>0</v>
      </c>
      <c r="AJ153" s="31">
        <f>VLOOKUP($A153,kurspris!$A$1:$Q$950,9,FALSE)</f>
        <v>0</v>
      </c>
      <c r="AK153" s="31">
        <f>VLOOKUP($A153,kurspris!$A$1:$Q$950,10,FALSE)</f>
        <v>0</v>
      </c>
      <c r="AL153" s="31">
        <f>VLOOKUP($A153,kurspris!$A$1:$Q$950,11,FALSE)</f>
        <v>0</v>
      </c>
      <c r="AM153" s="31">
        <f>VLOOKUP($A153,kurspris!$A$1:$Q$950,12,FALSE)</f>
        <v>0</v>
      </c>
      <c r="AN153" s="31">
        <f>VLOOKUP($A153,kurspris!$A$1:$Q$950,13,FALSE)</f>
        <v>1</v>
      </c>
      <c r="AO153" s="31">
        <f>VLOOKUP($A153,kurspris!$A$1:$Q$950,14,FALSE)</f>
        <v>0</v>
      </c>
      <c r="AP153" s="57" t="s">
        <v>2506</v>
      </c>
      <c r="AQ153"/>
      <c r="AR153" s="31">
        <f t="shared" si="63"/>
        <v>0</v>
      </c>
      <c r="AS153" s="219">
        <f t="shared" si="64"/>
        <v>0</v>
      </c>
      <c r="AT153" s="31">
        <f t="shared" si="65"/>
        <v>0</v>
      </c>
      <c r="AU153" s="219">
        <f t="shared" si="66"/>
        <v>0</v>
      </c>
      <c r="AV153" s="31">
        <f t="shared" si="67"/>
        <v>0</v>
      </c>
      <c r="AW153" s="31">
        <f t="shared" si="68"/>
        <v>0</v>
      </c>
      <c r="AX153" s="31">
        <f t="shared" si="69"/>
        <v>0</v>
      </c>
      <c r="AY153" s="219">
        <f t="shared" si="70"/>
        <v>0</v>
      </c>
      <c r="AZ153" s="196">
        <f t="shared" si="71"/>
        <v>0</v>
      </c>
      <c r="BA153" s="219">
        <f t="shared" si="72"/>
        <v>0</v>
      </c>
      <c r="BB153" s="31">
        <f t="shared" si="73"/>
        <v>0</v>
      </c>
      <c r="BC153" s="219">
        <f t="shared" si="74"/>
        <v>0</v>
      </c>
      <c r="BD153" s="31">
        <f t="shared" si="75"/>
        <v>0</v>
      </c>
      <c r="BE153" s="219">
        <f t="shared" si="76"/>
        <v>0</v>
      </c>
      <c r="BF153" s="31">
        <f t="shared" si="77"/>
        <v>0</v>
      </c>
      <c r="BG153" s="219">
        <f t="shared" si="78"/>
        <v>0</v>
      </c>
      <c r="BH153" s="31">
        <f t="shared" si="79"/>
        <v>0</v>
      </c>
      <c r="BI153" s="219">
        <f t="shared" si="80"/>
        <v>0</v>
      </c>
      <c r="BJ153" s="31">
        <f t="shared" si="81"/>
        <v>0</v>
      </c>
      <c r="BK153" s="219">
        <f t="shared" si="82"/>
        <v>0</v>
      </c>
      <c r="BL153" s="31">
        <f t="shared" si="83"/>
        <v>0.25</v>
      </c>
      <c r="BM153" s="219">
        <f t="shared" si="84"/>
        <v>0.21249999999999999</v>
      </c>
      <c r="BN153" s="31">
        <f t="shared" si="85"/>
        <v>0</v>
      </c>
      <c r="BO153" s="219">
        <f t="shared" si="86"/>
        <v>0</v>
      </c>
    </row>
    <row r="154" spans="1:67" x14ac:dyDescent="0.25">
      <c r="A154" s="31" t="s">
        <v>2373</v>
      </c>
      <c r="B154" s="176" t="str">
        <f>VLOOKUP(A154,kurspris!$A$1:$B$992,2,FALSE)</f>
        <v>Skapande lek i  förskolan 2</v>
      </c>
      <c r="D154" s="60" t="s">
        <v>483</v>
      </c>
      <c r="E154" s="576" t="s">
        <v>2431</v>
      </c>
      <c r="F154" s="31" t="s">
        <v>2273</v>
      </c>
      <c r="G154" t="s">
        <v>2437</v>
      </c>
      <c r="H154" t="s">
        <v>2335</v>
      </c>
      <c r="I154" s="31" t="s">
        <v>2276</v>
      </c>
      <c r="L154" s="38">
        <v>1</v>
      </c>
      <c r="M154">
        <v>15</v>
      </c>
      <c r="P154" s="31">
        <v>12</v>
      </c>
      <c r="Q154" s="196">
        <f t="shared" si="87"/>
        <v>3</v>
      </c>
      <c r="R154" s="38">
        <v>0.85</v>
      </c>
      <c r="S154" s="280">
        <f t="shared" si="59"/>
        <v>2.5499999999999998</v>
      </c>
      <c r="T154" s="31">
        <f>VLOOKUP(A154,'Ansvar kurs'!$A$1:$C$1123,2,FALSE)</f>
        <v>1650</v>
      </c>
      <c r="U154" s="31" t="str">
        <f>VLOOKUP(T154,Orgenheter!$A$1:$C$166,2,FALSE)</f>
        <v xml:space="preserve">Estetiska ämnen               </v>
      </c>
      <c r="V154" s="31" t="str">
        <f>VLOOKUP(T154,Orgenheter!$A$1:$C$166,3,FALSE)</f>
        <v>Hum</v>
      </c>
      <c r="W154" s="35" t="str">
        <f>VLOOKUP(D154,Program!$A$1:$B$36,2,FALSE)</f>
        <v>Förskollärarprogrammet</v>
      </c>
      <c r="X154" s="40">
        <f>VLOOKUP(A154,kurspris!$A$1:$Q$913,15,FALSE)</f>
        <v>16920</v>
      </c>
      <c r="Y154" s="40">
        <f>VLOOKUP(A154,kurspris!$A$1:$Q$913,16,FALSE)</f>
        <v>27913</v>
      </c>
      <c r="Z154" s="40">
        <f t="shared" si="60"/>
        <v>121938.15</v>
      </c>
      <c r="AA154" s="40">
        <f>VLOOKUP(A154,kurspris!$A$1:$Q$913,17,FALSE)</f>
        <v>17900</v>
      </c>
      <c r="AB154" s="40">
        <f t="shared" si="61"/>
        <v>53700</v>
      </c>
      <c r="AC154" s="40">
        <f t="shared" si="62"/>
        <v>175638.15</v>
      </c>
      <c r="AD154" s="31">
        <f>VLOOKUP($A154,kurspris!$A$1:$Q$950,3,FALSE)</f>
        <v>0</v>
      </c>
      <c r="AE154" s="31">
        <f>VLOOKUP($A154,kurspris!$A$1:$Q$950,4,FALSE)</f>
        <v>0</v>
      </c>
      <c r="AF154" s="31">
        <f>VLOOKUP($A154,kurspris!$A$1:$Q$950,5,FALSE)</f>
        <v>0</v>
      </c>
      <c r="AG154" s="31">
        <f>VLOOKUP($A154,kurspris!$A$1:$Q$950,6,FALSE)</f>
        <v>0</v>
      </c>
      <c r="AH154" s="31">
        <f>VLOOKUP($A154,kurspris!$A$1:$Q$950,7,FALSE)</f>
        <v>0</v>
      </c>
      <c r="AI154" s="31">
        <f>VLOOKUP($A154,kurspris!$A$1:$Q$950,8,FALSE)</f>
        <v>0</v>
      </c>
      <c r="AJ154" s="31">
        <f>VLOOKUP($A154,kurspris!$A$1:$Q$950,9,FALSE)</f>
        <v>0</v>
      </c>
      <c r="AK154" s="31">
        <f>VLOOKUP($A154,kurspris!$A$1:$Q$950,10,FALSE)</f>
        <v>0</v>
      </c>
      <c r="AL154" s="31">
        <f>VLOOKUP($A154,kurspris!$A$1:$Q$950,11,FALSE)</f>
        <v>0</v>
      </c>
      <c r="AM154" s="31">
        <f>VLOOKUP($A154,kurspris!$A$1:$Q$950,12,FALSE)</f>
        <v>0</v>
      </c>
      <c r="AN154" s="31">
        <f>VLOOKUP($A154,kurspris!$A$1:$Q$950,13,FALSE)</f>
        <v>1</v>
      </c>
      <c r="AO154" s="31">
        <f>VLOOKUP($A154,kurspris!$A$1:$Q$950,14,FALSE)</f>
        <v>0</v>
      </c>
      <c r="AP154" s="57" t="s">
        <v>2506</v>
      </c>
      <c r="AQ154"/>
      <c r="AR154" s="31">
        <f t="shared" si="63"/>
        <v>0</v>
      </c>
      <c r="AS154" s="219">
        <f t="shared" si="64"/>
        <v>0</v>
      </c>
      <c r="AT154" s="31">
        <f t="shared" si="65"/>
        <v>0</v>
      </c>
      <c r="AU154" s="219">
        <f t="shared" si="66"/>
        <v>0</v>
      </c>
      <c r="AV154" s="31">
        <f t="shared" si="67"/>
        <v>0</v>
      </c>
      <c r="AW154" s="31">
        <f t="shared" si="68"/>
        <v>0</v>
      </c>
      <c r="AX154" s="31">
        <f t="shared" si="69"/>
        <v>0</v>
      </c>
      <c r="AY154" s="219">
        <f t="shared" si="70"/>
        <v>0</v>
      </c>
      <c r="AZ154" s="196">
        <f t="shared" si="71"/>
        <v>0</v>
      </c>
      <c r="BA154" s="219">
        <f t="shared" si="72"/>
        <v>0</v>
      </c>
      <c r="BB154" s="31">
        <f t="shared" si="73"/>
        <v>0</v>
      </c>
      <c r="BC154" s="219">
        <f t="shared" si="74"/>
        <v>0</v>
      </c>
      <c r="BD154" s="31">
        <f t="shared" si="75"/>
        <v>0</v>
      </c>
      <c r="BE154" s="219">
        <f t="shared" si="76"/>
        <v>0</v>
      </c>
      <c r="BF154" s="31">
        <f t="shared" si="77"/>
        <v>0</v>
      </c>
      <c r="BG154" s="219">
        <f t="shared" si="78"/>
        <v>0</v>
      </c>
      <c r="BH154" s="31">
        <f t="shared" si="79"/>
        <v>0</v>
      </c>
      <c r="BI154" s="219">
        <f t="shared" si="80"/>
        <v>0</v>
      </c>
      <c r="BJ154" s="31">
        <f t="shared" si="81"/>
        <v>0</v>
      </c>
      <c r="BK154" s="219">
        <f t="shared" si="82"/>
        <v>0</v>
      </c>
      <c r="BL154" s="31">
        <f t="shared" si="83"/>
        <v>3</v>
      </c>
      <c r="BM154" s="219">
        <f t="shared" si="84"/>
        <v>2.5499999999999998</v>
      </c>
      <c r="BN154" s="31">
        <f t="shared" si="85"/>
        <v>0</v>
      </c>
      <c r="BO154" s="219">
        <f t="shared" si="86"/>
        <v>0</v>
      </c>
    </row>
    <row r="155" spans="1:67" x14ac:dyDescent="0.25">
      <c r="A155" s="60" t="s">
        <v>2372</v>
      </c>
      <c r="B155" s="176" t="str">
        <f>VLOOKUP(A155,kurspris!$A$1:$B$992,2,FALSE)</f>
        <v>Skapande lek i förskolan 1</v>
      </c>
      <c r="D155" s="60" t="s">
        <v>483</v>
      </c>
      <c r="E155" s="577" t="s">
        <v>2434</v>
      </c>
      <c r="F155" s="60" t="s">
        <v>2273</v>
      </c>
      <c r="G155" t="s">
        <v>2438</v>
      </c>
      <c r="H155" s="37" t="s">
        <v>2335</v>
      </c>
      <c r="I155" s="57" t="s">
        <v>2276</v>
      </c>
      <c r="L155" s="38">
        <v>1</v>
      </c>
      <c r="M155">
        <v>7.5</v>
      </c>
      <c r="P155" s="31">
        <v>1</v>
      </c>
      <c r="Q155" s="196">
        <f t="shared" si="87"/>
        <v>0.125</v>
      </c>
      <c r="R155" s="38">
        <v>0.85</v>
      </c>
      <c r="S155" s="280">
        <f t="shared" si="59"/>
        <v>0.10625</v>
      </c>
      <c r="T155" s="31">
        <f>VLOOKUP(A155,'Ansvar kurs'!$A$1:$C$1123,2,FALSE)</f>
        <v>1650</v>
      </c>
      <c r="U155" s="31" t="str">
        <f>VLOOKUP(T155,Orgenheter!$A$1:$C$166,2,FALSE)</f>
        <v xml:space="preserve">Estetiska ämnen               </v>
      </c>
      <c r="V155" s="31" t="str">
        <f>VLOOKUP(T155,Orgenheter!$A$1:$C$166,3,FALSE)</f>
        <v>Hum</v>
      </c>
      <c r="W155" s="35" t="str">
        <f>VLOOKUP(D155,Program!$A$1:$B$36,2,FALSE)</f>
        <v>Förskollärarprogrammet</v>
      </c>
      <c r="X155" s="40">
        <f>VLOOKUP(A155,kurspris!$A$1:$Q$913,15,FALSE)</f>
        <v>16920</v>
      </c>
      <c r="Y155" s="40">
        <f>VLOOKUP(A155,kurspris!$A$1:$Q$913,16,FALSE)</f>
        <v>27913</v>
      </c>
      <c r="Z155" s="40">
        <f t="shared" si="60"/>
        <v>5080.7562500000004</v>
      </c>
      <c r="AA155" s="40">
        <f>VLOOKUP(A155,kurspris!$A$1:$Q$913,17,FALSE)</f>
        <v>17900</v>
      </c>
      <c r="AB155" s="40">
        <f t="shared" si="61"/>
        <v>2237.5</v>
      </c>
      <c r="AC155" s="40">
        <f t="shared" si="62"/>
        <v>7318.2562500000004</v>
      </c>
      <c r="AD155" s="31">
        <f>VLOOKUP($A155,kurspris!$A$1:$Q$950,3,FALSE)</f>
        <v>0</v>
      </c>
      <c r="AE155" s="31">
        <f>VLOOKUP($A155,kurspris!$A$1:$Q$950,4,FALSE)</f>
        <v>0</v>
      </c>
      <c r="AF155" s="31">
        <f>VLOOKUP($A155,kurspris!$A$1:$Q$950,5,FALSE)</f>
        <v>0</v>
      </c>
      <c r="AG155" s="31">
        <f>VLOOKUP($A155,kurspris!$A$1:$Q$950,6,FALSE)</f>
        <v>0</v>
      </c>
      <c r="AH155" s="31">
        <f>VLOOKUP($A155,kurspris!$A$1:$Q$950,7,FALSE)</f>
        <v>0</v>
      </c>
      <c r="AI155" s="31">
        <f>VLOOKUP($A155,kurspris!$A$1:$Q$950,8,FALSE)</f>
        <v>0</v>
      </c>
      <c r="AJ155" s="31">
        <f>VLOOKUP($A155,kurspris!$A$1:$Q$950,9,FALSE)</f>
        <v>0</v>
      </c>
      <c r="AK155" s="31">
        <f>VLOOKUP($A155,kurspris!$A$1:$Q$950,10,FALSE)</f>
        <v>0</v>
      </c>
      <c r="AL155" s="31">
        <f>VLOOKUP($A155,kurspris!$A$1:$Q$950,11,FALSE)</f>
        <v>0</v>
      </c>
      <c r="AM155" s="31">
        <f>VLOOKUP($A155,kurspris!$A$1:$Q$950,12,FALSE)</f>
        <v>0</v>
      </c>
      <c r="AN155" s="31">
        <f>VLOOKUP($A155,kurspris!$A$1:$Q$950,13,FALSE)</f>
        <v>1</v>
      </c>
      <c r="AO155" s="31">
        <f>VLOOKUP($A155,kurspris!$A$1:$Q$950,14,FALSE)</f>
        <v>0</v>
      </c>
      <c r="AP155" s="57" t="s">
        <v>2506</v>
      </c>
      <c r="AQ155"/>
      <c r="AR155" s="31">
        <f t="shared" si="63"/>
        <v>0</v>
      </c>
      <c r="AS155" s="219">
        <f t="shared" si="64"/>
        <v>0</v>
      </c>
      <c r="AT155" s="31">
        <f t="shared" si="65"/>
        <v>0</v>
      </c>
      <c r="AU155" s="219">
        <f t="shared" si="66"/>
        <v>0</v>
      </c>
      <c r="AV155" s="31">
        <f t="shared" si="67"/>
        <v>0</v>
      </c>
      <c r="AW155" s="31">
        <f t="shared" si="68"/>
        <v>0</v>
      </c>
      <c r="AX155" s="31">
        <f t="shared" si="69"/>
        <v>0</v>
      </c>
      <c r="AY155" s="219">
        <f t="shared" si="70"/>
        <v>0</v>
      </c>
      <c r="AZ155" s="196">
        <f t="shared" si="71"/>
        <v>0</v>
      </c>
      <c r="BA155" s="219">
        <f t="shared" si="72"/>
        <v>0</v>
      </c>
      <c r="BB155" s="31">
        <f t="shared" si="73"/>
        <v>0</v>
      </c>
      <c r="BC155" s="219">
        <f t="shared" si="74"/>
        <v>0</v>
      </c>
      <c r="BD155" s="31">
        <f t="shared" si="75"/>
        <v>0</v>
      </c>
      <c r="BE155" s="219">
        <f t="shared" si="76"/>
        <v>0</v>
      </c>
      <c r="BF155" s="31">
        <f t="shared" si="77"/>
        <v>0</v>
      </c>
      <c r="BG155" s="219">
        <f t="shared" si="78"/>
        <v>0</v>
      </c>
      <c r="BH155" s="31">
        <f t="shared" si="79"/>
        <v>0</v>
      </c>
      <c r="BI155" s="219">
        <f t="shared" si="80"/>
        <v>0</v>
      </c>
      <c r="BJ155" s="31">
        <f t="shared" si="81"/>
        <v>0</v>
      </c>
      <c r="BK155" s="219">
        <f t="shared" si="82"/>
        <v>0</v>
      </c>
      <c r="BL155" s="31">
        <f t="shared" si="83"/>
        <v>0.125</v>
      </c>
      <c r="BM155" s="219">
        <f t="shared" si="84"/>
        <v>0.10625</v>
      </c>
      <c r="BN155" s="31">
        <f t="shared" si="85"/>
        <v>0</v>
      </c>
      <c r="BO155" s="219">
        <f t="shared" si="86"/>
        <v>0</v>
      </c>
    </row>
    <row r="156" spans="1:67" x14ac:dyDescent="0.25">
      <c r="A156" s="31" t="s">
        <v>2372</v>
      </c>
      <c r="B156" s="176" t="str">
        <f>VLOOKUP(A156,kurspris!$A$1:$B$992,2,FALSE)</f>
        <v>Skapande lek i förskolan 1</v>
      </c>
      <c r="D156" s="60" t="s">
        <v>483</v>
      </c>
      <c r="E156" s="576" t="s">
        <v>2432</v>
      </c>
      <c r="F156" s="31" t="s">
        <v>2273</v>
      </c>
      <c r="G156" t="s">
        <v>2438</v>
      </c>
      <c r="H156" t="s">
        <v>2335</v>
      </c>
      <c r="I156" s="31" t="s">
        <v>2276</v>
      </c>
      <c r="L156" s="38">
        <v>1</v>
      </c>
      <c r="M156">
        <v>7.5</v>
      </c>
      <c r="P156" s="31">
        <v>36</v>
      </c>
      <c r="Q156" s="196">
        <f t="shared" si="87"/>
        <v>4.5</v>
      </c>
      <c r="R156" s="38">
        <v>0.85</v>
      </c>
      <c r="S156" s="280">
        <f t="shared" si="59"/>
        <v>3.8249999999999997</v>
      </c>
      <c r="T156" s="31">
        <f>VLOOKUP(A156,'Ansvar kurs'!$A$1:$C$1123,2,FALSE)</f>
        <v>1650</v>
      </c>
      <c r="U156" s="31" t="str">
        <f>VLOOKUP(T156,Orgenheter!$A$1:$C$166,2,FALSE)</f>
        <v xml:space="preserve">Estetiska ämnen               </v>
      </c>
      <c r="V156" s="31" t="str">
        <f>VLOOKUP(T156,Orgenheter!$A$1:$C$166,3,FALSE)</f>
        <v>Hum</v>
      </c>
      <c r="W156" s="35" t="str">
        <f>VLOOKUP(D156,Program!$A$1:$B$36,2,FALSE)</f>
        <v>Förskollärarprogrammet</v>
      </c>
      <c r="X156" s="40">
        <f>VLOOKUP(A156,kurspris!$A$1:$Q$913,15,FALSE)</f>
        <v>16920</v>
      </c>
      <c r="Y156" s="40">
        <f>VLOOKUP(A156,kurspris!$A$1:$Q$913,16,FALSE)</f>
        <v>27913</v>
      </c>
      <c r="Z156" s="40">
        <f t="shared" si="60"/>
        <v>182907.22499999998</v>
      </c>
      <c r="AA156" s="40">
        <f>VLOOKUP(A156,kurspris!$A$1:$Q$913,17,FALSE)</f>
        <v>17900</v>
      </c>
      <c r="AB156" s="40">
        <f t="shared" si="61"/>
        <v>80550</v>
      </c>
      <c r="AC156" s="40">
        <f t="shared" si="62"/>
        <v>263457.22499999998</v>
      </c>
      <c r="AD156" s="31">
        <f>VLOOKUP($A156,kurspris!$A$1:$Q$950,3,FALSE)</f>
        <v>0</v>
      </c>
      <c r="AE156" s="31">
        <f>VLOOKUP($A156,kurspris!$A$1:$Q$950,4,FALSE)</f>
        <v>0</v>
      </c>
      <c r="AF156" s="31">
        <f>VLOOKUP($A156,kurspris!$A$1:$Q$950,5,FALSE)</f>
        <v>0</v>
      </c>
      <c r="AG156" s="31">
        <f>VLOOKUP($A156,kurspris!$A$1:$Q$950,6,FALSE)</f>
        <v>0</v>
      </c>
      <c r="AH156" s="31">
        <f>VLOOKUP($A156,kurspris!$A$1:$Q$950,7,FALSE)</f>
        <v>0</v>
      </c>
      <c r="AI156" s="31">
        <f>VLOOKUP($A156,kurspris!$A$1:$Q$950,8,FALSE)</f>
        <v>0</v>
      </c>
      <c r="AJ156" s="31">
        <f>VLOOKUP($A156,kurspris!$A$1:$Q$950,9,FALSE)</f>
        <v>0</v>
      </c>
      <c r="AK156" s="31">
        <f>VLOOKUP($A156,kurspris!$A$1:$Q$950,10,FALSE)</f>
        <v>0</v>
      </c>
      <c r="AL156" s="31">
        <f>VLOOKUP($A156,kurspris!$A$1:$Q$950,11,FALSE)</f>
        <v>0</v>
      </c>
      <c r="AM156" s="31">
        <f>VLOOKUP($A156,kurspris!$A$1:$Q$950,12,FALSE)</f>
        <v>0</v>
      </c>
      <c r="AN156" s="31">
        <f>VLOOKUP($A156,kurspris!$A$1:$Q$950,13,FALSE)</f>
        <v>1</v>
      </c>
      <c r="AO156" s="31">
        <f>VLOOKUP($A156,kurspris!$A$1:$Q$950,14,FALSE)</f>
        <v>0</v>
      </c>
      <c r="AP156" s="57" t="s">
        <v>2506</v>
      </c>
      <c r="AQ156"/>
      <c r="AR156" s="31">
        <f t="shared" si="63"/>
        <v>0</v>
      </c>
      <c r="AS156" s="219">
        <f t="shared" si="64"/>
        <v>0</v>
      </c>
      <c r="AT156" s="31">
        <f t="shared" si="65"/>
        <v>0</v>
      </c>
      <c r="AU156" s="219">
        <f t="shared" si="66"/>
        <v>0</v>
      </c>
      <c r="AV156" s="31">
        <f t="shared" si="67"/>
        <v>0</v>
      </c>
      <c r="AW156" s="31">
        <f t="shared" si="68"/>
        <v>0</v>
      </c>
      <c r="AX156" s="31">
        <f t="shared" si="69"/>
        <v>0</v>
      </c>
      <c r="AY156" s="219">
        <f t="shared" si="70"/>
        <v>0</v>
      </c>
      <c r="AZ156" s="196">
        <f t="shared" si="71"/>
        <v>0</v>
      </c>
      <c r="BA156" s="219">
        <f t="shared" si="72"/>
        <v>0</v>
      </c>
      <c r="BB156" s="31">
        <f t="shared" si="73"/>
        <v>0</v>
      </c>
      <c r="BC156" s="219">
        <f t="shared" si="74"/>
        <v>0</v>
      </c>
      <c r="BD156" s="31">
        <f t="shared" si="75"/>
        <v>0</v>
      </c>
      <c r="BE156" s="219">
        <f t="shared" si="76"/>
        <v>0</v>
      </c>
      <c r="BF156" s="31">
        <f t="shared" si="77"/>
        <v>0</v>
      </c>
      <c r="BG156" s="219">
        <f t="shared" si="78"/>
        <v>0</v>
      </c>
      <c r="BH156" s="31">
        <f t="shared" si="79"/>
        <v>0</v>
      </c>
      <c r="BI156" s="219">
        <f t="shared" si="80"/>
        <v>0</v>
      </c>
      <c r="BJ156" s="31">
        <f t="shared" si="81"/>
        <v>0</v>
      </c>
      <c r="BK156" s="219">
        <f t="shared" si="82"/>
        <v>0</v>
      </c>
      <c r="BL156" s="31">
        <f t="shared" si="83"/>
        <v>4.5</v>
      </c>
      <c r="BM156" s="219">
        <f t="shared" si="84"/>
        <v>3.8249999999999997</v>
      </c>
      <c r="BN156" s="31">
        <f t="shared" si="85"/>
        <v>0</v>
      </c>
      <c r="BO156" s="219">
        <f t="shared" si="86"/>
        <v>0</v>
      </c>
    </row>
    <row r="157" spans="1:67" x14ac:dyDescent="0.25">
      <c r="A157" s="31" t="s">
        <v>1744</v>
      </c>
      <c r="B157" s="176" t="str">
        <f>VLOOKUP(A157,kurspris!$A$1:$B$992,2,FALSE)</f>
        <v>Examensarbete - Ämne 1/Ämne 2</v>
      </c>
      <c r="D157" s="60" t="s">
        <v>482</v>
      </c>
      <c r="E157" s="576" t="s">
        <v>2226</v>
      </c>
      <c r="F157" s="31" t="s">
        <v>2273</v>
      </c>
      <c r="G157" s="244" t="s">
        <v>2454</v>
      </c>
      <c r="H157" t="s">
        <v>2335</v>
      </c>
      <c r="J157" s="31" t="s">
        <v>2231</v>
      </c>
      <c r="L157" s="38">
        <v>1</v>
      </c>
      <c r="M157" s="244">
        <v>7.5</v>
      </c>
      <c r="P157" s="31">
        <v>1</v>
      </c>
      <c r="Q157" s="196">
        <f t="shared" si="87"/>
        <v>0.125</v>
      </c>
      <c r="R157" s="38">
        <v>0.85</v>
      </c>
      <c r="S157" s="280">
        <f t="shared" si="59"/>
        <v>0.10625</v>
      </c>
      <c r="T157" s="31">
        <f>VLOOKUP(A157,'Ansvar kurs'!$A$1:$C$1123,2,FALSE)</f>
        <v>6000</v>
      </c>
      <c r="U157" s="31" t="str">
        <f>VLOOKUP(T157,Orgenheter!$A$1:$C$166,2,FALSE)</f>
        <v xml:space="preserve">Lärarutbildningarna gem       </v>
      </c>
      <c r="V157" s="31" t="str">
        <f>VLOOKUP(T157,Orgenheter!$A$1:$C$166,3,FALSE)</f>
        <v>LH</v>
      </c>
      <c r="W157" s="35" t="str">
        <f>VLOOKUP(D157,Program!$A$1:$B$36,2,FALSE)</f>
        <v>Ämneslärarprogrammet - Gy</v>
      </c>
      <c r="X157" s="40">
        <f>VLOOKUP(A157,kurspris!$A$1:$Q$913,15,FALSE)</f>
        <v>20766</v>
      </c>
      <c r="Y157" s="40">
        <f>VLOOKUP(A157,kurspris!$A$1:$Q$913,16,FALSE)</f>
        <v>17442</v>
      </c>
      <c r="Z157" s="40">
        <f t="shared" si="60"/>
        <v>4448.9624999999996</v>
      </c>
      <c r="AA157" s="40">
        <f>VLOOKUP(A157,kurspris!$A$1:$Q$913,17,FALSE)</f>
        <v>6000</v>
      </c>
      <c r="AB157" s="40">
        <f t="shared" si="61"/>
        <v>750</v>
      </c>
      <c r="AC157" s="40">
        <f t="shared" si="62"/>
        <v>5198.9624999999996</v>
      </c>
      <c r="AD157" s="31">
        <f>VLOOKUP($A157,kurspris!$A$1:$Q$950,3,FALSE)</f>
        <v>0</v>
      </c>
      <c r="AE157" s="31">
        <f>VLOOKUP($A157,kurspris!$A$1:$Q$950,4,FALSE)</f>
        <v>0</v>
      </c>
      <c r="AF157" s="31">
        <f>VLOOKUP($A157,kurspris!$A$1:$Q$950,5,FALSE)</f>
        <v>0</v>
      </c>
      <c r="AG157" s="31">
        <f>VLOOKUP($A157,kurspris!$A$1:$Q$950,6,FALSE)</f>
        <v>0</v>
      </c>
      <c r="AH157" s="31">
        <f>VLOOKUP($A157,kurspris!$A$1:$Q$950,7,FALSE)</f>
        <v>0</v>
      </c>
      <c r="AI157" s="31">
        <f>VLOOKUP($A157,kurspris!$A$1:$Q$950,8,FALSE)</f>
        <v>0</v>
      </c>
      <c r="AJ157" s="31">
        <f>VLOOKUP($A157,kurspris!$A$1:$Q$950,9,FALSE)</f>
        <v>0</v>
      </c>
      <c r="AK157" s="31">
        <f>VLOOKUP($A157,kurspris!$A$1:$Q$950,10,FALSE)</f>
        <v>0</v>
      </c>
      <c r="AL157" s="31">
        <f>VLOOKUP($A157,kurspris!$A$1:$Q$950,11,FALSE)</f>
        <v>0</v>
      </c>
      <c r="AM157" s="31">
        <f>VLOOKUP($A157,kurspris!$A$1:$Q$950,12,FALSE)</f>
        <v>1</v>
      </c>
      <c r="AN157" s="31">
        <f>VLOOKUP($A157,kurspris!$A$1:$Q$950,13,FALSE)</f>
        <v>0</v>
      </c>
      <c r="AO157" s="31">
        <f>VLOOKUP($A157,kurspris!$A$1:$Q$950,14,FALSE)</f>
        <v>0</v>
      </c>
      <c r="AP157" s="57" t="s">
        <v>2506</v>
      </c>
      <c r="AQ157" t="s">
        <v>2311</v>
      </c>
      <c r="AR157" s="31">
        <f t="shared" si="63"/>
        <v>0</v>
      </c>
      <c r="AS157" s="219">
        <f t="shared" si="64"/>
        <v>0</v>
      </c>
      <c r="AT157" s="31">
        <f t="shared" si="65"/>
        <v>0</v>
      </c>
      <c r="AU157" s="219">
        <f t="shared" si="66"/>
        <v>0</v>
      </c>
      <c r="AV157" s="31">
        <f t="shared" si="67"/>
        <v>0</v>
      </c>
      <c r="AW157" s="31">
        <f t="shared" si="68"/>
        <v>0</v>
      </c>
      <c r="AX157" s="31">
        <f t="shared" si="69"/>
        <v>0</v>
      </c>
      <c r="AY157" s="219">
        <f t="shared" si="70"/>
        <v>0</v>
      </c>
      <c r="AZ157" s="196">
        <f t="shared" si="71"/>
        <v>0</v>
      </c>
      <c r="BA157" s="219">
        <f t="shared" si="72"/>
        <v>0</v>
      </c>
      <c r="BB157" s="31">
        <f t="shared" si="73"/>
        <v>0</v>
      </c>
      <c r="BC157" s="219">
        <f t="shared" si="74"/>
        <v>0</v>
      </c>
      <c r="BD157" s="31">
        <f t="shared" si="75"/>
        <v>0</v>
      </c>
      <c r="BE157" s="219">
        <f t="shared" si="76"/>
        <v>0</v>
      </c>
      <c r="BF157" s="31">
        <f t="shared" si="77"/>
        <v>0</v>
      </c>
      <c r="BG157" s="219">
        <f t="shared" si="78"/>
        <v>0</v>
      </c>
      <c r="BH157" s="31">
        <f t="shared" si="79"/>
        <v>0</v>
      </c>
      <c r="BI157" s="219">
        <f t="shared" si="80"/>
        <v>0</v>
      </c>
      <c r="BJ157" s="31">
        <f t="shared" si="81"/>
        <v>0.125</v>
      </c>
      <c r="BK157" s="219">
        <f t="shared" si="82"/>
        <v>0.10625</v>
      </c>
      <c r="BL157" s="31">
        <f t="shared" si="83"/>
        <v>0</v>
      </c>
      <c r="BM157" s="219">
        <f t="shared" si="84"/>
        <v>0</v>
      </c>
      <c r="BN157" s="31">
        <f t="shared" si="85"/>
        <v>0</v>
      </c>
      <c r="BO157" s="219">
        <f t="shared" si="86"/>
        <v>0</v>
      </c>
    </row>
    <row r="158" spans="1:67" x14ac:dyDescent="0.25">
      <c r="A158" s="31" t="s">
        <v>1744</v>
      </c>
      <c r="B158" s="176" t="str">
        <f>VLOOKUP(A158,kurspris!$A$1:$B$992,2,FALSE)</f>
        <v>Examensarbete - Ämne 1/Ämne 2</v>
      </c>
      <c r="D158" s="60" t="s">
        <v>482</v>
      </c>
      <c r="E158" s="576" t="s">
        <v>2225</v>
      </c>
      <c r="F158" s="31" t="s">
        <v>2273</v>
      </c>
      <c r="G158" s="244" t="s">
        <v>2454</v>
      </c>
      <c r="H158" t="s">
        <v>2335</v>
      </c>
      <c r="J158" s="31" t="s">
        <v>2241</v>
      </c>
      <c r="L158" s="38">
        <v>1</v>
      </c>
      <c r="M158" s="244">
        <v>7.5</v>
      </c>
      <c r="P158" s="31">
        <v>1</v>
      </c>
      <c r="Q158" s="196">
        <f t="shared" si="87"/>
        <v>0.125</v>
      </c>
      <c r="R158" s="38">
        <v>0.85</v>
      </c>
      <c r="S158" s="280">
        <f t="shared" si="59"/>
        <v>0.10625</v>
      </c>
      <c r="T158" s="31">
        <f>VLOOKUP(A158,'Ansvar kurs'!$A$1:$C$1123,2,FALSE)</f>
        <v>6000</v>
      </c>
      <c r="U158" s="31" t="str">
        <f>VLOOKUP(T158,Orgenheter!$A$1:$C$166,2,FALSE)</f>
        <v xml:space="preserve">Lärarutbildningarna gem       </v>
      </c>
      <c r="V158" s="31" t="str">
        <f>VLOOKUP(T158,Orgenheter!$A$1:$C$166,3,FALSE)</f>
        <v>LH</v>
      </c>
      <c r="W158" s="35" t="str">
        <f>VLOOKUP(D158,Program!$A$1:$B$36,2,FALSE)</f>
        <v>Ämneslärarprogrammet - Gy</v>
      </c>
      <c r="X158" s="40">
        <f>VLOOKUP(A158,kurspris!$A$1:$Q$913,15,FALSE)</f>
        <v>20766</v>
      </c>
      <c r="Y158" s="40">
        <f>VLOOKUP(A158,kurspris!$A$1:$Q$913,16,FALSE)</f>
        <v>17442</v>
      </c>
      <c r="Z158" s="40">
        <f t="shared" si="60"/>
        <v>4448.9624999999996</v>
      </c>
      <c r="AA158" s="40">
        <f>VLOOKUP(A158,kurspris!$A$1:$Q$913,17,FALSE)</f>
        <v>6000</v>
      </c>
      <c r="AB158" s="40">
        <f t="shared" si="61"/>
        <v>750</v>
      </c>
      <c r="AC158" s="40">
        <f t="shared" si="62"/>
        <v>5198.9624999999996</v>
      </c>
      <c r="AD158" s="31">
        <f>VLOOKUP($A158,kurspris!$A$1:$Q$950,3,FALSE)</f>
        <v>0</v>
      </c>
      <c r="AE158" s="31">
        <f>VLOOKUP($A158,kurspris!$A$1:$Q$950,4,FALSE)</f>
        <v>0</v>
      </c>
      <c r="AF158" s="31">
        <f>VLOOKUP($A158,kurspris!$A$1:$Q$950,5,FALSE)</f>
        <v>0</v>
      </c>
      <c r="AG158" s="31">
        <f>VLOOKUP($A158,kurspris!$A$1:$Q$950,6,FALSE)</f>
        <v>0</v>
      </c>
      <c r="AH158" s="31">
        <f>VLOOKUP($A158,kurspris!$A$1:$Q$950,7,FALSE)</f>
        <v>0</v>
      </c>
      <c r="AI158" s="31">
        <f>VLOOKUP($A158,kurspris!$A$1:$Q$950,8,FALSE)</f>
        <v>0</v>
      </c>
      <c r="AJ158" s="31">
        <f>VLOOKUP($A158,kurspris!$A$1:$Q$950,9,FALSE)</f>
        <v>0</v>
      </c>
      <c r="AK158" s="31">
        <f>VLOOKUP($A158,kurspris!$A$1:$Q$950,10,FALSE)</f>
        <v>0</v>
      </c>
      <c r="AL158" s="31">
        <f>VLOOKUP($A158,kurspris!$A$1:$Q$950,11,FALSE)</f>
        <v>0</v>
      </c>
      <c r="AM158" s="31">
        <f>VLOOKUP($A158,kurspris!$A$1:$Q$950,12,FALSE)</f>
        <v>1</v>
      </c>
      <c r="AN158" s="31">
        <f>VLOOKUP($A158,kurspris!$A$1:$Q$950,13,FALSE)</f>
        <v>0</v>
      </c>
      <c r="AO158" s="31">
        <f>VLOOKUP($A158,kurspris!$A$1:$Q$950,14,FALSE)</f>
        <v>0</v>
      </c>
      <c r="AP158" s="57" t="s">
        <v>2506</v>
      </c>
      <c r="AQ158" t="s">
        <v>2311</v>
      </c>
      <c r="AR158" s="31">
        <f t="shared" si="63"/>
        <v>0</v>
      </c>
      <c r="AS158" s="219">
        <f t="shared" si="64"/>
        <v>0</v>
      </c>
      <c r="AT158" s="31">
        <f t="shared" si="65"/>
        <v>0</v>
      </c>
      <c r="AU158" s="219">
        <f t="shared" si="66"/>
        <v>0</v>
      </c>
      <c r="AV158" s="31">
        <f t="shared" si="67"/>
        <v>0</v>
      </c>
      <c r="AW158" s="31">
        <f t="shared" si="68"/>
        <v>0</v>
      </c>
      <c r="AX158" s="31">
        <f t="shared" si="69"/>
        <v>0</v>
      </c>
      <c r="AY158" s="219">
        <f t="shared" si="70"/>
        <v>0</v>
      </c>
      <c r="AZ158" s="196">
        <f t="shared" si="71"/>
        <v>0</v>
      </c>
      <c r="BA158" s="219">
        <f t="shared" si="72"/>
        <v>0</v>
      </c>
      <c r="BB158" s="31">
        <f t="shared" si="73"/>
        <v>0</v>
      </c>
      <c r="BC158" s="219">
        <f t="shared" si="74"/>
        <v>0</v>
      </c>
      <c r="BD158" s="31">
        <f t="shared" si="75"/>
        <v>0</v>
      </c>
      <c r="BE158" s="219">
        <f t="shared" si="76"/>
        <v>0</v>
      </c>
      <c r="BF158" s="31">
        <f t="shared" si="77"/>
        <v>0</v>
      </c>
      <c r="BG158" s="219">
        <f t="shared" si="78"/>
        <v>0</v>
      </c>
      <c r="BH158" s="31">
        <f t="shared" si="79"/>
        <v>0</v>
      </c>
      <c r="BI158" s="219">
        <f t="shared" si="80"/>
        <v>0</v>
      </c>
      <c r="BJ158" s="31">
        <f t="shared" si="81"/>
        <v>0.125</v>
      </c>
      <c r="BK158" s="219">
        <f t="shared" si="82"/>
        <v>0.10625</v>
      </c>
      <c r="BL158" s="31">
        <f t="shared" si="83"/>
        <v>0</v>
      </c>
      <c r="BM158" s="219">
        <f t="shared" si="84"/>
        <v>0</v>
      </c>
      <c r="BN158" s="31">
        <f t="shared" si="85"/>
        <v>0</v>
      </c>
      <c r="BO158" s="219">
        <f t="shared" si="86"/>
        <v>0</v>
      </c>
    </row>
    <row r="159" spans="1:67" x14ac:dyDescent="0.25">
      <c r="A159" s="31" t="s">
        <v>2041</v>
      </c>
      <c r="B159" s="176" t="str">
        <f>VLOOKUP(A159,kurspris!$A$1:$B$992,2,FALSE)</f>
        <v>Franska för ämneslärare, kurs 1</v>
      </c>
      <c r="C159" s="31">
        <v>71402</v>
      </c>
      <c r="D159" s="60" t="s">
        <v>482</v>
      </c>
      <c r="E159" s="60"/>
      <c r="F159" s="57" t="s">
        <v>2274</v>
      </c>
      <c r="H159" s="31" t="s">
        <v>2335</v>
      </c>
      <c r="I159" s="31" t="s">
        <v>2399</v>
      </c>
      <c r="J159" s="31" t="s">
        <v>2247</v>
      </c>
      <c r="L159" s="38"/>
      <c r="M159">
        <v>30</v>
      </c>
      <c r="P159" s="31">
        <v>2</v>
      </c>
      <c r="Q159" s="539">
        <v>1</v>
      </c>
      <c r="R159" s="38">
        <v>0.85</v>
      </c>
      <c r="S159" s="280">
        <f t="shared" si="59"/>
        <v>0.85</v>
      </c>
      <c r="T159" s="31">
        <f>VLOOKUP(A159,'Ansvar kurs'!$A$1:$C$1123,2,FALSE)</f>
        <v>1620</v>
      </c>
      <c r="U159" s="31" t="str">
        <f>VLOOKUP(T159,Orgenheter!$A$1:$C$166,2,FALSE)</f>
        <v>Inst för språkstudier</v>
      </c>
      <c r="V159" s="31" t="str">
        <f>VLOOKUP(T159,Orgenheter!$A$1:$C$166,3,FALSE)</f>
        <v>Hum</v>
      </c>
      <c r="W159" s="35" t="str">
        <f>VLOOKUP(D159,Program!$A$1:$B$36,2,FALSE)</f>
        <v>Ämneslärarprogrammet - Gy</v>
      </c>
      <c r="X159" s="40">
        <f>VLOOKUP(A159,kurspris!$A$1:$Q$913,15,FALSE)</f>
        <v>20766</v>
      </c>
      <c r="Y159" s="40">
        <f>VLOOKUP(A159,kurspris!$A$1:$Q$913,16,FALSE)</f>
        <v>17442</v>
      </c>
      <c r="Z159" s="40">
        <f t="shared" si="60"/>
        <v>35591.699999999997</v>
      </c>
      <c r="AA159" s="40">
        <f>VLOOKUP(A159,kurspris!$A$1:$Q$913,17,FALSE)</f>
        <v>6000</v>
      </c>
      <c r="AB159" s="40">
        <f t="shared" si="61"/>
        <v>6000</v>
      </c>
      <c r="AC159" s="40">
        <f t="shared" si="62"/>
        <v>41591.699999999997</v>
      </c>
      <c r="AD159" s="31">
        <f>VLOOKUP($A159,kurspris!$A$1:$Q$950,3,FALSE)</f>
        <v>0</v>
      </c>
      <c r="AE159" s="31">
        <f>VLOOKUP($A159,kurspris!$A$1:$Q$950,4,FALSE)</f>
        <v>1</v>
      </c>
      <c r="AF159" s="31">
        <f>VLOOKUP($A159,kurspris!$A$1:$Q$950,5,FALSE)</f>
        <v>0</v>
      </c>
      <c r="AG159" s="31">
        <f>VLOOKUP($A159,kurspris!$A$1:$Q$950,6,FALSE)</f>
        <v>0</v>
      </c>
      <c r="AH159" s="31">
        <f>VLOOKUP($A159,kurspris!$A$1:$Q$950,7,FALSE)</f>
        <v>0</v>
      </c>
      <c r="AI159" s="31">
        <f>VLOOKUP($A159,kurspris!$A$1:$Q$950,8,FALSE)</f>
        <v>0</v>
      </c>
      <c r="AJ159" s="31">
        <f>VLOOKUP($A159,kurspris!$A$1:$Q$950,9,FALSE)</f>
        <v>0</v>
      </c>
      <c r="AK159" s="31">
        <f>VLOOKUP($A159,kurspris!$A$1:$Q$950,10,FALSE)</f>
        <v>0</v>
      </c>
      <c r="AL159" s="31">
        <f>VLOOKUP($A159,kurspris!$A$1:$Q$950,11,FALSE)</f>
        <v>0</v>
      </c>
      <c r="AM159" s="31">
        <f>VLOOKUP($A159,kurspris!$A$1:$Q$950,12,FALSE)</f>
        <v>0</v>
      </c>
      <c r="AN159" s="31">
        <f>VLOOKUP($A159,kurspris!$A$1:$Q$950,13,FALSE)</f>
        <v>0</v>
      </c>
      <c r="AO159" s="31">
        <f>VLOOKUP($A159,kurspris!$A$1:$Q$950,14,FALSE)</f>
        <v>0</v>
      </c>
      <c r="AP159" s="57" t="s">
        <v>2402</v>
      </c>
      <c r="AQ159"/>
      <c r="AR159" s="31">
        <f t="shared" si="63"/>
        <v>0</v>
      </c>
      <c r="AS159" s="219">
        <f t="shared" si="64"/>
        <v>0</v>
      </c>
      <c r="AT159" s="31">
        <f t="shared" si="65"/>
        <v>1</v>
      </c>
      <c r="AU159" s="219">
        <f t="shared" si="66"/>
        <v>0.85</v>
      </c>
      <c r="AV159" s="31">
        <f t="shared" si="67"/>
        <v>0</v>
      </c>
      <c r="AW159" s="31">
        <f t="shared" si="68"/>
        <v>0</v>
      </c>
      <c r="AX159" s="31">
        <f t="shared" si="69"/>
        <v>0</v>
      </c>
      <c r="AY159" s="219">
        <f t="shared" si="70"/>
        <v>0</v>
      </c>
      <c r="AZ159" s="196">
        <f t="shared" si="71"/>
        <v>0</v>
      </c>
      <c r="BA159" s="219">
        <f t="shared" si="72"/>
        <v>0</v>
      </c>
      <c r="BB159" s="31">
        <f t="shared" si="73"/>
        <v>0</v>
      </c>
      <c r="BC159" s="219">
        <f t="shared" si="74"/>
        <v>0</v>
      </c>
      <c r="BD159" s="31">
        <f t="shared" si="75"/>
        <v>0</v>
      </c>
      <c r="BE159" s="219">
        <f t="shared" si="76"/>
        <v>0</v>
      </c>
      <c r="BF159" s="31">
        <f t="shared" si="77"/>
        <v>0</v>
      </c>
      <c r="BG159" s="219">
        <f t="shared" si="78"/>
        <v>0</v>
      </c>
      <c r="BH159" s="31">
        <f t="shared" si="79"/>
        <v>0</v>
      </c>
      <c r="BI159" s="219">
        <f t="shared" si="80"/>
        <v>0</v>
      </c>
      <c r="BJ159" s="31">
        <f t="shared" si="81"/>
        <v>0</v>
      </c>
      <c r="BK159" s="219">
        <f t="shared" si="82"/>
        <v>0</v>
      </c>
      <c r="BL159" s="31">
        <f t="shared" si="83"/>
        <v>0</v>
      </c>
      <c r="BM159" s="219">
        <f t="shared" si="84"/>
        <v>0</v>
      </c>
      <c r="BN159" s="31">
        <f t="shared" si="85"/>
        <v>0</v>
      </c>
      <c r="BO159" s="219">
        <f t="shared" si="86"/>
        <v>0</v>
      </c>
    </row>
    <row r="160" spans="1:67" x14ac:dyDescent="0.25">
      <c r="A160" s="31" t="s">
        <v>2041</v>
      </c>
      <c r="B160" s="176" t="str">
        <f>VLOOKUP(A160,kurspris!$A$1:$B$992,2,FALSE)</f>
        <v>Franska för ämneslärare, kurs 1</v>
      </c>
      <c r="C160" s="31">
        <v>71402</v>
      </c>
      <c r="D160" s="31" t="s">
        <v>482</v>
      </c>
      <c r="E160" s="60"/>
      <c r="F160" s="57" t="s">
        <v>2274</v>
      </c>
      <c r="H160" s="31" t="s">
        <v>2335</v>
      </c>
      <c r="I160" s="60" t="s">
        <v>2399</v>
      </c>
      <c r="J160" s="31" t="s">
        <v>2240</v>
      </c>
      <c r="L160" s="38"/>
      <c r="M160">
        <v>30</v>
      </c>
      <c r="P160" s="31">
        <v>1</v>
      </c>
      <c r="Q160" s="539">
        <v>0.5</v>
      </c>
      <c r="R160" s="38">
        <v>0.85</v>
      </c>
      <c r="S160" s="280">
        <f t="shared" si="59"/>
        <v>0.42499999999999999</v>
      </c>
      <c r="T160" s="31">
        <f>VLOOKUP(A160,'Ansvar kurs'!$A$1:$C$1123,2,FALSE)</f>
        <v>1620</v>
      </c>
      <c r="U160" s="31" t="str">
        <f>VLOOKUP(T160,Orgenheter!$A$1:$C$166,2,FALSE)</f>
        <v>Inst för språkstudier</v>
      </c>
      <c r="V160" s="31" t="str">
        <f>VLOOKUP(T160,Orgenheter!$A$1:$C$166,3,FALSE)</f>
        <v>Hum</v>
      </c>
      <c r="W160" s="35" t="str">
        <f>VLOOKUP(D160,Program!$A$1:$B$36,2,FALSE)</f>
        <v>Ämneslärarprogrammet - Gy</v>
      </c>
      <c r="X160" s="40">
        <f>VLOOKUP(A160,kurspris!$A$1:$Q$913,15,FALSE)</f>
        <v>20766</v>
      </c>
      <c r="Y160" s="40">
        <f>VLOOKUP(A160,kurspris!$A$1:$Q$913,16,FALSE)</f>
        <v>17442</v>
      </c>
      <c r="Z160" s="40">
        <f t="shared" si="60"/>
        <v>17795.849999999999</v>
      </c>
      <c r="AA160" s="40">
        <f>VLOOKUP(A160,kurspris!$A$1:$Q$913,17,FALSE)</f>
        <v>6000</v>
      </c>
      <c r="AB160" s="40">
        <f t="shared" si="61"/>
        <v>3000</v>
      </c>
      <c r="AC160" s="40">
        <f t="shared" si="62"/>
        <v>20795.849999999999</v>
      </c>
      <c r="AD160" s="31">
        <f>VLOOKUP($A160,kurspris!$A$1:$Q$950,3,FALSE)</f>
        <v>0</v>
      </c>
      <c r="AE160" s="31">
        <f>VLOOKUP($A160,kurspris!$A$1:$Q$950,4,FALSE)</f>
        <v>1</v>
      </c>
      <c r="AF160" s="31">
        <f>VLOOKUP($A160,kurspris!$A$1:$Q$950,5,FALSE)</f>
        <v>0</v>
      </c>
      <c r="AG160" s="31">
        <f>VLOOKUP($A160,kurspris!$A$1:$Q$950,6,FALSE)</f>
        <v>0</v>
      </c>
      <c r="AH160" s="31">
        <f>VLOOKUP($A160,kurspris!$A$1:$Q$950,7,FALSE)</f>
        <v>0</v>
      </c>
      <c r="AI160" s="31">
        <f>VLOOKUP($A160,kurspris!$A$1:$Q$950,8,FALSE)</f>
        <v>0</v>
      </c>
      <c r="AJ160" s="31">
        <f>VLOOKUP($A160,kurspris!$A$1:$Q$950,9,FALSE)</f>
        <v>0</v>
      </c>
      <c r="AK160" s="31">
        <f>VLOOKUP($A160,kurspris!$A$1:$Q$950,10,FALSE)</f>
        <v>0</v>
      </c>
      <c r="AL160" s="31">
        <f>VLOOKUP($A160,kurspris!$A$1:$Q$950,11,FALSE)</f>
        <v>0</v>
      </c>
      <c r="AM160" s="31">
        <f>VLOOKUP($A160,kurspris!$A$1:$Q$950,12,FALSE)</f>
        <v>0</v>
      </c>
      <c r="AN160" s="31">
        <f>VLOOKUP($A160,kurspris!$A$1:$Q$950,13,FALSE)</f>
        <v>0</v>
      </c>
      <c r="AO160" s="31">
        <f>VLOOKUP($A160,kurspris!$A$1:$Q$950,14,FALSE)</f>
        <v>0</v>
      </c>
      <c r="AP160" s="57" t="s">
        <v>2402</v>
      </c>
      <c r="AQ160" s="37"/>
      <c r="AR160" s="31">
        <f t="shared" si="63"/>
        <v>0</v>
      </c>
      <c r="AS160" s="219">
        <f t="shared" si="64"/>
        <v>0</v>
      </c>
      <c r="AT160" s="31">
        <f t="shared" si="65"/>
        <v>0.5</v>
      </c>
      <c r="AU160" s="219">
        <f t="shared" si="66"/>
        <v>0.42499999999999999</v>
      </c>
      <c r="AV160" s="31">
        <f t="shared" si="67"/>
        <v>0</v>
      </c>
      <c r="AW160" s="31">
        <f t="shared" si="68"/>
        <v>0</v>
      </c>
      <c r="AX160" s="31">
        <f t="shared" si="69"/>
        <v>0</v>
      </c>
      <c r="AY160" s="219">
        <f t="shared" si="70"/>
        <v>0</v>
      </c>
      <c r="AZ160" s="196">
        <f t="shared" si="71"/>
        <v>0</v>
      </c>
      <c r="BA160" s="219">
        <f t="shared" si="72"/>
        <v>0</v>
      </c>
      <c r="BB160" s="31">
        <f t="shared" si="73"/>
        <v>0</v>
      </c>
      <c r="BC160" s="219">
        <f t="shared" si="74"/>
        <v>0</v>
      </c>
      <c r="BD160" s="31">
        <f t="shared" si="75"/>
        <v>0</v>
      </c>
      <c r="BE160" s="219">
        <f t="shared" si="76"/>
        <v>0</v>
      </c>
      <c r="BF160" s="31">
        <f t="shared" si="77"/>
        <v>0</v>
      </c>
      <c r="BG160" s="219">
        <f t="shared" si="78"/>
        <v>0</v>
      </c>
      <c r="BH160" s="31">
        <f t="shared" si="79"/>
        <v>0</v>
      </c>
      <c r="BI160" s="219">
        <f t="shared" si="80"/>
        <v>0</v>
      </c>
      <c r="BJ160" s="31">
        <f t="shared" si="81"/>
        <v>0</v>
      </c>
      <c r="BK160" s="219">
        <f t="shared" si="82"/>
        <v>0</v>
      </c>
      <c r="BL160" s="31">
        <f t="shared" si="83"/>
        <v>0</v>
      </c>
      <c r="BM160" s="219">
        <f t="shared" si="84"/>
        <v>0</v>
      </c>
      <c r="BN160" s="31">
        <f t="shared" si="85"/>
        <v>0</v>
      </c>
      <c r="BO160" s="219">
        <f t="shared" si="86"/>
        <v>0</v>
      </c>
    </row>
    <row r="161" spans="1:67" x14ac:dyDescent="0.25">
      <c r="A161" s="157" t="s">
        <v>2073</v>
      </c>
      <c r="B161" s="176" t="str">
        <f>VLOOKUP(A161,kurspris!$A$1:$B$992,2,FALSE)</f>
        <v>Franska för ämneslärare, kurs 2</v>
      </c>
      <c r="C161" s="35"/>
      <c r="D161" s="31" t="s">
        <v>117</v>
      </c>
      <c r="F161" s="31" t="s">
        <v>2273</v>
      </c>
      <c r="I161" s="31" t="s">
        <v>2276</v>
      </c>
      <c r="L161" s="38">
        <v>1</v>
      </c>
      <c r="M161" s="325">
        <v>30</v>
      </c>
      <c r="P161" s="31">
        <v>1</v>
      </c>
      <c r="Q161" s="196">
        <f t="shared" ref="Q161:Q171" si="88">(M161/60)*P161</f>
        <v>0.5</v>
      </c>
      <c r="R161" s="38">
        <v>0.8</v>
      </c>
      <c r="S161" s="280">
        <f t="shared" si="59"/>
        <v>0.4</v>
      </c>
      <c r="T161" s="31">
        <f>VLOOKUP(A161,'Ansvar kurs'!$A$1:$C$1123,2,FALSE)</f>
        <v>1620</v>
      </c>
      <c r="U161" s="31" t="str">
        <f>VLOOKUP(T161,Orgenheter!$A$1:$C$166,2,FALSE)</f>
        <v>Inst för språkstudier</v>
      </c>
      <c r="V161" s="31" t="str">
        <f>VLOOKUP(T161,Orgenheter!$A$1:$C$166,3,FALSE)</f>
        <v>Hum</v>
      </c>
      <c r="W161" s="35" t="str">
        <f>VLOOKUP(D161,Program!$A$1:$B$36,2,FALSE)</f>
        <v>Fristående och övriga kurser</v>
      </c>
      <c r="X161" s="40">
        <f>VLOOKUP(A161,kurspris!$A$1:$Q$913,15,FALSE)</f>
        <v>20766</v>
      </c>
      <c r="Y161" s="40">
        <f>VLOOKUP(A161,kurspris!$A$1:$Q$913,16,FALSE)</f>
        <v>17442</v>
      </c>
      <c r="Z161" s="40">
        <f t="shared" si="60"/>
        <v>17359.8</v>
      </c>
      <c r="AA161" s="40">
        <f>VLOOKUP(A161,kurspris!$A$1:$Q$913,17,FALSE)</f>
        <v>6000</v>
      </c>
      <c r="AB161" s="40">
        <f t="shared" si="61"/>
        <v>3000</v>
      </c>
      <c r="AC161" s="40">
        <f t="shared" si="62"/>
        <v>20359.8</v>
      </c>
      <c r="AD161" s="31">
        <f>VLOOKUP($A161,kurspris!$A$1:$Q$950,3,FALSE)</f>
        <v>0</v>
      </c>
      <c r="AE161" s="31">
        <f>VLOOKUP($A161,kurspris!$A$1:$Q$950,4,FALSE)</f>
        <v>1</v>
      </c>
      <c r="AF161" s="31">
        <f>VLOOKUP($A161,kurspris!$A$1:$Q$950,5,FALSE)</f>
        <v>0</v>
      </c>
      <c r="AG161" s="31">
        <f>VLOOKUP($A161,kurspris!$A$1:$Q$950,6,FALSE)</f>
        <v>0</v>
      </c>
      <c r="AH161" s="31">
        <f>VLOOKUP($A161,kurspris!$A$1:$Q$950,7,FALSE)</f>
        <v>0</v>
      </c>
      <c r="AI161" s="31">
        <f>VLOOKUP($A161,kurspris!$A$1:$Q$950,8,FALSE)</f>
        <v>0</v>
      </c>
      <c r="AJ161" s="31">
        <f>VLOOKUP($A161,kurspris!$A$1:$Q$950,9,FALSE)</f>
        <v>0</v>
      </c>
      <c r="AK161" s="31">
        <f>VLOOKUP($A161,kurspris!$A$1:$Q$950,10,FALSE)</f>
        <v>0</v>
      </c>
      <c r="AL161" s="31">
        <f>VLOOKUP($A161,kurspris!$A$1:$Q$950,11,FALSE)</f>
        <v>0</v>
      </c>
      <c r="AM161" s="31">
        <f>VLOOKUP($A161,kurspris!$A$1:$Q$950,12,FALSE)</f>
        <v>0</v>
      </c>
      <c r="AN161" s="31">
        <f>VLOOKUP($A161,kurspris!$A$1:$Q$950,13,FALSE)</f>
        <v>0</v>
      </c>
      <c r="AO161" s="31">
        <f>VLOOKUP($A161,kurspris!$A$1:$Q$950,14,FALSE)</f>
        <v>0</v>
      </c>
      <c r="AP161" s="57" t="s">
        <v>2267</v>
      </c>
      <c r="AQ161"/>
      <c r="AR161" s="31">
        <f t="shared" si="63"/>
        <v>0</v>
      </c>
      <c r="AS161" s="219">
        <f t="shared" si="64"/>
        <v>0</v>
      </c>
      <c r="AT161" s="31">
        <f t="shared" si="65"/>
        <v>0.5</v>
      </c>
      <c r="AU161" s="219">
        <f t="shared" si="66"/>
        <v>0.4</v>
      </c>
      <c r="AV161" s="31">
        <f t="shared" si="67"/>
        <v>0</v>
      </c>
      <c r="AW161" s="31">
        <f t="shared" si="68"/>
        <v>0</v>
      </c>
      <c r="AX161" s="31">
        <f t="shared" si="69"/>
        <v>0</v>
      </c>
      <c r="AY161" s="219">
        <f t="shared" si="70"/>
        <v>0</v>
      </c>
      <c r="AZ161" s="196">
        <f t="shared" si="71"/>
        <v>0</v>
      </c>
      <c r="BA161" s="219">
        <f t="shared" si="72"/>
        <v>0</v>
      </c>
      <c r="BB161" s="31">
        <f t="shared" si="73"/>
        <v>0</v>
      </c>
      <c r="BC161" s="219">
        <f t="shared" si="74"/>
        <v>0</v>
      </c>
      <c r="BD161" s="31">
        <f t="shared" si="75"/>
        <v>0</v>
      </c>
      <c r="BE161" s="219">
        <f t="shared" si="76"/>
        <v>0</v>
      </c>
      <c r="BF161" s="31">
        <f t="shared" si="77"/>
        <v>0</v>
      </c>
      <c r="BG161" s="219">
        <f t="shared" si="78"/>
        <v>0</v>
      </c>
      <c r="BH161" s="31">
        <f t="shared" si="79"/>
        <v>0</v>
      </c>
      <c r="BI161" s="219">
        <f t="shared" si="80"/>
        <v>0</v>
      </c>
      <c r="BJ161" s="31">
        <f t="shared" si="81"/>
        <v>0</v>
      </c>
      <c r="BK161" s="219">
        <f t="shared" si="82"/>
        <v>0</v>
      </c>
      <c r="BL161" s="31">
        <f t="shared" si="83"/>
        <v>0</v>
      </c>
      <c r="BM161" s="219">
        <f t="shared" si="84"/>
        <v>0</v>
      </c>
      <c r="BN161" s="31">
        <f t="shared" si="85"/>
        <v>0</v>
      </c>
      <c r="BO161" s="219">
        <f t="shared" si="86"/>
        <v>0</v>
      </c>
    </row>
    <row r="162" spans="1:67" x14ac:dyDescent="0.25">
      <c r="A162" s="31" t="s">
        <v>2073</v>
      </c>
      <c r="B162" s="176" t="str">
        <f>VLOOKUP(A162,kurspris!$A$1:$B$992,2,FALSE)</f>
        <v>Franska för ämneslärare, kurs 2</v>
      </c>
      <c r="D162" s="60" t="s">
        <v>482</v>
      </c>
      <c r="E162" s="576" t="s">
        <v>2225</v>
      </c>
      <c r="F162" s="31" t="s">
        <v>2273</v>
      </c>
      <c r="G162" t="s">
        <v>2458</v>
      </c>
      <c r="H162" t="s">
        <v>2335</v>
      </c>
      <c r="J162" s="31" t="s">
        <v>2240</v>
      </c>
      <c r="L162" s="38">
        <v>1</v>
      </c>
      <c r="M162">
        <v>30</v>
      </c>
      <c r="P162" s="31">
        <v>1</v>
      </c>
      <c r="Q162" s="196">
        <f t="shared" si="88"/>
        <v>0.5</v>
      </c>
      <c r="R162" s="38">
        <v>0.85</v>
      </c>
      <c r="S162" s="280">
        <f t="shared" si="59"/>
        <v>0.42499999999999999</v>
      </c>
      <c r="T162" s="31">
        <f>VLOOKUP(A162,'Ansvar kurs'!$A$1:$C$1123,2,FALSE)</f>
        <v>1620</v>
      </c>
      <c r="U162" s="31" t="str">
        <f>VLOOKUP(T162,Orgenheter!$A$1:$C$166,2,FALSE)</f>
        <v>Inst för språkstudier</v>
      </c>
      <c r="V162" s="31" t="str">
        <f>VLOOKUP(T162,Orgenheter!$A$1:$C$166,3,FALSE)</f>
        <v>Hum</v>
      </c>
      <c r="W162" s="35" t="str">
        <f>VLOOKUP(D162,Program!$A$1:$B$36,2,FALSE)</f>
        <v>Ämneslärarprogrammet - Gy</v>
      </c>
      <c r="X162" s="40">
        <f>VLOOKUP(A162,kurspris!$A$1:$Q$913,15,FALSE)</f>
        <v>20766</v>
      </c>
      <c r="Y162" s="40">
        <f>VLOOKUP(A162,kurspris!$A$1:$Q$913,16,FALSE)</f>
        <v>17442</v>
      </c>
      <c r="Z162" s="40">
        <f t="shared" si="60"/>
        <v>17795.849999999999</v>
      </c>
      <c r="AA162" s="40">
        <f>VLOOKUP(A162,kurspris!$A$1:$Q$913,17,FALSE)</f>
        <v>6000</v>
      </c>
      <c r="AB162" s="40">
        <f t="shared" si="61"/>
        <v>3000</v>
      </c>
      <c r="AC162" s="40">
        <f t="shared" si="62"/>
        <v>20795.849999999999</v>
      </c>
      <c r="AD162" s="31">
        <f>VLOOKUP($A162,kurspris!$A$1:$Q$950,3,FALSE)</f>
        <v>0</v>
      </c>
      <c r="AE162" s="31">
        <f>VLOOKUP($A162,kurspris!$A$1:$Q$950,4,FALSE)</f>
        <v>1</v>
      </c>
      <c r="AF162" s="31">
        <f>VLOOKUP($A162,kurspris!$A$1:$Q$950,5,FALSE)</f>
        <v>0</v>
      </c>
      <c r="AG162" s="31">
        <f>VLOOKUP($A162,kurspris!$A$1:$Q$950,6,FALSE)</f>
        <v>0</v>
      </c>
      <c r="AH162" s="31">
        <f>VLOOKUP($A162,kurspris!$A$1:$Q$950,7,FALSE)</f>
        <v>0</v>
      </c>
      <c r="AI162" s="31">
        <f>VLOOKUP($A162,kurspris!$A$1:$Q$950,8,FALSE)</f>
        <v>0</v>
      </c>
      <c r="AJ162" s="31">
        <f>VLOOKUP($A162,kurspris!$A$1:$Q$950,9,FALSE)</f>
        <v>0</v>
      </c>
      <c r="AK162" s="31">
        <f>VLOOKUP($A162,kurspris!$A$1:$Q$950,10,FALSE)</f>
        <v>0</v>
      </c>
      <c r="AL162" s="31">
        <f>VLOOKUP($A162,kurspris!$A$1:$Q$950,11,FALSE)</f>
        <v>0</v>
      </c>
      <c r="AM162" s="31">
        <f>VLOOKUP($A162,kurspris!$A$1:$Q$950,12,FALSE)</f>
        <v>0</v>
      </c>
      <c r="AN162" s="31">
        <f>VLOOKUP($A162,kurspris!$A$1:$Q$950,13,FALSE)</f>
        <v>0</v>
      </c>
      <c r="AO162" s="31">
        <f>VLOOKUP($A162,kurspris!$A$1:$Q$950,14,FALSE)</f>
        <v>0</v>
      </c>
      <c r="AP162" s="57" t="s">
        <v>2506</v>
      </c>
      <c r="AQ162"/>
      <c r="AR162" s="31">
        <f t="shared" si="63"/>
        <v>0</v>
      </c>
      <c r="AS162" s="219">
        <f t="shared" si="64"/>
        <v>0</v>
      </c>
      <c r="AT162" s="31">
        <f t="shared" si="65"/>
        <v>0.5</v>
      </c>
      <c r="AU162" s="219">
        <f t="shared" si="66"/>
        <v>0.42499999999999999</v>
      </c>
      <c r="AV162" s="31">
        <f t="shared" si="67"/>
        <v>0</v>
      </c>
      <c r="AW162" s="31">
        <f t="shared" si="68"/>
        <v>0</v>
      </c>
      <c r="AX162" s="31">
        <f t="shared" si="69"/>
        <v>0</v>
      </c>
      <c r="AY162" s="219">
        <f t="shared" si="70"/>
        <v>0</v>
      </c>
      <c r="AZ162" s="196">
        <f t="shared" si="71"/>
        <v>0</v>
      </c>
      <c r="BA162" s="219">
        <f t="shared" si="72"/>
        <v>0</v>
      </c>
      <c r="BB162" s="31">
        <f t="shared" si="73"/>
        <v>0</v>
      </c>
      <c r="BC162" s="219">
        <f t="shared" si="74"/>
        <v>0</v>
      </c>
      <c r="BD162" s="31">
        <f t="shared" si="75"/>
        <v>0</v>
      </c>
      <c r="BE162" s="219">
        <f t="shared" si="76"/>
        <v>0</v>
      </c>
      <c r="BF162" s="31">
        <f t="shared" si="77"/>
        <v>0</v>
      </c>
      <c r="BG162" s="219">
        <f t="shared" si="78"/>
        <v>0</v>
      </c>
      <c r="BH162" s="31">
        <f t="shared" si="79"/>
        <v>0</v>
      </c>
      <c r="BI162" s="219">
        <f t="shared" si="80"/>
        <v>0</v>
      </c>
      <c r="BJ162" s="31">
        <f t="shared" si="81"/>
        <v>0</v>
      </c>
      <c r="BK162" s="219">
        <f t="shared" si="82"/>
        <v>0</v>
      </c>
      <c r="BL162" s="31">
        <f t="shared" si="83"/>
        <v>0</v>
      </c>
      <c r="BM162" s="219">
        <f t="shared" si="84"/>
        <v>0</v>
      </c>
      <c r="BN162" s="31">
        <f t="shared" si="85"/>
        <v>0</v>
      </c>
      <c r="BO162" s="219">
        <f t="shared" si="86"/>
        <v>0</v>
      </c>
    </row>
    <row r="163" spans="1:67" x14ac:dyDescent="0.25">
      <c r="A163" s="31" t="s">
        <v>2073</v>
      </c>
      <c r="B163" s="176" t="str">
        <f>VLOOKUP(A163,kurspris!$A$1:$B$992,2,FALSE)</f>
        <v>Franska för ämneslärare, kurs 2</v>
      </c>
      <c r="D163" s="60" t="s">
        <v>482</v>
      </c>
      <c r="E163" s="576" t="s">
        <v>2432</v>
      </c>
      <c r="F163" s="31" t="s">
        <v>2273</v>
      </c>
      <c r="G163" t="s">
        <v>2458</v>
      </c>
      <c r="H163" t="s">
        <v>2335</v>
      </c>
      <c r="J163" s="31" t="s">
        <v>2247</v>
      </c>
      <c r="L163" s="38">
        <v>1</v>
      </c>
      <c r="M163">
        <v>30</v>
      </c>
      <c r="P163" s="31">
        <v>2</v>
      </c>
      <c r="Q163" s="196">
        <f t="shared" si="88"/>
        <v>1</v>
      </c>
      <c r="R163" s="38">
        <v>0.85</v>
      </c>
      <c r="S163" s="280">
        <f t="shared" si="59"/>
        <v>0.85</v>
      </c>
      <c r="T163" s="31">
        <f>VLOOKUP(A163,'Ansvar kurs'!$A$1:$C$1123,2,FALSE)</f>
        <v>1620</v>
      </c>
      <c r="U163" s="31" t="str">
        <f>VLOOKUP(T163,Orgenheter!$A$1:$C$166,2,FALSE)</f>
        <v>Inst för språkstudier</v>
      </c>
      <c r="V163" s="31" t="str">
        <f>VLOOKUP(T163,Orgenheter!$A$1:$C$166,3,FALSE)</f>
        <v>Hum</v>
      </c>
      <c r="W163" s="35" t="str">
        <f>VLOOKUP(D163,Program!$A$1:$B$36,2,FALSE)</f>
        <v>Ämneslärarprogrammet - Gy</v>
      </c>
      <c r="X163" s="40">
        <f>VLOOKUP(A163,kurspris!$A$1:$Q$913,15,FALSE)</f>
        <v>20766</v>
      </c>
      <c r="Y163" s="40">
        <f>VLOOKUP(A163,kurspris!$A$1:$Q$913,16,FALSE)</f>
        <v>17442</v>
      </c>
      <c r="Z163" s="40">
        <f t="shared" si="60"/>
        <v>35591.699999999997</v>
      </c>
      <c r="AA163" s="40">
        <f>VLOOKUP(A163,kurspris!$A$1:$Q$913,17,FALSE)</f>
        <v>6000</v>
      </c>
      <c r="AB163" s="40">
        <f t="shared" si="61"/>
        <v>6000</v>
      </c>
      <c r="AC163" s="40">
        <f t="shared" si="62"/>
        <v>41591.699999999997</v>
      </c>
      <c r="AD163" s="31">
        <f>VLOOKUP($A163,kurspris!$A$1:$Q$950,3,FALSE)</f>
        <v>0</v>
      </c>
      <c r="AE163" s="31">
        <f>VLOOKUP($A163,kurspris!$A$1:$Q$950,4,FALSE)</f>
        <v>1</v>
      </c>
      <c r="AF163" s="31">
        <f>VLOOKUP($A163,kurspris!$A$1:$Q$950,5,FALSE)</f>
        <v>0</v>
      </c>
      <c r="AG163" s="31">
        <f>VLOOKUP($A163,kurspris!$A$1:$Q$950,6,FALSE)</f>
        <v>0</v>
      </c>
      <c r="AH163" s="31">
        <f>VLOOKUP($A163,kurspris!$A$1:$Q$950,7,FALSE)</f>
        <v>0</v>
      </c>
      <c r="AI163" s="31">
        <f>VLOOKUP($A163,kurspris!$A$1:$Q$950,8,FALSE)</f>
        <v>0</v>
      </c>
      <c r="AJ163" s="31">
        <f>VLOOKUP($A163,kurspris!$A$1:$Q$950,9,FALSE)</f>
        <v>0</v>
      </c>
      <c r="AK163" s="31">
        <f>VLOOKUP($A163,kurspris!$A$1:$Q$950,10,FALSE)</f>
        <v>0</v>
      </c>
      <c r="AL163" s="31">
        <f>VLOOKUP($A163,kurspris!$A$1:$Q$950,11,FALSE)</f>
        <v>0</v>
      </c>
      <c r="AM163" s="31">
        <f>VLOOKUP($A163,kurspris!$A$1:$Q$950,12,FALSE)</f>
        <v>0</v>
      </c>
      <c r="AN163" s="31">
        <f>VLOOKUP($A163,kurspris!$A$1:$Q$950,13,FALSE)</f>
        <v>0</v>
      </c>
      <c r="AO163" s="31">
        <f>VLOOKUP($A163,kurspris!$A$1:$Q$950,14,FALSE)</f>
        <v>0</v>
      </c>
      <c r="AP163" s="57" t="s">
        <v>2506</v>
      </c>
      <c r="AQ163"/>
      <c r="AR163" s="31">
        <f t="shared" si="63"/>
        <v>0</v>
      </c>
      <c r="AS163" s="219">
        <f t="shared" si="64"/>
        <v>0</v>
      </c>
      <c r="AT163" s="31">
        <f t="shared" si="65"/>
        <v>1</v>
      </c>
      <c r="AU163" s="219">
        <f t="shared" si="66"/>
        <v>0.85</v>
      </c>
      <c r="AV163" s="31">
        <f t="shared" si="67"/>
        <v>0</v>
      </c>
      <c r="AW163" s="31">
        <f t="shared" si="68"/>
        <v>0</v>
      </c>
      <c r="AX163" s="31">
        <f t="shared" si="69"/>
        <v>0</v>
      </c>
      <c r="AY163" s="219">
        <f t="shared" si="70"/>
        <v>0</v>
      </c>
      <c r="AZ163" s="196">
        <f t="shared" si="71"/>
        <v>0</v>
      </c>
      <c r="BA163" s="219">
        <f t="shared" si="72"/>
        <v>0</v>
      </c>
      <c r="BB163" s="31">
        <f t="shared" si="73"/>
        <v>0</v>
      </c>
      <c r="BC163" s="219">
        <f t="shared" si="74"/>
        <v>0</v>
      </c>
      <c r="BD163" s="31">
        <f t="shared" si="75"/>
        <v>0</v>
      </c>
      <c r="BE163" s="219">
        <f t="shared" si="76"/>
        <v>0</v>
      </c>
      <c r="BF163" s="31">
        <f t="shared" si="77"/>
        <v>0</v>
      </c>
      <c r="BG163" s="219">
        <f t="shared" si="78"/>
        <v>0</v>
      </c>
      <c r="BH163" s="31">
        <f t="shared" si="79"/>
        <v>0</v>
      </c>
      <c r="BI163" s="219">
        <f t="shared" si="80"/>
        <v>0</v>
      </c>
      <c r="BJ163" s="31">
        <f t="shared" si="81"/>
        <v>0</v>
      </c>
      <c r="BK163" s="219">
        <f t="shared" si="82"/>
        <v>0</v>
      </c>
      <c r="BL163" s="31">
        <f t="shared" si="83"/>
        <v>0</v>
      </c>
      <c r="BM163" s="219">
        <f t="shared" si="84"/>
        <v>0</v>
      </c>
      <c r="BN163" s="31">
        <f t="shared" si="85"/>
        <v>0</v>
      </c>
      <c r="BO163" s="219">
        <f t="shared" si="86"/>
        <v>0</v>
      </c>
    </row>
    <row r="164" spans="1:67" x14ac:dyDescent="0.25">
      <c r="A164" s="57" t="s">
        <v>2278</v>
      </c>
      <c r="B164" s="176" t="str">
        <f>VLOOKUP(A164,kurspris!$A$1:$B$992,2,FALSE)</f>
        <v>Grafisk design &amp; media för lärare B*</v>
      </c>
      <c r="D164" s="31" t="s">
        <v>117</v>
      </c>
      <c r="F164" s="31" t="s">
        <v>2273</v>
      </c>
      <c r="I164" s="31" t="s">
        <v>2276</v>
      </c>
      <c r="L164" s="38">
        <v>1</v>
      </c>
      <c r="M164" s="325">
        <v>30</v>
      </c>
      <c r="P164" s="31">
        <v>10</v>
      </c>
      <c r="Q164" s="196">
        <f t="shared" si="88"/>
        <v>5</v>
      </c>
      <c r="R164" s="38">
        <v>0.8</v>
      </c>
      <c r="S164" s="280">
        <f t="shared" si="59"/>
        <v>4</v>
      </c>
      <c r="T164" s="31">
        <f>VLOOKUP(A164,'Ansvar kurs'!$A$1:$C$1123,2,FALSE)</f>
        <v>1650</v>
      </c>
      <c r="U164" s="31" t="str">
        <f>VLOOKUP(T164,Orgenheter!$A$1:$C$166,2,FALSE)</f>
        <v xml:space="preserve">Estetiska ämnen               </v>
      </c>
      <c r="V164" s="31" t="str">
        <f>VLOOKUP(T164,Orgenheter!$A$1:$C$166,3,FALSE)</f>
        <v>Hum</v>
      </c>
      <c r="W164" s="35" t="str">
        <f>VLOOKUP(D164,Program!$A$1:$B$36,2,FALSE)</f>
        <v>Fristående och övriga kurser</v>
      </c>
      <c r="X164" s="40">
        <f>VLOOKUP(A164,kurspris!$A$1:$Q$913,15,FALSE)</f>
        <v>20759.25</v>
      </c>
      <c r="Y164" s="40">
        <f>VLOOKUP(A164,kurspris!$A$1:$Q$913,16,FALSE)</f>
        <v>31422</v>
      </c>
      <c r="Z164" s="40">
        <f t="shared" si="60"/>
        <v>229484.25</v>
      </c>
      <c r="AA164" s="40">
        <f>VLOOKUP(A164,kurspris!$A$1:$Q$913,17,FALSE)</f>
        <v>18450</v>
      </c>
      <c r="AB164" s="40">
        <f t="shared" si="61"/>
        <v>92250</v>
      </c>
      <c r="AC164" s="40">
        <f t="shared" si="62"/>
        <v>321734.25</v>
      </c>
      <c r="AD164" s="31">
        <f>VLOOKUP($A164,kurspris!$A$1:$Q$950,3,FALSE)</f>
        <v>0</v>
      </c>
      <c r="AE164" s="31">
        <f>VLOOKUP($A164,kurspris!$A$1:$Q$950,4,FALSE)</f>
        <v>0.25</v>
      </c>
      <c r="AF164" s="31">
        <f>VLOOKUP($A164,kurspris!$A$1:$Q$950,5,FALSE)</f>
        <v>0</v>
      </c>
      <c r="AG164" s="31">
        <f>VLOOKUP($A164,kurspris!$A$1:$Q$950,6,FALSE)</f>
        <v>0</v>
      </c>
      <c r="AH164" s="31">
        <f>VLOOKUP($A164,kurspris!$A$1:$Q$950,7,FALSE)</f>
        <v>0</v>
      </c>
      <c r="AI164" s="31">
        <f>VLOOKUP($A164,kurspris!$A$1:$Q$950,8,FALSE)</f>
        <v>0</v>
      </c>
      <c r="AJ164" s="31">
        <f>VLOOKUP($A164,kurspris!$A$1:$Q$950,9,FALSE)</f>
        <v>0</v>
      </c>
      <c r="AK164" s="31">
        <f>VLOOKUP($A164,kurspris!$A$1:$Q$950,10,FALSE)</f>
        <v>0.75</v>
      </c>
      <c r="AL164" s="31">
        <f>VLOOKUP($A164,kurspris!$A$1:$Q$950,11,FALSE)</f>
        <v>0</v>
      </c>
      <c r="AM164" s="31">
        <f>VLOOKUP($A164,kurspris!$A$1:$Q$950,12,FALSE)</f>
        <v>0</v>
      </c>
      <c r="AN164" s="31">
        <f>VLOOKUP($A164,kurspris!$A$1:$Q$950,13,FALSE)</f>
        <v>0</v>
      </c>
      <c r="AO164" s="31">
        <f>VLOOKUP($A164,kurspris!$A$1:$Q$950,14,FALSE)</f>
        <v>0</v>
      </c>
      <c r="AP164" s="57" t="s">
        <v>2267</v>
      </c>
      <c r="AQ164" s="37"/>
      <c r="AR164" s="31">
        <f t="shared" si="63"/>
        <v>0</v>
      </c>
      <c r="AS164" s="219">
        <f t="shared" si="64"/>
        <v>0</v>
      </c>
      <c r="AT164" s="31">
        <f t="shared" si="65"/>
        <v>1.25</v>
      </c>
      <c r="AU164" s="219">
        <f t="shared" si="66"/>
        <v>1</v>
      </c>
      <c r="AV164" s="31">
        <f t="shared" si="67"/>
        <v>0</v>
      </c>
      <c r="AW164" s="31">
        <f t="shared" si="68"/>
        <v>0</v>
      </c>
      <c r="AX164" s="31">
        <f t="shared" si="69"/>
        <v>0</v>
      </c>
      <c r="AY164" s="219">
        <f t="shared" si="70"/>
        <v>0</v>
      </c>
      <c r="AZ164" s="196">
        <f t="shared" si="71"/>
        <v>0</v>
      </c>
      <c r="BA164" s="219">
        <f t="shared" si="72"/>
        <v>0</v>
      </c>
      <c r="BB164" s="31">
        <f t="shared" si="73"/>
        <v>0</v>
      </c>
      <c r="BC164" s="219">
        <f t="shared" si="74"/>
        <v>0</v>
      </c>
      <c r="BD164" s="31">
        <f t="shared" si="75"/>
        <v>0</v>
      </c>
      <c r="BE164" s="219">
        <f t="shared" si="76"/>
        <v>0</v>
      </c>
      <c r="BF164" s="31">
        <f t="shared" si="77"/>
        <v>3.75</v>
      </c>
      <c r="BG164" s="219">
        <f t="shared" si="78"/>
        <v>3</v>
      </c>
      <c r="BH164" s="31">
        <f t="shared" si="79"/>
        <v>0</v>
      </c>
      <c r="BI164" s="219">
        <f t="shared" si="80"/>
        <v>0</v>
      </c>
      <c r="BJ164" s="31">
        <f t="shared" si="81"/>
        <v>0</v>
      </c>
      <c r="BK164" s="219">
        <f t="shared" si="82"/>
        <v>0</v>
      </c>
      <c r="BL164" s="31">
        <f t="shared" si="83"/>
        <v>0</v>
      </c>
      <c r="BM164" s="219">
        <f t="shared" si="84"/>
        <v>0</v>
      </c>
      <c r="BN164" s="31">
        <f t="shared" si="85"/>
        <v>0</v>
      </c>
      <c r="BO164" s="219">
        <f t="shared" si="86"/>
        <v>0</v>
      </c>
    </row>
    <row r="165" spans="1:67" x14ac:dyDescent="0.25">
      <c r="A165" s="157" t="s">
        <v>2315</v>
      </c>
      <c r="B165" s="176" t="str">
        <f>VLOOKUP(A165,kurspris!$A$1:$B$992,2,FALSE)</f>
        <v>Kommunikativ språkundervisning (platshållarnamn)</v>
      </c>
      <c r="C165" s="35"/>
      <c r="D165" s="31" t="s">
        <v>117</v>
      </c>
      <c r="F165" s="60" t="s">
        <v>2319</v>
      </c>
      <c r="L165" s="38"/>
      <c r="M165" s="325">
        <v>7.5</v>
      </c>
      <c r="P165" s="516">
        <v>0</v>
      </c>
      <c r="Q165" s="196">
        <f t="shared" si="88"/>
        <v>0</v>
      </c>
      <c r="R165" s="38">
        <v>0.8</v>
      </c>
      <c r="S165" s="280">
        <f t="shared" si="59"/>
        <v>0</v>
      </c>
      <c r="T165" s="31">
        <f>VLOOKUP(A165,'Ansvar kurs'!$A$1:$C$1123,2,FALSE)</f>
        <v>1620</v>
      </c>
      <c r="U165" s="31" t="str">
        <f>VLOOKUP(T165,Orgenheter!$A$1:$C$166,2,FALSE)</f>
        <v>Inst för språkstudier</v>
      </c>
      <c r="V165" s="31" t="str">
        <f>VLOOKUP(T165,Orgenheter!$A$1:$C$166,3,FALSE)</f>
        <v>Hum</v>
      </c>
      <c r="W165" s="35" t="str">
        <f>VLOOKUP(D165,Program!$A$1:$B$36,2,FALSE)</f>
        <v>Fristående och övriga kurser</v>
      </c>
      <c r="X165" s="40">
        <f>VLOOKUP(A165,kurspris!$A$1:$Q$913,15,FALSE)</f>
        <v>20766</v>
      </c>
      <c r="Y165" s="40">
        <f>VLOOKUP(A165,kurspris!$A$1:$Q$913,16,FALSE)</f>
        <v>17442</v>
      </c>
      <c r="Z165" s="40">
        <f t="shared" si="60"/>
        <v>0</v>
      </c>
      <c r="AA165" s="40">
        <f>VLOOKUP(A165,kurspris!$A$1:$Q$913,17,FALSE)</f>
        <v>6000</v>
      </c>
      <c r="AB165" s="40">
        <f t="shared" si="61"/>
        <v>0</v>
      </c>
      <c r="AC165" s="40">
        <f t="shared" si="62"/>
        <v>0</v>
      </c>
      <c r="AD165" s="31">
        <f>VLOOKUP($A165,kurspris!$A$1:$Q$950,3,FALSE)</f>
        <v>0</v>
      </c>
      <c r="AE165" s="31">
        <f>VLOOKUP($A165,kurspris!$A$1:$Q$950,4,FALSE)</f>
        <v>1</v>
      </c>
      <c r="AF165" s="31">
        <f>VLOOKUP($A165,kurspris!$A$1:$Q$950,5,FALSE)</f>
        <v>0</v>
      </c>
      <c r="AG165" s="31">
        <f>VLOOKUP($A165,kurspris!$A$1:$Q$950,6,FALSE)</f>
        <v>0</v>
      </c>
      <c r="AH165" s="31">
        <f>VLOOKUP($A165,kurspris!$A$1:$Q$950,7,FALSE)</f>
        <v>0</v>
      </c>
      <c r="AI165" s="31">
        <f>VLOOKUP($A165,kurspris!$A$1:$Q$950,8,FALSE)</f>
        <v>0</v>
      </c>
      <c r="AJ165" s="31">
        <f>VLOOKUP($A165,kurspris!$A$1:$Q$950,9,FALSE)</f>
        <v>0</v>
      </c>
      <c r="AK165" s="31">
        <f>VLOOKUP($A165,kurspris!$A$1:$Q$950,10,FALSE)</f>
        <v>0</v>
      </c>
      <c r="AL165" s="31">
        <f>VLOOKUP($A165,kurspris!$A$1:$Q$950,11,FALSE)</f>
        <v>0</v>
      </c>
      <c r="AM165" s="31">
        <f>VLOOKUP($A165,kurspris!$A$1:$Q$950,12,FALSE)</f>
        <v>0</v>
      </c>
      <c r="AN165" s="31">
        <f>VLOOKUP($A165,kurspris!$A$1:$Q$950,13,FALSE)</f>
        <v>0</v>
      </c>
      <c r="AO165" s="31">
        <f>VLOOKUP($A165,kurspris!$A$1:$Q$950,14,FALSE)</f>
        <v>0</v>
      </c>
      <c r="AP165" s="57" t="s">
        <v>2267</v>
      </c>
      <c r="AQ165" s="37"/>
      <c r="AR165" s="31">
        <f t="shared" si="63"/>
        <v>0</v>
      </c>
      <c r="AS165" s="219">
        <f t="shared" si="64"/>
        <v>0</v>
      </c>
      <c r="AT165" s="31">
        <f t="shared" si="65"/>
        <v>0</v>
      </c>
      <c r="AU165" s="219">
        <f t="shared" si="66"/>
        <v>0</v>
      </c>
      <c r="AV165" s="31">
        <f t="shared" si="67"/>
        <v>0</v>
      </c>
      <c r="AW165" s="31">
        <f t="shared" si="68"/>
        <v>0</v>
      </c>
      <c r="AX165" s="31">
        <f t="shared" si="69"/>
        <v>0</v>
      </c>
      <c r="AY165" s="219">
        <f t="shared" si="70"/>
        <v>0</v>
      </c>
      <c r="AZ165" s="196">
        <f t="shared" si="71"/>
        <v>0</v>
      </c>
      <c r="BA165" s="219">
        <f t="shared" si="72"/>
        <v>0</v>
      </c>
      <c r="BB165" s="31">
        <f t="shared" si="73"/>
        <v>0</v>
      </c>
      <c r="BC165" s="219">
        <f t="shared" si="74"/>
        <v>0</v>
      </c>
      <c r="BD165" s="31">
        <f t="shared" si="75"/>
        <v>0</v>
      </c>
      <c r="BE165" s="219">
        <f t="shared" si="76"/>
        <v>0</v>
      </c>
      <c r="BF165" s="31">
        <f t="shared" si="77"/>
        <v>0</v>
      </c>
      <c r="BG165" s="219">
        <f t="shared" si="78"/>
        <v>0</v>
      </c>
      <c r="BH165" s="31">
        <f t="shared" si="79"/>
        <v>0</v>
      </c>
      <c r="BI165" s="219">
        <f t="shared" si="80"/>
        <v>0</v>
      </c>
      <c r="BJ165" s="31">
        <f t="shared" si="81"/>
        <v>0</v>
      </c>
      <c r="BK165" s="219">
        <f t="shared" si="82"/>
        <v>0</v>
      </c>
      <c r="BL165" s="31">
        <f t="shared" si="83"/>
        <v>0</v>
      </c>
      <c r="BM165" s="219">
        <f t="shared" si="84"/>
        <v>0</v>
      </c>
      <c r="BN165" s="31">
        <f t="shared" si="85"/>
        <v>0</v>
      </c>
      <c r="BO165" s="219">
        <f t="shared" si="86"/>
        <v>0</v>
      </c>
    </row>
    <row r="166" spans="1:67" x14ac:dyDescent="0.25">
      <c r="A166" s="157" t="s">
        <v>2316</v>
      </c>
      <c r="B166" s="176" t="str">
        <f>VLOOKUP(A166,kurspris!$A$1:$B$992,2,FALSE)</f>
        <v>Grammatik i det fria (platshållarnamn)</v>
      </c>
      <c r="C166" s="35"/>
      <c r="D166" s="31" t="s">
        <v>117</v>
      </c>
      <c r="F166" s="60" t="s">
        <v>2319</v>
      </c>
      <c r="L166" s="38"/>
      <c r="M166" s="325">
        <v>7.5</v>
      </c>
      <c r="P166" s="516">
        <v>0</v>
      </c>
      <c r="Q166" s="196">
        <f t="shared" si="88"/>
        <v>0</v>
      </c>
      <c r="R166" s="38">
        <v>0.8</v>
      </c>
      <c r="S166" s="280">
        <f t="shared" si="59"/>
        <v>0</v>
      </c>
      <c r="T166" s="31">
        <f>VLOOKUP(A166,'Ansvar kurs'!$A$1:$C$1123,2,FALSE)</f>
        <v>1620</v>
      </c>
      <c r="U166" s="31" t="str">
        <f>VLOOKUP(T166,Orgenheter!$A$1:$C$166,2,FALSE)</f>
        <v>Inst för språkstudier</v>
      </c>
      <c r="V166" s="31" t="str">
        <f>VLOOKUP(T166,Orgenheter!$A$1:$C$166,3,FALSE)</f>
        <v>Hum</v>
      </c>
      <c r="W166" s="35" t="str">
        <f>VLOOKUP(D166,Program!$A$1:$B$36,2,FALSE)</f>
        <v>Fristående och övriga kurser</v>
      </c>
      <c r="X166" s="40">
        <f>VLOOKUP(A166,kurspris!$A$1:$Q$913,15,FALSE)</f>
        <v>20766</v>
      </c>
      <c r="Y166" s="40">
        <f>VLOOKUP(A166,kurspris!$A$1:$Q$913,16,FALSE)</f>
        <v>17442</v>
      </c>
      <c r="Z166" s="40">
        <f t="shared" si="60"/>
        <v>0</v>
      </c>
      <c r="AA166" s="40">
        <f>VLOOKUP(A166,kurspris!$A$1:$Q$913,17,FALSE)</f>
        <v>6000</v>
      </c>
      <c r="AB166" s="40">
        <f t="shared" si="61"/>
        <v>0</v>
      </c>
      <c r="AC166" s="40">
        <f t="shared" si="62"/>
        <v>0</v>
      </c>
      <c r="AD166" s="31">
        <f>VLOOKUP($A166,kurspris!$A$1:$Q$950,3,FALSE)</f>
        <v>0</v>
      </c>
      <c r="AE166" s="31">
        <f>VLOOKUP($A166,kurspris!$A$1:$Q$950,4,FALSE)</f>
        <v>1</v>
      </c>
      <c r="AF166" s="31">
        <f>VLOOKUP($A166,kurspris!$A$1:$Q$950,5,FALSE)</f>
        <v>0</v>
      </c>
      <c r="AG166" s="31">
        <f>VLOOKUP($A166,kurspris!$A$1:$Q$950,6,FALSE)</f>
        <v>0</v>
      </c>
      <c r="AH166" s="31">
        <f>VLOOKUP($A166,kurspris!$A$1:$Q$950,7,FALSE)</f>
        <v>0</v>
      </c>
      <c r="AI166" s="31">
        <f>VLOOKUP($A166,kurspris!$A$1:$Q$950,8,FALSE)</f>
        <v>0</v>
      </c>
      <c r="AJ166" s="31">
        <f>VLOOKUP($A166,kurspris!$A$1:$Q$950,9,FALSE)</f>
        <v>0</v>
      </c>
      <c r="AK166" s="31">
        <f>VLOOKUP($A166,kurspris!$A$1:$Q$950,10,FALSE)</f>
        <v>0</v>
      </c>
      <c r="AL166" s="31">
        <f>VLOOKUP($A166,kurspris!$A$1:$Q$950,11,FALSE)</f>
        <v>0</v>
      </c>
      <c r="AM166" s="31">
        <f>VLOOKUP($A166,kurspris!$A$1:$Q$950,12,FALSE)</f>
        <v>0</v>
      </c>
      <c r="AN166" s="31">
        <f>VLOOKUP($A166,kurspris!$A$1:$Q$950,13,FALSE)</f>
        <v>0</v>
      </c>
      <c r="AO166" s="31">
        <f>VLOOKUP($A166,kurspris!$A$1:$Q$950,14,FALSE)</f>
        <v>0</v>
      </c>
      <c r="AP166" s="57" t="s">
        <v>2267</v>
      </c>
      <c r="AQ166" s="37"/>
      <c r="AR166" s="31">
        <f t="shared" si="63"/>
        <v>0</v>
      </c>
      <c r="AS166" s="219">
        <f t="shared" si="64"/>
        <v>0</v>
      </c>
      <c r="AT166" s="31">
        <f t="shared" si="65"/>
        <v>0</v>
      </c>
      <c r="AU166" s="219">
        <f t="shared" si="66"/>
        <v>0</v>
      </c>
      <c r="AV166" s="31">
        <f t="shared" si="67"/>
        <v>0</v>
      </c>
      <c r="AW166" s="31">
        <f t="shared" si="68"/>
        <v>0</v>
      </c>
      <c r="AX166" s="31">
        <f t="shared" si="69"/>
        <v>0</v>
      </c>
      <c r="AY166" s="219">
        <f t="shared" si="70"/>
        <v>0</v>
      </c>
      <c r="AZ166" s="196">
        <f t="shared" si="71"/>
        <v>0</v>
      </c>
      <c r="BA166" s="219">
        <f t="shared" si="72"/>
        <v>0</v>
      </c>
      <c r="BB166" s="31">
        <f t="shared" si="73"/>
        <v>0</v>
      </c>
      <c r="BC166" s="219">
        <f t="shared" si="74"/>
        <v>0</v>
      </c>
      <c r="BD166" s="31">
        <f t="shared" si="75"/>
        <v>0</v>
      </c>
      <c r="BE166" s="219">
        <f t="shared" si="76"/>
        <v>0</v>
      </c>
      <c r="BF166" s="31">
        <f t="shared" si="77"/>
        <v>0</v>
      </c>
      <c r="BG166" s="219">
        <f t="shared" si="78"/>
        <v>0</v>
      </c>
      <c r="BH166" s="31">
        <f t="shared" si="79"/>
        <v>0</v>
      </c>
      <c r="BI166" s="219">
        <f t="shared" si="80"/>
        <v>0</v>
      </c>
      <c r="BJ166" s="31">
        <f t="shared" si="81"/>
        <v>0</v>
      </c>
      <c r="BK166" s="219">
        <f t="shared" si="82"/>
        <v>0</v>
      </c>
      <c r="BL166" s="31">
        <f t="shared" si="83"/>
        <v>0</v>
      </c>
      <c r="BM166" s="219">
        <f t="shared" si="84"/>
        <v>0</v>
      </c>
      <c r="BN166" s="31">
        <f t="shared" si="85"/>
        <v>0</v>
      </c>
      <c r="BO166" s="219">
        <f t="shared" si="86"/>
        <v>0</v>
      </c>
    </row>
    <row r="167" spans="1:67" x14ac:dyDescent="0.25">
      <c r="A167" s="157" t="s">
        <v>2122</v>
      </c>
      <c r="B167" s="176" t="str">
        <f>VLOOKUP(A167,kurspris!$A$1:$B$992,2,FALSE)</f>
        <v>Svenska som andraspråk A, Det mångkulturella klassrummet</v>
      </c>
      <c r="C167" s="35"/>
      <c r="D167" s="31" t="s">
        <v>117</v>
      </c>
      <c r="F167" s="31" t="s">
        <v>2273</v>
      </c>
      <c r="L167" s="38">
        <v>0.25</v>
      </c>
      <c r="M167" s="325">
        <v>7.5</v>
      </c>
      <c r="P167" s="31">
        <v>15</v>
      </c>
      <c r="Q167" s="196">
        <f t="shared" si="88"/>
        <v>1.875</v>
      </c>
      <c r="R167" s="38">
        <v>0.8</v>
      </c>
      <c r="S167" s="280">
        <f t="shared" si="59"/>
        <v>1.5</v>
      </c>
      <c r="T167" s="31">
        <f>VLOOKUP(A167,'Ansvar kurs'!$A$1:$C$1123,2,FALSE)</f>
        <v>1620</v>
      </c>
      <c r="U167" s="31" t="str">
        <f>VLOOKUP(T167,Orgenheter!$A$1:$C$166,2,FALSE)</f>
        <v>Inst för språkstudier</v>
      </c>
      <c r="V167" s="31" t="str">
        <f>VLOOKUP(T167,Orgenheter!$A$1:$C$166,3,FALSE)</f>
        <v>Hum</v>
      </c>
      <c r="W167" s="35" t="str">
        <f>VLOOKUP(D167,Program!$A$1:$B$36,2,FALSE)</f>
        <v>Fristående och övriga kurser</v>
      </c>
      <c r="X167" s="40">
        <f>VLOOKUP(A167,kurspris!$A$1:$Q$913,15,FALSE)</f>
        <v>20766</v>
      </c>
      <c r="Y167" s="40">
        <f>VLOOKUP(A167,kurspris!$A$1:$Q$913,16,FALSE)</f>
        <v>17442</v>
      </c>
      <c r="Z167" s="40">
        <f t="shared" si="60"/>
        <v>65099.25</v>
      </c>
      <c r="AA167" s="40">
        <f>VLOOKUP(A167,kurspris!$A$1:$Q$913,17,FALSE)</f>
        <v>6000</v>
      </c>
      <c r="AB167" s="40">
        <f t="shared" si="61"/>
        <v>11250</v>
      </c>
      <c r="AC167" s="40">
        <f t="shared" si="62"/>
        <v>76349.25</v>
      </c>
      <c r="AD167" s="31">
        <f>VLOOKUP($A167,kurspris!$A$1:$Q$950,3,FALSE)</f>
        <v>0</v>
      </c>
      <c r="AE167" s="31">
        <f>VLOOKUP($A167,kurspris!$A$1:$Q$950,4,FALSE)</f>
        <v>1</v>
      </c>
      <c r="AF167" s="31">
        <f>VLOOKUP($A167,kurspris!$A$1:$Q$950,5,FALSE)</f>
        <v>0</v>
      </c>
      <c r="AG167" s="31">
        <f>VLOOKUP($A167,kurspris!$A$1:$Q$950,6,FALSE)</f>
        <v>0</v>
      </c>
      <c r="AH167" s="31">
        <f>VLOOKUP($A167,kurspris!$A$1:$Q$950,7,FALSE)</f>
        <v>0</v>
      </c>
      <c r="AI167" s="31">
        <f>VLOOKUP($A167,kurspris!$A$1:$Q$950,8,FALSE)</f>
        <v>0</v>
      </c>
      <c r="AJ167" s="31">
        <f>VLOOKUP($A167,kurspris!$A$1:$Q$950,9,FALSE)</f>
        <v>0</v>
      </c>
      <c r="AK167" s="31">
        <f>VLOOKUP($A167,kurspris!$A$1:$Q$950,10,FALSE)</f>
        <v>0</v>
      </c>
      <c r="AL167" s="31">
        <f>VLOOKUP($A167,kurspris!$A$1:$Q$950,11,FALSE)</f>
        <v>0</v>
      </c>
      <c r="AM167" s="31">
        <f>VLOOKUP($A167,kurspris!$A$1:$Q$950,12,FALSE)</f>
        <v>0</v>
      </c>
      <c r="AN167" s="31">
        <f>VLOOKUP($A167,kurspris!$A$1:$Q$950,13,FALSE)</f>
        <v>0</v>
      </c>
      <c r="AO167" s="31">
        <f>VLOOKUP($A167,kurspris!$A$1:$Q$950,14,FALSE)</f>
        <v>0</v>
      </c>
      <c r="AP167" s="57" t="s">
        <v>2267</v>
      </c>
      <c r="AQ167" s="37"/>
      <c r="AR167" s="31">
        <f t="shared" si="63"/>
        <v>0</v>
      </c>
      <c r="AS167" s="219">
        <f t="shared" si="64"/>
        <v>0</v>
      </c>
      <c r="AT167" s="31">
        <f t="shared" si="65"/>
        <v>1.875</v>
      </c>
      <c r="AU167" s="219">
        <f t="shared" si="66"/>
        <v>1.5</v>
      </c>
      <c r="AV167" s="31">
        <f t="shared" si="67"/>
        <v>0</v>
      </c>
      <c r="AW167" s="31">
        <f t="shared" si="68"/>
        <v>0</v>
      </c>
      <c r="AX167" s="31">
        <f t="shared" si="69"/>
        <v>0</v>
      </c>
      <c r="AY167" s="219">
        <f t="shared" si="70"/>
        <v>0</v>
      </c>
      <c r="AZ167" s="196">
        <f t="shared" si="71"/>
        <v>0</v>
      </c>
      <c r="BA167" s="219">
        <f t="shared" si="72"/>
        <v>0</v>
      </c>
      <c r="BB167" s="31">
        <f t="shared" si="73"/>
        <v>0</v>
      </c>
      <c r="BC167" s="219">
        <f t="shared" si="74"/>
        <v>0</v>
      </c>
      <c r="BD167" s="31">
        <f t="shared" si="75"/>
        <v>0</v>
      </c>
      <c r="BE167" s="219">
        <f t="shared" si="76"/>
        <v>0</v>
      </c>
      <c r="BF167" s="31">
        <f t="shared" si="77"/>
        <v>0</v>
      </c>
      <c r="BG167" s="219">
        <f t="shared" si="78"/>
        <v>0</v>
      </c>
      <c r="BH167" s="31">
        <f t="shared" si="79"/>
        <v>0</v>
      </c>
      <c r="BI167" s="219">
        <f t="shared" si="80"/>
        <v>0</v>
      </c>
      <c r="BJ167" s="31">
        <f t="shared" si="81"/>
        <v>0</v>
      </c>
      <c r="BK167" s="219">
        <f t="shared" si="82"/>
        <v>0</v>
      </c>
      <c r="BL167" s="31">
        <f t="shared" si="83"/>
        <v>0</v>
      </c>
      <c r="BM167" s="219">
        <f t="shared" si="84"/>
        <v>0</v>
      </c>
      <c r="BN167" s="31">
        <f t="shared" si="85"/>
        <v>0</v>
      </c>
      <c r="BO167" s="219">
        <f t="shared" si="86"/>
        <v>0</v>
      </c>
    </row>
    <row r="168" spans="1:67" x14ac:dyDescent="0.25">
      <c r="A168" s="157" t="s">
        <v>2123</v>
      </c>
      <c r="B168" s="176" t="str">
        <f>VLOOKUP(A168,kurspris!$A$1:$B$992,2,FALSE)</f>
        <v>Svenska som andraspråk B, delkurs 1</v>
      </c>
      <c r="C168" s="35"/>
      <c r="D168" s="31" t="s">
        <v>117</v>
      </c>
      <c r="F168" s="60" t="s">
        <v>2273</v>
      </c>
      <c r="L168" s="38">
        <v>0.25</v>
      </c>
      <c r="M168" s="325">
        <v>7.5</v>
      </c>
      <c r="P168" s="31">
        <v>15</v>
      </c>
      <c r="Q168" s="196">
        <f t="shared" si="88"/>
        <v>1.875</v>
      </c>
      <c r="R168" s="38">
        <v>0.8</v>
      </c>
      <c r="S168" s="280">
        <f t="shared" si="59"/>
        <v>1.5</v>
      </c>
      <c r="T168" s="31">
        <f>VLOOKUP(A168,'Ansvar kurs'!$A$1:$C$1123,2,FALSE)</f>
        <v>1620</v>
      </c>
      <c r="U168" s="31" t="str">
        <f>VLOOKUP(T168,Orgenheter!$A$1:$C$166,2,FALSE)</f>
        <v>Inst för språkstudier</v>
      </c>
      <c r="V168" s="31" t="str">
        <f>VLOOKUP(T168,Orgenheter!$A$1:$C$166,3,FALSE)</f>
        <v>Hum</v>
      </c>
      <c r="W168" s="35" t="str">
        <f>VLOOKUP(D168,Program!$A$1:$B$36,2,FALSE)</f>
        <v>Fristående och övriga kurser</v>
      </c>
      <c r="X168" s="40">
        <f>VLOOKUP(A168,kurspris!$A$1:$Q$913,15,FALSE)</f>
        <v>20766</v>
      </c>
      <c r="Y168" s="40">
        <f>VLOOKUP(A168,kurspris!$A$1:$Q$913,16,FALSE)</f>
        <v>17442</v>
      </c>
      <c r="Z168" s="40">
        <f t="shared" si="60"/>
        <v>65099.25</v>
      </c>
      <c r="AA168" s="40">
        <f>VLOOKUP(A168,kurspris!$A$1:$Q$913,17,FALSE)</f>
        <v>6000</v>
      </c>
      <c r="AB168" s="40">
        <f t="shared" si="61"/>
        <v>11250</v>
      </c>
      <c r="AC168" s="40">
        <f t="shared" si="62"/>
        <v>76349.25</v>
      </c>
      <c r="AD168" s="31">
        <f>VLOOKUP($A168,kurspris!$A$1:$Q$950,3,FALSE)</f>
        <v>0</v>
      </c>
      <c r="AE168" s="31">
        <f>VLOOKUP($A168,kurspris!$A$1:$Q$950,4,FALSE)</f>
        <v>1</v>
      </c>
      <c r="AF168" s="31">
        <f>VLOOKUP($A168,kurspris!$A$1:$Q$950,5,FALSE)</f>
        <v>0</v>
      </c>
      <c r="AG168" s="31">
        <f>VLOOKUP($A168,kurspris!$A$1:$Q$950,6,FALSE)</f>
        <v>0</v>
      </c>
      <c r="AH168" s="31">
        <f>VLOOKUP($A168,kurspris!$A$1:$Q$950,7,FALSE)</f>
        <v>0</v>
      </c>
      <c r="AI168" s="31">
        <f>VLOOKUP($A168,kurspris!$A$1:$Q$950,8,FALSE)</f>
        <v>0</v>
      </c>
      <c r="AJ168" s="31">
        <f>VLOOKUP($A168,kurspris!$A$1:$Q$950,9,FALSE)</f>
        <v>0</v>
      </c>
      <c r="AK168" s="31">
        <f>VLOOKUP($A168,kurspris!$A$1:$Q$950,10,FALSE)</f>
        <v>0</v>
      </c>
      <c r="AL168" s="31">
        <f>VLOOKUP($A168,kurspris!$A$1:$Q$950,11,FALSE)</f>
        <v>0</v>
      </c>
      <c r="AM168" s="31">
        <f>VLOOKUP($A168,kurspris!$A$1:$Q$950,12,FALSE)</f>
        <v>0</v>
      </c>
      <c r="AN168" s="31">
        <f>VLOOKUP($A168,kurspris!$A$1:$Q$950,13,FALSE)</f>
        <v>0</v>
      </c>
      <c r="AO168" s="31">
        <f>VLOOKUP($A168,kurspris!$A$1:$Q$950,14,FALSE)</f>
        <v>0</v>
      </c>
      <c r="AP168" s="57" t="s">
        <v>2267</v>
      </c>
      <c r="AQ168" s="37"/>
      <c r="AR168" s="31">
        <f t="shared" si="63"/>
        <v>0</v>
      </c>
      <c r="AS168" s="219">
        <f t="shared" si="64"/>
        <v>0</v>
      </c>
      <c r="AT168" s="31">
        <f t="shared" si="65"/>
        <v>1.875</v>
      </c>
      <c r="AU168" s="219">
        <f t="shared" si="66"/>
        <v>1.5</v>
      </c>
      <c r="AV168" s="31">
        <f t="shared" si="67"/>
        <v>0</v>
      </c>
      <c r="AW168" s="31">
        <f t="shared" si="68"/>
        <v>0</v>
      </c>
      <c r="AX168" s="31">
        <f t="shared" si="69"/>
        <v>0</v>
      </c>
      <c r="AY168" s="219">
        <f t="shared" si="70"/>
        <v>0</v>
      </c>
      <c r="AZ168" s="196">
        <f t="shared" si="71"/>
        <v>0</v>
      </c>
      <c r="BA168" s="219">
        <f t="shared" si="72"/>
        <v>0</v>
      </c>
      <c r="BB168" s="31">
        <f t="shared" si="73"/>
        <v>0</v>
      </c>
      <c r="BC168" s="219">
        <f t="shared" si="74"/>
        <v>0</v>
      </c>
      <c r="BD168" s="31">
        <f t="shared" si="75"/>
        <v>0</v>
      </c>
      <c r="BE168" s="219">
        <f t="shared" si="76"/>
        <v>0</v>
      </c>
      <c r="BF168" s="31">
        <f t="shared" si="77"/>
        <v>0</v>
      </c>
      <c r="BG168" s="219">
        <f t="shared" si="78"/>
        <v>0</v>
      </c>
      <c r="BH168" s="31">
        <f t="shared" si="79"/>
        <v>0</v>
      </c>
      <c r="BI168" s="219">
        <f t="shared" si="80"/>
        <v>0</v>
      </c>
      <c r="BJ168" s="31">
        <f t="shared" si="81"/>
        <v>0</v>
      </c>
      <c r="BK168" s="219">
        <f t="shared" si="82"/>
        <v>0</v>
      </c>
      <c r="BL168" s="31">
        <f t="shared" si="83"/>
        <v>0</v>
      </c>
      <c r="BM168" s="219">
        <f t="shared" si="84"/>
        <v>0</v>
      </c>
      <c r="BN168" s="31">
        <f t="shared" si="85"/>
        <v>0</v>
      </c>
      <c r="BO168" s="219">
        <f t="shared" si="86"/>
        <v>0</v>
      </c>
    </row>
    <row r="169" spans="1:67" x14ac:dyDescent="0.25">
      <c r="A169" s="157" t="s">
        <v>2292</v>
      </c>
      <c r="B169" s="176" t="str">
        <f>VLOOKUP(A169,kurspris!$A$1:$B$992,2,FALSE)</f>
        <v xml:space="preserve">Ämnesdidaktik, Att analysera och utveckla lärande och undervisning i språkliga kontexter </v>
      </c>
      <c r="C169" s="35"/>
      <c r="D169" s="31" t="s">
        <v>117</v>
      </c>
      <c r="F169" s="60" t="s">
        <v>2273</v>
      </c>
      <c r="I169" s="31" t="s">
        <v>2275</v>
      </c>
      <c r="L169" s="38">
        <v>0.25</v>
      </c>
      <c r="M169" s="325">
        <v>7.5</v>
      </c>
      <c r="P169" s="31">
        <v>6</v>
      </c>
      <c r="Q169" s="196">
        <f t="shared" si="88"/>
        <v>0.75</v>
      </c>
      <c r="R169" s="38">
        <v>0.8</v>
      </c>
      <c r="S169" s="280">
        <f t="shared" si="59"/>
        <v>0.60000000000000009</v>
      </c>
      <c r="T169" s="31">
        <f>VLOOKUP(A169,'Ansvar kurs'!$A$1:$C$1123,2,FALSE)</f>
        <v>1620</v>
      </c>
      <c r="U169" s="31" t="str">
        <f>VLOOKUP(T169,Orgenheter!$A$1:$C$166,2,FALSE)</f>
        <v>Inst för språkstudier</v>
      </c>
      <c r="V169" s="31" t="str">
        <f>VLOOKUP(T169,Orgenheter!$A$1:$C$166,3,FALSE)</f>
        <v>Hum</v>
      </c>
      <c r="W169" s="35" t="str">
        <f>VLOOKUP(D169,Program!$A$1:$B$36,2,FALSE)</f>
        <v>Fristående och övriga kurser</v>
      </c>
      <c r="X169" s="40">
        <f>VLOOKUP(A169,kurspris!$A$1:$Q$913,15,FALSE)</f>
        <v>20766</v>
      </c>
      <c r="Y169" s="40">
        <f>VLOOKUP(A169,kurspris!$A$1:$Q$913,16,FALSE)</f>
        <v>17442</v>
      </c>
      <c r="Z169" s="40">
        <f t="shared" si="60"/>
        <v>26039.7</v>
      </c>
      <c r="AA169" s="40">
        <f>VLOOKUP(A169,kurspris!$A$1:$Q$913,17,FALSE)</f>
        <v>6000</v>
      </c>
      <c r="AB169" s="40">
        <f t="shared" si="61"/>
        <v>4500</v>
      </c>
      <c r="AC169" s="40">
        <f t="shared" si="62"/>
        <v>30539.7</v>
      </c>
      <c r="AD169" s="31">
        <f>VLOOKUP($A169,kurspris!$A$1:$Q$950,3,FALSE)</f>
        <v>0</v>
      </c>
      <c r="AE169" s="31">
        <f>VLOOKUP($A169,kurspris!$A$1:$Q$950,4,FALSE)</f>
        <v>1</v>
      </c>
      <c r="AF169" s="31">
        <f>VLOOKUP($A169,kurspris!$A$1:$Q$950,5,FALSE)</f>
        <v>0</v>
      </c>
      <c r="AG169" s="31">
        <f>VLOOKUP($A169,kurspris!$A$1:$Q$950,6,FALSE)</f>
        <v>0</v>
      </c>
      <c r="AH169" s="31">
        <f>VLOOKUP($A169,kurspris!$A$1:$Q$950,7,FALSE)</f>
        <v>0</v>
      </c>
      <c r="AI169" s="31">
        <f>VLOOKUP($A169,kurspris!$A$1:$Q$950,8,FALSE)</f>
        <v>0</v>
      </c>
      <c r="AJ169" s="31">
        <f>VLOOKUP($A169,kurspris!$A$1:$Q$950,9,FALSE)</f>
        <v>0</v>
      </c>
      <c r="AK169" s="31">
        <f>VLOOKUP($A169,kurspris!$A$1:$Q$950,10,FALSE)</f>
        <v>0</v>
      </c>
      <c r="AL169" s="31">
        <f>VLOOKUP($A169,kurspris!$A$1:$Q$950,11,FALSE)</f>
        <v>0</v>
      </c>
      <c r="AM169" s="31">
        <f>VLOOKUP($A169,kurspris!$A$1:$Q$950,12,FALSE)</f>
        <v>0</v>
      </c>
      <c r="AN169" s="31">
        <f>VLOOKUP($A169,kurspris!$A$1:$Q$950,13,FALSE)</f>
        <v>0</v>
      </c>
      <c r="AO169" s="31">
        <f>VLOOKUP($A169,kurspris!$A$1:$Q$950,14,FALSE)</f>
        <v>0</v>
      </c>
      <c r="AP169" s="57" t="s">
        <v>2267</v>
      </c>
      <c r="AQ169" s="37"/>
      <c r="AR169" s="31">
        <f t="shared" si="63"/>
        <v>0</v>
      </c>
      <c r="AS169" s="219">
        <f t="shared" si="64"/>
        <v>0</v>
      </c>
      <c r="AT169" s="31">
        <f t="shared" si="65"/>
        <v>0.75</v>
      </c>
      <c r="AU169" s="219">
        <f t="shared" si="66"/>
        <v>0.60000000000000009</v>
      </c>
      <c r="AV169" s="31">
        <f t="shared" si="67"/>
        <v>0</v>
      </c>
      <c r="AW169" s="31">
        <f t="shared" si="68"/>
        <v>0</v>
      </c>
      <c r="AX169" s="31">
        <f t="shared" si="69"/>
        <v>0</v>
      </c>
      <c r="AY169" s="219">
        <f t="shared" si="70"/>
        <v>0</v>
      </c>
      <c r="AZ169" s="196">
        <f t="shared" si="71"/>
        <v>0</v>
      </c>
      <c r="BA169" s="219">
        <f t="shared" si="72"/>
        <v>0</v>
      </c>
      <c r="BB169" s="31">
        <f t="shared" si="73"/>
        <v>0</v>
      </c>
      <c r="BC169" s="219">
        <f t="shared" si="74"/>
        <v>0</v>
      </c>
      <c r="BD169" s="31">
        <f t="shared" si="75"/>
        <v>0</v>
      </c>
      <c r="BE169" s="219">
        <f t="shared" si="76"/>
        <v>0</v>
      </c>
      <c r="BF169" s="31">
        <f t="shared" si="77"/>
        <v>0</v>
      </c>
      <c r="BG169" s="219">
        <f t="shared" si="78"/>
        <v>0</v>
      </c>
      <c r="BH169" s="31">
        <f t="shared" si="79"/>
        <v>0</v>
      </c>
      <c r="BI169" s="219">
        <f t="shared" si="80"/>
        <v>0</v>
      </c>
      <c r="BJ169" s="31">
        <f t="shared" si="81"/>
        <v>0</v>
      </c>
      <c r="BK169" s="219">
        <f t="shared" si="82"/>
        <v>0</v>
      </c>
      <c r="BL169" s="31">
        <f t="shared" si="83"/>
        <v>0</v>
      </c>
      <c r="BM169" s="219">
        <f t="shared" si="84"/>
        <v>0</v>
      </c>
      <c r="BN169" s="31">
        <f t="shared" si="85"/>
        <v>0</v>
      </c>
      <c r="BO169" s="219">
        <f t="shared" si="86"/>
        <v>0</v>
      </c>
    </row>
    <row r="170" spans="1:67" x14ac:dyDescent="0.25">
      <c r="A170" s="31" t="s">
        <v>1697</v>
      </c>
      <c r="B170" s="176" t="str">
        <f>VLOOKUP(A170,kurspris!$A$1:$B$992,2,FALSE)</f>
        <v>Astronomi och meteorologi</v>
      </c>
      <c r="D170" s="31" t="s">
        <v>117</v>
      </c>
      <c r="F170" s="60" t="s">
        <v>2273</v>
      </c>
      <c r="I170" s="60" t="s">
        <v>2275</v>
      </c>
      <c r="L170" s="38">
        <v>0.25</v>
      </c>
      <c r="M170" s="325">
        <v>7.5</v>
      </c>
      <c r="P170" s="31">
        <v>24</v>
      </c>
      <c r="Q170" s="196">
        <f t="shared" si="88"/>
        <v>3</v>
      </c>
      <c r="R170" s="38">
        <v>0.8</v>
      </c>
      <c r="S170" s="280">
        <f t="shared" si="59"/>
        <v>2.4000000000000004</v>
      </c>
      <c r="T170" s="31">
        <f>VLOOKUP(A170,'Ansvar kurs'!$A$1:$C$1123,2,FALSE)</f>
        <v>5400</v>
      </c>
      <c r="U170" s="31" t="str">
        <f>VLOOKUP(T170,Orgenheter!$A$1:$C$166,2,FALSE)</f>
        <v xml:space="preserve">Inst för Fysik                </v>
      </c>
      <c r="V170" s="31" t="str">
        <f>VLOOKUP(T170,Orgenheter!$A$1:$C$166,3,FALSE)</f>
        <v>TekNat</v>
      </c>
      <c r="W170" s="35" t="str">
        <f>VLOOKUP(D170,Program!$A$1:$B$36,2,FALSE)</f>
        <v>Fristående och övriga kurser</v>
      </c>
      <c r="X170" s="40">
        <f>VLOOKUP(A170,kurspris!$A$1:$Q$913,15,FALSE)</f>
        <v>20757</v>
      </c>
      <c r="Y170" s="40">
        <f>VLOOKUP(A170,kurspris!$A$1:$Q$913,16,FALSE)</f>
        <v>36082</v>
      </c>
      <c r="Z170" s="40">
        <f t="shared" si="60"/>
        <v>148867.80000000002</v>
      </c>
      <c r="AA170" s="40">
        <f>VLOOKUP(A170,kurspris!$A$1:$Q$913,17,FALSE)</f>
        <v>22600</v>
      </c>
      <c r="AB170" s="40">
        <f t="shared" si="61"/>
        <v>67800</v>
      </c>
      <c r="AC170" s="40">
        <f t="shared" si="62"/>
        <v>216667.80000000002</v>
      </c>
      <c r="AD170" s="31">
        <f>VLOOKUP($A170,kurspris!$A$1:$Q$950,3,FALSE)</f>
        <v>0</v>
      </c>
      <c r="AE170" s="31">
        <f>VLOOKUP($A170,kurspris!$A$1:$Q$950,4,FALSE)</f>
        <v>0</v>
      </c>
      <c r="AF170" s="31">
        <f>VLOOKUP($A170,kurspris!$A$1:$Q$950,5,FALSE)</f>
        <v>0</v>
      </c>
      <c r="AG170" s="31">
        <f>VLOOKUP($A170,kurspris!$A$1:$Q$950,6,FALSE)</f>
        <v>0</v>
      </c>
      <c r="AH170" s="31">
        <f>VLOOKUP($A170,kurspris!$A$1:$Q$950,7,FALSE)</f>
        <v>0</v>
      </c>
      <c r="AI170" s="31">
        <f>VLOOKUP($A170,kurspris!$A$1:$Q$950,8,FALSE)</f>
        <v>0.5</v>
      </c>
      <c r="AJ170" s="31">
        <f>VLOOKUP($A170,kurspris!$A$1:$Q$950,9,FALSE)</f>
        <v>0</v>
      </c>
      <c r="AK170" s="31">
        <f>VLOOKUP($A170,kurspris!$A$1:$Q$950,10,FALSE)</f>
        <v>0.5</v>
      </c>
      <c r="AL170" s="31">
        <f>VLOOKUP($A170,kurspris!$A$1:$Q$950,11,FALSE)</f>
        <v>0</v>
      </c>
      <c r="AM170" s="31">
        <f>VLOOKUP($A170,kurspris!$A$1:$Q$950,12,FALSE)</f>
        <v>0</v>
      </c>
      <c r="AN170" s="31">
        <f>VLOOKUP($A170,kurspris!$A$1:$Q$950,13,FALSE)</f>
        <v>0</v>
      </c>
      <c r="AO170" s="31">
        <f>VLOOKUP($A170,kurspris!$A$1:$Q$950,14,FALSE)</f>
        <v>0</v>
      </c>
      <c r="AP170" s="57" t="s">
        <v>2267</v>
      </c>
      <c r="AQ170" s="37"/>
      <c r="AR170" s="31">
        <f t="shared" si="63"/>
        <v>0</v>
      </c>
      <c r="AS170" s="219">
        <f t="shared" si="64"/>
        <v>0</v>
      </c>
      <c r="AT170" s="31">
        <f t="shared" si="65"/>
        <v>0</v>
      </c>
      <c r="AU170" s="219">
        <f t="shared" si="66"/>
        <v>0</v>
      </c>
      <c r="AV170" s="31">
        <f t="shared" si="67"/>
        <v>0</v>
      </c>
      <c r="AW170" s="31">
        <f t="shared" si="68"/>
        <v>0</v>
      </c>
      <c r="AX170" s="31">
        <f t="shared" si="69"/>
        <v>0</v>
      </c>
      <c r="AY170" s="219">
        <f t="shared" si="70"/>
        <v>0</v>
      </c>
      <c r="AZ170" s="196">
        <f t="shared" si="71"/>
        <v>0</v>
      </c>
      <c r="BA170" s="219">
        <f t="shared" si="72"/>
        <v>0</v>
      </c>
      <c r="BB170" s="31">
        <f t="shared" si="73"/>
        <v>1.5</v>
      </c>
      <c r="BC170" s="219">
        <f t="shared" si="74"/>
        <v>1.2000000000000002</v>
      </c>
      <c r="BD170" s="31">
        <f t="shared" si="75"/>
        <v>0</v>
      </c>
      <c r="BE170" s="219">
        <f t="shared" si="76"/>
        <v>0</v>
      </c>
      <c r="BF170" s="31">
        <f t="shared" si="77"/>
        <v>1.5</v>
      </c>
      <c r="BG170" s="219">
        <f t="shared" si="78"/>
        <v>1.2000000000000002</v>
      </c>
      <c r="BH170" s="31">
        <f t="shared" si="79"/>
        <v>0</v>
      </c>
      <c r="BI170" s="219">
        <f t="shared" si="80"/>
        <v>0</v>
      </c>
      <c r="BJ170" s="31">
        <f t="shared" si="81"/>
        <v>0</v>
      </c>
      <c r="BK170" s="219">
        <f t="shared" si="82"/>
        <v>0</v>
      </c>
      <c r="BL170" s="31">
        <f t="shared" si="83"/>
        <v>0</v>
      </c>
      <c r="BM170" s="219">
        <f t="shared" si="84"/>
        <v>0</v>
      </c>
      <c r="BN170" s="31">
        <f t="shared" si="85"/>
        <v>0</v>
      </c>
      <c r="BO170" s="219">
        <f t="shared" si="86"/>
        <v>0</v>
      </c>
    </row>
    <row r="171" spans="1:67" x14ac:dyDescent="0.25">
      <c r="A171" s="31" t="s">
        <v>1697</v>
      </c>
      <c r="B171" s="176" t="str">
        <f>VLOOKUP(A171,kurspris!$A$1:$B$992,2,FALSE)</f>
        <v>Astronomi och meteorologi</v>
      </c>
      <c r="D171" s="60" t="s">
        <v>482</v>
      </c>
      <c r="E171" s="576" t="s">
        <v>2432</v>
      </c>
      <c r="F171" s="31" t="s">
        <v>2273</v>
      </c>
      <c r="G171" t="s">
        <v>2458</v>
      </c>
      <c r="H171" t="s">
        <v>2335</v>
      </c>
      <c r="J171" s="31" t="s">
        <v>2235</v>
      </c>
      <c r="L171" s="38">
        <v>0.25</v>
      </c>
      <c r="M171">
        <v>7.5</v>
      </c>
      <c r="P171" s="31">
        <v>1</v>
      </c>
      <c r="Q171" s="196">
        <f t="shared" si="88"/>
        <v>0.125</v>
      </c>
      <c r="R171" s="38">
        <v>0.85</v>
      </c>
      <c r="S171" s="280">
        <f t="shared" si="59"/>
        <v>0.10625</v>
      </c>
      <c r="T171" s="31">
        <f>VLOOKUP(A171,'Ansvar kurs'!$A$1:$C$1123,2,FALSE)</f>
        <v>5400</v>
      </c>
      <c r="U171" s="31" t="str">
        <f>VLOOKUP(T171,Orgenheter!$A$1:$C$166,2,FALSE)</f>
        <v xml:space="preserve">Inst för Fysik                </v>
      </c>
      <c r="V171" s="31" t="str">
        <f>VLOOKUP(T171,Orgenheter!$A$1:$C$166,3,FALSE)</f>
        <v>TekNat</v>
      </c>
      <c r="W171" s="35" t="str">
        <f>VLOOKUP(D171,Program!$A$1:$B$36,2,FALSE)</f>
        <v>Ämneslärarprogrammet - Gy</v>
      </c>
      <c r="X171" s="40">
        <f>VLOOKUP(A171,kurspris!$A$1:$Q$913,15,FALSE)</f>
        <v>20757</v>
      </c>
      <c r="Y171" s="40">
        <f>VLOOKUP(A171,kurspris!$A$1:$Q$913,16,FALSE)</f>
        <v>36082</v>
      </c>
      <c r="Z171" s="40">
        <f t="shared" si="60"/>
        <v>6428.3374999999996</v>
      </c>
      <c r="AA171" s="40">
        <f>VLOOKUP(A171,kurspris!$A$1:$Q$913,17,FALSE)</f>
        <v>22600</v>
      </c>
      <c r="AB171" s="40">
        <f t="shared" si="61"/>
        <v>2825</v>
      </c>
      <c r="AC171" s="40">
        <f t="shared" si="62"/>
        <v>9253.3374999999996</v>
      </c>
      <c r="AD171" s="31">
        <f>VLOOKUP($A171,kurspris!$A$1:$Q$950,3,FALSE)</f>
        <v>0</v>
      </c>
      <c r="AE171" s="31">
        <f>VLOOKUP($A171,kurspris!$A$1:$Q$950,4,FALSE)</f>
        <v>0</v>
      </c>
      <c r="AF171" s="31">
        <f>VLOOKUP($A171,kurspris!$A$1:$Q$950,5,FALSE)</f>
        <v>0</v>
      </c>
      <c r="AG171" s="31">
        <f>VLOOKUP($A171,kurspris!$A$1:$Q$950,6,FALSE)</f>
        <v>0</v>
      </c>
      <c r="AH171" s="31">
        <f>VLOOKUP($A171,kurspris!$A$1:$Q$950,7,FALSE)</f>
        <v>0</v>
      </c>
      <c r="AI171" s="31">
        <f>VLOOKUP($A171,kurspris!$A$1:$Q$950,8,FALSE)</f>
        <v>0.5</v>
      </c>
      <c r="AJ171" s="31">
        <f>VLOOKUP($A171,kurspris!$A$1:$Q$950,9,FALSE)</f>
        <v>0</v>
      </c>
      <c r="AK171" s="31">
        <f>VLOOKUP($A171,kurspris!$A$1:$Q$950,10,FALSE)</f>
        <v>0.5</v>
      </c>
      <c r="AL171" s="31">
        <f>VLOOKUP($A171,kurspris!$A$1:$Q$950,11,FALSE)</f>
        <v>0</v>
      </c>
      <c r="AM171" s="31">
        <f>VLOOKUP($A171,kurspris!$A$1:$Q$950,12,FALSE)</f>
        <v>0</v>
      </c>
      <c r="AN171" s="31">
        <f>VLOOKUP($A171,kurspris!$A$1:$Q$950,13,FALSE)</f>
        <v>0</v>
      </c>
      <c r="AO171" s="31">
        <f>VLOOKUP($A171,kurspris!$A$1:$Q$950,14,FALSE)</f>
        <v>0</v>
      </c>
      <c r="AP171" s="57" t="s">
        <v>2506</v>
      </c>
      <c r="AQ171"/>
      <c r="AR171" s="31">
        <f t="shared" si="63"/>
        <v>0</v>
      </c>
      <c r="AS171" s="219">
        <f t="shared" si="64"/>
        <v>0</v>
      </c>
      <c r="AT171" s="31">
        <f t="shared" si="65"/>
        <v>0</v>
      </c>
      <c r="AU171" s="219">
        <f t="shared" si="66"/>
        <v>0</v>
      </c>
      <c r="AV171" s="31">
        <f t="shared" si="67"/>
        <v>0</v>
      </c>
      <c r="AW171" s="31">
        <f t="shared" si="68"/>
        <v>0</v>
      </c>
      <c r="AX171" s="31">
        <f t="shared" si="69"/>
        <v>0</v>
      </c>
      <c r="AY171" s="219">
        <f t="shared" si="70"/>
        <v>0</v>
      </c>
      <c r="AZ171" s="196">
        <f t="shared" si="71"/>
        <v>0</v>
      </c>
      <c r="BA171" s="219">
        <f t="shared" si="72"/>
        <v>0</v>
      </c>
      <c r="BB171" s="31">
        <f t="shared" si="73"/>
        <v>6.25E-2</v>
      </c>
      <c r="BC171" s="219">
        <f t="shared" si="74"/>
        <v>5.3124999999999999E-2</v>
      </c>
      <c r="BD171" s="31">
        <f t="shared" si="75"/>
        <v>0</v>
      </c>
      <c r="BE171" s="219">
        <f t="shared" si="76"/>
        <v>0</v>
      </c>
      <c r="BF171" s="31">
        <f t="shared" si="77"/>
        <v>6.25E-2</v>
      </c>
      <c r="BG171" s="219">
        <f t="shared" si="78"/>
        <v>5.3124999999999999E-2</v>
      </c>
      <c r="BH171" s="31">
        <f t="shared" si="79"/>
        <v>0</v>
      </c>
      <c r="BI171" s="219">
        <f t="shared" si="80"/>
        <v>0</v>
      </c>
      <c r="BJ171" s="31">
        <f t="shared" si="81"/>
        <v>0</v>
      </c>
      <c r="BK171" s="219">
        <f t="shared" si="82"/>
        <v>0</v>
      </c>
      <c r="BL171" s="31">
        <f t="shared" si="83"/>
        <v>0</v>
      </c>
      <c r="BM171" s="219">
        <f t="shared" si="84"/>
        <v>0</v>
      </c>
      <c r="BN171" s="31">
        <f t="shared" si="85"/>
        <v>0</v>
      </c>
      <c r="BO171" s="219">
        <f t="shared" si="86"/>
        <v>0</v>
      </c>
    </row>
    <row r="172" spans="1:67" x14ac:dyDescent="0.25">
      <c r="A172" s="31" t="s">
        <v>1465</v>
      </c>
      <c r="B172" s="176" t="str">
        <f>VLOOKUP(A172,kurspris!$A$1:$B$992,2,FALSE)</f>
        <v>Fysikdidaktik för ämneslärare för åk 7-9</v>
      </c>
      <c r="C172" s="31">
        <v>62500</v>
      </c>
      <c r="D172" s="60" t="s">
        <v>117</v>
      </c>
      <c r="E172" s="60"/>
      <c r="F172" s="57" t="s">
        <v>2274</v>
      </c>
      <c r="H172" s="31" t="s">
        <v>2335</v>
      </c>
      <c r="I172" s="31" t="s">
        <v>2399</v>
      </c>
      <c r="L172" s="38"/>
      <c r="M172">
        <v>7.5</v>
      </c>
      <c r="P172" s="31">
        <v>1</v>
      </c>
      <c r="Q172" s="539">
        <v>0.125</v>
      </c>
      <c r="R172" s="38">
        <v>0.8</v>
      </c>
      <c r="S172" s="280">
        <f t="shared" si="59"/>
        <v>0.1</v>
      </c>
      <c r="T172" s="31">
        <f>VLOOKUP(A172,'Ansvar kurs'!$A$1:$C$1123,2,FALSE)</f>
        <v>5740</v>
      </c>
      <c r="U172" s="31" t="str">
        <f>VLOOKUP(T172,Orgenheter!$A$1:$C$166,2,FALSE)</f>
        <v>NMD</v>
      </c>
      <c r="V172" s="31" t="str">
        <f>VLOOKUP(T172,Orgenheter!$A$1:$C$166,3,FALSE)</f>
        <v>TekNat</v>
      </c>
      <c r="W172" s="35" t="str">
        <f>VLOOKUP(D172,Program!$A$1:$B$36,2,FALSE)</f>
        <v>Fristående och övriga kurser</v>
      </c>
      <c r="X172" s="40">
        <f>VLOOKUP(A172,kurspris!$A$1:$Q$913,15,FALSE)</f>
        <v>20757</v>
      </c>
      <c r="Y172" s="40">
        <f>VLOOKUP(A172,kurspris!$A$1:$Q$913,16,FALSE)</f>
        <v>36082</v>
      </c>
      <c r="Z172" s="40">
        <f t="shared" si="60"/>
        <v>6202.8250000000007</v>
      </c>
      <c r="AA172" s="40">
        <f>VLOOKUP(A172,kurspris!$A$1:$Q$913,17,FALSE)</f>
        <v>22600</v>
      </c>
      <c r="AB172" s="40">
        <f t="shared" si="61"/>
        <v>2825</v>
      </c>
      <c r="AC172" s="40">
        <f t="shared" si="62"/>
        <v>9027.8250000000007</v>
      </c>
      <c r="AD172" s="31">
        <f>VLOOKUP($A172,kurspris!$A$1:$Q$950,3,FALSE)</f>
        <v>0</v>
      </c>
      <c r="AE172" s="31">
        <f>VLOOKUP($A172,kurspris!$A$1:$Q$950,4,FALSE)</f>
        <v>0</v>
      </c>
      <c r="AF172" s="31">
        <f>VLOOKUP($A172,kurspris!$A$1:$Q$950,5,FALSE)</f>
        <v>0</v>
      </c>
      <c r="AG172" s="31">
        <f>VLOOKUP($A172,kurspris!$A$1:$Q$950,6,FALSE)</f>
        <v>0</v>
      </c>
      <c r="AH172" s="31">
        <f>VLOOKUP($A172,kurspris!$A$1:$Q$950,7,FALSE)</f>
        <v>0</v>
      </c>
      <c r="AI172" s="31">
        <f>VLOOKUP($A172,kurspris!$A$1:$Q$950,8,FALSE)</f>
        <v>1</v>
      </c>
      <c r="AJ172" s="31">
        <f>VLOOKUP($A172,kurspris!$A$1:$Q$950,9,FALSE)</f>
        <v>0</v>
      </c>
      <c r="AK172" s="31">
        <f>VLOOKUP($A172,kurspris!$A$1:$Q$950,10,FALSE)</f>
        <v>0</v>
      </c>
      <c r="AL172" s="31">
        <f>VLOOKUP($A172,kurspris!$A$1:$Q$950,11,FALSE)</f>
        <v>0</v>
      </c>
      <c r="AM172" s="31">
        <f>VLOOKUP($A172,kurspris!$A$1:$Q$950,12,FALSE)</f>
        <v>0</v>
      </c>
      <c r="AN172" s="31">
        <f>VLOOKUP($A172,kurspris!$A$1:$Q$950,13,FALSE)</f>
        <v>0</v>
      </c>
      <c r="AO172" s="31">
        <f>VLOOKUP($A172,kurspris!$A$1:$Q$950,14,FALSE)</f>
        <v>0</v>
      </c>
      <c r="AP172" s="57" t="s">
        <v>2402</v>
      </c>
      <c r="AQ172"/>
      <c r="AR172" s="31">
        <f t="shared" si="63"/>
        <v>0</v>
      </c>
      <c r="AS172" s="219">
        <f t="shared" si="64"/>
        <v>0</v>
      </c>
      <c r="AT172" s="31">
        <f t="shared" si="65"/>
        <v>0</v>
      </c>
      <c r="AU172" s="219">
        <f t="shared" si="66"/>
        <v>0</v>
      </c>
      <c r="AV172" s="31">
        <f t="shared" si="67"/>
        <v>0</v>
      </c>
      <c r="AW172" s="31">
        <f t="shared" si="68"/>
        <v>0</v>
      </c>
      <c r="AX172" s="31">
        <f t="shared" si="69"/>
        <v>0</v>
      </c>
      <c r="AY172" s="219">
        <f t="shared" si="70"/>
        <v>0</v>
      </c>
      <c r="AZ172" s="196">
        <f t="shared" si="71"/>
        <v>0</v>
      </c>
      <c r="BA172" s="219">
        <f t="shared" si="72"/>
        <v>0</v>
      </c>
      <c r="BB172" s="31">
        <f t="shared" si="73"/>
        <v>0.125</v>
      </c>
      <c r="BC172" s="219">
        <f t="shared" si="74"/>
        <v>0.1</v>
      </c>
      <c r="BD172" s="31">
        <f t="shared" si="75"/>
        <v>0</v>
      </c>
      <c r="BE172" s="219">
        <f t="shared" si="76"/>
        <v>0</v>
      </c>
      <c r="BF172" s="31">
        <f t="shared" si="77"/>
        <v>0</v>
      </c>
      <c r="BG172" s="219">
        <f t="shared" si="78"/>
        <v>0</v>
      </c>
      <c r="BH172" s="31">
        <f t="shared" si="79"/>
        <v>0</v>
      </c>
      <c r="BI172" s="219">
        <f t="shared" si="80"/>
        <v>0</v>
      </c>
      <c r="BJ172" s="31">
        <f t="shared" si="81"/>
        <v>0</v>
      </c>
      <c r="BK172" s="219">
        <f t="shared" si="82"/>
        <v>0</v>
      </c>
      <c r="BL172" s="31">
        <f t="shared" si="83"/>
        <v>0</v>
      </c>
      <c r="BM172" s="219">
        <f t="shared" si="84"/>
        <v>0</v>
      </c>
      <c r="BN172" s="31">
        <f t="shared" si="85"/>
        <v>0</v>
      </c>
      <c r="BO172" s="219">
        <f t="shared" si="86"/>
        <v>0</v>
      </c>
    </row>
    <row r="173" spans="1:67" x14ac:dyDescent="0.25">
      <c r="A173" s="31" t="s">
        <v>1466</v>
      </c>
      <c r="B173" s="176" t="str">
        <f>VLOOKUP(A173,kurspris!$A$1:$B$992,2,FALSE)</f>
        <v>Fysikdidaktik 1 för ämneslärare för gymnasium</v>
      </c>
      <c r="C173" s="31">
        <v>62501</v>
      </c>
      <c r="D173" s="60" t="s">
        <v>117</v>
      </c>
      <c r="E173" s="60"/>
      <c r="F173" s="57" t="s">
        <v>2274</v>
      </c>
      <c r="H173" s="31" t="s">
        <v>2335</v>
      </c>
      <c r="I173" s="31" t="s">
        <v>2399</v>
      </c>
      <c r="L173" s="38"/>
      <c r="M173">
        <v>7.5</v>
      </c>
      <c r="P173" s="31">
        <v>1</v>
      </c>
      <c r="Q173" s="539">
        <v>0.125</v>
      </c>
      <c r="R173" s="38">
        <v>0.8</v>
      </c>
      <c r="S173" s="280">
        <f t="shared" si="59"/>
        <v>0.1</v>
      </c>
      <c r="T173" s="31">
        <f>VLOOKUP(A173,'Ansvar kurs'!$A$1:$C$1123,2,FALSE)</f>
        <v>5740</v>
      </c>
      <c r="U173" s="31" t="str">
        <f>VLOOKUP(T173,Orgenheter!$A$1:$C$166,2,FALSE)</f>
        <v>NMD</v>
      </c>
      <c r="V173" s="31" t="str">
        <f>VLOOKUP(T173,Orgenheter!$A$1:$C$166,3,FALSE)</f>
        <v>TekNat</v>
      </c>
      <c r="W173" s="35" t="str">
        <f>VLOOKUP(D173,Program!$A$1:$B$36,2,FALSE)</f>
        <v>Fristående och övriga kurser</v>
      </c>
      <c r="X173" s="40">
        <f>VLOOKUP(A173,kurspris!$A$1:$Q$913,15,FALSE)</f>
        <v>20757</v>
      </c>
      <c r="Y173" s="40">
        <f>VLOOKUP(A173,kurspris!$A$1:$Q$913,16,FALSE)</f>
        <v>36082</v>
      </c>
      <c r="Z173" s="40">
        <f t="shared" si="60"/>
        <v>6202.8250000000007</v>
      </c>
      <c r="AA173" s="40">
        <f>VLOOKUP(A173,kurspris!$A$1:$Q$913,17,FALSE)</f>
        <v>22600</v>
      </c>
      <c r="AB173" s="40">
        <f t="shared" si="61"/>
        <v>2825</v>
      </c>
      <c r="AC173" s="40">
        <f t="shared" si="62"/>
        <v>9027.8250000000007</v>
      </c>
      <c r="AD173" s="31">
        <f>VLOOKUP($A173,kurspris!$A$1:$Q$950,3,FALSE)</f>
        <v>0</v>
      </c>
      <c r="AE173" s="31">
        <f>VLOOKUP($A173,kurspris!$A$1:$Q$950,4,FALSE)</f>
        <v>0</v>
      </c>
      <c r="AF173" s="31">
        <f>VLOOKUP($A173,kurspris!$A$1:$Q$950,5,FALSE)</f>
        <v>0</v>
      </c>
      <c r="AG173" s="31">
        <f>VLOOKUP($A173,kurspris!$A$1:$Q$950,6,FALSE)</f>
        <v>0</v>
      </c>
      <c r="AH173" s="31">
        <f>VLOOKUP($A173,kurspris!$A$1:$Q$950,7,FALSE)</f>
        <v>0</v>
      </c>
      <c r="AI173" s="31">
        <f>VLOOKUP($A173,kurspris!$A$1:$Q$950,8,FALSE)</f>
        <v>1</v>
      </c>
      <c r="AJ173" s="31">
        <f>VLOOKUP($A173,kurspris!$A$1:$Q$950,9,FALSE)</f>
        <v>0</v>
      </c>
      <c r="AK173" s="31">
        <f>VLOOKUP($A173,kurspris!$A$1:$Q$950,10,FALSE)</f>
        <v>0</v>
      </c>
      <c r="AL173" s="31">
        <f>VLOOKUP($A173,kurspris!$A$1:$Q$950,11,FALSE)</f>
        <v>0</v>
      </c>
      <c r="AM173" s="31">
        <f>VLOOKUP($A173,kurspris!$A$1:$Q$950,12,FALSE)</f>
        <v>0</v>
      </c>
      <c r="AN173" s="31">
        <f>VLOOKUP($A173,kurspris!$A$1:$Q$950,13,FALSE)</f>
        <v>0</v>
      </c>
      <c r="AO173" s="31">
        <f>VLOOKUP($A173,kurspris!$A$1:$Q$950,14,FALSE)</f>
        <v>0</v>
      </c>
      <c r="AP173" s="57" t="s">
        <v>2402</v>
      </c>
      <c r="AQ173"/>
      <c r="AR173" s="31">
        <f t="shared" si="63"/>
        <v>0</v>
      </c>
      <c r="AS173" s="219">
        <f t="shared" si="64"/>
        <v>0</v>
      </c>
      <c r="AT173" s="31">
        <f t="shared" si="65"/>
        <v>0</v>
      </c>
      <c r="AU173" s="219">
        <f t="shared" si="66"/>
        <v>0</v>
      </c>
      <c r="AV173" s="31">
        <f t="shared" si="67"/>
        <v>0</v>
      </c>
      <c r="AW173" s="31">
        <f t="shared" si="68"/>
        <v>0</v>
      </c>
      <c r="AX173" s="31">
        <f t="shared" si="69"/>
        <v>0</v>
      </c>
      <c r="AY173" s="219">
        <f t="shared" si="70"/>
        <v>0</v>
      </c>
      <c r="AZ173" s="196">
        <f t="shared" si="71"/>
        <v>0</v>
      </c>
      <c r="BA173" s="219">
        <f t="shared" si="72"/>
        <v>0</v>
      </c>
      <c r="BB173" s="31">
        <f t="shared" si="73"/>
        <v>0.125</v>
      </c>
      <c r="BC173" s="219">
        <f t="shared" si="74"/>
        <v>0.1</v>
      </c>
      <c r="BD173" s="31">
        <f t="shared" si="75"/>
        <v>0</v>
      </c>
      <c r="BE173" s="219">
        <f t="shared" si="76"/>
        <v>0</v>
      </c>
      <c r="BF173" s="31">
        <f t="shared" si="77"/>
        <v>0</v>
      </c>
      <c r="BG173" s="219">
        <f t="shared" si="78"/>
        <v>0</v>
      </c>
      <c r="BH173" s="31">
        <f t="shared" si="79"/>
        <v>0</v>
      </c>
      <c r="BI173" s="219">
        <f t="shared" si="80"/>
        <v>0</v>
      </c>
      <c r="BJ173" s="31">
        <f t="shared" si="81"/>
        <v>0</v>
      </c>
      <c r="BK173" s="219">
        <f t="shared" si="82"/>
        <v>0</v>
      </c>
      <c r="BL173" s="31">
        <f t="shared" si="83"/>
        <v>0</v>
      </c>
      <c r="BM173" s="219">
        <f t="shared" si="84"/>
        <v>0</v>
      </c>
      <c r="BN173" s="31">
        <f t="shared" si="85"/>
        <v>0</v>
      </c>
      <c r="BO173" s="219">
        <f t="shared" si="86"/>
        <v>0</v>
      </c>
    </row>
    <row r="174" spans="1:67" x14ac:dyDescent="0.25">
      <c r="A174" s="31" t="s">
        <v>1467</v>
      </c>
      <c r="B174" s="176" t="str">
        <f>VLOOKUP(A174,kurspris!$A$1:$B$992,2,FALSE)</f>
        <v>Fysikdidaktik 2 för ämneslärare för gymnasium</v>
      </c>
      <c r="C174" s="31">
        <v>62502</v>
      </c>
      <c r="D174" s="60" t="s">
        <v>117</v>
      </c>
      <c r="E174" s="60"/>
      <c r="F174" s="57" t="s">
        <v>2274</v>
      </c>
      <c r="H174" s="31" t="s">
        <v>2335</v>
      </c>
      <c r="I174" s="31" t="s">
        <v>2399</v>
      </c>
      <c r="L174" s="38"/>
      <c r="M174">
        <v>7.5</v>
      </c>
      <c r="P174" s="31">
        <v>1</v>
      </c>
      <c r="Q174" s="539">
        <v>0.125</v>
      </c>
      <c r="R174" s="38">
        <v>0.8</v>
      </c>
      <c r="S174" s="280">
        <f t="shared" si="59"/>
        <v>0.1</v>
      </c>
      <c r="T174" s="31">
        <f>VLOOKUP(A174,'Ansvar kurs'!$A$1:$C$1123,2,FALSE)</f>
        <v>5740</v>
      </c>
      <c r="U174" s="31" t="str">
        <f>VLOOKUP(T174,Orgenheter!$A$1:$C$166,2,FALSE)</f>
        <v>NMD</v>
      </c>
      <c r="V174" s="31" t="str">
        <f>VLOOKUP(T174,Orgenheter!$A$1:$C$166,3,FALSE)</f>
        <v>TekNat</v>
      </c>
      <c r="W174" s="35" t="str">
        <f>VLOOKUP(D174,Program!$A$1:$B$36,2,FALSE)</f>
        <v>Fristående och övriga kurser</v>
      </c>
      <c r="X174" s="40">
        <f>VLOOKUP(A174,kurspris!$A$1:$Q$913,15,FALSE)</f>
        <v>20757</v>
      </c>
      <c r="Y174" s="40">
        <f>VLOOKUP(A174,kurspris!$A$1:$Q$913,16,FALSE)</f>
        <v>36082</v>
      </c>
      <c r="Z174" s="40">
        <f t="shared" si="60"/>
        <v>6202.8250000000007</v>
      </c>
      <c r="AA174" s="40">
        <f>VLOOKUP(A174,kurspris!$A$1:$Q$913,17,FALSE)</f>
        <v>22600</v>
      </c>
      <c r="AB174" s="40">
        <f t="shared" si="61"/>
        <v>2825</v>
      </c>
      <c r="AC174" s="40">
        <f t="shared" si="62"/>
        <v>9027.8250000000007</v>
      </c>
      <c r="AD174" s="31">
        <f>VLOOKUP($A174,kurspris!$A$1:$Q$950,3,FALSE)</f>
        <v>0</v>
      </c>
      <c r="AE174" s="31">
        <f>VLOOKUP($A174,kurspris!$A$1:$Q$950,4,FALSE)</f>
        <v>0</v>
      </c>
      <c r="AF174" s="31">
        <f>VLOOKUP($A174,kurspris!$A$1:$Q$950,5,FALSE)</f>
        <v>0</v>
      </c>
      <c r="AG174" s="31">
        <f>VLOOKUP($A174,kurspris!$A$1:$Q$950,6,FALSE)</f>
        <v>0</v>
      </c>
      <c r="AH174" s="31">
        <f>VLOOKUP($A174,kurspris!$A$1:$Q$950,7,FALSE)</f>
        <v>0</v>
      </c>
      <c r="AI174" s="31">
        <f>VLOOKUP($A174,kurspris!$A$1:$Q$950,8,FALSE)</f>
        <v>1</v>
      </c>
      <c r="AJ174" s="31">
        <f>VLOOKUP($A174,kurspris!$A$1:$Q$950,9,FALSE)</f>
        <v>0</v>
      </c>
      <c r="AK174" s="31">
        <f>VLOOKUP($A174,kurspris!$A$1:$Q$950,10,FALSE)</f>
        <v>0</v>
      </c>
      <c r="AL174" s="31">
        <f>VLOOKUP($A174,kurspris!$A$1:$Q$950,11,FALSE)</f>
        <v>0</v>
      </c>
      <c r="AM174" s="31">
        <f>VLOOKUP($A174,kurspris!$A$1:$Q$950,12,FALSE)</f>
        <v>0</v>
      </c>
      <c r="AN174" s="31">
        <f>VLOOKUP($A174,kurspris!$A$1:$Q$950,13,FALSE)</f>
        <v>0</v>
      </c>
      <c r="AO174" s="31">
        <f>VLOOKUP($A174,kurspris!$A$1:$Q$950,14,FALSE)</f>
        <v>0</v>
      </c>
      <c r="AP174" s="57" t="s">
        <v>2402</v>
      </c>
      <c r="AQ174"/>
      <c r="AR174" s="31">
        <f t="shared" si="63"/>
        <v>0</v>
      </c>
      <c r="AS174" s="219">
        <f t="shared" si="64"/>
        <v>0</v>
      </c>
      <c r="AT174" s="31">
        <f t="shared" si="65"/>
        <v>0</v>
      </c>
      <c r="AU174" s="219">
        <f t="shared" si="66"/>
        <v>0</v>
      </c>
      <c r="AV174" s="31">
        <f t="shared" si="67"/>
        <v>0</v>
      </c>
      <c r="AW174" s="31">
        <f t="shared" si="68"/>
        <v>0</v>
      </c>
      <c r="AX174" s="31">
        <f t="shared" si="69"/>
        <v>0</v>
      </c>
      <c r="AY174" s="219">
        <f t="shared" si="70"/>
        <v>0</v>
      </c>
      <c r="AZ174" s="196">
        <f t="shared" si="71"/>
        <v>0</v>
      </c>
      <c r="BA174" s="219">
        <f t="shared" si="72"/>
        <v>0</v>
      </c>
      <c r="BB174" s="31">
        <f t="shared" si="73"/>
        <v>0.125</v>
      </c>
      <c r="BC174" s="219">
        <f t="shared" si="74"/>
        <v>0.1</v>
      </c>
      <c r="BD174" s="31">
        <f t="shared" si="75"/>
        <v>0</v>
      </c>
      <c r="BE174" s="219">
        <f t="shared" si="76"/>
        <v>0</v>
      </c>
      <c r="BF174" s="31">
        <f t="shared" si="77"/>
        <v>0</v>
      </c>
      <c r="BG174" s="219">
        <f t="shared" si="78"/>
        <v>0</v>
      </c>
      <c r="BH174" s="31">
        <f t="shared" si="79"/>
        <v>0</v>
      </c>
      <c r="BI174" s="219">
        <f t="shared" si="80"/>
        <v>0</v>
      </c>
      <c r="BJ174" s="31">
        <f t="shared" si="81"/>
        <v>0</v>
      </c>
      <c r="BK174" s="219">
        <f t="shared" si="82"/>
        <v>0</v>
      </c>
      <c r="BL174" s="31">
        <f t="shared" si="83"/>
        <v>0</v>
      </c>
      <c r="BM174" s="219">
        <f t="shared" si="84"/>
        <v>0</v>
      </c>
      <c r="BN174" s="31">
        <f t="shared" si="85"/>
        <v>0</v>
      </c>
      <c r="BO174" s="219">
        <f t="shared" si="86"/>
        <v>0</v>
      </c>
    </row>
    <row r="175" spans="1:67" x14ac:dyDescent="0.25">
      <c r="A175" s="31" t="s">
        <v>1876</v>
      </c>
      <c r="B175" s="176" t="str">
        <f>VLOOKUP(A175,kurspris!$A$1:$B$992,2,FALSE)</f>
        <v>Naturens mångfald</v>
      </c>
      <c r="D175" s="60" t="s">
        <v>482</v>
      </c>
      <c r="E175" s="576" t="s">
        <v>2225</v>
      </c>
      <c r="F175" s="31" t="s">
        <v>2273</v>
      </c>
      <c r="G175" t="s">
        <v>2441</v>
      </c>
      <c r="H175" t="s">
        <v>2335</v>
      </c>
      <c r="J175" s="31" t="s">
        <v>2232</v>
      </c>
      <c r="L175" s="38">
        <v>1</v>
      </c>
      <c r="M175">
        <v>7.5</v>
      </c>
      <c r="P175" s="31">
        <v>1</v>
      </c>
      <c r="Q175" s="196">
        <f>(M175/60)*P175</f>
        <v>0.125</v>
      </c>
      <c r="R175" s="38">
        <v>0.85</v>
      </c>
      <c r="S175" s="280">
        <f t="shared" si="59"/>
        <v>0.10625</v>
      </c>
      <c r="T175" s="31">
        <f>VLOOKUP(A175,'Ansvar kurs'!$A$1:$C$1123,2,FALSE)</f>
        <v>5100</v>
      </c>
      <c r="U175" s="31" t="str">
        <f>VLOOKUP(T175,Orgenheter!$A$1:$C$166,2,FALSE)</f>
        <v>EMG</v>
      </c>
      <c r="V175" s="31" t="str">
        <f>VLOOKUP(T175,Orgenheter!$A$1:$C$166,3,FALSE)</f>
        <v>TekNat</v>
      </c>
      <c r="W175" s="35" t="str">
        <f>VLOOKUP(D175,Program!$A$1:$B$36,2,FALSE)</f>
        <v>Ämneslärarprogrammet - Gy</v>
      </c>
      <c r="X175" s="40">
        <f>VLOOKUP(A175,kurspris!$A$1:$Q$913,15,FALSE)</f>
        <v>20757</v>
      </c>
      <c r="Y175" s="40">
        <f>VLOOKUP(A175,kurspris!$A$1:$Q$913,16,FALSE)</f>
        <v>36082</v>
      </c>
      <c r="Z175" s="40">
        <f t="shared" si="60"/>
        <v>6428.3374999999996</v>
      </c>
      <c r="AA175" s="40">
        <f>VLOOKUP(A175,kurspris!$A$1:$Q$913,17,FALSE)</f>
        <v>22600</v>
      </c>
      <c r="AB175" s="40">
        <f t="shared" si="61"/>
        <v>2825</v>
      </c>
      <c r="AC175" s="40">
        <f t="shared" si="62"/>
        <v>9253.3374999999996</v>
      </c>
      <c r="AD175" s="31">
        <f>VLOOKUP($A175,kurspris!$A$1:$Q$950,3,FALSE)</f>
        <v>0</v>
      </c>
      <c r="AE175" s="31">
        <f>VLOOKUP($A175,kurspris!$A$1:$Q$950,4,FALSE)</f>
        <v>0</v>
      </c>
      <c r="AF175" s="31">
        <f>VLOOKUP($A175,kurspris!$A$1:$Q$950,5,FALSE)</f>
        <v>0</v>
      </c>
      <c r="AG175" s="31">
        <f>VLOOKUP($A175,kurspris!$A$1:$Q$950,6,FALSE)</f>
        <v>0</v>
      </c>
      <c r="AH175" s="31">
        <f>VLOOKUP($A175,kurspris!$A$1:$Q$950,7,FALSE)</f>
        <v>0</v>
      </c>
      <c r="AI175" s="31">
        <f>VLOOKUP($A175,kurspris!$A$1:$Q$950,8,FALSE)</f>
        <v>1</v>
      </c>
      <c r="AJ175" s="31">
        <f>VLOOKUP($A175,kurspris!$A$1:$Q$950,9,FALSE)</f>
        <v>0</v>
      </c>
      <c r="AK175" s="31">
        <f>VLOOKUP($A175,kurspris!$A$1:$Q$950,10,FALSE)</f>
        <v>0</v>
      </c>
      <c r="AL175" s="31">
        <f>VLOOKUP($A175,kurspris!$A$1:$Q$950,11,FALSE)</f>
        <v>0</v>
      </c>
      <c r="AM175" s="31">
        <f>VLOOKUP($A175,kurspris!$A$1:$Q$950,12,FALSE)</f>
        <v>0</v>
      </c>
      <c r="AN175" s="31">
        <f>VLOOKUP($A175,kurspris!$A$1:$Q$950,13,FALSE)</f>
        <v>0</v>
      </c>
      <c r="AO175" s="31">
        <f>VLOOKUP($A175,kurspris!$A$1:$Q$950,14,FALSE)</f>
        <v>0</v>
      </c>
      <c r="AP175" s="57" t="s">
        <v>2506</v>
      </c>
      <c r="AQ175"/>
      <c r="AR175" s="31">
        <f t="shared" si="63"/>
        <v>0</v>
      </c>
      <c r="AS175" s="219">
        <f t="shared" si="64"/>
        <v>0</v>
      </c>
      <c r="AT175" s="31">
        <f t="shared" si="65"/>
        <v>0</v>
      </c>
      <c r="AU175" s="219">
        <f t="shared" si="66"/>
        <v>0</v>
      </c>
      <c r="AV175" s="31">
        <f t="shared" si="67"/>
        <v>0</v>
      </c>
      <c r="AW175" s="31">
        <f t="shared" si="68"/>
        <v>0</v>
      </c>
      <c r="AX175" s="31">
        <f t="shared" si="69"/>
        <v>0</v>
      </c>
      <c r="AY175" s="219">
        <f t="shared" si="70"/>
        <v>0</v>
      </c>
      <c r="AZ175" s="196">
        <f t="shared" si="71"/>
        <v>0</v>
      </c>
      <c r="BA175" s="219">
        <f t="shared" si="72"/>
        <v>0</v>
      </c>
      <c r="BB175" s="31">
        <f t="shared" si="73"/>
        <v>0.125</v>
      </c>
      <c r="BC175" s="219">
        <f t="shared" si="74"/>
        <v>0.10625</v>
      </c>
      <c r="BD175" s="31">
        <f t="shared" si="75"/>
        <v>0</v>
      </c>
      <c r="BE175" s="219">
        <f t="shared" si="76"/>
        <v>0</v>
      </c>
      <c r="BF175" s="31">
        <f t="shared" si="77"/>
        <v>0</v>
      </c>
      <c r="BG175" s="219">
        <f t="shared" si="78"/>
        <v>0</v>
      </c>
      <c r="BH175" s="31">
        <f t="shared" si="79"/>
        <v>0</v>
      </c>
      <c r="BI175" s="219">
        <f t="shared" si="80"/>
        <v>0</v>
      </c>
      <c r="BJ175" s="31">
        <f t="shared" si="81"/>
        <v>0</v>
      </c>
      <c r="BK175" s="219">
        <f t="shared" si="82"/>
        <v>0</v>
      </c>
      <c r="BL175" s="31">
        <f t="shared" si="83"/>
        <v>0</v>
      </c>
      <c r="BM175" s="219">
        <f t="shared" si="84"/>
        <v>0</v>
      </c>
      <c r="BN175" s="31">
        <f t="shared" si="85"/>
        <v>0</v>
      </c>
      <c r="BO175" s="219">
        <f t="shared" si="86"/>
        <v>0</v>
      </c>
    </row>
    <row r="176" spans="1:67" x14ac:dyDescent="0.25">
      <c r="A176" s="31" t="s">
        <v>1876</v>
      </c>
      <c r="B176" s="176" t="str">
        <f>VLOOKUP(A176,kurspris!$A$1:$B$992,2,FALSE)</f>
        <v>Naturens mångfald</v>
      </c>
      <c r="D176" s="60" t="s">
        <v>482</v>
      </c>
      <c r="E176" s="576" t="s">
        <v>2432</v>
      </c>
      <c r="F176" s="31" t="s">
        <v>2273</v>
      </c>
      <c r="G176" t="s">
        <v>2441</v>
      </c>
      <c r="H176" t="s">
        <v>2335</v>
      </c>
      <c r="J176" s="31" t="s">
        <v>2238</v>
      </c>
      <c r="L176" s="38">
        <v>1</v>
      </c>
      <c r="M176">
        <v>7.5</v>
      </c>
      <c r="P176" s="31">
        <v>3</v>
      </c>
      <c r="Q176" s="196">
        <f>(M176/60)*P176</f>
        <v>0.375</v>
      </c>
      <c r="R176" s="38">
        <v>0.85</v>
      </c>
      <c r="S176" s="280">
        <f t="shared" si="59"/>
        <v>0.31874999999999998</v>
      </c>
      <c r="T176" s="31">
        <f>VLOOKUP(A176,'Ansvar kurs'!$A$1:$C$1123,2,FALSE)</f>
        <v>5100</v>
      </c>
      <c r="U176" s="31" t="str">
        <f>VLOOKUP(T176,Orgenheter!$A$1:$C$166,2,FALSE)</f>
        <v>EMG</v>
      </c>
      <c r="V176" s="31" t="str">
        <f>VLOOKUP(T176,Orgenheter!$A$1:$C$166,3,FALSE)</f>
        <v>TekNat</v>
      </c>
      <c r="W176" s="35" t="str">
        <f>VLOOKUP(D176,Program!$A$1:$B$36,2,FALSE)</f>
        <v>Ämneslärarprogrammet - Gy</v>
      </c>
      <c r="X176" s="40">
        <f>VLOOKUP(A176,kurspris!$A$1:$Q$913,15,FALSE)</f>
        <v>20757</v>
      </c>
      <c r="Y176" s="40">
        <f>VLOOKUP(A176,kurspris!$A$1:$Q$913,16,FALSE)</f>
        <v>36082</v>
      </c>
      <c r="Z176" s="40">
        <f t="shared" si="60"/>
        <v>19285.012499999997</v>
      </c>
      <c r="AA176" s="40">
        <f>VLOOKUP(A176,kurspris!$A$1:$Q$913,17,FALSE)</f>
        <v>22600</v>
      </c>
      <c r="AB176" s="40">
        <f t="shared" si="61"/>
        <v>8475</v>
      </c>
      <c r="AC176" s="40">
        <f t="shared" si="62"/>
        <v>27760.012499999997</v>
      </c>
      <c r="AD176" s="31">
        <f>VLOOKUP($A176,kurspris!$A$1:$Q$950,3,FALSE)</f>
        <v>0</v>
      </c>
      <c r="AE176" s="31">
        <f>VLOOKUP($A176,kurspris!$A$1:$Q$950,4,FALSE)</f>
        <v>0</v>
      </c>
      <c r="AF176" s="31">
        <f>VLOOKUP($A176,kurspris!$A$1:$Q$950,5,FALSE)</f>
        <v>0</v>
      </c>
      <c r="AG176" s="31">
        <f>VLOOKUP($A176,kurspris!$A$1:$Q$950,6,FALSE)</f>
        <v>0</v>
      </c>
      <c r="AH176" s="31">
        <f>VLOOKUP($A176,kurspris!$A$1:$Q$950,7,FALSE)</f>
        <v>0</v>
      </c>
      <c r="AI176" s="31">
        <f>VLOOKUP($A176,kurspris!$A$1:$Q$950,8,FALSE)</f>
        <v>1</v>
      </c>
      <c r="AJ176" s="31">
        <f>VLOOKUP($A176,kurspris!$A$1:$Q$950,9,FALSE)</f>
        <v>0</v>
      </c>
      <c r="AK176" s="31">
        <f>VLOOKUP($A176,kurspris!$A$1:$Q$950,10,FALSE)</f>
        <v>0</v>
      </c>
      <c r="AL176" s="31">
        <f>VLOOKUP($A176,kurspris!$A$1:$Q$950,11,FALSE)</f>
        <v>0</v>
      </c>
      <c r="AM176" s="31">
        <f>VLOOKUP($A176,kurspris!$A$1:$Q$950,12,FALSE)</f>
        <v>0</v>
      </c>
      <c r="AN176" s="31">
        <f>VLOOKUP($A176,kurspris!$A$1:$Q$950,13,FALSE)</f>
        <v>0</v>
      </c>
      <c r="AO176" s="31">
        <f>VLOOKUP($A176,kurspris!$A$1:$Q$950,14,FALSE)</f>
        <v>0</v>
      </c>
      <c r="AP176" s="57" t="s">
        <v>2506</v>
      </c>
      <c r="AQ176"/>
      <c r="AR176" s="31">
        <f t="shared" si="63"/>
        <v>0</v>
      </c>
      <c r="AS176" s="219">
        <f t="shared" si="64"/>
        <v>0</v>
      </c>
      <c r="AT176" s="31">
        <f t="shared" si="65"/>
        <v>0</v>
      </c>
      <c r="AU176" s="219">
        <f t="shared" si="66"/>
        <v>0</v>
      </c>
      <c r="AV176" s="31">
        <f t="shared" si="67"/>
        <v>0</v>
      </c>
      <c r="AW176" s="31">
        <f t="shared" si="68"/>
        <v>0</v>
      </c>
      <c r="AX176" s="31">
        <f t="shared" si="69"/>
        <v>0</v>
      </c>
      <c r="AY176" s="219">
        <f t="shared" si="70"/>
        <v>0</v>
      </c>
      <c r="AZ176" s="196">
        <f t="shared" si="71"/>
        <v>0</v>
      </c>
      <c r="BA176" s="219">
        <f t="shared" si="72"/>
        <v>0</v>
      </c>
      <c r="BB176" s="31">
        <f t="shared" si="73"/>
        <v>0.375</v>
      </c>
      <c r="BC176" s="219">
        <f t="shared" si="74"/>
        <v>0.31874999999999998</v>
      </c>
      <c r="BD176" s="31">
        <f t="shared" si="75"/>
        <v>0</v>
      </c>
      <c r="BE176" s="219">
        <f t="shared" si="76"/>
        <v>0</v>
      </c>
      <c r="BF176" s="31">
        <f t="shared" si="77"/>
        <v>0</v>
      </c>
      <c r="BG176" s="219">
        <f t="shared" si="78"/>
        <v>0</v>
      </c>
      <c r="BH176" s="31">
        <f t="shared" si="79"/>
        <v>0</v>
      </c>
      <c r="BI176" s="219">
        <f t="shared" si="80"/>
        <v>0</v>
      </c>
      <c r="BJ176" s="31">
        <f t="shared" si="81"/>
        <v>0</v>
      </c>
      <c r="BK176" s="219">
        <f t="shared" si="82"/>
        <v>0</v>
      </c>
      <c r="BL176" s="31">
        <f t="shared" si="83"/>
        <v>0</v>
      </c>
      <c r="BM176" s="219">
        <f t="shared" si="84"/>
        <v>0</v>
      </c>
      <c r="BN176" s="31">
        <f t="shared" si="85"/>
        <v>0</v>
      </c>
      <c r="BO176" s="219">
        <f t="shared" si="86"/>
        <v>0</v>
      </c>
    </row>
    <row r="177" spans="1:67" x14ac:dyDescent="0.25">
      <c r="A177" s="31" t="s">
        <v>1799</v>
      </c>
      <c r="B177" s="176" t="str">
        <f>VLOOKUP(A177,kurspris!$A$1:$B$992,2,FALSE)</f>
        <v>Processer i naturen</v>
      </c>
      <c r="C177" s="31">
        <v>75052</v>
      </c>
      <c r="D177" s="60" t="s">
        <v>482</v>
      </c>
      <c r="E177" s="60"/>
      <c r="F177" s="57" t="s">
        <v>2274</v>
      </c>
      <c r="H177" s="31" t="s">
        <v>2335</v>
      </c>
      <c r="I177" s="31" t="s">
        <v>2399</v>
      </c>
      <c r="J177" s="31" t="s">
        <v>2231</v>
      </c>
      <c r="L177" s="38"/>
      <c r="M177">
        <v>7.5</v>
      </c>
      <c r="P177" s="31">
        <v>1</v>
      </c>
      <c r="Q177" s="539">
        <v>0.125</v>
      </c>
      <c r="R177" s="38">
        <v>0.85</v>
      </c>
      <c r="S177" s="280">
        <f t="shared" si="59"/>
        <v>0.10625</v>
      </c>
      <c r="T177" s="31">
        <f>VLOOKUP(A177,'Ansvar kurs'!$A$1:$C$1123,2,FALSE)</f>
        <v>5100</v>
      </c>
      <c r="U177" s="31" t="str">
        <f>VLOOKUP(T177,Orgenheter!$A$1:$C$166,2,FALSE)</f>
        <v>EMG</v>
      </c>
      <c r="V177" s="31" t="str">
        <f>VLOOKUP(T177,Orgenheter!$A$1:$C$166,3,FALSE)</f>
        <v>TekNat</v>
      </c>
      <c r="W177" s="35" t="str">
        <f>VLOOKUP(D177,Program!$A$1:$B$36,2,FALSE)</f>
        <v>Ämneslärarprogrammet - Gy</v>
      </c>
      <c r="X177" s="40">
        <f>VLOOKUP(A177,kurspris!$A$1:$Q$913,15,FALSE)</f>
        <v>20757</v>
      </c>
      <c r="Y177" s="40">
        <f>VLOOKUP(A177,kurspris!$A$1:$Q$913,16,FALSE)</f>
        <v>36082</v>
      </c>
      <c r="Z177" s="40">
        <f t="shared" si="60"/>
        <v>6428.3374999999996</v>
      </c>
      <c r="AA177" s="40">
        <f>VLOOKUP(A177,kurspris!$A$1:$Q$913,17,FALSE)</f>
        <v>22600</v>
      </c>
      <c r="AB177" s="40">
        <f t="shared" si="61"/>
        <v>2825</v>
      </c>
      <c r="AC177" s="40">
        <f t="shared" si="62"/>
        <v>9253.3374999999996</v>
      </c>
      <c r="AD177" s="31">
        <f>VLOOKUP($A177,kurspris!$A$1:$Q$950,3,FALSE)</f>
        <v>0</v>
      </c>
      <c r="AE177" s="31">
        <f>VLOOKUP($A177,kurspris!$A$1:$Q$950,4,FALSE)</f>
        <v>0</v>
      </c>
      <c r="AF177" s="31">
        <f>VLOOKUP($A177,kurspris!$A$1:$Q$950,5,FALSE)</f>
        <v>0</v>
      </c>
      <c r="AG177" s="31">
        <f>VLOOKUP($A177,kurspris!$A$1:$Q$950,6,FALSE)</f>
        <v>0</v>
      </c>
      <c r="AH177" s="31">
        <f>VLOOKUP($A177,kurspris!$A$1:$Q$950,7,FALSE)</f>
        <v>0</v>
      </c>
      <c r="AI177" s="31">
        <f>VLOOKUP($A177,kurspris!$A$1:$Q$950,8,FALSE)</f>
        <v>1</v>
      </c>
      <c r="AJ177" s="31">
        <f>VLOOKUP($A177,kurspris!$A$1:$Q$950,9,FALSE)</f>
        <v>0</v>
      </c>
      <c r="AK177" s="31">
        <f>VLOOKUP($A177,kurspris!$A$1:$Q$950,10,FALSE)</f>
        <v>0</v>
      </c>
      <c r="AL177" s="31">
        <f>VLOOKUP($A177,kurspris!$A$1:$Q$950,11,FALSE)</f>
        <v>0</v>
      </c>
      <c r="AM177" s="31">
        <f>VLOOKUP($A177,kurspris!$A$1:$Q$950,12,FALSE)</f>
        <v>0</v>
      </c>
      <c r="AN177" s="31">
        <f>VLOOKUP($A177,kurspris!$A$1:$Q$950,13,FALSE)</f>
        <v>0</v>
      </c>
      <c r="AO177" s="31">
        <f>VLOOKUP($A177,kurspris!$A$1:$Q$950,14,FALSE)</f>
        <v>0</v>
      </c>
      <c r="AP177" s="57" t="s">
        <v>2402</v>
      </c>
      <c r="AQ177"/>
      <c r="AR177" s="31">
        <f t="shared" si="63"/>
        <v>0</v>
      </c>
      <c r="AS177" s="219">
        <f t="shared" si="64"/>
        <v>0</v>
      </c>
      <c r="AT177" s="31">
        <f t="shared" si="65"/>
        <v>0</v>
      </c>
      <c r="AU177" s="219">
        <f t="shared" si="66"/>
        <v>0</v>
      </c>
      <c r="AV177" s="31">
        <f t="shared" si="67"/>
        <v>0</v>
      </c>
      <c r="AW177" s="31">
        <f t="shared" si="68"/>
        <v>0</v>
      </c>
      <c r="AX177" s="31">
        <f t="shared" si="69"/>
        <v>0</v>
      </c>
      <c r="AY177" s="219">
        <f t="shared" si="70"/>
        <v>0</v>
      </c>
      <c r="AZ177" s="196">
        <f t="shared" si="71"/>
        <v>0</v>
      </c>
      <c r="BA177" s="219">
        <f t="shared" si="72"/>
        <v>0</v>
      </c>
      <c r="BB177" s="31">
        <f t="shared" si="73"/>
        <v>0.125</v>
      </c>
      <c r="BC177" s="219">
        <f t="shared" si="74"/>
        <v>0.10625</v>
      </c>
      <c r="BD177" s="31">
        <f t="shared" si="75"/>
        <v>0</v>
      </c>
      <c r="BE177" s="219">
        <f t="shared" si="76"/>
        <v>0</v>
      </c>
      <c r="BF177" s="31">
        <f t="shared" si="77"/>
        <v>0</v>
      </c>
      <c r="BG177" s="219">
        <f t="shared" si="78"/>
        <v>0</v>
      </c>
      <c r="BH177" s="31">
        <f t="shared" si="79"/>
        <v>0</v>
      </c>
      <c r="BI177" s="219">
        <f t="shared" si="80"/>
        <v>0</v>
      </c>
      <c r="BJ177" s="31">
        <f t="shared" si="81"/>
        <v>0</v>
      </c>
      <c r="BK177" s="219">
        <f t="shared" si="82"/>
        <v>0</v>
      </c>
      <c r="BL177" s="31">
        <f t="shared" si="83"/>
        <v>0</v>
      </c>
      <c r="BM177" s="219">
        <f t="shared" si="84"/>
        <v>0</v>
      </c>
      <c r="BN177" s="31">
        <f t="shared" si="85"/>
        <v>0</v>
      </c>
      <c r="BO177" s="219">
        <f t="shared" si="86"/>
        <v>0</v>
      </c>
    </row>
    <row r="178" spans="1:67" x14ac:dyDescent="0.25">
      <c r="A178" s="31" t="s">
        <v>1799</v>
      </c>
      <c r="B178" s="176" t="str">
        <f>VLOOKUP(A178,kurspris!$A$1:$B$992,2,FALSE)</f>
        <v>Processer i naturen</v>
      </c>
      <c r="C178" s="31">
        <v>75052</v>
      </c>
      <c r="D178" s="31" t="s">
        <v>482</v>
      </c>
      <c r="F178" s="57" t="s">
        <v>2274</v>
      </c>
      <c r="H178" s="31" t="s">
        <v>2335</v>
      </c>
      <c r="I178" s="31" t="s">
        <v>2399</v>
      </c>
      <c r="J178" s="31" t="s">
        <v>2238</v>
      </c>
      <c r="L178" s="38"/>
      <c r="M178">
        <v>7.5</v>
      </c>
      <c r="P178" s="31">
        <v>3</v>
      </c>
      <c r="Q178" s="539">
        <v>0.375</v>
      </c>
      <c r="R178" s="38">
        <v>0.85</v>
      </c>
      <c r="S178" s="280">
        <f t="shared" si="59"/>
        <v>0.31874999999999998</v>
      </c>
      <c r="T178" s="31">
        <f>VLOOKUP(A178,'Ansvar kurs'!$A$1:$C$1123,2,FALSE)</f>
        <v>5100</v>
      </c>
      <c r="U178" s="31" t="str">
        <f>VLOOKUP(T178,Orgenheter!$A$1:$C$166,2,FALSE)</f>
        <v>EMG</v>
      </c>
      <c r="V178" s="31" t="str">
        <f>VLOOKUP(T178,Orgenheter!$A$1:$C$166,3,FALSE)</f>
        <v>TekNat</v>
      </c>
      <c r="W178" s="35" t="str">
        <f>VLOOKUP(D178,Program!$A$1:$B$36,2,FALSE)</f>
        <v>Ämneslärarprogrammet - Gy</v>
      </c>
      <c r="X178" s="40">
        <f>VLOOKUP(A178,kurspris!$A$1:$Q$913,15,FALSE)</f>
        <v>20757</v>
      </c>
      <c r="Y178" s="40">
        <f>VLOOKUP(A178,kurspris!$A$1:$Q$913,16,FALSE)</f>
        <v>36082</v>
      </c>
      <c r="Z178" s="40">
        <f t="shared" si="60"/>
        <v>19285.012499999997</v>
      </c>
      <c r="AA178" s="40">
        <f>VLOOKUP(A178,kurspris!$A$1:$Q$913,17,FALSE)</f>
        <v>22600</v>
      </c>
      <c r="AB178" s="40">
        <f t="shared" si="61"/>
        <v>8475</v>
      </c>
      <c r="AC178" s="40">
        <f t="shared" si="62"/>
        <v>27760.012499999997</v>
      </c>
      <c r="AD178" s="31">
        <f>VLOOKUP($A178,kurspris!$A$1:$Q$950,3,FALSE)</f>
        <v>0</v>
      </c>
      <c r="AE178" s="31">
        <f>VLOOKUP($A178,kurspris!$A$1:$Q$950,4,FALSE)</f>
        <v>0</v>
      </c>
      <c r="AF178" s="31">
        <f>VLOOKUP($A178,kurspris!$A$1:$Q$950,5,FALSE)</f>
        <v>0</v>
      </c>
      <c r="AG178" s="31">
        <f>VLOOKUP($A178,kurspris!$A$1:$Q$950,6,FALSE)</f>
        <v>0</v>
      </c>
      <c r="AH178" s="31">
        <f>VLOOKUP($A178,kurspris!$A$1:$Q$950,7,FALSE)</f>
        <v>0</v>
      </c>
      <c r="AI178" s="31">
        <f>VLOOKUP($A178,kurspris!$A$1:$Q$950,8,FALSE)</f>
        <v>1</v>
      </c>
      <c r="AJ178" s="31">
        <f>VLOOKUP($A178,kurspris!$A$1:$Q$950,9,FALSE)</f>
        <v>0</v>
      </c>
      <c r="AK178" s="31">
        <f>VLOOKUP($A178,kurspris!$A$1:$Q$950,10,FALSE)</f>
        <v>0</v>
      </c>
      <c r="AL178" s="31">
        <f>VLOOKUP($A178,kurspris!$A$1:$Q$950,11,FALSE)</f>
        <v>0</v>
      </c>
      <c r="AM178" s="31">
        <f>VLOOKUP($A178,kurspris!$A$1:$Q$950,12,FALSE)</f>
        <v>0</v>
      </c>
      <c r="AN178" s="31">
        <f>VLOOKUP($A178,kurspris!$A$1:$Q$950,13,FALSE)</f>
        <v>0</v>
      </c>
      <c r="AO178" s="31">
        <f>VLOOKUP($A178,kurspris!$A$1:$Q$950,14,FALSE)</f>
        <v>0</v>
      </c>
      <c r="AP178" s="57" t="s">
        <v>2402</v>
      </c>
      <c r="AQ178" s="37"/>
      <c r="AR178" s="31">
        <f t="shared" si="63"/>
        <v>0</v>
      </c>
      <c r="AS178" s="219">
        <f t="shared" si="64"/>
        <v>0</v>
      </c>
      <c r="AT178" s="31">
        <f t="shared" si="65"/>
        <v>0</v>
      </c>
      <c r="AU178" s="219">
        <f t="shared" si="66"/>
        <v>0</v>
      </c>
      <c r="AV178" s="31">
        <f t="shared" si="67"/>
        <v>0</v>
      </c>
      <c r="AW178" s="31">
        <f t="shared" si="68"/>
        <v>0</v>
      </c>
      <c r="AX178" s="31">
        <f t="shared" si="69"/>
        <v>0</v>
      </c>
      <c r="AY178" s="219">
        <f t="shared" si="70"/>
        <v>0</v>
      </c>
      <c r="AZ178" s="196">
        <f t="shared" si="71"/>
        <v>0</v>
      </c>
      <c r="BA178" s="219">
        <f t="shared" si="72"/>
        <v>0</v>
      </c>
      <c r="BB178" s="31">
        <f t="shared" si="73"/>
        <v>0.375</v>
      </c>
      <c r="BC178" s="219">
        <f t="shared" si="74"/>
        <v>0.31874999999999998</v>
      </c>
      <c r="BD178" s="31">
        <f t="shared" si="75"/>
        <v>0</v>
      </c>
      <c r="BE178" s="219">
        <f t="shared" si="76"/>
        <v>0</v>
      </c>
      <c r="BF178" s="31">
        <f t="shared" si="77"/>
        <v>0</v>
      </c>
      <c r="BG178" s="219">
        <f t="shared" si="78"/>
        <v>0</v>
      </c>
      <c r="BH178" s="31">
        <f t="shared" si="79"/>
        <v>0</v>
      </c>
      <c r="BI178" s="219">
        <f t="shared" si="80"/>
        <v>0</v>
      </c>
      <c r="BJ178" s="31">
        <f t="shared" si="81"/>
        <v>0</v>
      </c>
      <c r="BK178" s="219">
        <f t="shared" si="82"/>
        <v>0</v>
      </c>
      <c r="BL178" s="31">
        <f t="shared" si="83"/>
        <v>0</v>
      </c>
      <c r="BM178" s="219">
        <f t="shared" si="84"/>
        <v>0</v>
      </c>
      <c r="BN178" s="31">
        <f t="shared" si="85"/>
        <v>0</v>
      </c>
      <c r="BO178" s="219">
        <f t="shared" si="86"/>
        <v>0</v>
      </c>
    </row>
    <row r="179" spans="1:67" x14ac:dyDescent="0.25">
      <c r="A179" s="31" t="s">
        <v>1799</v>
      </c>
      <c r="B179" s="176" t="str">
        <f>VLOOKUP(A179,kurspris!$A$1:$B$992,2,FALSE)</f>
        <v>Processer i naturen</v>
      </c>
      <c r="C179" s="31">
        <v>75052</v>
      </c>
      <c r="D179" s="31" t="s">
        <v>482</v>
      </c>
      <c r="F179" s="57" t="s">
        <v>2274</v>
      </c>
      <c r="H179" s="31" t="s">
        <v>2335</v>
      </c>
      <c r="I179" s="31" t="s">
        <v>2399</v>
      </c>
      <c r="J179" s="31" t="s">
        <v>2241</v>
      </c>
      <c r="L179" s="38"/>
      <c r="M179">
        <v>7.5</v>
      </c>
      <c r="P179" s="31">
        <v>2</v>
      </c>
      <c r="Q179" s="539">
        <v>0.25</v>
      </c>
      <c r="R179" s="38">
        <v>0.85</v>
      </c>
      <c r="S179" s="280">
        <f t="shared" si="59"/>
        <v>0.21249999999999999</v>
      </c>
      <c r="T179" s="31">
        <f>VLOOKUP(A179,'Ansvar kurs'!$A$1:$C$1123,2,FALSE)</f>
        <v>5100</v>
      </c>
      <c r="U179" s="31" t="str">
        <f>VLOOKUP(T179,Orgenheter!$A$1:$C$166,2,FALSE)</f>
        <v>EMG</v>
      </c>
      <c r="V179" s="31" t="str">
        <f>VLOOKUP(T179,Orgenheter!$A$1:$C$166,3,FALSE)</f>
        <v>TekNat</v>
      </c>
      <c r="W179" s="35" t="str">
        <f>VLOOKUP(D179,Program!$A$1:$B$36,2,FALSE)</f>
        <v>Ämneslärarprogrammet - Gy</v>
      </c>
      <c r="X179" s="40">
        <f>VLOOKUP(A179,kurspris!$A$1:$Q$913,15,FALSE)</f>
        <v>20757</v>
      </c>
      <c r="Y179" s="40">
        <f>VLOOKUP(A179,kurspris!$A$1:$Q$913,16,FALSE)</f>
        <v>36082</v>
      </c>
      <c r="Z179" s="40">
        <f t="shared" si="60"/>
        <v>12856.674999999999</v>
      </c>
      <c r="AA179" s="40">
        <f>VLOOKUP(A179,kurspris!$A$1:$Q$913,17,FALSE)</f>
        <v>22600</v>
      </c>
      <c r="AB179" s="40">
        <f t="shared" si="61"/>
        <v>5650</v>
      </c>
      <c r="AC179" s="40">
        <f t="shared" si="62"/>
        <v>18506.674999999999</v>
      </c>
      <c r="AD179" s="31">
        <f>VLOOKUP($A179,kurspris!$A$1:$Q$950,3,FALSE)</f>
        <v>0</v>
      </c>
      <c r="AE179" s="31">
        <f>VLOOKUP($A179,kurspris!$A$1:$Q$950,4,FALSE)</f>
        <v>0</v>
      </c>
      <c r="AF179" s="31">
        <f>VLOOKUP($A179,kurspris!$A$1:$Q$950,5,FALSE)</f>
        <v>0</v>
      </c>
      <c r="AG179" s="31">
        <f>VLOOKUP($A179,kurspris!$A$1:$Q$950,6,FALSE)</f>
        <v>0</v>
      </c>
      <c r="AH179" s="31">
        <f>VLOOKUP($A179,kurspris!$A$1:$Q$950,7,FALSE)</f>
        <v>0</v>
      </c>
      <c r="AI179" s="31">
        <f>VLOOKUP($A179,kurspris!$A$1:$Q$950,8,FALSE)</f>
        <v>1</v>
      </c>
      <c r="AJ179" s="31">
        <f>VLOOKUP($A179,kurspris!$A$1:$Q$950,9,FALSE)</f>
        <v>0</v>
      </c>
      <c r="AK179" s="31">
        <f>VLOOKUP($A179,kurspris!$A$1:$Q$950,10,FALSE)</f>
        <v>0</v>
      </c>
      <c r="AL179" s="31">
        <f>VLOOKUP($A179,kurspris!$A$1:$Q$950,11,FALSE)</f>
        <v>0</v>
      </c>
      <c r="AM179" s="31">
        <f>VLOOKUP($A179,kurspris!$A$1:$Q$950,12,FALSE)</f>
        <v>0</v>
      </c>
      <c r="AN179" s="31">
        <f>VLOOKUP($A179,kurspris!$A$1:$Q$950,13,FALSE)</f>
        <v>0</v>
      </c>
      <c r="AO179" s="31">
        <f>VLOOKUP($A179,kurspris!$A$1:$Q$950,14,FALSE)</f>
        <v>0</v>
      </c>
      <c r="AP179" s="57" t="s">
        <v>2402</v>
      </c>
      <c r="AQ179" s="37"/>
      <c r="AR179" s="31">
        <f t="shared" si="63"/>
        <v>0</v>
      </c>
      <c r="AS179" s="219">
        <f t="shared" si="64"/>
        <v>0</v>
      </c>
      <c r="AT179" s="31">
        <f t="shared" si="65"/>
        <v>0</v>
      </c>
      <c r="AU179" s="219">
        <f t="shared" si="66"/>
        <v>0</v>
      </c>
      <c r="AV179" s="31">
        <f t="shared" si="67"/>
        <v>0</v>
      </c>
      <c r="AW179" s="31">
        <f t="shared" si="68"/>
        <v>0</v>
      </c>
      <c r="AX179" s="31">
        <f t="shared" si="69"/>
        <v>0</v>
      </c>
      <c r="AY179" s="219">
        <f t="shared" si="70"/>
        <v>0</v>
      </c>
      <c r="AZ179" s="196">
        <f t="shared" si="71"/>
        <v>0</v>
      </c>
      <c r="BA179" s="219">
        <f t="shared" si="72"/>
        <v>0</v>
      </c>
      <c r="BB179" s="31">
        <f t="shared" si="73"/>
        <v>0.25</v>
      </c>
      <c r="BC179" s="219">
        <f t="shared" si="74"/>
        <v>0.21249999999999999</v>
      </c>
      <c r="BD179" s="31">
        <f t="shared" si="75"/>
        <v>0</v>
      </c>
      <c r="BE179" s="219">
        <f t="shared" si="76"/>
        <v>0</v>
      </c>
      <c r="BF179" s="31">
        <f t="shared" si="77"/>
        <v>0</v>
      </c>
      <c r="BG179" s="219">
        <f t="shared" si="78"/>
        <v>0</v>
      </c>
      <c r="BH179" s="31">
        <f t="shared" si="79"/>
        <v>0</v>
      </c>
      <c r="BI179" s="219">
        <f t="shared" si="80"/>
        <v>0</v>
      </c>
      <c r="BJ179" s="31">
        <f t="shared" si="81"/>
        <v>0</v>
      </c>
      <c r="BK179" s="219">
        <f t="shared" si="82"/>
        <v>0</v>
      </c>
      <c r="BL179" s="31">
        <f t="shared" si="83"/>
        <v>0</v>
      </c>
      <c r="BM179" s="219">
        <f t="shared" si="84"/>
        <v>0</v>
      </c>
      <c r="BN179" s="31">
        <f t="shared" si="85"/>
        <v>0</v>
      </c>
      <c r="BO179" s="219">
        <f t="shared" si="86"/>
        <v>0</v>
      </c>
    </row>
    <row r="180" spans="1:67" x14ac:dyDescent="0.25">
      <c r="A180" s="31" t="s">
        <v>1877</v>
      </c>
      <c r="B180" s="176" t="str">
        <f>VLOOKUP(A180,kurspris!$A$1:$B$992,2,FALSE)</f>
        <v>Klimatförändringar</v>
      </c>
      <c r="D180" s="60" t="s">
        <v>482</v>
      </c>
      <c r="E180" s="576" t="s">
        <v>2225</v>
      </c>
      <c r="F180" s="31" t="s">
        <v>2273</v>
      </c>
      <c r="G180" t="s">
        <v>2439</v>
      </c>
      <c r="H180" t="s">
        <v>2335</v>
      </c>
      <c r="J180" s="31" t="s">
        <v>2232</v>
      </c>
      <c r="L180" s="38">
        <v>1</v>
      </c>
      <c r="M180">
        <v>7.5</v>
      </c>
      <c r="P180" s="31">
        <v>1</v>
      </c>
      <c r="Q180" s="196">
        <f>(M180/60)*P180</f>
        <v>0.125</v>
      </c>
      <c r="R180" s="38">
        <v>0.85</v>
      </c>
      <c r="S180" s="280">
        <f t="shared" si="59"/>
        <v>0.10625</v>
      </c>
      <c r="T180" s="31">
        <f>VLOOKUP(A180,'Ansvar kurs'!$A$1:$C$1123,2,FALSE)</f>
        <v>5100</v>
      </c>
      <c r="U180" s="31" t="str">
        <f>VLOOKUP(T180,Orgenheter!$A$1:$C$166,2,FALSE)</f>
        <v>EMG</v>
      </c>
      <c r="V180" s="31" t="str">
        <f>VLOOKUP(T180,Orgenheter!$A$1:$C$166,3,FALSE)</f>
        <v>TekNat</v>
      </c>
      <c r="W180" s="35" t="str">
        <f>VLOOKUP(D180,Program!$A$1:$B$36,2,FALSE)</f>
        <v>Ämneslärarprogrammet - Gy</v>
      </c>
      <c r="X180" s="40">
        <f>VLOOKUP(A180,kurspris!$A$1:$Q$913,15,FALSE)</f>
        <v>20757</v>
      </c>
      <c r="Y180" s="40">
        <f>VLOOKUP(A180,kurspris!$A$1:$Q$913,16,FALSE)</f>
        <v>36082</v>
      </c>
      <c r="Z180" s="40">
        <f t="shared" si="60"/>
        <v>6428.3374999999996</v>
      </c>
      <c r="AA180" s="40">
        <f>VLOOKUP(A180,kurspris!$A$1:$Q$913,17,FALSE)</f>
        <v>22600</v>
      </c>
      <c r="AB180" s="40">
        <f t="shared" si="61"/>
        <v>2825</v>
      </c>
      <c r="AC180" s="40">
        <f t="shared" si="62"/>
        <v>9253.3374999999996</v>
      </c>
      <c r="AD180" s="31">
        <f>VLOOKUP($A180,kurspris!$A$1:$Q$950,3,FALSE)</f>
        <v>0</v>
      </c>
      <c r="AE180" s="31">
        <f>VLOOKUP($A180,kurspris!$A$1:$Q$950,4,FALSE)</f>
        <v>0</v>
      </c>
      <c r="AF180" s="31">
        <f>VLOOKUP($A180,kurspris!$A$1:$Q$950,5,FALSE)</f>
        <v>0</v>
      </c>
      <c r="AG180" s="31">
        <f>VLOOKUP($A180,kurspris!$A$1:$Q$950,6,FALSE)</f>
        <v>0</v>
      </c>
      <c r="AH180" s="31">
        <f>VLOOKUP($A180,kurspris!$A$1:$Q$950,7,FALSE)</f>
        <v>0</v>
      </c>
      <c r="AI180" s="31">
        <f>VLOOKUP($A180,kurspris!$A$1:$Q$950,8,FALSE)</f>
        <v>1</v>
      </c>
      <c r="AJ180" s="31">
        <f>VLOOKUP($A180,kurspris!$A$1:$Q$950,9,FALSE)</f>
        <v>0</v>
      </c>
      <c r="AK180" s="31">
        <f>VLOOKUP($A180,kurspris!$A$1:$Q$950,10,FALSE)</f>
        <v>0</v>
      </c>
      <c r="AL180" s="31">
        <f>VLOOKUP($A180,kurspris!$A$1:$Q$950,11,FALSE)</f>
        <v>0</v>
      </c>
      <c r="AM180" s="31">
        <f>VLOOKUP($A180,kurspris!$A$1:$Q$950,12,FALSE)</f>
        <v>0</v>
      </c>
      <c r="AN180" s="31">
        <f>VLOOKUP($A180,kurspris!$A$1:$Q$950,13,FALSE)</f>
        <v>0</v>
      </c>
      <c r="AO180" s="31">
        <f>VLOOKUP($A180,kurspris!$A$1:$Q$950,14,FALSE)</f>
        <v>0</v>
      </c>
      <c r="AP180" s="57" t="s">
        <v>2506</v>
      </c>
      <c r="AQ180"/>
      <c r="AR180" s="31">
        <f t="shared" si="63"/>
        <v>0</v>
      </c>
      <c r="AS180" s="219">
        <f t="shared" si="64"/>
        <v>0</v>
      </c>
      <c r="AT180" s="31">
        <f t="shared" si="65"/>
        <v>0</v>
      </c>
      <c r="AU180" s="219">
        <f t="shared" si="66"/>
        <v>0</v>
      </c>
      <c r="AV180" s="31">
        <f t="shared" si="67"/>
        <v>0</v>
      </c>
      <c r="AW180" s="31">
        <f t="shared" si="68"/>
        <v>0</v>
      </c>
      <c r="AX180" s="31">
        <f t="shared" si="69"/>
        <v>0</v>
      </c>
      <c r="AY180" s="219">
        <f t="shared" si="70"/>
        <v>0</v>
      </c>
      <c r="AZ180" s="196">
        <f t="shared" si="71"/>
        <v>0</v>
      </c>
      <c r="BA180" s="219">
        <f t="shared" si="72"/>
        <v>0</v>
      </c>
      <c r="BB180" s="31">
        <f t="shared" si="73"/>
        <v>0.125</v>
      </c>
      <c r="BC180" s="219">
        <f t="shared" si="74"/>
        <v>0.10625</v>
      </c>
      <c r="BD180" s="31">
        <f t="shared" si="75"/>
        <v>0</v>
      </c>
      <c r="BE180" s="219">
        <f t="shared" si="76"/>
        <v>0</v>
      </c>
      <c r="BF180" s="31">
        <f t="shared" si="77"/>
        <v>0</v>
      </c>
      <c r="BG180" s="219">
        <f t="shared" si="78"/>
        <v>0</v>
      </c>
      <c r="BH180" s="31">
        <f t="shared" si="79"/>
        <v>0</v>
      </c>
      <c r="BI180" s="219">
        <f t="shared" si="80"/>
        <v>0</v>
      </c>
      <c r="BJ180" s="31">
        <f t="shared" si="81"/>
        <v>0</v>
      </c>
      <c r="BK180" s="219">
        <f t="shared" si="82"/>
        <v>0</v>
      </c>
      <c r="BL180" s="31">
        <f t="shared" si="83"/>
        <v>0</v>
      </c>
      <c r="BM180" s="219">
        <f t="shared" si="84"/>
        <v>0</v>
      </c>
      <c r="BN180" s="31">
        <f t="shared" si="85"/>
        <v>0</v>
      </c>
      <c r="BO180" s="219">
        <f t="shared" si="86"/>
        <v>0</v>
      </c>
    </row>
    <row r="181" spans="1:67" x14ac:dyDescent="0.25">
      <c r="A181" s="31" t="s">
        <v>1877</v>
      </c>
      <c r="B181" s="176" t="str">
        <f>VLOOKUP(A181,kurspris!$A$1:$B$992,2,FALSE)</f>
        <v>Klimatförändringar</v>
      </c>
      <c r="D181" s="60" t="s">
        <v>482</v>
      </c>
      <c r="E181" s="576" t="s">
        <v>2432</v>
      </c>
      <c r="F181" s="31" t="s">
        <v>2273</v>
      </c>
      <c r="G181" t="s">
        <v>2439</v>
      </c>
      <c r="H181" t="s">
        <v>2335</v>
      </c>
      <c r="J181" s="31" t="s">
        <v>2238</v>
      </c>
      <c r="L181" s="38">
        <v>1</v>
      </c>
      <c r="M181">
        <v>7.5</v>
      </c>
      <c r="P181" s="31">
        <v>3</v>
      </c>
      <c r="Q181" s="196">
        <f>(M181/60)*P181</f>
        <v>0.375</v>
      </c>
      <c r="R181" s="38">
        <v>0.85</v>
      </c>
      <c r="S181" s="280">
        <f t="shared" si="59"/>
        <v>0.31874999999999998</v>
      </c>
      <c r="T181" s="31">
        <f>VLOOKUP(A181,'Ansvar kurs'!$A$1:$C$1123,2,FALSE)</f>
        <v>5100</v>
      </c>
      <c r="U181" s="31" t="str">
        <f>VLOOKUP(T181,Orgenheter!$A$1:$C$166,2,FALSE)</f>
        <v>EMG</v>
      </c>
      <c r="V181" s="31" t="str">
        <f>VLOOKUP(T181,Orgenheter!$A$1:$C$166,3,FALSE)</f>
        <v>TekNat</v>
      </c>
      <c r="W181" s="35" t="str">
        <f>VLOOKUP(D181,Program!$A$1:$B$36,2,FALSE)</f>
        <v>Ämneslärarprogrammet - Gy</v>
      </c>
      <c r="X181" s="40">
        <f>VLOOKUP(A181,kurspris!$A$1:$Q$913,15,FALSE)</f>
        <v>20757</v>
      </c>
      <c r="Y181" s="40">
        <f>VLOOKUP(A181,kurspris!$A$1:$Q$913,16,FALSE)</f>
        <v>36082</v>
      </c>
      <c r="Z181" s="40">
        <f t="shared" si="60"/>
        <v>19285.012499999997</v>
      </c>
      <c r="AA181" s="40">
        <f>VLOOKUP(A181,kurspris!$A$1:$Q$913,17,FALSE)</f>
        <v>22600</v>
      </c>
      <c r="AB181" s="40">
        <f t="shared" si="61"/>
        <v>8475</v>
      </c>
      <c r="AC181" s="40">
        <f t="shared" si="62"/>
        <v>27760.012499999997</v>
      </c>
      <c r="AD181" s="31">
        <f>VLOOKUP($A181,kurspris!$A$1:$Q$950,3,FALSE)</f>
        <v>0</v>
      </c>
      <c r="AE181" s="31">
        <f>VLOOKUP($A181,kurspris!$A$1:$Q$950,4,FALSE)</f>
        <v>0</v>
      </c>
      <c r="AF181" s="31">
        <f>VLOOKUP($A181,kurspris!$A$1:$Q$950,5,FALSE)</f>
        <v>0</v>
      </c>
      <c r="AG181" s="31">
        <f>VLOOKUP($A181,kurspris!$A$1:$Q$950,6,FALSE)</f>
        <v>0</v>
      </c>
      <c r="AH181" s="31">
        <f>VLOOKUP($A181,kurspris!$A$1:$Q$950,7,FALSE)</f>
        <v>0</v>
      </c>
      <c r="AI181" s="31">
        <f>VLOOKUP($A181,kurspris!$A$1:$Q$950,8,FALSE)</f>
        <v>1</v>
      </c>
      <c r="AJ181" s="31">
        <f>VLOOKUP($A181,kurspris!$A$1:$Q$950,9,FALSE)</f>
        <v>0</v>
      </c>
      <c r="AK181" s="31">
        <f>VLOOKUP($A181,kurspris!$A$1:$Q$950,10,FALSE)</f>
        <v>0</v>
      </c>
      <c r="AL181" s="31">
        <f>VLOOKUP($A181,kurspris!$A$1:$Q$950,11,FALSE)</f>
        <v>0</v>
      </c>
      <c r="AM181" s="31">
        <f>VLOOKUP($A181,kurspris!$A$1:$Q$950,12,FALSE)</f>
        <v>0</v>
      </c>
      <c r="AN181" s="31">
        <f>VLOOKUP($A181,kurspris!$A$1:$Q$950,13,FALSE)</f>
        <v>0</v>
      </c>
      <c r="AO181" s="31">
        <f>VLOOKUP($A181,kurspris!$A$1:$Q$950,14,FALSE)</f>
        <v>0</v>
      </c>
      <c r="AP181" s="57" t="s">
        <v>2506</v>
      </c>
      <c r="AQ181"/>
      <c r="AR181" s="31">
        <f t="shared" si="63"/>
        <v>0</v>
      </c>
      <c r="AS181" s="219">
        <f t="shared" si="64"/>
        <v>0</v>
      </c>
      <c r="AT181" s="31">
        <f t="shared" si="65"/>
        <v>0</v>
      </c>
      <c r="AU181" s="219">
        <f t="shared" si="66"/>
        <v>0</v>
      </c>
      <c r="AV181" s="31">
        <f t="shared" si="67"/>
        <v>0</v>
      </c>
      <c r="AW181" s="31">
        <f t="shared" si="68"/>
        <v>0</v>
      </c>
      <c r="AX181" s="31">
        <f t="shared" si="69"/>
        <v>0</v>
      </c>
      <c r="AY181" s="219">
        <f t="shared" si="70"/>
        <v>0</v>
      </c>
      <c r="AZ181" s="196">
        <f t="shared" si="71"/>
        <v>0</v>
      </c>
      <c r="BA181" s="219">
        <f t="shared" si="72"/>
        <v>0</v>
      </c>
      <c r="BB181" s="31">
        <f t="shared" si="73"/>
        <v>0.375</v>
      </c>
      <c r="BC181" s="219">
        <f t="shared" si="74"/>
        <v>0.31874999999999998</v>
      </c>
      <c r="BD181" s="31">
        <f t="shared" si="75"/>
        <v>0</v>
      </c>
      <c r="BE181" s="219">
        <f t="shared" si="76"/>
        <v>0</v>
      </c>
      <c r="BF181" s="31">
        <f t="shared" si="77"/>
        <v>0</v>
      </c>
      <c r="BG181" s="219">
        <f t="shared" si="78"/>
        <v>0</v>
      </c>
      <c r="BH181" s="31">
        <f t="shared" si="79"/>
        <v>0</v>
      </c>
      <c r="BI181" s="219">
        <f t="shared" si="80"/>
        <v>0</v>
      </c>
      <c r="BJ181" s="31">
        <f t="shared" si="81"/>
        <v>0</v>
      </c>
      <c r="BK181" s="219">
        <f t="shared" si="82"/>
        <v>0</v>
      </c>
      <c r="BL181" s="31">
        <f t="shared" si="83"/>
        <v>0</v>
      </c>
      <c r="BM181" s="219">
        <f t="shared" si="84"/>
        <v>0</v>
      </c>
      <c r="BN181" s="31">
        <f t="shared" si="85"/>
        <v>0</v>
      </c>
      <c r="BO181" s="219">
        <f t="shared" si="86"/>
        <v>0</v>
      </c>
    </row>
    <row r="182" spans="1:67" x14ac:dyDescent="0.25">
      <c r="A182" s="31" t="s">
        <v>1980</v>
      </c>
      <c r="B182" s="176" t="str">
        <f>VLOOKUP(A182,kurspris!$A$1:$B$992,2,FALSE)</f>
        <v>Vetenskapliga metoder i geografi</v>
      </c>
      <c r="C182" s="31">
        <v>75051</v>
      </c>
      <c r="D182" s="60" t="s">
        <v>482</v>
      </c>
      <c r="E182" s="60"/>
      <c r="F182" s="57" t="s">
        <v>2274</v>
      </c>
      <c r="H182" s="31" t="s">
        <v>2335</v>
      </c>
      <c r="I182" s="31" t="s">
        <v>2399</v>
      </c>
      <c r="J182" s="31" t="s">
        <v>2231</v>
      </c>
      <c r="L182" s="38"/>
      <c r="M182">
        <v>7.5</v>
      </c>
      <c r="P182" s="31">
        <v>1</v>
      </c>
      <c r="Q182" s="539">
        <v>0.125</v>
      </c>
      <c r="R182" s="38">
        <v>0.85</v>
      </c>
      <c r="S182" s="280">
        <f t="shared" si="59"/>
        <v>0.10625</v>
      </c>
      <c r="T182" s="31">
        <f>VLOOKUP(A182,'Ansvar kurs'!$A$1:$C$1123,2,FALSE)</f>
        <v>5100</v>
      </c>
      <c r="U182" s="31" t="str">
        <f>VLOOKUP(T182,Orgenheter!$A$1:$C$166,2,FALSE)</f>
        <v>EMG</v>
      </c>
      <c r="V182" s="31" t="str">
        <f>VLOOKUP(T182,Orgenheter!$A$1:$C$166,3,FALSE)</f>
        <v>TekNat</v>
      </c>
      <c r="W182" s="35" t="str">
        <f>VLOOKUP(D182,Program!$A$1:$B$36,2,FALSE)</f>
        <v>Ämneslärarprogrammet - Gy</v>
      </c>
      <c r="X182" s="40">
        <f>VLOOKUP(A182,kurspris!$A$1:$Q$913,15,FALSE)</f>
        <v>20757</v>
      </c>
      <c r="Y182" s="40">
        <f>VLOOKUP(A182,kurspris!$A$1:$Q$913,16,FALSE)</f>
        <v>36082</v>
      </c>
      <c r="Z182" s="40">
        <f t="shared" si="60"/>
        <v>6428.3374999999996</v>
      </c>
      <c r="AA182" s="40">
        <f>VLOOKUP(A182,kurspris!$A$1:$Q$913,17,FALSE)</f>
        <v>22600</v>
      </c>
      <c r="AB182" s="40">
        <f t="shared" si="61"/>
        <v>2825</v>
      </c>
      <c r="AC182" s="40">
        <f t="shared" si="62"/>
        <v>9253.3374999999996</v>
      </c>
      <c r="AD182" s="31">
        <f>VLOOKUP($A182,kurspris!$A$1:$Q$950,3,FALSE)</f>
        <v>0</v>
      </c>
      <c r="AE182" s="31">
        <f>VLOOKUP($A182,kurspris!$A$1:$Q$950,4,FALSE)</f>
        <v>0</v>
      </c>
      <c r="AF182" s="31">
        <f>VLOOKUP($A182,kurspris!$A$1:$Q$950,5,FALSE)</f>
        <v>0</v>
      </c>
      <c r="AG182" s="31">
        <f>VLOOKUP($A182,kurspris!$A$1:$Q$950,6,FALSE)</f>
        <v>0</v>
      </c>
      <c r="AH182" s="31">
        <f>VLOOKUP($A182,kurspris!$A$1:$Q$950,7,FALSE)</f>
        <v>0</v>
      </c>
      <c r="AI182" s="31">
        <f>VLOOKUP($A182,kurspris!$A$1:$Q$950,8,FALSE)</f>
        <v>1</v>
      </c>
      <c r="AJ182" s="31">
        <f>VLOOKUP($A182,kurspris!$A$1:$Q$950,9,FALSE)</f>
        <v>0</v>
      </c>
      <c r="AK182" s="31">
        <f>VLOOKUP($A182,kurspris!$A$1:$Q$950,10,FALSE)</f>
        <v>0</v>
      </c>
      <c r="AL182" s="31">
        <f>VLOOKUP($A182,kurspris!$A$1:$Q$950,11,FALSE)</f>
        <v>0</v>
      </c>
      <c r="AM182" s="31">
        <f>VLOOKUP($A182,kurspris!$A$1:$Q$950,12,FALSE)</f>
        <v>0</v>
      </c>
      <c r="AN182" s="31">
        <f>VLOOKUP($A182,kurspris!$A$1:$Q$950,13,FALSE)</f>
        <v>0</v>
      </c>
      <c r="AO182" s="31">
        <f>VLOOKUP($A182,kurspris!$A$1:$Q$950,14,FALSE)</f>
        <v>0</v>
      </c>
      <c r="AP182" s="57" t="s">
        <v>2402</v>
      </c>
      <c r="AQ182"/>
      <c r="AR182" s="31">
        <f t="shared" si="63"/>
        <v>0</v>
      </c>
      <c r="AS182" s="219">
        <f t="shared" si="64"/>
        <v>0</v>
      </c>
      <c r="AT182" s="31">
        <f t="shared" si="65"/>
        <v>0</v>
      </c>
      <c r="AU182" s="219">
        <f t="shared" si="66"/>
        <v>0</v>
      </c>
      <c r="AV182" s="31">
        <f t="shared" si="67"/>
        <v>0</v>
      </c>
      <c r="AW182" s="31">
        <f t="shared" si="68"/>
        <v>0</v>
      </c>
      <c r="AX182" s="31">
        <f t="shared" si="69"/>
        <v>0</v>
      </c>
      <c r="AY182" s="219">
        <f t="shared" si="70"/>
        <v>0</v>
      </c>
      <c r="AZ182" s="196">
        <f t="shared" si="71"/>
        <v>0</v>
      </c>
      <c r="BA182" s="219">
        <f t="shared" si="72"/>
        <v>0</v>
      </c>
      <c r="BB182" s="31">
        <f t="shared" si="73"/>
        <v>0.125</v>
      </c>
      <c r="BC182" s="219">
        <f t="shared" si="74"/>
        <v>0.10625</v>
      </c>
      <c r="BD182" s="31">
        <f t="shared" si="75"/>
        <v>0</v>
      </c>
      <c r="BE182" s="219">
        <f t="shared" si="76"/>
        <v>0</v>
      </c>
      <c r="BF182" s="31">
        <f t="shared" si="77"/>
        <v>0</v>
      </c>
      <c r="BG182" s="219">
        <f t="shared" si="78"/>
        <v>0</v>
      </c>
      <c r="BH182" s="31">
        <f t="shared" si="79"/>
        <v>0</v>
      </c>
      <c r="BI182" s="219">
        <f t="shared" si="80"/>
        <v>0</v>
      </c>
      <c r="BJ182" s="31">
        <f t="shared" si="81"/>
        <v>0</v>
      </c>
      <c r="BK182" s="219">
        <f t="shared" si="82"/>
        <v>0</v>
      </c>
      <c r="BL182" s="31">
        <f t="shared" si="83"/>
        <v>0</v>
      </c>
      <c r="BM182" s="219">
        <f t="shared" si="84"/>
        <v>0</v>
      </c>
      <c r="BN182" s="31">
        <f t="shared" si="85"/>
        <v>0</v>
      </c>
      <c r="BO182" s="219">
        <f t="shared" si="86"/>
        <v>0</v>
      </c>
    </row>
    <row r="183" spans="1:67" x14ac:dyDescent="0.25">
      <c r="A183" s="31" t="s">
        <v>1980</v>
      </c>
      <c r="B183" s="176" t="str">
        <f>VLOOKUP(A183,kurspris!$A$1:$B$992,2,FALSE)</f>
        <v>Vetenskapliga metoder i geografi</v>
      </c>
      <c r="C183" s="31">
        <v>75051</v>
      </c>
      <c r="D183" s="60" t="s">
        <v>482</v>
      </c>
      <c r="E183" s="60"/>
      <c r="F183" s="57" t="s">
        <v>2274</v>
      </c>
      <c r="H183" s="31" t="s">
        <v>2335</v>
      </c>
      <c r="I183" s="31" t="s">
        <v>2399</v>
      </c>
      <c r="J183" s="31" t="s">
        <v>2238</v>
      </c>
      <c r="L183" s="38"/>
      <c r="M183">
        <v>7.5</v>
      </c>
      <c r="P183" s="31">
        <v>3</v>
      </c>
      <c r="Q183" s="539">
        <v>0.375</v>
      </c>
      <c r="R183" s="38">
        <v>0.85</v>
      </c>
      <c r="S183" s="280">
        <f t="shared" si="59"/>
        <v>0.31874999999999998</v>
      </c>
      <c r="T183" s="31">
        <f>VLOOKUP(A183,'Ansvar kurs'!$A$1:$C$1123,2,FALSE)</f>
        <v>5100</v>
      </c>
      <c r="U183" s="31" t="str">
        <f>VLOOKUP(T183,Orgenheter!$A$1:$C$166,2,FALSE)</f>
        <v>EMG</v>
      </c>
      <c r="V183" s="31" t="str">
        <f>VLOOKUP(T183,Orgenheter!$A$1:$C$166,3,FALSE)</f>
        <v>TekNat</v>
      </c>
      <c r="W183" s="35" t="str">
        <f>VLOOKUP(D183,Program!$A$1:$B$36,2,FALSE)</f>
        <v>Ämneslärarprogrammet - Gy</v>
      </c>
      <c r="X183" s="40">
        <f>VLOOKUP(A183,kurspris!$A$1:$Q$913,15,FALSE)</f>
        <v>20757</v>
      </c>
      <c r="Y183" s="40">
        <f>VLOOKUP(A183,kurspris!$A$1:$Q$913,16,FALSE)</f>
        <v>36082</v>
      </c>
      <c r="Z183" s="40">
        <f t="shared" si="60"/>
        <v>19285.012499999997</v>
      </c>
      <c r="AA183" s="40">
        <f>VLOOKUP(A183,kurspris!$A$1:$Q$913,17,FALSE)</f>
        <v>22600</v>
      </c>
      <c r="AB183" s="40">
        <f t="shared" si="61"/>
        <v>8475</v>
      </c>
      <c r="AC183" s="40">
        <f t="shared" si="62"/>
        <v>27760.012499999997</v>
      </c>
      <c r="AD183" s="31">
        <f>VLOOKUP($A183,kurspris!$A$1:$Q$950,3,FALSE)</f>
        <v>0</v>
      </c>
      <c r="AE183" s="31">
        <f>VLOOKUP($A183,kurspris!$A$1:$Q$950,4,FALSE)</f>
        <v>0</v>
      </c>
      <c r="AF183" s="31">
        <f>VLOOKUP($A183,kurspris!$A$1:$Q$950,5,FALSE)</f>
        <v>0</v>
      </c>
      <c r="AG183" s="31">
        <f>VLOOKUP($A183,kurspris!$A$1:$Q$950,6,FALSE)</f>
        <v>0</v>
      </c>
      <c r="AH183" s="31">
        <f>VLOOKUP($A183,kurspris!$A$1:$Q$950,7,FALSE)</f>
        <v>0</v>
      </c>
      <c r="AI183" s="31">
        <f>VLOOKUP($A183,kurspris!$A$1:$Q$950,8,FALSE)</f>
        <v>1</v>
      </c>
      <c r="AJ183" s="31">
        <f>VLOOKUP($A183,kurspris!$A$1:$Q$950,9,FALSE)</f>
        <v>0</v>
      </c>
      <c r="AK183" s="31">
        <f>VLOOKUP($A183,kurspris!$A$1:$Q$950,10,FALSE)</f>
        <v>0</v>
      </c>
      <c r="AL183" s="31">
        <f>VLOOKUP($A183,kurspris!$A$1:$Q$950,11,FALSE)</f>
        <v>0</v>
      </c>
      <c r="AM183" s="31">
        <f>VLOOKUP($A183,kurspris!$A$1:$Q$950,12,FALSE)</f>
        <v>0</v>
      </c>
      <c r="AN183" s="31">
        <f>VLOOKUP($A183,kurspris!$A$1:$Q$950,13,FALSE)</f>
        <v>0</v>
      </c>
      <c r="AO183" s="31">
        <f>VLOOKUP($A183,kurspris!$A$1:$Q$950,14,FALSE)</f>
        <v>0</v>
      </c>
      <c r="AP183" s="57" t="s">
        <v>2402</v>
      </c>
      <c r="AQ183"/>
      <c r="AR183" s="31">
        <f t="shared" si="63"/>
        <v>0</v>
      </c>
      <c r="AS183" s="219">
        <f t="shared" si="64"/>
        <v>0</v>
      </c>
      <c r="AT183" s="31">
        <f t="shared" si="65"/>
        <v>0</v>
      </c>
      <c r="AU183" s="219">
        <f t="shared" si="66"/>
        <v>0</v>
      </c>
      <c r="AV183" s="31">
        <f t="shared" si="67"/>
        <v>0</v>
      </c>
      <c r="AW183" s="31">
        <f t="shared" si="68"/>
        <v>0</v>
      </c>
      <c r="AX183" s="31">
        <f t="shared" si="69"/>
        <v>0</v>
      </c>
      <c r="AY183" s="219">
        <f t="shared" si="70"/>
        <v>0</v>
      </c>
      <c r="AZ183" s="196">
        <f t="shared" si="71"/>
        <v>0</v>
      </c>
      <c r="BA183" s="219">
        <f t="shared" si="72"/>
        <v>0</v>
      </c>
      <c r="BB183" s="31">
        <f t="shared" si="73"/>
        <v>0.375</v>
      </c>
      <c r="BC183" s="219">
        <f t="shared" si="74"/>
        <v>0.31874999999999998</v>
      </c>
      <c r="BD183" s="31">
        <f t="shared" si="75"/>
        <v>0</v>
      </c>
      <c r="BE183" s="219">
        <f t="shared" si="76"/>
        <v>0</v>
      </c>
      <c r="BF183" s="31">
        <f t="shared" si="77"/>
        <v>0</v>
      </c>
      <c r="BG183" s="219">
        <f t="shared" si="78"/>
        <v>0</v>
      </c>
      <c r="BH183" s="31">
        <f t="shared" si="79"/>
        <v>0</v>
      </c>
      <c r="BI183" s="219">
        <f t="shared" si="80"/>
        <v>0</v>
      </c>
      <c r="BJ183" s="31">
        <f t="shared" si="81"/>
        <v>0</v>
      </c>
      <c r="BK183" s="219">
        <f t="shared" si="82"/>
        <v>0</v>
      </c>
      <c r="BL183" s="31">
        <f t="shared" si="83"/>
        <v>0</v>
      </c>
      <c r="BM183" s="219">
        <f t="shared" si="84"/>
        <v>0</v>
      </c>
      <c r="BN183" s="31">
        <f t="shared" si="85"/>
        <v>0</v>
      </c>
      <c r="BO183" s="219">
        <f t="shared" si="86"/>
        <v>0</v>
      </c>
    </row>
    <row r="184" spans="1:67" x14ac:dyDescent="0.25">
      <c r="A184" s="31" t="s">
        <v>1980</v>
      </c>
      <c r="B184" s="176" t="str">
        <f>VLOOKUP(A184,kurspris!$A$1:$B$992,2,FALSE)</f>
        <v>Vetenskapliga metoder i geografi</v>
      </c>
      <c r="C184" s="31">
        <v>75051</v>
      </c>
      <c r="D184" s="60" t="s">
        <v>482</v>
      </c>
      <c r="E184" s="60"/>
      <c r="F184" s="57" t="s">
        <v>2274</v>
      </c>
      <c r="H184" s="31" t="s">
        <v>2335</v>
      </c>
      <c r="I184" s="31" t="s">
        <v>2399</v>
      </c>
      <c r="J184" s="31" t="s">
        <v>2241</v>
      </c>
      <c r="L184" s="38"/>
      <c r="M184">
        <v>7.5</v>
      </c>
      <c r="P184" s="31">
        <v>2</v>
      </c>
      <c r="Q184" s="539">
        <v>0.25</v>
      </c>
      <c r="R184" s="38">
        <v>0.85</v>
      </c>
      <c r="S184" s="280">
        <f t="shared" si="59"/>
        <v>0.21249999999999999</v>
      </c>
      <c r="T184" s="31">
        <f>VLOOKUP(A184,'Ansvar kurs'!$A$1:$C$1123,2,FALSE)</f>
        <v>5100</v>
      </c>
      <c r="U184" s="31" t="str">
        <f>VLOOKUP(T184,Orgenheter!$A$1:$C$166,2,FALSE)</f>
        <v>EMG</v>
      </c>
      <c r="V184" s="31" t="str">
        <f>VLOOKUP(T184,Orgenheter!$A$1:$C$166,3,FALSE)</f>
        <v>TekNat</v>
      </c>
      <c r="W184" s="35" t="str">
        <f>VLOOKUP(D184,Program!$A$1:$B$36,2,FALSE)</f>
        <v>Ämneslärarprogrammet - Gy</v>
      </c>
      <c r="X184" s="40">
        <f>VLOOKUP(A184,kurspris!$A$1:$Q$913,15,FALSE)</f>
        <v>20757</v>
      </c>
      <c r="Y184" s="40">
        <f>VLOOKUP(A184,kurspris!$A$1:$Q$913,16,FALSE)</f>
        <v>36082</v>
      </c>
      <c r="Z184" s="40">
        <f t="shared" si="60"/>
        <v>12856.674999999999</v>
      </c>
      <c r="AA184" s="40">
        <f>VLOOKUP(A184,kurspris!$A$1:$Q$913,17,FALSE)</f>
        <v>22600</v>
      </c>
      <c r="AB184" s="40">
        <f t="shared" si="61"/>
        <v>5650</v>
      </c>
      <c r="AC184" s="40">
        <f t="shared" si="62"/>
        <v>18506.674999999999</v>
      </c>
      <c r="AD184" s="31">
        <f>VLOOKUP($A184,kurspris!$A$1:$Q$950,3,FALSE)</f>
        <v>0</v>
      </c>
      <c r="AE184" s="31">
        <f>VLOOKUP($A184,kurspris!$A$1:$Q$950,4,FALSE)</f>
        <v>0</v>
      </c>
      <c r="AF184" s="31">
        <f>VLOOKUP($A184,kurspris!$A$1:$Q$950,5,FALSE)</f>
        <v>0</v>
      </c>
      <c r="AG184" s="31">
        <f>VLOOKUP($A184,kurspris!$A$1:$Q$950,6,FALSE)</f>
        <v>0</v>
      </c>
      <c r="AH184" s="31">
        <f>VLOOKUP($A184,kurspris!$A$1:$Q$950,7,FALSE)</f>
        <v>0</v>
      </c>
      <c r="AI184" s="31">
        <f>VLOOKUP($A184,kurspris!$A$1:$Q$950,8,FALSE)</f>
        <v>1</v>
      </c>
      <c r="AJ184" s="31">
        <f>VLOOKUP($A184,kurspris!$A$1:$Q$950,9,FALSE)</f>
        <v>0</v>
      </c>
      <c r="AK184" s="31">
        <f>VLOOKUP($A184,kurspris!$A$1:$Q$950,10,FALSE)</f>
        <v>0</v>
      </c>
      <c r="AL184" s="31">
        <f>VLOOKUP($A184,kurspris!$A$1:$Q$950,11,FALSE)</f>
        <v>0</v>
      </c>
      <c r="AM184" s="31">
        <f>VLOOKUP($A184,kurspris!$A$1:$Q$950,12,FALSE)</f>
        <v>0</v>
      </c>
      <c r="AN184" s="31">
        <f>VLOOKUP($A184,kurspris!$A$1:$Q$950,13,FALSE)</f>
        <v>0</v>
      </c>
      <c r="AO184" s="31">
        <f>VLOOKUP($A184,kurspris!$A$1:$Q$950,14,FALSE)</f>
        <v>0</v>
      </c>
      <c r="AP184" s="57" t="s">
        <v>2402</v>
      </c>
      <c r="AQ184"/>
      <c r="AR184" s="31">
        <f t="shared" si="63"/>
        <v>0</v>
      </c>
      <c r="AS184" s="219">
        <f t="shared" si="64"/>
        <v>0</v>
      </c>
      <c r="AT184" s="31">
        <f t="shared" si="65"/>
        <v>0</v>
      </c>
      <c r="AU184" s="219">
        <f t="shared" si="66"/>
        <v>0</v>
      </c>
      <c r="AV184" s="31">
        <f t="shared" si="67"/>
        <v>0</v>
      </c>
      <c r="AW184" s="31">
        <f t="shared" si="68"/>
        <v>0</v>
      </c>
      <c r="AX184" s="31">
        <f t="shared" si="69"/>
        <v>0</v>
      </c>
      <c r="AY184" s="219">
        <f t="shared" si="70"/>
        <v>0</v>
      </c>
      <c r="AZ184" s="196">
        <f t="shared" si="71"/>
        <v>0</v>
      </c>
      <c r="BA184" s="219">
        <f t="shared" si="72"/>
        <v>0</v>
      </c>
      <c r="BB184" s="31">
        <f t="shared" si="73"/>
        <v>0.25</v>
      </c>
      <c r="BC184" s="219">
        <f t="shared" si="74"/>
        <v>0.21249999999999999</v>
      </c>
      <c r="BD184" s="31">
        <f t="shared" si="75"/>
        <v>0</v>
      </c>
      <c r="BE184" s="219">
        <f t="shared" si="76"/>
        <v>0</v>
      </c>
      <c r="BF184" s="31">
        <f t="shared" si="77"/>
        <v>0</v>
      </c>
      <c r="BG184" s="219">
        <f t="shared" si="78"/>
        <v>0</v>
      </c>
      <c r="BH184" s="31">
        <f t="shared" si="79"/>
        <v>0</v>
      </c>
      <c r="BI184" s="219">
        <f t="shared" si="80"/>
        <v>0</v>
      </c>
      <c r="BJ184" s="31">
        <f t="shared" si="81"/>
        <v>0</v>
      </c>
      <c r="BK184" s="219">
        <f t="shared" si="82"/>
        <v>0</v>
      </c>
      <c r="BL184" s="31">
        <f t="shared" si="83"/>
        <v>0</v>
      </c>
      <c r="BM184" s="219">
        <f t="shared" si="84"/>
        <v>0</v>
      </c>
      <c r="BN184" s="31">
        <f t="shared" si="85"/>
        <v>0</v>
      </c>
      <c r="BO184" s="219">
        <f t="shared" si="86"/>
        <v>0</v>
      </c>
    </row>
    <row r="185" spans="1:67" x14ac:dyDescent="0.25">
      <c r="A185" s="31" t="s">
        <v>1439</v>
      </c>
      <c r="B185" s="176" t="str">
        <f>VLOOKUP(A185,kurspris!$A$1:$B$992,2,FALSE)</f>
        <v>Examensarbete för ämneslärarexamen - historia</v>
      </c>
      <c r="D185" s="60" t="s">
        <v>482</v>
      </c>
      <c r="E185" s="576" t="s">
        <v>2227</v>
      </c>
      <c r="F185" s="31" t="s">
        <v>2273</v>
      </c>
      <c r="G185" s="244" t="s">
        <v>2454</v>
      </c>
      <c r="H185" t="s">
        <v>2335</v>
      </c>
      <c r="J185" s="31" t="s">
        <v>2232</v>
      </c>
      <c r="L185" s="38">
        <v>1</v>
      </c>
      <c r="M185" s="244">
        <v>7.5</v>
      </c>
      <c r="P185" s="31">
        <v>1</v>
      </c>
      <c r="Q185" s="196">
        <f t="shared" ref="Q185:Q193" si="89">(M185/60)*P185</f>
        <v>0.125</v>
      </c>
      <c r="R185" s="38">
        <v>0.85</v>
      </c>
      <c r="S185" s="280">
        <f t="shared" si="59"/>
        <v>0.10625</v>
      </c>
      <c r="T185" s="31">
        <f>VLOOKUP(A185,'Ansvar kurs'!$A$1:$C$1123,2,FALSE)</f>
        <v>1630</v>
      </c>
      <c r="U185" s="31" t="str">
        <f>VLOOKUP(T185,Orgenheter!$A$1:$C$166,2,FALSE)</f>
        <v>Inst för ide- o samhällsstudier</v>
      </c>
      <c r="V185" s="31" t="str">
        <f>VLOOKUP(T185,Orgenheter!$A$1:$C$166,3,FALSE)</f>
        <v>Hum</v>
      </c>
      <c r="W185" s="35" t="str">
        <f>VLOOKUP(D185,Program!$A$1:$B$36,2,FALSE)</f>
        <v>Ämneslärarprogrammet - Gy</v>
      </c>
      <c r="X185" s="40">
        <f>VLOOKUP(A185,kurspris!$A$1:$Q$913,15,FALSE)</f>
        <v>20766</v>
      </c>
      <c r="Y185" s="40">
        <f>VLOOKUP(A185,kurspris!$A$1:$Q$913,16,FALSE)</f>
        <v>17442</v>
      </c>
      <c r="Z185" s="40">
        <f t="shared" si="60"/>
        <v>4448.9624999999996</v>
      </c>
      <c r="AA185" s="40">
        <f>VLOOKUP(A185,kurspris!$A$1:$Q$913,17,FALSE)</f>
        <v>6000</v>
      </c>
      <c r="AB185" s="40">
        <f t="shared" si="61"/>
        <v>750</v>
      </c>
      <c r="AC185" s="40">
        <f t="shared" si="62"/>
        <v>5198.9624999999996</v>
      </c>
      <c r="AD185" s="31">
        <f>VLOOKUP($A185,kurspris!$A$1:$Q$950,3,FALSE)</f>
        <v>0</v>
      </c>
      <c r="AE185" s="31">
        <f>VLOOKUP($A185,kurspris!$A$1:$Q$950,4,FALSE)</f>
        <v>1</v>
      </c>
      <c r="AF185" s="31">
        <f>VLOOKUP($A185,kurspris!$A$1:$Q$950,5,FALSE)</f>
        <v>0</v>
      </c>
      <c r="AG185" s="31">
        <f>VLOOKUP($A185,kurspris!$A$1:$Q$950,6,FALSE)</f>
        <v>0</v>
      </c>
      <c r="AH185" s="31">
        <f>VLOOKUP($A185,kurspris!$A$1:$Q$950,7,FALSE)</f>
        <v>0</v>
      </c>
      <c r="AI185" s="31">
        <f>VLOOKUP($A185,kurspris!$A$1:$Q$950,8,FALSE)</f>
        <v>0</v>
      </c>
      <c r="AJ185" s="31">
        <f>VLOOKUP($A185,kurspris!$A$1:$Q$950,9,FALSE)</f>
        <v>0</v>
      </c>
      <c r="AK185" s="31">
        <f>VLOOKUP($A185,kurspris!$A$1:$Q$950,10,FALSE)</f>
        <v>0</v>
      </c>
      <c r="AL185" s="31">
        <f>VLOOKUP($A185,kurspris!$A$1:$Q$950,11,FALSE)</f>
        <v>0</v>
      </c>
      <c r="AM185" s="31">
        <f>VLOOKUP($A185,kurspris!$A$1:$Q$950,12,FALSE)</f>
        <v>0</v>
      </c>
      <c r="AN185" s="31">
        <f>VLOOKUP($A185,kurspris!$A$1:$Q$950,13,FALSE)</f>
        <v>0</v>
      </c>
      <c r="AO185" s="31">
        <f>VLOOKUP($A185,kurspris!$A$1:$Q$950,14,FALSE)</f>
        <v>0</v>
      </c>
      <c r="AP185" s="57" t="s">
        <v>2506</v>
      </c>
      <c r="AQ185" t="s">
        <v>2311</v>
      </c>
      <c r="AR185" s="31">
        <f t="shared" si="63"/>
        <v>0</v>
      </c>
      <c r="AS185" s="219">
        <f t="shared" si="64"/>
        <v>0</v>
      </c>
      <c r="AT185" s="31">
        <f t="shared" si="65"/>
        <v>0.125</v>
      </c>
      <c r="AU185" s="219">
        <f t="shared" si="66"/>
        <v>0.10625</v>
      </c>
      <c r="AV185" s="31">
        <f t="shared" si="67"/>
        <v>0</v>
      </c>
      <c r="AW185" s="31">
        <f t="shared" si="68"/>
        <v>0</v>
      </c>
      <c r="AX185" s="31">
        <f t="shared" si="69"/>
        <v>0</v>
      </c>
      <c r="AY185" s="219">
        <f t="shared" si="70"/>
        <v>0</v>
      </c>
      <c r="AZ185" s="196">
        <f t="shared" si="71"/>
        <v>0</v>
      </c>
      <c r="BA185" s="219">
        <f t="shared" si="72"/>
        <v>0</v>
      </c>
      <c r="BB185" s="31">
        <f t="shared" si="73"/>
        <v>0</v>
      </c>
      <c r="BC185" s="219">
        <f t="shared" si="74"/>
        <v>0</v>
      </c>
      <c r="BD185" s="31">
        <f t="shared" si="75"/>
        <v>0</v>
      </c>
      <c r="BE185" s="219">
        <f t="shared" si="76"/>
        <v>0</v>
      </c>
      <c r="BF185" s="31">
        <f t="shared" si="77"/>
        <v>0</v>
      </c>
      <c r="BG185" s="219">
        <f t="shared" si="78"/>
        <v>0</v>
      </c>
      <c r="BH185" s="31">
        <f t="shared" si="79"/>
        <v>0</v>
      </c>
      <c r="BI185" s="219">
        <f t="shared" si="80"/>
        <v>0</v>
      </c>
      <c r="BJ185" s="31">
        <f t="shared" si="81"/>
        <v>0</v>
      </c>
      <c r="BK185" s="219">
        <f t="shared" si="82"/>
        <v>0</v>
      </c>
      <c r="BL185" s="31">
        <f t="shared" si="83"/>
        <v>0</v>
      </c>
      <c r="BM185" s="219">
        <f t="shared" si="84"/>
        <v>0</v>
      </c>
      <c r="BN185" s="31">
        <f t="shared" si="85"/>
        <v>0</v>
      </c>
      <c r="BO185" s="219">
        <f t="shared" si="86"/>
        <v>0</v>
      </c>
    </row>
    <row r="186" spans="1:67" x14ac:dyDescent="0.25">
      <c r="A186" s="31" t="s">
        <v>1439</v>
      </c>
      <c r="B186" s="176" t="str">
        <f>VLOOKUP(A186,kurspris!$A$1:$B$992,2,FALSE)</f>
        <v>Examensarbete för ämneslärarexamen - historia</v>
      </c>
      <c r="D186" s="60" t="s">
        <v>482</v>
      </c>
      <c r="E186" s="576" t="s">
        <v>2226</v>
      </c>
      <c r="F186" s="31" t="s">
        <v>2273</v>
      </c>
      <c r="G186" s="244" t="s">
        <v>2454</v>
      </c>
      <c r="H186" t="s">
        <v>2335</v>
      </c>
      <c r="J186" s="31" t="s">
        <v>2231</v>
      </c>
      <c r="L186" s="38">
        <v>1</v>
      </c>
      <c r="M186" s="244">
        <v>7.5</v>
      </c>
      <c r="P186" s="31">
        <v>1</v>
      </c>
      <c r="Q186" s="196">
        <f t="shared" si="89"/>
        <v>0.125</v>
      </c>
      <c r="R186" s="38">
        <v>0.85</v>
      </c>
      <c r="S186" s="280">
        <f t="shared" si="59"/>
        <v>0.10625</v>
      </c>
      <c r="T186" s="31">
        <f>VLOOKUP(A186,'Ansvar kurs'!$A$1:$C$1123,2,FALSE)</f>
        <v>1630</v>
      </c>
      <c r="U186" s="31" t="str">
        <f>VLOOKUP(T186,Orgenheter!$A$1:$C$166,2,FALSE)</f>
        <v>Inst för ide- o samhällsstudier</v>
      </c>
      <c r="V186" s="31" t="str">
        <f>VLOOKUP(T186,Orgenheter!$A$1:$C$166,3,FALSE)</f>
        <v>Hum</v>
      </c>
      <c r="W186" s="35" t="str">
        <f>VLOOKUP(D186,Program!$A$1:$B$36,2,FALSE)</f>
        <v>Ämneslärarprogrammet - Gy</v>
      </c>
      <c r="X186" s="40">
        <f>VLOOKUP(A186,kurspris!$A$1:$Q$913,15,FALSE)</f>
        <v>20766</v>
      </c>
      <c r="Y186" s="40">
        <f>VLOOKUP(A186,kurspris!$A$1:$Q$913,16,FALSE)</f>
        <v>17442</v>
      </c>
      <c r="Z186" s="40">
        <f t="shared" si="60"/>
        <v>4448.9624999999996</v>
      </c>
      <c r="AA186" s="40">
        <f>VLOOKUP(A186,kurspris!$A$1:$Q$913,17,FALSE)</f>
        <v>6000</v>
      </c>
      <c r="AB186" s="40">
        <f t="shared" si="61"/>
        <v>750</v>
      </c>
      <c r="AC186" s="40">
        <f t="shared" si="62"/>
        <v>5198.9624999999996</v>
      </c>
      <c r="AD186" s="31">
        <f>VLOOKUP($A186,kurspris!$A$1:$Q$950,3,FALSE)</f>
        <v>0</v>
      </c>
      <c r="AE186" s="31">
        <f>VLOOKUP($A186,kurspris!$A$1:$Q$950,4,FALSE)</f>
        <v>1</v>
      </c>
      <c r="AF186" s="31">
        <f>VLOOKUP($A186,kurspris!$A$1:$Q$950,5,FALSE)</f>
        <v>0</v>
      </c>
      <c r="AG186" s="31">
        <f>VLOOKUP($A186,kurspris!$A$1:$Q$950,6,FALSE)</f>
        <v>0</v>
      </c>
      <c r="AH186" s="31">
        <f>VLOOKUP($A186,kurspris!$A$1:$Q$950,7,FALSE)</f>
        <v>0</v>
      </c>
      <c r="AI186" s="31">
        <f>VLOOKUP($A186,kurspris!$A$1:$Q$950,8,FALSE)</f>
        <v>0</v>
      </c>
      <c r="AJ186" s="31">
        <f>VLOOKUP($A186,kurspris!$A$1:$Q$950,9,FALSE)</f>
        <v>0</v>
      </c>
      <c r="AK186" s="31">
        <f>VLOOKUP($A186,kurspris!$A$1:$Q$950,10,FALSE)</f>
        <v>0</v>
      </c>
      <c r="AL186" s="31">
        <f>VLOOKUP($A186,kurspris!$A$1:$Q$950,11,FALSE)</f>
        <v>0</v>
      </c>
      <c r="AM186" s="31">
        <f>VLOOKUP($A186,kurspris!$A$1:$Q$950,12,FALSE)</f>
        <v>0</v>
      </c>
      <c r="AN186" s="31">
        <f>VLOOKUP($A186,kurspris!$A$1:$Q$950,13,FALSE)</f>
        <v>0</v>
      </c>
      <c r="AO186" s="31">
        <f>VLOOKUP($A186,kurspris!$A$1:$Q$950,14,FALSE)</f>
        <v>0</v>
      </c>
      <c r="AP186" s="57" t="s">
        <v>2506</v>
      </c>
      <c r="AQ186" t="s">
        <v>2311</v>
      </c>
      <c r="AR186" s="31">
        <f t="shared" si="63"/>
        <v>0</v>
      </c>
      <c r="AS186" s="219">
        <f t="shared" si="64"/>
        <v>0</v>
      </c>
      <c r="AT186" s="31">
        <f t="shared" si="65"/>
        <v>0.125</v>
      </c>
      <c r="AU186" s="219">
        <f t="shared" si="66"/>
        <v>0.10625</v>
      </c>
      <c r="AV186" s="31">
        <f t="shared" si="67"/>
        <v>0</v>
      </c>
      <c r="AW186" s="31">
        <f t="shared" si="68"/>
        <v>0</v>
      </c>
      <c r="AX186" s="31">
        <f t="shared" si="69"/>
        <v>0</v>
      </c>
      <c r="AY186" s="219">
        <f t="shared" si="70"/>
        <v>0</v>
      </c>
      <c r="AZ186" s="196">
        <f t="shared" si="71"/>
        <v>0</v>
      </c>
      <c r="BA186" s="219">
        <f t="shared" si="72"/>
        <v>0</v>
      </c>
      <c r="BB186" s="31">
        <f t="shared" si="73"/>
        <v>0</v>
      </c>
      <c r="BC186" s="219">
        <f t="shared" si="74"/>
        <v>0</v>
      </c>
      <c r="BD186" s="31">
        <f t="shared" si="75"/>
        <v>0</v>
      </c>
      <c r="BE186" s="219">
        <f t="shared" si="76"/>
        <v>0</v>
      </c>
      <c r="BF186" s="31">
        <f t="shared" si="77"/>
        <v>0</v>
      </c>
      <c r="BG186" s="219">
        <f t="shared" si="78"/>
        <v>0</v>
      </c>
      <c r="BH186" s="31">
        <f t="shared" si="79"/>
        <v>0</v>
      </c>
      <c r="BI186" s="219">
        <f t="shared" si="80"/>
        <v>0</v>
      </c>
      <c r="BJ186" s="31">
        <f t="shared" si="81"/>
        <v>0</v>
      </c>
      <c r="BK186" s="219">
        <f t="shared" si="82"/>
        <v>0</v>
      </c>
      <c r="BL186" s="31">
        <f t="shared" si="83"/>
        <v>0</v>
      </c>
      <c r="BM186" s="219">
        <f t="shared" si="84"/>
        <v>0</v>
      </c>
      <c r="BN186" s="31">
        <f t="shared" si="85"/>
        <v>0</v>
      </c>
      <c r="BO186" s="219">
        <f t="shared" si="86"/>
        <v>0</v>
      </c>
    </row>
    <row r="187" spans="1:67" x14ac:dyDescent="0.25">
      <c r="A187" s="31" t="s">
        <v>1439</v>
      </c>
      <c r="B187" s="176" t="str">
        <f>VLOOKUP(A187,kurspris!$A$1:$B$992,2,FALSE)</f>
        <v>Examensarbete för ämneslärarexamen - historia</v>
      </c>
      <c r="D187" s="60" t="s">
        <v>482</v>
      </c>
      <c r="E187" s="576" t="s">
        <v>2226</v>
      </c>
      <c r="F187" s="31" t="s">
        <v>2273</v>
      </c>
      <c r="G187" s="244" t="s">
        <v>2454</v>
      </c>
      <c r="H187" t="s">
        <v>2335</v>
      </c>
      <c r="J187" s="31" t="s">
        <v>2241</v>
      </c>
      <c r="L187" s="38">
        <v>1</v>
      </c>
      <c r="M187" s="244">
        <v>7.5</v>
      </c>
      <c r="P187" s="31">
        <v>6</v>
      </c>
      <c r="Q187" s="196">
        <f t="shared" si="89"/>
        <v>0.75</v>
      </c>
      <c r="R187" s="38">
        <v>0.85</v>
      </c>
      <c r="S187" s="280">
        <f t="shared" si="59"/>
        <v>0.63749999999999996</v>
      </c>
      <c r="T187" s="31">
        <f>VLOOKUP(A187,'Ansvar kurs'!$A$1:$C$1123,2,FALSE)</f>
        <v>1630</v>
      </c>
      <c r="U187" s="31" t="str">
        <f>VLOOKUP(T187,Orgenheter!$A$1:$C$166,2,FALSE)</f>
        <v>Inst för ide- o samhällsstudier</v>
      </c>
      <c r="V187" s="31" t="str">
        <f>VLOOKUP(T187,Orgenheter!$A$1:$C$166,3,FALSE)</f>
        <v>Hum</v>
      </c>
      <c r="W187" s="35" t="str">
        <f>VLOOKUP(D187,Program!$A$1:$B$36,2,FALSE)</f>
        <v>Ämneslärarprogrammet - Gy</v>
      </c>
      <c r="X187" s="40">
        <f>VLOOKUP(A187,kurspris!$A$1:$Q$913,15,FALSE)</f>
        <v>20766</v>
      </c>
      <c r="Y187" s="40">
        <f>VLOOKUP(A187,kurspris!$A$1:$Q$913,16,FALSE)</f>
        <v>17442</v>
      </c>
      <c r="Z187" s="40">
        <f t="shared" si="60"/>
        <v>26693.775000000001</v>
      </c>
      <c r="AA187" s="40">
        <f>VLOOKUP(A187,kurspris!$A$1:$Q$913,17,FALSE)</f>
        <v>6000</v>
      </c>
      <c r="AB187" s="40">
        <f t="shared" si="61"/>
        <v>4500</v>
      </c>
      <c r="AC187" s="40">
        <f t="shared" si="62"/>
        <v>31193.775000000001</v>
      </c>
      <c r="AD187" s="31">
        <f>VLOOKUP($A187,kurspris!$A$1:$Q$950,3,FALSE)</f>
        <v>0</v>
      </c>
      <c r="AE187" s="31">
        <f>VLOOKUP($A187,kurspris!$A$1:$Q$950,4,FALSE)</f>
        <v>1</v>
      </c>
      <c r="AF187" s="31">
        <f>VLOOKUP($A187,kurspris!$A$1:$Q$950,5,FALSE)</f>
        <v>0</v>
      </c>
      <c r="AG187" s="31">
        <f>VLOOKUP($A187,kurspris!$A$1:$Q$950,6,FALSE)</f>
        <v>0</v>
      </c>
      <c r="AH187" s="31">
        <f>VLOOKUP($A187,kurspris!$A$1:$Q$950,7,FALSE)</f>
        <v>0</v>
      </c>
      <c r="AI187" s="31">
        <f>VLOOKUP($A187,kurspris!$A$1:$Q$950,8,FALSE)</f>
        <v>0</v>
      </c>
      <c r="AJ187" s="31">
        <f>VLOOKUP($A187,kurspris!$A$1:$Q$950,9,FALSE)</f>
        <v>0</v>
      </c>
      <c r="AK187" s="31">
        <f>VLOOKUP($A187,kurspris!$A$1:$Q$950,10,FALSE)</f>
        <v>0</v>
      </c>
      <c r="AL187" s="31">
        <f>VLOOKUP($A187,kurspris!$A$1:$Q$950,11,FALSE)</f>
        <v>0</v>
      </c>
      <c r="AM187" s="31">
        <f>VLOOKUP($A187,kurspris!$A$1:$Q$950,12,FALSE)</f>
        <v>0</v>
      </c>
      <c r="AN187" s="31">
        <f>VLOOKUP($A187,kurspris!$A$1:$Q$950,13,FALSE)</f>
        <v>0</v>
      </c>
      <c r="AO187" s="31">
        <f>VLOOKUP($A187,kurspris!$A$1:$Q$950,14,FALSE)</f>
        <v>0</v>
      </c>
      <c r="AP187" s="57" t="s">
        <v>2506</v>
      </c>
      <c r="AQ187" t="s">
        <v>2311</v>
      </c>
      <c r="AR187" s="31">
        <f t="shared" si="63"/>
        <v>0</v>
      </c>
      <c r="AS187" s="219">
        <f t="shared" si="64"/>
        <v>0</v>
      </c>
      <c r="AT187" s="31">
        <f t="shared" si="65"/>
        <v>0.75</v>
      </c>
      <c r="AU187" s="219">
        <f t="shared" si="66"/>
        <v>0.63749999999999996</v>
      </c>
      <c r="AV187" s="31">
        <f t="shared" si="67"/>
        <v>0</v>
      </c>
      <c r="AW187" s="31">
        <f t="shared" si="68"/>
        <v>0</v>
      </c>
      <c r="AX187" s="31">
        <f t="shared" si="69"/>
        <v>0</v>
      </c>
      <c r="AY187" s="219">
        <f t="shared" si="70"/>
        <v>0</v>
      </c>
      <c r="AZ187" s="196">
        <f t="shared" si="71"/>
        <v>0</v>
      </c>
      <c r="BA187" s="219">
        <f t="shared" si="72"/>
        <v>0</v>
      </c>
      <c r="BB187" s="31">
        <f t="shared" si="73"/>
        <v>0</v>
      </c>
      <c r="BC187" s="219">
        <f t="shared" si="74"/>
        <v>0</v>
      </c>
      <c r="BD187" s="31">
        <f t="shared" si="75"/>
        <v>0</v>
      </c>
      <c r="BE187" s="219">
        <f t="shared" si="76"/>
        <v>0</v>
      </c>
      <c r="BF187" s="31">
        <f t="shared" si="77"/>
        <v>0</v>
      </c>
      <c r="BG187" s="219">
        <f t="shared" si="78"/>
        <v>0</v>
      </c>
      <c r="BH187" s="31">
        <f t="shared" si="79"/>
        <v>0</v>
      </c>
      <c r="BI187" s="219">
        <f t="shared" si="80"/>
        <v>0</v>
      </c>
      <c r="BJ187" s="31">
        <f t="shared" si="81"/>
        <v>0</v>
      </c>
      <c r="BK187" s="219">
        <f t="shared" si="82"/>
        <v>0</v>
      </c>
      <c r="BL187" s="31">
        <f t="shared" si="83"/>
        <v>0</v>
      </c>
      <c r="BM187" s="219">
        <f t="shared" si="84"/>
        <v>0</v>
      </c>
      <c r="BN187" s="31">
        <f t="shared" si="85"/>
        <v>0</v>
      </c>
      <c r="BO187" s="219">
        <f t="shared" si="86"/>
        <v>0</v>
      </c>
    </row>
    <row r="188" spans="1:67" x14ac:dyDescent="0.25">
      <c r="A188" s="31" t="s">
        <v>1439</v>
      </c>
      <c r="B188" s="176" t="str">
        <f>VLOOKUP(A188,kurspris!$A$1:$B$992,2,FALSE)</f>
        <v>Examensarbete för ämneslärarexamen - historia</v>
      </c>
      <c r="D188" s="60" t="s">
        <v>482</v>
      </c>
      <c r="E188" s="576" t="s">
        <v>2225</v>
      </c>
      <c r="F188" s="31" t="s">
        <v>2273</v>
      </c>
      <c r="G188" s="244" t="s">
        <v>2454</v>
      </c>
      <c r="H188" t="s">
        <v>2335</v>
      </c>
      <c r="J188" s="31" t="s">
        <v>2241</v>
      </c>
      <c r="L188" s="38">
        <v>1</v>
      </c>
      <c r="M188" s="244">
        <v>7.5</v>
      </c>
      <c r="P188" s="31">
        <v>1</v>
      </c>
      <c r="Q188" s="196">
        <f t="shared" si="89"/>
        <v>0.125</v>
      </c>
      <c r="R188" s="38">
        <v>0.85</v>
      </c>
      <c r="S188" s="280">
        <f t="shared" si="59"/>
        <v>0.10625</v>
      </c>
      <c r="T188" s="31">
        <f>VLOOKUP(A188,'Ansvar kurs'!$A$1:$C$1123,2,FALSE)</f>
        <v>1630</v>
      </c>
      <c r="U188" s="31" t="str">
        <f>VLOOKUP(T188,Orgenheter!$A$1:$C$166,2,FALSE)</f>
        <v>Inst för ide- o samhällsstudier</v>
      </c>
      <c r="V188" s="31" t="str">
        <f>VLOOKUP(T188,Orgenheter!$A$1:$C$166,3,FALSE)</f>
        <v>Hum</v>
      </c>
      <c r="W188" s="35" t="str">
        <f>VLOOKUP(D188,Program!$A$1:$B$36,2,FALSE)</f>
        <v>Ämneslärarprogrammet - Gy</v>
      </c>
      <c r="X188" s="40">
        <f>VLOOKUP(A188,kurspris!$A$1:$Q$913,15,FALSE)</f>
        <v>20766</v>
      </c>
      <c r="Y188" s="40">
        <f>VLOOKUP(A188,kurspris!$A$1:$Q$913,16,FALSE)</f>
        <v>17442</v>
      </c>
      <c r="Z188" s="40">
        <f t="shared" si="60"/>
        <v>4448.9624999999996</v>
      </c>
      <c r="AA188" s="40">
        <f>VLOOKUP(A188,kurspris!$A$1:$Q$913,17,FALSE)</f>
        <v>6000</v>
      </c>
      <c r="AB188" s="40">
        <f t="shared" si="61"/>
        <v>750</v>
      </c>
      <c r="AC188" s="40">
        <f t="shared" si="62"/>
        <v>5198.9624999999996</v>
      </c>
      <c r="AD188" s="31">
        <f>VLOOKUP($A188,kurspris!$A$1:$Q$950,3,FALSE)</f>
        <v>0</v>
      </c>
      <c r="AE188" s="31">
        <f>VLOOKUP($A188,kurspris!$A$1:$Q$950,4,FALSE)</f>
        <v>1</v>
      </c>
      <c r="AF188" s="31">
        <f>VLOOKUP($A188,kurspris!$A$1:$Q$950,5,FALSE)</f>
        <v>0</v>
      </c>
      <c r="AG188" s="31">
        <f>VLOOKUP($A188,kurspris!$A$1:$Q$950,6,FALSE)</f>
        <v>0</v>
      </c>
      <c r="AH188" s="31">
        <f>VLOOKUP($A188,kurspris!$A$1:$Q$950,7,FALSE)</f>
        <v>0</v>
      </c>
      <c r="AI188" s="31">
        <f>VLOOKUP($A188,kurspris!$A$1:$Q$950,8,FALSE)</f>
        <v>0</v>
      </c>
      <c r="AJ188" s="31">
        <f>VLOOKUP($A188,kurspris!$A$1:$Q$950,9,FALSE)</f>
        <v>0</v>
      </c>
      <c r="AK188" s="31">
        <f>VLOOKUP($A188,kurspris!$A$1:$Q$950,10,FALSE)</f>
        <v>0</v>
      </c>
      <c r="AL188" s="31">
        <f>VLOOKUP($A188,kurspris!$A$1:$Q$950,11,FALSE)</f>
        <v>0</v>
      </c>
      <c r="AM188" s="31">
        <f>VLOOKUP($A188,kurspris!$A$1:$Q$950,12,FALSE)</f>
        <v>0</v>
      </c>
      <c r="AN188" s="31">
        <f>VLOOKUP($A188,kurspris!$A$1:$Q$950,13,FALSE)</f>
        <v>0</v>
      </c>
      <c r="AO188" s="31">
        <f>VLOOKUP($A188,kurspris!$A$1:$Q$950,14,FALSE)</f>
        <v>0</v>
      </c>
      <c r="AP188" s="57" t="s">
        <v>2506</v>
      </c>
      <c r="AQ188" t="s">
        <v>2311</v>
      </c>
      <c r="AR188" s="31">
        <f t="shared" si="63"/>
        <v>0</v>
      </c>
      <c r="AS188" s="219">
        <f t="shared" si="64"/>
        <v>0</v>
      </c>
      <c r="AT188" s="31">
        <f t="shared" si="65"/>
        <v>0.125</v>
      </c>
      <c r="AU188" s="219">
        <f t="shared" si="66"/>
        <v>0.10625</v>
      </c>
      <c r="AV188" s="31">
        <f t="shared" si="67"/>
        <v>0</v>
      </c>
      <c r="AW188" s="31">
        <f t="shared" si="68"/>
        <v>0</v>
      </c>
      <c r="AX188" s="31">
        <f t="shared" si="69"/>
        <v>0</v>
      </c>
      <c r="AY188" s="219">
        <f t="shared" si="70"/>
        <v>0</v>
      </c>
      <c r="AZ188" s="196">
        <f t="shared" si="71"/>
        <v>0</v>
      </c>
      <c r="BA188" s="219">
        <f t="shared" si="72"/>
        <v>0</v>
      </c>
      <c r="BB188" s="31">
        <f t="shared" si="73"/>
        <v>0</v>
      </c>
      <c r="BC188" s="219">
        <f t="shared" si="74"/>
        <v>0</v>
      </c>
      <c r="BD188" s="31">
        <f t="shared" si="75"/>
        <v>0</v>
      </c>
      <c r="BE188" s="219">
        <f t="shared" si="76"/>
        <v>0</v>
      </c>
      <c r="BF188" s="31">
        <f t="shared" si="77"/>
        <v>0</v>
      </c>
      <c r="BG188" s="219">
        <f t="shared" si="78"/>
        <v>0</v>
      </c>
      <c r="BH188" s="31">
        <f t="shared" si="79"/>
        <v>0</v>
      </c>
      <c r="BI188" s="219">
        <f t="shared" si="80"/>
        <v>0</v>
      </c>
      <c r="BJ188" s="31">
        <f t="shared" si="81"/>
        <v>0</v>
      </c>
      <c r="BK188" s="219">
        <f t="shared" si="82"/>
        <v>0</v>
      </c>
      <c r="BL188" s="31">
        <f t="shared" si="83"/>
        <v>0</v>
      </c>
      <c r="BM188" s="219">
        <f t="shared" si="84"/>
        <v>0</v>
      </c>
      <c r="BN188" s="31">
        <f t="shared" si="85"/>
        <v>0</v>
      </c>
      <c r="BO188" s="219">
        <f t="shared" si="86"/>
        <v>0</v>
      </c>
    </row>
    <row r="189" spans="1:67" x14ac:dyDescent="0.25">
      <c r="A189" s="31" t="s">
        <v>1439</v>
      </c>
      <c r="B189" s="176" t="str">
        <f>VLOOKUP(A189,kurspris!$A$1:$B$992,2,FALSE)</f>
        <v>Examensarbete för ämneslärarexamen - historia</v>
      </c>
      <c r="D189" s="60" t="s">
        <v>482</v>
      </c>
      <c r="E189" s="576" t="s">
        <v>2434</v>
      </c>
      <c r="F189" s="31" t="s">
        <v>2273</v>
      </c>
      <c r="G189" s="244" t="s">
        <v>2454</v>
      </c>
      <c r="H189" t="s">
        <v>2335</v>
      </c>
      <c r="J189" s="31" t="s">
        <v>2241</v>
      </c>
      <c r="L189" s="38">
        <v>1</v>
      </c>
      <c r="M189" s="244">
        <v>7.5</v>
      </c>
      <c r="P189" s="31">
        <v>1</v>
      </c>
      <c r="Q189" s="196">
        <f t="shared" si="89"/>
        <v>0.125</v>
      </c>
      <c r="R189" s="38">
        <v>0.85</v>
      </c>
      <c r="S189" s="280">
        <f t="shared" si="59"/>
        <v>0.10625</v>
      </c>
      <c r="T189" s="31">
        <f>VLOOKUP(A189,'Ansvar kurs'!$A$1:$C$1123,2,FALSE)</f>
        <v>1630</v>
      </c>
      <c r="U189" s="31" t="str">
        <f>VLOOKUP(T189,Orgenheter!$A$1:$C$166,2,FALSE)</f>
        <v>Inst för ide- o samhällsstudier</v>
      </c>
      <c r="V189" s="31" t="str">
        <f>VLOOKUP(T189,Orgenheter!$A$1:$C$166,3,FALSE)</f>
        <v>Hum</v>
      </c>
      <c r="W189" s="35" t="str">
        <f>VLOOKUP(D189,Program!$A$1:$B$36,2,FALSE)</f>
        <v>Ämneslärarprogrammet - Gy</v>
      </c>
      <c r="X189" s="40">
        <f>VLOOKUP(A189,kurspris!$A$1:$Q$913,15,FALSE)</f>
        <v>20766</v>
      </c>
      <c r="Y189" s="40">
        <f>VLOOKUP(A189,kurspris!$A$1:$Q$913,16,FALSE)</f>
        <v>17442</v>
      </c>
      <c r="Z189" s="40">
        <f t="shared" si="60"/>
        <v>4448.9624999999996</v>
      </c>
      <c r="AA189" s="40">
        <f>VLOOKUP(A189,kurspris!$A$1:$Q$913,17,FALSE)</f>
        <v>6000</v>
      </c>
      <c r="AB189" s="40">
        <f t="shared" si="61"/>
        <v>750</v>
      </c>
      <c r="AC189" s="40">
        <f t="shared" si="62"/>
        <v>5198.9624999999996</v>
      </c>
      <c r="AD189" s="31">
        <f>VLOOKUP($A189,kurspris!$A$1:$Q$950,3,FALSE)</f>
        <v>0</v>
      </c>
      <c r="AE189" s="31">
        <f>VLOOKUP($A189,kurspris!$A$1:$Q$950,4,FALSE)</f>
        <v>1</v>
      </c>
      <c r="AF189" s="31">
        <f>VLOOKUP($A189,kurspris!$A$1:$Q$950,5,FALSE)</f>
        <v>0</v>
      </c>
      <c r="AG189" s="31">
        <f>VLOOKUP($A189,kurspris!$A$1:$Q$950,6,FALSE)</f>
        <v>0</v>
      </c>
      <c r="AH189" s="31">
        <f>VLOOKUP($A189,kurspris!$A$1:$Q$950,7,FALSE)</f>
        <v>0</v>
      </c>
      <c r="AI189" s="31">
        <f>VLOOKUP($A189,kurspris!$A$1:$Q$950,8,FALSE)</f>
        <v>0</v>
      </c>
      <c r="AJ189" s="31">
        <f>VLOOKUP($A189,kurspris!$A$1:$Q$950,9,FALSE)</f>
        <v>0</v>
      </c>
      <c r="AK189" s="31">
        <f>VLOOKUP($A189,kurspris!$A$1:$Q$950,10,FALSE)</f>
        <v>0</v>
      </c>
      <c r="AL189" s="31">
        <f>VLOOKUP($A189,kurspris!$A$1:$Q$950,11,FALSE)</f>
        <v>0</v>
      </c>
      <c r="AM189" s="31">
        <f>VLOOKUP($A189,kurspris!$A$1:$Q$950,12,FALSE)</f>
        <v>0</v>
      </c>
      <c r="AN189" s="31">
        <f>VLOOKUP($A189,kurspris!$A$1:$Q$950,13,FALSE)</f>
        <v>0</v>
      </c>
      <c r="AO189" s="31">
        <f>VLOOKUP($A189,kurspris!$A$1:$Q$950,14,FALSE)</f>
        <v>0</v>
      </c>
      <c r="AP189" s="57" t="s">
        <v>2506</v>
      </c>
      <c r="AQ189" t="s">
        <v>2311</v>
      </c>
      <c r="AR189" s="31">
        <f t="shared" si="63"/>
        <v>0</v>
      </c>
      <c r="AS189" s="219">
        <f t="shared" si="64"/>
        <v>0</v>
      </c>
      <c r="AT189" s="31">
        <f t="shared" si="65"/>
        <v>0.125</v>
      </c>
      <c r="AU189" s="219">
        <f t="shared" si="66"/>
        <v>0.10625</v>
      </c>
      <c r="AV189" s="31">
        <f t="shared" si="67"/>
        <v>0</v>
      </c>
      <c r="AW189" s="31">
        <f t="shared" si="68"/>
        <v>0</v>
      </c>
      <c r="AX189" s="31">
        <f t="shared" si="69"/>
        <v>0</v>
      </c>
      <c r="AY189" s="219">
        <f t="shared" si="70"/>
        <v>0</v>
      </c>
      <c r="AZ189" s="196">
        <f t="shared" si="71"/>
        <v>0</v>
      </c>
      <c r="BA189" s="219">
        <f t="shared" si="72"/>
        <v>0</v>
      </c>
      <c r="BB189" s="31">
        <f t="shared" si="73"/>
        <v>0</v>
      </c>
      <c r="BC189" s="219">
        <f t="shared" si="74"/>
        <v>0</v>
      </c>
      <c r="BD189" s="31">
        <f t="shared" si="75"/>
        <v>0</v>
      </c>
      <c r="BE189" s="219">
        <f t="shared" si="76"/>
        <v>0</v>
      </c>
      <c r="BF189" s="31">
        <f t="shared" si="77"/>
        <v>0</v>
      </c>
      <c r="BG189" s="219">
        <f t="shared" si="78"/>
        <v>0</v>
      </c>
      <c r="BH189" s="31">
        <f t="shared" si="79"/>
        <v>0</v>
      </c>
      <c r="BI189" s="219">
        <f t="shared" si="80"/>
        <v>0</v>
      </c>
      <c r="BJ189" s="31">
        <f t="shared" si="81"/>
        <v>0</v>
      </c>
      <c r="BK189" s="219">
        <f t="shared" si="82"/>
        <v>0</v>
      </c>
      <c r="BL189" s="31">
        <f t="shared" si="83"/>
        <v>0</v>
      </c>
      <c r="BM189" s="219">
        <f t="shared" si="84"/>
        <v>0</v>
      </c>
      <c r="BN189" s="31">
        <f t="shared" si="85"/>
        <v>0</v>
      </c>
      <c r="BO189" s="219">
        <f t="shared" si="86"/>
        <v>0</v>
      </c>
    </row>
    <row r="190" spans="1:67" x14ac:dyDescent="0.25">
      <c r="A190" s="31" t="s">
        <v>1490</v>
      </c>
      <c r="B190" s="176" t="str">
        <f>VLOOKUP(A190,kurspris!$A$1:$B$992,2,FALSE)</f>
        <v>Läraryrkets dimensioner</v>
      </c>
      <c r="D190" s="60" t="s">
        <v>482</v>
      </c>
      <c r="E190" s="576" t="s">
        <v>2227</v>
      </c>
      <c r="F190" s="31" t="s">
        <v>2273</v>
      </c>
      <c r="G190" t="s">
        <v>2456</v>
      </c>
      <c r="H190" t="s">
        <v>2335</v>
      </c>
      <c r="J190" s="31" t="s">
        <v>2241</v>
      </c>
      <c r="L190" s="38">
        <v>1</v>
      </c>
      <c r="M190">
        <v>22.5</v>
      </c>
      <c r="P190" s="31">
        <v>1</v>
      </c>
      <c r="Q190" s="196">
        <f t="shared" si="89"/>
        <v>0.375</v>
      </c>
      <c r="R190" s="38">
        <v>0.85</v>
      </c>
      <c r="S190" s="280">
        <f t="shared" si="59"/>
        <v>0.31874999999999998</v>
      </c>
      <c r="T190" s="31">
        <f>VLOOKUP(A190,'Ansvar kurs'!$A$1:$C$1123,2,FALSE)</f>
        <v>1630</v>
      </c>
      <c r="U190" s="31" t="str">
        <f>VLOOKUP(T190,Orgenheter!$A$1:$C$166,2,FALSE)</f>
        <v>Inst för ide- o samhällsstudier</v>
      </c>
      <c r="V190" s="31" t="str">
        <f>VLOOKUP(T190,Orgenheter!$A$1:$C$166,3,FALSE)</f>
        <v>Hum</v>
      </c>
      <c r="W190" s="35" t="str">
        <f>VLOOKUP(D190,Program!$A$1:$B$36,2,FALSE)</f>
        <v>Ämneslärarprogrammet - Gy</v>
      </c>
      <c r="X190" s="40">
        <f>VLOOKUP(A190,kurspris!$A$1:$Q$913,15,FALSE)</f>
        <v>25235</v>
      </c>
      <c r="Y190" s="40">
        <f>VLOOKUP(A190,kurspris!$A$1:$Q$913,16,FALSE)</f>
        <v>27976</v>
      </c>
      <c r="Z190" s="40">
        <f t="shared" si="60"/>
        <v>18380.474999999999</v>
      </c>
      <c r="AA190" s="40">
        <f>VLOOKUP(A190,kurspris!$A$1:$Q$913,17,FALSE)</f>
        <v>3600</v>
      </c>
      <c r="AB190" s="40">
        <f t="shared" si="61"/>
        <v>1350</v>
      </c>
      <c r="AC190" s="40">
        <f t="shared" si="62"/>
        <v>19730.474999999999</v>
      </c>
      <c r="AD190" s="31">
        <f>VLOOKUP($A190,kurspris!$A$1:$Q$950,3,FALSE)</f>
        <v>0</v>
      </c>
      <c r="AE190" s="31">
        <f>VLOOKUP($A190,kurspris!$A$1:$Q$950,4,FALSE)</f>
        <v>0</v>
      </c>
      <c r="AF190" s="31">
        <f>VLOOKUP($A190,kurspris!$A$1:$Q$950,5,FALSE)</f>
        <v>0</v>
      </c>
      <c r="AG190" s="31">
        <f>VLOOKUP($A190,kurspris!$A$1:$Q$950,6,FALSE)</f>
        <v>0</v>
      </c>
      <c r="AH190" s="31">
        <f>VLOOKUP($A190,kurspris!$A$1:$Q$950,7,FALSE)</f>
        <v>0</v>
      </c>
      <c r="AI190" s="31">
        <f>VLOOKUP($A190,kurspris!$A$1:$Q$950,8,FALSE)</f>
        <v>0</v>
      </c>
      <c r="AJ190" s="31">
        <f>VLOOKUP($A190,kurspris!$A$1:$Q$950,9,FALSE)</f>
        <v>0</v>
      </c>
      <c r="AK190" s="31">
        <f>VLOOKUP($A190,kurspris!$A$1:$Q$950,10,FALSE)</f>
        <v>0</v>
      </c>
      <c r="AL190" s="31">
        <f>VLOOKUP($A190,kurspris!$A$1:$Q$950,11,FALSE)</f>
        <v>1</v>
      </c>
      <c r="AM190" s="31">
        <f>VLOOKUP($A190,kurspris!$A$1:$Q$950,12,FALSE)</f>
        <v>0</v>
      </c>
      <c r="AN190" s="31">
        <f>VLOOKUP($A190,kurspris!$A$1:$Q$950,13,FALSE)</f>
        <v>0</v>
      </c>
      <c r="AO190" s="31">
        <f>VLOOKUP($A190,kurspris!$A$1:$Q$950,14,FALSE)</f>
        <v>0</v>
      </c>
      <c r="AP190" s="57" t="s">
        <v>2506</v>
      </c>
      <c r="AQ190"/>
      <c r="AR190" s="31">
        <f t="shared" si="63"/>
        <v>0</v>
      </c>
      <c r="AS190" s="219">
        <f t="shared" si="64"/>
        <v>0</v>
      </c>
      <c r="AT190" s="31">
        <f t="shared" si="65"/>
        <v>0</v>
      </c>
      <c r="AU190" s="219">
        <f t="shared" si="66"/>
        <v>0</v>
      </c>
      <c r="AV190" s="31">
        <f t="shared" si="67"/>
        <v>0</v>
      </c>
      <c r="AW190" s="31">
        <f t="shared" si="68"/>
        <v>0</v>
      </c>
      <c r="AX190" s="31">
        <f t="shared" si="69"/>
        <v>0</v>
      </c>
      <c r="AY190" s="219">
        <f t="shared" si="70"/>
        <v>0</v>
      </c>
      <c r="AZ190" s="196">
        <f t="shared" si="71"/>
        <v>0</v>
      </c>
      <c r="BA190" s="219">
        <f t="shared" si="72"/>
        <v>0</v>
      </c>
      <c r="BB190" s="31">
        <f t="shared" si="73"/>
        <v>0</v>
      </c>
      <c r="BC190" s="219">
        <f t="shared" si="74"/>
        <v>0</v>
      </c>
      <c r="BD190" s="31">
        <f t="shared" si="75"/>
        <v>0</v>
      </c>
      <c r="BE190" s="219">
        <f t="shared" si="76"/>
        <v>0</v>
      </c>
      <c r="BF190" s="31">
        <f t="shared" si="77"/>
        <v>0</v>
      </c>
      <c r="BG190" s="219">
        <f t="shared" si="78"/>
        <v>0</v>
      </c>
      <c r="BH190" s="31">
        <f t="shared" si="79"/>
        <v>0.375</v>
      </c>
      <c r="BI190" s="219">
        <f t="shared" si="80"/>
        <v>0.31874999999999998</v>
      </c>
      <c r="BJ190" s="31">
        <f t="shared" si="81"/>
        <v>0</v>
      </c>
      <c r="BK190" s="219">
        <f t="shared" si="82"/>
        <v>0</v>
      </c>
      <c r="BL190" s="31">
        <f t="shared" si="83"/>
        <v>0</v>
      </c>
      <c r="BM190" s="219">
        <f t="shared" si="84"/>
        <v>0</v>
      </c>
      <c r="BN190" s="31">
        <f t="shared" si="85"/>
        <v>0</v>
      </c>
      <c r="BO190" s="219">
        <f t="shared" si="86"/>
        <v>0</v>
      </c>
    </row>
    <row r="191" spans="1:67" x14ac:dyDescent="0.25">
      <c r="A191" s="31" t="s">
        <v>1490</v>
      </c>
      <c r="B191" s="176" t="str">
        <f>VLOOKUP(A191,kurspris!$A$1:$B$992,2,FALSE)</f>
        <v>Läraryrkets dimensioner</v>
      </c>
      <c r="D191" s="60" t="s">
        <v>482</v>
      </c>
      <c r="E191" s="576" t="s">
        <v>2226</v>
      </c>
      <c r="F191" s="31" t="s">
        <v>2273</v>
      </c>
      <c r="G191" t="s">
        <v>2456</v>
      </c>
      <c r="H191" t="s">
        <v>2335</v>
      </c>
      <c r="J191" s="31" t="s">
        <v>2241</v>
      </c>
      <c r="L191" s="38">
        <v>1</v>
      </c>
      <c r="M191">
        <v>22.5</v>
      </c>
      <c r="P191" s="31">
        <v>8</v>
      </c>
      <c r="Q191" s="196">
        <f t="shared" si="89"/>
        <v>3</v>
      </c>
      <c r="R191" s="38">
        <v>0.85</v>
      </c>
      <c r="S191" s="280">
        <f t="shared" si="59"/>
        <v>2.5499999999999998</v>
      </c>
      <c r="T191" s="31">
        <f>VLOOKUP(A191,'Ansvar kurs'!$A$1:$C$1123,2,FALSE)</f>
        <v>1630</v>
      </c>
      <c r="U191" s="31" t="str">
        <f>VLOOKUP(T191,Orgenheter!$A$1:$C$166,2,FALSE)</f>
        <v>Inst för ide- o samhällsstudier</v>
      </c>
      <c r="V191" s="31" t="str">
        <f>VLOOKUP(T191,Orgenheter!$A$1:$C$166,3,FALSE)</f>
        <v>Hum</v>
      </c>
      <c r="W191" s="35" t="str">
        <f>VLOOKUP(D191,Program!$A$1:$B$36,2,FALSE)</f>
        <v>Ämneslärarprogrammet - Gy</v>
      </c>
      <c r="X191" s="40">
        <f>VLOOKUP(A191,kurspris!$A$1:$Q$913,15,FALSE)</f>
        <v>25235</v>
      </c>
      <c r="Y191" s="40">
        <f>VLOOKUP(A191,kurspris!$A$1:$Q$913,16,FALSE)</f>
        <v>27976</v>
      </c>
      <c r="Z191" s="40">
        <f t="shared" si="60"/>
        <v>147043.79999999999</v>
      </c>
      <c r="AA191" s="40">
        <f>VLOOKUP(A191,kurspris!$A$1:$Q$913,17,FALSE)</f>
        <v>3600</v>
      </c>
      <c r="AB191" s="40">
        <f t="shared" si="61"/>
        <v>10800</v>
      </c>
      <c r="AC191" s="40">
        <f t="shared" si="62"/>
        <v>157843.79999999999</v>
      </c>
      <c r="AD191" s="31">
        <f>VLOOKUP($A191,kurspris!$A$1:$Q$950,3,FALSE)</f>
        <v>0</v>
      </c>
      <c r="AE191" s="31">
        <f>VLOOKUP($A191,kurspris!$A$1:$Q$950,4,FALSE)</f>
        <v>0</v>
      </c>
      <c r="AF191" s="31">
        <f>VLOOKUP($A191,kurspris!$A$1:$Q$950,5,FALSE)</f>
        <v>0</v>
      </c>
      <c r="AG191" s="31">
        <f>VLOOKUP($A191,kurspris!$A$1:$Q$950,6,FALSE)</f>
        <v>0</v>
      </c>
      <c r="AH191" s="31">
        <f>VLOOKUP($A191,kurspris!$A$1:$Q$950,7,FALSE)</f>
        <v>0</v>
      </c>
      <c r="AI191" s="31">
        <f>VLOOKUP($A191,kurspris!$A$1:$Q$950,8,FALSE)</f>
        <v>0</v>
      </c>
      <c r="AJ191" s="31">
        <f>VLOOKUP($A191,kurspris!$A$1:$Q$950,9,FALSE)</f>
        <v>0</v>
      </c>
      <c r="AK191" s="31">
        <f>VLOOKUP($A191,kurspris!$A$1:$Q$950,10,FALSE)</f>
        <v>0</v>
      </c>
      <c r="AL191" s="31">
        <f>VLOOKUP($A191,kurspris!$A$1:$Q$950,11,FALSE)</f>
        <v>1</v>
      </c>
      <c r="AM191" s="31">
        <f>VLOOKUP($A191,kurspris!$A$1:$Q$950,12,FALSE)</f>
        <v>0</v>
      </c>
      <c r="AN191" s="31">
        <f>VLOOKUP($A191,kurspris!$A$1:$Q$950,13,FALSE)</f>
        <v>0</v>
      </c>
      <c r="AO191" s="31">
        <f>VLOOKUP($A191,kurspris!$A$1:$Q$950,14,FALSE)</f>
        <v>0</v>
      </c>
      <c r="AP191" s="57" t="s">
        <v>2506</v>
      </c>
      <c r="AQ191"/>
      <c r="AR191" s="31">
        <f t="shared" si="63"/>
        <v>0</v>
      </c>
      <c r="AS191" s="219">
        <f t="shared" si="64"/>
        <v>0</v>
      </c>
      <c r="AT191" s="31">
        <f t="shared" si="65"/>
        <v>0</v>
      </c>
      <c r="AU191" s="219">
        <f t="shared" si="66"/>
        <v>0</v>
      </c>
      <c r="AV191" s="31">
        <f t="shared" si="67"/>
        <v>0</v>
      </c>
      <c r="AW191" s="31">
        <f t="shared" si="68"/>
        <v>0</v>
      </c>
      <c r="AX191" s="31">
        <f t="shared" si="69"/>
        <v>0</v>
      </c>
      <c r="AY191" s="219">
        <f t="shared" si="70"/>
        <v>0</v>
      </c>
      <c r="AZ191" s="196">
        <f t="shared" si="71"/>
        <v>0</v>
      </c>
      <c r="BA191" s="219">
        <f t="shared" si="72"/>
        <v>0</v>
      </c>
      <c r="BB191" s="31">
        <f t="shared" si="73"/>
        <v>0</v>
      </c>
      <c r="BC191" s="219">
        <f t="shared" si="74"/>
        <v>0</v>
      </c>
      <c r="BD191" s="31">
        <f t="shared" si="75"/>
        <v>0</v>
      </c>
      <c r="BE191" s="219">
        <f t="shared" si="76"/>
        <v>0</v>
      </c>
      <c r="BF191" s="31">
        <f t="shared" si="77"/>
        <v>0</v>
      </c>
      <c r="BG191" s="219">
        <f t="shared" si="78"/>
        <v>0</v>
      </c>
      <c r="BH191" s="31">
        <f t="shared" si="79"/>
        <v>3</v>
      </c>
      <c r="BI191" s="219">
        <f t="shared" si="80"/>
        <v>2.5499999999999998</v>
      </c>
      <c r="BJ191" s="31">
        <f t="shared" si="81"/>
        <v>0</v>
      </c>
      <c r="BK191" s="219">
        <f t="shared" si="82"/>
        <v>0</v>
      </c>
      <c r="BL191" s="31">
        <f t="shared" si="83"/>
        <v>0</v>
      </c>
      <c r="BM191" s="219">
        <f t="shared" si="84"/>
        <v>0</v>
      </c>
      <c r="BN191" s="31">
        <f t="shared" si="85"/>
        <v>0</v>
      </c>
      <c r="BO191" s="219">
        <f t="shared" si="86"/>
        <v>0</v>
      </c>
    </row>
    <row r="192" spans="1:67" x14ac:dyDescent="0.25">
      <c r="A192" s="31" t="s">
        <v>1490</v>
      </c>
      <c r="B192" s="176" t="str">
        <f>VLOOKUP(A192,kurspris!$A$1:$B$992,2,FALSE)</f>
        <v>Läraryrkets dimensioner</v>
      </c>
      <c r="D192" s="60" t="s">
        <v>482</v>
      </c>
      <c r="E192" s="576" t="s">
        <v>2225</v>
      </c>
      <c r="F192" s="31" t="s">
        <v>2273</v>
      </c>
      <c r="G192" t="s">
        <v>2456</v>
      </c>
      <c r="H192" t="s">
        <v>2335</v>
      </c>
      <c r="J192" s="31" t="s">
        <v>2241</v>
      </c>
      <c r="L192" s="38">
        <v>1</v>
      </c>
      <c r="M192">
        <v>22.5</v>
      </c>
      <c r="P192" s="31">
        <v>2</v>
      </c>
      <c r="Q192" s="196">
        <f t="shared" si="89"/>
        <v>0.75</v>
      </c>
      <c r="R192" s="38">
        <v>0.85</v>
      </c>
      <c r="S192" s="280">
        <f t="shared" si="59"/>
        <v>0.63749999999999996</v>
      </c>
      <c r="T192" s="31">
        <f>VLOOKUP(A192,'Ansvar kurs'!$A$1:$C$1123,2,FALSE)</f>
        <v>1630</v>
      </c>
      <c r="U192" s="31" t="str">
        <f>VLOOKUP(T192,Orgenheter!$A$1:$C$166,2,FALSE)</f>
        <v>Inst för ide- o samhällsstudier</v>
      </c>
      <c r="V192" s="31" t="str">
        <f>VLOOKUP(T192,Orgenheter!$A$1:$C$166,3,FALSE)</f>
        <v>Hum</v>
      </c>
      <c r="W192" s="35" t="str">
        <f>VLOOKUP(D192,Program!$A$1:$B$36,2,FALSE)</f>
        <v>Ämneslärarprogrammet - Gy</v>
      </c>
      <c r="X192" s="40">
        <f>VLOOKUP(A192,kurspris!$A$1:$Q$913,15,FALSE)</f>
        <v>25235</v>
      </c>
      <c r="Y192" s="40">
        <f>VLOOKUP(A192,kurspris!$A$1:$Q$913,16,FALSE)</f>
        <v>27976</v>
      </c>
      <c r="Z192" s="40">
        <f t="shared" si="60"/>
        <v>36760.949999999997</v>
      </c>
      <c r="AA192" s="40">
        <f>VLOOKUP(A192,kurspris!$A$1:$Q$913,17,FALSE)</f>
        <v>3600</v>
      </c>
      <c r="AB192" s="40">
        <f t="shared" si="61"/>
        <v>2700</v>
      </c>
      <c r="AC192" s="40">
        <f t="shared" si="62"/>
        <v>39460.949999999997</v>
      </c>
      <c r="AD192" s="31">
        <f>VLOOKUP($A192,kurspris!$A$1:$Q$950,3,FALSE)</f>
        <v>0</v>
      </c>
      <c r="AE192" s="31">
        <f>VLOOKUP($A192,kurspris!$A$1:$Q$950,4,FALSE)</f>
        <v>0</v>
      </c>
      <c r="AF192" s="31">
        <f>VLOOKUP($A192,kurspris!$A$1:$Q$950,5,FALSE)</f>
        <v>0</v>
      </c>
      <c r="AG192" s="31">
        <f>VLOOKUP($A192,kurspris!$A$1:$Q$950,6,FALSE)</f>
        <v>0</v>
      </c>
      <c r="AH192" s="31">
        <f>VLOOKUP($A192,kurspris!$A$1:$Q$950,7,FALSE)</f>
        <v>0</v>
      </c>
      <c r="AI192" s="31">
        <f>VLOOKUP($A192,kurspris!$A$1:$Q$950,8,FALSE)</f>
        <v>0</v>
      </c>
      <c r="AJ192" s="31">
        <f>VLOOKUP($A192,kurspris!$A$1:$Q$950,9,FALSE)</f>
        <v>0</v>
      </c>
      <c r="AK192" s="31">
        <f>VLOOKUP($A192,kurspris!$A$1:$Q$950,10,FALSE)</f>
        <v>0</v>
      </c>
      <c r="AL192" s="31">
        <f>VLOOKUP($A192,kurspris!$A$1:$Q$950,11,FALSE)</f>
        <v>1</v>
      </c>
      <c r="AM192" s="31">
        <f>VLOOKUP($A192,kurspris!$A$1:$Q$950,12,FALSE)</f>
        <v>0</v>
      </c>
      <c r="AN192" s="31">
        <f>VLOOKUP($A192,kurspris!$A$1:$Q$950,13,FALSE)</f>
        <v>0</v>
      </c>
      <c r="AO192" s="31">
        <f>VLOOKUP($A192,kurspris!$A$1:$Q$950,14,FALSE)</f>
        <v>0</v>
      </c>
      <c r="AP192" s="57" t="s">
        <v>2506</v>
      </c>
      <c r="AQ192"/>
      <c r="AR192" s="31">
        <f t="shared" si="63"/>
        <v>0</v>
      </c>
      <c r="AS192" s="219">
        <f t="shared" si="64"/>
        <v>0</v>
      </c>
      <c r="AT192" s="31">
        <f t="shared" si="65"/>
        <v>0</v>
      </c>
      <c r="AU192" s="219">
        <f t="shared" si="66"/>
        <v>0</v>
      </c>
      <c r="AV192" s="31">
        <f t="shared" si="67"/>
        <v>0</v>
      </c>
      <c r="AW192" s="31">
        <f t="shared" si="68"/>
        <v>0</v>
      </c>
      <c r="AX192" s="31">
        <f t="shared" si="69"/>
        <v>0</v>
      </c>
      <c r="AY192" s="219">
        <f t="shared" si="70"/>
        <v>0</v>
      </c>
      <c r="AZ192" s="196">
        <f t="shared" si="71"/>
        <v>0</v>
      </c>
      <c r="BA192" s="219">
        <f t="shared" si="72"/>
        <v>0</v>
      </c>
      <c r="BB192" s="31">
        <f t="shared" si="73"/>
        <v>0</v>
      </c>
      <c r="BC192" s="219">
        <f t="shared" si="74"/>
        <v>0</v>
      </c>
      <c r="BD192" s="31">
        <f t="shared" si="75"/>
        <v>0</v>
      </c>
      <c r="BE192" s="219">
        <f t="shared" si="76"/>
        <v>0</v>
      </c>
      <c r="BF192" s="31">
        <f t="shared" si="77"/>
        <v>0</v>
      </c>
      <c r="BG192" s="219">
        <f t="shared" si="78"/>
        <v>0</v>
      </c>
      <c r="BH192" s="31">
        <f t="shared" si="79"/>
        <v>0.75</v>
      </c>
      <c r="BI192" s="219">
        <f t="shared" si="80"/>
        <v>0.63749999999999996</v>
      </c>
      <c r="BJ192" s="31">
        <f t="shared" si="81"/>
        <v>0</v>
      </c>
      <c r="BK192" s="219">
        <f t="shared" si="82"/>
        <v>0</v>
      </c>
      <c r="BL192" s="31">
        <f t="shared" si="83"/>
        <v>0</v>
      </c>
      <c r="BM192" s="219">
        <f t="shared" si="84"/>
        <v>0</v>
      </c>
      <c r="BN192" s="31">
        <f t="shared" si="85"/>
        <v>0</v>
      </c>
      <c r="BO192" s="219">
        <f t="shared" si="86"/>
        <v>0</v>
      </c>
    </row>
    <row r="193" spans="1:67" x14ac:dyDescent="0.25">
      <c r="A193" s="31" t="s">
        <v>1490</v>
      </c>
      <c r="B193" s="176" t="str">
        <f>VLOOKUP(A193,kurspris!$A$1:$B$992,2,FALSE)</f>
        <v>Läraryrkets dimensioner</v>
      </c>
      <c r="D193" s="60" t="s">
        <v>482</v>
      </c>
      <c r="E193" s="576" t="s">
        <v>2434</v>
      </c>
      <c r="F193" s="31" t="s">
        <v>2273</v>
      </c>
      <c r="G193" t="s">
        <v>2456</v>
      </c>
      <c r="H193" t="s">
        <v>2335</v>
      </c>
      <c r="J193" s="31" t="s">
        <v>2241</v>
      </c>
      <c r="L193" s="38">
        <v>1</v>
      </c>
      <c r="M193">
        <v>22.5</v>
      </c>
      <c r="P193" s="31">
        <v>1</v>
      </c>
      <c r="Q193" s="196">
        <f t="shared" si="89"/>
        <v>0.375</v>
      </c>
      <c r="R193" s="38">
        <v>0.85</v>
      </c>
      <c r="S193" s="280">
        <f t="shared" si="59"/>
        <v>0.31874999999999998</v>
      </c>
      <c r="T193" s="31">
        <f>VLOOKUP(A193,'Ansvar kurs'!$A$1:$C$1123,2,FALSE)</f>
        <v>1630</v>
      </c>
      <c r="U193" s="31" t="str">
        <f>VLOOKUP(T193,Orgenheter!$A$1:$C$166,2,FALSE)</f>
        <v>Inst för ide- o samhällsstudier</v>
      </c>
      <c r="V193" s="31" t="str">
        <f>VLOOKUP(T193,Orgenheter!$A$1:$C$166,3,FALSE)</f>
        <v>Hum</v>
      </c>
      <c r="W193" s="35" t="str">
        <f>VLOOKUP(D193,Program!$A$1:$B$36,2,FALSE)</f>
        <v>Ämneslärarprogrammet - Gy</v>
      </c>
      <c r="X193" s="40">
        <f>VLOOKUP(A193,kurspris!$A$1:$Q$913,15,FALSE)</f>
        <v>25235</v>
      </c>
      <c r="Y193" s="40">
        <f>VLOOKUP(A193,kurspris!$A$1:$Q$913,16,FALSE)</f>
        <v>27976</v>
      </c>
      <c r="Z193" s="40">
        <f t="shared" si="60"/>
        <v>18380.474999999999</v>
      </c>
      <c r="AA193" s="40">
        <f>VLOOKUP(A193,kurspris!$A$1:$Q$913,17,FALSE)</f>
        <v>3600</v>
      </c>
      <c r="AB193" s="40">
        <f t="shared" si="61"/>
        <v>1350</v>
      </c>
      <c r="AC193" s="40">
        <f t="shared" si="62"/>
        <v>19730.474999999999</v>
      </c>
      <c r="AD193" s="31">
        <f>VLOOKUP($A193,kurspris!$A$1:$Q$950,3,FALSE)</f>
        <v>0</v>
      </c>
      <c r="AE193" s="31">
        <f>VLOOKUP($A193,kurspris!$A$1:$Q$950,4,FALSE)</f>
        <v>0</v>
      </c>
      <c r="AF193" s="31">
        <f>VLOOKUP($A193,kurspris!$A$1:$Q$950,5,FALSE)</f>
        <v>0</v>
      </c>
      <c r="AG193" s="31">
        <f>VLOOKUP($A193,kurspris!$A$1:$Q$950,6,FALSE)</f>
        <v>0</v>
      </c>
      <c r="AH193" s="31">
        <f>VLOOKUP($A193,kurspris!$A$1:$Q$950,7,FALSE)</f>
        <v>0</v>
      </c>
      <c r="AI193" s="31">
        <f>VLOOKUP($A193,kurspris!$A$1:$Q$950,8,FALSE)</f>
        <v>0</v>
      </c>
      <c r="AJ193" s="31">
        <f>VLOOKUP($A193,kurspris!$A$1:$Q$950,9,FALSE)</f>
        <v>0</v>
      </c>
      <c r="AK193" s="31">
        <f>VLOOKUP($A193,kurspris!$A$1:$Q$950,10,FALSE)</f>
        <v>0</v>
      </c>
      <c r="AL193" s="31">
        <f>VLOOKUP($A193,kurspris!$A$1:$Q$950,11,FALSE)</f>
        <v>1</v>
      </c>
      <c r="AM193" s="31">
        <f>VLOOKUP($A193,kurspris!$A$1:$Q$950,12,FALSE)</f>
        <v>0</v>
      </c>
      <c r="AN193" s="31">
        <f>VLOOKUP($A193,kurspris!$A$1:$Q$950,13,FALSE)</f>
        <v>0</v>
      </c>
      <c r="AO193" s="31">
        <f>VLOOKUP($A193,kurspris!$A$1:$Q$950,14,FALSE)</f>
        <v>0</v>
      </c>
      <c r="AP193" s="57" t="s">
        <v>2506</v>
      </c>
      <c r="AQ193"/>
      <c r="AR193" s="31">
        <f t="shared" si="63"/>
        <v>0</v>
      </c>
      <c r="AS193" s="219">
        <f t="shared" si="64"/>
        <v>0</v>
      </c>
      <c r="AT193" s="31">
        <f t="shared" si="65"/>
        <v>0</v>
      </c>
      <c r="AU193" s="219">
        <f t="shared" si="66"/>
        <v>0</v>
      </c>
      <c r="AV193" s="31">
        <f t="shared" si="67"/>
        <v>0</v>
      </c>
      <c r="AW193" s="31">
        <f t="shared" si="68"/>
        <v>0</v>
      </c>
      <c r="AX193" s="31">
        <f t="shared" si="69"/>
        <v>0</v>
      </c>
      <c r="AY193" s="219">
        <f t="shared" si="70"/>
        <v>0</v>
      </c>
      <c r="AZ193" s="196">
        <f t="shared" si="71"/>
        <v>0</v>
      </c>
      <c r="BA193" s="219">
        <f t="shared" si="72"/>
        <v>0</v>
      </c>
      <c r="BB193" s="31">
        <f t="shared" si="73"/>
        <v>0</v>
      </c>
      <c r="BC193" s="219">
        <f t="shared" si="74"/>
        <v>0</v>
      </c>
      <c r="BD193" s="31">
        <f t="shared" si="75"/>
        <v>0</v>
      </c>
      <c r="BE193" s="219">
        <f t="shared" si="76"/>
        <v>0</v>
      </c>
      <c r="BF193" s="31">
        <f t="shared" si="77"/>
        <v>0</v>
      </c>
      <c r="BG193" s="219">
        <f t="shared" si="78"/>
        <v>0</v>
      </c>
      <c r="BH193" s="31">
        <f t="shared" si="79"/>
        <v>0.375</v>
      </c>
      <c r="BI193" s="219">
        <f t="shared" si="80"/>
        <v>0.31874999999999998</v>
      </c>
      <c r="BJ193" s="31">
        <f t="shared" si="81"/>
        <v>0</v>
      </c>
      <c r="BK193" s="219">
        <f t="shared" si="82"/>
        <v>0</v>
      </c>
      <c r="BL193" s="31">
        <f t="shared" si="83"/>
        <v>0</v>
      </c>
      <c r="BM193" s="219">
        <f t="shared" si="84"/>
        <v>0</v>
      </c>
      <c r="BN193" s="31">
        <f t="shared" si="85"/>
        <v>0</v>
      </c>
      <c r="BO193" s="219">
        <f t="shared" si="86"/>
        <v>0</v>
      </c>
    </row>
    <row r="194" spans="1:67" x14ac:dyDescent="0.25">
      <c r="A194" s="31" t="s">
        <v>1490</v>
      </c>
      <c r="B194" s="176" t="str">
        <f>VLOOKUP(A194,kurspris!$A$1:$B$992,2,FALSE)</f>
        <v>Läraryrkets dimensioner</v>
      </c>
      <c r="C194" s="31">
        <v>71602</v>
      </c>
      <c r="D194" s="60" t="s">
        <v>482</v>
      </c>
      <c r="E194" s="60"/>
      <c r="F194" s="57" t="s">
        <v>2274</v>
      </c>
      <c r="H194" s="31" t="s">
        <v>2335</v>
      </c>
      <c r="I194" s="31" t="s">
        <v>2399</v>
      </c>
      <c r="J194" s="31" t="s">
        <v>2241</v>
      </c>
      <c r="L194" s="38"/>
      <c r="M194">
        <v>22.5</v>
      </c>
      <c r="P194" s="31">
        <v>4</v>
      </c>
      <c r="Q194" s="539">
        <v>1.5</v>
      </c>
      <c r="R194" s="38">
        <v>0.85</v>
      </c>
      <c r="S194" s="280">
        <f t="shared" ref="S194:S257" si="90">Q194*R194</f>
        <v>1.2749999999999999</v>
      </c>
      <c r="T194" s="31">
        <f>VLOOKUP(A194,'Ansvar kurs'!$A$1:$C$1123,2,FALSE)</f>
        <v>1630</v>
      </c>
      <c r="U194" s="31" t="str">
        <f>VLOOKUP(T194,Orgenheter!$A$1:$C$166,2,FALSE)</f>
        <v>Inst för ide- o samhällsstudier</v>
      </c>
      <c r="V194" s="31" t="str">
        <f>VLOOKUP(T194,Orgenheter!$A$1:$C$166,3,FALSE)</f>
        <v>Hum</v>
      </c>
      <c r="W194" s="35" t="str">
        <f>VLOOKUP(D194,Program!$A$1:$B$36,2,FALSE)</f>
        <v>Ämneslärarprogrammet - Gy</v>
      </c>
      <c r="X194" s="40">
        <f>VLOOKUP(A194,kurspris!$A$1:$Q$913,15,FALSE)</f>
        <v>25235</v>
      </c>
      <c r="Y194" s="40">
        <f>VLOOKUP(A194,kurspris!$A$1:$Q$913,16,FALSE)</f>
        <v>27976</v>
      </c>
      <c r="Z194" s="40">
        <f t="shared" ref="Z194:Z257" si="91">X194*Q194+S194*Y194</f>
        <v>73521.899999999994</v>
      </c>
      <c r="AA194" s="40">
        <f>VLOOKUP(A194,kurspris!$A$1:$Q$913,17,FALSE)</f>
        <v>3600</v>
      </c>
      <c r="AB194" s="40">
        <f t="shared" ref="AB194:AB257" si="92">AA194*Q194</f>
        <v>5400</v>
      </c>
      <c r="AC194" s="40">
        <f t="shared" ref="AC194:AC257" si="93">Z194+AB194</f>
        <v>78921.899999999994</v>
      </c>
      <c r="AD194" s="31">
        <f>VLOOKUP($A194,kurspris!$A$1:$Q$950,3,FALSE)</f>
        <v>0</v>
      </c>
      <c r="AE194" s="31">
        <f>VLOOKUP($A194,kurspris!$A$1:$Q$950,4,FALSE)</f>
        <v>0</v>
      </c>
      <c r="AF194" s="31">
        <f>VLOOKUP($A194,kurspris!$A$1:$Q$950,5,FALSE)</f>
        <v>0</v>
      </c>
      <c r="AG194" s="31">
        <f>VLOOKUP($A194,kurspris!$A$1:$Q$950,6,FALSE)</f>
        <v>0</v>
      </c>
      <c r="AH194" s="31">
        <f>VLOOKUP($A194,kurspris!$A$1:$Q$950,7,FALSE)</f>
        <v>0</v>
      </c>
      <c r="AI194" s="31">
        <f>VLOOKUP($A194,kurspris!$A$1:$Q$950,8,FALSE)</f>
        <v>0</v>
      </c>
      <c r="AJ194" s="31">
        <f>VLOOKUP($A194,kurspris!$A$1:$Q$950,9,FALSE)</f>
        <v>0</v>
      </c>
      <c r="AK194" s="31">
        <f>VLOOKUP($A194,kurspris!$A$1:$Q$950,10,FALSE)</f>
        <v>0</v>
      </c>
      <c r="AL194" s="31">
        <f>VLOOKUP($A194,kurspris!$A$1:$Q$950,11,FALSE)</f>
        <v>1</v>
      </c>
      <c r="AM194" s="31">
        <f>VLOOKUP($A194,kurspris!$A$1:$Q$950,12,FALSE)</f>
        <v>0</v>
      </c>
      <c r="AN194" s="31">
        <f>VLOOKUP($A194,kurspris!$A$1:$Q$950,13,FALSE)</f>
        <v>0</v>
      </c>
      <c r="AO194" s="31">
        <f>VLOOKUP($A194,kurspris!$A$1:$Q$950,14,FALSE)</f>
        <v>0</v>
      </c>
      <c r="AP194" s="57" t="s">
        <v>2402</v>
      </c>
      <c r="AQ194"/>
      <c r="AR194" s="31">
        <f t="shared" ref="AR194:AR257" si="94">$Q194*AD194</f>
        <v>0</v>
      </c>
      <c r="AS194" s="219">
        <f t="shared" ref="AS194:AS257" si="95">$S194*AD194</f>
        <v>0</v>
      </c>
      <c r="AT194" s="31">
        <f t="shared" ref="AT194:AT257" si="96">$Q194*AE194</f>
        <v>0</v>
      </c>
      <c r="AU194" s="219">
        <f t="shared" ref="AU194:AU257" si="97">$S194*AE194</f>
        <v>0</v>
      </c>
      <c r="AV194" s="31">
        <f t="shared" ref="AV194:AV257" si="98">$Q194*AF194</f>
        <v>0</v>
      </c>
      <c r="AW194" s="31">
        <f t="shared" ref="AW194:AW257" si="99">$S194*AF194</f>
        <v>0</v>
      </c>
      <c r="AX194" s="31">
        <f t="shared" ref="AX194:AX257" si="100">$Q194*AG194</f>
        <v>0</v>
      </c>
      <c r="AY194" s="219">
        <f t="shared" ref="AY194:AY257" si="101">$S194*AG194</f>
        <v>0</v>
      </c>
      <c r="AZ194" s="196">
        <f t="shared" ref="AZ194:AZ257" si="102">$Q194*AH194</f>
        <v>0</v>
      </c>
      <c r="BA194" s="219">
        <f t="shared" ref="BA194:BA257" si="103">$S194*AH194</f>
        <v>0</v>
      </c>
      <c r="BB194" s="31">
        <f t="shared" ref="BB194:BB257" si="104">$Q194*AI194</f>
        <v>0</v>
      </c>
      <c r="BC194" s="219">
        <f t="shared" ref="BC194:BC257" si="105">$S194*AI194</f>
        <v>0</v>
      </c>
      <c r="BD194" s="31">
        <f t="shared" ref="BD194:BD257" si="106">$Q194*AJ194</f>
        <v>0</v>
      </c>
      <c r="BE194" s="219">
        <f t="shared" ref="BE194:BE257" si="107">$S194*AJ194</f>
        <v>0</v>
      </c>
      <c r="BF194" s="31">
        <f t="shared" ref="BF194:BF257" si="108">$Q194*AK194</f>
        <v>0</v>
      </c>
      <c r="BG194" s="219">
        <f t="shared" ref="BG194:BG257" si="109">$S194*AK194</f>
        <v>0</v>
      </c>
      <c r="BH194" s="31">
        <f t="shared" ref="BH194:BH257" si="110">$Q194*AL194</f>
        <v>1.5</v>
      </c>
      <c r="BI194" s="219">
        <f t="shared" ref="BI194:BI257" si="111">$S194*AL194</f>
        <v>1.2749999999999999</v>
      </c>
      <c r="BJ194" s="31">
        <f t="shared" ref="BJ194:BJ257" si="112">$Q194*AM194</f>
        <v>0</v>
      </c>
      <c r="BK194" s="219">
        <f t="shared" ref="BK194:BK257" si="113">$S194*AM194</f>
        <v>0</v>
      </c>
      <c r="BL194" s="31">
        <f t="shared" ref="BL194:BL257" si="114">$Q194*AN194</f>
        <v>0</v>
      </c>
      <c r="BM194" s="219">
        <f t="shared" ref="BM194:BM257" si="115">$S194*AN194</f>
        <v>0</v>
      </c>
      <c r="BN194" s="31">
        <f t="shared" ref="BN194:BN257" si="116">$Q194*AO194</f>
        <v>0</v>
      </c>
      <c r="BO194" s="219">
        <f t="shared" ref="BO194:BO257" si="117">$S194*AO194</f>
        <v>0</v>
      </c>
    </row>
    <row r="195" spans="1:67" x14ac:dyDescent="0.25">
      <c r="A195" s="31" t="s">
        <v>1896</v>
      </c>
      <c r="B195" s="176" t="str">
        <f>VLOOKUP(A195,kurspris!$A$1:$B$992,2,FALSE)</f>
        <v>Att undervisa i historia (VFU)</v>
      </c>
      <c r="D195" s="60" t="s">
        <v>482</v>
      </c>
      <c r="E195" s="576" t="s">
        <v>2225</v>
      </c>
      <c r="F195" s="31" t="s">
        <v>2273</v>
      </c>
      <c r="G195" t="s">
        <v>2444</v>
      </c>
      <c r="H195" t="s">
        <v>2335</v>
      </c>
      <c r="J195" s="31" t="s">
        <v>2241</v>
      </c>
      <c r="L195" s="38">
        <v>1</v>
      </c>
      <c r="M195">
        <v>6</v>
      </c>
      <c r="P195" s="31">
        <v>2</v>
      </c>
      <c r="Q195" s="196">
        <f t="shared" ref="Q195:Q207" si="118">(M195/60)*P195</f>
        <v>0.2</v>
      </c>
      <c r="R195" s="38">
        <v>0.85</v>
      </c>
      <c r="S195" s="280">
        <f t="shared" si="90"/>
        <v>0.17</v>
      </c>
      <c r="T195" s="31">
        <f>VLOOKUP(A195,'Ansvar kurs'!$A$1:$C$1123,2,FALSE)</f>
        <v>1630</v>
      </c>
      <c r="U195" s="31" t="str">
        <f>VLOOKUP(T195,Orgenheter!$A$1:$C$166,2,FALSE)</f>
        <v>Inst för ide- o samhällsstudier</v>
      </c>
      <c r="V195" s="31" t="str">
        <f>VLOOKUP(T195,Orgenheter!$A$1:$C$166,3,FALSE)</f>
        <v>Hum</v>
      </c>
      <c r="W195" s="35" t="str">
        <f>VLOOKUP(D195,Program!$A$1:$B$36,2,FALSE)</f>
        <v>Ämneslärarprogrammet - Gy</v>
      </c>
      <c r="X195" s="40">
        <f>VLOOKUP(A195,kurspris!$A$1:$Q$913,15,FALSE)</f>
        <v>25235</v>
      </c>
      <c r="Y195" s="40">
        <f>VLOOKUP(A195,kurspris!$A$1:$Q$913,16,FALSE)</f>
        <v>27976</v>
      </c>
      <c r="Z195" s="40">
        <f t="shared" si="91"/>
        <v>9802.92</v>
      </c>
      <c r="AA195" s="40">
        <f>VLOOKUP(A195,kurspris!$A$1:$Q$913,17,FALSE)</f>
        <v>3600</v>
      </c>
      <c r="AB195" s="40">
        <f t="shared" si="92"/>
        <v>720</v>
      </c>
      <c r="AC195" s="40">
        <f t="shared" si="93"/>
        <v>10522.92</v>
      </c>
      <c r="AD195" s="31">
        <f>VLOOKUP($A195,kurspris!$A$1:$Q$950,3,FALSE)</f>
        <v>0</v>
      </c>
      <c r="AE195" s="31">
        <f>VLOOKUP($A195,kurspris!$A$1:$Q$950,4,FALSE)</f>
        <v>0</v>
      </c>
      <c r="AF195" s="31">
        <f>VLOOKUP($A195,kurspris!$A$1:$Q$950,5,FALSE)</f>
        <v>0</v>
      </c>
      <c r="AG195" s="31">
        <f>VLOOKUP($A195,kurspris!$A$1:$Q$950,6,FALSE)</f>
        <v>0</v>
      </c>
      <c r="AH195" s="31">
        <f>VLOOKUP($A195,kurspris!$A$1:$Q$950,7,FALSE)</f>
        <v>0</v>
      </c>
      <c r="AI195" s="31">
        <f>VLOOKUP($A195,kurspris!$A$1:$Q$950,8,FALSE)</f>
        <v>0</v>
      </c>
      <c r="AJ195" s="31">
        <f>VLOOKUP($A195,kurspris!$A$1:$Q$950,9,FALSE)</f>
        <v>0</v>
      </c>
      <c r="AK195" s="31">
        <f>VLOOKUP($A195,kurspris!$A$1:$Q$950,10,FALSE)</f>
        <v>0</v>
      </c>
      <c r="AL195" s="31">
        <f>VLOOKUP($A195,kurspris!$A$1:$Q$950,11,FALSE)</f>
        <v>1</v>
      </c>
      <c r="AM195" s="31">
        <f>VLOOKUP($A195,kurspris!$A$1:$Q$950,12,FALSE)</f>
        <v>0</v>
      </c>
      <c r="AN195" s="31">
        <f>VLOOKUP($A195,kurspris!$A$1:$Q$950,13,FALSE)</f>
        <v>0</v>
      </c>
      <c r="AO195" s="31">
        <f>VLOOKUP($A195,kurspris!$A$1:$Q$950,14,FALSE)</f>
        <v>0</v>
      </c>
      <c r="AP195" s="57" t="s">
        <v>2506</v>
      </c>
      <c r="AQ195"/>
      <c r="AR195" s="31">
        <f t="shared" si="94"/>
        <v>0</v>
      </c>
      <c r="AS195" s="219">
        <f t="shared" si="95"/>
        <v>0</v>
      </c>
      <c r="AT195" s="31">
        <f t="shared" si="96"/>
        <v>0</v>
      </c>
      <c r="AU195" s="219">
        <f t="shared" si="97"/>
        <v>0</v>
      </c>
      <c r="AV195" s="31">
        <f t="shared" si="98"/>
        <v>0</v>
      </c>
      <c r="AW195" s="31">
        <f t="shared" si="99"/>
        <v>0</v>
      </c>
      <c r="AX195" s="31">
        <f t="shared" si="100"/>
        <v>0</v>
      </c>
      <c r="AY195" s="219">
        <f t="shared" si="101"/>
        <v>0</v>
      </c>
      <c r="AZ195" s="196">
        <f t="shared" si="102"/>
        <v>0</v>
      </c>
      <c r="BA195" s="219">
        <f t="shared" si="103"/>
        <v>0</v>
      </c>
      <c r="BB195" s="31">
        <f t="shared" si="104"/>
        <v>0</v>
      </c>
      <c r="BC195" s="219">
        <f t="shared" si="105"/>
        <v>0</v>
      </c>
      <c r="BD195" s="31">
        <f t="shared" si="106"/>
        <v>0</v>
      </c>
      <c r="BE195" s="219">
        <f t="shared" si="107"/>
        <v>0</v>
      </c>
      <c r="BF195" s="31">
        <f t="shared" si="108"/>
        <v>0</v>
      </c>
      <c r="BG195" s="219">
        <f t="shared" si="109"/>
        <v>0</v>
      </c>
      <c r="BH195" s="31">
        <f t="shared" si="110"/>
        <v>0.2</v>
      </c>
      <c r="BI195" s="219">
        <f t="shared" si="111"/>
        <v>0.17</v>
      </c>
      <c r="BJ195" s="31">
        <f t="shared" si="112"/>
        <v>0</v>
      </c>
      <c r="BK195" s="219">
        <f t="shared" si="113"/>
        <v>0</v>
      </c>
      <c r="BL195" s="31">
        <f t="shared" si="114"/>
        <v>0</v>
      </c>
      <c r="BM195" s="219">
        <f t="shared" si="115"/>
        <v>0</v>
      </c>
      <c r="BN195" s="31">
        <f t="shared" si="116"/>
        <v>0</v>
      </c>
      <c r="BO195" s="219">
        <f t="shared" si="117"/>
        <v>0</v>
      </c>
    </row>
    <row r="196" spans="1:67" x14ac:dyDescent="0.25">
      <c r="A196" s="31" t="s">
        <v>1896</v>
      </c>
      <c r="B196" s="176" t="str">
        <f>VLOOKUP(A196,kurspris!$A$1:$B$992,2,FALSE)</f>
        <v>Att undervisa i historia (VFU)</v>
      </c>
      <c r="D196" s="60" t="s">
        <v>482</v>
      </c>
      <c r="E196" s="576" t="s">
        <v>2434</v>
      </c>
      <c r="F196" s="31" t="s">
        <v>2273</v>
      </c>
      <c r="G196" t="s">
        <v>2444</v>
      </c>
      <c r="H196" t="s">
        <v>2335</v>
      </c>
      <c r="J196" s="31" t="s">
        <v>2231</v>
      </c>
      <c r="L196" s="38">
        <v>1</v>
      </c>
      <c r="M196">
        <v>6</v>
      </c>
      <c r="P196" s="31">
        <v>1</v>
      </c>
      <c r="Q196" s="196">
        <f t="shared" si="118"/>
        <v>0.1</v>
      </c>
      <c r="R196" s="38">
        <v>0.85</v>
      </c>
      <c r="S196" s="280">
        <f t="shared" si="90"/>
        <v>8.5000000000000006E-2</v>
      </c>
      <c r="T196" s="31">
        <f>VLOOKUP(A196,'Ansvar kurs'!$A$1:$C$1123,2,FALSE)</f>
        <v>1630</v>
      </c>
      <c r="U196" s="31" t="str">
        <f>VLOOKUP(T196,Orgenheter!$A$1:$C$166,2,FALSE)</f>
        <v>Inst för ide- o samhällsstudier</v>
      </c>
      <c r="V196" s="31" t="str">
        <f>VLOOKUP(T196,Orgenheter!$A$1:$C$166,3,FALSE)</f>
        <v>Hum</v>
      </c>
      <c r="W196" s="35" t="str">
        <f>VLOOKUP(D196,Program!$A$1:$B$36,2,FALSE)</f>
        <v>Ämneslärarprogrammet - Gy</v>
      </c>
      <c r="X196" s="40">
        <f>VLOOKUP(A196,kurspris!$A$1:$Q$913,15,FALSE)</f>
        <v>25235</v>
      </c>
      <c r="Y196" s="40">
        <f>VLOOKUP(A196,kurspris!$A$1:$Q$913,16,FALSE)</f>
        <v>27976</v>
      </c>
      <c r="Z196" s="40">
        <f t="shared" si="91"/>
        <v>4901.46</v>
      </c>
      <c r="AA196" s="40">
        <f>VLOOKUP(A196,kurspris!$A$1:$Q$913,17,FALSE)</f>
        <v>3600</v>
      </c>
      <c r="AB196" s="40">
        <f t="shared" si="92"/>
        <v>360</v>
      </c>
      <c r="AC196" s="40">
        <f t="shared" si="93"/>
        <v>5261.46</v>
      </c>
      <c r="AD196" s="31">
        <f>VLOOKUP($A196,kurspris!$A$1:$Q$950,3,FALSE)</f>
        <v>0</v>
      </c>
      <c r="AE196" s="31">
        <f>VLOOKUP($A196,kurspris!$A$1:$Q$950,4,FALSE)</f>
        <v>0</v>
      </c>
      <c r="AF196" s="31">
        <f>VLOOKUP($A196,kurspris!$A$1:$Q$950,5,FALSE)</f>
        <v>0</v>
      </c>
      <c r="AG196" s="31">
        <f>VLOOKUP($A196,kurspris!$A$1:$Q$950,6,FALSE)</f>
        <v>0</v>
      </c>
      <c r="AH196" s="31">
        <f>VLOOKUP($A196,kurspris!$A$1:$Q$950,7,FALSE)</f>
        <v>0</v>
      </c>
      <c r="AI196" s="31">
        <f>VLOOKUP($A196,kurspris!$A$1:$Q$950,8,FALSE)</f>
        <v>0</v>
      </c>
      <c r="AJ196" s="31">
        <f>VLOOKUP($A196,kurspris!$A$1:$Q$950,9,FALSE)</f>
        <v>0</v>
      </c>
      <c r="AK196" s="31">
        <f>VLOOKUP($A196,kurspris!$A$1:$Q$950,10,FALSE)</f>
        <v>0</v>
      </c>
      <c r="AL196" s="31">
        <f>VLOOKUP($A196,kurspris!$A$1:$Q$950,11,FALSE)</f>
        <v>1</v>
      </c>
      <c r="AM196" s="31">
        <f>VLOOKUP($A196,kurspris!$A$1:$Q$950,12,FALSE)</f>
        <v>0</v>
      </c>
      <c r="AN196" s="31">
        <f>VLOOKUP($A196,kurspris!$A$1:$Q$950,13,FALSE)</f>
        <v>0</v>
      </c>
      <c r="AO196" s="31">
        <f>VLOOKUP($A196,kurspris!$A$1:$Q$950,14,FALSE)</f>
        <v>0</v>
      </c>
      <c r="AP196" s="57" t="s">
        <v>2506</v>
      </c>
      <c r="AQ196"/>
      <c r="AR196" s="31">
        <f t="shared" si="94"/>
        <v>0</v>
      </c>
      <c r="AS196" s="219">
        <f t="shared" si="95"/>
        <v>0</v>
      </c>
      <c r="AT196" s="31">
        <f t="shared" si="96"/>
        <v>0</v>
      </c>
      <c r="AU196" s="219">
        <f t="shared" si="97"/>
        <v>0</v>
      </c>
      <c r="AV196" s="31">
        <f t="shared" si="98"/>
        <v>0</v>
      </c>
      <c r="AW196" s="31">
        <f t="shared" si="99"/>
        <v>0</v>
      </c>
      <c r="AX196" s="31">
        <f t="shared" si="100"/>
        <v>0</v>
      </c>
      <c r="AY196" s="219">
        <f t="shared" si="101"/>
        <v>0</v>
      </c>
      <c r="AZ196" s="196">
        <f t="shared" si="102"/>
        <v>0</v>
      </c>
      <c r="BA196" s="219">
        <f t="shared" si="103"/>
        <v>0</v>
      </c>
      <c r="BB196" s="31">
        <f t="shared" si="104"/>
        <v>0</v>
      </c>
      <c r="BC196" s="219">
        <f t="shared" si="105"/>
        <v>0</v>
      </c>
      <c r="BD196" s="31">
        <f t="shared" si="106"/>
        <v>0</v>
      </c>
      <c r="BE196" s="219">
        <f t="shared" si="107"/>
        <v>0</v>
      </c>
      <c r="BF196" s="31">
        <f t="shared" si="108"/>
        <v>0</v>
      </c>
      <c r="BG196" s="219">
        <f t="shared" si="109"/>
        <v>0</v>
      </c>
      <c r="BH196" s="31">
        <f t="shared" si="110"/>
        <v>0.1</v>
      </c>
      <c r="BI196" s="219">
        <f t="shared" si="111"/>
        <v>8.5000000000000006E-2</v>
      </c>
      <c r="BJ196" s="31">
        <f t="shared" si="112"/>
        <v>0</v>
      </c>
      <c r="BK196" s="219">
        <f t="shared" si="113"/>
        <v>0</v>
      </c>
      <c r="BL196" s="31">
        <f t="shared" si="114"/>
        <v>0</v>
      </c>
      <c r="BM196" s="219">
        <f t="shared" si="115"/>
        <v>0</v>
      </c>
      <c r="BN196" s="31">
        <f t="shared" si="116"/>
        <v>0</v>
      </c>
      <c r="BO196" s="219">
        <f t="shared" si="117"/>
        <v>0</v>
      </c>
    </row>
    <row r="197" spans="1:67" x14ac:dyDescent="0.25">
      <c r="A197" s="31" t="s">
        <v>1896</v>
      </c>
      <c r="B197" s="176" t="str">
        <f>VLOOKUP(A197,kurspris!$A$1:$B$992,2,FALSE)</f>
        <v>Att undervisa i historia (VFU)</v>
      </c>
      <c r="D197" s="60" t="s">
        <v>482</v>
      </c>
      <c r="E197" s="576" t="s">
        <v>2434</v>
      </c>
      <c r="F197" s="31" t="s">
        <v>2273</v>
      </c>
      <c r="G197" t="s">
        <v>2444</v>
      </c>
      <c r="H197" t="s">
        <v>2335</v>
      </c>
      <c r="J197" s="31" t="s">
        <v>2241</v>
      </c>
      <c r="L197" s="38">
        <v>1</v>
      </c>
      <c r="M197">
        <v>6</v>
      </c>
      <c r="P197" s="31">
        <v>19</v>
      </c>
      <c r="Q197" s="196">
        <f t="shared" si="118"/>
        <v>1.9000000000000001</v>
      </c>
      <c r="R197" s="38">
        <v>0.85</v>
      </c>
      <c r="S197" s="280">
        <f t="shared" si="90"/>
        <v>1.615</v>
      </c>
      <c r="T197" s="31">
        <f>VLOOKUP(A197,'Ansvar kurs'!$A$1:$C$1123,2,FALSE)</f>
        <v>1630</v>
      </c>
      <c r="U197" s="31" t="str">
        <f>VLOOKUP(T197,Orgenheter!$A$1:$C$166,2,FALSE)</f>
        <v>Inst för ide- o samhällsstudier</v>
      </c>
      <c r="V197" s="31" t="str">
        <f>VLOOKUP(T197,Orgenheter!$A$1:$C$166,3,FALSE)</f>
        <v>Hum</v>
      </c>
      <c r="W197" s="35" t="str">
        <f>VLOOKUP(D197,Program!$A$1:$B$36,2,FALSE)</f>
        <v>Ämneslärarprogrammet - Gy</v>
      </c>
      <c r="X197" s="40">
        <f>VLOOKUP(A197,kurspris!$A$1:$Q$913,15,FALSE)</f>
        <v>25235</v>
      </c>
      <c r="Y197" s="40">
        <f>VLOOKUP(A197,kurspris!$A$1:$Q$913,16,FALSE)</f>
        <v>27976</v>
      </c>
      <c r="Z197" s="40">
        <f t="shared" si="91"/>
        <v>93127.739999999991</v>
      </c>
      <c r="AA197" s="40">
        <f>VLOOKUP(A197,kurspris!$A$1:$Q$913,17,FALSE)</f>
        <v>3600</v>
      </c>
      <c r="AB197" s="40">
        <f t="shared" si="92"/>
        <v>6840.0000000000009</v>
      </c>
      <c r="AC197" s="40">
        <f t="shared" si="93"/>
        <v>99967.739999999991</v>
      </c>
      <c r="AD197" s="31">
        <f>VLOOKUP($A197,kurspris!$A$1:$Q$950,3,FALSE)</f>
        <v>0</v>
      </c>
      <c r="AE197" s="31">
        <f>VLOOKUP($A197,kurspris!$A$1:$Q$950,4,FALSE)</f>
        <v>0</v>
      </c>
      <c r="AF197" s="31">
        <f>VLOOKUP($A197,kurspris!$A$1:$Q$950,5,FALSE)</f>
        <v>0</v>
      </c>
      <c r="AG197" s="31">
        <f>VLOOKUP($A197,kurspris!$A$1:$Q$950,6,FALSE)</f>
        <v>0</v>
      </c>
      <c r="AH197" s="31">
        <f>VLOOKUP($A197,kurspris!$A$1:$Q$950,7,FALSE)</f>
        <v>0</v>
      </c>
      <c r="AI197" s="31">
        <f>VLOOKUP($A197,kurspris!$A$1:$Q$950,8,FALSE)</f>
        <v>0</v>
      </c>
      <c r="AJ197" s="31">
        <f>VLOOKUP($A197,kurspris!$A$1:$Q$950,9,FALSE)</f>
        <v>0</v>
      </c>
      <c r="AK197" s="31">
        <f>VLOOKUP($A197,kurspris!$A$1:$Q$950,10,FALSE)</f>
        <v>0</v>
      </c>
      <c r="AL197" s="31">
        <f>VLOOKUP($A197,kurspris!$A$1:$Q$950,11,FALSE)</f>
        <v>1</v>
      </c>
      <c r="AM197" s="31">
        <f>VLOOKUP($A197,kurspris!$A$1:$Q$950,12,FALSE)</f>
        <v>0</v>
      </c>
      <c r="AN197" s="31">
        <f>VLOOKUP($A197,kurspris!$A$1:$Q$950,13,FALSE)</f>
        <v>0</v>
      </c>
      <c r="AO197" s="31">
        <f>VLOOKUP($A197,kurspris!$A$1:$Q$950,14,FALSE)</f>
        <v>0</v>
      </c>
      <c r="AP197" s="57" t="s">
        <v>2506</v>
      </c>
      <c r="AQ197"/>
      <c r="AR197" s="31">
        <f t="shared" si="94"/>
        <v>0</v>
      </c>
      <c r="AS197" s="219">
        <f t="shared" si="95"/>
        <v>0</v>
      </c>
      <c r="AT197" s="31">
        <f t="shared" si="96"/>
        <v>0</v>
      </c>
      <c r="AU197" s="219">
        <f t="shared" si="97"/>
        <v>0</v>
      </c>
      <c r="AV197" s="31">
        <f t="shared" si="98"/>
        <v>0</v>
      </c>
      <c r="AW197" s="31">
        <f t="shared" si="99"/>
        <v>0</v>
      </c>
      <c r="AX197" s="31">
        <f t="shared" si="100"/>
        <v>0</v>
      </c>
      <c r="AY197" s="219">
        <f t="shared" si="101"/>
        <v>0</v>
      </c>
      <c r="AZ197" s="196">
        <f t="shared" si="102"/>
        <v>0</v>
      </c>
      <c r="BA197" s="219">
        <f t="shared" si="103"/>
        <v>0</v>
      </c>
      <c r="BB197" s="31">
        <f t="shared" si="104"/>
        <v>0</v>
      </c>
      <c r="BC197" s="219">
        <f t="shared" si="105"/>
        <v>0</v>
      </c>
      <c r="BD197" s="31">
        <f t="shared" si="106"/>
        <v>0</v>
      </c>
      <c r="BE197" s="219">
        <f t="shared" si="107"/>
        <v>0</v>
      </c>
      <c r="BF197" s="31">
        <f t="shared" si="108"/>
        <v>0</v>
      </c>
      <c r="BG197" s="219">
        <f t="shared" si="109"/>
        <v>0</v>
      </c>
      <c r="BH197" s="31">
        <f t="shared" si="110"/>
        <v>1.9000000000000001</v>
      </c>
      <c r="BI197" s="219">
        <f t="shared" si="111"/>
        <v>1.615</v>
      </c>
      <c r="BJ197" s="31">
        <f t="shared" si="112"/>
        <v>0</v>
      </c>
      <c r="BK197" s="219">
        <f t="shared" si="113"/>
        <v>0</v>
      </c>
      <c r="BL197" s="31">
        <f t="shared" si="114"/>
        <v>0</v>
      </c>
      <c r="BM197" s="219">
        <f t="shared" si="115"/>
        <v>0</v>
      </c>
      <c r="BN197" s="31">
        <f t="shared" si="116"/>
        <v>0</v>
      </c>
      <c r="BO197" s="219">
        <f t="shared" si="117"/>
        <v>0</v>
      </c>
    </row>
    <row r="198" spans="1:67" x14ac:dyDescent="0.25">
      <c r="A198" s="31" t="s">
        <v>1896</v>
      </c>
      <c r="B198" s="176" t="str">
        <f>VLOOKUP(A198,kurspris!$A$1:$B$992,2,FALSE)</f>
        <v>Att undervisa i historia (VFU)</v>
      </c>
      <c r="D198" s="60" t="s">
        <v>482</v>
      </c>
      <c r="E198" s="576" t="s">
        <v>2430</v>
      </c>
      <c r="F198" s="31" t="s">
        <v>2273</v>
      </c>
      <c r="G198" t="s">
        <v>2444</v>
      </c>
      <c r="H198" t="s">
        <v>2335</v>
      </c>
      <c r="J198" s="31" t="s">
        <v>2241</v>
      </c>
      <c r="L198" s="38">
        <v>1</v>
      </c>
      <c r="M198">
        <v>6</v>
      </c>
      <c r="P198" s="31">
        <v>1</v>
      </c>
      <c r="Q198" s="196">
        <f t="shared" si="118"/>
        <v>0.1</v>
      </c>
      <c r="R198" s="38">
        <v>0.85</v>
      </c>
      <c r="S198" s="280">
        <f t="shared" si="90"/>
        <v>8.5000000000000006E-2</v>
      </c>
      <c r="T198" s="31">
        <f>VLOOKUP(A198,'Ansvar kurs'!$A$1:$C$1123,2,FALSE)</f>
        <v>1630</v>
      </c>
      <c r="U198" s="31" t="str">
        <f>VLOOKUP(T198,Orgenheter!$A$1:$C$166,2,FALSE)</f>
        <v>Inst för ide- o samhällsstudier</v>
      </c>
      <c r="V198" s="31" t="str">
        <f>VLOOKUP(T198,Orgenheter!$A$1:$C$166,3,FALSE)</f>
        <v>Hum</v>
      </c>
      <c r="W198" s="35" t="str">
        <f>VLOOKUP(D198,Program!$A$1:$B$36,2,FALSE)</f>
        <v>Ämneslärarprogrammet - Gy</v>
      </c>
      <c r="X198" s="40">
        <f>VLOOKUP(A198,kurspris!$A$1:$Q$913,15,FALSE)</f>
        <v>25235</v>
      </c>
      <c r="Y198" s="40">
        <f>VLOOKUP(A198,kurspris!$A$1:$Q$913,16,FALSE)</f>
        <v>27976</v>
      </c>
      <c r="Z198" s="40">
        <f t="shared" si="91"/>
        <v>4901.46</v>
      </c>
      <c r="AA198" s="40">
        <f>VLOOKUP(A198,kurspris!$A$1:$Q$913,17,FALSE)</f>
        <v>3600</v>
      </c>
      <c r="AB198" s="40">
        <f t="shared" si="92"/>
        <v>360</v>
      </c>
      <c r="AC198" s="40">
        <f t="shared" si="93"/>
        <v>5261.46</v>
      </c>
      <c r="AD198" s="31">
        <f>VLOOKUP($A198,kurspris!$A$1:$Q$950,3,FALSE)</f>
        <v>0</v>
      </c>
      <c r="AE198" s="31">
        <f>VLOOKUP($A198,kurspris!$A$1:$Q$950,4,FALSE)</f>
        <v>0</v>
      </c>
      <c r="AF198" s="31">
        <f>VLOOKUP($A198,kurspris!$A$1:$Q$950,5,FALSE)</f>
        <v>0</v>
      </c>
      <c r="AG198" s="31">
        <f>VLOOKUP($A198,kurspris!$A$1:$Q$950,6,FALSE)</f>
        <v>0</v>
      </c>
      <c r="AH198" s="31">
        <f>VLOOKUP($A198,kurspris!$A$1:$Q$950,7,FALSE)</f>
        <v>0</v>
      </c>
      <c r="AI198" s="31">
        <f>VLOOKUP($A198,kurspris!$A$1:$Q$950,8,FALSE)</f>
        <v>0</v>
      </c>
      <c r="AJ198" s="31">
        <f>VLOOKUP($A198,kurspris!$A$1:$Q$950,9,FALSE)</f>
        <v>0</v>
      </c>
      <c r="AK198" s="31">
        <f>VLOOKUP($A198,kurspris!$A$1:$Q$950,10,FALSE)</f>
        <v>0</v>
      </c>
      <c r="AL198" s="31">
        <f>VLOOKUP($A198,kurspris!$A$1:$Q$950,11,FALSE)</f>
        <v>1</v>
      </c>
      <c r="AM198" s="31">
        <f>VLOOKUP($A198,kurspris!$A$1:$Q$950,12,FALSE)</f>
        <v>0</v>
      </c>
      <c r="AN198" s="31">
        <f>VLOOKUP($A198,kurspris!$A$1:$Q$950,13,FALSE)</f>
        <v>0</v>
      </c>
      <c r="AO198" s="31">
        <f>VLOOKUP($A198,kurspris!$A$1:$Q$950,14,FALSE)</f>
        <v>0</v>
      </c>
      <c r="AP198" s="57" t="s">
        <v>2506</v>
      </c>
      <c r="AQ198"/>
      <c r="AR198" s="31">
        <f t="shared" si="94"/>
        <v>0</v>
      </c>
      <c r="AS198" s="219">
        <f t="shared" si="95"/>
        <v>0</v>
      </c>
      <c r="AT198" s="31">
        <f t="shared" si="96"/>
        <v>0</v>
      </c>
      <c r="AU198" s="219">
        <f t="shared" si="97"/>
        <v>0</v>
      </c>
      <c r="AV198" s="31">
        <f t="shared" si="98"/>
        <v>0</v>
      </c>
      <c r="AW198" s="31">
        <f t="shared" si="99"/>
        <v>0</v>
      </c>
      <c r="AX198" s="31">
        <f t="shared" si="100"/>
        <v>0</v>
      </c>
      <c r="AY198" s="219">
        <f t="shared" si="101"/>
        <v>0</v>
      </c>
      <c r="AZ198" s="196">
        <f t="shared" si="102"/>
        <v>0</v>
      </c>
      <c r="BA198" s="219">
        <f t="shared" si="103"/>
        <v>0</v>
      </c>
      <c r="BB198" s="31">
        <f t="shared" si="104"/>
        <v>0</v>
      </c>
      <c r="BC198" s="219">
        <f t="shared" si="105"/>
        <v>0</v>
      </c>
      <c r="BD198" s="31">
        <f t="shared" si="106"/>
        <v>0</v>
      </c>
      <c r="BE198" s="219">
        <f t="shared" si="107"/>
        <v>0</v>
      </c>
      <c r="BF198" s="31">
        <f t="shared" si="108"/>
        <v>0</v>
      </c>
      <c r="BG198" s="219">
        <f t="shared" si="109"/>
        <v>0</v>
      </c>
      <c r="BH198" s="31">
        <f t="shared" si="110"/>
        <v>0.1</v>
      </c>
      <c r="BI198" s="219">
        <f t="shared" si="111"/>
        <v>8.5000000000000006E-2</v>
      </c>
      <c r="BJ198" s="31">
        <f t="shared" si="112"/>
        <v>0</v>
      </c>
      <c r="BK198" s="219">
        <f t="shared" si="113"/>
        <v>0</v>
      </c>
      <c r="BL198" s="31">
        <f t="shared" si="114"/>
        <v>0</v>
      </c>
      <c r="BM198" s="219">
        <f t="shared" si="115"/>
        <v>0</v>
      </c>
      <c r="BN198" s="31">
        <f t="shared" si="116"/>
        <v>0</v>
      </c>
      <c r="BO198" s="219">
        <f t="shared" si="117"/>
        <v>0</v>
      </c>
    </row>
    <row r="199" spans="1:67" x14ac:dyDescent="0.25">
      <c r="A199" s="31" t="s">
        <v>1879</v>
      </c>
      <c r="B199" s="176" t="str">
        <f>VLOOKUP(A199,kurspris!$A$1:$B$992,2,FALSE)</f>
        <v>Historia 2</v>
      </c>
      <c r="D199" s="60" t="s">
        <v>482</v>
      </c>
      <c r="E199" s="576" t="s">
        <v>2429</v>
      </c>
      <c r="F199" s="31" t="s">
        <v>2273</v>
      </c>
      <c r="G199" t="s">
        <v>2458</v>
      </c>
      <c r="H199" t="s">
        <v>2335</v>
      </c>
      <c r="J199" s="31" t="s">
        <v>2231</v>
      </c>
      <c r="L199" s="38">
        <v>1</v>
      </c>
      <c r="M199">
        <v>30</v>
      </c>
      <c r="P199" s="31">
        <v>1</v>
      </c>
      <c r="Q199" s="196">
        <f t="shared" si="118"/>
        <v>0.5</v>
      </c>
      <c r="R199" s="38">
        <v>0.85</v>
      </c>
      <c r="S199" s="280">
        <f t="shared" si="90"/>
        <v>0.42499999999999999</v>
      </c>
      <c r="T199" s="31">
        <f>VLOOKUP(A199,'Ansvar kurs'!$A$1:$C$1123,2,FALSE)</f>
        <v>1630</v>
      </c>
      <c r="U199" s="31" t="str">
        <f>VLOOKUP(T199,Orgenheter!$A$1:$C$166,2,FALSE)</f>
        <v>Inst för ide- o samhällsstudier</v>
      </c>
      <c r="V199" s="31" t="str">
        <f>VLOOKUP(T199,Orgenheter!$A$1:$C$166,3,FALSE)</f>
        <v>Hum</v>
      </c>
      <c r="W199" s="35" t="str">
        <f>VLOOKUP(D199,Program!$A$1:$B$36,2,FALSE)</f>
        <v>Ämneslärarprogrammet - Gy</v>
      </c>
      <c r="X199" s="40">
        <f>VLOOKUP(A199,kurspris!$A$1:$Q$913,15,FALSE)</f>
        <v>20766</v>
      </c>
      <c r="Y199" s="40">
        <f>VLOOKUP(A199,kurspris!$A$1:$Q$913,16,FALSE)</f>
        <v>17442</v>
      </c>
      <c r="Z199" s="40">
        <f t="shared" si="91"/>
        <v>17795.849999999999</v>
      </c>
      <c r="AA199" s="40">
        <f>VLOOKUP(A199,kurspris!$A$1:$Q$913,17,FALSE)</f>
        <v>6000</v>
      </c>
      <c r="AB199" s="40">
        <f t="shared" si="92"/>
        <v>3000</v>
      </c>
      <c r="AC199" s="40">
        <f t="shared" si="93"/>
        <v>20795.849999999999</v>
      </c>
      <c r="AD199" s="31">
        <f>VLOOKUP($A199,kurspris!$A$1:$Q$950,3,FALSE)</f>
        <v>0</v>
      </c>
      <c r="AE199" s="31">
        <f>VLOOKUP($A199,kurspris!$A$1:$Q$950,4,FALSE)</f>
        <v>1</v>
      </c>
      <c r="AF199" s="31">
        <f>VLOOKUP($A199,kurspris!$A$1:$Q$950,5,FALSE)</f>
        <v>0</v>
      </c>
      <c r="AG199" s="31">
        <f>VLOOKUP($A199,kurspris!$A$1:$Q$950,6,FALSE)</f>
        <v>0</v>
      </c>
      <c r="AH199" s="31">
        <f>VLOOKUP($A199,kurspris!$A$1:$Q$950,7,FALSE)</f>
        <v>0</v>
      </c>
      <c r="AI199" s="31">
        <f>VLOOKUP($A199,kurspris!$A$1:$Q$950,8,FALSE)</f>
        <v>0</v>
      </c>
      <c r="AJ199" s="31">
        <f>VLOOKUP($A199,kurspris!$A$1:$Q$950,9,FALSE)</f>
        <v>0</v>
      </c>
      <c r="AK199" s="31">
        <f>VLOOKUP($A199,kurspris!$A$1:$Q$950,10,FALSE)</f>
        <v>0</v>
      </c>
      <c r="AL199" s="31">
        <f>VLOOKUP($A199,kurspris!$A$1:$Q$950,11,FALSE)</f>
        <v>0</v>
      </c>
      <c r="AM199" s="31">
        <f>VLOOKUP($A199,kurspris!$A$1:$Q$950,12,FALSE)</f>
        <v>0</v>
      </c>
      <c r="AN199" s="31">
        <f>VLOOKUP($A199,kurspris!$A$1:$Q$950,13,FALSE)</f>
        <v>0</v>
      </c>
      <c r="AO199" s="31">
        <f>VLOOKUP($A199,kurspris!$A$1:$Q$950,14,FALSE)</f>
        <v>0</v>
      </c>
      <c r="AP199" s="57" t="s">
        <v>2506</v>
      </c>
      <c r="AQ199"/>
      <c r="AR199" s="31">
        <f t="shared" si="94"/>
        <v>0</v>
      </c>
      <c r="AS199" s="219">
        <f t="shared" si="95"/>
        <v>0</v>
      </c>
      <c r="AT199" s="31">
        <f t="shared" si="96"/>
        <v>0.5</v>
      </c>
      <c r="AU199" s="219">
        <f t="shared" si="97"/>
        <v>0.42499999999999999</v>
      </c>
      <c r="AV199" s="31">
        <f t="shared" si="98"/>
        <v>0</v>
      </c>
      <c r="AW199" s="31">
        <f t="shared" si="99"/>
        <v>0</v>
      </c>
      <c r="AX199" s="31">
        <f t="shared" si="100"/>
        <v>0</v>
      </c>
      <c r="AY199" s="219">
        <f t="shared" si="101"/>
        <v>0</v>
      </c>
      <c r="AZ199" s="196">
        <f t="shared" si="102"/>
        <v>0</v>
      </c>
      <c r="BA199" s="219">
        <f t="shared" si="103"/>
        <v>0</v>
      </c>
      <c r="BB199" s="31">
        <f t="shared" si="104"/>
        <v>0</v>
      </c>
      <c r="BC199" s="219">
        <f t="shared" si="105"/>
        <v>0</v>
      </c>
      <c r="BD199" s="31">
        <f t="shared" si="106"/>
        <v>0</v>
      </c>
      <c r="BE199" s="219">
        <f t="shared" si="107"/>
        <v>0</v>
      </c>
      <c r="BF199" s="31">
        <f t="shared" si="108"/>
        <v>0</v>
      </c>
      <c r="BG199" s="219">
        <f t="shared" si="109"/>
        <v>0</v>
      </c>
      <c r="BH199" s="31">
        <f t="shared" si="110"/>
        <v>0</v>
      </c>
      <c r="BI199" s="219">
        <f t="shared" si="111"/>
        <v>0</v>
      </c>
      <c r="BJ199" s="31">
        <f t="shared" si="112"/>
        <v>0</v>
      </c>
      <c r="BK199" s="219">
        <f t="shared" si="113"/>
        <v>0</v>
      </c>
      <c r="BL199" s="31">
        <f t="shared" si="114"/>
        <v>0</v>
      </c>
      <c r="BM199" s="219">
        <f t="shared" si="115"/>
        <v>0</v>
      </c>
      <c r="BN199" s="31">
        <f t="shared" si="116"/>
        <v>0</v>
      </c>
      <c r="BO199" s="219">
        <f t="shared" si="117"/>
        <v>0</v>
      </c>
    </row>
    <row r="200" spans="1:67" x14ac:dyDescent="0.25">
      <c r="A200" s="31" t="s">
        <v>1879</v>
      </c>
      <c r="B200" s="176" t="str">
        <f>VLOOKUP(A200,kurspris!$A$1:$B$992,2,FALSE)</f>
        <v>Historia 2</v>
      </c>
      <c r="D200" s="60" t="s">
        <v>482</v>
      </c>
      <c r="E200" s="576" t="s">
        <v>2225</v>
      </c>
      <c r="F200" s="31" t="s">
        <v>2273</v>
      </c>
      <c r="G200" t="s">
        <v>2458</v>
      </c>
      <c r="H200" t="s">
        <v>2335</v>
      </c>
      <c r="J200" s="31" t="s">
        <v>2237</v>
      </c>
      <c r="L200" s="38">
        <v>1</v>
      </c>
      <c r="M200">
        <v>30</v>
      </c>
      <c r="P200" s="31">
        <v>1</v>
      </c>
      <c r="Q200" s="196">
        <f t="shared" si="118"/>
        <v>0.5</v>
      </c>
      <c r="R200" s="38">
        <v>0.85</v>
      </c>
      <c r="S200" s="280">
        <f t="shared" si="90"/>
        <v>0.42499999999999999</v>
      </c>
      <c r="T200" s="31">
        <f>VLOOKUP(A200,'Ansvar kurs'!$A$1:$C$1123,2,FALSE)</f>
        <v>1630</v>
      </c>
      <c r="U200" s="31" t="str">
        <f>VLOOKUP(T200,Orgenheter!$A$1:$C$166,2,FALSE)</f>
        <v>Inst för ide- o samhällsstudier</v>
      </c>
      <c r="V200" s="31" t="str">
        <f>VLOOKUP(T200,Orgenheter!$A$1:$C$166,3,FALSE)</f>
        <v>Hum</v>
      </c>
      <c r="W200" s="35" t="str">
        <f>VLOOKUP(D200,Program!$A$1:$B$36,2,FALSE)</f>
        <v>Ämneslärarprogrammet - Gy</v>
      </c>
      <c r="X200" s="40">
        <f>VLOOKUP(A200,kurspris!$A$1:$Q$913,15,FALSE)</f>
        <v>20766</v>
      </c>
      <c r="Y200" s="40">
        <f>VLOOKUP(A200,kurspris!$A$1:$Q$913,16,FALSE)</f>
        <v>17442</v>
      </c>
      <c r="Z200" s="40">
        <f t="shared" si="91"/>
        <v>17795.849999999999</v>
      </c>
      <c r="AA200" s="40">
        <f>VLOOKUP(A200,kurspris!$A$1:$Q$913,17,FALSE)</f>
        <v>6000</v>
      </c>
      <c r="AB200" s="40">
        <f t="shared" si="92"/>
        <v>3000</v>
      </c>
      <c r="AC200" s="40">
        <f t="shared" si="93"/>
        <v>20795.849999999999</v>
      </c>
      <c r="AD200" s="31">
        <f>VLOOKUP($A200,kurspris!$A$1:$Q$950,3,FALSE)</f>
        <v>0</v>
      </c>
      <c r="AE200" s="31">
        <f>VLOOKUP($A200,kurspris!$A$1:$Q$950,4,FALSE)</f>
        <v>1</v>
      </c>
      <c r="AF200" s="31">
        <f>VLOOKUP($A200,kurspris!$A$1:$Q$950,5,FALSE)</f>
        <v>0</v>
      </c>
      <c r="AG200" s="31">
        <f>VLOOKUP($A200,kurspris!$A$1:$Q$950,6,FALSE)</f>
        <v>0</v>
      </c>
      <c r="AH200" s="31">
        <f>VLOOKUP($A200,kurspris!$A$1:$Q$950,7,FALSE)</f>
        <v>0</v>
      </c>
      <c r="AI200" s="31">
        <f>VLOOKUP($A200,kurspris!$A$1:$Q$950,8,FALSE)</f>
        <v>0</v>
      </c>
      <c r="AJ200" s="31">
        <f>VLOOKUP($A200,kurspris!$A$1:$Q$950,9,FALSE)</f>
        <v>0</v>
      </c>
      <c r="AK200" s="31">
        <f>VLOOKUP($A200,kurspris!$A$1:$Q$950,10,FALSE)</f>
        <v>0</v>
      </c>
      <c r="AL200" s="31">
        <f>VLOOKUP($A200,kurspris!$A$1:$Q$950,11,FALSE)</f>
        <v>0</v>
      </c>
      <c r="AM200" s="31">
        <f>VLOOKUP($A200,kurspris!$A$1:$Q$950,12,FALSE)</f>
        <v>0</v>
      </c>
      <c r="AN200" s="31">
        <f>VLOOKUP($A200,kurspris!$A$1:$Q$950,13,FALSE)</f>
        <v>0</v>
      </c>
      <c r="AO200" s="31">
        <f>VLOOKUP($A200,kurspris!$A$1:$Q$950,14,FALSE)</f>
        <v>0</v>
      </c>
      <c r="AP200" s="57" t="s">
        <v>2506</v>
      </c>
      <c r="AQ200"/>
      <c r="AR200" s="31">
        <f t="shared" si="94"/>
        <v>0</v>
      </c>
      <c r="AS200" s="219">
        <f t="shared" si="95"/>
        <v>0</v>
      </c>
      <c r="AT200" s="31">
        <f t="shared" si="96"/>
        <v>0.5</v>
      </c>
      <c r="AU200" s="219">
        <f t="shared" si="97"/>
        <v>0.42499999999999999</v>
      </c>
      <c r="AV200" s="31">
        <f t="shared" si="98"/>
        <v>0</v>
      </c>
      <c r="AW200" s="31">
        <f t="shared" si="99"/>
        <v>0</v>
      </c>
      <c r="AX200" s="31">
        <f t="shared" si="100"/>
        <v>0</v>
      </c>
      <c r="AY200" s="219">
        <f t="shared" si="101"/>
        <v>0</v>
      </c>
      <c r="AZ200" s="196">
        <f t="shared" si="102"/>
        <v>0</v>
      </c>
      <c r="BA200" s="219">
        <f t="shared" si="103"/>
        <v>0</v>
      </c>
      <c r="BB200" s="31">
        <f t="shared" si="104"/>
        <v>0</v>
      </c>
      <c r="BC200" s="219">
        <f t="shared" si="105"/>
        <v>0</v>
      </c>
      <c r="BD200" s="31">
        <f t="shared" si="106"/>
        <v>0</v>
      </c>
      <c r="BE200" s="219">
        <f t="shared" si="107"/>
        <v>0</v>
      </c>
      <c r="BF200" s="31">
        <f t="shared" si="108"/>
        <v>0</v>
      </c>
      <c r="BG200" s="219">
        <f t="shared" si="109"/>
        <v>0</v>
      </c>
      <c r="BH200" s="31">
        <f t="shared" si="110"/>
        <v>0</v>
      </c>
      <c r="BI200" s="219">
        <f t="shared" si="111"/>
        <v>0</v>
      </c>
      <c r="BJ200" s="31">
        <f t="shared" si="112"/>
        <v>0</v>
      </c>
      <c r="BK200" s="219">
        <f t="shared" si="113"/>
        <v>0</v>
      </c>
      <c r="BL200" s="31">
        <f t="shared" si="114"/>
        <v>0</v>
      </c>
      <c r="BM200" s="219">
        <f t="shared" si="115"/>
        <v>0</v>
      </c>
      <c r="BN200" s="31">
        <f t="shared" si="116"/>
        <v>0</v>
      </c>
      <c r="BO200" s="219">
        <f t="shared" si="117"/>
        <v>0</v>
      </c>
    </row>
    <row r="201" spans="1:67" x14ac:dyDescent="0.25">
      <c r="A201" s="31" t="s">
        <v>1879</v>
      </c>
      <c r="B201" s="176" t="str">
        <f>VLOOKUP(A201,kurspris!$A$1:$B$992,2,FALSE)</f>
        <v>Historia 2</v>
      </c>
      <c r="D201" s="60" t="s">
        <v>482</v>
      </c>
      <c r="E201" s="576" t="s">
        <v>2225</v>
      </c>
      <c r="F201" s="31" t="s">
        <v>2273</v>
      </c>
      <c r="G201" t="s">
        <v>2458</v>
      </c>
      <c r="H201" t="s">
        <v>2335</v>
      </c>
      <c r="J201" s="31" t="s">
        <v>2231</v>
      </c>
      <c r="L201" s="38">
        <v>1</v>
      </c>
      <c r="M201">
        <v>30</v>
      </c>
      <c r="P201" s="31">
        <v>5</v>
      </c>
      <c r="Q201" s="196">
        <f t="shared" si="118"/>
        <v>2.5</v>
      </c>
      <c r="R201" s="38">
        <v>0.85</v>
      </c>
      <c r="S201" s="280">
        <f t="shared" si="90"/>
        <v>2.125</v>
      </c>
      <c r="T201" s="31">
        <f>VLOOKUP(A201,'Ansvar kurs'!$A$1:$C$1123,2,FALSE)</f>
        <v>1630</v>
      </c>
      <c r="U201" s="31" t="str">
        <f>VLOOKUP(T201,Orgenheter!$A$1:$C$166,2,FALSE)</f>
        <v>Inst för ide- o samhällsstudier</v>
      </c>
      <c r="V201" s="31" t="str">
        <f>VLOOKUP(T201,Orgenheter!$A$1:$C$166,3,FALSE)</f>
        <v>Hum</v>
      </c>
      <c r="W201" s="35" t="str">
        <f>VLOOKUP(D201,Program!$A$1:$B$36,2,FALSE)</f>
        <v>Ämneslärarprogrammet - Gy</v>
      </c>
      <c r="X201" s="40">
        <f>VLOOKUP(A201,kurspris!$A$1:$Q$913,15,FALSE)</f>
        <v>20766</v>
      </c>
      <c r="Y201" s="40">
        <f>VLOOKUP(A201,kurspris!$A$1:$Q$913,16,FALSE)</f>
        <v>17442</v>
      </c>
      <c r="Z201" s="40">
        <f t="shared" si="91"/>
        <v>88979.25</v>
      </c>
      <c r="AA201" s="40">
        <f>VLOOKUP(A201,kurspris!$A$1:$Q$913,17,FALSE)</f>
        <v>6000</v>
      </c>
      <c r="AB201" s="40">
        <f t="shared" si="92"/>
        <v>15000</v>
      </c>
      <c r="AC201" s="40">
        <f t="shared" si="93"/>
        <v>103979.25</v>
      </c>
      <c r="AD201" s="31">
        <f>VLOOKUP($A201,kurspris!$A$1:$Q$950,3,FALSE)</f>
        <v>0</v>
      </c>
      <c r="AE201" s="31">
        <f>VLOOKUP($A201,kurspris!$A$1:$Q$950,4,FALSE)</f>
        <v>1</v>
      </c>
      <c r="AF201" s="31">
        <f>VLOOKUP($A201,kurspris!$A$1:$Q$950,5,FALSE)</f>
        <v>0</v>
      </c>
      <c r="AG201" s="31">
        <f>VLOOKUP($A201,kurspris!$A$1:$Q$950,6,FALSE)</f>
        <v>0</v>
      </c>
      <c r="AH201" s="31">
        <f>VLOOKUP($A201,kurspris!$A$1:$Q$950,7,FALSE)</f>
        <v>0</v>
      </c>
      <c r="AI201" s="31">
        <f>VLOOKUP($A201,kurspris!$A$1:$Q$950,8,FALSE)</f>
        <v>0</v>
      </c>
      <c r="AJ201" s="31">
        <f>VLOOKUP($A201,kurspris!$A$1:$Q$950,9,FALSE)</f>
        <v>0</v>
      </c>
      <c r="AK201" s="31">
        <f>VLOOKUP($A201,kurspris!$A$1:$Q$950,10,FALSE)</f>
        <v>0</v>
      </c>
      <c r="AL201" s="31">
        <f>VLOOKUP($A201,kurspris!$A$1:$Q$950,11,FALSE)</f>
        <v>0</v>
      </c>
      <c r="AM201" s="31">
        <f>VLOOKUP($A201,kurspris!$A$1:$Q$950,12,FALSE)</f>
        <v>0</v>
      </c>
      <c r="AN201" s="31">
        <f>VLOOKUP($A201,kurspris!$A$1:$Q$950,13,FALSE)</f>
        <v>0</v>
      </c>
      <c r="AO201" s="31">
        <f>VLOOKUP($A201,kurspris!$A$1:$Q$950,14,FALSE)</f>
        <v>0</v>
      </c>
      <c r="AP201" s="57" t="s">
        <v>2506</v>
      </c>
      <c r="AQ201"/>
      <c r="AR201" s="31">
        <f t="shared" si="94"/>
        <v>0</v>
      </c>
      <c r="AS201" s="219">
        <f t="shared" si="95"/>
        <v>0</v>
      </c>
      <c r="AT201" s="31">
        <f t="shared" si="96"/>
        <v>2.5</v>
      </c>
      <c r="AU201" s="219">
        <f t="shared" si="97"/>
        <v>2.125</v>
      </c>
      <c r="AV201" s="31">
        <f t="shared" si="98"/>
        <v>0</v>
      </c>
      <c r="AW201" s="31">
        <f t="shared" si="99"/>
        <v>0</v>
      </c>
      <c r="AX201" s="31">
        <f t="shared" si="100"/>
        <v>0</v>
      </c>
      <c r="AY201" s="219">
        <f t="shared" si="101"/>
        <v>0</v>
      </c>
      <c r="AZ201" s="196">
        <f t="shared" si="102"/>
        <v>0</v>
      </c>
      <c r="BA201" s="219">
        <f t="shared" si="103"/>
        <v>0</v>
      </c>
      <c r="BB201" s="31">
        <f t="shared" si="104"/>
        <v>0</v>
      </c>
      <c r="BC201" s="219">
        <f t="shared" si="105"/>
        <v>0</v>
      </c>
      <c r="BD201" s="31">
        <f t="shared" si="106"/>
        <v>0</v>
      </c>
      <c r="BE201" s="219">
        <f t="shared" si="107"/>
        <v>0</v>
      </c>
      <c r="BF201" s="31">
        <f t="shared" si="108"/>
        <v>0</v>
      </c>
      <c r="BG201" s="219">
        <f t="shared" si="109"/>
        <v>0</v>
      </c>
      <c r="BH201" s="31">
        <f t="shared" si="110"/>
        <v>0</v>
      </c>
      <c r="BI201" s="219">
        <f t="shared" si="111"/>
        <v>0</v>
      </c>
      <c r="BJ201" s="31">
        <f t="shared" si="112"/>
        <v>0</v>
      </c>
      <c r="BK201" s="219">
        <f t="shared" si="113"/>
        <v>0</v>
      </c>
      <c r="BL201" s="31">
        <f t="shared" si="114"/>
        <v>0</v>
      </c>
      <c r="BM201" s="219">
        <f t="shared" si="115"/>
        <v>0</v>
      </c>
      <c r="BN201" s="31">
        <f t="shared" si="116"/>
        <v>0</v>
      </c>
      <c r="BO201" s="219">
        <f t="shared" si="117"/>
        <v>0</v>
      </c>
    </row>
    <row r="202" spans="1:67" x14ac:dyDescent="0.25">
      <c r="A202" s="31" t="s">
        <v>1879</v>
      </c>
      <c r="B202" s="176" t="str">
        <f>VLOOKUP(A202,kurspris!$A$1:$B$992,2,FALSE)</f>
        <v>Historia 2</v>
      </c>
      <c r="D202" s="60" t="s">
        <v>482</v>
      </c>
      <c r="E202" s="576" t="s">
        <v>2225</v>
      </c>
      <c r="F202" s="31" t="s">
        <v>2273</v>
      </c>
      <c r="G202" t="s">
        <v>2458</v>
      </c>
      <c r="H202" t="s">
        <v>2335</v>
      </c>
      <c r="J202" s="31" t="s">
        <v>2239</v>
      </c>
      <c r="L202" s="38">
        <v>1</v>
      </c>
      <c r="M202">
        <v>30</v>
      </c>
      <c r="P202" s="31">
        <v>1</v>
      </c>
      <c r="Q202" s="196">
        <f t="shared" si="118"/>
        <v>0.5</v>
      </c>
      <c r="R202" s="38">
        <v>0.85</v>
      </c>
      <c r="S202" s="280">
        <f t="shared" si="90"/>
        <v>0.42499999999999999</v>
      </c>
      <c r="T202" s="31">
        <f>VLOOKUP(A202,'Ansvar kurs'!$A$1:$C$1123,2,FALSE)</f>
        <v>1630</v>
      </c>
      <c r="U202" s="31" t="str">
        <f>VLOOKUP(T202,Orgenheter!$A$1:$C$166,2,FALSE)</f>
        <v>Inst för ide- o samhällsstudier</v>
      </c>
      <c r="V202" s="31" t="str">
        <f>VLOOKUP(T202,Orgenheter!$A$1:$C$166,3,FALSE)</f>
        <v>Hum</v>
      </c>
      <c r="W202" s="35" t="str">
        <f>VLOOKUP(D202,Program!$A$1:$B$36,2,FALSE)</f>
        <v>Ämneslärarprogrammet - Gy</v>
      </c>
      <c r="X202" s="40">
        <f>VLOOKUP(A202,kurspris!$A$1:$Q$913,15,FALSE)</f>
        <v>20766</v>
      </c>
      <c r="Y202" s="40">
        <f>VLOOKUP(A202,kurspris!$A$1:$Q$913,16,FALSE)</f>
        <v>17442</v>
      </c>
      <c r="Z202" s="40">
        <f t="shared" si="91"/>
        <v>17795.849999999999</v>
      </c>
      <c r="AA202" s="40">
        <f>VLOOKUP(A202,kurspris!$A$1:$Q$913,17,FALSE)</f>
        <v>6000</v>
      </c>
      <c r="AB202" s="40">
        <f t="shared" si="92"/>
        <v>3000</v>
      </c>
      <c r="AC202" s="40">
        <f t="shared" si="93"/>
        <v>20795.849999999999</v>
      </c>
      <c r="AD202" s="31">
        <f>VLOOKUP($A202,kurspris!$A$1:$Q$950,3,FALSE)</f>
        <v>0</v>
      </c>
      <c r="AE202" s="31">
        <f>VLOOKUP($A202,kurspris!$A$1:$Q$950,4,FALSE)</f>
        <v>1</v>
      </c>
      <c r="AF202" s="31">
        <f>VLOOKUP($A202,kurspris!$A$1:$Q$950,5,FALSE)</f>
        <v>0</v>
      </c>
      <c r="AG202" s="31">
        <f>VLOOKUP($A202,kurspris!$A$1:$Q$950,6,FALSE)</f>
        <v>0</v>
      </c>
      <c r="AH202" s="31">
        <f>VLOOKUP($A202,kurspris!$A$1:$Q$950,7,FALSE)</f>
        <v>0</v>
      </c>
      <c r="AI202" s="31">
        <f>VLOOKUP($A202,kurspris!$A$1:$Q$950,8,FALSE)</f>
        <v>0</v>
      </c>
      <c r="AJ202" s="31">
        <f>VLOOKUP($A202,kurspris!$A$1:$Q$950,9,FALSE)</f>
        <v>0</v>
      </c>
      <c r="AK202" s="31">
        <f>VLOOKUP($A202,kurspris!$A$1:$Q$950,10,FALSE)</f>
        <v>0</v>
      </c>
      <c r="AL202" s="31">
        <f>VLOOKUP($A202,kurspris!$A$1:$Q$950,11,FALSE)</f>
        <v>0</v>
      </c>
      <c r="AM202" s="31">
        <f>VLOOKUP($A202,kurspris!$A$1:$Q$950,12,FALSE)</f>
        <v>0</v>
      </c>
      <c r="AN202" s="31">
        <f>VLOOKUP($A202,kurspris!$A$1:$Q$950,13,FALSE)</f>
        <v>0</v>
      </c>
      <c r="AO202" s="31">
        <f>VLOOKUP($A202,kurspris!$A$1:$Q$950,14,FALSE)</f>
        <v>0</v>
      </c>
      <c r="AP202" s="57" t="s">
        <v>2506</v>
      </c>
      <c r="AQ202"/>
      <c r="AR202" s="31">
        <f t="shared" si="94"/>
        <v>0</v>
      </c>
      <c r="AS202" s="219">
        <f t="shared" si="95"/>
        <v>0</v>
      </c>
      <c r="AT202" s="31">
        <f t="shared" si="96"/>
        <v>0.5</v>
      </c>
      <c r="AU202" s="219">
        <f t="shared" si="97"/>
        <v>0.42499999999999999</v>
      </c>
      <c r="AV202" s="31">
        <f t="shared" si="98"/>
        <v>0</v>
      </c>
      <c r="AW202" s="31">
        <f t="shared" si="99"/>
        <v>0</v>
      </c>
      <c r="AX202" s="31">
        <f t="shared" si="100"/>
        <v>0</v>
      </c>
      <c r="AY202" s="219">
        <f t="shared" si="101"/>
        <v>0</v>
      </c>
      <c r="AZ202" s="196">
        <f t="shared" si="102"/>
        <v>0</v>
      </c>
      <c r="BA202" s="219">
        <f t="shared" si="103"/>
        <v>0</v>
      </c>
      <c r="BB202" s="31">
        <f t="shared" si="104"/>
        <v>0</v>
      </c>
      <c r="BC202" s="219">
        <f t="shared" si="105"/>
        <v>0</v>
      </c>
      <c r="BD202" s="31">
        <f t="shared" si="106"/>
        <v>0</v>
      </c>
      <c r="BE202" s="219">
        <f t="shared" si="107"/>
        <v>0</v>
      </c>
      <c r="BF202" s="31">
        <f t="shared" si="108"/>
        <v>0</v>
      </c>
      <c r="BG202" s="219">
        <f t="shared" si="109"/>
        <v>0</v>
      </c>
      <c r="BH202" s="31">
        <f t="shared" si="110"/>
        <v>0</v>
      </c>
      <c r="BI202" s="219">
        <f t="shared" si="111"/>
        <v>0</v>
      </c>
      <c r="BJ202" s="31">
        <f t="shared" si="112"/>
        <v>0</v>
      </c>
      <c r="BK202" s="219">
        <f t="shared" si="113"/>
        <v>0</v>
      </c>
      <c r="BL202" s="31">
        <f t="shared" si="114"/>
        <v>0</v>
      </c>
      <c r="BM202" s="219">
        <f t="shared" si="115"/>
        <v>0</v>
      </c>
      <c r="BN202" s="31">
        <f t="shared" si="116"/>
        <v>0</v>
      </c>
      <c r="BO202" s="219">
        <f t="shared" si="117"/>
        <v>0</v>
      </c>
    </row>
    <row r="203" spans="1:67" x14ac:dyDescent="0.25">
      <c r="A203" s="31" t="s">
        <v>1879</v>
      </c>
      <c r="B203" s="176" t="str">
        <f>VLOOKUP(A203,kurspris!$A$1:$B$992,2,FALSE)</f>
        <v>Historia 2</v>
      </c>
      <c r="D203" s="60" t="s">
        <v>482</v>
      </c>
      <c r="E203" s="576" t="s">
        <v>2225</v>
      </c>
      <c r="F203" s="31" t="s">
        <v>2273</v>
      </c>
      <c r="G203" t="s">
        <v>2458</v>
      </c>
      <c r="H203" t="s">
        <v>2335</v>
      </c>
      <c r="J203" s="31" t="s">
        <v>2242</v>
      </c>
      <c r="L203" s="38">
        <v>1</v>
      </c>
      <c r="M203">
        <v>30</v>
      </c>
      <c r="P203" s="31">
        <v>2</v>
      </c>
      <c r="Q203" s="196">
        <f t="shared" si="118"/>
        <v>1</v>
      </c>
      <c r="R203" s="38">
        <v>0.85</v>
      </c>
      <c r="S203" s="280">
        <f t="shared" si="90"/>
        <v>0.85</v>
      </c>
      <c r="T203" s="31">
        <f>VLOOKUP(A203,'Ansvar kurs'!$A$1:$C$1123,2,FALSE)</f>
        <v>1630</v>
      </c>
      <c r="U203" s="31" t="str">
        <f>VLOOKUP(T203,Orgenheter!$A$1:$C$166,2,FALSE)</f>
        <v>Inst för ide- o samhällsstudier</v>
      </c>
      <c r="V203" s="31" t="str">
        <f>VLOOKUP(T203,Orgenheter!$A$1:$C$166,3,FALSE)</f>
        <v>Hum</v>
      </c>
      <c r="W203" s="35" t="str">
        <f>VLOOKUP(D203,Program!$A$1:$B$36,2,FALSE)</f>
        <v>Ämneslärarprogrammet - Gy</v>
      </c>
      <c r="X203" s="40">
        <f>VLOOKUP(A203,kurspris!$A$1:$Q$913,15,FALSE)</f>
        <v>20766</v>
      </c>
      <c r="Y203" s="40">
        <f>VLOOKUP(A203,kurspris!$A$1:$Q$913,16,FALSE)</f>
        <v>17442</v>
      </c>
      <c r="Z203" s="40">
        <f t="shared" si="91"/>
        <v>35591.699999999997</v>
      </c>
      <c r="AA203" s="40">
        <f>VLOOKUP(A203,kurspris!$A$1:$Q$913,17,FALSE)</f>
        <v>6000</v>
      </c>
      <c r="AB203" s="40">
        <f t="shared" si="92"/>
        <v>6000</v>
      </c>
      <c r="AC203" s="40">
        <f t="shared" si="93"/>
        <v>41591.699999999997</v>
      </c>
      <c r="AD203" s="31">
        <f>VLOOKUP($A203,kurspris!$A$1:$Q$950,3,FALSE)</f>
        <v>0</v>
      </c>
      <c r="AE203" s="31">
        <f>VLOOKUP($A203,kurspris!$A$1:$Q$950,4,FALSE)</f>
        <v>1</v>
      </c>
      <c r="AF203" s="31">
        <f>VLOOKUP($A203,kurspris!$A$1:$Q$950,5,FALSE)</f>
        <v>0</v>
      </c>
      <c r="AG203" s="31">
        <f>VLOOKUP($A203,kurspris!$A$1:$Q$950,6,FALSE)</f>
        <v>0</v>
      </c>
      <c r="AH203" s="31">
        <f>VLOOKUP($A203,kurspris!$A$1:$Q$950,7,FALSE)</f>
        <v>0</v>
      </c>
      <c r="AI203" s="31">
        <f>VLOOKUP($A203,kurspris!$A$1:$Q$950,8,FALSE)</f>
        <v>0</v>
      </c>
      <c r="AJ203" s="31">
        <f>VLOOKUP($A203,kurspris!$A$1:$Q$950,9,FALSE)</f>
        <v>0</v>
      </c>
      <c r="AK203" s="31">
        <f>VLOOKUP($A203,kurspris!$A$1:$Q$950,10,FALSE)</f>
        <v>0</v>
      </c>
      <c r="AL203" s="31">
        <f>VLOOKUP($A203,kurspris!$A$1:$Q$950,11,FALSE)</f>
        <v>0</v>
      </c>
      <c r="AM203" s="31">
        <f>VLOOKUP($A203,kurspris!$A$1:$Q$950,12,FALSE)</f>
        <v>0</v>
      </c>
      <c r="AN203" s="31">
        <f>VLOOKUP($A203,kurspris!$A$1:$Q$950,13,FALSE)</f>
        <v>0</v>
      </c>
      <c r="AO203" s="31">
        <f>VLOOKUP($A203,kurspris!$A$1:$Q$950,14,FALSE)</f>
        <v>0</v>
      </c>
      <c r="AP203" s="57" t="s">
        <v>2506</v>
      </c>
      <c r="AQ203"/>
      <c r="AR203" s="31">
        <f t="shared" si="94"/>
        <v>0</v>
      </c>
      <c r="AS203" s="219">
        <f t="shared" si="95"/>
        <v>0</v>
      </c>
      <c r="AT203" s="31">
        <f t="shared" si="96"/>
        <v>1</v>
      </c>
      <c r="AU203" s="219">
        <f t="shared" si="97"/>
        <v>0.85</v>
      </c>
      <c r="AV203" s="31">
        <f t="shared" si="98"/>
        <v>0</v>
      </c>
      <c r="AW203" s="31">
        <f t="shared" si="99"/>
        <v>0</v>
      </c>
      <c r="AX203" s="31">
        <f t="shared" si="100"/>
        <v>0</v>
      </c>
      <c r="AY203" s="219">
        <f t="shared" si="101"/>
        <v>0</v>
      </c>
      <c r="AZ203" s="196">
        <f t="shared" si="102"/>
        <v>0</v>
      </c>
      <c r="BA203" s="219">
        <f t="shared" si="103"/>
        <v>0</v>
      </c>
      <c r="BB203" s="31">
        <f t="shared" si="104"/>
        <v>0</v>
      </c>
      <c r="BC203" s="219">
        <f t="shared" si="105"/>
        <v>0</v>
      </c>
      <c r="BD203" s="31">
        <f t="shared" si="106"/>
        <v>0</v>
      </c>
      <c r="BE203" s="219">
        <f t="shared" si="107"/>
        <v>0</v>
      </c>
      <c r="BF203" s="31">
        <f t="shared" si="108"/>
        <v>0</v>
      </c>
      <c r="BG203" s="219">
        <f t="shared" si="109"/>
        <v>0</v>
      </c>
      <c r="BH203" s="31">
        <f t="shared" si="110"/>
        <v>0</v>
      </c>
      <c r="BI203" s="219">
        <f t="shared" si="111"/>
        <v>0</v>
      </c>
      <c r="BJ203" s="31">
        <f t="shared" si="112"/>
        <v>0</v>
      </c>
      <c r="BK203" s="219">
        <f t="shared" si="113"/>
        <v>0</v>
      </c>
      <c r="BL203" s="31">
        <f t="shared" si="114"/>
        <v>0</v>
      </c>
      <c r="BM203" s="219">
        <f t="shared" si="115"/>
        <v>0</v>
      </c>
      <c r="BN203" s="31">
        <f t="shared" si="116"/>
        <v>0</v>
      </c>
      <c r="BO203" s="219">
        <f t="shared" si="117"/>
        <v>0</v>
      </c>
    </row>
    <row r="204" spans="1:67" x14ac:dyDescent="0.25">
      <c r="A204" s="31" t="s">
        <v>1879</v>
      </c>
      <c r="B204" s="176" t="str">
        <f>VLOOKUP(A204,kurspris!$A$1:$B$992,2,FALSE)</f>
        <v>Historia 2</v>
      </c>
      <c r="D204" s="60" t="s">
        <v>482</v>
      </c>
      <c r="E204" s="576" t="s">
        <v>2434</v>
      </c>
      <c r="F204" s="31" t="s">
        <v>2273</v>
      </c>
      <c r="G204" t="s">
        <v>2458</v>
      </c>
      <c r="H204" t="s">
        <v>2335</v>
      </c>
      <c r="J204" s="31" t="s">
        <v>2231</v>
      </c>
      <c r="L204" s="38">
        <v>1</v>
      </c>
      <c r="M204">
        <v>30</v>
      </c>
      <c r="P204" s="31">
        <v>1</v>
      </c>
      <c r="Q204" s="196">
        <f t="shared" si="118"/>
        <v>0.5</v>
      </c>
      <c r="R204" s="38">
        <v>0.85</v>
      </c>
      <c r="S204" s="280">
        <f t="shared" si="90"/>
        <v>0.42499999999999999</v>
      </c>
      <c r="T204" s="31">
        <f>VLOOKUP(A204,'Ansvar kurs'!$A$1:$C$1123,2,FALSE)</f>
        <v>1630</v>
      </c>
      <c r="U204" s="31" t="str">
        <f>VLOOKUP(T204,Orgenheter!$A$1:$C$166,2,FALSE)</f>
        <v>Inst för ide- o samhällsstudier</v>
      </c>
      <c r="V204" s="31" t="str">
        <f>VLOOKUP(T204,Orgenheter!$A$1:$C$166,3,FALSE)</f>
        <v>Hum</v>
      </c>
      <c r="W204" s="35" t="str">
        <f>VLOOKUP(D204,Program!$A$1:$B$36,2,FALSE)</f>
        <v>Ämneslärarprogrammet - Gy</v>
      </c>
      <c r="X204" s="40">
        <f>VLOOKUP(A204,kurspris!$A$1:$Q$913,15,FALSE)</f>
        <v>20766</v>
      </c>
      <c r="Y204" s="40">
        <f>VLOOKUP(A204,kurspris!$A$1:$Q$913,16,FALSE)</f>
        <v>17442</v>
      </c>
      <c r="Z204" s="40">
        <f t="shared" si="91"/>
        <v>17795.849999999999</v>
      </c>
      <c r="AA204" s="40">
        <f>VLOOKUP(A204,kurspris!$A$1:$Q$913,17,FALSE)</f>
        <v>6000</v>
      </c>
      <c r="AB204" s="40">
        <f t="shared" si="92"/>
        <v>3000</v>
      </c>
      <c r="AC204" s="40">
        <f t="shared" si="93"/>
        <v>20795.849999999999</v>
      </c>
      <c r="AD204" s="31">
        <f>VLOOKUP($A204,kurspris!$A$1:$Q$950,3,FALSE)</f>
        <v>0</v>
      </c>
      <c r="AE204" s="31">
        <f>VLOOKUP($A204,kurspris!$A$1:$Q$950,4,FALSE)</f>
        <v>1</v>
      </c>
      <c r="AF204" s="31">
        <f>VLOOKUP($A204,kurspris!$A$1:$Q$950,5,FALSE)</f>
        <v>0</v>
      </c>
      <c r="AG204" s="31">
        <f>VLOOKUP($A204,kurspris!$A$1:$Q$950,6,FALSE)</f>
        <v>0</v>
      </c>
      <c r="AH204" s="31">
        <f>VLOOKUP($A204,kurspris!$A$1:$Q$950,7,FALSE)</f>
        <v>0</v>
      </c>
      <c r="AI204" s="31">
        <f>VLOOKUP($A204,kurspris!$A$1:$Q$950,8,FALSE)</f>
        <v>0</v>
      </c>
      <c r="AJ204" s="31">
        <f>VLOOKUP($A204,kurspris!$A$1:$Q$950,9,FALSE)</f>
        <v>0</v>
      </c>
      <c r="AK204" s="31">
        <f>VLOOKUP($A204,kurspris!$A$1:$Q$950,10,FALSE)</f>
        <v>0</v>
      </c>
      <c r="AL204" s="31">
        <f>VLOOKUP($A204,kurspris!$A$1:$Q$950,11,FALSE)</f>
        <v>0</v>
      </c>
      <c r="AM204" s="31">
        <f>VLOOKUP($A204,kurspris!$A$1:$Q$950,12,FALSE)</f>
        <v>0</v>
      </c>
      <c r="AN204" s="31">
        <f>VLOOKUP($A204,kurspris!$A$1:$Q$950,13,FALSE)</f>
        <v>0</v>
      </c>
      <c r="AO204" s="31">
        <f>VLOOKUP($A204,kurspris!$A$1:$Q$950,14,FALSE)</f>
        <v>0</v>
      </c>
      <c r="AP204" s="57" t="s">
        <v>2506</v>
      </c>
      <c r="AQ204"/>
      <c r="AR204" s="31">
        <f t="shared" si="94"/>
        <v>0</v>
      </c>
      <c r="AS204" s="219">
        <f t="shared" si="95"/>
        <v>0</v>
      </c>
      <c r="AT204" s="31">
        <f t="shared" si="96"/>
        <v>0.5</v>
      </c>
      <c r="AU204" s="219">
        <f t="shared" si="97"/>
        <v>0.42499999999999999</v>
      </c>
      <c r="AV204" s="31">
        <f t="shared" si="98"/>
        <v>0</v>
      </c>
      <c r="AW204" s="31">
        <f t="shared" si="99"/>
        <v>0</v>
      </c>
      <c r="AX204" s="31">
        <f t="shared" si="100"/>
        <v>0</v>
      </c>
      <c r="AY204" s="219">
        <f t="shared" si="101"/>
        <v>0</v>
      </c>
      <c r="AZ204" s="196">
        <f t="shared" si="102"/>
        <v>0</v>
      </c>
      <c r="BA204" s="219">
        <f t="shared" si="103"/>
        <v>0</v>
      </c>
      <c r="BB204" s="31">
        <f t="shared" si="104"/>
        <v>0</v>
      </c>
      <c r="BC204" s="219">
        <f t="shared" si="105"/>
        <v>0</v>
      </c>
      <c r="BD204" s="31">
        <f t="shared" si="106"/>
        <v>0</v>
      </c>
      <c r="BE204" s="219">
        <f t="shared" si="107"/>
        <v>0</v>
      </c>
      <c r="BF204" s="31">
        <f t="shared" si="108"/>
        <v>0</v>
      </c>
      <c r="BG204" s="219">
        <f t="shared" si="109"/>
        <v>0</v>
      </c>
      <c r="BH204" s="31">
        <f t="shared" si="110"/>
        <v>0</v>
      </c>
      <c r="BI204" s="219">
        <f t="shared" si="111"/>
        <v>0</v>
      </c>
      <c r="BJ204" s="31">
        <f t="shared" si="112"/>
        <v>0</v>
      </c>
      <c r="BK204" s="219">
        <f t="shared" si="113"/>
        <v>0</v>
      </c>
      <c r="BL204" s="31">
        <f t="shared" si="114"/>
        <v>0</v>
      </c>
      <c r="BM204" s="219">
        <f t="shared" si="115"/>
        <v>0</v>
      </c>
      <c r="BN204" s="31">
        <f t="shared" si="116"/>
        <v>0</v>
      </c>
      <c r="BO204" s="219">
        <f t="shared" si="117"/>
        <v>0</v>
      </c>
    </row>
    <row r="205" spans="1:67" x14ac:dyDescent="0.25">
      <c r="A205" s="31" t="s">
        <v>1879</v>
      </c>
      <c r="B205" s="176" t="str">
        <f>VLOOKUP(A205,kurspris!$A$1:$B$992,2,FALSE)</f>
        <v>Historia 2</v>
      </c>
      <c r="D205" s="60" t="s">
        <v>482</v>
      </c>
      <c r="E205" s="576" t="s">
        <v>2434</v>
      </c>
      <c r="F205" s="31" t="s">
        <v>2273</v>
      </c>
      <c r="G205" t="s">
        <v>2458</v>
      </c>
      <c r="H205" t="s">
        <v>2335</v>
      </c>
      <c r="J205" s="31" t="s">
        <v>2241</v>
      </c>
      <c r="L205" s="38">
        <v>1</v>
      </c>
      <c r="M205">
        <v>30</v>
      </c>
      <c r="P205" s="31">
        <v>1</v>
      </c>
      <c r="Q205" s="196">
        <f t="shared" si="118"/>
        <v>0.5</v>
      </c>
      <c r="R205" s="38">
        <v>0.85</v>
      </c>
      <c r="S205" s="280">
        <f t="shared" si="90"/>
        <v>0.42499999999999999</v>
      </c>
      <c r="T205" s="31">
        <f>VLOOKUP(A205,'Ansvar kurs'!$A$1:$C$1123,2,FALSE)</f>
        <v>1630</v>
      </c>
      <c r="U205" s="31" t="str">
        <f>VLOOKUP(T205,Orgenheter!$A$1:$C$166,2,FALSE)</f>
        <v>Inst för ide- o samhällsstudier</v>
      </c>
      <c r="V205" s="31" t="str">
        <f>VLOOKUP(T205,Orgenheter!$A$1:$C$166,3,FALSE)</f>
        <v>Hum</v>
      </c>
      <c r="W205" s="35" t="str">
        <f>VLOOKUP(D205,Program!$A$1:$B$36,2,FALSE)</f>
        <v>Ämneslärarprogrammet - Gy</v>
      </c>
      <c r="X205" s="40">
        <f>VLOOKUP(A205,kurspris!$A$1:$Q$913,15,FALSE)</f>
        <v>20766</v>
      </c>
      <c r="Y205" s="40">
        <f>VLOOKUP(A205,kurspris!$A$1:$Q$913,16,FALSE)</f>
        <v>17442</v>
      </c>
      <c r="Z205" s="40">
        <f t="shared" si="91"/>
        <v>17795.849999999999</v>
      </c>
      <c r="AA205" s="40">
        <f>VLOOKUP(A205,kurspris!$A$1:$Q$913,17,FALSE)</f>
        <v>6000</v>
      </c>
      <c r="AB205" s="40">
        <f t="shared" si="92"/>
        <v>3000</v>
      </c>
      <c r="AC205" s="40">
        <f t="shared" si="93"/>
        <v>20795.849999999999</v>
      </c>
      <c r="AD205" s="31">
        <f>VLOOKUP($A205,kurspris!$A$1:$Q$950,3,FALSE)</f>
        <v>0</v>
      </c>
      <c r="AE205" s="31">
        <f>VLOOKUP($A205,kurspris!$A$1:$Q$950,4,FALSE)</f>
        <v>1</v>
      </c>
      <c r="AF205" s="31">
        <f>VLOOKUP($A205,kurspris!$A$1:$Q$950,5,FALSE)</f>
        <v>0</v>
      </c>
      <c r="AG205" s="31">
        <f>VLOOKUP($A205,kurspris!$A$1:$Q$950,6,FALSE)</f>
        <v>0</v>
      </c>
      <c r="AH205" s="31">
        <f>VLOOKUP($A205,kurspris!$A$1:$Q$950,7,FALSE)</f>
        <v>0</v>
      </c>
      <c r="AI205" s="31">
        <f>VLOOKUP($A205,kurspris!$A$1:$Q$950,8,FALSE)</f>
        <v>0</v>
      </c>
      <c r="AJ205" s="31">
        <f>VLOOKUP($A205,kurspris!$A$1:$Q$950,9,FALSE)</f>
        <v>0</v>
      </c>
      <c r="AK205" s="31">
        <f>VLOOKUP($A205,kurspris!$A$1:$Q$950,10,FALSE)</f>
        <v>0</v>
      </c>
      <c r="AL205" s="31">
        <f>VLOOKUP($A205,kurspris!$A$1:$Q$950,11,FALSE)</f>
        <v>0</v>
      </c>
      <c r="AM205" s="31">
        <f>VLOOKUP($A205,kurspris!$A$1:$Q$950,12,FALSE)</f>
        <v>0</v>
      </c>
      <c r="AN205" s="31">
        <f>VLOOKUP($A205,kurspris!$A$1:$Q$950,13,FALSE)</f>
        <v>0</v>
      </c>
      <c r="AO205" s="31">
        <f>VLOOKUP($A205,kurspris!$A$1:$Q$950,14,FALSE)</f>
        <v>0</v>
      </c>
      <c r="AP205" s="57" t="s">
        <v>2506</v>
      </c>
      <c r="AQ205"/>
      <c r="AR205" s="31">
        <f t="shared" si="94"/>
        <v>0</v>
      </c>
      <c r="AS205" s="219">
        <f t="shared" si="95"/>
        <v>0</v>
      </c>
      <c r="AT205" s="31">
        <f t="shared" si="96"/>
        <v>0.5</v>
      </c>
      <c r="AU205" s="219">
        <f t="shared" si="97"/>
        <v>0.42499999999999999</v>
      </c>
      <c r="AV205" s="31">
        <f t="shared" si="98"/>
        <v>0</v>
      </c>
      <c r="AW205" s="31">
        <f t="shared" si="99"/>
        <v>0</v>
      </c>
      <c r="AX205" s="31">
        <f t="shared" si="100"/>
        <v>0</v>
      </c>
      <c r="AY205" s="219">
        <f t="shared" si="101"/>
        <v>0</v>
      </c>
      <c r="AZ205" s="196">
        <f t="shared" si="102"/>
        <v>0</v>
      </c>
      <c r="BA205" s="219">
        <f t="shared" si="103"/>
        <v>0</v>
      </c>
      <c r="BB205" s="31">
        <f t="shared" si="104"/>
        <v>0</v>
      </c>
      <c r="BC205" s="219">
        <f t="shared" si="105"/>
        <v>0</v>
      </c>
      <c r="BD205" s="31">
        <f t="shared" si="106"/>
        <v>0</v>
      </c>
      <c r="BE205" s="219">
        <f t="shared" si="107"/>
        <v>0</v>
      </c>
      <c r="BF205" s="31">
        <f t="shared" si="108"/>
        <v>0</v>
      </c>
      <c r="BG205" s="219">
        <f t="shared" si="109"/>
        <v>0</v>
      </c>
      <c r="BH205" s="31">
        <f t="shared" si="110"/>
        <v>0</v>
      </c>
      <c r="BI205" s="219">
        <f t="shared" si="111"/>
        <v>0</v>
      </c>
      <c r="BJ205" s="31">
        <f t="shared" si="112"/>
        <v>0</v>
      </c>
      <c r="BK205" s="219">
        <f t="shared" si="113"/>
        <v>0</v>
      </c>
      <c r="BL205" s="31">
        <f t="shared" si="114"/>
        <v>0</v>
      </c>
      <c r="BM205" s="219">
        <f t="shared" si="115"/>
        <v>0</v>
      </c>
      <c r="BN205" s="31">
        <f t="shared" si="116"/>
        <v>0</v>
      </c>
      <c r="BO205" s="219">
        <f t="shared" si="117"/>
        <v>0</v>
      </c>
    </row>
    <row r="206" spans="1:67" x14ac:dyDescent="0.25">
      <c r="A206" s="31" t="s">
        <v>1879</v>
      </c>
      <c r="B206" s="176" t="str">
        <f>VLOOKUP(A206,kurspris!$A$1:$B$992,2,FALSE)</f>
        <v>Historia 2</v>
      </c>
      <c r="D206" s="60" t="s">
        <v>482</v>
      </c>
      <c r="E206" s="576" t="s">
        <v>2432</v>
      </c>
      <c r="F206" s="31" t="s">
        <v>2273</v>
      </c>
      <c r="G206" t="s">
        <v>2458</v>
      </c>
      <c r="H206" t="s">
        <v>2335</v>
      </c>
      <c r="J206" s="31" t="s">
        <v>2241</v>
      </c>
      <c r="L206" s="38">
        <v>1</v>
      </c>
      <c r="M206">
        <v>30</v>
      </c>
      <c r="P206" s="31">
        <v>16</v>
      </c>
      <c r="Q206" s="196">
        <f t="shared" si="118"/>
        <v>8</v>
      </c>
      <c r="R206" s="38">
        <v>0.85</v>
      </c>
      <c r="S206" s="280">
        <f t="shared" si="90"/>
        <v>6.8</v>
      </c>
      <c r="T206" s="31">
        <f>VLOOKUP(A206,'Ansvar kurs'!$A$1:$C$1123,2,FALSE)</f>
        <v>1630</v>
      </c>
      <c r="U206" s="31" t="str">
        <f>VLOOKUP(T206,Orgenheter!$A$1:$C$166,2,FALSE)</f>
        <v>Inst för ide- o samhällsstudier</v>
      </c>
      <c r="V206" s="31" t="str">
        <f>VLOOKUP(T206,Orgenheter!$A$1:$C$166,3,FALSE)</f>
        <v>Hum</v>
      </c>
      <c r="W206" s="35" t="str">
        <f>VLOOKUP(D206,Program!$A$1:$B$36,2,FALSE)</f>
        <v>Ämneslärarprogrammet - Gy</v>
      </c>
      <c r="X206" s="40">
        <f>VLOOKUP(A206,kurspris!$A$1:$Q$913,15,FALSE)</f>
        <v>20766</v>
      </c>
      <c r="Y206" s="40">
        <f>VLOOKUP(A206,kurspris!$A$1:$Q$913,16,FALSE)</f>
        <v>17442</v>
      </c>
      <c r="Z206" s="40">
        <f t="shared" si="91"/>
        <v>284733.59999999998</v>
      </c>
      <c r="AA206" s="40">
        <f>VLOOKUP(A206,kurspris!$A$1:$Q$913,17,FALSE)</f>
        <v>6000</v>
      </c>
      <c r="AB206" s="40">
        <f t="shared" si="92"/>
        <v>48000</v>
      </c>
      <c r="AC206" s="40">
        <f t="shared" si="93"/>
        <v>332733.59999999998</v>
      </c>
      <c r="AD206" s="31">
        <f>VLOOKUP($A206,kurspris!$A$1:$Q$950,3,FALSE)</f>
        <v>0</v>
      </c>
      <c r="AE206" s="31">
        <f>VLOOKUP($A206,kurspris!$A$1:$Q$950,4,FALSE)</f>
        <v>1</v>
      </c>
      <c r="AF206" s="31">
        <f>VLOOKUP($A206,kurspris!$A$1:$Q$950,5,FALSE)</f>
        <v>0</v>
      </c>
      <c r="AG206" s="31">
        <f>VLOOKUP($A206,kurspris!$A$1:$Q$950,6,FALSE)</f>
        <v>0</v>
      </c>
      <c r="AH206" s="31">
        <f>VLOOKUP($A206,kurspris!$A$1:$Q$950,7,FALSE)</f>
        <v>0</v>
      </c>
      <c r="AI206" s="31">
        <f>VLOOKUP($A206,kurspris!$A$1:$Q$950,8,FALSE)</f>
        <v>0</v>
      </c>
      <c r="AJ206" s="31">
        <f>VLOOKUP($A206,kurspris!$A$1:$Q$950,9,FALSE)</f>
        <v>0</v>
      </c>
      <c r="AK206" s="31">
        <f>VLOOKUP($A206,kurspris!$A$1:$Q$950,10,FALSE)</f>
        <v>0</v>
      </c>
      <c r="AL206" s="31">
        <f>VLOOKUP($A206,kurspris!$A$1:$Q$950,11,FALSE)</f>
        <v>0</v>
      </c>
      <c r="AM206" s="31">
        <f>VLOOKUP($A206,kurspris!$A$1:$Q$950,12,FALSE)</f>
        <v>0</v>
      </c>
      <c r="AN206" s="31">
        <f>VLOOKUP($A206,kurspris!$A$1:$Q$950,13,FALSE)</f>
        <v>0</v>
      </c>
      <c r="AO206" s="31">
        <f>VLOOKUP($A206,kurspris!$A$1:$Q$950,14,FALSE)</f>
        <v>0</v>
      </c>
      <c r="AP206" s="57" t="s">
        <v>2506</v>
      </c>
      <c r="AQ206"/>
      <c r="AR206" s="31">
        <f t="shared" si="94"/>
        <v>0</v>
      </c>
      <c r="AS206" s="219">
        <f t="shared" si="95"/>
        <v>0</v>
      </c>
      <c r="AT206" s="31">
        <f t="shared" si="96"/>
        <v>8</v>
      </c>
      <c r="AU206" s="219">
        <f t="shared" si="97"/>
        <v>6.8</v>
      </c>
      <c r="AV206" s="31">
        <f t="shared" si="98"/>
        <v>0</v>
      </c>
      <c r="AW206" s="31">
        <f t="shared" si="99"/>
        <v>0</v>
      </c>
      <c r="AX206" s="31">
        <f t="shared" si="100"/>
        <v>0</v>
      </c>
      <c r="AY206" s="219">
        <f t="shared" si="101"/>
        <v>0</v>
      </c>
      <c r="AZ206" s="196">
        <f t="shared" si="102"/>
        <v>0</v>
      </c>
      <c r="BA206" s="219">
        <f t="shared" si="103"/>
        <v>0</v>
      </c>
      <c r="BB206" s="31">
        <f t="shared" si="104"/>
        <v>0</v>
      </c>
      <c r="BC206" s="219">
        <f t="shared" si="105"/>
        <v>0</v>
      </c>
      <c r="BD206" s="31">
        <f t="shared" si="106"/>
        <v>0</v>
      </c>
      <c r="BE206" s="219">
        <f t="shared" si="107"/>
        <v>0</v>
      </c>
      <c r="BF206" s="31">
        <f t="shared" si="108"/>
        <v>0</v>
      </c>
      <c r="BG206" s="219">
        <f t="shared" si="109"/>
        <v>0</v>
      </c>
      <c r="BH206" s="31">
        <f t="shared" si="110"/>
        <v>0</v>
      </c>
      <c r="BI206" s="219">
        <f t="shared" si="111"/>
        <v>0</v>
      </c>
      <c r="BJ206" s="31">
        <f t="shared" si="112"/>
        <v>0</v>
      </c>
      <c r="BK206" s="219">
        <f t="shared" si="113"/>
        <v>0</v>
      </c>
      <c r="BL206" s="31">
        <f t="shared" si="114"/>
        <v>0</v>
      </c>
      <c r="BM206" s="219">
        <f t="shared" si="115"/>
        <v>0</v>
      </c>
      <c r="BN206" s="31">
        <f t="shared" si="116"/>
        <v>0</v>
      </c>
      <c r="BO206" s="219">
        <f t="shared" si="117"/>
        <v>0</v>
      </c>
    </row>
    <row r="207" spans="1:67" x14ac:dyDescent="0.25">
      <c r="A207" s="31" t="s">
        <v>1879</v>
      </c>
      <c r="B207" s="176" t="str">
        <f>VLOOKUP(A207,kurspris!$A$1:$B$992,2,FALSE)</f>
        <v>Historia 2</v>
      </c>
      <c r="D207" s="60" t="s">
        <v>482</v>
      </c>
      <c r="E207" s="576" t="s">
        <v>2432</v>
      </c>
      <c r="F207" s="31" t="s">
        <v>2273</v>
      </c>
      <c r="G207" t="s">
        <v>2458</v>
      </c>
      <c r="H207" t="s">
        <v>2335</v>
      </c>
      <c r="J207" s="31" t="s">
        <v>2242</v>
      </c>
      <c r="L207" s="38">
        <v>1</v>
      </c>
      <c r="M207">
        <v>30</v>
      </c>
      <c r="P207" s="31">
        <v>1</v>
      </c>
      <c r="Q207" s="196">
        <f t="shared" si="118"/>
        <v>0.5</v>
      </c>
      <c r="R207" s="38">
        <v>0.85</v>
      </c>
      <c r="S207" s="280">
        <f t="shared" si="90"/>
        <v>0.42499999999999999</v>
      </c>
      <c r="T207" s="31">
        <f>VLOOKUP(A207,'Ansvar kurs'!$A$1:$C$1123,2,FALSE)</f>
        <v>1630</v>
      </c>
      <c r="U207" s="31" t="str">
        <f>VLOOKUP(T207,Orgenheter!$A$1:$C$166,2,FALSE)</f>
        <v>Inst för ide- o samhällsstudier</v>
      </c>
      <c r="V207" s="31" t="str">
        <f>VLOOKUP(T207,Orgenheter!$A$1:$C$166,3,FALSE)</f>
        <v>Hum</v>
      </c>
      <c r="W207" s="35" t="str">
        <f>VLOOKUP(D207,Program!$A$1:$B$36,2,FALSE)</f>
        <v>Ämneslärarprogrammet - Gy</v>
      </c>
      <c r="X207" s="40">
        <f>VLOOKUP(A207,kurspris!$A$1:$Q$913,15,FALSE)</f>
        <v>20766</v>
      </c>
      <c r="Y207" s="40">
        <f>VLOOKUP(A207,kurspris!$A$1:$Q$913,16,FALSE)</f>
        <v>17442</v>
      </c>
      <c r="Z207" s="40">
        <f t="shared" si="91"/>
        <v>17795.849999999999</v>
      </c>
      <c r="AA207" s="40">
        <f>VLOOKUP(A207,kurspris!$A$1:$Q$913,17,FALSE)</f>
        <v>6000</v>
      </c>
      <c r="AB207" s="40">
        <f t="shared" si="92"/>
        <v>3000</v>
      </c>
      <c r="AC207" s="40">
        <f t="shared" si="93"/>
        <v>20795.849999999999</v>
      </c>
      <c r="AD207" s="31">
        <f>VLOOKUP($A207,kurspris!$A$1:$Q$950,3,FALSE)</f>
        <v>0</v>
      </c>
      <c r="AE207" s="31">
        <f>VLOOKUP($A207,kurspris!$A$1:$Q$950,4,FALSE)</f>
        <v>1</v>
      </c>
      <c r="AF207" s="31">
        <f>VLOOKUP($A207,kurspris!$A$1:$Q$950,5,FALSE)</f>
        <v>0</v>
      </c>
      <c r="AG207" s="31">
        <f>VLOOKUP($A207,kurspris!$A$1:$Q$950,6,FALSE)</f>
        <v>0</v>
      </c>
      <c r="AH207" s="31">
        <f>VLOOKUP($A207,kurspris!$A$1:$Q$950,7,FALSE)</f>
        <v>0</v>
      </c>
      <c r="AI207" s="31">
        <f>VLOOKUP($A207,kurspris!$A$1:$Q$950,8,FALSE)</f>
        <v>0</v>
      </c>
      <c r="AJ207" s="31">
        <f>VLOOKUP($A207,kurspris!$A$1:$Q$950,9,FALSE)</f>
        <v>0</v>
      </c>
      <c r="AK207" s="31">
        <f>VLOOKUP($A207,kurspris!$A$1:$Q$950,10,FALSE)</f>
        <v>0</v>
      </c>
      <c r="AL207" s="31">
        <f>VLOOKUP($A207,kurspris!$A$1:$Q$950,11,FALSE)</f>
        <v>0</v>
      </c>
      <c r="AM207" s="31">
        <f>VLOOKUP($A207,kurspris!$A$1:$Q$950,12,FALSE)</f>
        <v>0</v>
      </c>
      <c r="AN207" s="31">
        <f>VLOOKUP($A207,kurspris!$A$1:$Q$950,13,FALSE)</f>
        <v>0</v>
      </c>
      <c r="AO207" s="31">
        <f>VLOOKUP($A207,kurspris!$A$1:$Q$950,14,FALSE)</f>
        <v>0</v>
      </c>
      <c r="AP207" s="57" t="s">
        <v>2506</v>
      </c>
      <c r="AQ207"/>
      <c r="AR207" s="31">
        <f t="shared" si="94"/>
        <v>0</v>
      </c>
      <c r="AS207" s="219">
        <f t="shared" si="95"/>
        <v>0</v>
      </c>
      <c r="AT207" s="31">
        <f t="shared" si="96"/>
        <v>0.5</v>
      </c>
      <c r="AU207" s="219">
        <f t="shared" si="97"/>
        <v>0.42499999999999999</v>
      </c>
      <c r="AV207" s="31">
        <f t="shared" si="98"/>
        <v>0</v>
      </c>
      <c r="AW207" s="31">
        <f t="shared" si="99"/>
        <v>0</v>
      </c>
      <c r="AX207" s="31">
        <f t="shared" si="100"/>
        <v>0</v>
      </c>
      <c r="AY207" s="219">
        <f t="shared" si="101"/>
        <v>0</v>
      </c>
      <c r="AZ207" s="196">
        <f t="shared" si="102"/>
        <v>0</v>
      </c>
      <c r="BA207" s="219">
        <f t="shared" si="103"/>
        <v>0</v>
      </c>
      <c r="BB207" s="31">
        <f t="shared" si="104"/>
        <v>0</v>
      </c>
      <c r="BC207" s="219">
        <f t="shared" si="105"/>
        <v>0</v>
      </c>
      <c r="BD207" s="31">
        <f t="shared" si="106"/>
        <v>0</v>
      </c>
      <c r="BE207" s="219">
        <f t="shared" si="107"/>
        <v>0</v>
      </c>
      <c r="BF207" s="31">
        <f t="shared" si="108"/>
        <v>0</v>
      </c>
      <c r="BG207" s="219">
        <f t="shared" si="109"/>
        <v>0</v>
      </c>
      <c r="BH207" s="31">
        <f t="shared" si="110"/>
        <v>0</v>
      </c>
      <c r="BI207" s="219">
        <f t="shared" si="111"/>
        <v>0</v>
      </c>
      <c r="BJ207" s="31">
        <f t="shared" si="112"/>
        <v>0</v>
      </c>
      <c r="BK207" s="219">
        <f t="shared" si="113"/>
        <v>0</v>
      </c>
      <c r="BL207" s="31">
        <f t="shared" si="114"/>
        <v>0</v>
      </c>
      <c r="BM207" s="219">
        <f t="shared" si="115"/>
        <v>0</v>
      </c>
      <c r="BN207" s="31">
        <f t="shared" si="116"/>
        <v>0</v>
      </c>
      <c r="BO207" s="219">
        <f t="shared" si="117"/>
        <v>0</v>
      </c>
    </row>
    <row r="208" spans="1:67" x14ac:dyDescent="0.25">
      <c r="A208" s="31" t="s">
        <v>1981</v>
      </c>
      <c r="B208" s="176" t="str">
        <f>VLOOKUP(A208,kurspris!$A$1:$B$992,2,FALSE)</f>
        <v>Historia 1</v>
      </c>
      <c r="C208" s="31">
        <v>71603</v>
      </c>
      <c r="D208" s="60" t="s">
        <v>482</v>
      </c>
      <c r="E208" s="60"/>
      <c r="F208" s="57" t="s">
        <v>2274</v>
      </c>
      <c r="H208" s="31" t="s">
        <v>2335</v>
      </c>
      <c r="I208" s="31" t="s">
        <v>2399</v>
      </c>
      <c r="J208" s="31" t="s">
        <v>2237</v>
      </c>
      <c r="L208" s="38"/>
      <c r="M208">
        <v>30</v>
      </c>
      <c r="P208" s="31">
        <v>1</v>
      </c>
      <c r="Q208" s="539">
        <v>0.5</v>
      </c>
      <c r="R208" s="38">
        <v>0.85</v>
      </c>
      <c r="S208" s="280">
        <f t="shared" si="90"/>
        <v>0.42499999999999999</v>
      </c>
      <c r="T208" s="31">
        <f>VLOOKUP(A208,'Ansvar kurs'!$A$1:$C$1123,2,FALSE)</f>
        <v>1630</v>
      </c>
      <c r="U208" s="31" t="str">
        <f>VLOOKUP(T208,Orgenheter!$A$1:$C$166,2,FALSE)</f>
        <v>Inst för ide- o samhällsstudier</v>
      </c>
      <c r="V208" s="31" t="str">
        <f>VLOOKUP(T208,Orgenheter!$A$1:$C$166,3,FALSE)</f>
        <v>Hum</v>
      </c>
      <c r="W208" s="35" t="str">
        <f>VLOOKUP(D208,Program!$A$1:$B$36,2,FALSE)</f>
        <v>Ämneslärarprogrammet - Gy</v>
      </c>
      <c r="X208" s="40">
        <f>VLOOKUP(A208,kurspris!$A$1:$Q$913,15,FALSE)</f>
        <v>20766</v>
      </c>
      <c r="Y208" s="40">
        <f>VLOOKUP(A208,kurspris!$A$1:$Q$913,16,FALSE)</f>
        <v>17442</v>
      </c>
      <c r="Z208" s="40">
        <f t="shared" si="91"/>
        <v>17795.849999999999</v>
      </c>
      <c r="AA208" s="40">
        <f>VLOOKUP(A208,kurspris!$A$1:$Q$913,17,FALSE)</f>
        <v>6000</v>
      </c>
      <c r="AB208" s="40">
        <f t="shared" si="92"/>
        <v>3000</v>
      </c>
      <c r="AC208" s="40">
        <f t="shared" si="93"/>
        <v>20795.849999999999</v>
      </c>
      <c r="AD208" s="31">
        <f>VLOOKUP($A208,kurspris!$A$1:$Q$950,3,FALSE)</f>
        <v>0</v>
      </c>
      <c r="AE208" s="31">
        <f>VLOOKUP($A208,kurspris!$A$1:$Q$950,4,FALSE)</f>
        <v>1</v>
      </c>
      <c r="AF208" s="31">
        <f>VLOOKUP($A208,kurspris!$A$1:$Q$950,5,FALSE)</f>
        <v>0</v>
      </c>
      <c r="AG208" s="31">
        <f>VLOOKUP($A208,kurspris!$A$1:$Q$950,6,FALSE)</f>
        <v>0</v>
      </c>
      <c r="AH208" s="31">
        <f>VLOOKUP($A208,kurspris!$A$1:$Q$950,7,FALSE)</f>
        <v>0</v>
      </c>
      <c r="AI208" s="31">
        <f>VLOOKUP($A208,kurspris!$A$1:$Q$950,8,FALSE)</f>
        <v>0</v>
      </c>
      <c r="AJ208" s="31">
        <f>VLOOKUP($A208,kurspris!$A$1:$Q$950,9,FALSE)</f>
        <v>0</v>
      </c>
      <c r="AK208" s="31">
        <f>VLOOKUP($A208,kurspris!$A$1:$Q$950,10,FALSE)</f>
        <v>0</v>
      </c>
      <c r="AL208" s="31">
        <f>VLOOKUP($A208,kurspris!$A$1:$Q$950,11,FALSE)</f>
        <v>0</v>
      </c>
      <c r="AM208" s="31">
        <f>VLOOKUP($A208,kurspris!$A$1:$Q$950,12,FALSE)</f>
        <v>0</v>
      </c>
      <c r="AN208" s="31">
        <f>VLOOKUP($A208,kurspris!$A$1:$Q$950,13,FALSE)</f>
        <v>0</v>
      </c>
      <c r="AO208" s="31">
        <f>VLOOKUP($A208,kurspris!$A$1:$Q$950,14,FALSE)</f>
        <v>0</v>
      </c>
      <c r="AP208" s="57" t="s">
        <v>2402</v>
      </c>
      <c r="AQ208"/>
      <c r="AR208" s="31">
        <f t="shared" si="94"/>
        <v>0</v>
      </c>
      <c r="AS208" s="219">
        <f t="shared" si="95"/>
        <v>0</v>
      </c>
      <c r="AT208" s="31">
        <f t="shared" si="96"/>
        <v>0.5</v>
      </c>
      <c r="AU208" s="219">
        <f t="shared" si="97"/>
        <v>0.42499999999999999</v>
      </c>
      <c r="AV208" s="31">
        <f t="shared" si="98"/>
        <v>0</v>
      </c>
      <c r="AW208" s="31">
        <f t="shared" si="99"/>
        <v>0</v>
      </c>
      <c r="AX208" s="31">
        <f t="shared" si="100"/>
        <v>0</v>
      </c>
      <c r="AY208" s="219">
        <f t="shared" si="101"/>
        <v>0</v>
      </c>
      <c r="AZ208" s="196">
        <f t="shared" si="102"/>
        <v>0</v>
      </c>
      <c r="BA208" s="219">
        <f t="shared" si="103"/>
        <v>0</v>
      </c>
      <c r="BB208" s="31">
        <f t="shared" si="104"/>
        <v>0</v>
      </c>
      <c r="BC208" s="219">
        <f t="shared" si="105"/>
        <v>0</v>
      </c>
      <c r="BD208" s="31">
        <f t="shared" si="106"/>
        <v>0</v>
      </c>
      <c r="BE208" s="219">
        <f t="shared" si="107"/>
        <v>0</v>
      </c>
      <c r="BF208" s="31">
        <f t="shared" si="108"/>
        <v>0</v>
      </c>
      <c r="BG208" s="219">
        <f t="shared" si="109"/>
        <v>0</v>
      </c>
      <c r="BH208" s="31">
        <f t="shared" si="110"/>
        <v>0</v>
      </c>
      <c r="BI208" s="219">
        <f t="shared" si="111"/>
        <v>0</v>
      </c>
      <c r="BJ208" s="31">
        <f t="shared" si="112"/>
        <v>0</v>
      </c>
      <c r="BK208" s="219">
        <f t="shared" si="113"/>
        <v>0</v>
      </c>
      <c r="BL208" s="31">
        <f t="shared" si="114"/>
        <v>0</v>
      </c>
      <c r="BM208" s="219">
        <f t="shared" si="115"/>
        <v>0</v>
      </c>
      <c r="BN208" s="31">
        <f t="shared" si="116"/>
        <v>0</v>
      </c>
      <c r="BO208" s="219">
        <f t="shared" si="117"/>
        <v>0</v>
      </c>
    </row>
    <row r="209" spans="1:67" x14ac:dyDescent="0.25">
      <c r="A209" s="31" t="s">
        <v>1981</v>
      </c>
      <c r="B209" s="176" t="str">
        <f>VLOOKUP(A209,kurspris!$A$1:$B$992,2,FALSE)</f>
        <v>Historia 1</v>
      </c>
      <c r="C209" s="31">
        <v>71603</v>
      </c>
      <c r="D209" s="60" t="s">
        <v>482</v>
      </c>
      <c r="E209" s="60"/>
      <c r="F209" s="57" t="s">
        <v>2274</v>
      </c>
      <c r="H209" s="31" t="s">
        <v>2335</v>
      </c>
      <c r="I209" s="31" t="s">
        <v>2399</v>
      </c>
      <c r="J209" s="31" t="s">
        <v>2231</v>
      </c>
      <c r="L209" s="38"/>
      <c r="M209">
        <v>30</v>
      </c>
      <c r="P209" s="31">
        <v>7</v>
      </c>
      <c r="Q209" s="539">
        <v>3.5</v>
      </c>
      <c r="R209" s="38">
        <v>0.85</v>
      </c>
      <c r="S209" s="280">
        <f t="shared" si="90"/>
        <v>2.9750000000000001</v>
      </c>
      <c r="T209" s="31">
        <f>VLOOKUP(A209,'Ansvar kurs'!$A$1:$C$1123,2,FALSE)</f>
        <v>1630</v>
      </c>
      <c r="U209" s="31" t="str">
        <f>VLOOKUP(T209,Orgenheter!$A$1:$C$166,2,FALSE)</f>
        <v>Inst för ide- o samhällsstudier</v>
      </c>
      <c r="V209" s="31" t="str">
        <f>VLOOKUP(T209,Orgenheter!$A$1:$C$166,3,FALSE)</f>
        <v>Hum</v>
      </c>
      <c r="W209" s="35" t="str">
        <f>VLOOKUP(D209,Program!$A$1:$B$36,2,FALSE)</f>
        <v>Ämneslärarprogrammet - Gy</v>
      </c>
      <c r="X209" s="40">
        <f>VLOOKUP(A209,kurspris!$A$1:$Q$913,15,FALSE)</f>
        <v>20766</v>
      </c>
      <c r="Y209" s="40">
        <f>VLOOKUP(A209,kurspris!$A$1:$Q$913,16,FALSE)</f>
        <v>17442</v>
      </c>
      <c r="Z209" s="40">
        <f t="shared" si="91"/>
        <v>124570.95000000001</v>
      </c>
      <c r="AA209" s="40">
        <f>VLOOKUP(A209,kurspris!$A$1:$Q$913,17,FALSE)</f>
        <v>6000</v>
      </c>
      <c r="AB209" s="40">
        <f t="shared" si="92"/>
        <v>21000</v>
      </c>
      <c r="AC209" s="40">
        <f t="shared" si="93"/>
        <v>145570.95000000001</v>
      </c>
      <c r="AD209" s="31">
        <f>VLOOKUP($A209,kurspris!$A$1:$Q$950,3,FALSE)</f>
        <v>0</v>
      </c>
      <c r="AE209" s="31">
        <f>VLOOKUP($A209,kurspris!$A$1:$Q$950,4,FALSE)</f>
        <v>1</v>
      </c>
      <c r="AF209" s="31">
        <f>VLOOKUP($A209,kurspris!$A$1:$Q$950,5,FALSE)</f>
        <v>0</v>
      </c>
      <c r="AG209" s="31">
        <f>VLOOKUP($A209,kurspris!$A$1:$Q$950,6,FALSE)</f>
        <v>0</v>
      </c>
      <c r="AH209" s="31">
        <f>VLOOKUP($A209,kurspris!$A$1:$Q$950,7,FALSE)</f>
        <v>0</v>
      </c>
      <c r="AI209" s="31">
        <f>VLOOKUP($A209,kurspris!$A$1:$Q$950,8,FALSE)</f>
        <v>0</v>
      </c>
      <c r="AJ209" s="31">
        <f>VLOOKUP($A209,kurspris!$A$1:$Q$950,9,FALSE)</f>
        <v>0</v>
      </c>
      <c r="AK209" s="31">
        <f>VLOOKUP($A209,kurspris!$A$1:$Q$950,10,FALSE)</f>
        <v>0</v>
      </c>
      <c r="AL209" s="31">
        <f>VLOOKUP($A209,kurspris!$A$1:$Q$950,11,FALSE)</f>
        <v>0</v>
      </c>
      <c r="AM209" s="31">
        <f>VLOOKUP($A209,kurspris!$A$1:$Q$950,12,FALSE)</f>
        <v>0</v>
      </c>
      <c r="AN209" s="31">
        <f>VLOOKUP($A209,kurspris!$A$1:$Q$950,13,FALSE)</f>
        <v>0</v>
      </c>
      <c r="AO209" s="31">
        <f>VLOOKUP($A209,kurspris!$A$1:$Q$950,14,FALSE)</f>
        <v>0</v>
      </c>
      <c r="AP209" s="57" t="s">
        <v>2402</v>
      </c>
      <c r="AQ209"/>
      <c r="AR209" s="31">
        <f t="shared" si="94"/>
        <v>0</v>
      </c>
      <c r="AS209" s="219">
        <f t="shared" si="95"/>
        <v>0</v>
      </c>
      <c r="AT209" s="31">
        <f t="shared" si="96"/>
        <v>3.5</v>
      </c>
      <c r="AU209" s="219">
        <f t="shared" si="97"/>
        <v>2.9750000000000001</v>
      </c>
      <c r="AV209" s="31">
        <f t="shared" si="98"/>
        <v>0</v>
      </c>
      <c r="AW209" s="31">
        <f t="shared" si="99"/>
        <v>0</v>
      </c>
      <c r="AX209" s="31">
        <f t="shared" si="100"/>
        <v>0</v>
      </c>
      <c r="AY209" s="219">
        <f t="shared" si="101"/>
        <v>0</v>
      </c>
      <c r="AZ209" s="196">
        <f t="shared" si="102"/>
        <v>0</v>
      </c>
      <c r="BA209" s="219">
        <f t="shared" si="103"/>
        <v>0</v>
      </c>
      <c r="BB209" s="31">
        <f t="shared" si="104"/>
        <v>0</v>
      </c>
      <c r="BC209" s="219">
        <f t="shared" si="105"/>
        <v>0</v>
      </c>
      <c r="BD209" s="31">
        <f t="shared" si="106"/>
        <v>0</v>
      </c>
      <c r="BE209" s="219">
        <f t="shared" si="107"/>
        <v>0</v>
      </c>
      <c r="BF209" s="31">
        <f t="shared" si="108"/>
        <v>0</v>
      </c>
      <c r="BG209" s="219">
        <f t="shared" si="109"/>
        <v>0</v>
      </c>
      <c r="BH209" s="31">
        <f t="shared" si="110"/>
        <v>0</v>
      </c>
      <c r="BI209" s="219">
        <f t="shared" si="111"/>
        <v>0</v>
      </c>
      <c r="BJ209" s="31">
        <f t="shared" si="112"/>
        <v>0</v>
      </c>
      <c r="BK209" s="219">
        <f t="shared" si="113"/>
        <v>0</v>
      </c>
      <c r="BL209" s="31">
        <f t="shared" si="114"/>
        <v>0</v>
      </c>
      <c r="BM209" s="219">
        <f t="shared" si="115"/>
        <v>0</v>
      </c>
      <c r="BN209" s="31">
        <f t="shared" si="116"/>
        <v>0</v>
      </c>
      <c r="BO209" s="219">
        <f t="shared" si="117"/>
        <v>0</v>
      </c>
    </row>
    <row r="210" spans="1:67" x14ac:dyDescent="0.25">
      <c r="A210" s="31" t="s">
        <v>1981</v>
      </c>
      <c r="B210" s="176" t="str">
        <f>VLOOKUP(A210,kurspris!$A$1:$B$992,2,FALSE)</f>
        <v>Historia 1</v>
      </c>
      <c r="C210" s="31">
        <v>71603</v>
      </c>
      <c r="D210" s="60" t="s">
        <v>482</v>
      </c>
      <c r="E210" s="60"/>
      <c r="F210" s="57" t="s">
        <v>2274</v>
      </c>
      <c r="H210" s="31" t="s">
        <v>2335</v>
      </c>
      <c r="I210" s="31" t="s">
        <v>2399</v>
      </c>
      <c r="J210" s="31" t="s">
        <v>2241</v>
      </c>
      <c r="L210" s="38"/>
      <c r="M210">
        <v>30</v>
      </c>
      <c r="P210" s="31">
        <v>27</v>
      </c>
      <c r="Q210" s="539">
        <v>13.5</v>
      </c>
      <c r="R210" s="38">
        <v>0.85</v>
      </c>
      <c r="S210" s="280">
        <f t="shared" si="90"/>
        <v>11.475</v>
      </c>
      <c r="T210" s="31">
        <f>VLOOKUP(A210,'Ansvar kurs'!$A$1:$C$1123,2,FALSE)</f>
        <v>1630</v>
      </c>
      <c r="U210" s="31" t="str">
        <f>VLOOKUP(T210,Orgenheter!$A$1:$C$166,2,FALSE)</f>
        <v>Inst för ide- o samhällsstudier</v>
      </c>
      <c r="V210" s="31" t="str">
        <f>VLOOKUP(T210,Orgenheter!$A$1:$C$166,3,FALSE)</f>
        <v>Hum</v>
      </c>
      <c r="W210" s="35" t="str">
        <f>VLOOKUP(D210,Program!$A$1:$B$36,2,FALSE)</f>
        <v>Ämneslärarprogrammet - Gy</v>
      </c>
      <c r="X210" s="40">
        <f>VLOOKUP(A210,kurspris!$A$1:$Q$913,15,FALSE)</f>
        <v>20766</v>
      </c>
      <c r="Y210" s="40">
        <f>VLOOKUP(A210,kurspris!$A$1:$Q$913,16,FALSE)</f>
        <v>17442</v>
      </c>
      <c r="Z210" s="40">
        <f t="shared" si="91"/>
        <v>480487.94999999995</v>
      </c>
      <c r="AA210" s="40">
        <f>VLOOKUP(A210,kurspris!$A$1:$Q$913,17,FALSE)</f>
        <v>6000</v>
      </c>
      <c r="AB210" s="40">
        <f t="shared" si="92"/>
        <v>81000</v>
      </c>
      <c r="AC210" s="40">
        <f t="shared" si="93"/>
        <v>561487.94999999995</v>
      </c>
      <c r="AD210" s="31">
        <f>VLOOKUP($A210,kurspris!$A$1:$Q$950,3,FALSE)</f>
        <v>0</v>
      </c>
      <c r="AE210" s="31">
        <f>VLOOKUP($A210,kurspris!$A$1:$Q$950,4,FALSE)</f>
        <v>1</v>
      </c>
      <c r="AF210" s="31">
        <f>VLOOKUP($A210,kurspris!$A$1:$Q$950,5,FALSE)</f>
        <v>0</v>
      </c>
      <c r="AG210" s="31">
        <f>VLOOKUP($A210,kurspris!$A$1:$Q$950,6,FALSE)</f>
        <v>0</v>
      </c>
      <c r="AH210" s="31">
        <f>VLOOKUP($A210,kurspris!$A$1:$Q$950,7,FALSE)</f>
        <v>0</v>
      </c>
      <c r="AI210" s="31">
        <f>VLOOKUP($A210,kurspris!$A$1:$Q$950,8,FALSE)</f>
        <v>0</v>
      </c>
      <c r="AJ210" s="31">
        <f>VLOOKUP($A210,kurspris!$A$1:$Q$950,9,FALSE)</f>
        <v>0</v>
      </c>
      <c r="AK210" s="31">
        <f>VLOOKUP($A210,kurspris!$A$1:$Q$950,10,FALSE)</f>
        <v>0</v>
      </c>
      <c r="AL210" s="31">
        <f>VLOOKUP($A210,kurspris!$A$1:$Q$950,11,FALSE)</f>
        <v>0</v>
      </c>
      <c r="AM210" s="31">
        <f>VLOOKUP($A210,kurspris!$A$1:$Q$950,12,FALSE)</f>
        <v>0</v>
      </c>
      <c r="AN210" s="31">
        <f>VLOOKUP($A210,kurspris!$A$1:$Q$950,13,FALSE)</f>
        <v>0</v>
      </c>
      <c r="AO210" s="31">
        <f>VLOOKUP($A210,kurspris!$A$1:$Q$950,14,FALSE)</f>
        <v>0</v>
      </c>
      <c r="AP210" s="57" t="s">
        <v>2402</v>
      </c>
      <c r="AQ210"/>
      <c r="AR210" s="31">
        <f t="shared" si="94"/>
        <v>0</v>
      </c>
      <c r="AS210" s="219">
        <f t="shared" si="95"/>
        <v>0</v>
      </c>
      <c r="AT210" s="31">
        <f t="shared" si="96"/>
        <v>13.5</v>
      </c>
      <c r="AU210" s="219">
        <f t="shared" si="97"/>
        <v>11.475</v>
      </c>
      <c r="AV210" s="31">
        <f t="shared" si="98"/>
        <v>0</v>
      </c>
      <c r="AW210" s="31">
        <f t="shared" si="99"/>
        <v>0</v>
      </c>
      <c r="AX210" s="31">
        <f t="shared" si="100"/>
        <v>0</v>
      </c>
      <c r="AY210" s="219">
        <f t="shared" si="101"/>
        <v>0</v>
      </c>
      <c r="AZ210" s="196">
        <f t="shared" si="102"/>
        <v>0</v>
      </c>
      <c r="BA210" s="219">
        <f t="shared" si="103"/>
        <v>0</v>
      </c>
      <c r="BB210" s="31">
        <f t="shared" si="104"/>
        <v>0</v>
      </c>
      <c r="BC210" s="219">
        <f t="shared" si="105"/>
        <v>0</v>
      </c>
      <c r="BD210" s="31">
        <f t="shared" si="106"/>
        <v>0</v>
      </c>
      <c r="BE210" s="219">
        <f t="shared" si="107"/>
        <v>0</v>
      </c>
      <c r="BF210" s="31">
        <f t="shared" si="108"/>
        <v>0</v>
      </c>
      <c r="BG210" s="219">
        <f t="shared" si="109"/>
        <v>0</v>
      </c>
      <c r="BH210" s="31">
        <f t="shared" si="110"/>
        <v>0</v>
      </c>
      <c r="BI210" s="219">
        <f t="shared" si="111"/>
        <v>0</v>
      </c>
      <c r="BJ210" s="31">
        <f t="shared" si="112"/>
        <v>0</v>
      </c>
      <c r="BK210" s="219">
        <f t="shared" si="113"/>
        <v>0</v>
      </c>
      <c r="BL210" s="31">
        <f t="shared" si="114"/>
        <v>0</v>
      </c>
      <c r="BM210" s="219">
        <f t="shared" si="115"/>
        <v>0</v>
      </c>
      <c r="BN210" s="31">
        <f t="shared" si="116"/>
        <v>0</v>
      </c>
      <c r="BO210" s="219">
        <f t="shared" si="117"/>
        <v>0</v>
      </c>
    </row>
    <row r="211" spans="1:67" x14ac:dyDescent="0.25">
      <c r="A211" s="31" t="s">
        <v>1981</v>
      </c>
      <c r="B211" s="176" t="str">
        <f>VLOOKUP(A211,kurspris!$A$1:$B$992,2,FALSE)</f>
        <v>Historia 1</v>
      </c>
      <c r="C211" s="31">
        <v>71603</v>
      </c>
      <c r="D211" s="60" t="s">
        <v>482</v>
      </c>
      <c r="E211" s="60"/>
      <c r="F211" s="57" t="s">
        <v>2274</v>
      </c>
      <c r="H211" s="31" t="s">
        <v>2335</v>
      </c>
      <c r="I211" s="31" t="s">
        <v>2399</v>
      </c>
      <c r="J211" s="31" t="s">
        <v>2239</v>
      </c>
      <c r="L211" s="38"/>
      <c r="M211">
        <v>30</v>
      </c>
      <c r="P211" s="31">
        <v>1</v>
      </c>
      <c r="Q211" s="539">
        <v>0.5</v>
      </c>
      <c r="R211" s="38">
        <v>0.85</v>
      </c>
      <c r="S211" s="280">
        <f t="shared" si="90"/>
        <v>0.42499999999999999</v>
      </c>
      <c r="T211" s="31">
        <f>VLOOKUP(A211,'Ansvar kurs'!$A$1:$C$1123,2,FALSE)</f>
        <v>1630</v>
      </c>
      <c r="U211" s="31" t="str">
        <f>VLOOKUP(T211,Orgenheter!$A$1:$C$166,2,FALSE)</f>
        <v>Inst för ide- o samhällsstudier</v>
      </c>
      <c r="V211" s="31" t="str">
        <f>VLOOKUP(T211,Orgenheter!$A$1:$C$166,3,FALSE)</f>
        <v>Hum</v>
      </c>
      <c r="W211" s="35" t="str">
        <f>VLOOKUP(D211,Program!$A$1:$B$36,2,FALSE)</f>
        <v>Ämneslärarprogrammet - Gy</v>
      </c>
      <c r="X211" s="40">
        <f>VLOOKUP(A211,kurspris!$A$1:$Q$913,15,FALSE)</f>
        <v>20766</v>
      </c>
      <c r="Y211" s="40">
        <f>VLOOKUP(A211,kurspris!$A$1:$Q$913,16,FALSE)</f>
        <v>17442</v>
      </c>
      <c r="Z211" s="40">
        <f t="shared" si="91"/>
        <v>17795.849999999999</v>
      </c>
      <c r="AA211" s="40">
        <f>VLOOKUP(A211,kurspris!$A$1:$Q$913,17,FALSE)</f>
        <v>6000</v>
      </c>
      <c r="AB211" s="40">
        <f t="shared" si="92"/>
        <v>3000</v>
      </c>
      <c r="AC211" s="40">
        <f t="shared" si="93"/>
        <v>20795.849999999999</v>
      </c>
      <c r="AD211" s="31">
        <f>VLOOKUP($A211,kurspris!$A$1:$Q$950,3,FALSE)</f>
        <v>0</v>
      </c>
      <c r="AE211" s="31">
        <f>VLOOKUP($A211,kurspris!$A$1:$Q$950,4,FALSE)</f>
        <v>1</v>
      </c>
      <c r="AF211" s="31">
        <f>VLOOKUP($A211,kurspris!$A$1:$Q$950,5,FALSE)</f>
        <v>0</v>
      </c>
      <c r="AG211" s="31">
        <f>VLOOKUP($A211,kurspris!$A$1:$Q$950,6,FALSE)</f>
        <v>0</v>
      </c>
      <c r="AH211" s="31">
        <f>VLOOKUP($A211,kurspris!$A$1:$Q$950,7,FALSE)</f>
        <v>0</v>
      </c>
      <c r="AI211" s="31">
        <f>VLOOKUP($A211,kurspris!$A$1:$Q$950,8,FALSE)</f>
        <v>0</v>
      </c>
      <c r="AJ211" s="31">
        <f>VLOOKUP($A211,kurspris!$A$1:$Q$950,9,FALSE)</f>
        <v>0</v>
      </c>
      <c r="AK211" s="31">
        <f>VLOOKUP($A211,kurspris!$A$1:$Q$950,10,FALSE)</f>
        <v>0</v>
      </c>
      <c r="AL211" s="31">
        <f>VLOOKUP($A211,kurspris!$A$1:$Q$950,11,FALSE)</f>
        <v>0</v>
      </c>
      <c r="AM211" s="31">
        <f>VLOOKUP($A211,kurspris!$A$1:$Q$950,12,FALSE)</f>
        <v>0</v>
      </c>
      <c r="AN211" s="31">
        <f>VLOOKUP($A211,kurspris!$A$1:$Q$950,13,FALSE)</f>
        <v>0</v>
      </c>
      <c r="AO211" s="31">
        <f>VLOOKUP($A211,kurspris!$A$1:$Q$950,14,FALSE)</f>
        <v>0</v>
      </c>
      <c r="AP211" s="57" t="s">
        <v>2402</v>
      </c>
      <c r="AQ211"/>
      <c r="AR211" s="31">
        <f t="shared" si="94"/>
        <v>0</v>
      </c>
      <c r="AS211" s="219">
        <f t="shared" si="95"/>
        <v>0</v>
      </c>
      <c r="AT211" s="31">
        <f t="shared" si="96"/>
        <v>0.5</v>
      </c>
      <c r="AU211" s="219">
        <f t="shared" si="97"/>
        <v>0.42499999999999999</v>
      </c>
      <c r="AV211" s="31">
        <f t="shared" si="98"/>
        <v>0</v>
      </c>
      <c r="AW211" s="31">
        <f t="shared" si="99"/>
        <v>0</v>
      </c>
      <c r="AX211" s="31">
        <f t="shared" si="100"/>
        <v>0</v>
      </c>
      <c r="AY211" s="219">
        <f t="shared" si="101"/>
        <v>0</v>
      </c>
      <c r="AZ211" s="196">
        <f t="shared" si="102"/>
        <v>0</v>
      </c>
      <c r="BA211" s="219">
        <f t="shared" si="103"/>
        <v>0</v>
      </c>
      <c r="BB211" s="31">
        <f t="shared" si="104"/>
        <v>0</v>
      </c>
      <c r="BC211" s="219">
        <f t="shared" si="105"/>
        <v>0</v>
      </c>
      <c r="BD211" s="31">
        <f t="shared" si="106"/>
        <v>0</v>
      </c>
      <c r="BE211" s="219">
        <f t="shared" si="107"/>
        <v>0</v>
      </c>
      <c r="BF211" s="31">
        <f t="shared" si="108"/>
        <v>0</v>
      </c>
      <c r="BG211" s="219">
        <f t="shared" si="109"/>
        <v>0</v>
      </c>
      <c r="BH211" s="31">
        <f t="shared" si="110"/>
        <v>0</v>
      </c>
      <c r="BI211" s="219">
        <f t="shared" si="111"/>
        <v>0</v>
      </c>
      <c r="BJ211" s="31">
        <f t="shared" si="112"/>
        <v>0</v>
      </c>
      <c r="BK211" s="219">
        <f t="shared" si="113"/>
        <v>0</v>
      </c>
      <c r="BL211" s="31">
        <f t="shared" si="114"/>
        <v>0</v>
      </c>
      <c r="BM211" s="219">
        <f t="shared" si="115"/>
        <v>0</v>
      </c>
      <c r="BN211" s="31">
        <f t="shared" si="116"/>
        <v>0</v>
      </c>
      <c r="BO211" s="219">
        <f t="shared" si="117"/>
        <v>0</v>
      </c>
    </row>
    <row r="212" spans="1:67" x14ac:dyDescent="0.25">
      <c r="A212" s="31" t="s">
        <v>1981</v>
      </c>
      <c r="B212" s="176" t="str">
        <f>VLOOKUP(A212,kurspris!$A$1:$B$992,2,FALSE)</f>
        <v>Historia 1</v>
      </c>
      <c r="C212" s="31">
        <v>71603</v>
      </c>
      <c r="D212" s="60" t="s">
        <v>482</v>
      </c>
      <c r="E212" s="60"/>
      <c r="F212" s="57" t="s">
        <v>2274</v>
      </c>
      <c r="H212" s="31" t="s">
        <v>2335</v>
      </c>
      <c r="I212" s="31" t="s">
        <v>2399</v>
      </c>
      <c r="J212" s="31" t="s">
        <v>2242</v>
      </c>
      <c r="L212" s="38"/>
      <c r="M212">
        <v>30</v>
      </c>
      <c r="P212" s="31">
        <v>5</v>
      </c>
      <c r="Q212" s="539">
        <v>2.5</v>
      </c>
      <c r="R212" s="38">
        <v>0.85</v>
      </c>
      <c r="S212" s="280">
        <f t="shared" si="90"/>
        <v>2.125</v>
      </c>
      <c r="T212" s="31">
        <f>VLOOKUP(A212,'Ansvar kurs'!$A$1:$C$1123,2,FALSE)</f>
        <v>1630</v>
      </c>
      <c r="U212" s="31" t="str">
        <f>VLOOKUP(T212,Orgenheter!$A$1:$C$166,2,FALSE)</f>
        <v>Inst för ide- o samhällsstudier</v>
      </c>
      <c r="V212" s="31" t="str">
        <f>VLOOKUP(T212,Orgenheter!$A$1:$C$166,3,FALSE)</f>
        <v>Hum</v>
      </c>
      <c r="W212" s="35" t="str">
        <f>VLOOKUP(D212,Program!$A$1:$B$36,2,FALSE)</f>
        <v>Ämneslärarprogrammet - Gy</v>
      </c>
      <c r="X212" s="40">
        <f>VLOOKUP(A212,kurspris!$A$1:$Q$913,15,FALSE)</f>
        <v>20766</v>
      </c>
      <c r="Y212" s="40">
        <f>VLOOKUP(A212,kurspris!$A$1:$Q$913,16,FALSE)</f>
        <v>17442</v>
      </c>
      <c r="Z212" s="40">
        <f t="shared" si="91"/>
        <v>88979.25</v>
      </c>
      <c r="AA212" s="40">
        <f>VLOOKUP(A212,kurspris!$A$1:$Q$913,17,FALSE)</f>
        <v>6000</v>
      </c>
      <c r="AB212" s="40">
        <f t="shared" si="92"/>
        <v>15000</v>
      </c>
      <c r="AC212" s="40">
        <f t="shared" si="93"/>
        <v>103979.25</v>
      </c>
      <c r="AD212" s="31">
        <f>VLOOKUP($A212,kurspris!$A$1:$Q$950,3,FALSE)</f>
        <v>0</v>
      </c>
      <c r="AE212" s="31">
        <f>VLOOKUP($A212,kurspris!$A$1:$Q$950,4,FALSE)</f>
        <v>1</v>
      </c>
      <c r="AF212" s="31">
        <f>VLOOKUP($A212,kurspris!$A$1:$Q$950,5,FALSE)</f>
        <v>0</v>
      </c>
      <c r="AG212" s="31">
        <f>VLOOKUP($A212,kurspris!$A$1:$Q$950,6,FALSE)</f>
        <v>0</v>
      </c>
      <c r="AH212" s="31">
        <f>VLOOKUP($A212,kurspris!$A$1:$Q$950,7,FALSE)</f>
        <v>0</v>
      </c>
      <c r="AI212" s="31">
        <f>VLOOKUP($A212,kurspris!$A$1:$Q$950,8,FALSE)</f>
        <v>0</v>
      </c>
      <c r="AJ212" s="31">
        <f>VLOOKUP($A212,kurspris!$A$1:$Q$950,9,FALSE)</f>
        <v>0</v>
      </c>
      <c r="AK212" s="31">
        <f>VLOOKUP($A212,kurspris!$A$1:$Q$950,10,FALSE)</f>
        <v>0</v>
      </c>
      <c r="AL212" s="31">
        <f>VLOOKUP($A212,kurspris!$A$1:$Q$950,11,FALSE)</f>
        <v>0</v>
      </c>
      <c r="AM212" s="31">
        <f>VLOOKUP($A212,kurspris!$A$1:$Q$950,12,FALSE)</f>
        <v>0</v>
      </c>
      <c r="AN212" s="31">
        <f>VLOOKUP($A212,kurspris!$A$1:$Q$950,13,FALSE)</f>
        <v>0</v>
      </c>
      <c r="AO212" s="31">
        <f>VLOOKUP($A212,kurspris!$A$1:$Q$950,14,FALSE)</f>
        <v>0</v>
      </c>
      <c r="AP212" s="57" t="s">
        <v>2402</v>
      </c>
      <c r="AQ212"/>
      <c r="AR212" s="31">
        <f t="shared" si="94"/>
        <v>0</v>
      </c>
      <c r="AS212" s="219">
        <f t="shared" si="95"/>
        <v>0</v>
      </c>
      <c r="AT212" s="31">
        <f t="shared" si="96"/>
        <v>2.5</v>
      </c>
      <c r="AU212" s="219">
        <f t="shared" si="97"/>
        <v>2.125</v>
      </c>
      <c r="AV212" s="31">
        <f t="shared" si="98"/>
        <v>0</v>
      </c>
      <c r="AW212" s="31">
        <f t="shared" si="99"/>
        <v>0</v>
      </c>
      <c r="AX212" s="31">
        <f t="shared" si="100"/>
        <v>0</v>
      </c>
      <c r="AY212" s="219">
        <f t="shared" si="101"/>
        <v>0</v>
      </c>
      <c r="AZ212" s="196">
        <f t="shared" si="102"/>
        <v>0</v>
      </c>
      <c r="BA212" s="219">
        <f t="shared" si="103"/>
        <v>0</v>
      </c>
      <c r="BB212" s="31">
        <f t="shared" si="104"/>
        <v>0</v>
      </c>
      <c r="BC212" s="219">
        <f t="shared" si="105"/>
        <v>0</v>
      </c>
      <c r="BD212" s="31">
        <f t="shared" si="106"/>
        <v>0</v>
      </c>
      <c r="BE212" s="219">
        <f t="shared" si="107"/>
        <v>0</v>
      </c>
      <c r="BF212" s="31">
        <f t="shared" si="108"/>
        <v>0</v>
      </c>
      <c r="BG212" s="219">
        <f t="shared" si="109"/>
        <v>0</v>
      </c>
      <c r="BH212" s="31">
        <f t="shared" si="110"/>
        <v>0</v>
      </c>
      <c r="BI212" s="219">
        <f t="shared" si="111"/>
        <v>0</v>
      </c>
      <c r="BJ212" s="31">
        <f t="shared" si="112"/>
        <v>0</v>
      </c>
      <c r="BK212" s="219">
        <f t="shared" si="113"/>
        <v>0</v>
      </c>
      <c r="BL212" s="31">
        <f t="shared" si="114"/>
        <v>0</v>
      </c>
      <c r="BM212" s="219">
        <f t="shared" si="115"/>
        <v>0</v>
      </c>
      <c r="BN212" s="31">
        <f t="shared" si="116"/>
        <v>0</v>
      </c>
      <c r="BO212" s="219">
        <f t="shared" si="117"/>
        <v>0</v>
      </c>
    </row>
    <row r="213" spans="1:67" x14ac:dyDescent="0.25">
      <c r="A213" s="31" t="s">
        <v>1981</v>
      </c>
      <c r="B213" s="176" t="str">
        <f>VLOOKUP(A213,kurspris!$A$1:$B$992,2,FALSE)</f>
        <v>Historia 1</v>
      </c>
      <c r="C213" s="31">
        <v>71603</v>
      </c>
      <c r="D213" s="60" t="s">
        <v>482</v>
      </c>
      <c r="E213" s="60"/>
      <c r="F213" s="57" t="s">
        <v>2274</v>
      </c>
      <c r="H213" s="31" t="s">
        <v>2335</v>
      </c>
      <c r="I213" s="31" t="s">
        <v>2399</v>
      </c>
      <c r="J213" s="31" t="s">
        <v>2240</v>
      </c>
      <c r="L213" s="38"/>
      <c r="M213">
        <v>30</v>
      </c>
      <c r="P213" s="31">
        <v>1</v>
      </c>
      <c r="Q213" s="539">
        <v>0.5</v>
      </c>
      <c r="R213" s="38">
        <v>0.85</v>
      </c>
      <c r="S213" s="280">
        <f t="shared" si="90"/>
        <v>0.42499999999999999</v>
      </c>
      <c r="T213" s="31">
        <f>VLOOKUP(A213,'Ansvar kurs'!$A$1:$C$1123,2,FALSE)</f>
        <v>1630</v>
      </c>
      <c r="U213" s="31" t="str">
        <f>VLOOKUP(T213,Orgenheter!$A$1:$C$166,2,FALSE)</f>
        <v>Inst för ide- o samhällsstudier</v>
      </c>
      <c r="V213" s="31" t="str">
        <f>VLOOKUP(T213,Orgenheter!$A$1:$C$166,3,FALSE)</f>
        <v>Hum</v>
      </c>
      <c r="W213" s="35" t="str">
        <f>VLOOKUP(D213,Program!$A$1:$B$36,2,FALSE)</f>
        <v>Ämneslärarprogrammet - Gy</v>
      </c>
      <c r="X213" s="40">
        <f>VLOOKUP(A213,kurspris!$A$1:$Q$913,15,FALSE)</f>
        <v>20766</v>
      </c>
      <c r="Y213" s="40">
        <f>VLOOKUP(A213,kurspris!$A$1:$Q$913,16,FALSE)</f>
        <v>17442</v>
      </c>
      <c r="Z213" s="40">
        <f t="shared" si="91"/>
        <v>17795.849999999999</v>
      </c>
      <c r="AA213" s="40">
        <f>VLOOKUP(A213,kurspris!$A$1:$Q$913,17,FALSE)</f>
        <v>6000</v>
      </c>
      <c r="AB213" s="40">
        <f t="shared" si="92"/>
        <v>3000</v>
      </c>
      <c r="AC213" s="40">
        <f t="shared" si="93"/>
        <v>20795.849999999999</v>
      </c>
      <c r="AD213" s="31">
        <f>VLOOKUP($A213,kurspris!$A$1:$Q$950,3,FALSE)</f>
        <v>0</v>
      </c>
      <c r="AE213" s="31">
        <f>VLOOKUP($A213,kurspris!$A$1:$Q$950,4,FALSE)</f>
        <v>1</v>
      </c>
      <c r="AF213" s="31">
        <f>VLOOKUP($A213,kurspris!$A$1:$Q$950,5,FALSE)</f>
        <v>0</v>
      </c>
      <c r="AG213" s="31">
        <f>VLOOKUP($A213,kurspris!$A$1:$Q$950,6,FALSE)</f>
        <v>0</v>
      </c>
      <c r="AH213" s="31">
        <f>VLOOKUP($A213,kurspris!$A$1:$Q$950,7,FALSE)</f>
        <v>0</v>
      </c>
      <c r="AI213" s="31">
        <f>VLOOKUP($A213,kurspris!$A$1:$Q$950,8,FALSE)</f>
        <v>0</v>
      </c>
      <c r="AJ213" s="31">
        <f>VLOOKUP($A213,kurspris!$A$1:$Q$950,9,FALSE)</f>
        <v>0</v>
      </c>
      <c r="AK213" s="31">
        <f>VLOOKUP($A213,kurspris!$A$1:$Q$950,10,FALSE)</f>
        <v>0</v>
      </c>
      <c r="AL213" s="31">
        <f>VLOOKUP($A213,kurspris!$A$1:$Q$950,11,FALSE)</f>
        <v>0</v>
      </c>
      <c r="AM213" s="31">
        <f>VLOOKUP($A213,kurspris!$A$1:$Q$950,12,FALSE)</f>
        <v>0</v>
      </c>
      <c r="AN213" s="31">
        <f>VLOOKUP($A213,kurspris!$A$1:$Q$950,13,FALSE)</f>
        <v>0</v>
      </c>
      <c r="AO213" s="31">
        <f>VLOOKUP($A213,kurspris!$A$1:$Q$950,14,FALSE)</f>
        <v>0</v>
      </c>
      <c r="AP213" s="57" t="s">
        <v>2402</v>
      </c>
      <c r="AQ213"/>
      <c r="AR213" s="31">
        <f t="shared" si="94"/>
        <v>0</v>
      </c>
      <c r="AS213" s="219">
        <f t="shared" si="95"/>
        <v>0</v>
      </c>
      <c r="AT213" s="31">
        <f t="shared" si="96"/>
        <v>0.5</v>
      </c>
      <c r="AU213" s="219">
        <f t="shared" si="97"/>
        <v>0.42499999999999999</v>
      </c>
      <c r="AV213" s="31">
        <f t="shared" si="98"/>
        <v>0</v>
      </c>
      <c r="AW213" s="31">
        <f t="shared" si="99"/>
        <v>0</v>
      </c>
      <c r="AX213" s="31">
        <f t="shared" si="100"/>
        <v>0</v>
      </c>
      <c r="AY213" s="219">
        <f t="shared" si="101"/>
        <v>0</v>
      </c>
      <c r="AZ213" s="196">
        <f t="shared" si="102"/>
        <v>0</v>
      </c>
      <c r="BA213" s="219">
        <f t="shared" si="103"/>
        <v>0</v>
      </c>
      <c r="BB213" s="31">
        <f t="shared" si="104"/>
        <v>0</v>
      </c>
      <c r="BC213" s="219">
        <f t="shared" si="105"/>
        <v>0</v>
      </c>
      <c r="BD213" s="31">
        <f t="shared" si="106"/>
        <v>0</v>
      </c>
      <c r="BE213" s="219">
        <f t="shared" si="107"/>
        <v>0</v>
      </c>
      <c r="BF213" s="31">
        <f t="shared" si="108"/>
        <v>0</v>
      </c>
      <c r="BG213" s="219">
        <f t="shared" si="109"/>
        <v>0</v>
      </c>
      <c r="BH213" s="31">
        <f t="shared" si="110"/>
        <v>0</v>
      </c>
      <c r="BI213" s="219">
        <f t="shared" si="111"/>
        <v>0</v>
      </c>
      <c r="BJ213" s="31">
        <f t="shared" si="112"/>
        <v>0</v>
      </c>
      <c r="BK213" s="219">
        <f t="shared" si="113"/>
        <v>0</v>
      </c>
      <c r="BL213" s="31">
        <f t="shared" si="114"/>
        <v>0</v>
      </c>
      <c r="BM213" s="219">
        <f t="shared" si="115"/>
        <v>0</v>
      </c>
      <c r="BN213" s="31">
        <f t="shared" si="116"/>
        <v>0</v>
      </c>
      <c r="BO213" s="219">
        <f t="shared" si="117"/>
        <v>0</v>
      </c>
    </row>
    <row r="214" spans="1:67" x14ac:dyDescent="0.25">
      <c r="A214" s="31" t="s">
        <v>1981</v>
      </c>
      <c r="B214" s="176" t="str">
        <f>VLOOKUP(A214,kurspris!$A$1:$B$992,2,FALSE)</f>
        <v>Historia 1</v>
      </c>
      <c r="C214" s="31">
        <v>71603</v>
      </c>
      <c r="D214" s="60" t="s">
        <v>482</v>
      </c>
      <c r="E214" s="60"/>
      <c r="F214" s="57" t="s">
        <v>2274</v>
      </c>
      <c r="H214" s="31" t="s">
        <v>2335</v>
      </c>
      <c r="I214" s="31" t="s">
        <v>2399</v>
      </c>
      <c r="L214" s="38"/>
      <c r="M214">
        <v>30</v>
      </c>
      <c r="P214" s="31">
        <v>1</v>
      </c>
      <c r="Q214" s="539">
        <v>0.5</v>
      </c>
      <c r="R214" s="38">
        <v>0.85</v>
      </c>
      <c r="S214" s="280">
        <f t="shared" si="90"/>
        <v>0.42499999999999999</v>
      </c>
      <c r="T214" s="31">
        <f>VLOOKUP(A214,'Ansvar kurs'!$A$1:$C$1123,2,FALSE)</f>
        <v>1630</v>
      </c>
      <c r="U214" s="31" t="str">
        <f>VLOOKUP(T214,Orgenheter!$A$1:$C$166,2,FALSE)</f>
        <v>Inst för ide- o samhällsstudier</v>
      </c>
      <c r="V214" s="31" t="str">
        <f>VLOOKUP(T214,Orgenheter!$A$1:$C$166,3,FALSE)</f>
        <v>Hum</v>
      </c>
      <c r="W214" s="35" t="str">
        <f>VLOOKUP(D214,Program!$A$1:$B$36,2,FALSE)</f>
        <v>Ämneslärarprogrammet - Gy</v>
      </c>
      <c r="X214" s="40">
        <f>VLOOKUP(A214,kurspris!$A$1:$Q$913,15,FALSE)</f>
        <v>20766</v>
      </c>
      <c r="Y214" s="40">
        <f>VLOOKUP(A214,kurspris!$A$1:$Q$913,16,FALSE)</f>
        <v>17442</v>
      </c>
      <c r="Z214" s="40">
        <f t="shared" si="91"/>
        <v>17795.849999999999</v>
      </c>
      <c r="AA214" s="40">
        <f>VLOOKUP(A214,kurspris!$A$1:$Q$913,17,FALSE)</f>
        <v>6000</v>
      </c>
      <c r="AB214" s="40">
        <f t="shared" si="92"/>
        <v>3000</v>
      </c>
      <c r="AC214" s="40">
        <f t="shared" si="93"/>
        <v>20795.849999999999</v>
      </c>
      <c r="AD214" s="31">
        <f>VLOOKUP($A214,kurspris!$A$1:$Q$950,3,FALSE)</f>
        <v>0</v>
      </c>
      <c r="AE214" s="31">
        <f>VLOOKUP($A214,kurspris!$A$1:$Q$950,4,FALSE)</f>
        <v>1</v>
      </c>
      <c r="AF214" s="31">
        <f>VLOOKUP($A214,kurspris!$A$1:$Q$950,5,FALSE)</f>
        <v>0</v>
      </c>
      <c r="AG214" s="31">
        <f>VLOOKUP($A214,kurspris!$A$1:$Q$950,6,FALSE)</f>
        <v>0</v>
      </c>
      <c r="AH214" s="31">
        <f>VLOOKUP($A214,kurspris!$A$1:$Q$950,7,FALSE)</f>
        <v>0</v>
      </c>
      <c r="AI214" s="31">
        <f>VLOOKUP($A214,kurspris!$A$1:$Q$950,8,FALSE)</f>
        <v>0</v>
      </c>
      <c r="AJ214" s="31">
        <f>VLOOKUP($A214,kurspris!$A$1:$Q$950,9,FALSE)</f>
        <v>0</v>
      </c>
      <c r="AK214" s="31">
        <f>VLOOKUP($A214,kurspris!$A$1:$Q$950,10,FALSE)</f>
        <v>0</v>
      </c>
      <c r="AL214" s="31">
        <f>VLOOKUP($A214,kurspris!$A$1:$Q$950,11,FALSE)</f>
        <v>0</v>
      </c>
      <c r="AM214" s="31">
        <f>VLOOKUP($A214,kurspris!$A$1:$Q$950,12,FALSE)</f>
        <v>0</v>
      </c>
      <c r="AN214" s="31">
        <f>VLOOKUP($A214,kurspris!$A$1:$Q$950,13,FALSE)</f>
        <v>0</v>
      </c>
      <c r="AO214" s="31">
        <f>VLOOKUP($A214,kurspris!$A$1:$Q$950,14,FALSE)</f>
        <v>0</v>
      </c>
      <c r="AP214" s="57" t="s">
        <v>2402</v>
      </c>
      <c r="AQ214"/>
      <c r="AR214" s="31">
        <f t="shared" si="94"/>
        <v>0</v>
      </c>
      <c r="AS214" s="219">
        <f t="shared" si="95"/>
        <v>0</v>
      </c>
      <c r="AT214" s="31">
        <f t="shared" si="96"/>
        <v>0.5</v>
      </c>
      <c r="AU214" s="219">
        <f t="shared" si="97"/>
        <v>0.42499999999999999</v>
      </c>
      <c r="AV214" s="31">
        <f t="shared" si="98"/>
        <v>0</v>
      </c>
      <c r="AW214" s="31">
        <f t="shared" si="99"/>
        <v>0</v>
      </c>
      <c r="AX214" s="31">
        <f t="shared" si="100"/>
        <v>0</v>
      </c>
      <c r="AY214" s="219">
        <f t="shared" si="101"/>
        <v>0</v>
      </c>
      <c r="AZ214" s="196">
        <f t="shared" si="102"/>
        <v>0</v>
      </c>
      <c r="BA214" s="219">
        <f t="shared" si="103"/>
        <v>0</v>
      </c>
      <c r="BB214" s="31">
        <f t="shared" si="104"/>
        <v>0</v>
      </c>
      <c r="BC214" s="219">
        <f t="shared" si="105"/>
        <v>0</v>
      </c>
      <c r="BD214" s="31">
        <f t="shared" si="106"/>
        <v>0</v>
      </c>
      <c r="BE214" s="219">
        <f t="shared" si="107"/>
        <v>0</v>
      </c>
      <c r="BF214" s="31">
        <f t="shared" si="108"/>
        <v>0</v>
      </c>
      <c r="BG214" s="219">
        <f t="shared" si="109"/>
        <v>0</v>
      </c>
      <c r="BH214" s="31">
        <f t="shared" si="110"/>
        <v>0</v>
      </c>
      <c r="BI214" s="219">
        <f t="shared" si="111"/>
        <v>0</v>
      </c>
      <c r="BJ214" s="31">
        <f t="shared" si="112"/>
        <v>0</v>
      </c>
      <c r="BK214" s="219">
        <f t="shared" si="113"/>
        <v>0</v>
      </c>
      <c r="BL214" s="31">
        <f t="shared" si="114"/>
        <v>0</v>
      </c>
      <c r="BM214" s="219">
        <f t="shared" si="115"/>
        <v>0</v>
      </c>
      <c r="BN214" s="31">
        <f t="shared" si="116"/>
        <v>0</v>
      </c>
      <c r="BO214" s="219">
        <f t="shared" si="117"/>
        <v>0</v>
      </c>
    </row>
    <row r="215" spans="1:67" x14ac:dyDescent="0.25">
      <c r="A215" s="31" t="s">
        <v>1982</v>
      </c>
      <c r="B215" s="176" t="str">
        <f>VLOOKUP(A215,kurspris!$A$1:$B$992,2,FALSE)</f>
        <v>Historia 3</v>
      </c>
      <c r="C215" s="31">
        <v>71601</v>
      </c>
      <c r="D215" s="60" t="s">
        <v>482</v>
      </c>
      <c r="E215" s="60"/>
      <c r="F215" s="57" t="s">
        <v>2274</v>
      </c>
      <c r="H215" s="31" t="s">
        <v>2335</v>
      </c>
      <c r="I215" s="31" t="s">
        <v>2399</v>
      </c>
      <c r="J215" s="31" t="s">
        <v>2231</v>
      </c>
      <c r="L215" s="38"/>
      <c r="M215">
        <v>30</v>
      </c>
      <c r="P215" s="31">
        <v>4</v>
      </c>
      <c r="Q215" s="539">
        <v>2</v>
      </c>
      <c r="R215" s="38">
        <v>0.85</v>
      </c>
      <c r="S215" s="280">
        <f t="shared" si="90"/>
        <v>1.7</v>
      </c>
      <c r="T215" s="31">
        <f>VLOOKUP(A215,'Ansvar kurs'!$A$1:$C$1123,2,FALSE)</f>
        <v>1630</v>
      </c>
      <c r="U215" s="31" t="str">
        <f>VLOOKUP(T215,Orgenheter!$A$1:$C$166,2,FALSE)</f>
        <v>Inst för ide- o samhällsstudier</v>
      </c>
      <c r="V215" s="31" t="str">
        <f>VLOOKUP(T215,Orgenheter!$A$1:$C$166,3,FALSE)</f>
        <v>Hum</v>
      </c>
      <c r="W215" s="35" t="str">
        <f>VLOOKUP(D215,Program!$A$1:$B$36,2,FALSE)</f>
        <v>Ämneslärarprogrammet - Gy</v>
      </c>
      <c r="X215" s="40">
        <f>VLOOKUP(A215,kurspris!$A$1:$Q$913,15,FALSE)</f>
        <v>20766</v>
      </c>
      <c r="Y215" s="40">
        <f>VLOOKUP(A215,kurspris!$A$1:$Q$913,16,FALSE)</f>
        <v>17442</v>
      </c>
      <c r="Z215" s="40">
        <f t="shared" si="91"/>
        <v>71183.399999999994</v>
      </c>
      <c r="AA215" s="40">
        <f>VLOOKUP(A215,kurspris!$A$1:$Q$913,17,FALSE)</f>
        <v>6000</v>
      </c>
      <c r="AB215" s="40">
        <f t="shared" si="92"/>
        <v>12000</v>
      </c>
      <c r="AC215" s="40">
        <f t="shared" si="93"/>
        <v>83183.399999999994</v>
      </c>
      <c r="AD215" s="31">
        <f>VLOOKUP($A215,kurspris!$A$1:$Q$950,3,FALSE)</f>
        <v>0</v>
      </c>
      <c r="AE215" s="31">
        <f>VLOOKUP($A215,kurspris!$A$1:$Q$950,4,FALSE)</f>
        <v>1</v>
      </c>
      <c r="AF215" s="31">
        <f>VLOOKUP($A215,kurspris!$A$1:$Q$950,5,FALSE)</f>
        <v>0</v>
      </c>
      <c r="AG215" s="31">
        <f>VLOOKUP($A215,kurspris!$A$1:$Q$950,6,FALSE)</f>
        <v>0</v>
      </c>
      <c r="AH215" s="31">
        <f>VLOOKUP($A215,kurspris!$A$1:$Q$950,7,FALSE)</f>
        <v>0</v>
      </c>
      <c r="AI215" s="31">
        <f>VLOOKUP($A215,kurspris!$A$1:$Q$950,8,FALSE)</f>
        <v>0</v>
      </c>
      <c r="AJ215" s="31">
        <f>VLOOKUP($A215,kurspris!$A$1:$Q$950,9,FALSE)</f>
        <v>0</v>
      </c>
      <c r="AK215" s="31">
        <f>VLOOKUP($A215,kurspris!$A$1:$Q$950,10,FALSE)</f>
        <v>0</v>
      </c>
      <c r="AL215" s="31">
        <f>VLOOKUP($A215,kurspris!$A$1:$Q$950,11,FALSE)</f>
        <v>0</v>
      </c>
      <c r="AM215" s="31">
        <f>VLOOKUP($A215,kurspris!$A$1:$Q$950,12,FALSE)</f>
        <v>0</v>
      </c>
      <c r="AN215" s="31">
        <f>VLOOKUP($A215,kurspris!$A$1:$Q$950,13,FALSE)</f>
        <v>0</v>
      </c>
      <c r="AO215" s="31">
        <f>VLOOKUP($A215,kurspris!$A$1:$Q$950,14,FALSE)</f>
        <v>0</v>
      </c>
      <c r="AP215" s="57" t="s">
        <v>2402</v>
      </c>
      <c r="AQ215"/>
      <c r="AR215" s="31">
        <f t="shared" si="94"/>
        <v>0</v>
      </c>
      <c r="AS215" s="219">
        <f t="shared" si="95"/>
        <v>0</v>
      </c>
      <c r="AT215" s="31">
        <f t="shared" si="96"/>
        <v>2</v>
      </c>
      <c r="AU215" s="219">
        <f t="shared" si="97"/>
        <v>1.7</v>
      </c>
      <c r="AV215" s="31">
        <f t="shared" si="98"/>
        <v>0</v>
      </c>
      <c r="AW215" s="31">
        <f t="shared" si="99"/>
        <v>0</v>
      </c>
      <c r="AX215" s="31">
        <f t="shared" si="100"/>
        <v>0</v>
      </c>
      <c r="AY215" s="219">
        <f t="shared" si="101"/>
        <v>0</v>
      </c>
      <c r="AZ215" s="196">
        <f t="shared" si="102"/>
        <v>0</v>
      </c>
      <c r="BA215" s="219">
        <f t="shared" si="103"/>
        <v>0</v>
      </c>
      <c r="BB215" s="31">
        <f t="shared" si="104"/>
        <v>0</v>
      </c>
      <c r="BC215" s="219">
        <f t="shared" si="105"/>
        <v>0</v>
      </c>
      <c r="BD215" s="31">
        <f t="shared" si="106"/>
        <v>0</v>
      </c>
      <c r="BE215" s="219">
        <f t="shared" si="107"/>
        <v>0</v>
      </c>
      <c r="BF215" s="31">
        <f t="shared" si="108"/>
        <v>0</v>
      </c>
      <c r="BG215" s="219">
        <f t="shared" si="109"/>
        <v>0</v>
      </c>
      <c r="BH215" s="31">
        <f t="shared" si="110"/>
        <v>0</v>
      </c>
      <c r="BI215" s="219">
        <f t="shared" si="111"/>
        <v>0</v>
      </c>
      <c r="BJ215" s="31">
        <f t="shared" si="112"/>
        <v>0</v>
      </c>
      <c r="BK215" s="219">
        <f t="shared" si="113"/>
        <v>0</v>
      </c>
      <c r="BL215" s="31">
        <f t="shared" si="114"/>
        <v>0</v>
      </c>
      <c r="BM215" s="219">
        <f t="shared" si="115"/>
        <v>0</v>
      </c>
      <c r="BN215" s="31">
        <f t="shared" si="116"/>
        <v>0</v>
      </c>
      <c r="BO215" s="219">
        <f t="shared" si="117"/>
        <v>0</v>
      </c>
    </row>
    <row r="216" spans="1:67" x14ac:dyDescent="0.25">
      <c r="A216" s="31" t="s">
        <v>1982</v>
      </c>
      <c r="B216" s="176" t="str">
        <f>VLOOKUP(A216,kurspris!$A$1:$B$992,2,FALSE)</f>
        <v>Historia 3</v>
      </c>
      <c r="C216" s="31">
        <v>71601</v>
      </c>
      <c r="D216" s="60" t="s">
        <v>482</v>
      </c>
      <c r="E216" s="60"/>
      <c r="F216" s="57" t="s">
        <v>2274</v>
      </c>
      <c r="H216" s="31" t="s">
        <v>2335</v>
      </c>
      <c r="I216" s="31" t="s">
        <v>2399</v>
      </c>
      <c r="J216" s="31" t="s">
        <v>2241</v>
      </c>
      <c r="L216" s="38"/>
      <c r="M216">
        <v>30</v>
      </c>
      <c r="P216" s="31">
        <v>22</v>
      </c>
      <c r="Q216" s="539">
        <v>11</v>
      </c>
      <c r="R216" s="38">
        <v>0.85</v>
      </c>
      <c r="S216" s="280">
        <f t="shared" si="90"/>
        <v>9.35</v>
      </c>
      <c r="T216" s="31">
        <f>VLOOKUP(A216,'Ansvar kurs'!$A$1:$C$1123,2,FALSE)</f>
        <v>1630</v>
      </c>
      <c r="U216" s="31" t="str">
        <f>VLOOKUP(T216,Orgenheter!$A$1:$C$166,2,FALSE)</f>
        <v>Inst för ide- o samhällsstudier</v>
      </c>
      <c r="V216" s="31" t="str">
        <f>VLOOKUP(T216,Orgenheter!$A$1:$C$166,3,FALSE)</f>
        <v>Hum</v>
      </c>
      <c r="W216" s="35" t="str">
        <f>VLOOKUP(D216,Program!$A$1:$B$36,2,FALSE)</f>
        <v>Ämneslärarprogrammet - Gy</v>
      </c>
      <c r="X216" s="40">
        <f>VLOOKUP(A216,kurspris!$A$1:$Q$913,15,FALSE)</f>
        <v>20766</v>
      </c>
      <c r="Y216" s="40">
        <f>VLOOKUP(A216,kurspris!$A$1:$Q$913,16,FALSE)</f>
        <v>17442</v>
      </c>
      <c r="Z216" s="40">
        <f t="shared" si="91"/>
        <v>391508.69999999995</v>
      </c>
      <c r="AA216" s="40">
        <f>VLOOKUP(A216,kurspris!$A$1:$Q$913,17,FALSE)</f>
        <v>6000</v>
      </c>
      <c r="AB216" s="40">
        <f t="shared" si="92"/>
        <v>66000</v>
      </c>
      <c r="AC216" s="40">
        <f t="shared" si="93"/>
        <v>457508.69999999995</v>
      </c>
      <c r="AD216" s="31">
        <f>VLOOKUP($A216,kurspris!$A$1:$Q$950,3,FALSE)</f>
        <v>0</v>
      </c>
      <c r="AE216" s="31">
        <f>VLOOKUP($A216,kurspris!$A$1:$Q$950,4,FALSE)</f>
        <v>1</v>
      </c>
      <c r="AF216" s="31">
        <f>VLOOKUP($A216,kurspris!$A$1:$Q$950,5,FALSE)</f>
        <v>0</v>
      </c>
      <c r="AG216" s="31">
        <f>VLOOKUP($A216,kurspris!$A$1:$Q$950,6,FALSE)</f>
        <v>0</v>
      </c>
      <c r="AH216" s="31">
        <f>VLOOKUP($A216,kurspris!$A$1:$Q$950,7,FALSE)</f>
        <v>0</v>
      </c>
      <c r="AI216" s="31">
        <f>VLOOKUP($A216,kurspris!$A$1:$Q$950,8,FALSE)</f>
        <v>0</v>
      </c>
      <c r="AJ216" s="31">
        <f>VLOOKUP($A216,kurspris!$A$1:$Q$950,9,FALSE)</f>
        <v>0</v>
      </c>
      <c r="AK216" s="31">
        <f>VLOOKUP($A216,kurspris!$A$1:$Q$950,10,FALSE)</f>
        <v>0</v>
      </c>
      <c r="AL216" s="31">
        <f>VLOOKUP($A216,kurspris!$A$1:$Q$950,11,FALSE)</f>
        <v>0</v>
      </c>
      <c r="AM216" s="31">
        <f>VLOOKUP($A216,kurspris!$A$1:$Q$950,12,FALSE)</f>
        <v>0</v>
      </c>
      <c r="AN216" s="31">
        <f>VLOOKUP($A216,kurspris!$A$1:$Q$950,13,FALSE)</f>
        <v>0</v>
      </c>
      <c r="AO216" s="31">
        <f>VLOOKUP($A216,kurspris!$A$1:$Q$950,14,FALSE)</f>
        <v>0</v>
      </c>
      <c r="AP216" s="57" t="s">
        <v>2402</v>
      </c>
      <c r="AQ216"/>
      <c r="AR216" s="31">
        <f t="shared" si="94"/>
        <v>0</v>
      </c>
      <c r="AS216" s="219">
        <f t="shared" si="95"/>
        <v>0</v>
      </c>
      <c r="AT216" s="31">
        <f t="shared" si="96"/>
        <v>11</v>
      </c>
      <c r="AU216" s="219">
        <f t="shared" si="97"/>
        <v>9.35</v>
      </c>
      <c r="AV216" s="31">
        <f t="shared" si="98"/>
        <v>0</v>
      </c>
      <c r="AW216" s="31">
        <f t="shared" si="99"/>
        <v>0</v>
      </c>
      <c r="AX216" s="31">
        <f t="shared" si="100"/>
        <v>0</v>
      </c>
      <c r="AY216" s="219">
        <f t="shared" si="101"/>
        <v>0</v>
      </c>
      <c r="AZ216" s="196">
        <f t="shared" si="102"/>
        <v>0</v>
      </c>
      <c r="BA216" s="219">
        <f t="shared" si="103"/>
        <v>0</v>
      </c>
      <c r="BB216" s="31">
        <f t="shared" si="104"/>
        <v>0</v>
      </c>
      <c r="BC216" s="219">
        <f t="shared" si="105"/>
        <v>0</v>
      </c>
      <c r="BD216" s="31">
        <f t="shared" si="106"/>
        <v>0</v>
      </c>
      <c r="BE216" s="219">
        <f t="shared" si="107"/>
        <v>0</v>
      </c>
      <c r="BF216" s="31">
        <f t="shared" si="108"/>
        <v>0</v>
      </c>
      <c r="BG216" s="219">
        <f t="shared" si="109"/>
        <v>0</v>
      </c>
      <c r="BH216" s="31">
        <f t="shared" si="110"/>
        <v>0</v>
      </c>
      <c r="BI216" s="219">
        <f t="shared" si="111"/>
        <v>0</v>
      </c>
      <c r="BJ216" s="31">
        <f t="shared" si="112"/>
        <v>0</v>
      </c>
      <c r="BK216" s="219">
        <f t="shared" si="113"/>
        <v>0</v>
      </c>
      <c r="BL216" s="31">
        <f t="shared" si="114"/>
        <v>0</v>
      </c>
      <c r="BM216" s="219">
        <f t="shared" si="115"/>
        <v>0</v>
      </c>
      <c r="BN216" s="31">
        <f t="shared" si="116"/>
        <v>0</v>
      </c>
      <c r="BO216" s="219">
        <f t="shared" si="117"/>
        <v>0</v>
      </c>
    </row>
    <row r="217" spans="1:67" x14ac:dyDescent="0.25">
      <c r="A217" s="31" t="s">
        <v>1982</v>
      </c>
      <c r="B217" s="176" t="str">
        <f>VLOOKUP(A217,kurspris!$A$1:$B$992,2,FALSE)</f>
        <v>Historia 3</v>
      </c>
      <c r="C217" s="31">
        <v>71601</v>
      </c>
      <c r="D217" s="60" t="s">
        <v>482</v>
      </c>
      <c r="E217" s="60"/>
      <c r="F217" s="57" t="s">
        <v>2274</v>
      </c>
      <c r="H217" s="31" t="s">
        <v>2335</v>
      </c>
      <c r="I217" s="31" t="s">
        <v>2399</v>
      </c>
      <c r="J217" s="31" t="s">
        <v>2232</v>
      </c>
      <c r="L217" s="38"/>
      <c r="M217">
        <v>30</v>
      </c>
      <c r="P217" s="31">
        <v>1</v>
      </c>
      <c r="Q217" s="539">
        <v>0.5</v>
      </c>
      <c r="R217" s="38">
        <v>0.85</v>
      </c>
      <c r="S217" s="280">
        <f t="shared" si="90"/>
        <v>0.42499999999999999</v>
      </c>
      <c r="T217" s="31">
        <f>VLOOKUP(A217,'Ansvar kurs'!$A$1:$C$1123,2,FALSE)</f>
        <v>1630</v>
      </c>
      <c r="U217" s="31" t="str">
        <f>VLOOKUP(T217,Orgenheter!$A$1:$C$166,2,FALSE)</f>
        <v>Inst för ide- o samhällsstudier</v>
      </c>
      <c r="V217" s="31" t="str">
        <f>VLOOKUP(T217,Orgenheter!$A$1:$C$166,3,FALSE)</f>
        <v>Hum</v>
      </c>
      <c r="W217" s="35" t="str">
        <f>VLOOKUP(D217,Program!$A$1:$B$36,2,FALSE)</f>
        <v>Ämneslärarprogrammet - Gy</v>
      </c>
      <c r="X217" s="40">
        <f>VLOOKUP(A217,kurspris!$A$1:$Q$913,15,FALSE)</f>
        <v>20766</v>
      </c>
      <c r="Y217" s="40">
        <f>VLOOKUP(A217,kurspris!$A$1:$Q$913,16,FALSE)</f>
        <v>17442</v>
      </c>
      <c r="Z217" s="40">
        <f t="shared" si="91"/>
        <v>17795.849999999999</v>
      </c>
      <c r="AA217" s="40">
        <f>VLOOKUP(A217,kurspris!$A$1:$Q$913,17,FALSE)</f>
        <v>6000</v>
      </c>
      <c r="AB217" s="40">
        <f t="shared" si="92"/>
        <v>3000</v>
      </c>
      <c r="AC217" s="40">
        <f t="shared" si="93"/>
        <v>20795.849999999999</v>
      </c>
      <c r="AD217" s="31">
        <f>VLOOKUP($A217,kurspris!$A$1:$Q$950,3,FALSE)</f>
        <v>0</v>
      </c>
      <c r="AE217" s="31">
        <f>VLOOKUP($A217,kurspris!$A$1:$Q$950,4,FALSE)</f>
        <v>1</v>
      </c>
      <c r="AF217" s="31">
        <f>VLOOKUP($A217,kurspris!$A$1:$Q$950,5,FALSE)</f>
        <v>0</v>
      </c>
      <c r="AG217" s="31">
        <f>VLOOKUP($A217,kurspris!$A$1:$Q$950,6,FALSE)</f>
        <v>0</v>
      </c>
      <c r="AH217" s="31">
        <f>VLOOKUP($A217,kurspris!$A$1:$Q$950,7,FALSE)</f>
        <v>0</v>
      </c>
      <c r="AI217" s="31">
        <f>VLOOKUP($A217,kurspris!$A$1:$Q$950,8,FALSE)</f>
        <v>0</v>
      </c>
      <c r="AJ217" s="31">
        <f>VLOOKUP($A217,kurspris!$A$1:$Q$950,9,FALSE)</f>
        <v>0</v>
      </c>
      <c r="AK217" s="31">
        <f>VLOOKUP($A217,kurspris!$A$1:$Q$950,10,FALSE)</f>
        <v>0</v>
      </c>
      <c r="AL217" s="31">
        <f>VLOOKUP($A217,kurspris!$A$1:$Q$950,11,FALSE)</f>
        <v>0</v>
      </c>
      <c r="AM217" s="31">
        <f>VLOOKUP($A217,kurspris!$A$1:$Q$950,12,FALSE)</f>
        <v>0</v>
      </c>
      <c r="AN217" s="31">
        <f>VLOOKUP($A217,kurspris!$A$1:$Q$950,13,FALSE)</f>
        <v>0</v>
      </c>
      <c r="AO217" s="31">
        <f>VLOOKUP($A217,kurspris!$A$1:$Q$950,14,FALSE)</f>
        <v>0</v>
      </c>
      <c r="AP217" s="57" t="s">
        <v>2402</v>
      </c>
      <c r="AQ217"/>
      <c r="AR217" s="31">
        <f t="shared" si="94"/>
        <v>0</v>
      </c>
      <c r="AS217" s="219">
        <f t="shared" si="95"/>
        <v>0</v>
      </c>
      <c r="AT217" s="31">
        <f t="shared" si="96"/>
        <v>0.5</v>
      </c>
      <c r="AU217" s="219">
        <f t="shared" si="97"/>
        <v>0.42499999999999999</v>
      </c>
      <c r="AV217" s="31">
        <f t="shared" si="98"/>
        <v>0</v>
      </c>
      <c r="AW217" s="31">
        <f t="shared" si="99"/>
        <v>0</v>
      </c>
      <c r="AX217" s="31">
        <f t="shared" si="100"/>
        <v>0</v>
      </c>
      <c r="AY217" s="219">
        <f t="shared" si="101"/>
        <v>0</v>
      </c>
      <c r="AZ217" s="196">
        <f t="shared" si="102"/>
        <v>0</v>
      </c>
      <c r="BA217" s="219">
        <f t="shared" si="103"/>
        <v>0</v>
      </c>
      <c r="BB217" s="31">
        <f t="shared" si="104"/>
        <v>0</v>
      </c>
      <c r="BC217" s="219">
        <f t="shared" si="105"/>
        <v>0</v>
      </c>
      <c r="BD217" s="31">
        <f t="shared" si="106"/>
        <v>0</v>
      </c>
      <c r="BE217" s="219">
        <f t="shared" si="107"/>
        <v>0</v>
      </c>
      <c r="BF217" s="31">
        <f t="shared" si="108"/>
        <v>0</v>
      </c>
      <c r="BG217" s="219">
        <f t="shared" si="109"/>
        <v>0</v>
      </c>
      <c r="BH217" s="31">
        <f t="shared" si="110"/>
        <v>0</v>
      </c>
      <c r="BI217" s="219">
        <f t="shared" si="111"/>
        <v>0</v>
      </c>
      <c r="BJ217" s="31">
        <f t="shared" si="112"/>
        <v>0</v>
      </c>
      <c r="BK217" s="219">
        <f t="shared" si="113"/>
        <v>0</v>
      </c>
      <c r="BL217" s="31">
        <f t="shared" si="114"/>
        <v>0</v>
      </c>
      <c r="BM217" s="219">
        <f t="shared" si="115"/>
        <v>0</v>
      </c>
      <c r="BN217" s="31">
        <f t="shared" si="116"/>
        <v>0</v>
      </c>
      <c r="BO217" s="219">
        <f t="shared" si="117"/>
        <v>0</v>
      </c>
    </row>
    <row r="218" spans="1:67" x14ac:dyDescent="0.25">
      <c r="A218" s="31" t="s">
        <v>1982</v>
      </c>
      <c r="B218" s="176" t="str">
        <f>VLOOKUP(A218,kurspris!$A$1:$B$992,2,FALSE)</f>
        <v>Historia 3</v>
      </c>
      <c r="C218" s="31">
        <v>71601</v>
      </c>
      <c r="D218" s="60" t="s">
        <v>482</v>
      </c>
      <c r="E218" s="60"/>
      <c r="F218" s="57" t="s">
        <v>2274</v>
      </c>
      <c r="H218" s="31" t="s">
        <v>2335</v>
      </c>
      <c r="I218" s="31" t="s">
        <v>2399</v>
      </c>
      <c r="J218" s="31" t="s">
        <v>2239</v>
      </c>
      <c r="L218" s="38"/>
      <c r="M218">
        <v>30</v>
      </c>
      <c r="P218" s="31">
        <v>1</v>
      </c>
      <c r="Q218" s="539">
        <v>0.5</v>
      </c>
      <c r="R218" s="38">
        <v>0.85</v>
      </c>
      <c r="S218" s="280">
        <f t="shared" si="90"/>
        <v>0.42499999999999999</v>
      </c>
      <c r="T218" s="31">
        <f>VLOOKUP(A218,'Ansvar kurs'!$A$1:$C$1123,2,FALSE)</f>
        <v>1630</v>
      </c>
      <c r="U218" s="31" t="str">
        <f>VLOOKUP(T218,Orgenheter!$A$1:$C$166,2,FALSE)</f>
        <v>Inst för ide- o samhällsstudier</v>
      </c>
      <c r="V218" s="31" t="str">
        <f>VLOOKUP(T218,Orgenheter!$A$1:$C$166,3,FALSE)</f>
        <v>Hum</v>
      </c>
      <c r="W218" s="35" t="str">
        <f>VLOOKUP(D218,Program!$A$1:$B$36,2,FALSE)</f>
        <v>Ämneslärarprogrammet - Gy</v>
      </c>
      <c r="X218" s="40">
        <f>VLOOKUP(A218,kurspris!$A$1:$Q$913,15,FALSE)</f>
        <v>20766</v>
      </c>
      <c r="Y218" s="40">
        <f>VLOOKUP(A218,kurspris!$A$1:$Q$913,16,FALSE)</f>
        <v>17442</v>
      </c>
      <c r="Z218" s="40">
        <f t="shared" si="91"/>
        <v>17795.849999999999</v>
      </c>
      <c r="AA218" s="40">
        <f>VLOOKUP(A218,kurspris!$A$1:$Q$913,17,FALSE)</f>
        <v>6000</v>
      </c>
      <c r="AB218" s="40">
        <f t="shared" si="92"/>
        <v>3000</v>
      </c>
      <c r="AC218" s="40">
        <f t="shared" si="93"/>
        <v>20795.849999999999</v>
      </c>
      <c r="AD218" s="31">
        <f>VLOOKUP($A218,kurspris!$A$1:$Q$950,3,FALSE)</f>
        <v>0</v>
      </c>
      <c r="AE218" s="31">
        <f>VLOOKUP($A218,kurspris!$A$1:$Q$950,4,FALSE)</f>
        <v>1</v>
      </c>
      <c r="AF218" s="31">
        <f>VLOOKUP($A218,kurspris!$A$1:$Q$950,5,FALSE)</f>
        <v>0</v>
      </c>
      <c r="AG218" s="31">
        <f>VLOOKUP($A218,kurspris!$A$1:$Q$950,6,FALSE)</f>
        <v>0</v>
      </c>
      <c r="AH218" s="31">
        <f>VLOOKUP($A218,kurspris!$A$1:$Q$950,7,FALSE)</f>
        <v>0</v>
      </c>
      <c r="AI218" s="31">
        <f>VLOOKUP($A218,kurspris!$A$1:$Q$950,8,FALSE)</f>
        <v>0</v>
      </c>
      <c r="AJ218" s="31">
        <f>VLOOKUP($A218,kurspris!$A$1:$Q$950,9,FALSE)</f>
        <v>0</v>
      </c>
      <c r="AK218" s="31">
        <f>VLOOKUP($A218,kurspris!$A$1:$Q$950,10,FALSE)</f>
        <v>0</v>
      </c>
      <c r="AL218" s="31">
        <f>VLOOKUP($A218,kurspris!$A$1:$Q$950,11,FALSE)</f>
        <v>0</v>
      </c>
      <c r="AM218" s="31">
        <f>VLOOKUP($A218,kurspris!$A$1:$Q$950,12,FALSE)</f>
        <v>0</v>
      </c>
      <c r="AN218" s="31">
        <f>VLOOKUP($A218,kurspris!$A$1:$Q$950,13,FALSE)</f>
        <v>0</v>
      </c>
      <c r="AO218" s="31">
        <f>VLOOKUP($A218,kurspris!$A$1:$Q$950,14,FALSE)</f>
        <v>0</v>
      </c>
      <c r="AP218" s="57" t="s">
        <v>2402</v>
      </c>
      <c r="AQ218"/>
      <c r="AR218" s="31">
        <f t="shared" si="94"/>
        <v>0</v>
      </c>
      <c r="AS218" s="219">
        <f t="shared" si="95"/>
        <v>0</v>
      </c>
      <c r="AT218" s="31">
        <f t="shared" si="96"/>
        <v>0.5</v>
      </c>
      <c r="AU218" s="219">
        <f t="shared" si="97"/>
        <v>0.42499999999999999</v>
      </c>
      <c r="AV218" s="31">
        <f t="shared" si="98"/>
        <v>0</v>
      </c>
      <c r="AW218" s="31">
        <f t="shared" si="99"/>
        <v>0</v>
      </c>
      <c r="AX218" s="31">
        <f t="shared" si="100"/>
        <v>0</v>
      </c>
      <c r="AY218" s="219">
        <f t="shared" si="101"/>
        <v>0</v>
      </c>
      <c r="AZ218" s="196">
        <f t="shared" si="102"/>
        <v>0</v>
      </c>
      <c r="BA218" s="219">
        <f t="shared" si="103"/>
        <v>0</v>
      </c>
      <c r="BB218" s="31">
        <f t="shared" si="104"/>
        <v>0</v>
      </c>
      <c r="BC218" s="219">
        <f t="shared" si="105"/>
        <v>0</v>
      </c>
      <c r="BD218" s="31">
        <f t="shared" si="106"/>
        <v>0</v>
      </c>
      <c r="BE218" s="219">
        <f t="shared" si="107"/>
        <v>0</v>
      </c>
      <c r="BF218" s="31">
        <f t="shared" si="108"/>
        <v>0</v>
      </c>
      <c r="BG218" s="219">
        <f t="shared" si="109"/>
        <v>0</v>
      </c>
      <c r="BH218" s="31">
        <f t="shared" si="110"/>
        <v>0</v>
      </c>
      <c r="BI218" s="219">
        <f t="shared" si="111"/>
        <v>0</v>
      </c>
      <c r="BJ218" s="31">
        <f t="shared" si="112"/>
        <v>0</v>
      </c>
      <c r="BK218" s="219">
        <f t="shared" si="113"/>
        <v>0</v>
      </c>
      <c r="BL218" s="31">
        <f t="shared" si="114"/>
        <v>0</v>
      </c>
      <c r="BM218" s="219">
        <f t="shared" si="115"/>
        <v>0</v>
      </c>
      <c r="BN218" s="31">
        <f t="shared" si="116"/>
        <v>0</v>
      </c>
      <c r="BO218" s="219">
        <f t="shared" si="117"/>
        <v>0</v>
      </c>
    </row>
    <row r="219" spans="1:67" x14ac:dyDescent="0.25">
      <c r="A219" s="57" t="s">
        <v>1982</v>
      </c>
      <c r="B219" s="176" t="str">
        <f>VLOOKUP(A219,kurspris!$A$1:$B$992,2,FALSE)</f>
        <v>Historia 3</v>
      </c>
      <c r="C219" s="31">
        <v>71601</v>
      </c>
      <c r="D219" s="31" t="s">
        <v>482</v>
      </c>
      <c r="F219" s="57" t="s">
        <v>2274</v>
      </c>
      <c r="H219" s="31" t="s">
        <v>2335</v>
      </c>
      <c r="I219" s="31" t="s">
        <v>2399</v>
      </c>
      <c r="J219" s="31" t="s">
        <v>2242</v>
      </c>
      <c r="L219" s="38"/>
      <c r="M219">
        <v>30</v>
      </c>
      <c r="P219" s="31">
        <v>2</v>
      </c>
      <c r="Q219" s="539">
        <v>1</v>
      </c>
      <c r="R219" s="38">
        <v>0.85</v>
      </c>
      <c r="S219" s="280">
        <f t="shared" si="90"/>
        <v>0.85</v>
      </c>
      <c r="T219" s="31">
        <f>VLOOKUP(A219,'Ansvar kurs'!$A$1:$C$1123,2,FALSE)</f>
        <v>1630</v>
      </c>
      <c r="U219" s="31" t="str">
        <f>VLOOKUP(T219,Orgenheter!$A$1:$C$166,2,FALSE)</f>
        <v>Inst för ide- o samhällsstudier</v>
      </c>
      <c r="V219" s="31" t="str">
        <f>VLOOKUP(T219,Orgenheter!$A$1:$C$166,3,FALSE)</f>
        <v>Hum</v>
      </c>
      <c r="W219" s="35" t="str">
        <f>VLOOKUP(D219,Program!$A$1:$B$36,2,FALSE)</f>
        <v>Ämneslärarprogrammet - Gy</v>
      </c>
      <c r="X219" s="40">
        <f>VLOOKUP(A219,kurspris!$A$1:$Q$913,15,FALSE)</f>
        <v>20766</v>
      </c>
      <c r="Y219" s="40">
        <f>VLOOKUP(A219,kurspris!$A$1:$Q$913,16,FALSE)</f>
        <v>17442</v>
      </c>
      <c r="Z219" s="40">
        <f t="shared" si="91"/>
        <v>35591.699999999997</v>
      </c>
      <c r="AA219" s="40">
        <f>VLOOKUP(A219,kurspris!$A$1:$Q$913,17,FALSE)</f>
        <v>6000</v>
      </c>
      <c r="AB219" s="40">
        <f t="shared" si="92"/>
        <v>6000</v>
      </c>
      <c r="AC219" s="40">
        <f t="shared" si="93"/>
        <v>41591.699999999997</v>
      </c>
      <c r="AD219" s="31">
        <f>VLOOKUP($A219,kurspris!$A$1:$Q$950,3,FALSE)</f>
        <v>0</v>
      </c>
      <c r="AE219" s="31">
        <f>VLOOKUP($A219,kurspris!$A$1:$Q$950,4,FALSE)</f>
        <v>1</v>
      </c>
      <c r="AF219" s="31">
        <f>VLOOKUP($A219,kurspris!$A$1:$Q$950,5,FALSE)</f>
        <v>0</v>
      </c>
      <c r="AG219" s="31">
        <f>VLOOKUP($A219,kurspris!$A$1:$Q$950,6,FALSE)</f>
        <v>0</v>
      </c>
      <c r="AH219" s="31">
        <f>VLOOKUP($A219,kurspris!$A$1:$Q$950,7,FALSE)</f>
        <v>0</v>
      </c>
      <c r="AI219" s="31">
        <f>VLOOKUP($A219,kurspris!$A$1:$Q$950,8,FALSE)</f>
        <v>0</v>
      </c>
      <c r="AJ219" s="31">
        <f>VLOOKUP($A219,kurspris!$A$1:$Q$950,9,FALSE)</f>
        <v>0</v>
      </c>
      <c r="AK219" s="31">
        <f>VLOOKUP($A219,kurspris!$A$1:$Q$950,10,FALSE)</f>
        <v>0</v>
      </c>
      <c r="AL219" s="31">
        <f>VLOOKUP($A219,kurspris!$A$1:$Q$950,11,FALSE)</f>
        <v>0</v>
      </c>
      <c r="AM219" s="31">
        <f>VLOOKUP($A219,kurspris!$A$1:$Q$950,12,FALSE)</f>
        <v>0</v>
      </c>
      <c r="AN219" s="31">
        <f>VLOOKUP($A219,kurspris!$A$1:$Q$950,13,FALSE)</f>
        <v>0</v>
      </c>
      <c r="AO219" s="31">
        <f>VLOOKUP($A219,kurspris!$A$1:$Q$950,14,FALSE)</f>
        <v>0</v>
      </c>
      <c r="AP219" s="57" t="s">
        <v>2402</v>
      </c>
      <c r="AQ219" s="37"/>
      <c r="AR219" s="31">
        <f t="shared" si="94"/>
        <v>0</v>
      </c>
      <c r="AS219" s="219">
        <f t="shared" si="95"/>
        <v>0</v>
      </c>
      <c r="AT219" s="31">
        <f t="shared" si="96"/>
        <v>1</v>
      </c>
      <c r="AU219" s="219">
        <f t="shared" si="97"/>
        <v>0.85</v>
      </c>
      <c r="AV219" s="31">
        <f t="shared" si="98"/>
        <v>0</v>
      </c>
      <c r="AW219" s="31">
        <f t="shared" si="99"/>
        <v>0</v>
      </c>
      <c r="AX219" s="31">
        <f t="shared" si="100"/>
        <v>0</v>
      </c>
      <c r="AY219" s="219">
        <f t="shared" si="101"/>
        <v>0</v>
      </c>
      <c r="AZ219" s="196">
        <f t="shared" si="102"/>
        <v>0</v>
      </c>
      <c r="BA219" s="219">
        <f t="shared" si="103"/>
        <v>0</v>
      </c>
      <c r="BB219" s="31">
        <f t="shared" si="104"/>
        <v>0</v>
      </c>
      <c r="BC219" s="219">
        <f t="shared" si="105"/>
        <v>0</v>
      </c>
      <c r="BD219" s="31">
        <f t="shared" si="106"/>
        <v>0</v>
      </c>
      <c r="BE219" s="219">
        <f t="shared" si="107"/>
        <v>0</v>
      </c>
      <c r="BF219" s="31">
        <f t="shared" si="108"/>
        <v>0</v>
      </c>
      <c r="BG219" s="219">
        <f t="shared" si="109"/>
        <v>0</v>
      </c>
      <c r="BH219" s="31">
        <f t="shared" si="110"/>
        <v>0</v>
      </c>
      <c r="BI219" s="219">
        <f t="shared" si="111"/>
        <v>0</v>
      </c>
      <c r="BJ219" s="31">
        <f t="shared" si="112"/>
        <v>0</v>
      </c>
      <c r="BK219" s="219">
        <f t="shared" si="113"/>
        <v>0</v>
      </c>
      <c r="BL219" s="31">
        <f t="shared" si="114"/>
        <v>0</v>
      </c>
      <c r="BM219" s="219">
        <f t="shared" si="115"/>
        <v>0</v>
      </c>
      <c r="BN219" s="31">
        <f t="shared" si="116"/>
        <v>0</v>
      </c>
      <c r="BO219" s="219">
        <f t="shared" si="117"/>
        <v>0</v>
      </c>
    </row>
    <row r="220" spans="1:67" x14ac:dyDescent="0.25">
      <c r="A220" s="31" t="s">
        <v>1982</v>
      </c>
      <c r="B220" s="176" t="str">
        <f>VLOOKUP(A220,kurspris!$A$1:$B$992,2,FALSE)</f>
        <v>Historia 3</v>
      </c>
      <c r="C220" s="31">
        <v>71601</v>
      </c>
      <c r="D220" s="60" t="s">
        <v>482</v>
      </c>
      <c r="E220" s="60"/>
      <c r="F220" s="57" t="s">
        <v>2274</v>
      </c>
      <c r="H220" s="31" t="s">
        <v>2335</v>
      </c>
      <c r="I220" s="31" t="s">
        <v>2399</v>
      </c>
      <c r="J220" s="31" t="s">
        <v>2240</v>
      </c>
      <c r="L220" s="38"/>
      <c r="M220">
        <v>30</v>
      </c>
      <c r="P220" s="31">
        <v>5</v>
      </c>
      <c r="Q220" s="539">
        <v>2.5</v>
      </c>
      <c r="R220" s="38">
        <v>0.85</v>
      </c>
      <c r="S220" s="280">
        <f t="shared" si="90"/>
        <v>2.125</v>
      </c>
      <c r="T220" s="31">
        <f>VLOOKUP(A220,'Ansvar kurs'!$A$1:$C$1123,2,FALSE)</f>
        <v>1630</v>
      </c>
      <c r="U220" s="31" t="str">
        <f>VLOOKUP(T220,Orgenheter!$A$1:$C$166,2,FALSE)</f>
        <v>Inst för ide- o samhällsstudier</v>
      </c>
      <c r="V220" s="31" t="str">
        <f>VLOOKUP(T220,Orgenheter!$A$1:$C$166,3,FALSE)</f>
        <v>Hum</v>
      </c>
      <c r="W220" s="35" t="str">
        <f>VLOOKUP(D220,Program!$A$1:$B$36,2,FALSE)</f>
        <v>Ämneslärarprogrammet - Gy</v>
      </c>
      <c r="X220" s="40">
        <f>VLOOKUP(A220,kurspris!$A$1:$Q$913,15,FALSE)</f>
        <v>20766</v>
      </c>
      <c r="Y220" s="40">
        <f>VLOOKUP(A220,kurspris!$A$1:$Q$913,16,FALSE)</f>
        <v>17442</v>
      </c>
      <c r="Z220" s="40">
        <f t="shared" si="91"/>
        <v>88979.25</v>
      </c>
      <c r="AA220" s="40">
        <f>VLOOKUP(A220,kurspris!$A$1:$Q$913,17,FALSE)</f>
        <v>6000</v>
      </c>
      <c r="AB220" s="40">
        <f t="shared" si="92"/>
        <v>15000</v>
      </c>
      <c r="AC220" s="40">
        <f t="shared" si="93"/>
        <v>103979.25</v>
      </c>
      <c r="AD220" s="31">
        <f>VLOOKUP($A220,kurspris!$A$1:$Q$950,3,FALSE)</f>
        <v>0</v>
      </c>
      <c r="AE220" s="31">
        <f>VLOOKUP($A220,kurspris!$A$1:$Q$950,4,FALSE)</f>
        <v>1</v>
      </c>
      <c r="AF220" s="31">
        <f>VLOOKUP($A220,kurspris!$A$1:$Q$950,5,FALSE)</f>
        <v>0</v>
      </c>
      <c r="AG220" s="31">
        <f>VLOOKUP($A220,kurspris!$A$1:$Q$950,6,FALSE)</f>
        <v>0</v>
      </c>
      <c r="AH220" s="31">
        <f>VLOOKUP($A220,kurspris!$A$1:$Q$950,7,FALSE)</f>
        <v>0</v>
      </c>
      <c r="AI220" s="31">
        <f>VLOOKUP($A220,kurspris!$A$1:$Q$950,8,FALSE)</f>
        <v>0</v>
      </c>
      <c r="AJ220" s="31">
        <f>VLOOKUP($A220,kurspris!$A$1:$Q$950,9,FALSE)</f>
        <v>0</v>
      </c>
      <c r="AK220" s="31">
        <f>VLOOKUP($A220,kurspris!$A$1:$Q$950,10,FALSE)</f>
        <v>0</v>
      </c>
      <c r="AL220" s="31">
        <f>VLOOKUP($A220,kurspris!$A$1:$Q$950,11,FALSE)</f>
        <v>0</v>
      </c>
      <c r="AM220" s="31">
        <f>VLOOKUP($A220,kurspris!$A$1:$Q$950,12,FALSE)</f>
        <v>0</v>
      </c>
      <c r="AN220" s="31">
        <f>VLOOKUP($A220,kurspris!$A$1:$Q$950,13,FALSE)</f>
        <v>0</v>
      </c>
      <c r="AO220" s="31">
        <f>VLOOKUP($A220,kurspris!$A$1:$Q$950,14,FALSE)</f>
        <v>0</v>
      </c>
      <c r="AP220" s="57" t="s">
        <v>2402</v>
      </c>
      <c r="AQ220"/>
      <c r="AR220" s="31">
        <f t="shared" si="94"/>
        <v>0</v>
      </c>
      <c r="AS220" s="219">
        <f t="shared" si="95"/>
        <v>0</v>
      </c>
      <c r="AT220" s="31">
        <f t="shared" si="96"/>
        <v>2.5</v>
      </c>
      <c r="AU220" s="219">
        <f t="shared" si="97"/>
        <v>2.125</v>
      </c>
      <c r="AV220" s="31">
        <f t="shared" si="98"/>
        <v>0</v>
      </c>
      <c r="AW220" s="31">
        <f t="shared" si="99"/>
        <v>0</v>
      </c>
      <c r="AX220" s="31">
        <f t="shared" si="100"/>
        <v>0</v>
      </c>
      <c r="AY220" s="219">
        <f t="shared" si="101"/>
        <v>0</v>
      </c>
      <c r="AZ220" s="196">
        <f t="shared" si="102"/>
        <v>0</v>
      </c>
      <c r="BA220" s="219">
        <f t="shared" si="103"/>
        <v>0</v>
      </c>
      <c r="BB220" s="31">
        <f t="shared" si="104"/>
        <v>0</v>
      </c>
      <c r="BC220" s="219">
        <f t="shared" si="105"/>
        <v>0</v>
      </c>
      <c r="BD220" s="31">
        <f t="shared" si="106"/>
        <v>0</v>
      </c>
      <c r="BE220" s="219">
        <f t="shared" si="107"/>
        <v>0</v>
      </c>
      <c r="BF220" s="31">
        <f t="shared" si="108"/>
        <v>0</v>
      </c>
      <c r="BG220" s="219">
        <f t="shared" si="109"/>
        <v>0</v>
      </c>
      <c r="BH220" s="31">
        <f t="shared" si="110"/>
        <v>0</v>
      </c>
      <c r="BI220" s="219">
        <f t="shared" si="111"/>
        <v>0</v>
      </c>
      <c r="BJ220" s="31">
        <f t="shared" si="112"/>
        <v>0</v>
      </c>
      <c r="BK220" s="219">
        <f t="shared" si="113"/>
        <v>0</v>
      </c>
      <c r="BL220" s="31">
        <f t="shared" si="114"/>
        <v>0</v>
      </c>
      <c r="BM220" s="219">
        <f t="shared" si="115"/>
        <v>0</v>
      </c>
      <c r="BN220" s="31">
        <f t="shared" si="116"/>
        <v>0</v>
      </c>
      <c r="BO220" s="219">
        <f t="shared" si="117"/>
        <v>0</v>
      </c>
    </row>
    <row r="221" spans="1:67" x14ac:dyDescent="0.25">
      <c r="A221" s="31" t="s">
        <v>1521</v>
      </c>
      <c r="B221" s="176" t="str">
        <f>VLOOKUP(A221,kurspris!$A$1:$B$992,2,FALSE)</f>
        <v>Examensarbete i Idrott och hälsa för ämneslärarexamen</v>
      </c>
      <c r="D221" s="60" t="s">
        <v>482</v>
      </c>
      <c r="E221" s="576" t="s">
        <v>2429</v>
      </c>
      <c r="F221" s="31" t="s">
        <v>2273</v>
      </c>
      <c r="G221" s="244" t="s">
        <v>2454</v>
      </c>
      <c r="H221" t="s">
        <v>2335</v>
      </c>
      <c r="J221" s="31" t="s">
        <v>2232</v>
      </c>
      <c r="L221" s="38">
        <v>1</v>
      </c>
      <c r="M221" s="244">
        <v>7.5</v>
      </c>
      <c r="P221" s="31">
        <v>3</v>
      </c>
      <c r="Q221" s="196">
        <f t="shared" ref="Q221:Q230" si="119">(M221/60)*P221</f>
        <v>0.375</v>
      </c>
      <c r="R221" s="38">
        <v>0.85</v>
      </c>
      <c r="S221" s="280">
        <f t="shared" si="90"/>
        <v>0.31874999999999998</v>
      </c>
      <c r="T221" s="31">
        <f>VLOOKUP(A221,'Ansvar kurs'!$A$1:$C$1123,2,FALSE)</f>
        <v>2180</v>
      </c>
      <c r="U221" s="31" t="str">
        <f>VLOOKUP(T221,Orgenheter!$A$1:$C$166,2,FALSE)</f>
        <v xml:space="preserve">Pedagogik                     </v>
      </c>
      <c r="V221" s="31" t="str">
        <f>VLOOKUP(T221,Orgenheter!$A$1:$C$166,3,FALSE)</f>
        <v>Sam</v>
      </c>
      <c r="W221" s="35" t="str">
        <f>VLOOKUP(D221,Program!$A$1:$B$36,2,FALSE)</f>
        <v>Ämneslärarprogrammet - Gy</v>
      </c>
      <c r="X221" s="40">
        <f>VLOOKUP(A221,kurspris!$A$1:$Q$913,15,FALSE)</f>
        <v>20766</v>
      </c>
      <c r="Y221" s="40">
        <f>VLOOKUP(A221,kurspris!$A$1:$Q$913,16,FALSE)</f>
        <v>17442</v>
      </c>
      <c r="Z221" s="40">
        <f t="shared" si="91"/>
        <v>13346.887500000001</v>
      </c>
      <c r="AA221" s="40">
        <f>VLOOKUP(A221,kurspris!$A$1:$Q$913,17,FALSE)</f>
        <v>6000</v>
      </c>
      <c r="AB221" s="40">
        <f t="shared" si="92"/>
        <v>2250</v>
      </c>
      <c r="AC221" s="40">
        <f t="shared" si="93"/>
        <v>15596.887500000001</v>
      </c>
      <c r="AD221" s="31">
        <f>VLOOKUP($A221,kurspris!$A$1:$Q$950,3,FALSE)</f>
        <v>0</v>
      </c>
      <c r="AE221" s="31">
        <f>VLOOKUP($A221,kurspris!$A$1:$Q$950,4,FALSE)</f>
        <v>0</v>
      </c>
      <c r="AF221" s="31">
        <f>VLOOKUP($A221,kurspris!$A$1:$Q$950,5,FALSE)</f>
        <v>0</v>
      </c>
      <c r="AG221" s="31">
        <f>VLOOKUP($A221,kurspris!$A$1:$Q$950,6,FALSE)</f>
        <v>0</v>
      </c>
      <c r="AH221" s="31">
        <f>VLOOKUP($A221,kurspris!$A$1:$Q$950,7,FALSE)</f>
        <v>0</v>
      </c>
      <c r="AI221" s="31">
        <f>VLOOKUP($A221,kurspris!$A$1:$Q$950,8,FALSE)</f>
        <v>0</v>
      </c>
      <c r="AJ221" s="31">
        <f>VLOOKUP($A221,kurspris!$A$1:$Q$950,9,FALSE)</f>
        <v>1</v>
      </c>
      <c r="AK221" s="31">
        <f>VLOOKUP($A221,kurspris!$A$1:$Q$950,10,FALSE)</f>
        <v>0</v>
      </c>
      <c r="AL221" s="31">
        <f>VLOOKUP($A221,kurspris!$A$1:$Q$950,11,FALSE)</f>
        <v>0</v>
      </c>
      <c r="AM221" s="31">
        <f>VLOOKUP($A221,kurspris!$A$1:$Q$950,12,FALSE)</f>
        <v>0</v>
      </c>
      <c r="AN221" s="31">
        <f>VLOOKUP($A221,kurspris!$A$1:$Q$950,13,FALSE)</f>
        <v>0</v>
      </c>
      <c r="AO221" s="31">
        <f>VLOOKUP($A221,kurspris!$A$1:$Q$950,14,FALSE)</f>
        <v>0</v>
      </c>
      <c r="AP221" s="57" t="s">
        <v>2506</v>
      </c>
      <c r="AQ221" t="s">
        <v>2311</v>
      </c>
      <c r="AR221" s="31">
        <f t="shared" si="94"/>
        <v>0</v>
      </c>
      <c r="AS221" s="219">
        <f t="shared" si="95"/>
        <v>0</v>
      </c>
      <c r="AT221" s="31">
        <f t="shared" si="96"/>
        <v>0</v>
      </c>
      <c r="AU221" s="219">
        <f t="shared" si="97"/>
        <v>0</v>
      </c>
      <c r="AV221" s="31">
        <f t="shared" si="98"/>
        <v>0</v>
      </c>
      <c r="AW221" s="31">
        <f t="shared" si="99"/>
        <v>0</v>
      </c>
      <c r="AX221" s="31">
        <f t="shared" si="100"/>
        <v>0</v>
      </c>
      <c r="AY221" s="219">
        <f t="shared" si="101"/>
        <v>0</v>
      </c>
      <c r="AZ221" s="196">
        <f t="shared" si="102"/>
        <v>0</v>
      </c>
      <c r="BA221" s="219">
        <f t="shared" si="103"/>
        <v>0</v>
      </c>
      <c r="BB221" s="31">
        <f t="shared" si="104"/>
        <v>0</v>
      </c>
      <c r="BC221" s="219">
        <f t="shared" si="105"/>
        <v>0</v>
      </c>
      <c r="BD221" s="31">
        <f t="shared" si="106"/>
        <v>0.375</v>
      </c>
      <c r="BE221" s="219">
        <f t="shared" si="107"/>
        <v>0.31874999999999998</v>
      </c>
      <c r="BF221" s="31">
        <f t="shared" si="108"/>
        <v>0</v>
      </c>
      <c r="BG221" s="219">
        <f t="shared" si="109"/>
        <v>0</v>
      </c>
      <c r="BH221" s="31">
        <f t="shared" si="110"/>
        <v>0</v>
      </c>
      <c r="BI221" s="219">
        <f t="shared" si="111"/>
        <v>0</v>
      </c>
      <c r="BJ221" s="31">
        <f t="shared" si="112"/>
        <v>0</v>
      </c>
      <c r="BK221" s="219">
        <f t="shared" si="113"/>
        <v>0</v>
      </c>
      <c r="BL221" s="31">
        <f t="shared" si="114"/>
        <v>0</v>
      </c>
      <c r="BM221" s="219">
        <f t="shared" si="115"/>
        <v>0</v>
      </c>
      <c r="BN221" s="31">
        <f t="shared" si="116"/>
        <v>0</v>
      </c>
      <c r="BO221" s="219">
        <f t="shared" si="117"/>
        <v>0</v>
      </c>
    </row>
    <row r="222" spans="1:67" x14ac:dyDescent="0.25">
      <c r="A222" s="31" t="s">
        <v>1521</v>
      </c>
      <c r="B222" s="176" t="str">
        <f>VLOOKUP(A222,kurspris!$A$1:$B$992,2,FALSE)</f>
        <v>Examensarbete i Idrott och hälsa för ämneslärarexamen</v>
      </c>
      <c r="D222" s="60" t="s">
        <v>482</v>
      </c>
      <c r="E222" s="576" t="s">
        <v>2227</v>
      </c>
      <c r="F222" s="31" t="s">
        <v>2273</v>
      </c>
      <c r="G222" s="244" t="s">
        <v>2454</v>
      </c>
      <c r="H222" t="s">
        <v>2335</v>
      </c>
      <c r="J222" s="31" t="s">
        <v>2231</v>
      </c>
      <c r="L222" s="38">
        <v>1</v>
      </c>
      <c r="M222" s="244">
        <v>7.5</v>
      </c>
      <c r="P222" s="31">
        <v>1</v>
      </c>
      <c r="Q222" s="196">
        <f t="shared" si="119"/>
        <v>0.125</v>
      </c>
      <c r="R222" s="38">
        <v>0.85</v>
      </c>
      <c r="S222" s="280">
        <f t="shared" si="90"/>
        <v>0.10625</v>
      </c>
      <c r="T222" s="31">
        <f>VLOOKUP(A222,'Ansvar kurs'!$A$1:$C$1123,2,FALSE)</f>
        <v>2180</v>
      </c>
      <c r="U222" s="31" t="str">
        <f>VLOOKUP(T222,Orgenheter!$A$1:$C$166,2,FALSE)</f>
        <v xml:space="preserve">Pedagogik                     </v>
      </c>
      <c r="V222" s="31" t="str">
        <f>VLOOKUP(T222,Orgenheter!$A$1:$C$166,3,FALSE)</f>
        <v>Sam</v>
      </c>
      <c r="W222" s="35" t="str">
        <f>VLOOKUP(D222,Program!$A$1:$B$36,2,FALSE)</f>
        <v>Ämneslärarprogrammet - Gy</v>
      </c>
      <c r="X222" s="40">
        <f>VLOOKUP(A222,kurspris!$A$1:$Q$913,15,FALSE)</f>
        <v>20766</v>
      </c>
      <c r="Y222" s="40">
        <f>VLOOKUP(A222,kurspris!$A$1:$Q$913,16,FALSE)</f>
        <v>17442</v>
      </c>
      <c r="Z222" s="40">
        <f t="shared" si="91"/>
        <v>4448.9624999999996</v>
      </c>
      <c r="AA222" s="40">
        <f>VLOOKUP(A222,kurspris!$A$1:$Q$913,17,FALSE)</f>
        <v>6000</v>
      </c>
      <c r="AB222" s="40">
        <f t="shared" si="92"/>
        <v>750</v>
      </c>
      <c r="AC222" s="40">
        <f t="shared" si="93"/>
        <v>5198.9624999999996</v>
      </c>
      <c r="AD222" s="31">
        <f>VLOOKUP($A222,kurspris!$A$1:$Q$950,3,FALSE)</f>
        <v>0</v>
      </c>
      <c r="AE222" s="31">
        <f>VLOOKUP($A222,kurspris!$A$1:$Q$950,4,FALSE)</f>
        <v>0</v>
      </c>
      <c r="AF222" s="31">
        <f>VLOOKUP($A222,kurspris!$A$1:$Q$950,5,FALSE)</f>
        <v>0</v>
      </c>
      <c r="AG222" s="31">
        <f>VLOOKUP($A222,kurspris!$A$1:$Q$950,6,FALSE)</f>
        <v>0</v>
      </c>
      <c r="AH222" s="31">
        <f>VLOOKUP($A222,kurspris!$A$1:$Q$950,7,FALSE)</f>
        <v>0</v>
      </c>
      <c r="AI222" s="31">
        <f>VLOOKUP($A222,kurspris!$A$1:$Q$950,8,FALSE)</f>
        <v>0</v>
      </c>
      <c r="AJ222" s="31">
        <f>VLOOKUP($A222,kurspris!$A$1:$Q$950,9,FALSE)</f>
        <v>1</v>
      </c>
      <c r="AK222" s="31">
        <f>VLOOKUP($A222,kurspris!$A$1:$Q$950,10,FALSE)</f>
        <v>0</v>
      </c>
      <c r="AL222" s="31">
        <f>VLOOKUP($A222,kurspris!$A$1:$Q$950,11,FALSE)</f>
        <v>0</v>
      </c>
      <c r="AM222" s="31">
        <f>VLOOKUP($A222,kurspris!$A$1:$Q$950,12,FALSE)</f>
        <v>0</v>
      </c>
      <c r="AN222" s="31">
        <f>VLOOKUP($A222,kurspris!$A$1:$Q$950,13,FALSE)</f>
        <v>0</v>
      </c>
      <c r="AO222" s="31">
        <f>VLOOKUP($A222,kurspris!$A$1:$Q$950,14,FALSE)</f>
        <v>0</v>
      </c>
      <c r="AP222" s="57" t="s">
        <v>2506</v>
      </c>
      <c r="AQ222" t="s">
        <v>2311</v>
      </c>
      <c r="AR222" s="31">
        <f t="shared" si="94"/>
        <v>0</v>
      </c>
      <c r="AS222" s="219">
        <f t="shared" si="95"/>
        <v>0</v>
      </c>
      <c r="AT222" s="31">
        <f t="shared" si="96"/>
        <v>0</v>
      </c>
      <c r="AU222" s="219">
        <f t="shared" si="97"/>
        <v>0</v>
      </c>
      <c r="AV222" s="31">
        <f t="shared" si="98"/>
        <v>0</v>
      </c>
      <c r="AW222" s="31">
        <f t="shared" si="99"/>
        <v>0</v>
      </c>
      <c r="AX222" s="31">
        <f t="shared" si="100"/>
        <v>0</v>
      </c>
      <c r="AY222" s="219">
        <f t="shared" si="101"/>
        <v>0</v>
      </c>
      <c r="AZ222" s="196">
        <f t="shared" si="102"/>
        <v>0</v>
      </c>
      <c r="BA222" s="219">
        <f t="shared" si="103"/>
        <v>0</v>
      </c>
      <c r="BB222" s="31">
        <f t="shared" si="104"/>
        <v>0</v>
      </c>
      <c r="BC222" s="219">
        <f t="shared" si="105"/>
        <v>0</v>
      </c>
      <c r="BD222" s="31">
        <f t="shared" si="106"/>
        <v>0.125</v>
      </c>
      <c r="BE222" s="219">
        <f t="shared" si="107"/>
        <v>0.10625</v>
      </c>
      <c r="BF222" s="31">
        <f t="shared" si="108"/>
        <v>0</v>
      </c>
      <c r="BG222" s="219">
        <f t="shared" si="109"/>
        <v>0</v>
      </c>
      <c r="BH222" s="31">
        <f t="shared" si="110"/>
        <v>0</v>
      </c>
      <c r="BI222" s="219">
        <f t="shared" si="111"/>
        <v>0</v>
      </c>
      <c r="BJ222" s="31">
        <f t="shared" si="112"/>
        <v>0</v>
      </c>
      <c r="BK222" s="219">
        <f t="shared" si="113"/>
        <v>0</v>
      </c>
      <c r="BL222" s="31">
        <f t="shared" si="114"/>
        <v>0</v>
      </c>
      <c r="BM222" s="219">
        <f t="shared" si="115"/>
        <v>0</v>
      </c>
      <c r="BN222" s="31">
        <f t="shared" si="116"/>
        <v>0</v>
      </c>
      <c r="BO222" s="219">
        <f t="shared" si="117"/>
        <v>0</v>
      </c>
    </row>
    <row r="223" spans="1:67" x14ac:dyDescent="0.25">
      <c r="A223" s="31" t="s">
        <v>1521</v>
      </c>
      <c r="B223" s="176" t="str">
        <f>VLOOKUP(A223,kurspris!$A$1:$B$992,2,FALSE)</f>
        <v>Examensarbete i Idrott och hälsa för ämneslärarexamen</v>
      </c>
      <c r="D223" s="60" t="s">
        <v>482</v>
      </c>
      <c r="E223" s="576" t="s">
        <v>2227</v>
      </c>
      <c r="F223" s="31" t="s">
        <v>2273</v>
      </c>
      <c r="G223" s="244" t="s">
        <v>2454</v>
      </c>
      <c r="H223" t="s">
        <v>2335</v>
      </c>
      <c r="J223" s="31" t="s">
        <v>2232</v>
      </c>
      <c r="L223" s="38">
        <v>1</v>
      </c>
      <c r="M223" s="244">
        <v>7.5</v>
      </c>
      <c r="P223" s="31">
        <v>1</v>
      </c>
      <c r="Q223" s="196">
        <f t="shared" si="119"/>
        <v>0.125</v>
      </c>
      <c r="R223" s="38">
        <v>0.85</v>
      </c>
      <c r="S223" s="280">
        <f t="shared" si="90"/>
        <v>0.10625</v>
      </c>
      <c r="T223" s="31">
        <f>VLOOKUP(A223,'Ansvar kurs'!$A$1:$C$1123,2,FALSE)</f>
        <v>2180</v>
      </c>
      <c r="U223" s="31" t="str">
        <f>VLOOKUP(T223,Orgenheter!$A$1:$C$166,2,FALSE)</f>
        <v xml:space="preserve">Pedagogik                     </v>
      </c>
      <c r="V223" s="31" t="str">
        <f>VLOOKUP(T223,Orgenheter!$A$1:$C$166,3,FALSE)</f>
        <v>Sam</v>
      </c>
      <c r="W223" s="35" t="str">
        <f>VLOOKUP(D223,Program!$A$1:$B$36,2,FALSE)</f>
        <v>Ämneslärarprogrammet - Gy</v>
      </c>
      <c r="X223" s="40">
        <f>VLOOKUP(A223,kurspris!$A$1:$Q$913,15,FALSE)</f>
        <v>20766</v>
      </c>
      <c r="Y223" s="40">
        <f>VLOOKUP(A223,kurspris!$A$1:$Q$913,16,FALSE)</f>
        <v>17442</v>
      </c>
      <c r="Z223" s="40">
        <f t="shared" si="91"/>
        <v>4448.9624999999996</v>
      </c>
      <c r="AA223" s="40">
        <f>VLOOKUP(A223,kurspris!$A$1:$Q$913,17,FALSE)</f>
        <v>6000</v>
      </c>
      <c r="AB223" s="40">
        <f t="shared" si="92"/>
        <v>750</v>
      </c>
      <c r="AC223" s="40">
        <f t="shared" si="93"/>
        <v>5198.9624999999996</v>
      </c>
      <c r="AD223" s="31">
        <f>VLOOKUP($A223,kurspris!$A$1:$Q$950,3,FALSE)</f>
        <v>0</v>
      </c>
      <c r="AE223" s="31">
        <f>VLOOKUP($A223,kurspris!$A$1:$Q$950,4,FALSE)</f>
        <v>0</v>
      </c>
      <c r="AF223" s="31">
        <f>VLOOKUP($A223,kurspris!$A$1:$Q$950,5,FALSE)</f>
        <v>0</v>
      </c>
      <c r="AG223" s="31">
        <f>VLOOKUP($A223,kurspris!$A$1:$Q$950,6,FALSE)</f>
        <v>0</v>
      </c>
      <c r="AH223" s="31">
        <f>VLOOKUP($A223,kurspris!$A$1:$Q$950,7,FALSE)</f>
        <v>0</v>
      </c>
      <c r="AI223" s="31">
        <f>VLOOKUP($A223,kurspris!$A$1:$Q$950,8,FALSE)</f>
        <v>0</v>
      </c>
      <c r="AJ223" s="31">
        <f>VLOOKUP($A223,kurspris!$A$1:$Q$950,9,FALSE)</f>
        <v>1</v>
      </c>
      <c r="AK223" s="31">
        <f>VLOOKUP($A223,kurspris!$A$1:$Q$950,10,FALSE)</f>
        <v>0</v>
      </c>
      <c r="AL223" s="31">
        <f>VLOOKUP($A223,kurspris!$A$1:$Q$950,11,FALSE)</f>
        <v>0</v>
      </c>
      <c r="AM223" s="31">
        <f>VLOOKUP($A223,kurspris!$A$1:$Q$950,12,FALSE)</f>
        <v>0</v>
      </c>
      <c r="AN223" s="31">
        <f>VLOOKUP($A223,kurspris!$A$1:$Q$950,13,FALSE)</f>
        <v>0</v>
      </c>
      <c r="AO223" s="31">
        <f>VLOOKUP($A223,kurspris!$A$1:$Q$950,14,FALSE)</f>
        <v>0</v>
      </c>
      <c r="AP223" s="57" t="s">
        <v>2506</v>
      </c>
      <c r="AQ223" t="s">
        <v>2311</v>
      </c>
      <c r="AR223" s="31">
        <f t="shared" si="94"/>
        <v>0</v>
      </c>
      <c r="AS223" s="219">
        <f t="shared" si="95"/>
        <v>0</v>
      </c>
      <c r="AT223" s="31">
        <f t="shared" si="96"/>
        <v>0</v>
      </c>
      <c r="AU223" s="219">
        <f t="shared" si="97"/>
        <v>0</v>
      </c>
      <c r="AV223" s="31">
        <f t="shared" si="98"/>
        <v>0</v>
      </c>
      <c r="AW223" s="31">
        <f t="shared" si="99"/>
        <v>0</v>
      </c>
      <c r="AX223" s="31">
        <f t="shared" si="100"/>
        <v>0</v>
      </c>
      <c r="AY223" s="219">
        <f t="shared" si="101"/>
        <v>0</v>
      </c>
      <c r="AZ223" s="196">
        <f t="shared" si="102"/>
        <v>0</v>
      </c>
      <c r="BA223" s="219">
        <f t="shared" si="103"/>
        <v>0</v>
      </c>
      <c r="BB223" s="31">
        <f t="shared" si="104"/>
        <v>0</v>
      </c>
      <c r="BC223" s="219">
        <f t="shared" si="105"/>
        <v>0</v>
      </c>
      <c r="BD223" s="31">
        <f t="shared" si="106"/>
        <v>0.125</v>
      </c>
      <c r="BE223" s="219">
        <f t="shared" si="107"/>
        <v>0.10625</v>
      </c>
      <c r="BF223" s="31">
        <f t="shared" si="108"/>
        <v>0</v>
      </c>
      <c r="BG223" s="219">
        <f t="shared" si="109"/>
        <v>0</v>
      </c>
      <c r="BH223" s="31">
        <f t="shared" si="110"/>
        <v>0</v>
      </c>
      <c r="BI223" s="219">
        <f t="shared" si="111"/>
        <v>0</v>
      </c>
      <c r="BJ223" s="31">
        <f t="shared" si="112"/>
        <v>0</v>
      </c>
      <c r="BK223" s="219">
        <f t="shared" si="113"/>
        <v>0</v>
      </c>
      <c r="BL223" s="31">
        <f t="shared" si="114"/>
        <v>0</v>
      </c>
      <c r="BM223" s="219">
        <f t="shared" si="115"/>
        <v>0</v>
      </c>
      <c r="BN223" s="31">
        <f t="shared" si="116"/>
        <v>0</v>
      </c>
      <c r="BO223" s="219">
        <f t="shared" si="117"/>
        <v>0</v>
      </c>
    </row>
    <row r="224" spans="1:67" x14ac:dyDescent="0.25">
      <c r="A224" s="31" t="s">
        <v>1521</v>
      </c>
      <c r="B224" s="176" t="str">
        <f>VLOOKUP(A224,kurspris!$A$1:$B$992,2,FALSE)</f>
        <v>Examensarbete i Idrott och hälsa för ämneslärarexamen</v>
      </c>
      <c r="D224" s="60" t="s">
        <v>482</v>
      </c>
      <c r="E224" s="576" t="s">
        <v>2226</v>
      </c>
      <c r="F224" s="31" t="s">
        <v>2273</v>
      </c>
      <c r="G224" s="244" t="s">
        <v>2454</v>
      </c>
      <c r="H224" t="s">
        <v>2335</v>
      </c>
      <c r="J224" s="31" t="s">
        <v>2231</v>
      </c>
      <c r="L224" s="38">
        <v>1</v>
      </c>
      <c r="M224" s="244">
        <v>7.5</v>
      </c>
      <c r="P224" s="31">
        <v>1</v>
      </c>
      <c r="Q224" s="196">
        <f t="shared" si="119"/>
        <v>0.125</v>
      </c>
      <c r="R224" s="38">
        <v>0.85</v>
      </c>
      <c r="S224" s="280">
        <f t="shared" si="90"/>
        <v>0.10625</v>
      </c>
      <c r="T224" s="31">
        <f>VLOOKUP(A224,'Ansvar kurs'!$A$1:$C$1123,2,FALSE)</f>
        <v>2180</v>
      </c>
      <c r="U224" s="31" t="str">
        <f>VLOOKUP(T224,Orgenheter!$A$1:$C$166,2,FALSE)</f>
        <v xml:space="preserve">Pedagogik                     </v>
      </c>
      <c r="V224" s="31" t="str">
        <f>VLOOKUP(T224,Orgenheter!$A$1:$C$166,3,FALSE)</f>
        <v>Sam</v>
      </c>
      <c r="W224" s="35" t="str">
        <f>VLOOKUP(D224,Program!$A$1:$B$36,2,FALSE)</f>
        <v>Ämneslärarprogrammet - Gy</v>
      </c>
      <c r="X224" s="40">
        <f>VLOOKUP(A224,kurspris!$A$1:$Q$913,15,FALSE)</f>
        <v>20766</v>
      </c>
      <c r="Y224" s="40">
        <f>VLOOKUP(A224,kurspris!$A$1:$Q$913,16,FALSE)</f>
        <v>17442</v>
      </c>
      <c r="Z224" s="40">
        <f t="shared" si="91"/>
        <v>4448.9624999999996</v>
      </c>
      <c r="AA224" s="40">
        <f>VLOOKUP(A224,kurspris!$A$1:$Q$913,17,FALSE)</f>
        <v>6000</v>
      </c>
      <c r="AB224" s="40">
        <f t="shared" si="92"/>
        <v>750</v>
      </c>
      <c r="AC224" s="40">
        <f t="shared" si="93"/>
        <v>5198.9624999999996</v>
      </c>
      <c r="AD224" s="31">
        <f>VLOOKUP($A224,kurspris!$A$1:$Q$950,3,FALSE)</f>
        <v>0</v>
      </c>
      <c r="AE224" s="31">
        <f>VLOOKUP($A224,kurspris!$A$1:$Q$950,4,FALSE)</f>
        <v>0</v>
      </c>
      <c r="AF224" s="31">
        <f>VLOOKUP($A224,kurspris!$A$1:$Q$950,5,FALSE)</f>
        <v>0</v>
      </c>
      <c r="AG224" s="31">
        <f>VLOOKUP($A224,kurspris!$A$1:$Q$950,6,FALSE)</f>
        <v>0</v>
      </c>
      <c r="AH224" s="31">
        <f>VLOOKUP($A224,kurspris!$A$1:$Q$950,7,FALSE)</f>
        <v>0</v>
      </c>
      <c r="AI224" s="31">
        <f>VLOOKUP($A224,kurspris!$A$1:$Q$950,8,FALSE)</f>
        <v>0</v>
      </c>
      <c r="AJ224" s="31">
        <f>VLOOKUP($A224,kurspris!$A$1:$Q$950,9,FALSE)</f>
        <v>1</v>
      </c>
      <c r="AK224" s="31">
        <f>VLOOKUP($A224,kurspris!$A$1:$Q$950,10,FALSE)</f>
        <v>0</v>
      </c>
      <c r="AL224" s="31">
        <f>VLOOKUP($A224,kurspris!$A$1:$Q$950,11,FALSE)</f>
        <v>0</v>
      </c>
      <c r="AM224" s="31">
        <f>VLOOKUP($A224,kurspris!$A$1:$Q$950,12,FALSE)</f>
        <v>0</v>
      </c>
      <c r="AN224" s="31">
        <f>VLOOKUP($A224,kurspris!$A$1:$Q$950,13,FALSE)</f>
        <v>0</v>
      </c>
      <c r="AO224" s="31">
        <f>VLOOKUP($A224,kurspris!$A$1:$Q$950,14,FALSE)</f>
        <v>0</v>
      </c>
      <c r="AP224" s="57" t="s">
        <v>2506</v>
      </c>
      <c r="AQ224" t="s">
        <v>2311</v>
      </c>
      <c r="AR224" s="31">
        <f t="shared" si="94"/>
        <v>0</v>
      </c>
      <c r="AS224" s="219">
        <f t="shared" si="95"/>
        <v>0</v>
      </c>
      <c r="AT224" s="31">
        <f t="shared" si="96"/>
        <v>0</v>
      </c>
      <c r="AU224" s="219">
        <f t="shared" si="97"/>
        <v>0</v>
      </c>
      <c r="AV224" s="31">
        <f t="shared" si="98"/>
        <v>0</v>
      </c>
      <c r="AW224" s="31">
        <f t="shared" si="99"/>
        <v>0</v>
      </c>
      <c r="AX224" s="31">
        <f t="shared" si="100"/>
        <v>0</v>
      </c>
      <c r="AY224" s="219">
        <f t="shared" si="101"/>
        <v>0</v>
      </c>
      <c r="AZ224" s="196">
        <f t="shared" si="102"/>
        <v>0</v>
      </c>
      <c r="BA224" s="219">
        <f t="shared" si="103"/>
        <v>0</v>
      </c>
      <c r="BB224" s="31">
        <f t="shared" si="104"/>
        <v>0</v>
      </c>
      <c r="BC224" s="219">
        <f t="shared" si="105"/>
        <v>0</v>
      </c>
      <c r="BD224" s="31">
        <f t="shared" si="106"/>
        <v>0.125</v>
      </c>
      <c r="BE224" s="219">
        <f t="shared" si="107"/>
        <v>0.10625</v>
      </c>
      <c r="BF224" s="31">
        <f t="shared" si="108"/>
        <v>0</v>
      </c>
      <c r="BG224" s="219">
        <f t="shared" si="109"/>
        <v>0</v>
      </c>
      <c r="BH224" s="31">
        <f t="shared" si="110"/>
        <v>0</v>
      </c>
      <c r="BI224" s="219">
        <f t="shared" si="111"/>
        <v>0</v>
      </c>
      <c r="BJ224" s="31">
        <f t="shared" si="112"/>
        <v>0</v>
      </c>
      <c r="BK224" s="219">
        <f t="shared" si="113"/>
        <v>0</v>
      </c>
      <c r="BL224" s="31">
        <f t="shared" si="114"/>
        <v>0</v>
      </c>
      <c r="BM224" s="219">
        <f t="shared" si="115"/>
        <v>0</v>
      </c>
      <c r="BN224" s="31">
        <f t="shared" si="116"/>
        <v>0</v>
      </c>
      <c r="BO224" s="219">
        <f t="shared" si="117"/>
        <v>0</v>
      </c>
    </row>
    <row r="225" spans="1:67" x14ac:dyDescent="0.25">
      <c r="A225" s="31" t="s">
        <v>1521</v>
      </c>
      <c r="B225" s="176" t="str">
        <f>VLOOKUP(A225,kurspris!$A$1:$B$992,2,FALSE)</f>
        <v>Examensarbete i Idrott och hälsa för ämneslärarexamen</v>
      </c>
      <c r="D225" s="60" t="s">
        <v>482</v>
      </c>
      <c r="E225" s="576" t="s">
        <v>2226</v>
      </c>
      <c r="F225" s="31" t="s">
        <v>2273</v>
      </c>
      <c r="G225" s="244" t="s">
        <v>2454</v>
      </c>
      <c r="H225" t="s">
        <v>2335</v>
      </c>
      <c r="J225" s="31" t="s">
        <v>2232</v>
      </c>
      <c r="L225" s="38">
        <v>1</v>
      </c>
      <c r="M225" s="244">
        <v>7.5</v>
      </c>
      <c r="P225" s="31">
        <v>11</v>
      </c>
      <c r="Q225" s="196">
        <f t="shared" si="119"/>
        <v>1.375</v>
      </c>
      <c r="R225" s="38">
        <v>0.85</v>
      </c>
      <c r="S225" s="280">
        <f t="shared" si="90"/>
        <v>1.16875</v>
      </c>
      <c r="T225" s="31">
        <f>VLOOKUP(A225,'Ansvar kurs'!$A$1:$C$1123,2,FALSE)</f>
        <v>2180</v>
      </c>
      <c r="U225" s="31" t="str">
        <f>VLOOKUP(T225,Orgenheter!$A$1:$C$166,2,FALSE)</f>
        <v xml:space="preserve">Pedagogik                     </v>
      </c>
      <c r="V225" s="31" t="str">
        <f>VLOOKUP(T225,Orgenheter!$A$1:$C$166,3,FALSE)</f>
        <v>Sam</v>
      </c>
      <c r="W225" s="35" t="str">
        <f>VLOOKUP(D225,Program!$A$1:$B$36,2,FALSE)</f>
        <v>Ämneslärarprogrammet - Gy</v>
      </c>
      <c r="X225" s="40">
        <f>VLOOKUP(A225,kurspris!$A$1:$Q$913,15,FALSE)</f>
        <v>20766</v>
      </c>
      <c r="Y225" s="40">
        <f>VLOOKUP(A225,kurspris!$A$1:$Q$913,16,FALSE)</f>
        <v>17442</v>
      </c>
      <c r="Z225" s="40">
        <f t="shared" si="91"/>
        <v>48938.587499999994</v>
      </c>
      <c r="AA225" s="40">
        <f>VLOOKUP(A225,kurspris!$A$1:$Q$913,17,FALSE)</f>
        <v>6000</v>
      </c>
      <c r="AB225" s="40">
        <f t="shared" si="92"/>
        <v>8250</v>
      </c>
      <c r="AC225" s="40">
        <f t="shared" si="93"/>
        <v>57188.587499999994</v>
      </c>
      <c r="AD225" s="31">
        <f>VLOOKUP($A225,kurspris!$A$1:$Q$950,3,FALSE)</f>
        <v>0</v>
      </c>
      <c r="AE225" s="31">
        <f>VLOOKUP($A225,kurspris!$A$1:$Q$950,4,FALSE)</f>
        <v>0</v>
      </c>
      <c r="AF225" s="31">
        <f>VLOOKUP($A225,kurspris!$A$1:$Q$950,5,FALSE)</f>
        <v>0</v>
      </c>
      <c r="AG225" s="31">
        <f>VLOOKUP($A225,kurspris!$A$1:$Q$950,6,FALSE)</f>
        <v>0</v>
      </c>
      <c r="AH225" s="31">
        <f>VLOOKUP($A225,kurspris!$A$1:$Q$950,7,FALSE)</f>
        <v>0</v>
      </c>
      <c r="AI225" s="31">
        <f>VLOOKUP($A225,kurspris!$A$1:$Q$950,8,FALSE)</f>
        <v>0</v>
      </c>
      <c r="AJ225" s="31">
        <f>VLOOKUP($A225,kurspris!$A$1:$Q$950,9,FALSE)</f>
        <v>1</v>
      </c>
      <c r="AK225" s="31">
        <f>VLOOKUP($A225,kurspris!$A$1:$Q$950,10,FALSE)</f>
        <v>0</v>
      </c>
      <c r="AL225" s="31">
        <f>VLOOKUP($A225,kurspris!$A$1:$Q$950,11,FALSE)</f>
        <v>0</v>
      </c>
      <c r="AM225" s="31">
        <f>VLOOKUP($A225,kurspris!$A$1:$Q$950,12,FALSE)</f>
        <v>0</v>
      </c>
      <c r="AN225" s="31">
        <f>VLOOKUP($A225,kurspris!$A$1:$Q$950,13,FALSE)</f>
        <v>0</v>
      </c>
      <c r="AO225" s="31">
        <f>VLOOKUP($A225,kurspris!$A$1:$Q$950,14,FALSE)</f>
        <v>0</v>
      </c>
      <c r="AP225" s="57" t="s">
        <v>2506</v>
      </c>
      <c r="AQ225" t="s">
        <v>2311</v>
      </c>
      <c r="AR225" s="31">
        <f t="shared" si="94"/>
        <v>0</v>
      </c>
      <c r="AS225" s="219">
        <f t="shared" si="95"/>
        <v>0</v>
      </c>
      <c r="AT225" s="31">
        <f t="shared" si="96"/>
        <v>0</v>
      </c>
      <c r="AU225" s="219">
        <f t="shared" si="97"/>
        <v>0</v>
      </c>
      <c r="AV225" s="31">
        <f t="shared" si="98"/>
        <v>0</v>
      </c>
      <c r="AW225" s="31">
        <f t="shared" si="99"/>
        <v>0</v>
      </c>
      <c r="AX225" s="31">
        <f t="shared" si="100"/>
        <v>0</v>
      </c>
      <c r="AY225" s="219">
        <f t="shared" si="101"/>
        <v>0</v>
      </c>
      <c r="AZ225" s="196">
        <f t="shared" si="102"/>
        <v>0</v>
      </c>
      <c r="BA225" s="219">
        <f t="shared" si="103"/>
        <v>0</v>
      </c>
      <c r="BB225" s="31">
        <f t="shared" si="104"/>
        <v>0</v>
      </c>
      <c r="BC225" s="219">
        <f t="shared" si="105"/>
        <v>0</v>
      </c>
      <c r="BD225" s="31">
        <f t="shared" si="106"/>
        <v>1.375</v>
      </c>
      <c r="BE225" s="219">
        <f t="shared" si="107"/>
        <v>1.16875</v>
      </c>
      <c r="BF225" s="31">
        <f t="shared" si="108"/>
        <v>0</v>
      </c>
      <c r="BG225" s="219">
        <f t="shared" si="109"/>
        <v>0</v>
      </c>
      <c r="BH225" s="31">
        <f t="shared" si="110"/>
        <v>0</v>
      </c>
      <c r="BI225" s="219">
        <f t="shared" si="111"/>
        <v>0</v>
      </c>
      <c r="BJ225" s="31">
        <f t="shared" si="112"/>
        <v>0</v>
      </c>
      <c r="BK225" s="219">
        <f t="shared" si="113"/>
        <v>0</v>
      </c>
      <c r="BL225" s="31">
        <f t="shared" si="114"/>
        <v>0</v>
      </c>
      <c r="BM225" s="219">
        <f t="shared" si="115"/>
        <v>0</v>
      </c>
      <c r="BN225" s="31">
        <f t="shared" si="116"/>
        <v>0</v>
      </c>
      <c r="BO225" s="219">
        <f t="shared" si="117"/>
        <v>0</v>
      </c>
    </row>
    <row r="226" spans="1:67" x14ac:dyDescent="0.25">
      <c r="A226" s="31" t="s">
        <v>1521</v>
      </c>
      <c r="B226" s="176" t="str">
        <f>VLOOKUP(A226,kurspris!$A$1:$B$992,2,FALSE)</f>
        <v>Examensarbete i Idrott och hälsa för ämneslärarexamen</v>
      </c>
      <c r="D226" s="60" t="s">
        <v>482</v>
      </c>
      <c r="E226" s="576" t="s">
        <v>2226</v>
      </c>
      <c r="F226" s="31" t="s">
        <v>2273</v>
      </c>
      <c r="G226" s="244" t="s">
        <v>2454</v>
      </c>
      <c r="H226" t="s">
        <v>2335</v>
      </c>
      <c r="J226" s="31" t="s">
        <v>2233</v>
      </c>
      <c r="L226" s="38">
        <v>1</v>
      </c>
      <c r="M226" s="244">
        <v>7.5</v>
      </c>
      <c r="P226" s="31">
        <v>1</v>
      </c>
      <c r="Q226" s="196">
        <f t="shared" si="119"/>
        <v>0.125</v>
      </c>
      <c r="R226" s="38">
        <v>0.85</v>
      </c>
      <c r="S226" s="280">
        <f t="shared" si="90"/>
        <v>0.10625</v>
      </c>
      <c r="T226" s="31">
        <f>VLOOKUP(A226,'Ansvar kurs'!$A$1:$C$1123,2,FALSE)</f>
        <v>2180</v>
      </c>
      <c r="U226" s="31" t="str">
        <f>VLOOKUP(T226,Orgenheter!$A$1:$C$166,2,FALSE)</f>
        <v xml:space="preserve">Pedagogik                     </v>
      </c>
      <c r="V226" s="31" t="str">
        <f>VLOOKUP(T226,Orgenheter!$A$1:$C$166,3,FALSE)</f>
        <v>Sam</v>
      </c>
      <c r="W226" s="35" t="str">
        <f>VLOOKUP(D226,Program!$A$1:$B$36,2,FALSE)</f>
        <v>Ämneslärarprogrammet - Gy</v>
      </c>
      <c r="X226" s="40">
        <f>VLOOKUP(A226,kurspris!$A$1:$Q$913,15,FALSE)</f>
        <v>20766</v>
      </c>
      <c r="Y226" s="40">
        <f>VLOOKUP(A226,kurspris!$A$1:$Q$913,16,FALSE)</f>
        <v>17442</v>
      </c>
      <c r="Z226" s="40">
        <f t="shared" si="91"/>
        <v>4448.9624999999996</v>
      </c>
      <c r="AA226" s="40">
        <f>VLOOKUP(A226,kurspris!$A$1:$Q$913,17,FALSE)</f>
        <v>6000</v>
      </c>
      <c r="AB226" s="40">
        <f t="shared" si="92"/>
        <v>750</v>
      </c>
      <c r="AC226" s="40">
        <f t="shared" si="93"/>
        <v>5198.9624999999996</v>
      </c>
      <c r="AD226" s="31">
        <f>VLOOKUP($A226,kurspris!$A$1:$Q$950,3,FALSE)</f>
        <v>0</v>
      </c>
      <c r="AE226" s="31">
        <f>VLOOKUP($A226,kurspris!$A$1:$Q$950,4,FALSE)</f>
        <v>0</v>
      </c>
      <c r="AF226" s="31">
        <f>VLOOKUP($A226,kurspris!$A$1:$Q$950,5,FALSE)</f>
        <v>0</v>
      </c>
      <c r="AG226" s="31">
        <f>VLOOKUP($A226,kurspris!$A$1:$Q$950,6,FALSE)</f>
        <v>0</v>
      </c>
      <c r="AH226" s="31">
        <f>VLOOKUP($A226,kurspris!$A$1:$Q$950,7,FALSE)</f>
        <v>0</v>
      </c>
      <c r="AI226" s="31">
        <f>VLOOKUP($A226,kurspris!$A$1:$Q$950,8,FALSE)</f>
        <v>0</v>
      </c>
      <c r="AJ226" s="31">
        <f>VLOOKUP($A226,kurspris!$A$1:$Q$950,9,FALSE)</f>
        <v>1</v>
      </c>
      <c r="AK226" s="31">
        <f>VLOOKUP($A226,kurspris!$A$1:$Q$950,10,FALSE)</f>
        <v>0</v>
      </c>
      <c r="AL226" s="31">
        <f>VLOOKUP($A226,kurspris!$A$1:$Q$950,11,FALSE)</f>
        <v>0</v>
      </c>
      <c r="AM226" s="31">
        <f>VLOOKUP($A226,kurspris!$A$1:$Q$950,12,FALSE)</f>
        <v>0</v>
      </c>
      <c r="AN226" s="31">
        <f>VLOOKUP($A226,kurspris!$A$1:$Q$950,13,FALSE)</f>
        <v>0</v>
      </c>
      <c r="AO226" s="31">
        <f>VLOOKUP($A226,kurspris!$A$1:$Q$950,14,FALSE)</f>
        <v>0</v>
      </c>
      <c r="AP226" s="57" t="s">
        <v>2506</v>
      </c>
      <c r="AQ226" t="s">
        <v>2311</v>
      </c>
      <c r="AR226" s="31">
        <f t="shared" si="94"/>
        <v>0</v>
      </c>
      <c r="AS226" s="219">
        <f t="shared" si="95"/>
        <v>0</v>
      </c>
      <c r="AT226" s="31">
        <f t="shared" si="96"/>
        <v>0</v>
      </c>
      <c r="AU226" s="219">
        <f t="shared" si="97"/>
        <v>0</v>
      </c>
      <c r="AV226" s="31">
        <f t="shared" si="98"/>
        <v>0</v>
      </c>
      <c r="AW226" s="31">
        <f t="shared" si="99"/>
        <v>0</v>
      </c>
      <c r="AX226" s="31">
        <f t="shared" si="100"/>
        <v>0</v>
      </c>
      <c r="AY226" s="219">
        <f t="shared" si="101"/>
        <v>0</v>
      </c>
      <c r="AZ226" s="196">
        <f t="shared" si="102"/>
        <v>0</v>
      </c>
      <c r="BA226" s="219">
        <f t="shared" si="103"/>
        <v>0</v>
      </c>
      <c r="BB226" s="31">
        <f t="shared" si="104"/>
        <v>0</v>
      </c>
      <c r="BC226" s="219">
        <f t="shared" si="105"/>
        <v>0</v>
      </c>
      <c r="BD226" s="31">
        <f t="shared" si="106"/>
        <v>0.125</v>
      </c>
      <c r="BE226" s="219">
        <f t="shared" si="107"/>
        <v>0.10625</v>
      </c>
      <c r="BF226" s="31">
        <f t="shared" si="108"/>
        <v>0</v>
      </c>
      <c r="BG226" s="219">
        <f t="shared" si="109"/>
        <v>0</v>
      </c>
      <c r="BH226" s="31">
        <f t="shared" si="110"/>
        <v>0</v>
      </c>
      <c r="BI226" s="219">
        <f t="shared" si="111"/>
        <v>0</v>
      </c>
      <c r="BJ226" s="31">
        <f t="shared" si="112"/>
        <v>0</v>
      </c>
      <c r="BK226" s="219">
        <f t="shared" si="113"/>
        <v>0</v>
      </c>
      <c r="BL226" s="31">
        <f t="shared" si="114"/>
        <v>0</v>
      </c>
      <c r="BM226" s="219">
        <f t="shared" si="115"/>
        <v>0</v>
      </c>
      <c r="BN226" s="31">
        <f t="shared" si="116"/>
        <v>0</v>
      </c>
      <c r="BO226" s="219">
        <f t="shared" si="117"/>
        <v>0</v>
      </c>
    </row>
    <row r="227" spans="1:67" x14ac:dyDescent="0.25">
      <c r="A227" s="31" t="s">
        <v>1445</v>
      </c>
      <c r="B227" s="176" t="str">
        <f>VLOOKUP(A227,kurspris!$A$1:$B$992,2,FALSE)</f>
        <v>Praktiskt estetiskt ämne - Idrott och hälsa 2</v>
      </c>
      <c r="D227" s="31" t="s">
        <v>117</v>
      </c>
      <c r="F227" s="31" t="s">
        <v>2273</v>
      </c>
      <c r="I227" s="31" t="s">
        <v>2276</v>
      </c>
      <c r="L227" s="38">
        <v>1</v>
      </c>
      <c r="M227" s="325">
        <v>15</v>
      </c>
      <c r="P227" s="31">
        <v>5</v>
      </c>
      <c r="Q227" s="196">
        <f t="shared" si="119"/>
        <v>1.25</v>
      </c>
      <c r="R227" s="38">
        <v>0.8</v>
      </c>
      <c r="S227" s="280">
        <f t="shared" si="90"/>
        <v>1</v>
      </c>
      <c r="T227" s="31">
        <f>VLOOKUP(A227,'Ansvar kurs'!$A$1:$C$1123,2,FALSE)</f>
        <v>2180</v>
      </c>
      <c r="U227" s="31" t="str">
        <f>VLOOKUP(T227,Orgenheter!$A$1:$C$166,2,FALSE)</f>
        <v xml:space="preserve">Pedagogik                     </v>
      </c>
      <c r="V227" s="31" t="str">
        <f>VLOOKUP(T227,Orgenheter!$A$1:$C$166,3,FALSE)</f>
        <v>Sam</v>
      </c>
      <c r="W227" s="35" t="str">
        <f>VLOOKUP(D227,Program!$A$1:$B$36,2,FALSE)</f>
        <v>Fristående och övriga kurser</v>
      </c>
      <c r="X227" s="40">
        <f>VLOOKUP(A227,kurspris!$A$1:$Q$913,15,FALSE)</f>
        <v>16920</v>
      </c>
      <c r="Y227" s="40">
        <f>VLOOKUP(A227,kurspris!$A$1:$Q$913,16,FALSE)</f>
        <v>27913</v>
      </c>
      <c r="Z227" s="40">
        <f t="shared" si="91"/>
        <v>49063</v>
      </c>
      <c r="AA227" s="40">
        <f>VLOOKUP(A227,kurspris!$A$1:$Q$913,17,FALSE)</f>
        <v>17900</v>
      </c>
      <c r="AB227" s="40">
        <f t="shared" si="92"/>
        <v>22375</v>
      </c>
      <c r="AC227" s="40">
        <f t="shared" si="93"/>
        <v>71438</v>
      </c>
      <c r="AD227" s="31">
        <f>VLOOKUP($A227,kurspris!$A$1:$Q$950,3,FALSE)</f>
        <v>0</v>
      </c>
      <c r="AE227" s="31">
        <f>VLOOKUP($A227,kurspris!$A$1:$Q$950,4,FALSE)</f>
        <v>0</v>
      </c>
      <c r="AF227" s="31">
        <f>VLOOKUP($A227,kurspris!$A$1:$Q$950,5,FALSE)</f>
        <v>0</v>
      </c>
      <c r="AG227" s="31">
        <f>VLOOKUP($A227,kurspris!$A$1:$Q$950,6,FALSE)</f>
        <v>0</v>
      </c>
      <c r="AH227" s="31">
        <f>VLOOKUP($A227,kurspris!$A$1:$Q$950,7,FALSE)</f>
        <v>0</v>
      </c>
      <c r="AI227" s="31">
        <f>VLOOKUP($A227,kurspris!$A$1:$Q$950,8,FALSE)</f>
        <v>0</v>
      </c>
      <c r="AJ227" s="31">
        <f>VLOOKUP($A227,kurspris!$A$1:$Q$950,9,FALSE)</f>
        <v>0</v>
      </c>
      <c r="AK227" s="31">
        <f>VLOOKUP($A227,kurspris!$A$1:$Q$950,10,FALSE)</f>
        <v>0</v>
      </c>
      <c r="AL227" s="31">
        <f>VLOOKUP($A227,kurspris!$A$1:$Q$950,11,FALSE)</f>
        <v>0</v>
      </c>
      <c r="AM227" s="31">
        <f>VLOOKUP($A227,kurspris!$A$1:$Q$950,12,FALSE)</f>
        <v>0</v>
      </c>
      <c r="AN227" s="31">
        <f>VLOOKUP($A227,kurspris!$A$1:$Q$950,13,FALSE)</f>
        <v>1</v>
      </c>
      <c r="AO227" s="31">
        <f>VLOOKUP($A227,kurspris!$A$1:$Q$950,14,FALSE)</f>
        <v>0</v>
      </c>
      <c r="AP227" s="57" t="s">
        <v>2267</v>
      </c>
      <c r="AQ227" s="37"/>
      <c r="AR227" s="31">
        <f t="shared" si="94"/>
        <v>0</v>
      </c>
      <c r="AS227" s="219">
        <f t="shared" si="95"/>
        <v>0</v>
      </c>
      <c r="AT227" s="31">
        <f t="shared" si="96"/>
        <v>0</v>
      </c>
      <c r="AU227" s="219">
        <f t="shared" si="97"/>
        <v>0</v>
      </c>
      <c r="AV227" s="31">
        <f t="shared" si="98"/>
        <v>0</v>
      </c>
      <c r="AW227" s="31">
        <f t="shared" si="99"/>
        <v>0</v>
      </c>
      <c r="AX227" s="31">
        <f t="shared" si="100"/>
        <v>0</v>
      </c>
      <c r="AY227" s="219">
        <f t="shared" si="101"/>
        <v>0</v>
      </c>
      <c r="AZ227" s="196">
        <f t="shared" si="102"/>
        <v>0</v>
      </c>
      <c r="BA227" s="219">
        <f t="shared" si="103"/>
        <v>0</v>
      </c>
      <c r="BB227" s="31">
        <f t="shared" si="104"/>
        <v>0</v>
      </c>
      <c r="BC227" s="219">
        <f t="shared" si="105"/>
        <v>0</v>
      </c>
      <c r="BD227" s="31">
        <f t="shared" si="106"/>
        <v>0</v>
      </c>
      <c r="BE227" s="219">
        <f t="shared" si="107"/>
        <v>0</v>
      </c>
      <c r="BF227" s="31">
        <f t="shared" si="108"/>
        <v>0</v>
      </c>
      <c r="BG227" s="219">
        <f t="shared" si="109"/>
        <v>0</v>
      </c>
      <c r="BH227" s="31">
        <f t="shared" si="110"/>
        <v>0</v>
      </c>
      <c r="BI227" s="219">
        <f t="shared" si="111"/>
        <v>0</v>
      </c>
      <c r="BJ227" s="31">
        <f t="shared" si="112"/>
        <v>0</v>
      </c>
      <c r="BK227" s="219">
        <f t="shared" si="113"/>
        <v>0</v>
      </c>
      <c r="BL227" s="31">
        <f t="shared" si="114"/>
        <v>1.25</v>
      </c>
      <c r="BM227" s="219">
        <f t="shared" si="115"/>
        <v>1</v>
      </c>
      <c r="BN227" s="31">
        <f t="shared" si="116"/>
        <v>0</v>
      </c>
      <c r="BO227" s="219">
        <f t="shared" si="117"/>
        <v>0</v>
      </c>
    </row>
    <row r="228" spans="1:67" x14ac:dyDescent="0.25">
      <c r="A228" s="31" t="s">
        <v>1445</v>
      </c>
      <c r="B228" s="176" t="str">
        <f>VLOOKUP(A228,kurspris!$A$1:$B$992,2,FALSE)</f>
        <v>Praktiskt estetiskt ämne - Idrott och hälsa 2</v>
      </c>
      <c r="D228" s="60" t="s">
        <v>484</v>
      </c>
      <c r="E228" s="576" t="s">
        <v>2434</v>
      </c>
      <c r="F228" s="31" t="s">
        <v>2273</v>
      </c>
      <c r="G228" t="s">
        <v>2440</v>
      </c>
      <c r="H228" t="s">
        <v>2335</v>
      </c>
      <c r="I228" s="31" t="s">
        <v>2276</v>
      </c>
      <c r="L228" s="38">
        <v>1</v>
      </c>
      <c r="M228">
        <v>15</v>
      </c>
      <c r="P228" s="31">
        <v>11</v>
      </c>
      <c r="Q228" s="196">
        <f t="shared" si="119"/>
        <v>2.75</v>
      </c>
      <c r="R228" s="38">
        <v>0.85</v>
      </c>
      <c r="S228" s="280">
        <f t="shared" si="90"/>
        <v>2.3374999999999999</v>
      </c>
      <c r="T228" s="31">
        <f>VLOOKUP(A228,'Ansvar kurs'!$A$1:$C$1123,2,FALSE)</f>
        <v>2180</v>
      </c>
      <c r="U228" s="31" t="str">
        <f>VLOOKUP(T228,Orgenheter!$A$1:$C$166,2,FALSE)</f>
        <v xml:space="preserve">Pedagogik                     </v>
      </c>
      <c r="V228" s="31" t="str">
        <f>VLOOKUP(T228,Orgenheter!$A$1:$C$166,3,FALSE)</f>
        <v>Sam</v>
      </c>
      <c r="W228" s="35" t="str">
        <f>VLOOKUP(D228,Program!$A$1:$B$36,2,FALSE)</f>
        <v>Grundlärarprogrammet - fritidshem</v>
      </c>
      <c r="X228" s="40">
        <f>VLOOKUP(A228,kurspris!$A$1:$Q$913,15,FALSE)</f>
        <v>16920</v>
      </c>
      <c r="Y228" s="40">
        <f>VLOOKUP(A228,kurspris!$A$1:$Q$913,16,FALSE)</f>
        <v>27913</v>
      </c>
      <c r="Z228" s="40">
        <f t="shared" si="91"/>
        <v>111776.6375</v>
      </c>
      <c r="AA228" s="40">
        <f>VLOOKUP(A228,kurspris!$A$1:$Q$913,17,FALSE)</f>
        <v>17900</v>
      </c>
      <c r="AB228" s="40">
        <f t="shared" si="92"/>
        <v>49225</v>
      </c>
      <c r="AC228" s="40">
        <f t="shared" si="93"/>
        <v>161001.63750000001</v>
      </c>
      <c r="AD228" s="31">
        <f>VLOOKUP($A228,kurspris!$A$1:$Q$950,3,FALSE)</f>
        <v>0</v>
      </c>
      <c r="AE228" s="31">
        <f>VLOOKUP($A228,kurspris!$A$1:$Q$950,4,FALSE)</f>
        <v>0</v>
      </c>
      <c r="AF228" s="31">
        <f>VLOOKUP($A228,kurspris!$A$1:$Q$950,5,FALSE)</f>
        <v>0</v>
      </c>
      <c r="AG228" s="31">
        <f>VLOOKUP($A228,kurspris!$A$1:$Q$950,6,FALSE)</f>
        <v>0</v>
      </c>
      <c r="AH228" s="31">
        <f>VLOOKUP($A228,kurspris!$A$1:$Q$950,7,FALSE)</f>
        <v>0</v>
      </c>
      <c r="AI228" s="31">
        <f>VLOOKUP($A228,kurspris!$A$1:$Q$950,8,FALSE)</f>
        <v>0</v>
      </c>
      <c r="AJ228" s="31">
        <f>VLOOKUP($A228,kurspris!$A$1:$Q$950,9,FALSE)</f>
        <v>0</v>
      </c>
      <c r="AK228" s="31">
        <f>VLOOKUP($A228,kurspris!$A$1:$Q$950,10,FALSE)</f>
        <v>0</v>
      </c>
      <c r="AL228" s="31">
        <f>VLOOKUP($A228,kurspris!$A$1:$Q$950,11,FALSE)</f>
        <v>0</v>
      </c>
      <c r="AM228" s="31">
        <f>VLOOKUP($A228,kurspris!$A$1:$Q$950,12,FALSE)</f>
        <v>0</v>
      </c>
      <c r="AN228" s="31">
        <f>VLOOKUP($A228,kurspris!$A$1:$Q$950,13,FALSE)</f>
        <v>1</v>
      </c>
      <c r="AO228" s="31">
        <f>VLOOKUP($A228,kurspris!$A$1:$Q$950,14,FALSE)</f>
        <v>0</v>
      </c>
      <c r="AP228" s="57" t="s">
        <v>2504</v>
      </c>
      <c r="AQ228"/>
      <c r="AR228" s="31">
        <f t="shared" si="94"/>
        <v>0</v>
      </c>
      <c r="AS228" s="219">
        <f t="shared" si="95"/>
        <v>0</v>
      </c>
      <c r="AT228" s="31">
        <f t="shared" si="96"/>
        <v>0</v>
      </c>
      <c r="AU228" s="219">
        <f t="shared" si="97"/>
        <v>0</v>
      </c>
      <c r="AV228" s="31">
        <f t="shared" si="98"/>
        <v>0</v>
      </c>
      <c r="AW228" s="31">
        <f t="shared" si="99"/>
        <v>0</v>
      </c>
      <c r="AX228" s="31">
        <f t="shared" si="100"/>
        <v>0</v>
      </c>
      <c r="AY228" s="219">
        <f t="shared" si="101"/>
        <v>0</v>
      </c>
      <c r="AZ228" s="196">
        <f t="shared" si="102"/>
        <v>0</v>
      </c>
      <c r="BA228" s="219">
        <f t="shared" si="103"/>
        <v>0</v>
      </c>
      <c r="BB228" s="31">
        <f t="shared" si="104"/>
        <v>0</v>
      </c>
      <c r="BC228" s="219">
        <f t="shared" si="105"/>
        <v>0</v>
      </c>
      <c r="BD228" s="31">
        <f t="shared" si="106"/>
        <v>0</v>
      </c>
      <c r="BE228" s="219">
        <f t="shared" si="107"/>
        <v>0</v>
      </c>
      <c r="BF228" s="31">
        <f t="shared" si="108"/>
        <v>0</v>
      </c>
      <c r="BG228" s="219">
        <f t="shared" si="109"/>
        <v>0</v>
      </c>
      <c r="BH228" s="31">
        <f t="shared" si="110"/>
        <v>0</v>
      </c>
      <c r="BI228" s="219">
        <f t="shared" si="111"/>
        <v>0</v>
      </c>
      <c r="BJ228" s="31">
        <f t="shared" si="112"/>
        <v>0</v>
      </c>
      <c r="BK228" s="219">
        <f t="shared" si="113"/>
        <v>0</v>
      </c>
      <c r="BL228" s="31">
        <f t="shared" si="114"/>
        <v>2.75</v>
      </c>
      <c r="BM228" s="219">
        <f t="shared" si="115"/>
        <v>2.3374999999999999</v>
      </c>
      <c r="BN228" s="31">
        <f t="shared" si="116"/>
        <v>0</v>
      </c>
      <c r="BO228" s="219">
        <f t="shared" si="117"/>
        <v>0</v>
      </c>
    </row>
    <row r="229" spans="1:67" x14ac:dyDescent="0.25">
      <c r="A229" s="31" t="s">
        <v>1435</v>
      </c>
      <c r="B229" s="176" t="str">
        <f>VLOOKUP(A229,kurspris!$A$1:$B$992,2,FALSE)</f>
        <v>Praktiskt estetiskt ämne - Idrott och hälsa 1</v>
      </c>
      <c r="D229" s="31" t="s">
        <v>117</v>
      </c>
      <c r="F229" s="31" t="s">
        <v>2273</v>
      </c>
      <c r="I229" s="31" t="s">
        <v>2276</v>
      </c>
      <c r="L229" s="38">
        <v>1</v>
      </c>
      <c r="M229" s="325">
        <v>15</v>
      </c>
      <c r="P229" s="31">
        <v>5</v>
      </c>
      <c r="Q229" s="196">
        <f t="shared" si="119"/>
        <v>1.25</v>
      </c>
      <c r="R229" s="38">
        <v>0.8</v>
      </c>
      <c r="S229" s="280">
        <f t="shared" si="90"/>
        <v>1</v>
      </c>
      <c r="T229" s="31">
        <f>VLOOKUP(A229,'Ansvar kurs'!$A$1:$C$1123,2,FALSE)</f>
        <v>2180</v>
      </c>
      <c r="U229" s="31" t="str">
        <f>VLOOKUP(T229,Orgenheter!$A$1:$C$166,2,FALSE)</f>
        <v xml:space="preserve">Pedagogik                     </v>
      </c>
      <c r="V229" s="31" t="str">
        <f>VLOOKUP(T229,Orgenheter!$A$1:$C$166,3,FALSE)</f>
        <v>Sam</v>
      </c>
      <c r="W229" s="35" t="str">
        <f>VLOOKUP(D229,Program!$A$1:$B$36,2,FALSE)</f>
        <v>Fristående och övriga kurser</v>
      </c>
      <c r="X229" s="40">
        <f>VLOOKUP(A229,kurspris!$A$1:$Q$913,15,FALSE)</f>
        <v>16920</v>
      </c>
      <c r="Y229" s="40">
        <f>VLOOKUP(A229,kurspris!$A$1:$Q$913,16,FALSE)</f>
        <v>27913</v>
      </c>
      <c r="Z229" s="40">
        <f t="shared" si="91"/>
        <v>49063</v>
      </c>
      <c r="AA229" s="40">
        <f>VLOOKUP(A229,kurspris!$A$1:$Q$913,17,FALSE)</f>
        <v>17900</v>
      </c>
      <c r="AB229" s="40">
        <f t="shared" si="92"/>
        <v>22375</v>
      </c>
      <c r="AC229" s="40">
        <f t="shared" si="93"/>
        <v>71438</v>
      </c>
      <c r="AD229" s="31">
        <f>VLOOKUP($A229,kurspris!$A$1:$Q$950,3,FALSE)</f>
        <v>0</v>
      </c>
      <c r="AE229" s="31">
        <f>VLOOKUP($A229,kurspris!$A$1:$Q$950,4,FALSE)</f>
        <v>0</v>
      </c>
      <c r="AF229" s="31">
        <f>VLOOKUP($A229,kurspris!$A$1:$Q$950,5,FALSE)</f>
        <v>0</v>
      </c>
      <c r="AG229" s="31">
        <f>VLOOKUP($A229,kurspris!$A$1:$Q$950,6,FALSE)</f>
        <v>0</v>
      </c>
      <c r="AH229" s="31">
        <f>VLOOKUP($A229,kurspris!$A$1:$Q$950,7,FALSE)</f>
        <v>0</v>
      </c>
      <c r="AI229" s="31">
        <f>VLOOKUP($A229,kurspris!$A$1:$Q$950,8,FALSE)</f>
        <v>0</v>
      </c>
      <c r="AJ229" s="31">
        <f>VLOOKUP($A229,kurspris!$A$1:$Q$950,9,FALSE)</f>
        <v>0</v>
      </c>
      <c r="AK229" s="31">
        <f>VLOOKUP($A229,kurspris!$A$1:$Q$950,10,FALSE)</f>
        <v>0</v>
      </c>
      <c r="AL229" s="31">
        <f>VLOOKUP($A229,kurspris!$A$1:$Q$950,11,FALSE)</f>
        <v>0</v>
      </c>
      <c r="AM229" s="31">
        <f>VLOOKUP($A229,kurspris!$A$1:$Q$950,12,FALSE)</f>
        <v>0</v>
      </c>
      <c r="AN229" s="31">
        <f>VLOOKUP($A229,kurspris!$A$1:$Q$950,13,FALSE)</f>
        <v>1</v>
      </c>
      <c r="AO229" s="31">
        <f>VLOOKUP($A229,kurspris!$A$1:$Q$950,14,FALSE)</f>
        <v>0</v>
      </c>
      <c r="AP229" s="57" t="s">
        <v>2267</v>
      </c>
      <c r="AQ229"/>
      <c r="AR229" s="31">
        <f t="shared" si="94"/>
        <v>0</v>
      </c>
      <c r="AS229" s="219">
        <f t="shared" si="95"/>
        <v>0</v>
      </c>
      <c r="AT229" s="31">
        <f t="shared" si="96"/>
        <v>0</v>
      </c>
      <c r="AU229" s="219">
        <f t="shared" si="97"/>
        <v>0</v>
      </c>
      <c r="AV229" s="31">
        <f t="shared" si="98"/>
        <v>0</v>
      </c>
      <c r="AW229" s="31">
        <f t="shared" si="99"/>
        <v>0</v>
      </c>
      <c r="AX229" s="31">
        <f t="shared" si="100"/>
        <v>0</v>
      </c>
      <c r="AY229" s="219">
        <f t="shared" si="101"/>
        <v>0</v>
      </c>
      <c r="AZ229" s="196">
        <f t="shared" si="102"/>
        <v>0</v>
      </c>
      <c r="BA229" s="219">
        <f t="shared" si="103"/>
        <v>0</v>
      </c>
      <c r="BB229" s="31">
        <f t="shared" si="104"/>
        <v>0</v>
      </c>
      <c r="BC229" s="219">
        <f t="shared" si="105"/>
        <v>0</v>
      </c>
      <c r="BD229" s="31">
        <f t="shared" si="106"/>
        <v>0</v>
      </c>
      <c r="BE229" s="219">
        <f t="shared" si="107"/>
        <v>0</v>
      </c>
      <c r="BF229" s="31">
        <f t="shared" si="108"/>
        <v>0</v>
      </c>
      <c r="BG229" s="219">
        <f t="shared" si="109"/>
        <v>0</v>
      </c>
      <c r="BH229" s="31">
        <f t="shared" si="110"/>
        <v>0</v>
      </c>
      <c r="BI229" s="219">
        <f t="shared" si="111"/>
        <v>0</v>
      </c>
      <c r="BJ229" s="31">
        <f t="shared" si="112"/>
        <v>0</v>
      </c>
      <c r="BK229" s="219">
        <f t="shared" si="113"/>
        <v>0</v>
      </c>
      <c r="BL229" s="31">
        <f t="shared" si="114"/>
        <v>1.25</v>
      </c>
      <c r="BM229" s="219">
        <f t="shared" si="115"/>
        <v>1</v>
      </c>
      <c r="BN229" s="31">
        <f t="shared" si="116"/>
        <v>0</v>
      </c>
      <c r="BO229" s="219">
        <f t="shared" si="117"/>
        <v>0</v>
      </c>
    </row>
    <row r="230" spans="1:67" x14ac:dyDescent="0.25">
      <c r="A230" s="31" t="s">
        <v>1435</v>
      </c>
      <c r="B230" s="176" t="str">
        <f>VLOOKUP(A230,kurspris!$A$1:$B$992,2,FALSE)</f>
        <v>Praktiskt estetiskt ämne - Idrott och hälsa 1</v>
      </c>
      <c r="D230" s="60" t="s">
        <v>484</v>
      </c>
      <c r="E230" s="576" t="s">
        <v>2432</v>
      </c>
      <c r="F230" s="31" t="s">
        <v>2273</v>
      </c>
      <c r="G230" t="s">
        <v>2437</v>
      </c>
      <c r="H230" t="s">
        <v>2335</v>
      </c>
      <c r="I230" s="31" t="s">
        <v>2276</v>
      </c>
      <c r="L230" s="38">
        <v>1</v>
      </c>
      <c r="M230">
        <v>15</v>
      </c>
      <c r="P230" s="31">
        <v>6</v>
      </c>
      <c r="Q230" s="196">
        <f t="shared" si="119"/>
        <v>1.5</v>
      </c>
      <c r="R230" s="38">
        <v>0.85</v>
      </c>
      <c r="S230" s="280">
        <f t="shared" si="90"/>
        <v>1.2749999999999999</v>
      </c>
      <c r="T230" s="31">
        <f>VLOOKUP(A230,'Ansvar kurs'!$A$1:$C$1123,2,FALSE)</f>
        <v>2180</v>
      </c>
      <c r="U230" s="31" t="str">
        <f>VLOOKUP(T230,Orgenheter!$A$1:$C$166,2,FALSE)</f>
        <v xml:space="preserve">Pedagogik                     </v>
      </c>
      <c r="V230" s="31" t="str">
        <f>VLOOKUP(T230,Orgenheter!$A$1:$C$166,3,FALSE)</f>
        <v>Sam</v>
      </c>
      <c r="W230" s="35" t="str">
        <f>VLOOKUP(D230,Program!$A$1:$B$36,2,FALSE)</f>
        <v>Grundlärarprogrammet - fritidshem</v>
      </c>
      <c r="X230" s="40">
        <f>VLOOKUP(A230,kurspris!$A$1:$Q$913,15,FALSE)</f>
        <v>16920</v>
      </c>
      <c r="Y230" s="40">
        <f>VLOOKUP(A230,kurspris!$A$1:$Q$913,16,FALSE)</f>
        <v>27913</v>
      </c>
      <c r="Z230" s="40">
        <f t="shared" si="91"/>
        <v>60969.074999999997</v>
      </c>
      <c r="AA230" s="40">
        <f>VLOOKUP(A230,kurspris!$A$1:$Q$913,17,FALSE)</f>
        <v>17900</v>
      </c>
      <c r="AB230" s="40">
        <f t="shared" si="92"/>
        <v>26850</v>
      </c>
      <c r="AC230" s="40">
        <f t="shared" si="93"/>
        <v>87819.074999999997</v>
      </c>
      <c r="AD230" s="31">
        <f>VLOOKUP($A230,kurspris!$A$1:$Q$950,3,FALSE)</f>
        <v>0</v>
      </c>
      <c r="AE230" s="31">
        <f>VLOOKUP($A230,kurspris!$A$1:$Q$950,4,FALSE)</f>
        <v>0</v>
      </c>
      <c r="AF230" s="31">
        <f>VLOOKUP($A230,kurspris!$A$1:$Q$950,5,FALSE)</f>
        <v>0</v>
      </c>
      <c r="AG230" s="31">
        <f>VLOOKUP($A230,kurspris!$A$1:$Q$950,6,FALSE)</f>
        <v>0</v>
      </c>
      <c r="AH230" s="31">
        <f>VLOOKUP($A230,kurspris!$A$1:$Q$950,7,FALSE)</f>
        <v>0</v>
      </c>
      <c r="AI230" s="31">
        <f>VLOOKUP($A230,kurspris!$A$1:$Q$950,8,FALSE)</f>
        <v>0</v>
      </c>
      <c r="AJ230" s="31">
        <f>VLOOKUP($A230,kurspris!$A$1:$Q$950,9,FALSE)</f>
        <v>0</v>
      </c>
      <c r="AK230" s="31">
        <f>VLOOKUP($A230,kurspris!$A$1:$Q$950,10,FALSE)</f>
        <v>0</v>
      </c>
      <c r="AL230" s="31">
        <f>VLOOKUP($A230,kurspris!$A$1:$Q$950,11,FALSE)</f>
        <v>0</v>
      </c>
      <c r="AM230" s="31">
        <f>VLOOKUP($A230,kurspris!$A$1:$Q$950,12,FALSE)</f>
        <v>0</v>
      </c>
      <c r="AN230" s="31">
        <f>VLOOKUP($A230,kurspris!$A$1:$Q$950,13,FALSE)</f>
        <v>1</v>
      </c>
      <c r="AO230" s="31">
        <f>VLOOKUP($A230,kurspris!$A$1:$Q$950,14,FALSE)</f>
        <v>0</v>
      </c>
      <c r="AP230" s="57" t="s">
        <v>2504</v>
      </c>
      <c r="AQ230"/>
      <c r="AR230" s="31">
        <f t="shared" si="94"/>
        <v>0</v>
      </c>
      <c r="AS230" s="219">
        <f t="shared" si="95"/>
        <v>0</v>
      </c>
      <c r="AT230" s="31">
        <f t="shared" si="96"/>
        <v>0</v>
      </c>
      <c r="AU230" s="219">
        <f t="shared" si="97"/>
        <v>0</v>
      </c>
      <c r="AV230" s="31">
        <f t="shared" si="98"/>
        <v>0</v>
      </c>
      <c r="AW230" s="31">
        <f t="shared" si="99"/>
        <v>0</v>
      </c>
      <c r="AX230" s="31">
        <f t="shared" si="100"/>
        <v>0</v>
      </c>
      <c r="AY230" s="219">
        <f t="shared" si="101"/>
        <v>0</v>
      </c>
      <c r="AZ230" s="196">
        <f t="shared" si="102"/>
        <v>0</v>
      </c>
      <c r="BA230" s="219">
        <f t="shared" si="103"/>
        <v>0</v>
      </c>
      <c r="BB230" s="31">
        <f t="shared" si="104"/>
        <v>0</v>
      </c>
      <c r="BC230" s="219">
        <f t="shared" si="105"/>
        <v>0</v>
      </c>
      <c r="BD230" s="31">
        <f t="shared" si="106"/>
        <v>0</v>
      </c>
      <c r="BE230" s="219">
        <f t="shared" si="107"/>
        <v>0</v>
      </c>
      <c r="BF230" s="31">
        <f t="shared" si="108"/>
        <v>0</v>
      </c>
      <c r="BG230" s="219">
        <f t="shared" si="109"/>
        <v>0</v>
      </c>
      <c r="BH230" s="31">
        <f t="shared" si="110"/>
        <v>0</v>
      </c>
      <c r="BI230" s="219">
        <f t="shared" si="111"/>
        <v>0</v>
      </c>
      <c r="BJ230" s="31">
        <f t="shared" si="112"/>
        <v>0</v>
      </c>
      <c r="BK230" s="219">
        <f t="shared" si="113"/>
        <v>0</v>
      </c>
      <c r="BL230" s="31">
        <f t="shared" si="114"/>
        <v>1.5</v>
      </c>
      <c r="BM230" s="219">
        <f t="shared" si="115"/>
        <v>1.2749999999999999</v>
      </c>
      <c r="BN230" s="31">
        <f t="shared" si="116"/>
        <v>0</v>
      </c>
      <c r="BO230" s="219">
        <f t="shared" si="117"/>
        <v>0</v>
      </c>
    </row>
    <row r="231" spans="1:67" x14ac:dyDescent="0.25">
      <c r="A231" s="31" t="s">
        <v>1550</v>
      </c>
      <c r="B231" s="176" t="str">
        <f>VLOOKUP(A231,kurspris!$A$1:$B$992,2,FALSE)</f>
        <v>Idrott och hälsa 1</v>
      </c>
      <c r="C231" s="31">
        <v>72002</v>
      </c>
      <c r="D231" s="31" t="s">
        <v>117</v>
      </c>
      <c r="F231" s="57" t="s">
        <v>2274</v>
      </c>
      <c r="H231" s="31" t="s">
        <v>2335</v>
      </c>
      <c r="I231" s="31" t="s">
        <v>2399</v>
      </c>
      <c r="L231" s="38"/>
      <c r="M231">
        <v>30</v>
      </c>
      <c r="P231" s="31">
        <v>10</v>
      </c>
      <c r="Q231" s="539">
        <v>5</v>
      </c>
      <c r="R231" s="38">
        <v>0.8</v>
      </c>
      <c r="S231" s="280">
        <f t="shared" si="90"/>
        <v>4</v>
      </c>
      <c r="T231" s="31">
        <f>VLOOKUP(A231,'Ansvar kurs'!$A$1:$C$1123,2,FALSE)</f>
        <v>2180</v>
      </c>
      <c r="U231" s="31" t="str">
        <f>VLOOKUP(T231,Orgenheter!$A$1:$C$166,2,FALSE)</f>
        <v xml:space="preserve">Pedagogik                     </v>
      </c>
      <c r="V231" s="31" t="str">
        <f>VLOOKUP(T231,Orgenheter!$A$1:$C$166,3,FALSE)</f>
        <v>Sam</v>
      </c>
      <c r="W231" s="35" t="str">
        <f>VLOOKUP(D231,Program!$A$1:$B$36,2,FALSE)</f>
        <v>Fristående och övriga kurser</v>
      </c>
      <c r="X231" s="40">
        <f>VLOOKUP(A231,kurspris!$A$1:$Q$913,15,FALSE)</f>
        <v>47928</v>
      </c>
      <c r="Y231" s="40">
        <f>VLOOKUP(A231,kurspris!$A$1:$Q$913,16,FALSE)</f>
        <v>35430</v>
      </c>
      <c r="Z231" s="40">
        <f t="shared" si="91"/>
        <v>381360</v>
      </c>
      <c r="AA231" s="40">
        <f>VLOOKUP(A231,kurspris!$A$1:$Q$913,17,FALSE)</f>
        <v>35700</v>
      </c>
      <c r="AB231" s="40">
        <f t="shared" si="92"/>
        <v>178500</v>
      </c>
      <c r="AC231" s="40">
        <f t="shared" si="93"/>
        <v>559860</v>
      </c>
      <c r="AD231" s="31">
        <f>VLOOKUP($A231,kurspris!$A$1:$Q$950,3,FALSE)</f>
        <v>0</v>
      </c>
      <c r="AE231" s="31">
        <f>VLOOKUP($A231,kurspris!$A$1:$Q$950,4,FALSE)</f>
        <v>0</v>
      </c>
      <c r="AF231" s="31">
        <f>VLOOKUP($A231,kurspris!$A$1:$Q$950,5,FALSE)</f>
        <v>1</v>
      </c>
      <c r="AG231" s="31">
        <f>VLOOKUP($A231,kurspris!$A$1:$Q$950,6,FALSE)</f>
        <v>0</v>
      </c>
      <c r="AH231" s="31">
        <f>VLOOKUP($A231,kurspris!$A$1:$Q$950,7,FALSE)</f>
        <v>0</v>
      </c>
      <c r="AI231" s="31">
        <f>VLOOKUP($A231,kurspris!$A$1:$Q$950,8,FALSE)</f>
        <v>0</v>
      </c>
      <c r="AJ231" s="31">
        <f>VLOOKUP($A231,kurspris!$A$1:$Q$950,9,FALSE)</f>
        <v>0</v>
      </c>
      <c r="AK231" s="31">
        <f>VLOOKUP($A231,kurspris!$A$1:$Q$950,10,FALSE)</f>
        <v>0</v>
      </c>
      <c r="AL231" s="31">
        <f>VLOOKUP($A231,kurspris!$A$1:$Q$950,11,FALSE)</f>
        <v>0</v>
      </c>
      <c r="AM231" s="31">
        <f>VLOOKUP($A231,kurspris!$A$1:$Q$950,12,FALSE)</f>
        <v>0</v>
      </c>
      <c r="AN231" s="31">
        <f>VLOOKUP($A231,kurspris!$A$1:$Q$950,13,FALSE)</f>
        <v>0</v>
      </c>
      <c r="AO231" s="31">
        <f>VLOOKUP($A231,kurspris!$A$1:$Q$950,14,FALSE)</f>
        <v>0</v>
      </c>
      <c r="AP231" s="57" t="s">
        <v>2402</v>
      </c>
      <c r="AQ231" s="37"/>
      <c r="AR231" s="31">
        <f t="shared" si="94"/>
        <v>0</v>
      </c>
      <c r="AS231" s="219">
        <f t="shared" si="95"/>
        <v>0</v>
      </c>
      <c r="AT231" s="31">
        <f t="shared" si="96"/>
        <v>0</v>
      </c>
      <c r="AU231" s="219">
        <f t="shared" si="97"/>
        <v>0</v>
      </c>
      <c r="AV231" s="31">
        <f t="shared" si="98"/>
        <v>5</v>
      </c>
      <c r="AW231" s="31">
        <f t="shared" si="99"/>
        <v>4</v>
      </c>
      <c r="AX231" s="31">
        <f t="shared" si="100"/>
        <v>0</v>
      </c>
      <c r="AY231" s="219">
        <f t="shared" si="101"/>
        <v>0</v>
      </c>
      <c r="AZ231" s="196">
        <f t="shared" si="102"/>
        <v>0</v>
      </c>
      <c r="BA231" s="219">
        <f t="shared" si="103"/>
        <v>0</v>
      </c>
      <c r="BB231" s="31">
        <f t="shared" si="104"/>
        <v>0</v>
      </c>
      <c r="BC231" s="219">
        <f t="shared" si="105"/>
        <v>0</v>
      </c>
      <c r="BD231" s="31">
        <f t="shared" si="106"/>
        <v>0</v>
      </c>
      <c r="BE231" s="219">
        <f t="shared" si="107"/>
        <v>0</v>
      </c>
      <c r="BF231" s="31">
        <f t="shared" si="108"/>
        <v>0</v>
      </c>
      <c r="BG231" s="219">
        <f t="shared" si="109"/>
        <v>0</v>
      </c>
      <c r="BH231" s="31">
        <f t="shared" si="110"/>
        <v>0</v>
      </c>
      <c r="BI231" s="219">
        <f t="shared" si="111"/>
        <v>0</v>
      </c>
      <c r="BJ231" s="31">
        <f t="shared" si="112"/>
        <v>0</v>
      </c>
      <c r="BK231" s="219">
        <f t="shared" si="113"/>
        <v>0</v>
      </c>
      <c r="BL231" s="31">
        <f t="shared" si="114"/>
        <v>0</v>
      </c>
      <c r="BM231" s="219">
        <f t="shared" si="115"/>
        <v>0</v>
      </c>
      <c r="BN231" s="31">
        <f t="shared" si="116"/>
        <v>0</v>
      </c>
      <c r="BO231" s="219">
        <f t="shared" si="117"/>
        <v>0</v>
      </c>
    </row>
    <row r="232" spans="1:67" x14ac:dyDescent="0.25">
      <c r="A232" s="157" t="s">
        <v>1550</v>
      </c>
      <c r="B232" s="176" t="str">
        <f>VLOOKUP(A232,kurspris!$A$1:$B$992,2,FALSE)</f>
        <v>Idrott och hälsa 1</v>
      </c>
      <c r="C232" s="31">
        <v>72003</v>
      </c>
      <c r="D232" s="31" t="s">
        <v>482</v>
      </c>
      <c r="F232" s="57" t="s">
        <v>2274</v>
      </c>
      <c r="H232" s="31" t="s">
        <v>2335</v>
      </c>
      <c r="I232" s="31" t="s">
        <v>2399</v>
      </c>
      <c r="J232" s="31" t="s">
        <v>2234</v>
      </c>
      <c r="L232" s="38"/>
      <c r="M232">
        <v>30</v>
      </c>
      <c r="P232" s="31">
        <v>1</v>
      </c>
      <c r="Q232" s="539">
        <v>0.5</v>
      </c>
      <c r="R232" s="38">
        <v>0.85</v>
      </c>
      <c r="S232" s="280">
        <f t="shared" si="90"/>
        <v>0.42499999999999999</v>
      </c>
      <c r="T232" s="31">
        <f>VLOOKUP(A232,'Ansvar kurs'!$A$1:$C$1123,2,FALSE)</f>
        <v>2180</v>
      </c>
      <c r="U232" s="31" t="str">
        <f>VLOOKUP(T232,Orgenheter!$A$1:$C$166,2,FALSE)</f>
        <v xml:space="preserve">Pedagogik                     </v>
      </c>
      <c r="V232" s="31" t="str">
        <f>VLOOKUP(T232,Orgenheter!$A$1:$C$166,3,FALSE)</f>
        <v>Sam</v>
      </c>
      <c r="W232" s="35" t="str">
        <f>VLOOKUP(D232,Program!$A$1:$B$36,2,FALSE)</f>
        <v>Ämneslärarprogrammet - Gy</v>
      </c>
      <c r="X232" s="40">
        <f>VLOOKUP(A232,kurspris!$A$1:$Q$913,15,FALSE)</f>
        <v>47928</v>
      </c>
      <c r="Y232" s="40">
        <f>VLOOKUP(A232,kurspris!$A$1:$Q$913,16,FALSE)</f>
        <v>35430</v>
      </c>
      <c r="Z232" s="40">
        <f t="shared" si="91"/>
        <v>39021.75</v>
      </c>
      <c r="AA232" s="40">
        <f>VLOOKUP(A232,kurspris!$A$1:$Q$913,17,FALSE)</f>
        <v>35700</v>
      </c>
      <c r="AB232" s="40">
        <f t="shared" si="92"/>
        <v>17850</v>
      </c>
      <c r="AC232" s="40">
        <f t="shared" si="93"/>
        <v>56871.75</v>
      </c>
      <c r="AD232" s="31">
        <f>VLOOKUP($A232,kurspris!$A$1:$Q$950,3,FALSE)</f>
        <v>0</v>
      </c>
      <c r="AE232" s="31">
        <f>VLOOKUP($A232,kurspris!$A$1:$Q$950,4,FALSE)</f>
        <v>0</v>
      </c>
      <c r="AF232" s="31">
        <f>VLOOKUP($A232,kurspris!$A$1:$Q$950,5,FALSE)</f>
        <v>1</v>
      </c>
      <c r="AG232" s="31">
        <f>VLOOKUP($A232,kurspris!$A$1:$Q$950,6,FALSE)</f>
        <v>0</v>
      </c>
      <c r="AH232" s="31">
        <f>VLOOKUP($A232,kurspris!$A$1:$Q$950,7,FALSE)</f>
        <v>0</v>
      </c>
      <c r="AI232" s="31">
        <f>VLOOKUP($A232,kurspris!$A$1:$Q$950,8,FALSE)</f>
        <v>0</v>
      </c>
      <c r="AJ232" s="31">
        <f>VLOOKUP($A232,kurspris!$A$1:$Q$950,9,FALSE)</f>
        <v>0</v>
      </c>
      <c r="AK232" s="31">
        <f>VLOOKUP($A232,kurspris!$A$1:$Q$950,10,FALSE)</f>
        <v>0</v>
      </c>
      <c r="AL232" s="31">
        <f>VLOOKUP($A232,kurspris!$A$1:$Q$950,11,FALSE)</f>
        <v>0</v>
      </c>
      <c r="AM232" s="31">
        <f>VLOOKUP($A232,kurspris!$A$1:$Q$950,12,FALSE)</f>
        <v>0</v>
      </c>
      <c r="AN232" s="31">
        <f>VLOOKUP($A232,kurspris!$A$1:$Q$950,13,FALSE)</f>
        <v>0</v>
      </c>
      <c r="AO232" s="31">
        <f>VLOOKUP($A232,kurspris!$A$1:$Q$950,14,FALSE)</f>
        <v>0</v>
      </c>
      <c r="AP232" s="57" t="s">
        <v>2402</v>
      </c>
      <c r="AQ232"/>
      <c r="AR232" s="31">
        <f t="shared" si="94"/>
        <v>0</v>
      </c>
      <c r="AS232" s="219">
        <f t="shared" si="95"/>
        <v>0</v>
      </c>
      <c r="AT232" s="31">
        <f t="shared" si="96"/>
        <v>0</v>
      </c>
      <c r="AU232" s="219">
        <f t="shared" si="97"/>
        <v>0</v>
      </c>
      <c r="AV232" s="31">
        <f t="shared" si="98"/>
        <v>0.5</v>
      </c>
      <c r="AW232" s="31">
        <f t="shared" si="99"/>
        <v>0.42499999999999999</v>
      </c>
      <c r="AX232" s="31">
        <f t="shared" si="100"/>
        <v>0</v>
      </c>
      <c r="AY232" s="219">
        <f t="shared" si="101"/>
        <v>0</v>
      </c>
      <c r="AZ232" s="196">
        <f t="shared" si="102"/>
        <v>0</v>
      </c>
      <c r="BA232" s="219">
        <f t="shared" si="103"/>
        <v>0</v>
      </c>
      <c r="BB232" s="31">
        <f t="shared" si="104"/>
        <v>0</v>
      </c>
      <c r="BC232" s="219">
        <f t="shared" si="105"/>
        <v>0</v>
      </c>
      <c r="BD232" s="31">
        <f t="shared" si="106"/>
        <v>0</v>
      </c>
      <c r="BE232" s="219">
        <f t="shared" si="107"/>
        <v>0</v>
      </c>
      <c r="BF232" s="31">
        <f t="shared" si="108"/>
        <v>0</v>
      </c>
      <c r="BG232" s="219">
        <f t="shared" si="109"/>
        <v>0</v>
      </c>
      <c r="BH232" s="31">
        <f t="shared" si="110"/>
        <v>0</v>
      </c>
      <c r="BI232" s="219">
        <f t="shared" si="111"/>
        <v>0</v>
      </c>
      <c r="BJ232" s="31">
        <f t="shared" si="112"/>
        <v>0</v>
      </c>
      <c r="BK232" s="219">
        <f t="shared" si="113"/>
        <v>0</v>
      </c>
      <c r="BL232" s="31">
        <f t="shared" si="114"/>
        <v>0</v>
      </c>
      <c r="BM232" s="219">
        <f t="shared" si="115"/>
        <v>0</v>
      </c>
      <c r="BN232" s="31">
        <f t="shared" si="116"/>
        <v>0</v>
      </c>
      <c r="BO232" s="219">
        <f t="shared" si="117"/>
        <v>0</v>
      </c>
    </row>
    <row r="233" spans="1:67" x14ac:dyDescent="0.25">
      <c r="A233" s="31" t="s">
        <v>1550</v>
      </c>
      <c r="B233" s="176" t="str">
        <f>VLOOKUP(A233,kurspris!$A$1:$B$992,2,FALSE)</f>
        <v>Idrott och hälsa 1</v>
      </c>
      <c r="C233" s="31">
        <v>72003</v>
      </c>
      <c r="D233" s="60" t="s">
        <v>482</v>
      </c>
      <c r="E233" s="60"/>
      <c r="F233" s="57" t="s">
        <v>2274</v>
      </c>
      <c r="H233" s="31" t="s">
        <v>2335</v>
      </c>
      <c r="I233" s="31" t="s">
        <v>2399</v>
      </c>
      <c r="J233" s="31" t="s">
        <v>2231</v>
      </c>
      <c r="L233" s="38"/>
      <c r="M233">
        <v>30</v>
      </c>
      <c r="P233" s="31">
        <v>1</v>
      </c>
      <c r="Q233" s="539">
        <v>0.5</v>
      </c>
      <c r="R233" s="38">
        <v>0.85</v>
      </c>
      <c r="S233" s="280">
        <f t="shared" si="90"/>
        <v>0.42499999999999999</v>
      </c>
      <c r="T233" s="31">
        <f>VLOOKUP(A233,'Ansvar kurs'!$A$1:$C$1123,2,FALSE)</f>
        <v>2180</v>
      </c>
      <c r="U233" s="31" t="str">
        <f>VLOOKUP(T233,Orgenheter!$A$1:$C$166,2,FALSE)</f>
        <v xml:space="preserve">Pedagogik                     </v>
      </c>
      <c r="V233" s="31" t="str">
        <f>VLOOKUP(T233,Orgenheter!$A$1:$C$166,3,FALSE)</f>
        <v>Sam</v>
      </c>
      <c r="W233" s="35" t="str">
        <f>VLOOKUP(D233,Program!$A$1:$B$36,2,FALSE)</f>
        <v>Ämneslärarprogrammet - Gy</v>
      </c>
      <c r="X233" s="40">
        <f>VLOOKUP(A233,kurspris!$A$1:$Q$913,15,FALSE)</f>
        <v>47928</v>
      </c>
      <c r="Y233" s="40">
        <f>VLOOKUP(A233,kurspris!$A$1:$Q$913,16,FALSE)</f>
        <v>35430</v>
      </c>
      <c r="Z233" s="40">
        <f t="shared" si="91"/>
        <v>39021.75</v>
      </c>
      <c r="AA233" s="40">
        <f>VLOOKUP(A233,kurspris!$A$1:$Q$913,17,FALSE)</f>
        <v>35700</v>
      </c>
      <c r="AB233" s="40">
        <f t="shared" si="92"/>
        <v>17850</v>
      </c>
      <c r="AC233" s="40">
        <f t="shared" si="93"/>
        <v>56871.75</v>
      </c>
      <c r="AD233" s="31">
        <f>VLOOKUP($A233,kurspris!$A$1:$Q$950,3,FALSE)</f>
        <v>0</v>
      </c>
      <c r="AE233" s="31">
        <f>VLOOKUP($A233,kurspris!$A$1:$Q$950,4,FALSE)</f>
        <v>0</v>
      </c>
      <c r="AF233" s="31">
        <f>VLOOKUP($A233,kurspris!$A$1:$Q$950,5,FALSE)</f>
        <v>1</v>
      </c>
      <c r="AG233" s="31">
        <f>VLOOKUP($A233,kurspris!$A$1:$Q$950,6,FALSE)</f>
        <v>0</v>
      </c>
      <c r="AH233" s="31">
        <f>VLOOKUP($A233,kurspris!$A$1:$Q$950,7,FALSE)</f>
        <v>0</v>
      </c>
      <c r="AI233" s="31">
        <f>VLOOKUP($A233,kurspris!$A$1:$Q$950,8,FALSE)</f>
        <v>0</v>
      </c>
      <c r="AJ233" s="31">
        <f>VLOOKUP($A233,kurspris!$A$1:$Q$950,9,FALSE)</f>
        <v>0</v>
      </c>
      <c r="AK233" s="31">
        <f>VLOOKUP($A233,kurspris!$A$1:$Q$950,10,FALSE)</f>
        <v>0</v>
      </c>
      <c r="AL233" s="31">
        <f>VLOOKUP($A233,kurspris!$A$1:$Q$950,11,FALSE)</f>
        <v>0</v>
      </c>
      <c r="AM233" s="31">
        <f>VLOOKUP($A233,kurspris!$A$1:$Q$950,12,FALSE)</f>
        <v>0</v>
      </c>
      <c r="AN233" s="31">
        <f>VLOOKUP($A233,kurspris!$A$1:$Q$950,13,FALSE)</f>
        <v>0</v>
      </c>
      <c r="AO233" s="31">
        <f>VLOOKUP($A233,kurspris!$A$1:$Q$950,14,FALSE)</f>
        <v>0</v>
      </c>
      <c r="AP233" s="57" t="s">
        <v>2402</v>
      </c>
      <c r="AQ233"/>
      <c r="AR233" s="31">
        <f t="shared" si="94"/>
        <v>0</v>
      </c>
      <c r="AS233" s="219">
        <f t="shared" si="95"/>
        <v>0</v>
      </c>
      <c r="AT233" s="31">
        <f t="shared" si="96"/>
        <v>0</v>
      </c>
      <c r="AU233" s="219">
        <f t="shared" si="97"/>
        <v>0</v>
      </c>
      <c r="AV233" s="31">
        <f t="shared" si="98"/>
        <v>0.5</v>
      </c>
      <c r="AW233" s="31">
        <f t="shared" si="99"/>
        <v>0.42499999999999999</v>
      </c>
      <c r="AX233" s="31">
        <f t="shared" si="100"/>
        <v>0</v>
      </c>
      <c r="AY233" s="219">
        <f t="shared" si="101"/>
        <v>0</v>
      </c>
      <c r="AZ233" s="196">
        <f t="shared" si="102"/>
        <v>0</v>
      </c>
      <c r="BA233" s="219">
        <f t="shared" si="103"/>
        <v>0</v>
      </c>
      <c r="BB233" s="31">
        <f t="shared" si="104"/>
        <v>0</v>
      </c>
      <c r="BC233" s="219">
        <f t="shared" si="105"/>
        <v>0</v>
      </c>
      <c r="BD233" s="31">
        <f t="shared" si="106"/>
        <v>0</v>
      </c>
      <c r="BE233" s="219">
        <f t="shared" si="107"/>
        <v>0</v>
      </c>
      <c r="BF233" s="31">
        <f t="shared" si="108"/>
        <v>0</v>
      </c>
      <c r="BG233" s="219">
        <f t="shared" si="109"/>
        <v>0</v>
      </c>
      <c r="BH233" s="31">
        <f t="shared" si="110"/>
        <v>0</v>
      </c>
      <c r="BI233" s="219">
        <f t="shared" si="111"/>
        <v>0</v>
      </c>
      <c r="BJ233" s="31">
        <f t="shared" si="112"/>
        <v>0</v>
      </c>
      <c r="BK233" s="219">
        <f t="shared" si="113"/>
        <v>0</v>
      </c>
      <c r="BL233" s="31">
        <f t="shared" si="114"/>
        <v>0</v>
      </c>
      <c r="BM233" s="219">
        <f t="shared" si="115"/>
        <v>0</v>
      </c>
      <c r="BN233" s="31">
        <f t="shared" si="116"/>
        <v>0</v>
      </c>
      <c r="BO233" s="219">
        <f t="shared" si="117"/>
        <v>0</v>
      </c>
    </row>
    <row r="234" spans="1:67" x14ac:dyDescent="0.25">
      <c r="A234" s="31" t="s">
        <v>1550</v>
      </c>
      <c r="B234" s="176" t="str">
        <f>VLOOKUP(A234,kurspris!$A$1:$B$992,2,FALSE)</f>
        <v>Idrott och hälsa 1</v>
      </c>
      <c r="C234" s="31">
        <v>72003</v>
      </c>
      <c r="D234" s="60" t="s">
        <v>482</v>
      </c>
      <c r="E234" s="60"/>
      <c r="F234" s="57" t="s">
        <v>2274</v>
      </c>
      <c r="H234" s="31" t="s">
        <v>2335</v>
      </c>
      <c r="I234" s="31" t="s">
        <v>2399</v>
      </c>
      <c r="J234" s="31" t="s">
        <v>2241</v>
      </c>
      <c r="L234" s="38"/>
      <c r="M234">
        <v>30</v>
      </c>
      <c r="P234" s="31">
        <v>2</v>
      </c>
      <c r="Q234" s="539">
        <v>1</v>
      </c>
      <c r="R234" s="38">
        <v>0.85</v>
      </c>
      <c r="S234" s="280">
        <f t="shared" si="90"/>
        <v>0.85</v>
      </c>
      <c r="T234" s="31">
        <f>VLOOKUP(A234,'Ansvar kurs'!$A$1:$C$1123,2,FALSE)</f>
        <v>2180</v>
      </c>
      <c r="U234" s="31" t="str">
        <f>VLOOKUP(T234,Orgenheter!$A$1:$C$166,2,FALSE)</f>
        <v xml:space="preserve">Pedagogik                     </v>
      </c>
      <c r="V234" s="31" t="str">
        <f>VLOOKUP(T234,Orgenheter!$A$1:$C$166,3,FALSE)</f>
        <v>Sam</v>
      </c>
      <c r="W234" s="35" t="str">
        <f>VLOOKUP(D234,Program!$A$1:$B$36,2,FALSE)</f>
        <v>Ämneslärarprogrammet - Gy</v>
      </c>
      <c r="X234" s="40">
        <f>VLOOKUP(A234,kurspris!$A$1:$Q$913,15,FALSE)</f>
        <v>47928</v>
      </c>
      <c r="Y234" s="40">
        <f>VLOOKUP(A234,kurspris!$A$1:$Q$913,16,FALSE)</f>
        <v>35430</v>
      </c>
      <c r="Z234" s="40">
        <f t="shared" si="91"/>
        <v>78043.5</v>
      </c>
      <c r="AA234" s="40">
        <f>VLOOKUP(A234,kurspris!$A$1:$Q$913,17,FALSE)</f>
        <v>35700</v>
      </c>
      <c r="AB234" s="40">
        <f t="shared" si="92"/>
        <v>35700</v>
      </c>
      <c r="AC234" s="40">
        <f t="shared" si="93"/>
        <v>113743.5</v>
      </c>
      <c r="AD234" s="31">
        <f>VLOOKUP($A234,kurspris!$A$1:$Q$950,3,FALSE)</f>
        <v>0</v>
      </c>
      <c r="AE234" s="31">
        <f>VLOOKUP($A234,kurspris!$A$1:$Q$950,4,FALSE)</f>
        <v>0</v>
      </c>
      <c r="AF234" s="31">
        <f>VLOOKUP($A234,kurspris!$A$1:$Q$950,5,FALSE)</f>
        <v>1</v>
      </c>
      <c r="AG234" s="31">
        <f>VLOOKUP($A234,kurspris!$A$1:$Q$950,6,FALSE)</f>
        <v>0</v>
      </c>
      <c r="AH234" s="31">
        <f>VLOOKUP($A234,kurspris!$A$1:$Q$950,7,FALSE)</f>
        <v>0</v>
      </c>
      <c r="AI234" s="31">
        <f>VLOOKUP($A234,kurspris!$A$1:$Q$950,8,FALSE)</f>
        <v>0</v>
      </c>
      <c r="AJ234" s="31">
        <f>VLOOKUP($A234,kurspris!$A$1:$Q$950,9,FALSE)</f>
        <v>0</v>
      </c>
      <c r="AK234" s="31">
        <f>VLOOKUP($A234,kurspris!$A$1:$Q$950,10,FALSE)</f>
        <v>0</v>
      </c>
      <c r="AL234" s="31">
        <f>VLOOKUP($A234,kurspris!$A$1:$Q$950,11,FALSE)</f>
        <v>0</v>
      </c>
      <c r="AM234" s="31">
        <f>VLOOKUP($A234,kurspris!$A$1:$Q$950,12,FALSE)</f>
        <v>0</v>
      </c>
      <c r="AN234" s="31">
        <f>VLOOKUP($A234,kurspris!$A$1:$Q$950,13,FALSE)</f>
        <v>0</v>
      </c>
      <c r="AO234" s="31">
        <f>VLOOKUP($A234,kurspris!$A$1:$Q$950,14,FALSE)</f>
        <v>0</v>
      </c>
      <c r="AP234" s="57" t="s">
        <v>2402</v>
      </c>
      <c r="AQ234"/>
      <c r="AR234" s="31">
        <f t="shared" si="94"/>
        <v>0</v>
      </c>
      <c r="AS234" s="219">
        <f t="shared" si="95"/>
        <v>0</v>
      </c>
      <c r="AT234" s="31">
        <f t="shared" si="96"/>
        <v>0</v>
      </c>
      <c r="AU234" s="219">
        <f t="shared" si="97"/>
        <v>0</v>
      </c>
      <c r="AV234" s="31">
        <f t="shared" si="98"/>
        <v>1</v>
      </c>
      <c r="AW234" s="31">
        <f t="shared" si="99"/>
        <v>0.85</v>
      </c>
      <c r="AX234" s="31">
        <f t="shared" si="100"/>
        <v>0</v>
      </c>
      <c r="AY234" s="219">
        <f t="shared" si="101"/>
        <v>0</v>
      </c>
      <c r="AZ234" s="196">
        <f t="shared" si="102"/>
        <v>0</v>
      </c>
      <c r="BA234" s="219">
        <f t="shared" si="103"/>
        <v>0</v>
      </c>
      <c r="BB234" s="31">
        <f t="shared" si="104"/>
        <v>0</v>
      </c>
      <c r="BC234" s="219">
        <f t="shared" si="105"/>
        <v>0</v>
      </c>
      <c r="BD234" s="31">
        <f t="shared" si="106"/>
        <v>0</v>
      </c>
      <c r="BE234" s="219">
        <f t="shared" si="107"/>
        <v>0</v>
      </c>
      <c r="BF234" s="31">
        <f t="shared" si="108"/>
        <v>0</v>
      </c>
      <c r="BG234" s="219">
        <f t="shared" si="109"/>
        <v>0</v>
      </c>
      <c r="BH234" s="31">
        <f t="shared" si="110"/>
        <v>0</v>
      </c>
      <c r="BI234" s="219">
        <f t="shared" si="111"/>
        <v>0</v>
      </c>
      <c r="BJ234" s="31">
        <f t="shared" si="112"/>
        <v>0</v>
      </c>
      <c r="BK234" s="219">
        <f t="shared" si="113"/>
        <v>0</v>
      </c>
      <c r="BL234" s="31">
        <f t="shared" si="114"/>
        <v>0</v>
      </c>
      <c r="BM234" s="219">
        <f t="shared" si="115"/>
        <v>0</v>
      </c>
      <c r="BN234" s="31">
        <f t="shared" si="116"/>
        <v>0</v>
      </c>
      <c r="BO234" s="219">
        <f t="shared" si="117"/>
        <v>0</v>
      </c>
    </row>
    <row r="235" spans="1:67" x14ac:dyDescent="0.25">
      <c r="A235" s="157" t="s">
        <v>1550</v>
      </c>
      <c r="B235" s="176" t="str">
        <f>VLOOKUP(A235,kurspris!$A$1:$B$992,2,FALSE)</f>
        <v>Idrott och hälsa 1</v>
      </c>
      <c r="C235" s="31">
        <v>72003</v>
      </c>
      <c r="D235" s="31" t="s">
        <v>482</v>
      </c>
      <c r="E235" s="60"/>
      <c r="F235" s="57" t="s">
        <v>2274</v>
      </c>
      <c r="H235" s="31" t="s">
        <v>2335</v>
      </c>
      <c r="I235" s="157" t="s">
        <v>2399</v>
      </c>
      <c r="J235" s="157" t="s">
        <v>2232</v>
      </c>
      <c r="K235" s="157"/>
      <c r="L235" s="38"/>
      <c r="M235">
        <v>30</v>
      </c>
      <c r="P235" s="31">
        <v>30</v>
      </c>
      <c r="Q235" s="539">
        <v>15</v>
      </c>
      <c r="R235" s="38">
        <v>0.85</v>
      </c>
      <c r="S235" s="280">
        <f t="shared" si="90"/>
        <v>12.75</v>
      </c>
      <c r="T235" s="31">
        <f>VLOOKUP(A235,'Ansvar kurs'!$A$1:$C$1123,2,FALSE)</f>
        <v>2180</v>
      </c>
      <c r="U235" s="31" t="str">
        <f>VLOOKUP(T235,Orgenheter!$A$1:$C$166,2,FALSE)</f>
        <v xml:space="preserve">Pedagogik                     </v>
      </c>
      <c r="V235" s="31" t="str">
        <f>VLOOKUP(T235,Orgenheter!$A$1:$C$166,3,FALSE)</f>
        <v>Sam</v>
      </c>
      <c r="W235" s="35" t="str">
        <f>VLOOKUP(D235,Program!$A$1:$B$36,2,FALSE)</f>
        <v>Ämneslärarprogrammet - Gy</v>
      </c>
      <c r="X235" s="40">
        <f>VLOOKUP(A235,kurspris!$A$1:$Q$913,15,FALSE)</f>
        <v>47928</v>
      </c>
      <c r="Y235" s="40">
        <f>VLOOKUP(A235,kurspris!$A$1:$Q$913,16,FALSE)</f>
        <v>35430</v>
      </c>
      <c r="Z235" s="40">
        <f t="shared" si="91"/>
        <v>1170652.5</v>
      </c>
      <c r="AA235" s="40">
        <f>VLOOKUP(A235,kurspris!$A$1:$Q$913,17,FALSE)</f>
        <v>35700</v>
      </c>
      <c r="AB235" s="40">
        <f t="shared" si="92"/>
        <v>535500</v>
      </c>
      <c r="AC235" s="40">
        <f t="shared" si="93"/>
        <v>1706152.5</v>
      </c>
      <c r="AD235" s="31">
        <f>VLOOKUP($A235,kurspris!$A$1:$Q$950,3,FALSE)</f>
        <v>0</v>
      </c>
      <c r="AE235" s="31">
        <f>VLOOKUP($A235,kurspris!$A$1:$Q$950,4,FALSE)</f>
        <v>0</v>
      </c>
      <c r="AF235" s="31">
        <f>VLOOKUP($A235,kurspris!$A$1:$Q$950,5,FALSE)</f>
        <v>1</v>
      </c>
      <c r="AG235" s="31">
        <f>VLOOKUP($A235,kurspris!$A$1:$Q$950,6,FALSE)</f>
        <v>0</v>
      </c>
      <c r="AH235" s="31">
        <f>VLOOKUP($A235,kurspris!$A$1:$Q$950,7,FALSE)</f>
        <v>0</v>
      </c>
      <c r="AI235" s="31">
        <f>VLOOKUP($A235,kurspris!$A$1:$Q$950,8,FALSE)</f>
        <v>0</v>
      </c>
      <c r="AJ235" s="31">
        <f>VLOOKUP($A235,kurspris!$A$1:$Q$950,9,FALSE)</f>
        <v>0</v>
      </c>
      <c r="AK235" s="31">
        <f>VLOOKUP($A235,kurspris!$A$1:$Q$950,10,FALSE)</f>
        <v>0</v>
      </c>
      <c r="AL235" s="31">
        <f>VLOOKUP($A235,kurspris!$A$1:$Q$950,11,FALSE)</f>
        <v>0</v>
      </c>
      <c r="AM235" s="31">
        <f>VLOOKUP($A235,kurspris!$A$1:$Q$950,12,FALSE)</f>
        <v>0</v>
      </c>
      <c r="AN235" s="31">
        <f>VLOOKUP($A235,kurspris!$A$1:$Q$950,13,FALSE)</f>
        <v>0</v>
      </c>
      <c r="AO235" s="31">
        <f>VLOOKUP($A235,kurspris!$A$1:$Q$950,14,FALSE)</f>
        <v>0</v>
      </c>
      <c r="AP235" s="57" t="s">
        <v>2402</v>
      </c>
      <c r="AQ235"/>
      <c r="AR235" s="31">
        <f t="shared" si="94"/>
        <v>0</v>
      </c>
      <c r="AS235" s="219">
        <f t="shared" si="95"/>
        <v>0</v>
      </c>
      <c r="AT235" s="31">
        <f t="shared" si="96"/>
        <v>0</v>
      </c>
      <c r="AU235" s="219">
        <f t="shared" si="97"/>
        <v>0</v>
      </c>
      <c r="AV235" s="31">
        <f t="shared" si="98"/>
        <v>15</v>
      </c>
      <c r="AW235" s="31">
        <f t="shared" si="99"/>
        <v>12.75</v>
      </c>
      <c r="AX235" s="31">
        <f t="shared" si="100"/>
        <v>0</v>
      </c>
      <c r="AY235" s="219">
        <f t="shared" si="101"/>
        <v>0</v>
      </c>
      <c r="AZ235" s="196">
        <f t="shared" si="102"/>
        <v>0</v>
      </c>
      <c r="BA235" s="219">
        <f t="shared" si="103"/>
        <v>0</v>
      </c>
      <c r="BB235" s="31">
        <f t="shared" si="104"/>
        <v>0</v>
      </c>
      <c r="BC235" s="219">
        <f t="shared" si="105"/>
        <v>0</v>
      </c>
      <c r="BD235" s="31">
        <f t="shared" si="106"/>
        <v>0</v>
      </c>
      <c r="BE235" s="219">
        <f t="shared" si="107"/>
        <v>0</v>
      </c>
      <c r="BF235" s="31">
        <f t="shared" si="108"/>
        <v>0</v>
      </c>
      <c r="BG235" s="219">
        <f t="shared" si="109"/>
        <v>0</v>
      </c>
      <c r="BH235" s="31">
        <f t="shared" si="110"/>
        <v>0</v>
      </c>
      <c r="BI235" s="219">
        <f t="shared" si="111"/>
        <v>0</v>
      </c>
      <c r="BJ235" s="31">
        <f t="shared" si="112"/>
        <v>0</v>
      </c>
      <c r="BK235" s="219">
        <f t="shared" si="113"/>
        <v>0</v>
      </c>
      <c r="BL235" s="31">
        <f t="shared" si="114"/>
        <v>0</v>
      </c>
      <c r="BM235" s="219">
        <f t="shared" si="115"/>
        <v>0</v>
      </c>
      <c r="BN235" s="31">
        <f t="shared" si="116"/>
        <v>0</v>
      </c>
      <c r="BO235" s="219">
        <f t="shared" si="117"/>
        <v>0</v>
      </c>
    </row>
    <row r="236" spans="1:67" x14ac:dyDescent="0.25">
      <c r="A236" s="157" t="s">
        <v>1550</v>
      </c>
      <c r="B236" s="176" t="str">
        <f>VLOOKUP(A236,kurspris!$A$1:$B$992,2,FALSE)</f>
        <v>Idrott och hälsa 1</v>
      </c>
      <c r="C236" s="31">
        <v>72003</v>
      </c>
      <c r="D236" s="31" t="s">
        <v>482</v>
      </c>
      <c r="F236" s="57" t="s">
        <v>2274</v>
      </c>
      <c r="H236" s="31" t="s">
        <v>2335</v>
      </c>
      <c r="I236" s="31" t="s">
        <v>2399</v>
      </c>
      <c r="J236" s="31" t="s">
        <v>2233</v>
      </c>
      <c r="L236" s="38"/>
      <c r="M236">
        <v>30</v>
      </c>
      <c r="P236" s="31">
        <v>2</v>
      </c>
      <c r="Q236" s="539">
        <v>1</v>
      </c>
      <c r="R236" s="38">
        <v>0.85</v>
      </c>
      <c r="S236" s="280">
        <f t="shared" si="90"/>
        <v>0.85</v>
      </c>
      <c r="T236" s="31">
        <f>VLOOKUP(A236,'Ansvar kurs'!$A$1:$C$1123,2,FALSE)</f>
        <v>2180</v>
      </c>
      <c r="U236" s="31" t="str">
        <f>VLOOKUP(T236,Orgenheter!$A$1:$C$166,2,FALSE)</f>
        <v xml:space="preserve">Pedagogik                     </v>
      </c>
      <c r="V236" s="31" t="str">
        <f>VLOOKUP(T236,Orgenheter!$A$1:$C$166,3,FALSE)</f>
        <v>Sam</v>
      </c>
      <c r="W236" s="35" t="str">
        <f>VLOOKUP(D236,Program!$A$1:$B$36,2,FALSE)</f>
        <v>Ämneslärarprogrammet - Gy</v>
      </c>
      <c r="X236" s="40">
        <f>VLOOKUP(A236,kurspris!$A$1:$Q$913,15,FALSE)</f>
        <v>47928</v>
      </c>
      <c r="Y236" s="40">
        <f>VLOOKUP(A236,kurspris!$A$1:$Q$913,16,FALSE)</f>
        <v>35430</v>
      </c>
      <c r="Z236" s="40">
        <f t="shared" si="91"/>
        <v>78043.5</v>
      </c>
      <c r="AA236" s="40">
        <f>VLOOKUP(A236,kurspris!$A$1:$Q$913,17,FALSE)</f>
        <v>35700</v>
      </c>
      <c r="AB236" s="40">
        <f t="shared" si="92"/>
        <v>35700</v>
      </c>
      <c r="AC236" s="40">
        <f t="shared" si="93"/>
        <v>113743.5</v>
      </c>
      <c r="AD236" s="31">
        <f>VLOOKUP($A236,kurspris!$A$1:$Q$950,3,FALSE)</f>
        <v>0</v>
      </c>
      <c r="AE236" s="31">
        <f>VLOOKUP($A236,kurspris!$A$1:$Q$950,4,FALSE)</f>
        <v>0</v>
      </c>
      <c r="AF236" s="31">
        <f>VLOOKUP($A236,kurspris!$A$1:$Q$950,5,FALSE)</f>
        <v>1</v>
      </c>
      <c r="AG236" s="31">
        <f>VLOOKUP($A236,kurspris!$A$1:$Q$950,6,FALSE)</f>
        <v>0</v>
      </c>
      <c r="AH236" s="31">
        <f>VLOOKUP($A236,kurspris!$A$1:$Q$950,7,FALSE)</f>
        <v>0</v>
      </c>
      <c r="AI236" s="31">
        <f>VLOOKUP($A236,kurspris!$A$1:$Q$950,8,FALSE)</f>
        <v>0</v>
      </c>
      <c r="AJ236" s="31">
        <f>VLOOKUP($A236,kurspris!$A$1:$Q$950,9,FALSE)</f>
        <v>0</v>
      </c>
      <c r="AK236" s="31">
        <f>VLOOKUP($A236,kurspris!$A$1:$Q$950,10,FALSE)</f>
        <v>0</v>
      </c>
      <c r="AL236" s="31">
        <f>VLOOKUP($A236,kurspris!$A$1:$Q$950,11,FALSE)</f>
        <v>0</v>
      </c>
      <c r="AM236" s="31">
        <f>VLOOKUP($A236,kurspris!$A$1:$Q$950,12,FALSE)</f>
        <v>0</v>
      </c>
      <c r="AN236" s="31">
        <f>VLOOKUP($A236,kurspris!$A$1:$Q$950,13,FALSE)</f>
        <v>0</v>
      </c>
      <c r="AO236" s="31">
        <f>VLOOKUP($A236,kurspris!$A$1:$Q$950,14,FALSE)</f>
        <v>0</v>
      </c>
      <c r="AP236" s="57" t="s">
        <v>2402</v>
      </c>
      <c r="AQ236"/>
      <c r="AR236" s="31">
        <f t="shared" si="94"/>
        <v>0</v>
      </c>
      <c r="AS236" s="219">
        <f t="shared" si="95"/>
        <v>0</v>
      </c>
      <c r="AT236" s="31">
        <f t="shared" si="96"/>
        <v>0</v>
      </c>
      <c r="AU236" s="219">
        <f t="shared" si="97"/>
        <v>0</v>
      </c>
      <c r="AV236" s="31">
        <f t="shared" si="98"/>
        <v>1</v>
      </c>
      <c r="AW236" s="31">
        <f t="shared" si="99"/>
        <v>0.85</v>
      </c>
      <c r="AX236" s="31">
        <f t="shared" si="100"/>
        <v>0</v>
      </c>
      <c r="AY236" s="219">
        <f t="shared" si="101"/>
        <v>0</v>
      </c>
      <c r="AZ236" s="196">
        <f t="shared" si="102"/>
        <v>0</v>
      </c>
      <c r="BA236" s="219">
        <f t="shared" si="103"/>
        <v>0</v>
      </c>
      <c r="BB236" s="31">
        <f t="shared" si="104"/>
        <v>0</v>
      </c>
      <c r="BC236" s="219">
        <f t="shared" si="105"/>
        <v>0</v>
      </c>
      <c r="BD236" s="31">
        <f t="shared" si="106"/>
        <v>0</v>
      </c>
      <c r="BE236" s="219">
        <f t="shared" si="107"/>
        <v>0</v>
      </c>
      <c r="BF236" s="31">
        <f t="shared" si="108"/>
        <v>0</v>
      </c>
      <c r="BG236" s="219">
        <f t="shared" si="109"/>
        <v>0</v>
      </c>
      <c r="BH236" s="31">
        <f t="shared" si="110"/>
        <v>0</v>
      </c>
      <c r="BI236" s="219">
        <f t="shared" si="111"/>
        <v>0</v>
      </c>
      <c r="BJ236" s="31">
        <f t="shared" si="112"/>
        <v>0</v>
      </c>
      <c r="BK236" s="219">
        <f t="shared" si="113"/>
        <v>0</v>
      </c>
      <c r="BL236" s="31">
        <f t="shared" si="114"/>
        <v>0</v>
      </c>
      <c r="BM236" s="219">
        <f t="shared" si="115"/>
        <v>0</v>
      </c>
      <c r="BN236" s="31">
        <f t="shared" si="116"/>
        <v>0</v>
      </c>
      <c r="BO236" s="219">
        <f t="shared" si="117"/>
        <v>0</v>
      </c>
    </row>
    <row r="237" spans="1:67" x14ac:dyDescent="0.25">
      <c r="A237" s="31" t="s">
        <v>1550</v>
      </c>
      <c r="B237" s="176" t="str">
        <f>VLOOKUP(A237,kurspris!$A$1:$B$992,2,FALSE)</f>
        <v>Idrott och hälsa 1</v>
      </c>
      <c r="C237" s="31">
        <v>72003</v>
      </c>
      <c r="D237" s="31" t="s">
        <v>482</v>
      </c>
      <c r="F237" s="57" t="s">
        <v>2274</v>
      </c>
      <c r="H237" s="31" t="s">
        <v>2335</v>
      </c>
      <c r="I237" s="31" t="s">
        <v>2399</v>
      </c>
      <c r="J237" s="31" t="s">
        <v>2235</v>
      </c>
      <c r="L237" s="38"/>
      <c r="M237">
        <v>30</v>
      </c>
      <c r="P237" s="31">
        <v>1</v>
      </c>
      <c r="Q237" s="539">
        <v>0.5</v>
      </c>
      <c r="R237" s="38">
        <v>0.85</v>
      </c>
      <c r="S237" s="280">
        <f t="shared" si="90"/>
        <v>0.42499999999999999</v>
      </c>
      <c r="T237" s="31">
        <f>VLOOKUP(A237,'Ansvar kurs'!$A$1:$C$1123,2,FALSE)</f>
        <v>2180</v>
      </c>
      <c r="U237" s="31" t="str">
        <f>VLOOKUP(T237,Orgenheter!$A$1:$C$166,2,FALSE)</f>
        <v xml:space="preserve">Pedagogik                     </v>
      </c>
      <c r="V237" s="31" t="str">
        <f>VLOOKUP(T237,Orgenheter!$A$1:$C$166,3,FALSE)</f>
        <v>Sam</v>
      </c>
      <c r="W237" s="35" t="str">
        <f>VLOOKUP(D237,Program!$A$1:$B$36,2,FALSE)</f>
        <v>Ämneslärarprogrammet - Gy</v>
      </c>
      <c r="X237" s="40">
        <f>VLOOKUP(A237,kurspris!$A$1:$Q$913,15,FALSE)</f>
        <v>47928</v>
      </c>
      <c r="Y237" s="40">
        <f>VLOOKUP(A237,kurspris!$A$1:$Q$913,16,FALSE)</f>
        <v>35430</v>
      </c>
      <c r="Z237" s="40">
        <f t="shared" si="91"/>
        <v>39021.75</v>
      </c>
      <c r="AA237" s="40">
        <f>VLOOKUP(A237,kurspris!$A$1:$Q$913,17,FALSE)</f>
        <v>35700</v>
      </c>
      <c r="AB237" s="40">
        <f t="shared" si="92"/>
        <v>17850</v>
      </c>
      <c r="AC237" s="40">
        <f t="shared" si="93"/>
        <v>56871.75</v>
      </c>
      <c r="AD237" s="31">
        <f>VLOOKUP($A237,kurspris!$A$1:$Q$950,3,FALSE)</f>
        <v>0</v>
      </c>
      <c r="AE237" s="31">
        <f>VLOOKUP($A237,kurspris!$A$1:$Q$950,4,FALSE)</f>
        <v>0</v>
      </c>
      <c r="AF237" s="31">
        <f>VLOOKUP($A237,kurspris!$A$1:$Q$950,5,FALSE)</f>
        <v>1</v>
      </c>
      <c r="AG237" s="31">
        <f>VLOOKUP($A237,kurspris!$A$1:$Q$950,6,FALSE)</f>
        <v>0</v>
      </c>
      <c r="AH237" s="31">
        <f>VLOOKUP($A237,kurspris!$A$1:$Q$950,7,FALSE)</f>
        <v>0</v>
      </c>
      <c r="AI237" s="31">
        <f>VLOOKUP($A237,kurspris!$A$1:$Q$950,8,FALSE)</f>
        <v>0</v>
      </c>
      <c r="AJ237" s="31">
        <f>VLOOKUP($A237,kurspris!$A$1:$Q$950,9,FALSE)</f>
        <v>0</v>
      </c>
      <c r="AK237" s="31">
        <f>VLOOKUP($A237,kurspris!$A$1:$Q$950,10,FALSE)</f>
        <v>0</v>
      </c>
      <c r="AL237" s="31">
        <f>VLOOKUP($A237,kurspris!$A$1:$Q$950,11,FALSE)</f>
        <v>0</v>
      </c>
      <c r="AM237" s="31">
        <f>VLOOKUP($A237,kurspris!$A$1:$Q$950,12,FALSE)</f>
        <v>0</v>
      </c>
      <c r="AN237" s="31">
        <f>VLOOKUP($A237,kurspris!$A$1:$Q$950,13,FALSE)</f>
        <v>0</v>
      </c>
      <c r="AO237" s="31">
        <f>VLOOKUP($A237,kurspris!$A$1:$Q$950,14,FALSE)</f>
        <v>0</v>
      </c>
      <c r="AP237" s="57" t="s">
        <v>2402</v>
      </c>
      <c r="AQ237" s="37"/>
      <c r="AR237" s="31">
        <f t="shared" si="94"/>
        <v>0</v>
      </c>
      <c r="AS237" s="219">
        <f t="shared" si="95"/>
        <v>0</v>
      </c>
      <c r="AT237" s="31">
        <f t="shared" si="96"/>
        <v>0</v>
      </c>
      <c r="AU237" s="219">
        <f t="shared" si="97"/>
        <v>0</v>
      </c>
      <c r="AV237" s="31">
        <f t="shared" si="98"/>
        <v>0.5</v>
      </c>
      <c r="AW237" s="31">
        <f t="shared" si="99"/>
        <v>0.42499999999999999</v>
      </c>
      <c r="AX237" s="31">
        <f t="shared" si="100"/>
        <v>0</v>
      </c>
      <c r="AY237" s="219">
        <f t="shared" si="101"/>
        <v>0</v>
      </c>
      <c r="AZ237" s="196">
        <f t="shared" si="102"/>
        <v>0</v>
      </c>
      <c r="BA237" s="219">
        <f t="shared" si="103"/>
        <v>0</v>
      </c>
      <c r="BB237" s="31">
        <f t="shared" si="104"/>
        <v>0</v>
      </c>
      <c r="BC237" s="219">
        <f t="shared" si="105"/>
        <v>0</v>
      </c>
      <c r="BD237" s="31">
        <f t="shared" si="106"/>
        <v>0</v>
      </c>
      <c r="BE237" s="219">
        <f t="shared" si="107"/>
        <v>0</v>
      </c>
      <c r="BF237" s="31">
        <f t="shared" si="108"/>
        <v>0</v>
      </c>
      <c r="BG237" s="219">
        <f t="shared" si="109"/>
        <v>0</v>
      </c>
      <c r="BH237" s="31">
        <f t="shared" si="110"/>
        <v>0</v>
      </c>
      <c r="BI237" s="219">
        <f t="shared" si="111"/>
        <v>0</v>
      </c>
      <c r="BJ237" s="31">
        <f t="shared" si="112"/>
        <v>0</v>
      </c>
      <c r="BK237" s="219">
        <f t="shared" si="113"/>
        <v>0</v>
      </c>
      <c r="BL237" s="31">
        <f t="shared" si="114"/>
        <v>0</v>
      </c>
      <c r="BM237" s="219">
        <f t="shared" si="115"/>
        <v>0</v>
      </c>
      <c r="BN237" s="31">
        <f t="shared" si="116"/>
        <v>0</v>
      </c>
      <c r="BO237" s="219">
        <f t="shared" si="117"/>
        <v>0</v>
      </c>
    </row>
    <row r="238" spans="1:67" x14ac:dyDescent="0.25">
      <c r="A238" s="31" t="s">
        <v>1550</v>
      </c>
      <c r="B238" s="176" t="str">
        <f>VLOOKUP(A238,kurspris!$A$1:$B$992,2,FALSE)</f>
        <v>Idrott och hälsa 1</v>
      </c>
      <c r="C238" s="31">
        <v>72003</v>
      </c>
      <c r="D238" s="60" t="s">
        <v>482</v>
      </c>
      <c r="E238" s="60"/>
      <c r="F238" s="57" t="s">
        <v>2274</v>
      </c>
      <c r="H238" s="31" t="s">
        <v>2335</v>
      </c>
      <c r="I238" s="31" t="s">
        <v>2399</v>
      </c>
      <c r="J238" s="31" t="s">
        <v>2242</v>
      </c>
      <c r="L238" s="38"/>
      <c r="M238">
        <v>30</v>
      </c>
      <c r="P238" s="31">
        <v>4</v>
      </c>
      <c r="Q238" s="539">
        <v>2</v>
      </c>
      <c r="R238" s="38">
        <v>0.85</v>
      </c>
      <c r="S238" s="280">
        <f t="shared" si="90"/>
        <v>1.7</v>
      </c>
      <c r="T238" s="31">
        <f>VLOOKUP(A238,'Ansvar kurs'!$A$1:$C$1123,2,FALSE)</f>
        <v>2180</v>
      </c>
      <c r="U238" s="31" t="str">
        <f>VLOOKUP(T238,Orgenheter!$A$1:$C$166,2,FALSE)</f>
        <v xml:space="preserve">Pedagogik                     </v>
      </c>
      <c r="V238" s="31" t="str">
        <f>VLOOKUP(T238,Orgenheter!$A$1:$C$166,3,FALSE)</f>
        <v>Sam</v>
      </c>
      <c r="W238" s="35" t="str">
        <f>VLOOKUP(D238,Program!$A$1:$B$36,2,FALSE)</f>
        <v>Ämneslärarprogrammet - Gy</v>
      </c>
      <c r="X238" s="40">
        <f>VLOOKUP(A238,kurspris!$A$1:$Q$913,15,FALSE)</f>
        <v>47928</v>
      </c>
      <c r="Y238" s="40">
        <f>VLOOKUP(A238,kurspris!$A$1:$Q$913,16,FALSE)</f>
        <v>35430</v>
      </c>
      <c r="Z238" s="40">
        <f t="shared" si="91"/>
        <v>156087</v>
      </c>
      <c r="AA238" s="40">
        <f>VLOOKUP(A238,kurspris!$A$1:$Q$913,17,FALSE)</f>
        <v>35700</v>
      </c>
      <c r="AB238" s="40">
        <f t="shared" si="92"/>
        <v>71400</v>
      </c>
      <c r="AC238" s="40">
        <f t="shared" si="93"/>
        <v>227487</v>
      </c>
      <c r="AD238" s="31">
        <f>VLOOKUP($A238,kurspris!$A$1:$Q$950,3,FALSE)</f>
        <v>0</v>
      </c>
      <c r="AE238" s="31">
        <f>VLOOKUP($A238,kurspris!$A$1:$Q$950,4,FALSE)</f>
        <v>0</v>
      </c>
      <c r="AF238" s="31">
        <f>VLOOKUP($A238,kurspris!$A$1:$Q$950,5,FALSE)</f>
        <v>1</v>
      </c>
      <c r="AG238" s="31">
        <f>VLOOKUP($A238,kurspris!$A$1:$Q$950,6,FALSE)</f>
        <v>0</v>
      </c>
      <c r="AH238" s="31">
        <f>VLOOKUP($A238,kurspris!$A$1:$Q$950,7,FALSE)</f>
        <v>0</v>
      </c>
      <c r="AI238" s="31">
        <f>VLOOKUP($A238,kurspris!$A$1:$Q$950,8,FALSE)</f>
        <v>0</v>
      </c>
      <c r="AJ238" s="31">
        <f>VLOOKUP($A238,kurspris!$A$1:$Q$950,9,FALSE)</f>
        <v>0</v>
      </c>
      <c r="AK238" s="31">
        <f>VLOOKUP($A238,kurspris!$A$1:$Q$950,10,FALSE)</f>
        <v>0</v>
      </c>
      <c r="AL238" s="31">
        <f>VLOOKUP($A238,kurspris!$A$1:$Q$950,11,FALSE)</f>
        <v>0</v>
      </c>
      <c r="AM238" s="31">
        <f>VLOOKUP($A238,kurspris!$A$1:$Q$950,12,FALSE)</f>
        <v>0</v>
      </c>
      <c r="AN238" s="31">
        <f>VLOOKUP($A238,kurspris!$A$1:$Q$950,13,FALSE)</f>
        <v>0</v>
      </c>
      <c r="AO238" s="31">
        <f>VLOOKUP($A238,kurspris!$A$1:$Q$950,14,FALSE)</f>
        <v>0</v>
      </c>
      <c r="AP238" s="57" t="s">
        <v>2402</v>
      </c>
      <c r="AQ238"/>
      <c r="AR238" s="31">
        <f t="shared" si="94"/>
        <v>0</v>
      </c>
      <c r="AS238" s="219">
        <f t="shared" si="95"/>
        <v>0</v>
      </c>
      <c r="AT238" s="31">
        <f t="shared" si="96"/>
        <v>0</v>
      </c>
      <c r="AU238" s="219">
        <f t="shared" si="97"/>
        <v>0</v>
      </c>
      <c r="AV238" s="31">
        <f t="shared" si="98"/>
        <v>2</v>
      </c>
      <c r="AW238" s="31">
        <f t="shared" si="99"/>
        <v>1.7</v>
      </c>
      <c r="AX238" s="31">
        <f t="shared" si="100"/>
        <v>0</v>
      </c>
      <c r="AY238" s="219">
        <f t="shared" si="101"/>
        <v>0</v>
      </c>
      <c r="AZ238" s="196">
        <f t="shared" si="102"/>
        <v>0</v>
      </c>
      <c r="BA238" s="219">
        <f t="shared" si="103"/>
        <v>0</v>
      </c>
      <c r="BB238" s="31">
        <f t="shared" si="104"/>
        <v>0</v>
      </c>
      <c r="BC238" s="219">
        <f t="shared" si="105"/>
        <v>0</v>
      </c>
      <c r="BD238" s="31">
        <f t="shared" si="106"/>
        <v>0</v>
      </c>
      <c r="BE238" s="219">
        <f t="shared" si="107"/>
        <v>0</v>
      </c>
      <c r="BF238" s="31">
        <f t="shared" si="108"/>
        <v>0</v>
      </c>
      <c r="BG238" s="219">
        <f t="shared" si="109"/>
        <v>0</v>
      </c>
      <c r="BH238" s="31">
        <f t="shared" si="110"/>
        <v>0</v>
      </c>
      <c r="BI238" s="219">
        <f t="shared" si="111"/>
        <v>0</v>
      </c>
      <c r="BJ238" s="31">
        <f t="shared" si="112"/>
        <v>0</v>
      </c>
      <c r="BK238" s="219">
        <f t="shared" si="113"/>
        <v>0</v>
      </c>
      <c r="BL238" s="31">
        <f t="shared" si="114"/>
        <v>0</v>
      </c>
      <c r="BM238" s="219">
        <f t="shared" si="115"/>
        <v>0</v>
      </c>
      <c r="BN238" s="31">
        <f t="shared" si="116"/>
        <v>0</v>
      </c>
      <c r="BO238" s="219">
        <f t="shared" si="117"/>
        <v>0</v>
      </c>
    </row>
    <row r="239" spans="1:67" x14ac:dyDescent="0.25">
      <c r="A239" s="31" t="s">
        <v>1764</v>
      </c>
      <c r="B239" s="176" t="str">
        <f>VLOOKUP(A239,kurspris!$A$1:$B$992,2,FALSE)</f>
        <v>Idrott och hälsa 3</v>
      </c>
      <c r="C239" s="31">
        <v>72006</v>
      </c>
      <c r="D239" s="60" t="s">
        <v>117</v>
      </c>
      <c r="E239" s="60"/>
      <c r="F239" s="57" t="s">
        <v>2274</v>
      </c>
      <c r="H239" s="31" t="s">
        <v>2335</v>
      </c>
      <c r="I239" s="31" t="s">
        <v>2399</v>
      </c>
      <c r="L239" s="38"/>
      <c r="M239">
        <v>30</v>
      </c>
      <c r="P239" s="31">
        <v>2</v>
      </c>
      <c r="Q239" s="539">
        <v>1</v>
      </c>
      <c r="R239" s="38">
        <v>0.8</v>
      </c>
      <c r="S239" s="280">
        <f t="shared" si="90"/>
        <v>0.8</v>
      </c>
      <c r="T239" s="31">
        <f>VLOOKUP(A239,'Ansvar kurs'!$A$1:$C$1123,2,FALSE)</f>
        <v>2180</v>
      </c>
      <c r="U239" s="31" t="str">
        <f>VLOOKUP(T239,Orgenheter!$A$1:$C$166,2,FALSE)</f>
        <v xml:space="preserve">Pedagogik                     </v>
      </c>
      <c r="V239" s="31" t="str">
        <f>VLOOKUP(T239,Orgenheter!$A$1:$C$166,3,FALSE)</f>
        <v>Sam</v>
      </c>
      <c r="W239" s="35" t="str">
        <f>VLOOKUP(D239,Program!$A$1:$B$36,2,FALSE)</f>
        <v>Fristående och övriga kurser</v>
      </c>
      <c r="X239" s="40">
        <f>VLOOKUP(A239,kurspris!$A$1:$Q$913,15,FALSE)</f>
        <v>47928</v>
      </c>
      <c r="Y239" s="40">
        <f>VLOOKUP(A239,kurspris!$A$1:$Q$913,16,FALSE)</f>
        <v>35430</v>
      </c>
      <c r="Z239" s="40">
        <f t="shared" si="91"/>
        <v>76272</v>
      </c>
      <c r="AA239" s="40">
        <f>VLOOKUP(A239,kurspris!$A$1:$Q$913,17,FALSE)</f>
        <v>35700</v>
      </c>
      <c r="AB239" s="40">
        <f t="shared" si="92"/>
        <v>35700</v>
      </c>
      <c r="AC239" s="40">
        <f t="shared" si="93"/>
        <v>111972</v>
      </c>
      <c r="AD239" s="31">
        <f>VLOOKUP($A239,kurspris!$A$1:$Q$950,3,FALSE)</f>
        <v>0</v>
      </c>
      <c r="AE239" s="31">
        <f>VLOOKUP($A239,kurspris!$A$1:$Q$950,4,FALSE)</f>
        <v>0</v>
      </c>
      <c r="AF239" s="31">
        <f>VLOOKUP($A239,kurspris!$A$1:$Q$950,5,FALSE)</f>
        <v>1</v>
      </c>
      <c r="AG239" s="31">
        <f>VLOOKUP($A239,kurspris!$A$1:$Q$950,6,FALSE)</f>
        <v>0</v>
      </c>
      <c r="AH239" s="31">
        <f>VLOOKUP($A239,kurspris!$A$1:$Q$950,7,FALSE)</f>
        <v>0</v>
      </c>
      <c r="AI239" s="31">
        <f>VLOOKUP($A239,kurspris!$A$1:$Q$950,8,FALSE)</f>
        <v>0</v>
      </c>
      <c r="AJ239" s="31">
        <f>VLOOKUP($A239,kurspris!$A$1:$Q$950,9,FALSE)</f>
        <v>0</v>
      </c>
      <c r="AK239" s="31">
        <f>VLOOKUP($A239,kurspris!$A$1:$Q$950,10,FALSE)</f>
        <v>0</v>
      </c>
      <c r="AL239" s="31">
        <f>VLOOKUP($A239,kurspris!$A$1:$Q$950,11,FALSE)</f>
        <v>0</v>
      </c>
      <c r="AM239" s="31">
        <f>VLOOKUP($A239,kurspris!$A$1:$Q$950,12,FALSE)</f>
        <v>0</v>
      </c>
      <c r="AN239" s="31">
        <f>VLOOKUP($A239,kurspris!$A$1:$Q$950,13,FALSE)</f>
        <v>0</v>
      </c>
      <c r="AO239" s="31">
        <f>VLOOKUP($A239,kurspris!$A$1:$Q$950,14,FALSE)</f>
        <v>0</v>
      </c>
      <c r="AP239" s="57" t="s">
        <v>2402</v>
      </c>
      <c r="AQ239"/>
      <c r="AR239" s="31">
        <f t="shared" si="94"/>
        <v>0</v>
      </c>
      <c r="AS239" s="219">
        <f t="shared" si="95"/>
        <v>0</v>
      </c>
      <c r="AT239" s="31">
        <f t="shared" si="96"/>
        <v>0</v>
      </c>
      <c r="AU239" s="219">
        <f t="shared" si="97"/>
        <v>0</v>
      </c>
      <c r="AV239" s="31">
        <f t="shared" si="98"/>
        <v>1</v>
      </c>
      <c r="AW239" s="31">
        <f t="shared" si="99"/>
        <v>0.8</v>
      </c>
      <c r="AX239" s="31">
        <f t="shared" si="100"/>
        <v>0</v>
      </c>
      <c r="AY239" s="219">
        <f t="shared" si="101"/>
        <v>0</v>
      </c>
      <c r="AZ239" s="196">
        <f t="shared" si="102"/>
        <v>0</v>
      </c>
      <c r="BA239" s="219">
        <f t="shared" si="103"/>
        <v>0</v>
      </c>
      <c r="BB239" s="31">
        <f t="shared" si="104"/>
        <v>0</v>
      </c>
      <c r="BC239" s="219">
        <f t="shared" si="105"/>
        <v>0</v>
      </c>
      <c r="BD239" s="31">
        <f t="shared" si="106"/>
        <v>0</v>
      </c>
      <c r="BE239" s="219">
        <f t="shared" si="107"/>
        <v>0</v>
      </c>
      <c r="BF239" s="31">
        <f t="shared" si="108"/>
        <v>0</v>
      </c>
      <c r="BG239" s="219">
        <f t="shared" si="109"/>
        <v>0</v>
      </c>
      <c r="BH239" s="31">
        <f t="shared" si="110"/>
        <v>0</v>
      </c>
      <c r="BI239" s="219">
        <f t="shared" si="111"/>
        <v>0</v>
      </c>
      <c r="BJ239" s="31">
        <f t="shared" si="112"/>
        <v>0</v>
      </c>
      <c r="BK239" s="219">
        <f t="shared" si="113"/>
        <v>0</v>
      </c>
      <c r="BL239" s="31">
        <f t="shared" si="114"/>
        <v>0</v>
      </c>
      <c r="BM239" s="219">
        <f t="shared" si="115"/>
        <v>0</v>
      </c>
      <c r="BN239" s="31">
        <f t="shared" si="116"/>
        <v>0</v>
      </c>
      <c r="BO239" s="219">
        <f t="shared" si="117"/>
        <v>0</v>
      </c>
    </row>
    <row r="240" spans="1:67" x14ac:dyDescent="0.25">
      <c r="A240" s="31" t="s">
        <v>1764</v>
      </c>
      <c r="B240" s="176" t="str">
        <f>VLOOKUP(A240,kurspris!$A$1:$B$992,2,FALSE)</f>
        <v>Idrott och hälsa 3</v>
      </c>
      <c r="C240" s="31">
        <v>72004</v>
      </c>
      <c r="D240" s="60" t="s">
        <v>482</v>
      </c>
      <c r="E240" s="60"/>
      <c r="F240" s="57" t="s">
        <v>2274</v>
      </c>
      <c r="H240" s="31" t="s">
        <v>2335</v>
      </c>
      <c r="I240" s="31" t="s">
        <v>2399</v>
      </c>
      <c r="J240" s="31" t="s">
        <v>2231</v>
      </c>
      <c r="L240" s="38"/>
      <c r="M240">
        <v>30</v>
      </c>
      <c r="P240" s="31">
        <v>2</v>
      </c>
      <c r="Q240" s="539">
        <v>1</v>
      </c>
      <c r="R240" s="38">
        <v>0.85</v>
      </c>
      <c r="S240" s="280">
        <f t="shared" si="90"/>
        <v>0.85</v>
      </c>
      <c r="T240" s="31">
        <f>VLOOKUP(A240,'Ansvar kurs'!$A$1:$C$1123,2,FALSE)</f>
        <v>2180</v>
      </c>
      <c r="U240" s="31" t="str">
        <f>VLOOKUP(T240,Orgenheter!$A$1:$C$166,2,FALSE)</f>
        <v xml:space="preserve">Pedagogik                     </v>
      </c>
      <c r="V240" s="31" t="str">
        <f>VLOOKUP(T240,Orgenheter!$A$1:$C$166,3,FALSE)</f>
        <v>Sam</v>
      </c>
      <c r="W240" s="35" t="str">
        <f>VLOOKUP(D240,Program!$A$1:$B$36,2,FALSE)</f>
        <v>Ämneslärarprogrammet - Gy</v>
      </c>
      <c r="X240" s="40">
        <f>VLOOKUP(A240,kurspris!$A$1:$Q$913,15,FALSE)</f>
        <v>47928</v>
      </c>
      <c r="Y240" s="40">
        <f>VLOOKUP(A240,kurspris!$A$1:$Q$913,16,FALSE)</f>
        <v>35430</v>
      </c>
      <c r="Z240" s="40">
        <f t="shared" si="91"/>
        <v>78043.5</v>
      </c>
      <c r="AA240" s="40">
        <f>VLOOKUP(A240,kurspris!$A$1:$Q$913,17,FALSE)</f>
        <v>35700</v>
      </c>
      <c r="AB240" s="40">
        <f t="shared" si="92"/>
        <v>35700</v>
      </c>
      <c r="AC240" s="40">
        <f t="shared" si="93"/>
        <v>113743.5</v>
      </c>
      <c r="AD240" s="31">
        <f>VLOOKUP($A240,kurspris!$A$1:$Q$950,3,FALSE)</f>
        <v>0</v>
      </c>
      <c r="AE240" s="31">
        <f>VLOOKUP($A240,kurspris!$A$1:$Q$950,4,FALSE)</f>
        <v>0</v>
      </c>
      <c r="AF240" s="31">
        <f>VLOOKUP($A240,kurspris!$A$1:$Q$950,5,FALSE)</f>
        <v>1</v>
      </c>
      <c r="AG240" s="31">
        <f>VLOOKUP($A240,kurspris!$A$1:$Q$950,6,FALSE)</f>
        <v>0</v>
      </c>
      <c r="AH240" s="31">
        <f>VLOOKUP($A240,kurspris!$A$1:$Q$950,7,FALSE)</f>
        <v>0</v>
      </c>
      <c r="AI240" s="31">
        <f>VLOOKUP($A240,kurspris!$A$1:$Q$950,8,FALSE)</f>
        <v>0</v>
      </c>
      <c r="AJ240" s="31">
        <f>VLOOKUP($A240,kurspris!$A$1:$Q$950,9,FALSE)</f>
        <v>0</v>
      </c>
      <c r="AK240" s="31">
        <f>VLOOKUP($A240,kurspris!$A$1:$Q$950,10,FALSE)</f>
        <v>0</v>
      </c>
      <c r="AL240" s="31">
        <f>VLOOKUP($A240,kurspris!$A$1:$Q$950,11,FALSE)</f>
        <v>0</v>
      </c>
      <c r="AM240" s="31">
        <f>VLOOKUP($A240,kurspris!$A$1:$Q$950,12,FALSE)</f>
        <v>0</v>
      </c>
      <c r="AN240" s="31">
        <f>VLOOKUP($A240,kurspris!$A$1:$Q$950,13,FALSE)</f>
        <v>0</v>
      </c>
      <c r="AO240" s="31">
        <f>VLOOKUP($A240,kurspris!$A$1:$Q$950,14,FALSE)</f>
        <v>0</v>
      </c>
      <c r="AP240" s="57" t="s">
        <v>2402</v>
      </c>
      <c r="AQ240"/>
      <c r="AR240" s="31">
        <f t="shared" si="94"/>
        <v>0</v>
      </c>
      <c r="AS240" s="219">
        <f t="shared" si="95"/>
        <v>0</v>
      </c>
      <c r="AT240" s="31">
        <f t="shared" si="96"/>
        <v>0</v>
      </c>
      <c r="AU240" s="219">
        <f t="shared" si="97"/>
        <v>0</v>
      </c>
      <c r="AV240" s="31">
        <f t="shared" si="98"/>
        <v>1</v>
      </c>
      <c r="AW240" s="31">
        <f t="shared" si="99"/>
        <v>0.85</v>
      </c>
      <c r="AX240" s="31">
        <f t="shared" si="100"/>
        <v>0</v>
      </c>
      <c r="AY240" s="219">
        <f t="shared" si="101"/>
        <v>0</v>
      </c>
      <c r="AZ240" s="196">
        <f t="shared" si="102"/>
        <v>0</v>
      </c>
      <c r="BA240" s="219">
        <f t="shared" si="103"/>
        <v>0</v>
      </c>
      <c r="BB240" s="31">
        <f t="shared" si="104"/>
        <v>0</v>
      </c>
      <c r="BC240" s="219">
        <f t="shared" si="105"/>
        <v>0</v>
      </c>
      <c r="BD240" s="31">
        <f t="shared" si="106"/>
        <v>0</v>
      </c>
      <c r="BE240" s="219">
        <f t="shared" si="107"/>
        <v>0</v>
      </c>
      <c r="BF240" s="31">
        <f t="shared" si="108"/>
        <v>0</v>
      </c>
      <c r="BG240" s="219">
        <f t="shared" si="109"/>
        <v>0</v>
      </c>
      <c r="BH240" s="31">
        <f t="shared" si="110"/>
        <v>0</v>
      </c>
      <c r="BI240" s="219">
        <f t="shared" si="111"/>
        <v>0</v>
      </c>
      <c r="BJ240" s="31">
        <f t="shared" si="112"/>
        <v>0</v>
      </c>
      <c r="BK240" s="219">
        <f t="shared" si="113"/>
        <v>0</v>
      </c>
      <c r="BL240" s="31">
        <f t="shared" si="114"/>
        <v>0</v>
      </c>
      <c r="BM240" s="219">
        <f t="shared" si="115"/>
        <v>0</v>
      </c>
      <c r="BN240" s="31">
        <f t="shared" si="116"/>
        <v>0</v>
      </c>
      <c r="BO240" s="219">
        <f t="shared" si="117"/>
        <v>0</v>
      </c>
    </row>
    <row r="241" spans="1:67" x14ac:dyDescent="0.25">
      <c r="A241" s="31" t="s">
        <v>1764</v>
      </c>
      <c r="B241" s="176" t="str">
        <f>VLOOKUP(A241,kurspris!$A$1:$B$992,2,FALSE)</f>
        <v>Idrott och hälsa 3</v>
      </c>
      <c r="C241" s="31">
        <v>72004</v>
      </c>
      <c r="D241" s="31" t="s">
        <v>482</v>
      </c>
      <c r="F241" s="57" t="s">
        <v>2274</v>
      </c>
      <c r="H241" s="31" t="s">
        <v>2335</v>
      </c>
      <c r="I241" s="31" t="s">
        <v>2399</v>
      </c>
      <c r="J241" s="31" t="s">
        <v>2232</v>
      </c>
      <c r="L241" s="38"/>
      <c r="M241">
        <v>30</v>
      </c>
      <c r="P241" s="31">
        <v>18</v>
      </c>
      <c r="Q241" s="539">
        <v>9</v>
      </c>
      <c r="R241" s="38">
        <v>0.85</v>
      </c>
      <c r="S241" s="280">
        <f t="shared" si="90"/>
        <v>7.6499999999999995</v>
      </c>
      <c r="T241" s="31">
        <f>VLOOKUP(A241,'Ansvar kurs'!$A$1:$C$1123,2,FALSE)</f>
        <v>2180</v>
      </c>
      <c r="U241" s="31" t="str">
        <f>VLOOKUP(T241,Orgenheter!$A$1:$C$166,2,FALSE)</f>
        <v xml:space="preserve">Pedagogik                     </v>
      </c>
      <c r="V241" s="31" t="str">
        <f>VLOOKUP(T241,Orgenheter!$A$1:$C$166,3,FALSE)</f>
        <v>Sam</v>
      </c>
      <c r="W241" s="35" t="str">
        <f>VLOOKUP(D241,Program!$A$1:$B$36,2,FALSE)</f>
        <v>Ämneslärarprogrammet - Gy</v>
      </c>
      <c r="X241" s="40">
        <f>VLOOKUP(A241,kurspris!$A$1:$Q$913,15,FALSE)</f>
        <v>47928</v>
      </c>
      <c r="Y241" s="40">
        <f>VLOOKUP(A241,kurspris!$A$1:$Q$913,16,FALSE)</f>
        <v>35430</v>
      </c>
      <c r="Z241" s="40">
        <f t="shared" si="91"/>
        <v>702391.5</v>
      </c>
      <c r="AA241" s="40">
        <f>VLOOKUP(A241,kurspris!$A$1:$Q$913,17,FALSE)</f>
        <v>35700</v>
      </c>
      <c r="AB241" s="40">
        <f t="shared" si="92"/>
        <v>321300</v>
      </c>
      <c r="AC241" s="40">
        <f t="shared" si="93"/>
        <v>1023691.5</v>
      </c>
      <c r="AD241" s="31">
        <f>VLOOKUP($A241,kurspris!$A$1:$Q$950,3,FALSE)</f>
        <v>0</v>
      </c>
      <c r="AE241" s="31">
        <f>VLOOKUP($A241,kurspris!$A$1:$Q$950,4,FALSE)</f>
        <v>0</v>
      </c>
      <c r="AF241" s="31">
        <f>VLOOKUP($A241,kurspris!$A$1:$Q$950,5,FALSE)</f>
        <v>1</v>
      </c>
      <c r="AG241" s="31">
        <f>VLOOKUP($A241,kurspris!$A$1:$Q$950,6,FALSE)</f>
        <v>0</v>
      </c>
      <c r="AH241" s="31">
        <f>VLOOKUP($A241,kurspris!$A$1:$Q$950,7,FALSE)</f>
        <v>0</v>
      </c>
      <c r="AI241" s="31">
        <f>VLOOKUP($A241,kurspris!$A$1:$Q$950,8,FALSE)</f>
        <v>0</v>
      </c>
      <c r="AJ241" s="31">
        <f>VLOOKUP($A241,kurspris!$A$1:$Q$950,9,FALSE)</f>
        <v>0</v>
      </c>
      <c r="AK241" s="31">
        <f>VLOOKUP($A241,kurspris!$A$1:$Q$950,10,FALSE)</f>
        <v>0</v>
      </c>
      <c r="AL241" s="31">
        <f>VLOOKUP($A241,kurspris!$A$1:$Q$950,11,FALSE)</f>
        <v>0</v>
      </c>
      <c r="AM241" s="31">
        <f>VLOOKUP($A241,kurspris!$A$1:$Q$950,12,FALSE)</f>
        <v>0</v>
      </c>
      <c r="AN241" s="31">
        <f>VLOOKUP($A241,kurspris!$A$1:$Q$950,13,FALSE)</f>
        <v>0</v>
      </c>
      <c r="AO241" s="31">
        <f>VLOOKUP($A241,kurspris!$A$1:$Q$950,14,FALSE)</f>
        <v>0</v>
      </c>
      <c r="AP241" s="57" t="s">
        <v>2402</v>
      </c>
      <c r="AQ241" s="37"/>
      <c r="AR241" s="31">
        <f t="shared" si="94"/>
        <v>0</v>
      </c>
      <c r="AS241" s="219">
        <f t="shared" si="95"/>
        <v>0</v>
      </c>
      <c r="AT241" s="31">
        <f t="shared" si="96"/>
        <v>0</v>
      </c>
      <c r="AU241" s="219">
        <f t="shared" si="97"/>
        <v>0</v>
      </c>
      <c r="AV241" s="31">
        <f t="shared" si="98"/>
        <v>9</v>
      </c>
      <c r="AW241" s="31">
        <f t="shared" si="99"/>
        <v>7.6499999999999995</v>
      </c>
      <c r="AX241" s="31">
        <f t="shared" si="100"/>
        <v>0</v>
      </c>
      <c r="AY241" s="219">
        <f t="shared" si="101"/>
        <v>0</v>
      </c>
      <c r="AZ241" s="196">
        <f t="shared" si="102"/>
        <v>0</v>
      </c>
      <c r="BA241" s="219">
        <f t="shared" si="103"/>
        <v>0</v>
      </c>
      <c r="BB241" s="31">
        <f t="shared" si="104"/>
        <v>0</v>
      </c>
      <c r="BC241" s="219">
        <f t="shared" si="105"/>
        <v>0</v>
      </c>
      <c r="BD241" s="31">
        <f t="shared" si="106"/>
        <v>0</v>
      </c>
      <c r="BE241" s="219">
        <f t="shared" si="107"/>
        <v>0</v>
      </c>
      <c r="BF241" s="31">
        <f t="shared" si="108"/>
        <v>0</v>
      </c>
      <c r="BG241" s="219">
        <f t="shared" si="109"/>
        <v>0</v>
      </c>
      <c r="BH241" s="31">
        <f t="shared" si="110"/>
        <v>0</v>
      </c>
      <c r="BI241" s="219">
        <f t="shared" si="111"/>
        <v>0</v>
      </c>
      <c r="BJ241" s="31">
        <f t="shared" si="112"/>
        <v>0</v>
      </c>
      <c r="BK241" s="219">
        <f t="shared" si="113"/>
        <v>0</v>
      </c>
      <c r="BL241" s="31">
        <f t="shared" si="114"/>
        <v>0</v>
      </c>
      <c r="BM241" s="219">
        <f t="shared" si="115"/>
        <v>0</v>
      </c>
      <c r="BN241" s="31">
        <f t="shared" si="116"/>
        <v>0</v>
      </c>
      <c r="BO241" s="219">
        <f t="shared" si="117"/>
        <v>0</v>
      </c>
    </row>
    <row r="242" spans="1:67" x14ac:dyDescent="0.25">
      <c r="A242" s="31" t="s">
        <v>1764</v>
      </c>
      <c r="B242" s="176" t="str">
        <f>VLOOKUP(A242,kurspris!$A$1:$B$992,2,FALSE)</f>
        <v>Idrott och hälsa 3</v>
      </c>
      <c r="C242" s="31">
        <v>72004</v>
      </c>
      <c r="D242" s="60" t="s">
        <v>482</v>
      </c>
      <c r="E242" s="60"/>
      <c r="F242" s="57" t="s">
        <v>2274</v>
      </c>
      <c r="H242" s="31" t="s">
        <v>2335</v>
      </c>
      <c r="I242" s="31" t="s">
        <v>2399</v>
      </c>
      <c r="J242" s="31" t="s">
        <v>2233</v>
      </c>
      <c r="L242" s="38"/>
      <c r="M242">
        <v>30</v>
      </c>
      <c r="P242" s="31">
        <v>2</v>
      </c>
      <c r="Q242" s="539">
        <v>1</v>
      </c>
      <c r="R242" s="38">
        <v>0.85</v>
      </c>
      <c r="S242" s="280">
        <f t="shared" si="90"/>
        <v>0.85</v>
      </c>
      <c r="T242" s="31">
        <f>VLOOKUP(A242,'Ansvar kurs'!$A$1:$C$1123,2,FALSE)</f>
        <v>2180</v>
      </c>
      <c r="U242" s="31" t="str">
        <f>VLOOKUP(T242,Orgenheter!$A$1:$C$166,2,FALSE)</f>
        <v xml:space="preserve">Pedagogik                     </v>
      </c>
      <c r="V242" s="31" t="str">
        <f>VLOOKUP(T242,Orgenheter!$A$1:$C$166,3,FALSE)</f>
        <v>Sam</v>
      </c>
      <c r="W242" s="35" t="str">
        <f>VLOOKUP(D242,Program!$A$1:$B$36,2,FALSE)</f>
        <v>Ämneslärarprogrammet - Gy</v>
      </c>
      <c r="X242" s="40">
        <f>VLOOKUP(A242,kurspris!$A$1:$Q$913,15,FALSE)</f>
        <v>47928</v>
      </c>
      <c r="Y242" s="40">
        <f>VLOOKUP(A242,kurspris!$A$1:$Q$913,16,FALSE)</f>
        <v>35430</v>
      </c>
      <c r="Z242" s="40">
        <f t="shared" si="91"/>
        <v>78043.5</v>
      </c>
      <c r="AA242" s="40">
        <f>VLOOKUP(A242,kurspris!$A$1:$Q$913,17,FALSE)</f>
        <v>35700</v>
      </c>
      <c r="AB242" s="40">
        <f t="shared" si="92"/>
        <v>35700</v>
      </c>
      <c r="AC242" s="40">
        <f t="shared" si="93"/>
        <v>113743.5</v>
      </c>
      <c r="AD242" s="31">
        <f>VLOOKUP($A242,kurspris!$A$1:$Q$950,3,FALSE)</f>
        <v>0</v>
      </c>
      <c r="AE242" s="31">
        <f>VLOOKUP($A242,kurspris!$A$1:$Q$950,4,FALSE)</f>
        <v>0</v>
      </c>
      <c r="AF242" s="31">
        <f>VLOOKUP($A242,kurspris!$A$1:$Q$950,5,FALSE)</f>
        <v>1</v>
      </c>
      <c r="AG242" s="31">
        <f>VLOOKUP($A242,kurspris!$A$1:$Q$950,6,FALSE)</f>
        <v>0</v>
      </c>
      <c r="AH242" s="31">
        <f>VLOOKUP($A242,kurspris!$A$1:$Q$950,7,FALSE)</f>
        <v>0</v>
      </c>
      <c r="AI242" s="31">
        <f>VLOOKUP($A242,kurspris!$A$1:$Q$950,8,FALSE)</f>
        <v>0</v>
      </c>
      <c r="AJ242" s="31">
        <f>VLOOKUP($A242,kurspris!$A$1:$Q$950,9,FALSE)</f>
        <v>0</v>
      </c>
      <c r="AK242" s="31">
        <f>VLOOKUP($A242,kurspris!$A$1:$Q$950,10,FALSE)</f>
        <v>0</v>
      </c>
      <c r="AL242" s="31">
        <f>VLOOKUP($A242,kurspris!$A$1:$Q$950,11,FALSE)</f>
        <v>0</v>
      </c>
      <c r="AM242" s="31">
        <f>VLOOKUP($A242,kurspris!$A$1:$Q$950,12,FALSE)</f>
        <v>0</v>
      </c>
      <c r="AN242" s="31">
        <f>VLOOKUP($A242,kurspris!$A$1:$Q$950,13,FALSE)</f>
        <v>0</v>
      </c>
      <c r="AO242" s="31">
        <f>VLOOKUP($A242,kurspris!$A$1:$Q$950,14,FALSE)</f>
        <v>0</v>
      </c>
      <c r="AP242" s="57" t="s">
        <v>2402</v>
      </c>
      <c r="AQ242"/>
      <c r="AR242" s="31">
        <f t="shared" si="94"/>
        <v>0</v>
      </c>
      <c r="AS242" s="219">
        <f t="shared" si="95"/>
        <v>0</v>
      </c>
      <c r="AT242" s="31">
        <f t="shared" si="96"/>
        <v>0</v>
      </c>
      <c r="AU242" s="219">
        <f t="shared" si="97"/>
        <v>0</v>
      </c>
      <c r="AV242" s="31">
        <f t="shared" si="98"/>
        <v>1</v>
      </c>
      <c r="AW242" s="31">
        <f t="shared" si="99"/>
        <v>0.85</v>
      </c>
      <c r="AX242" s="31">
        <f t="shared" si="100"/>
        <v>0</v>
      </c>
      <c r="AY242" s="219">
        <f t="shared" si="101"/>
        <v>0</v>
      </c>
      <c r="AZ242" s="196">
        <f t="shared" si="102"/>
        <v>0</v>
      </c>
      <c r="BA242" s="219">
        <f t="shared" si="103"/>
        <v>0</v>
      </c>
      <c r="BB242" s="31">
        <f t="shared" si="104"/>
        <v>0</v>
      </c>
      <c r="BC242" s="219">
        <f t="shared" si="105"/>
        <v>0</v>
      </c>
      <c r="BD242" s="31">
        <f t="shared" si="106"/>
        <v>0</v>
      </c>
      <c r="BE242" s="219">
        <f t="shared" si="107"/>
        <v>0</v>
      </c>
      <c r="BF242" s="31">
        <f t="shared" si="108"/>
        <v>0</v>
      </c>
      <c r="BG242" s="219">
        <f t="shared" si="109"/>
        <v>0</v>
      </c>
      <c r="BH242" s="31">
        <f t="shared" si="110"/>
        <v>0</v>
      </c>
      <c r="BI242" s="219">
        <f t="shared" si="111"/>
        <v>0</v>
      </c>
      <c r="BJ242" s="31">
        <f t="shared" si="112"/>
        <v>0</v>
      </c>
      <c r="BK242" s="219">
        <f t="shared" si="113"/>
        <v>0</v>
      </c>
      <c r="BL242" s="31">
        <f t="shared" si="114"/>
        <v>0</v>
      </c>
      <c r="BM242" s="219">
        <f t="shared" si="115"/>
        <v>0</v>
      </c>
      <c r="BN242" s="31">
        <f t="shared" si="116"/>
        <v>0</v>
      </c>
      <c r="BO242" s="219">
        <f t="shared" si="117"/>
        <v>0</v>
      </c>
    </row>
    <row r="243" spans="1:67" x14ac:dyDescent="0.25">
      <c r="A243" s="31" t="s">
        <v>1764</v>
      </c>
      <c r="B243" s="176" t="str">
        <f>VLOOKUP(A243,kurspris!$A$1:$B$992,2,FALSE)</f>
        <v>Idrott och hälsa 3</v>
      </c>
      <c r="C243" s="31">
        <v>72004</v>
      </c>
      <c r="D243" s="60" t="s">
        <v>482</v>
      </c>
      <c r="E243" s="60"/>
      <c r="F243" s="57" t="s">
        <v>2274</v>
      </c>
      <c r="H243" s="31" t="s">
        <v>2335</v>
      </c>
      <c r="I243" s="31" t="s">
        <v>2399</v>
      </c>
      <c r="J243" s="31" t="s">
        <v>2235</v>
      </c>
      <c r="L243" s="38"/>
      <c r="M243">
        <v>30</v>
      </c>
      <c r="P243" s="31">
        <v>1</v>
      </c>
      <c r="Q243" s="539">
        <v>0.5</v>
      </c>
      <c r="R243" s="38">
        <v>0.85</v>
      </c>
      <c r="S243" s="280">
        <f t="shared" si="90"/>
        <v>0.42499999999999999</v>
      </c>
      <c r="T243" s="31">
        <f>VLOOKUP(A243,'Ansvar kurs'!$A$1:$C$1123,2,FALSE)</f>
        <v>2180</v>
      </c>
      <c r="U243" s="31" t="str">
        <f>VLOOKUP(T243,Orgenheter!$A$1:$C$166,2,FALSE)</f>
        <v xml:space="preserve">Pedagogik                     </v>
      </c>
      <c r="V243" s="31" t="str">
        <f>VLOOKUP(T243,Orgenheter!$A$1:$C$166,3,FALSE)</f>
        <v>Sam</v>
      </c>
      <c r="W243" s="35" t="str">
        <f>VLOOKUP(D243,Program!$A$1:$B$36,2,FALSE)</f>
        <v>Ämneslärarprogrammet - Gy</v>
      </c>
      <c r="X243" s="40">
        <f>VLOOKUP(A243,kurspris!$A$1:$Q$913,15,FALSE)</f>
        <v>47928</v>
      </c>
      <c r="Y243" s="40">
        <f>VLOOKUP(A243,kurspris!$A$1:$Q$913,16,FALSE)</f>
        <v>35430</v>
      </c>
      <c r="Z243" s="40">
        <f t="shared" si="91"/>
        <v>39021.75</v>
      </c>
      <c r="AA243" s="40">
        <f>VLOOKUP(A243,kurspris!$A$1:$Q$913,17,FALSE)</f>
        <v>35700</v>
      </c>
      <c r="AB243" s="40">
        <f t="shared" si="92"/>
        <v>17850</v>
      </c>
      <c r="AC243" s="40">
        <f t="shared" si="93"/>
        <v>56871.75</v>
      </c>
      <c r="AD243" s="31">
        <f>VLOOKUP($A243,kurspris!$A$1:$Q$950,3,FALSE)</f>
        <v>0</v>
      </c>
      <c r="AE243" s="31">
        <f>VLOOKUP($A243,kurspris!$A$1:$Q$950,4,FALSE)</f>
        <v>0</v>
      </c>
      <c r="AF243" s="31">
        <f>VLOOKUP($A243,kurspris!$A$1:$Q$950,5,FALSE)</f>
        <v>1</v>
      </c>
      <c r="AG243" s="31">
        <f>VLOOKUP($A243,kurspris!$A$1:$Q$950,6,FALSE)</f>
        <v>0</v>
      </c>
      <c r="AH243" s="31">
        <f>VLOOKUP($A243,kurspris!$A$1:$Q$950,7,FALSE)</f>
        <v>0</v>
      </c>
      <c r="AI243" s="31">
        <f>VLOOKUP($A243,kurspris!$A$1:$Q$950,8,FALSE)</f>
        <v>0</v>
      </c>
      <c r="AJ243" s="31">
        <f>VLOOKUP($A243,kurspris!$A$1:$Q$950,9,FALSE)</f>
        <v>0</v>
      </c>
      <c r="AK243" s="31">
        <f>VLOOKUP($A243,kurspris!$A$1:$Q$950,10,FALSE)</f>
        <v>0</v>
      </c>
      <c r="AL243" s="31">
        <f>VLOOKUP($A243,kurspris!$A$1:$Q$950,11,FALSE)</f>
        <v>0</v>
      </c>
      <c r="AM243" s="31">
        <f>VLOOKUP($A243,kurspris!$A$1:$Q$950,12,FALSE)</f>
        <v>0</v>
      </c>
      <c r="AN243" s="31">
        <f>VLOOKUP($A243,kurspris!$A$1:$Q$950,13,FALSE)</f>
        <v>0</v>
      </c>
      <c r="AO243" s="31">
        <f>VLOOKUP($A243,kurspris!$A$1:$Q$950,14,FALSE)</f>
        <v>0</v>
      </c>
      <c r="AP243" s="57" t="s">
        <v>2402</v>
      </c>
      <c r="AQ243"/>
      <c r="AR243" s="31">
        <f t="shared" si="94"/>
        <v>0</v>
      </c>
      <c r="AS243" s="219">
        <f t="shared" si="95"/>
        <v>0</v>
      </c>
      <c r="AT243" s="31">
        <f t="shared" si="96"/>
        <v>0</v>
      </c>
      <c r="AU243" s="219">
        <f t="shared" si="97"/>
        <v>0</v>
      </c>
      <c r="AV243" s="31">
        <f t="shared" si="98"/>
        <v>0.5</v>
      </c>
      <c r="AW243" s="31">
        <f t="shared" si="99"/>
        <v>0.42499999999999999</v>
      </c>
      <c r="AX243" s="31">
        <f t="shared" si="100"/>
        <v>0</v>
      </c>
      <c r="AY243" s="219">
        <f t="shared" si="101"/>
        <v>0</v>
      </c>
      <c r="AZ243" s="196">
        <f t="shared" si="102"/>
        <v>0</v>
      </c>
      <c r="BA243" s="219">
        <f t="shared" si="103"/>
        <v>0</v>
      </c>
      <c r="BB243" s="31">
        <f t="shared" si="104"/>
        <v>0</v>
      </c>
      <c r="BC243" s="219">
        <f t="shared" si="105"/>
        <v>0</v>
      </c>
      <c r="BD243" s="31">
        <f t="shared" si="106"/>
        <v>0</v>
      </c>
      <c r="BE243" s="219">
        <f t="shared" si="107"/>
        <v>0</v>
      </c>
      <c r="BF243" s="31">
        <f t="shared" si="108"/>
        <v>0</v>
      </c>
      <c r="BG243" s="219">
        <f t="shared" si="109"/>
        <v>0</v>
      </c>
      <c r="BH243" s="31">
        <f t="shared" si="110"/>
        <v>0</v>
      </c>
      <c r="BI243" s="219">
        <f t="shared" si="111"/>
        <v>0</v>
      </c>
      <c r="BJ243" s="31">
        <f t="shared" si="112"/>
        <v>0</v>
      </c>
      <c r="BK243" s="219">
        <f t="shared" si="113"/>
        <v>0</v>
      </c>
      <c r="BL243" s="31">
        <f t="shared" si="114"/>
        <v>0</v>
      </c>
      <c r="BM243" s="219">
        <f t="shared" si="115"/>
        <v>0</v>
      </c>
      <c r="BN243" s="31">
        <f t="shared" si="116"/>
        <v>0</v>
      </c>
      <c r="BO243" s="219">
        <f t="shared" si="117"/>
        <v>0</v>
      </c>
    </row>
    <row r="244" spans="1:67" x14ac:dyDescent="0.25">
      <c r="A244" s="31" t="s">
        <v>1764</v>
      </c>
      <c r="B244" s="176" t="str">
        <f>VLOOKUP(A244,kurspris!$A$1:$B$992,2,FALSE)</f>
        <v>Idrott och hälsa 3</v>
      </c>
      <c r="C244" s="31">
        <v>72004</v>
      </c>
      <c r="D244" s="60" t="s">
        <v>482</v>
      </c>
      <c r="E244" s="60"/>
      <c r="F244" s="57" t="s">
        <v>2274</v>
      </c>
      <c r="H244" s="31" t="s">
        <v>2335</v>
      </c>
      <c r="I244" s="31" t="s">
        <v>2399</v>
      </c>
      <c r="J244" s="31" t="s">
        <v>2242</v>
      </c>
      <c r="L244" s="38"/>
      <c r="M244">
        <v>30</v>
      </c>
      <c r="P244" s="31">
        <v>1</v>
      </c>
      <c r="Q244" s="539">
        <v>0.5</v>
      </c>
      <c r="R244" s="38">
        <v>0.85</v>
      </c>
      <c r="S244" s="280">
        <f t="shared" si="90"/>
        <v>0.42499999999999999</v>
      </c>
      <c r="T244" s="31">
        <f>VLOOKUP(A244,'Ansvar kurs'!$A$1:$C$1123,2,FALSE)</f>
        <v>2180</v>
      </c>
      <c r="U244" s="31" t="str">
        <f>VLOOKUP(T244,Orgenheter!$A$1:$C$166,2,FALSE)</f>
        <v xml:space="preserve">Pedagogik                     </v>
      </c>
      <c r="V244" s="31" t="str">
        <f>VLOOKUP(T244,Orgenheter!$A$1:$C$166,3,FALSE)</f>
        <v>Sam</v>
      </c>
      <c r="W244" s="35" t="str">
        <f>VLOOKUP(D244,Program!$A$1:$B$36,2,FALSE)</f>
        <v>Ämneslärarprogrammet - Gy</v>
      </c>
      <c r="X244" s="40">
        <f>VLOOKUP(A244,kurspris!$A$1:$Q$913,15,FALSE)</f>
        <v>47928</v>
      </c>
      <c r="Y244" s="40">
        <f>VLOOKUP(A244,kurspris!$A$1:$Q$913,16,FALSE)</f>
        <v>35430</v>
      </c>
      <c r="Z244" s="40">
        <f t="shared" si="91"/>
        <v>39021.75</v>
      </c>
      <c r="AA244" s="40">
        <f>VLOOKUP(A244,kurspris!$A$1:$Q$913,17,FALSE)</f>
        <v>35700</v>
      </c>
      <c r="AB244" s="40">
        <f t="shared" si="92"/>
        <v>17850</v>
      </c>
      <c r="AC244" s="40">
        <f t="shared" si="93"/>
        <v>56871.75</v>
      </c>
      <c r="AD244" s="31">
        <f>VLOOKUP($A244,kurspris!$A$1:$Q$950,3,FALSE)</f>
        <v>0</v>
      </c>
      <c r="AE244" s="31">
        <f>VLOOKUP($A244,kurspris!$A$1:$Q$950,4,FALSE)</f>
        <v>0</v>
      </c>
      <c r="AF244" s="31">
        <f>VLOOKUP($A244,kurspris!$A$1:$Q$950,5,FALSE)</f>
        <v>1</v>
      </c>
      <c r="AG244" s="31">
        <f>VLOOKUP($A244,kurspris!$A$1:$Q$950,6,FALSE)</f>
        <v>0</v>
      </c>
      <c r="AH244" s="31">
        <f>VLOOKUP($A244,kurspris!$A$1:$Q$950,7,FALSE)</f>
        <v>0</v>
      </c>
      <c r="AI244" s="31">
        <f>VLOOKUP($A244,kurspris!$A$1:$Q$950,8,FALSE)</f>
        <v>0</v>
      </c>
      <c r="AJ244" s="31">
        <f>VLOOKUP($A244,kurspris!$A$1:$Q$950,9,FALSE)</f>
        <v>0</v>
      </c>
      <c r="AK244" s="31">
        <f>VLOOKUP($A244,kurspris!$A$1:$Q$950,10,FALSE)</f>
        <v>0</v>
      </c>
      <c r="AL244" s="31">
        <f>VLOOKUP($A244,kurspris!$A$1:$Q$950,11,FALSE)</f>
        <v>0</v>
      </c>
      <c r="AM244" s="31">
        <f>VLOOKUP($A244,kurspris!$A$1:$Q$950,12,FALSE)</f>
        <v>0</v>
      </c>
      <c r="AN244" s="31">
        <f>VLOOKUP($A244,kurspris!$A$1:$Q$950,13,FALSE)</f>
        <v>0</v>
      </c>
      <c r="AO244" s="31">
        <f>VLOOKUP($A244,kurspris!$A$1:$Q$950,14,FALSE)</f>
        <v>0</v>
      </c>
      <c r="AP244" s="57" t="s">
        <v>2402</v>
      </c>
      <c r="AQ244"/>
      <c r="AR244" s="31">
        <f t="shared" si="94"/>
        <v>0</v>
      </c>
      <c r="AS244" s="219">
        <f t="shared" si="95"/>
        <v>0</v>
      </c>
      <c r="AT244" s="31">
        <f t="shared" si="96"/>
        <v>0</v>
      </c>
      <c r="AU244" s="219">
        <f t="shared" si="97"/>
        <v>0</v>
      </c>
      <c r="AV244" s="31">
        <f t="shared" si="98"/>
        <v>0.5</v>
      </c>
      <c r="AW244" s="31">
        <f t="shared" si="99"/>
        <v>0.42499999999999999</v>
      </c>
      <c r="AX244" s="31">
        <f t="shared" si="100"/>
        <v>0</v>
      </c>
      <c r="AY244" s="219">
        <f t="shared" si="101"/>
        <v>0</v>
      </c>
      <c r="AZ244" s="196">
        <f t="shared" si="102"/>
        <v>0</v>
      </c>
      <c r="BA244" s="219">
        <f t="shared" si="103"/>
        <v>0</v>
      </c>
      <c r="BB244" s="31">
        <f t="shared" si="104"/>
        <v>0</v>
      </c>
      <c r="BC244" s="219">
        <f t="shared" si="105"/>
        <v>0</v>
      </c>
      <c r="BD244" s="31">
        <f t="shared" si="106"/>
        <v>0</v>
      </c>
      <c r="BE244" s="219">
        <f t="shared" si="107"/>
        <v>0</v>
      </c>
      <c r="BF244" s="31">
        <f t="shared" si="108"/>
        <v>0</v>
      </c>
      <c r="BG244" s="219">
        <f t="shared" si="109"/>
        <v>0</v>
      </c>
      <c r="BH244" s="31">
        <f t="shared" si="110"/>
        <v>0</v>
      </c>
      <c r="BI244" s="219">
        <f t="shared" si="111"/>
        <v>0</v>
      </c>
      <c r="BJ244" s="31">
        <f t="shared" si="112"/>
        <v>0</v>
      </c>
      <c r="BK244" s="219">
        <f t="shared" si="113"/>
        <v>0</v>
      </c>
      <c r="BL244" s="31">
        <f t="shared" si="114"/>
        <v>0</v>
      </c>
      <c r="BM244" s="219">
        <f t="shared" si="115"/>
        <v>0</v>
      </c>
      <c r="BN244" s="31">
        <f t="shared" si="116"/>
        <v>0</v>
      </c>
      <c r="BO244" s="219">
        <f t="shared" si="117"/>
        <v>0</v>
      </c>
    </row>
    <row r="245" spans="1:67" x14ac:dyDescent="0.25">
      <c r="A245" s="31" t="s">
        <v>1764</v>
      </c>
      <c r="B245" s="176" t="str">
        <f>VLOOKUP(A245,kurspris!$A$1:$B$992,2,FALSE)</f>
        <v>Idrott och hälsa 3</v>
      </c>
      <c r="C245" s="31">
        <v>72004</v>
      </c>
      <c r="D245" s="60" t="s">
        <v>482</v>
      </c>
      <c r="E245" s="60"/>
      <c r="F245" s="57" t="s">
        <v>2274</v>
      </c>
      <c r="H245" s="31" t="s">
        <v>2335</v>
      </c>
      <c r="I245" s="31" t="s">
        <v>2399</v>
      </c>
      <c r="J245" s="31" t="s">
        <v>2240</v>
      </c>
      <c r="L245" s="38"/>
      <c r="M245">
        <v>30</v>
      </c>
      <c r="P245" s="31">
        <v>1</v>
      </c>
      <c r="Q245" s="539">
        <v>0.5</v>
      </c>
      <c r="R245" s="38">
        <v>0.85</v>
      </c>
      <c r="S245" s="280">
        <f t="shared" si="90"/>
        <v>0.42499999999999999</v>
      </c>
      <c r="T245" s="31">
        <f>VLOOKUP(A245,'Ansvar kurs'!$A$1:$C$1123,2,FALSE)</f>
        <v>2180</v>
      </c>
      <c r="U245" s="31" t="str">
        <f>VLOOKUP(T245,Orgenheter!$A$1:$C$166,2,FALSE)</f>
        <v xml:space="preserve">Pedagogik                     </v>
      </c>
      <c r="V245" s="31" t="str">
        <f>VLOOKUP(T245,Orgenheter!$A$1:$C$166,3,FALSE)</f>
        <v>Sam</v>
      </c>
      <c r="W245" s="35" t="str">
        <f>VLOOKUP(D245,Program!$A$1:$B$36,2,FALSE)</f>
        <v>Ämneslärarprogrammet - Gy</v>
      </c>
      <c r="X245" s="40">
        <f>VLOOKUP(A245,kurspris!$A$1:$Q$913,15,FALSE)</f>
        <v>47928</v>
      </c>
      <c r="Y245" s="40">
        <f>VLOOKUP(A245,kurspris!$A$1:$Q$913,16,FALSE)</f>
        <v>35430</v>
      </c>
      <c r="Z245" s="40">
        <f t="shared" si="91"/>
        <v>39021.75</v>
      </c>
      <c r="AA245" s="40">
        <f>VLOOKUP(A245,kurspris!$A$1:$Q$913,17,FALSE)</f>
        <v>35700</v>
      </c>
      <c r="AB245" s="40">
        <f t="shared" si="92"/>
        <v>17850</v>
      </c>
      <c r="AC245" s="40">
        <f t="shared" si="93"/>
        <v>56871.75</v>
      </c>
      <c r="AD245" s="31">
        <f>VLOOKUP($A245,kurspris!$A$1:$Q$950,3,FALSE)</f>
        <v>0</v>
      </c>
      <c r="AE245" s="31">
        <f>VLOOKUP($A245,kurspris!$A$1:$Q$950,4,FALSE)</f>
        <v>0</v>
      </c>
      <c r="AF245" s="31">
        <f>VLOOKUP($A245,kurspris!$A$1:$Q$950,5,FALSE)</f>
        <v>1</v>
      </c>
      <c r="AG245" s="31">
        <f>VLOOKUP($A245,kurspris!$A$1:$Q$950,6,FALSE)</f>
        <v>0</v>
      </c>
      <c r="AH245" s="31">
        <f>VLOOKUP($A245,kurspris!$A$1:$Q$950,7,FALSE)</f>
        <v>0</v>
      </c>
      <c r="AI245" s="31">
        <f>VLOOKUP($A245,kurspris!$A$1:$Q$950,8,FALSE)</f>
        <v>0</v>
      </c>
      <c r="AJ245" s="31">
        <f>VLOOKUP($A245,kurspris!$A$1:$Q$950,9,FALSE)</f>
        <v>0</v>
      </c>
      <c r="AK245" s="31">
        <f>VLOOKUP($A245,kurspris!$A$1:$Q$950,10,FALSE)</f>
        <v>0</v>
      </c>
      <c r="AL245" s="31">
        <f>VLOOKUP($A245,kurspris!$A$1:$Q$950,11,FALSE)</f>
        <v>0</v>
      </c>
      <c r="AM245" s="31">
        <f>VLOOKUP($A245,kurspris!$A$1:$Q$950,12,FALSE)</f>
        <v>0</v>
      </c>
      <c r="AN245" s="31">
        <f>VLOOKUP($A245,kurspris!$A$1:$Q$950,13,FALSE)</f>
        <v>0</v>
      </c>
      <c r="AO245" s="31">
        <f>VLOOKUP($A245,kurspris!$A$1:$Q$950,14,FALSE)</f>
        <v>0</v>
      </c>
      <c r="AP245" s="57" t="s">
        <v>2402</v>
      </c>
      <c r="AQ245"/>
      <c r="AR245" s="31">
        <f t="shared" si="94"/>
        <v>0</v>
      </c>
      <c r="AS245" s="219">
        <f t="shared" si="95"/>
        <v>0</v>
      </c>
      <c r="AT245" s="31">
        <f t="shared" si="96"/>
        <v>0</v>
      </c>
      <c r="AU245" s="219">
        <f t="shared" si="97"/>
        <v>0</v>
      </c>
      <c r="AV245" s="31">
        <f t="shared" si="98"/>
        <v>0.5</v>
      </c>
      <c r="AW245" s="31">
        <f t="shared" si="99"/>
        <v>0.42499999999999999</v>
      </c>
      <c r="AX245" s="31">
        <f t="shared" si="100"/>
        <v>0</v>
      </c>
      <c r="AY245" s="219">
        <f t="shared" si="101"/>
        <v>0</v>
      </c>
      <c r="AZ245" s="196">
        <f t="shared" si="102"/>
        <v>0</v>
      </c>
      <c r="BA245" s="219">
        <f t="shared" si="103"/>
        <v>0</v>
      </c>
      <c r="BB245" s="31">
        <f t="shared" si="104"/>
        <v>0</v>
      </c>
      <c r="BC245" s="219">
        <f t="shared" si="105"/>
        <v>0</v>
      </c>
      <c r="BD245" s="31">
        <f t="shared" si="106"/>
        <v>0</v>
      </c>
      <c r="BE245" s="219">
        <f t="shared" si="107"/>
        <v>0</v>
      </c>
      <c r="BF245" s="31">
        <f t="shared" si="108"/>
        <v>0</v>
      </c>
      <c r="BG245" s="219">
        <f t="shared" si="109"/>
        <v>0</v>
      </c>
      <c r="BH245" s="31">
        <f t="shared" si="110"/>
        <v>0</v>
      </c>
      <c r="BI245" s="219">
        <f t="shared" si="111"/>
        <v>0</v>
      </c>
      <c r="BJ245" s="31">
        <f t="shared" si="112"/>
        <v>0</v>
      </c>
      <c r="BK245" s="219">
        <f t="shared" si="113"/>
        <v>0</v>
      </c>
      <c r="BL245" s="31">
        <f t="shared" si="114"/>
        <v>0</v>
      </c>
      <c r="BM245" s="219">
        <f t="shared" si="115"/>
        <v>0</v>
      </c>
      <c r="BN245" s="31">
        <f t="shared" si="116"/>
        <v>0</v>
      </c>
      <c r="BO245" s="219">
        <f t="shared" si="117"/>
        <v>0</v>
      </c>
    </row>
    <row r="246" spans="1:67" x14ac:dyDescent="0.25">
      <c r="A246" s="31" t="s">
        <v>2325</v>
      </c>
      <c r="B246" s="176" t="str">
        <f>VLOOKUP(A246,kurspris!$A$1:$B$992,2,FALSE)</f>
        <v>Idrott och hälsa 2</v>
      </c>
      <c r="D246" s="31" t="s">
        <v>117</v>
      </c>
      <c r="F246" s="31" t="s">
        <v>2273</v>
      </c>
      <c r="I246" s="31" t="s">
        <v>2276</v>
      </c>
      <c r="L246" s="38">
        <v>1</v>
      </c>
      <c r="M246" s="325">
        <v>30</v>
      </c>
      <c r="P246" s="31">
        <v>5</v>
      </c>
      <c r="Q246" s="196">
        <f t="shared" ref="Q246:Q258" si="120">(M246/60)*P246</f>
        <v>2.5</v>
      </c>
      <c r="R246" s="38">
        <v>0.8</v>
      </c>
      <c r="S246" s="280">
        <f t="shared" si="90"/>
        <v>2</v>
      </c>
      <c r="T246" s="31">
        <f>VLOOKUP(A246,'Ansvar kurs'!$A$1:$C$1123,2,FALSE)</f>
        <v>2180</v>
      </c>
      <c r="U246" s="31" t="str">
        <f>VLOOKUP(T246,Orgenheter!$A$1:$C$166,2,FALSE)</f>
        <v xml:space="preserve">Pedagogik                     </v>
      </c>
      <c r="V246" s="31" t="str">
        <f>VLOOKUP(T246,Orgenheter!$A$1:$C$166,3,FALSE)</f>
        <v>Sam</v>
      </c>
      <c r="W246" s="35" t="str">
        <f>VLOOKUP(D246,Program!$A$1:$B$36,2,FALSE)</f>
        <v>Fristående och övriga kurser</v>
      </c>
      <c r="X246" s="40">
        <f>VLOOKUP(A246,kurspris!$A$1:$Q$913,15,FALSE)</f>
        <v>47928</v>
      </c>
      <c r="Y246" s="40">
        <f>VLOOKUP(A246,kurspris!$A$1:$Q$913,16,FALSE)</f>
        <v>35430</v>
      </c>
      <c r="Z246" s="40">
        <f t="shared" si="91"/>
        <v>190680</v>
      </c>
      <c r="AA246" s="40">
        <f>VLOOKUP(A246,kurspris!$A$1:$Q$913,17,FALSE)</f>
        <v>35700</v>
      </c>
      <c r="AB246" s="40">
        <f t="shared" si="92"/>
        <v>89250</v>
      </c>
      <c r="AC246" s="40">
        <f t="shared" si="93"/>
        <v>279930</v>
      </c>
      <c r="AD246" s="31">
        <f>VLOOKUP($A246,kurspris!$A$1:$Q$950,3,FALSE)</f>
        <v>0</v>
      </c>
      <c r="AE246" s="31">
        <f>VLOOKUP($A246,kurspris!$A$1:$Q$950,4,FALSE)</f>
        <v>0</v>
      </c>
      <c r="AF246" s="31">
        <f>VLOOKUP($A246,kurspris!$A$1:$Q$950,5,FALSE)</f>
        <v>1</v>
      </c>
      <c r="AG246" s="31">
        <f>VLOOKUP($A246,kurspris!$A$1:$Q$950,6,FALSE)</f>
        <v>0</v>
      </c>
      <c r="AH246" s="31">
        <f>VLOOKUP($A246,kurspris!$A$1:$Q$950,7,FALSE)</f>
        <v>0</v>
      </c>
      <c r="AI246" s="31">
        <f>VLOOKUP($A246,kurspris!$A$1:$Q$950,8,FALSE)</f>
        <v>0</v>
      </c>
      <c r="AJ246" s="31">
        <f>VLOOKUP($A246,kurspris!$A$1:$Q$950,9,FALSE)</f>
        <v>0</v>
      </c>
      <c r="AK246" s="31">
        <f>VLOOKUP($A246,kurspris!$A$1:$Q$950,10,FALSE)</f>
        <v>0</v>
      </c>
      <c r="AL246" s="31">
        <f>VLOOKUP($A246,kurspris!$A$1:$Q$950,11,FALSE)</f>
        <v>0</v>
      </c>
      <c r="AM246" s="31">
        <f>VLOOKUP($A246,kurspris!$A$1:$Q$950,12,FALSE)</f>
        <v>0</v>
      </c>
      <c r="AN246" s="31">
        <f>VLOOKUP($A246,kurspris!$A$1:$Q$950,13,FALSE)</f>
        <v>0</v>
      </c>
      <c r="AO246" s="31">
        <f>VLOOKUP($A246,kurspris!$A$1:$Q$950,14,FALSE)</f>
        <v>0</v>
      </c>
      <c r="AP246" s="57" t="s">
        <v>2267</v>
      </c>
      <c r="AQ246"/>
      <c r="AR246" s="31">
        <f t="shared" si="94"/>
        <v>0</v>
      </c>
      <c r="AS246" s="219">
        <f t="shared" si="95"/>
        <v>0</v>
      </c>
      <c r="AT246" s="31">
        <f t="shared" si="96"/>
        <v>0</v>
      </c>
      <c r="AU246" s="219">
        <f t="shared" si="97"/>
        <v>0</v>
      </c>
      <c r="AV246" s="31">
        <f t="shared" si="98"/>
        <v>2.5</v>
      </c>
      <c r="AW246" s="31">
        <f t="shared" si="99"/>
        <v>2</v>
      </c>
      <c r="AX246" s="31">
        <f t="shared" si="100"/>
        <v>0</v>
      </c>
      <c r="AY246" s="219">
        <f t="shared" si="101"/>
        <v>0</v>
      </c>
      <c r="AZ246" s="196">
        <f t="shared" si="102"/>
        <v>0</v>
      </c>
      <c r="BA246" s="219">
        <f t="shared" si="103"/>
        <v>0</v>
      </c>
      <c r="BB246" s="31">
        <f t="shared" si="104"/>
        <v>0</v>
      </c>
      <c r="BC246" s="219">
        <f t="shared" si="105"/>
        <v>0</v>
      </c>
      <c r="BD246" s="31">
        <f t="shared" si="106"/>
        <v>0</v>
      </c>
      <c r="BE246" s="219">
        <f t="shared" si="107"/>
        <v>0</v>
      </c>
      <c r="BF246" s="31">
        <f t="shared" si="108"/>
        <v>0</v>
      </c>
      <c r="BG246" s="219">
        <f t="shared" si="109"/>
        <v>0</v>
      </c>
      <c r="BH246" s="31">
        <f t="shared" si="110"/>
        <v>0</v>
      </c>
      <c r="BI246" s="219">
        <f t="shared" si="111"/>
        <v>0</v>
      </c>
      <c r="BJ246" s="31">
        <f t="shared" si="112"/>
        <v>0</v>
      </c>
      <c r="BK246" s="219">
        <f t="shared" si="113"/>
        <v>0</v>
      </c>
      <c r="BL246" s="31">
        <f t="shared" si="114"/>
        <v>0</v>
      </c>
      <c r="BM246" s="219">
        <f t="shared" si="115"/>
        <v>0</v>
      </c>
      <c r="BN246" s="31">
        <f t="shared" si="116"/>
        <v>0</v>
      </c>
      <c r="BO246" s="219">
        <f t="shared" si="117"/>
        <v>0</v>
      </c>
    </row>
    <row r="247" spans="1:67" x14ac:dyDescent="0.25">
      <c r="A247" s="31" t="s">
        <v>2325</v>
      </c>
      <c r="B247" s="176" t="str">
        <f>VLOOKUP(A247,kurspris!$A$1:$B$992,2,FALSE)</f>
        <v>Idrott och hälsa 2</v>
      </c>
      <c r="D247" s="60" t="s">
        <v>482</v>
      </c>
      <c r="E247" s="576" t="s">
        <v>2225</v>
      </c>
      <c r="F247" s="31" t="s">
        <v>2273</v>
      </c>
      <c r="G247" t="s">
        <v>2458</v>
      </c>
      <c r="H247" t="s">
        <v>2335</v>
      </c>
      <c r="J247" s="31" t="s">
        <v>2234</v>
      </c>
      <c r="L247" s="38">
        <v>1</v>
      </c>
      <c r="M247">
        <v>30</v>
      </c>
      <c r="P247" s="31">
        <v>1</v>
      </c>
      <c r="Q247" s="196">
        <f t="shared" si="120"/>
        <v>0.5</v>
      </c>
      <c r="R247" s="38">
        <v>0.85</v>
      </c>
      <c r="S247" s="280">
        <f t="shared" si="90"/>
        <v>0.42499999999999999</v>
      </c>
      <c r="T247" s="31">
        <f>VLOOKUP(A247,'Ansvar kurs'!$A$1:$C$1123,2,FALSE)</f>
        <v>2180</v>
      </c>
      <c r="U247" s="31" t="str">
        <f>VLOOKUP(T247,Orgenheter!$A$1:$C$166,2,FALSE)</f>
        <v xml:space="preserve">Pedagogik                     </v>
      </c>
      <c r="V247" s="31" t="str">
        <f>VLOOKUP(T247,Orgenheter!$A$1:$C$166,3,FALSE)</f>
        <v>Sam</v>
      </c>
      <c r="W247" s="35" t="str">
        <f>VLOOKUP(D247,Program!$A$1:$B$36,2,FALSE)</f>
        <v>Ämneslärarprogrammet - Gy</v>
      </c>
      <c r="X247" s="40">
        <f>VLOOKUP(A247,kurspris!$A$1:$Q$913,15,FALSE)</f>
        <v>47928</v>
      </c>
      <c r="Y247" s="40">
        <f>VLOOKUP(A247,kurspris!$A$1:$Q$913,16,FALSE)</f>
        <v>35430</v>
      </c>
      <c r="Z247" s="40">
        <f t="shared" si="91"/>
        <v>39021.75</v>
      </c>
      <c r="AA247" s="40">
        <f>VLOOKUP(A247,kurspris!$A$1:$Q$913,17,FALSE)</f>
        <v>35700</v>
      </c>
      <c r="AB247" s="40">
        <f t="shared" si="92"/>
        <v>17850</v>
      </c>
      <c r="AC247" s="40">
        <f t="shared" si="93"/>
        <v>56871.75</v>
      </c>
      <c r="AD247" s="31">
        <f>VLOOKUP($A247,kurspris!$A$1:$Q$950,3,FALSE)</f>
        <v>0</v>
      </c>
      <c r="AE247" s="31">
        <f>VLOOKUP($A247,kurspris!$A$1:$Q$950,4,FALSE)</f>
        <v>0</v>
      </c>
      <c r="AF247" s="31">
        <f>VLOOKUP($A247,kurspris!$A$1:$Q$950,5,FALSE)</f>
        <v>1</v>
      </c>
      <c r="AG247" s="31">
        <f>VLOOKUP($A247,kurspris!$A$1:$Q$950,6,FALSE)</f>
        <v>0</v>
      </c>
      <c r="AH247" s="31">
        <f>VLOOKUP($A247,kurspris!$A$1:$Q$950,7,FALSE)</f>
        <v>0</v>
      </c>
      <c r="AI247" s="31">
        <f>VLOOKUP($A247,kurspris!$A$1:$Q$950,8,FALSE)</f>
        <v>0</v>
      </c>
      <c r="AJ247" s="31">
        <f>VLOOKUP($A247,kurspris!$A$1:$Q$950,9,FALSE)</f>
        <v>0</v>
      </c>
      <c r="AK247" s="31">
        <f>VLOOKUP($A247,kurspris!$A$1:$Q$950,10,FALSE)</f>
        <v>0</v>
      </c>
      <c r="AL247" s="31">
        <f>VLOOKUP($A247,kurspris!$A$1:$Q$950,11,FALSE)</f>
        <v>0</v>
      </c>
      <c r="AM247" s="31">
        <f>VLOOKUP($A247,kurspris!$A$1:$Q$950,12,FALSE)</f>
        <v>0</v>
      </c>
      <c r="AN247" s="31">
        <f>VLOOKUP($A247,kurspris!$A$1:$Q$950,13,FALSE)</f>
        <v>0</v>
      </c>
      <c r="AO247" s="31">
        <f>VLOOKUP($A247,kurspris!$A$1:$Q$950,14,FALSE)</f>
        <v>0</v>
      </c>
      <c r="AP247" s="57" t="s">
        <v>2506</v>
      </c>
      <c r="AQ247"/>
      <c r="AR247" s="31">
        <f t="shared" si="94"/>
        <v>0</v>
      </c>
      <c r="AS247" s="219">
        <f t="shared" si="95"/>
        <v>0</v>
      </c>
      <c r="AT247" s="31">
        <f t="shared" si="96"/>
        <v>0</v>
      </c>
      <c r="AU247" s="219">
        <f t="shared" si="97"/>
        <v>0</v>
      </c>
      <c r="AV247" s="31">
        <f t="shared" si="98"/>
        <v>0.5</v>
      </c>
      <c r="AW247" s="31">
        <f t="shared" si="99"/>
        <v>0.42499999999999999</v>
      </c>
      <c r="AX247" s="31">
        <f t="shared" si="100"/>
        <v>0</v>
      </c>
      <c r="AY247" s="219">
        <f t="shared" si="101"/>
        <v>0</v>
      </c>
      <c r="AZ247" s="196">
        <f t="shared" si="102"/>
        <v>0</v>
      </c>
      <c r="BA247" s="219">
        <f t="shared" si="103"/>
        <v>0</v>
      </c>
      <c r="BB247" s="31">
        <f t="shared" si="104"/>
        <v>0</v>
      </c>
      <c r="BC247" s="219">
        <f t="shared" si="105"/>
        <v>0</v>
      </c>
      <c r="BD247" s="31">
        <f t="shared" si="106"/>
        <v>0</v>
      </c>
      <c r="BE247" s="219">
        <f t="shared" si="107"/>
        <v>0</v>
      </c>
      <c r="BF247" s="31">
        <f t="shared" si="108"/>
        <v>0</v>
      </c>
      <c r="BG247" s="219">
        <f t="shared" si="109"/>
        <v>0</v>
      </c>
      <c r="BH247" s="31">
        <f t="shared" si="110"/>
        <v>0</v>
      </c>
      <c r="BI247" s="219">
        <f t="shared" si="111"/>
        <v>0</v>
      </c>
      <c r="BJ247" s="31">
        <f t="shared" si="112"/>
        <v>0</v>
      </c>
      <c r="BK247" s="219">
        <f t="shared" si="113"/>
        <v>0</v>
      </c>
      <c r="BL247" s="31">
        <f t="shared" si="114"/>
        <v>0</v>
      </c>
      <c r="BM247" s="219">
        <f t="shared" si="115"/>
        <v>0</v>
      </c>
      <c r="BN247" s="31">
        <f t="shared" si="116"/>
        <v>0</v>
      </c>
      <c r="BO247" s="219">
        <f t="shared" si="117"/>
        <v>0</v>
      </c>
    </row>
    <row r="248" spans="1:67" x14ac:dyDescent="0.25">
      <c r="A248" s="31" t="s">
        <v>2325</v>
      </c>
      <c r="B248" s="176" t="str">
        <f>VLOOKUP(A248,kurspris!$A$1:$B$992,2,FALSE)</f>
        <v>Idrott och hälsa 2</v>
      </c>
      <c r="D248" s="60" t="s">
        <v>482</v>
      </c>
      <c r="E248" s="576" t="s">
        <v>2225</v>
      </c>
      <c r="F248" s="31" t="s">
        <v>2273</v>
      </c>
      <c r="G248" t="s">
        <v>2458</v>
      </c>
      <c r="H248" t="s">
        <v>2335</v>
      </c>
      <c r="J248" s="31" t="s">
        <v>2231</v>
      </c>
      <c r="L248" s="38">
        <v>1</v>
      </c>
      <c r="M248">
        <v>30</v>
      </c>
      <c r="P248" s="31">
        <v>1</v>
      </c>
      <c r="Q248" s="196">
        <f t="shared" si="120"/>
        <v>0.5</v>
      </c>
      <c r="R248" s="38">
        <v>0.85</v>
      </c>
      <c r="S248" s="280">
        <f t="shared" si="90"/>
        <v>0.42499999999999999</v>
      </c>
      <c r="T248" s="31">
        <f>VLOOKUP(A248,'Ansvar kurs'!$A$1:$C$1123,2,FALSE)</f>
        <v>2180</v>
      </c>
      <c r="U248" s="31" t="str">
        <f>VLOOKUP(T248,Orgenheter!$A$1:$C$166,2,FALSE)</f>
        <v xml:space="preserve">Pedagogik                     </v>
      </c>
      <c r="V248" s="31" t="str">
        <f>VLOOKUP(T248,Orgenheter!$A$1:$C$166,3,FALSE)</f>
        <v>Sam</v>
      </c>
      <c r="W248" s="35" t="str">
        <f>VLOOKUP(D248,Program!$A$1:$B$36,2,FALSE)</f>
        <v>Ämneslärarprogrammet - Gy</v>
      </c>
      <c r="X248" s="40">
        <f>VLOOKUP(A248,kurspris!$A$1:$Q$913,15,FALSE)</f>
        <v>47928</v>
      </c>
      <c r="Y248" s="40">
        <f>VLOOKUP(A248,kurspris!$A$1:$Q$913,16,FALSE)</f>
        <v>35430</v>
      </c>
      <c r="Z248" s="40">
        <f t="shared" si="91"/>
        <v>39021.75</v>
      </c>
      <c r="AA248" s="40">
        <f>VLOOKUP(A248,kurspris!$A$1:$Q$913,17,FALSE)</f>
        <v>35700</v>
      </c>
      <c r="AB248" s="40">
        <f t="shared" si="92"/>
        <v>17850</v>
      </c>
      <c r="AC248" s="40">
        <f t="shared" si="93"/>
        <v>56871.75</v>
      </c>
      <c r="AD248" s="31">
        <f>VLOOKUP($A248,kurspris!$A$1:$Q$950,3,FALSE)</f>
        <v>0</v>
      </c>
      <c r="AE248" s="31">
        <f>VLOOKUP($A248,kurspris!$A$1:$Q$950,4,FALSE)</f>
        <v>0</v>
      </c>
      <c r="AF248" s="31">
        <f>VLOOKUP($A248,kurspris!$A$1:$Q$950,5,FALSE)</f>
        <v>1</v>
      </c>
      <c r="AG248" s="31">
        <f>VLOOKUP($A248,kurspris!$A$1:$Q$950,6,FALSE)</f>
        <v>0</v>
      </c>
      <c r="AH248" s="31">
        <f>VLOOKUP($A248,kurspris!$A$1:$Q$950,7,FALSE)</f>
        <v>0</v>
      </c>
      <c r="AI248" s="31">
        <f>VLOOKUP($A248,kurspris!$A$1:$Q$950,8,FALSE)</f>
        <v>0</v>
      </c>
      <c r="AJ248" s="31">
        <f>VLOOKUP($A248,kurspris!$A$1:$Q$950,9,FALSE)</f>
        <v>0</v>
      </c>
      <c r="AK248" s="31">
        <f>VLOOKUP($A248,kurspris!$A$1:$Q$950,10,FALSE)</f>
        <v>0</v>
      </c>
      <c r="AL248" s="31">
        <f>VLOOKUP($A248,kurspris!$A$1:$Q$950,11,FALSE)</f>
        <v>0</v>
      </c>
      <c r="AM248" s="31">
        <f>VLOOKUP($A248,kurspris!$A$1:$Q$950,12,FALSE)</f>
        <v>0</v>
      </c>
      <c r="AN248" s="31">
        <f>VLOOKUP($A248,kurspris!$A$1:$Q$950,13,FALSE)</f>
        <v>0</v>
      </c>
      <c r="AO248" s="31">
        <f>VLOOKUP($A248,kurspris!$A$1:$Q$950,14,FALSE)</f>
        <v>0</v>
      </c>
      <c r="AP248" s="57" t="s">
        <v>2506</v>
      </c>
      <c r="AQ248"/>
      <c r="AR248" s="31">
        <f t="shared" si="94"/>
        <v>0</v>
      </c>
      <c r="AS248" s="219">
        <f t="shared" si="95"/>
        <v>0</v>
      </c>
      <c r="AT248" s="31">
        <f t="shared" si="96"/>
        <v>0</v>
      </c>
      <c r="AU248" s="219">
        <f t="shared" si="97"/>
        <v>0</v>
      </c>
      <c r="AV248" s="31">
        <f t="shared" si="98"/>
        <v>0.5</v>
      </c>
      <c r="AW248" s="31">
        <f t="shared" si="99"/>
        <v>0.42499999999999999</v>
      </c>
      <c r="AX248" s="31">
        <f t="shared" si="100"/>
        <v>0</v>
      </c>
      <c r="AY248" s="219">
        <f t="shared" si="101"/>
        <v>0</v>
      </c>
      <c r="AZ248" s="196">
        <f t="shared" si="102"/>
        <v>0</v>
      </c>
      <c r="BA248" s="219">
        <f t="shared" si="103"/>
        <v>0</v>
      </c>
      <c r="BB248" s="31">
        <f t="shared" si="104"/>
        <v>0</v>
      </c>
      <c r="BC248" s="219">
        <f t="shared" si="105"/>
        <v>0</v>
      </c>
      <c r="BD248" s="31">
        <f t="shared" si="106"/>
        <v>0</v>
      </c>
      <c r="BE248" s="219">
        <f t="shared" si="107"/>
        <v>0</v>
      </c>
      <c r="BF248" s="31">
        <f t="shared" si="108"/>
        <v>0</v>
      </c>
      <c r="BG248" s="219">
        <f t="shared" si="109"/>
        <v>0</v>
      </c>
      <c r="BH248" s="31">
        <f t="shared" si="110"/>
        <v>0</v>
      </c>
      <c r="BI248" s="219">
        <f t="shared" si="111"/>
        <v>0</v>
      </c>
      <c r="BJ248" s="31">
        <f t="shared" si="112"/>
        <v>0</v>
      </c>
      <c r="BK248" s="219">
        <f t="shared" si="113"/>
        <v>0</v>
      </c>
      <c r="BL248" s="31">
        <f t="shared" si="114"/>
        <v>0</v>
      </c>
      <c r="BM248" s="219">
        <f t="shared" si="115"/>
        <v>0</v>
      </c>
      <c r="BN248" s="31">
        <f t="shared" si="116"/>
        <v>0</v>
      </c>
      <c r="BO248" s="219">
        <f t="shared" si="117"/>
        <v>0</v>
      </c>
    </row>
    <row r="249" spans="1:67" x14ac:dyDescent="0.25">
      <c r="A249" s="31" t="s">
        <v>2325</v>
      </c>
      <c r="B249" s="176" t="str">
        <f>VLOOKUP(A249,kurspris!$A$1:$B$992,2,FALSE)</f>
        <v>Idrott och hälsa 2</v>
      </c>
      <c r="D249" s="60" t="s">
        <v>482</v>
      </c>
      <c r="E249" s="576" t="s">
        <v>2225</v>
      </c>
      <c r="F249" s="31" t="s">
        <v>2273</v>
      </c>
      <c r="G249" t="s">
        <v>2458</v>
      </c>
      <c r="H249" t="s">
        <v>2335</v>
      </c>
      <c r="J249" s="31" t="s">
        <v>2241</v>
      </c>
      <c r="L249" s="38">
        <v>1</v>
      </c>
      <c r="M249">
        <v>30</v>
      </c>
      <c r="P249" s="31">
        <v>2</v>
      </c>
      <c r="Q249" s="196">
        <f t="shared" si="120"/>
        <v>1</v>
      </c>
      <c r="R249" s="38">
        <v>0.85</v>
      </c>
      <c r="S249" s="280">
        <f t="shared" si="90"/>
        <v>0.85</v>
      </c>
      <c r="T249" s="31">
        <f>VLOOKUP(A249,'Ansvar kurs'!$A$1:$C$1123,2,FALSE)</f>
        <v>2180</v>
      </c>
      <c r="U249" s="31" t="str">
        <f>VLOOKUP(T249,Orgenheter!$A$1:$C$166,2,FALSE)</f>
        <v xml:space="preserve">Pedagogik                     </v>
      </c>
      <c r="V249" s="31" t="str">
        <f>VLOOKUP(T249,Orgenheter!$A$1:$C$166,3,FALSE)</f>
        <v>Sam</v>
      </c>
      <c r="W249" s="35" t="str">
        <f>VLOOKUP(D249,Program!$A$1:$B$36,2,FALSE)</f>
        <v>Ämneslärarprogrammet - Gy</v>
      </c>
      <c r="X249" s="40">
        <f>VLOOKUP(A249,kurspris!$A$1:$Q$913,15,FALSE)</f>
        <v>47928</v>
      </c>
      <c r="Y249" s="40">
        <f>VLOOKUP(A249,kurspris!$A$1:$Q$913,16,FALSE)</f>
        <v>35430</v>
      </c>
      <c r="Z249" s="40">
        <f t="shared" si="91"/>
        <v>78043.5</v>
      </c>
      <c r="AA249" s="40">
        <f>VLOOKUP(A249,kurspris!$A$1:$Q$913,17,FALSE)</f>
        <v>35700</v>
      </c>
      <c r="AB249" s="40">
        <f t="shared" si="92"/>
        <v>35700</v>
      </c>
      <c r="AC249" s="40">
        <f t="shared" si="93"/>
        <v>113743.5</v>
      </c>
      <c r="AD249" s="31">
        <f>VLOOKUP($A249,kurspris!$A$1:$Q$950,3,FALSE)</f>
        <v>0</v>
      </c>
      <c r="AE249" s="31">
        <f>VLOOKUP($A249,kurspris!$A$1:$Q$950,4,FALSE)</f>
        <v>0</v>
      </c>
      <c r="AF249" s="31">
        <f>VLOOKUP($A249,kurspris!$A$1:$Q$950,5,FALSE)</f>
        <v>1</v>
      </c>
      <c r="AG249" s="31">
        <f>VLOOKUP($A249,kurspris!$A$1:$Q$950,6,FALSE)</f>
        <v>0</v>
      </c>
      <c r="AH249" s="31">
        <f>VLOOKUP($A249,kurspris!$A$1:$Q$950,7,FALSE)</f>
        <v>0</v>
      </c>
      <c r="AI249" s="31">
        <f>VLOOKUP($A249,kurspris!$A$1:$Q$950,8,FALSE)</f>
        <v>0</v>
      </c>
      <c r="AJ249" s="31">
        <f>VLOOKUP($A249,kurspris!$A$1:$Q$950,9,FALSE)</f>
        <v>0</v>
      </c>
      <c r="AK249" s="31">
        <f>VLOOKUP($A249,kurspris!$A$1:$Q$950,10,FALSE)</f>
        <v>0</v>
      </c>
      <c r="AL249" s="31">
        <f>VLOOKUP($A249,kurspris!$A$1:$Q$950,11,FALSE)</f>
        <v>0</v>
      </c>
      <c r="AM249" s="31">
        <f>VLOOKUP($A249,kurspris!$A$1:$Q$950,12,FALSE)</f>
        <v>0</v>
      </c>
      <c r="AN249" s="31">
        <f>VLOOKUP($A249,kurspris!$A$1:$Q$950,13,FALSE)</f>
        <v>0</v>
      </c>
      <c r="AO249" s="31">
        <f>VLOOKUP($A249,kurspris!$A$1:$Q$950,14,FALSE)</f>
        <v>0</v>
      </c>
      <c r="AP249" s="57" t="s">
        <v>2506</v>
      </c>
      <c r="AQ249"/>
      <c r="AR249" s="31">
        <f t="shared" si="94"/>
        <v>0</v>
      </c>
      <c r="AS249" s="219">
        <f t="shared" si="95"/>
        <v>0</v>
      </c>
      <c r="AT249" s="31">
        <f t="shared" si="96"/>
        <v>0</v>
      </c>
      <c r="AU249" s="219">
        <f t="shared" si="97"/>
        <v>0</v>
      </c>
      <c r="AV249" s="31">
        <f t="shared" si="98"/>
        <v>1</v>
      </c>
      <c r="AW249" s="31">
        <f t="shared" si="99"/>
        <v>0.85</v>
      </c>
      <c r="AX249" s="31">
        <f t="shared" si="100"/>
        <v>0</v>
      </c>
      <c r="AY249" s="219">
        <f t="shared" si="101"/>
        <v>0</v>
      </c>
      <c r="AZ249" s="196">
        <f t="shared" si="102"/>
        <v>0</v>
      </c>
      <c r="BA249" s="219">
        <f t="shared" si="103"/>
        <v>0</v>
      </c>
      <c r="BB249" s="31">
        <f t="shared" si="104"/>
        <v>0</v>
      </c>
      <c r="BC249" s="219">
        <f t="shared" si="105"/>
        <v>0</v>
      </c>
      <c r="BD249" s="31">
        <f t="shared" si="106"/>
        <v>0</v>
      </c>
      <c r="BE249" s="219">
        <f t="shared" si="107"/>
        <v>0</v>
      </c>
      <c r="BF249" s="31">
        <f t="shared" si="108"/>
        <v>0</v>
      </c>
      <c r="BG249" s="219">
        <f t="shared" si="109"/>
        <v>0</v>
      </c>
      <c r="BH249" s="31">
        <f t="shared" si="110"/>
        <v>0</v>
      </c>
      <c r="BI249" s="219">
        <f t="shared" si="111"/>
        <v>0</v>
      </c>
      <c r="BJ249" s="31">
        <f t="shared" si="112"/>
        <v>0</v>
      </c>
      <c r="BK249" s="219">
        <f t="shared" si="113"/>
        <v>0</v>
      </c>
      <c r="BL249" s="31">
        <f t="shared" si="114"/>
        <v>0</v>
      </c>
      <c r="BM249" s="219">
        <f t="shared" si="115"/>
        <v>0</v>
      </c>
      <c r="BN249" s="31">
        <f t="shared" si="116"/>
        <v>0</v>
      </c>
      <c r="BO249" s="219">
        <f t="shared" si="117"/>
        <v>0</v>
      </c>
    </row>
    <row r="250" spans="1:67" x14ac:dyDescent="0.25">
      <c r="A250" s="31" t="s">
        <v>2325</v>
      </c>
      <c r="B250" s="176" t="str">
        <f>VLOOKUP(A250,kurspris!$A$1:$B$992,2,FALSE)</f>
        <v>Idrott och hälsa 2</v>
      </c>
      <c r="D250" s="60" t="s">
        <v>482</v>
      </c>
      <c r="E250" s="576" t="s">
        <v>2225</v>
      </c>
      <c r="F250" s="31" t="s">
        <v>2273</v>
      </c>
      <c r="G250" t="s">
        <v>2458</v>
      </c>
      <c r="H250" t="s">
        <v>2335</v>
      </c>
      <c r="J250" s="31" t="s">
        <v>2233</v>
      </c>
      <c r="L250" s="38">
        <v>1</v>
      </c>
      <c r="M250">
        <v>30</v>
      </c>
      <c r="P250" s="31">
        <v>2</v>
      </c>
      <c r="Q250" s="196">
        <f t="shared" si="120"/>
        <v>1</v>
      </c>
      <c r="R250" s="38">
        <v>0.85</v>
      </c>
      <c r="S250" s="280">
        <f t="shared" si="90"/>
        <v>0.85</v>
      </c>
      <c r="T250" s="31">
        <f>VLOOKUP(A250,'Ansvar kurs'!$A$1:$C$1123,2,FALSE)</f>
        <v>2180</v>
      </c>
      <c r="U250" s="31" t="str">
        <f>VLOOKUP(T250,Orgenheter!$A$1:$C$166,2,FALSE)</f>
        <v xml:space="preserve">Pedagogik                     </v>
      </c>
      <c r="V250" s="31" t="str">
        <f>VLOOKUP(T250,Orgenheter!$A$1:$C$166,3,FALSE)</f>
        <v>Sam</v>
      </c>
      <c r="W250" s="35" t="str">
        <f>VLOOKUP(D250,Program!$A$1:$B$36,2,FALSE)</f>
        <v>Ämneslärarprogrammet - Gy</v>
      </c>
      <c r="X250" s="40">
        <f>VLOOKUP(A250,kurspris!$A$1:$Q$913,15,FALSE)</f>
        <v>47928</v>
      </c>
      <c r="Y250" s="40">
        <f>VLOOKUP(A250,kurspris!$A$1:$Q$913,16,FALSE)</f>
        <v>35430</v>
      </c>
      <c r="Z250" s="40">
        <f t="shared" si="91"/>
        <v>78043.5</v>
      </c>
      <c r="AA250" s="40">
        <f>VLOOKUP(A250,kurspris!$A$1:$Q$913,17,FALSE)</f>
        <v>35700</v>
      </c>
      <c r="AB250" s="40">
        <f t="shared" si="92"/>
        <v>35700</v>
      </c>
      <c r="AC250" s="40">
        <f t="shared" si="93"/>
        <v>113743.5</v>
      </c>
      <c r="AD250" s="31">
        <f>VLOOKUP($A250,kurspris!$A$1:$Q$950,3,FALSE)</f>
        <v>0</v>
      </c>
      <c r="AE250" s="31">
        <f>VLOOKUP($A250,kurspris!$A$1:$Q$950,4,FALSE)</f>
        <v>0</v>
      </c>
      <c r="AF250" s="31">
        <f>VLOOKUP($A250,kurspris!$A$1:$Q$950,5,FALSE)</f>
        <v>1</v>
      </c>
      <c r="AG250" s="31">
        <f>VLOOKUP($A250,kurspris!$A$1:$Q$950,6,FALSE)</f>
        <v>0</v>
      </c>
      <c r="AH250" s="31">
        <f>VLOOKUP($A250,kurspris!$A$1:$Q$950,7,FALSE)</f>
        <v>0</v>
      </c>
      <c r="AI250" s="31">
        <f>VLOOKUP($A250,kurspris!$A$1:$Q$950,8,FALSE)</f>
        <v>0</v>
      </c>
      <c r="AJ250" s="31">
        <f>VLOOKUP($A250,kurspris!$A$1:$Q$950,9,FALSE)</f>
        <v>0</v>
      </c>
      <c r="AK250" s="31">
        <f>VLOOKUP($A250,kurspris!$A$1:$Q$950,10,FALSE)</f>
        <v>0</v>
      </c>
      <c r="AL250" s="31">
        <f>VLOOKUP($A250,kurspris!$A$1:$Q$950,11,FALSE)</f>
        <v>0</v>
      </c>
      <c r="AM250" s="31">
        <f>VLOOKUP($A250,kurspris!$A$1:$Q$950,12,FALSE)</f>
        <v>0</v>
      </c>
      <c r="AN250" s="31">
        <f>VLOOKUP($A250,kurspris!$A$1:$Q$950,13,FALSE)</f>
        <v>0</v>
      </c>
      <c r="AO250" s="31">
        <f>VLOOKUP($A250,kurspris!$A$1:$Q$950,14,FALSE)</f>
        <v>0</v>
      </c>
      <c r="AP250" s="57" t="s">
        <v>2506</v>
      </c>
      <c r="AQ250"/>
      <c r="AR250" s="31">
        <f t="shared" si="94"/>
        <v>0</v>
      </c>
      <c r="AS250" s="219">
        <f t="shared" si="95"/>
        <v>0</v>
      </c>
      <c r="AT250" s="31">
        <f t="shared" si="96"/>
        <v>0</v>
      </c>
      <c r="AU250" s="219">
        <f t="shared" si="97"/>
        <v>0</v>
      </c>
      <c r="AV250" s="31">
        <f t="shared" si="98"/>
        <v>1</v>
      </c>
      <c r="AW250" s="31">
        <f t="shared" si="99"/>
        <v>0.85</v>
      </c>
      <c r="AX250" s="31">
        <f t="shared" si="100"/>
        <v>0</v>
      </c>
      <c r="AY250" s="219">
        <f t="shared" si="101"/>
        <v>0</v>
      </c>
      <c r="AZ250" s="196">
        <f t="shared" si="102"/>
        <v>0</v>
      </c>
      <c r="BA250" s="219">
        <f t="shared" si="103"/>
        <v>0</v>
      </c>
      <c r="BB250" s="31">
        <f t="shared" si="104"/>
        <v>0</v>
      </c>
      <c r="BC250" s="219">
        <f t="shared" si="105"/>
        <v>0</v>
      </c>
      <c r="BD250" s="31">
        <f t="shared" si="106"/>
        <v>0</v>
      </c>
      <c r="BE250" s="219">
        <f t="shared" si="107"/>
        <v>0</v>
      </c>
      <c r="BF250" s="31">
        <f t="shared" si="108"/>
        <v>0</v>
      </c>
      <c r="BG250" s="219">
        <f t="shared" si="109"/>
        <v>0</v>
      </c>
      <c r="BH250" s="31">
        <f t="shared" si="110"/>
        <v>0</v>
      </c>
      <c r="BI250" s="219">
        <f t="shared" si="111"/>
        <v>0</v>
      </c>
      <c r="BJ250" s="31">
        <f t="shared" si="112"/>
        <v>0</v>
      </c>
      <c r="BK250" s="219">
        <f t="shared" si="113"/>
        <v>0</v>
      </c>
      <c r="BL250" s="31">
        <f t="shared" si="114"/>
        <v>0</v>
      </c>
      <c r="BM250" s="219">
        <f t="shared" si="115"/>
        <v>0</v>
      </c>
      <c r="BN250" s="31">
        <f t="shared" si="116"/>
        <v>0</v>
      </c>
      <c r="BO250" s="219">
        <f t="shared" si="117"/>
        <v>0</v>
      </c>
    </row>
    <row r="251" spans="1:67" x14ac:dyDescent="0.25">
      <c r="A251" s="31" t="s">
        <v>2325</v>
      </c>
      <c r="B251" s="176" t="str">
        <f>VLOOKUP(A251,kurspris!$A$1:$B$992,2,FALSE)</f>
        <v>Idrott och hälsa 2</v>
      </c>
      <c r="D251" s="60" t="s">
        <v>482</v>
      </c>
      <c r="E251" s="576" t="s">
        <v>2225</v>
      </c>
      <c r="F251" s="31" t="s">
        <v>2273</v>
      </c>
      <c r="G251" t="s">
        <v>2458</v>
      </c>
      <c r="H251" t="s">
        <v>2335</v>
      </c>
      <c r="J251" s="31" t="s">
        <v>2235</v>
      </c>
      <c r="L251" s="38">
        <v>1</v>
      </c>
      <c r="M251">
        <v>30</v>
      </c>
      <c r="P251" s="31">
        <v>1</v>
      </c>
      <c r="Q251" s="196">
        <f t="shared" si="120"/>
        <v>0.5</v>
      </c>
      <c r="R251" s="38">
        <v>0.85</v>
      </c>
      <c r="S251" s="280">
        <f t="shared" si="90"/>
        <v>0.42499999999999999</v>
      </c>
      <c r="T251" s="31">
        <f>VLOOKUP(A251,'Ansvar kurs'!$A$1:$C$1123,2,FALSE)</f>
        <v>2180</v>
      </c>
      <c r="U251" s="31" t="str">
        <f>VLOOKUP(T251,Orgenheter!$A$1:$C$166,2,FALSE)</f>
        <v xml:space="preserve">Pedagogik                     </v>
      </c>
      <c r="V251" s="31" t="str">
        <f>VLOOKUP(T251,Orgenheter!$A$1:$C$166,3,FALSE)</f>
        <v>Sam</v>
      </c>
      <c r="W251" s="35" t="str">
        <f>VLOOKUP(D251,Program!$A$1:$B$36,2,FALSE)</f>
        <v>Ämneslärarprogrammet - Gy</v>
      </c>
      <c r="X251" s="40">
        <f>VLOOKUP(A251,kurspris!$A$1:$Q$913,15,FALSE)</f>
        <v>47928</v>
      </c>
      <c r="Y251" s="40">
        <f>VLOOKUP(A251,kurspris!$A$1:$Q$913,16,FALSE)</f>
        <v>35430</v>
      </c>
      <c r="Z251" s="40">
        <f t="shared" si="91"/>
        <v>39021.75</v>
      </c>
      <c r="AA251" s="40">
        <f>VLOOKUP(A251,kurspris!$A$1:$Q$913,17,FALSE)</f>
        <v>35700</v>
      </c>
      <c r="AB251" s="40">
        <f t="shared" si="92"/>
        <v>17850</v>
      </c>
      <c r="AC251" s="40">
        <f t="shared" si="93"/>
        <v>56871.75</v>
      </c>
      <c r="AD251" s="31">
        <f>VLOOKUP($A251,kurspris!$A$1:$Q$950,3,FALSE)</f>
        <v>0</v>
      </c>
      <c r="AE251" s="31">
        <f>VLOOKUP($A251,kurspris!$A$1:$Q$950,4,FALSE)</f>
        <v>0</v>
      </c>
      <c r="AF251" s="31">
        <f>VLOOKUP($A251,kurspris!$A$1:$Q$950,5,FALSE)</f>
        <v>1</v>
      </c>
      <c r="AG251" s="31">
        <f>VLOOKUP($A251,kurspris!$A$1:$Q$950,6,FALSE)</f>
        <v>0</v>
      </c>
      <c r="AH251" s="31">
        <f>VLOOKUP($A251,kurspris!$A$1:$Q$950,7,FALSE)</f>
        <v>0</v>
      </c>
      <c r="AI251" s="31">
        <f>VLOOKUP($A251,kurspris!$A$1:$Q$950,8,FALSE)</f>
        <v>0</v>
      </c>
      <c r="AJ251" s="31">
        <f>VLOOKUP($A251,kurspris!$A$1:$Q$950,9,FALSE)</f>
        <v>0</v>
      </c>
      <c r="AK251" s="31">
        <f>VLOOKUP($A251,kurspris!$A$1:$Q$950,10,FALSE)</f>
        <v>0</v>
      </c>
      <c r="AL251" s="31">
        <f>VLOOKUP($A251,kurspris!$A$1:$Q$950,11,FALSE)</f>
        <v>0</v>
      </c>
      <c r="AM251" s="31">
        <f>VLOOKUP($A251,kurspris!$A$1:$Q$950,12,FALSE)</f>
        <v>0</v>
      </c>
      <c r="AN251" s="31">
        <f>VLOOKUP($A251,kurspris!$A$1:$Q$950,13,FALSE)</f>
        <v>0</v>
      </c>
      <c r="AO251" s="31">
        <f>VLOOKUP($A251,kurspris!$A$1:$Q$950,14,FALSE)</f>
        <v>0</v>
      </c>
      <c r="AP251" s="57" t="s">
        <v>2506</v>
      </c>
      <c r="AQ251"/>
      <c r="AR251" s="31">
        <f t="shared" si="94"/>
        <v>0</v>
      </c>
      <c r="AS251" s="219">
        <f t="shared" si="95"/>
        <v>0</v>
      </c>
      <c r="AT251" s="31">
        <f t="shared" si="96"/>
        <v>0</v>
      </c>
      <c r="AU251" s="219">
        <f t="shared" si="97"/>
        <v>0</v>
      </c>
      <c r="AV251" s="31">
        <f t="shared" si="98"/>
        <v>0.5</v>
      </c>
      <c r="AW251" s="31">
        <f t="shared" si="99"/>
        <v>0.42499999999999999</v>
      </c>
      <c r="AX251" s="31">
        <f t="shared" si="100"/>
        <v>0</v>
      </c>
      <c r="AY251" s="219">
        <f t="shared" si="101"/>
        <v>0</v>
      </c>
      <c r="AZ251" s="196">
        <f t="shared" si="102"/>
        <v>0</v>
      </c>
      <c r="BA251" s="219">
        <f t="shared" si="103"/>
        <v>0</v>
      </c>
      <c r="BB251" s="31">
        <f t="shared" si="104"/>
        <v>0</v>
      </c>
      <c r="BC251" s="219">
        <f t="shared" si="105"/>
        <v>0</v>
      </c>
      <c r="BD251" s="31">
        <f t="shared" si="106"/>
        <v>0</v>
      </c>
      <c r="BE251" s="219">
        <f t="shared" si="107"/>
        <v>0</v>
      </c>
      <c r="BF251" s="31">
        <f t="shared" si="108"/>
        <v>0</v>
      </c>
      <c r="BG251" s="219">
        <f t="shared" si="109"/>
        <v>0</v>
      </c>
      <c r="BH251" s="31">
        <f t="shared" si="110"/>
        <v>0</v>
      </c>
      <c r="BI251" s="219">
        <f t="shared" si="111"/>
        <v>0</v>
      </c>
      <c r="BJ251" s="31">
        <f t="shared" si="112"/>
        <v>0</v>
      </c>
      <c r="BK251" s="219">
        <f t="shared" si="113"/>
        <v>0</v>
      </c>
      <c r="BL251" s="31">
        <f t="shared" si="114"/>
        <v>0</v>
      </c>
      <c r="BM251" s="219">
        <f t="shared" si="115"/>
        <v>0</v>
      </c>
      <c r="BN251" s="31">
        <f t="shared" si="116"/>
        <v>0</v>
      </c>
      <c r="BO251" s="219">
        <f t="shared" si="117"/>
        <v>0</v>
      </c>
    </row>
    <row r="252" spans="1:67" x14ac:dyDescent="0.25">
      <c r="A252" s="31" t="s">
        <v>2325</v>
      </c>
      <c r="B252" s="176" t="str">
        <f>VLOOKUP(A252,kurspris!$A$1:$B$992,2,FALSE)</f>
        <v>Idrott och hälsa 2</v>
      </c>
      <c r="D252" s="60" t="s">
        <v>482</v>
      </c>
      <c r="E252" s="576" t="s">
        <v>2225</v>
      </c>
      <c r="F252" s="31" t="s">
        <v>2273</v>
      </c>
      <c r="G252" t="s">
        <v>2458</v>
      </c>
      <c r="H252" t="s">
        <v>2335</v>
      </c>
      <c r="J252" s="31" t="s">
        <v>2242</v>
      </c>
      <c r="L252" s="38">
        <v>1</v>
      </c>
      <c r="M252">
        <v>30</v>
      </c>
      <c r="P252" s="31">
        <v>3</v>
      </c>
      <c r="Q252" s="196">
        <f t="shared" si="120"/>
        <v>1.5</v>
      </c>
      <c r="R252" s="38">
        <v>0.85</v>
      </c>
      <c r="S252" s="280">
        <f t="shared" si="90"/>
        <v>1.2749999999999999</v>
      </c>
      <c r="T252" s="31">
        <f>VLOOKUP(A252,'Ansvar kurs'!$A$1:$C$1123,2,FALSE)</f>
        <v>2180</v>
      </c>
      <c r="U252" s="31" t="str">
        <f>VLOOKUP(T252,Orgenheter!$A$1:$C$166,2,FALSE)</f>
        <v xml:space="preserve">Pedagogik                     </v>
      </c>
      <c r="V252" s="31" t="str">
        <f>VLOOKUP(T252,Orgenheter!$A$1:$C$166,3,FALSE)</f>
        <v>Sam</v>
      </c>
      <c r="W252" s="35" t="str">
        <f>VLOOKUP(D252,Program!$A$1:$B$36,2,FALSE)</f>
        <v>Ämneslärarprogrammet - Gy</v>
      </c>
      <c r="X252" s="40">
        <f>VLOOKUP(A252,kurspris!$A$1:$Q$913,15,FALSE)</f>
        <v>47928</v>
      </c>
      <c r="Y252" s="40">
        <f>VLOOKUP(A252,kurspris!$A$1:$Q$913,16,FALSE)</f>
        <v>35430</v>
      </c>
      <c r="Z252" s="40">
        <f t="shared" si="91"/>
        <v>117065.25</v>
      </c>
      <c r="AA252" s="40">
        <f>VLOOKUP(A252,kurspris!$A$1:$Q$913,17,FALSE)</f>
        <v>35700</v>
      </c>
      <c r="AB252" s="40">
        <f t="shared" si="92"/>
        <v>53550</v>
      </c>
      <c r="AC252" s="40">
        <f t="shared" si="93"/>
        <v>170615.25</v>
      </c>
      <c r="AD252" s="31">
        <f>VLOOKUP($A252,kurspris!$A$1:$Q$950,3,FALSE)</f>
        <v>0</v>
      </c>
      <c r="AE252" s="31">
        <f>VLOOKUP($A252,kurspris!$A$1:$Q$950,4,FALSE)</f>
        <v>0</v>
      </c>
      <c r="AF252" s="31">
        <f>VLOOKUP($A252,kurspris!$A$1:$Q$950,5,FALSE)</f>
        <v>1</v>
      </c>
      <c r="AG252" s="31">
        <f>VLOOKUP($A252,kurspris!$A$1:$Q$950,6,FALSE)</f>
        <v>0</v>
      </c>
      <c r="AH252" s="31">
        <f>VLOOKUP($A252,kurspris!$A$1:$Q$950,7,FALSE)</f>
        <v>0</v>
      </c>
      <c r="AI252" s="31">
        <f>VLOOKUP($A252,kurspris!$A$1:$Q$950,8,FALSE)</f>
        <v>0</v>
      </c>
      <c r="AJ252" s="31">
        <f>VLOOKUP($A252,kurspris!$A$1:$Q$950,9,FALSE)</f>
        <v>0</v>
      </c>
      <c r="AK252" s="31">
        <f>VLOOKUP($A252,kurspris!$A$1:$Q$950,10,FALSE)</f>
        <v>0</v>
      </c>
      <c r="AL252" s="31">
        <f>VLOOKUP($A252,kurspris!$A$1:$Q$950,11,FALSE)</f>
        <v>0</v>
      </c>
      <c r="AM252" s="31">
        <f>VLOOKUP($A252,kurspris!$A$1:$Q$950,12,FALSE)</f>
        <v>0</v>
      </c>
      <c r="AN252" s="31">
        <f>VLOOKUP($A252,kurspris!$A$1:$Q$950,13,FALSE)</f>
        <v>0</v>
      </c>
      <c r="AO252" s="31">
        <f>VLOOKUP($A252,kurspris!$A$1:$Q$950,14,FALSE)</f>
        <v>0</v>
      </c>
      <c r="AP252" s="57" t="s">
        <v>2506</v>
      </c>
      <c r="AQ252"/>
      <c r="AR252" s="31">
        <f t="shared" si="94"/>
        <v>0</v>
      </c>
      <c r="AS252" s="219">
        <f t="shared" si="95"/>
        <v>0</v>
      </c>
      <c r="AT252" s="31">
        <f t="shared" si="96"/>
        <v>0</v>
      </c>
      <c r="AU252" s="219">
        <f t="shared" si="97"/>
        <v>0</v>
      </c>
      <c r="AV252" s="31">
        <f t="shared" si="98"/>
        <v>1.5</v>
      </c>
      <c r="AW252" s="31">
        <f t="shared" si="99"/>
        <v>1.2749999999999999</v>
      </c>
      <c r="AX252" s="31">
        <f t="shared" si="100"/>
        <v>0</v>
      </c>
      <c r="AY252" s="219">
        <f t="shared" si="101"/>
        <v>0</v>
      </c>
      <c r="AZ252" s="196">
        <f t="shared" si="102"/>
        <v>0</v>
      </c>
      <c r="BA252" s="219">
        <f t="shared" si="103"/>
        <v>0</v>
      </c>
      <c r="BB252" s="31">
        <f t="shared" si="104"/>
        <v>0</v>
      </c>
      <c r="BC252" s="219">
        <f t="shared" si="105"/>
        <v>0</v>
      </c>
      <c r="BD252" s="31">
        <f t="shared" si="106"/>
        <v>0</v>
      </c>
      <c r="BE252" s="219">
        <f t="shared" si="107"/>
        <v>0</v>
      </c>
      <c r="BF252" s="31">
        <f t="shared" si="108"/>
        <v>0</v>
      </c>
      <c r="BG252" s="219">
        <f t="shared" si="109"/>
        <v>0</v>
      </c>
      <c r="BH252" s="31">
        <f t="shared" si="110"/>
        <v>0</v>
      </c>
      <c r="BI252" s="219">
        <f t="shared" si="111"/>
        <v>0</v>
      </c>
      <c r="BJ252" s="31">
        <f t="shared" si="112"/>
        <v>0</v>
      </c>
      <c r="BK252" s="219">
        <f t="shared" si="113"/>
        <v>0</v>
      </c>
      <c r="BL252" s="31">
        <f t="shared" si="114"/>
        <v>0</v>
      </c>
      <c r="BM252" s="219">
        <f t="shared" si="115"/>
        <v>0</v>
      </c>
      <c r="BN252" s="31">
        <f t="shared" si="116"/>
        <v>0</v>
      </c>
      <c r="BO252" s="219">
        <f t="shared" si="117"/>
        <v>0</v>
      </c>
    </row>
    <row r="253" spans="1:67" x14ac:dyDescent="0.25">
      <c r="A253" s="31" t="s">
        <v>2325</v>
      </c>
      <c r="B253" s="176" t="str">
        <f>VLOOKUP(A253,kurspris!$A$1:$B$992,2,FALSE)</f>
        <v>Idrott och hälsa 2</v>
      </c>
      <c r="D253" s="60" t="s">
        <v>482</v>
      </c>
      <c r="E253" s="576" t="s">
        <v>2432</v>
      </c>
      <c r="F253" s="31" t="s">
        <v>2273</v>
      </c>
      <c r="G253" t="s">
        <v>2458</v>
      </c>
      <c r="H253" t="s">
        <v>2335</v>
      </c>
      <c r="J253" s="31" t="s">
        <v>2232</v>
      </c>
      <c r="L253" s="38">
        <v>1</v>
      </c>
      <c r="M253">
        <v>30</v>
      </c>
      <c r="P253" s="31">
        <v>26</v>
      </c>
      <c r="Q253" s="196">
        <f t="shared" si="120"/>
        <v>13</v>
      </c>
      <c r="R253" s="38">
        <v>0.85</v>
      </c>
      <c r="S253" s="280">
        <f t="shared" si="90"/>
        <v>11.049999999999999</v>
      </c>
      <c r="T253" s="31">
        <f>VLOOKUP(A253,'Ansvar kurs'!$A$1:$C$1123,2,FALSE)</f>
        <v>2180</v>
      </c>
      <c r="U253" s="31" t="str">
        <f>VLOOKUP(T253,Orgenheter!$A$1:$C$166,2,FALSE)</f>
        <v xml:space="preserve">Pedagogik                     </v>
      </c>
      <c r="V253" s="31" t="str">
        <f>VLOOKUP(T253,Orgenheter!$A$1:$C$166,3,FALSE)</f>
        <v>Sam</v>
      </c>
      <c r="W253" s="35" t="str">
        <f>VLOOKUP(D253,Program!$A$1:$B$36,2,FALSE)</f>
        <v>Ämneslärarprogrammet - Gy</v>
      </c>
      <c r="X253" s="40">
        <f>VLOOKUP(A253,kurspris!$A$1:$Q$913,15,FALSE)</f>
        <v>47928</v>
      </c>
      <c r="Y253" s="40">
        <f>VLOOKUP(A253,kurspris!$A$1:$Q$913,16,FALSE)</f>
        <v>35430</v>
      </c>
      <c r="Z253" s="40">
        <f t="shared" si="91"/>
        <v>1014565.5</v>
      </c>
      <c r="AA253" s="40">
        <f>VLOOKUP(A253,kurspris!$A$1:$Q$913,17,FALSE)</f>
        <v>35700</v>
      </c>
      <c r="AB253" s="40">
        <f t="shared" si="92"/>
        <v>464100</v>
      </c>
      <c r="AC253" s="40">
        <f t="shared" si="93"/>
        <v>1478665.5</v>
      </c>
      <c r="AD253" s="31">
        <f>VLOOKUP($A253,kurspris!$A$1:$Q$950,3,FALSE)</f>
        <v>0</v>
      </c>
      <c r="AE253" s="31">
        <f>VLOOKUP($A253,kurspris!$A$1:$Q$950,4,FALSE)</f>
        <v>0</v>
      </c>
      <c r="AF253" s="31">
        <f>VLOOKUP($A253,kurspris!$A$1:$Q$950,5,FALSE)</f>
        <v>1</v>
      </c>
      <c r="AG253" s="31">
        <f>VLOOKUP($A253,kurspris!$A$1:$Q$950,6,FALSE)</f>
        <v>0</v>
      </c>
      <c r="AH253" s="31">
        <f>VLOOKUP($A253,kurspris!$A$1:$Q$950,7,FALSE)</f>
        <v>0</v>
      </c>
      <c r="AI253" s="31">
        <f>VLOOKUP($A253,kurspris!$A$1:$Q$950,8,FALSE)</f>
        <v>0</v>
      </c>
      <c r="AJ253" s="31">
        <f>VLOOKUP($A253,kurspris!$A$1:$Q$950,9,FALSE)</f>
        <v>0</v>
      </c>
      <c r="AK253" s="31">
        <f>VLOOKUP($A253,kurspris!$A$1:$Q$950,10,FALSE)</f>
        <v>0</v>
      </c>
      <c r="AL253" s="31">
        <f>VLOOKUP($A253,kurspris!$A$1:$Q$950,11,FALSE)</f>
        <v>0</v>
      </c>
      <c r="AM253" s="31">
        <f>VLOOKUP($A253,kurspris!$A$1:$Q$950,12,FALSE)</f>
        <v>0</v>
      </c>
      <c r="AN253" s="31">
        <f>VLOOKUP($A253,kurspris!$A$1:$Q$950,13,FALSE)</f>
        <v>0</v>
      </c>
      <c r="AO253" s="31">
        <f>VLOOKUP($A253,kurspris!$A$1:$Q$950,14,FALSE)</f>
        <v>0</v>
      </c>
      <c r="AP253" s="57" t="s">
        <v>2506</v>
      </c>
      <c r="AQ253"/>
      <c r="AR253" s="31">
        <f t="shared" si="94"/>
        <v>0</v>
      </c>
      <c r="AS253" s="219">
        <f t="shared" si="95"/>
        <v>0</v>
      </c>
      <c r="AT253" s="31">
        <f t="shared" si="96"/>
        <v>0</v>
      </c>
      <c r="AU253" s="219">
        <f t="shared" si="97"/>
        <v>0</v>
      </c>
      <c r="AV253" s="31">
        <f t="shared" si="98"/>
        <v>13</v>
      </c>
      <c r="AW253" s="31">
        <f t="shared" si="99"/>
        <v>11.049999999999999</v>
      </c>
      <c r="AX253" s="31">
        <f t="shared" si="100"/>
        <v>0</v>
      </c>
      <c r="AY253" s="219">
        <f t="shared" si="101"/>
        <v>0</v>
      </c>
      <c r="AZ253" s="196">
        <f t="shared" si="102"/>
        <v>0</v>
      </c>
      <c r="BA253" s="219">
        <f t="shared" si="103"/>
        <v>0</v>
      </c>
      <c r="BB253" s="31">
        <f t="shared" si="104"/>
        <v>0</v>
      </c>
      <c r="BC253" s="219">
        <f t="shared" si="105"/>
        <v>0</v>
      </c>
      <c r="BD253" s="31">
        <f t="shared" si="106"/>
        <v>0</v>
      </c>
      <c r="BE253" s="219">
        <f t="shared" si="107"/>
        <v>0</v>
      </c>
      <c r="BF253" s="31">
        <f t="shared" si="108"/>
        <v>0</v>
      </c>
      <c r="BG253" s="219">
        <f t="shared" si="109"/>
        <v>0</v>
      </c>
      <c r="BH253" s="31">
        <f t="shared" si="110"/>
        <v>0</v>
      </c>
      <c r="BI253" s="219">
        <f t="shared" si="111"/>
        <v>0</v>
      </c>
      <c r="BJ253" s="31">
        <f t="shared" si="112"/>
        <v>0</v>
      </c>
      <c r="BK253" s="219">
        <f t="shared" si="113"/>
        <v>0</v>
      </c>
      <c r="BL253" s="31">
        <f t="shared" si="114"/>
        <v>0</v>
      </c>
      <c r="BM253" s="219">
        <f t="shared" si="115"/>
        <v>0</v>
      </c>
      <c r="BN253" s="31">
        <f t="shared" si="116"/>
        <v>0</v>
      </c>
      <c r="BO253" s="219">
        <f t="shared" si="117"/>
        <v>0</v>
      </c>
    </row>
    <row r="254" spans="1:67" x14ac:dyDescent="0.25">
      <c r="A254" s="31" t="s">
        <v>2325</v>
      </c>
      <c r="B254" s="176" t="str">
        <f>VLOOKUP(A254,kurspris!$A$1:$B$992,2,FALSE)</f>
        <v>Idrott och hälsa 2</v>
      </c>
      <c r="D254" s="60" t="s">
        <v>482</v>
      </c>
      <c r="E254" s="576" t="s">
        <v>2432</v>
      </c>
      <c r="F254" s="31" t="s">
        <v>2273</v>
      </c>
      <c r="G254" t="s">
        <v>2458</v>
      </c>
      <c r="H254" t="s">
        <v>2335</v>
      </c>
      <c r="J254" s="31" t="s">
        <v>2242</v>
      </c>
      <c r="L254" s="38">
        <v>1</v>
      </c>
      <c r="M254">
        <v>30</v>
      </c>
      <c r="P254" s="31">
        <v>1</v>
      </c>
      <c r="Q254" s="196">
        <f t="shared" si="120"/>
        <v>0.5</v>
      </c>
      <c r="R254" s="38">
        <v>0.85</v>
      </c>
      <c r="S254" s="280">
        <f t="shared" si="90"/>
        <v>0.42499999999999999</v>
      </c>
      <c r="T254" s="31">
        <f>VLOOKUP(A254,'Ansvar kurs'!$A$1:$C$1123,2,FALSE)</f>
        <v>2180</v>
      </c>
      <c r="U254" s="31" t="str">
        <f>VLOOKUP(T254,Orgenheter!$A$1:$C$166,2,FALSE)</f>
        <v xml:space="preserve">Pedagogik                     </v>
      </c>
      <c r="V254" s="31" t="str">
        <f>VLOOKUP(T254,Orgenheter!$A$1:$C$166,3,FALSE)</f>
        <v>Sam</v>
      </c>
      <c r="W254" s="35" t="str">
        <f>VLOOKUP(D254,Program!$A$1:$B$36,2,FALSE)</f>
        <v>Ämneslärarprogrammet - Gy</v>
      </c>
      <c r="X254" s="40">
        <f>VLOOKUP(A254,kurspris!$A$1:$Q$913,15,FALSE)</f>
        <v>47928</v>
      </c>
      <c r="Y254" s="40">
        <f>VLOOKUP(A254,kurspris!$A$1:$Q$913,16,FALSE)</f>
        <v>35430</v>
      </c>
      <c r="Z254" s="40">
        <f t="shared" si="91"/>
        <v>39021.75</v>
      </c>
      <c r="AA254" s="40">
        <f>VLOOKUP(A254,kurspris!$A$1:$Q$913,17,FALSE)</f>
        <v>35700</v>
      </c>
      <c r="AB254" s="40">
        <f t="shared" si="92"/>
        <v>17850</v>
      </c>
      <c r="AC254" s="40">
        <f t="shared" si="93"/>
        <v>56871.75</v>
      </c>
      <c r="AD254" s="31">
        <f>VLOOKUP($A254,kurspris!$A$1:$Q$950,3,FALSE)</f>
        <v>0</v>
      </c>
      <c r="AE254" s="31">
        <f>VLOOKUP($A254,kurspris!$A$1:$Q$950,4,FALSE)</f>
        <v>0</v>
      </c>
      <c r="AF254" s="31">
        <f>VLOOKUP($A254,kurspris!$A$1:$Q$950,5,FALSE)</f>
        <v>1</v>
      </c>
      <c r="AG254" s="31">
        <f>VLOOKUP($A254,kurspris!$A$1:$Q$950,6,FALSE)</f>
        <v>0</v>
      </c>
      <c r="AH254" s="31">
        <f>VLOOKUP($A254,kurspris!$A$1:$Q$950,7,FALSE)</f>
        <v>0</v>
      </c>
      <c r="AI254" s="31">
        <f>VLOOKUP($A254,kurspris!$A$1:$Q$950,8,FALSE)</f>
        <v>0</v>
      </c>
      <c r="AJ254" s="31">
        <f>VLOOKUP($A254,kurspris!$A$1:$Q$950,9,FALSE)</f>
        <v>0</v>
      </c>
      <c r="AK254" s="31">
        <f>VLOOKUP($A254,kurspris!$A$1:$Q$950,10,FALSE)</f>
        <v>0</v>
      </c>
      <c r="AL254" s="31">
        <f>VLOOKUP($A254,kurspris!$A$1:$Q$950,11,FALSE)</f>
        <v>0</v>
      </c>
      <c r="AM254" s="31">
        <f>VLOOKUP($A254,kurspris!$A$1:$Q$950,12,FALSE)</f>
        <v>0</v>
      </c>
      <c r="AN254" s="31">
        <f>VLOOKUP($A254,kurspris!$A$1:$Q$950,13,FALSE)</f>
        <v>0</v>
      </c>
      <c r="AO254" s="31">
        <f>VLOOKUP($A254,kurspris!$A$1:$Q$950,14,FALSE)</f>
        <v>0</v>
      </c>
      <c r="AP254" s="57" t="s">
        <v>2506</v>
      </c>
      <c r="AQ254"/>
      <c r="AR254" s="31">
        <f t="shared" si="94"/>
        <v>0</v>
      </c>
      <c r="AS254" s="219">
        <f t="shared" si="95"/>
        <v>0</v>
      </c>
      <c r="AT254" s="31">
        <f t="shared" si="96"/>
        <v>0</v>
      </c>
      <c r="AU254" s="219">
        <f t="shared" si="97"/>
        <v>0</v>
      </c>
      <c r="AV254" s="31">
        <f t="shared" si="98"/>
        <v>0.5</v>
      </c>
      <c r="AW254" s="31">
        <f t="shared" si="99"/>
        <v>0.42499999999999999</v>
      </c>
      <c r="AX254" s="31">
        <f t="shared" si="100"/>
        <v>0</v>
      </c>
      <c r="AY254" s="219">
        <f t="shared" si="101"/>
        <v>0</v>
      </c>
      <c r="AZ254" s="196">
        <f t="shared" si="102"/>
        <v>0</v>
      </c>
      <c r="BA254" s="219">
        <f t="shared" si="103"/>
        <v>0</v>
      </c>
      <c r="BB254" s="31">
        <f t="shared" si="104"/>
        <v>0</v>
      </c>
      <c r="BC254" s="219">
        <f t="shared" si="105"/>
        <v>0</v>
      </c>
      <c r="BD254" s="31">
        <f t="shared" si="106"/>
        <v>0</v>
      </c>
      <c r="BE254" s="219">
        <f t="shared" si="107"/>
        <v>0</v>
      </c>
      <c r="BF254" s="31">
        <f t="shared" si="108"/>
        <v>0</v>
      </c>
      <c r="BG254" s="219">
        <f t="shared" si="109"/>
        <v>0</v>
      </c>
      <c r="BH254" s="31">
        <f t="shared" si="110"/>
        <v>0</v>
      </c>
      <c r="BI254" s="219">
        <f t="shared" si="111"/>
        <v>0</v>
      </c>
      <c r="BJ254" s="31">
        <f t="shared" si="112"/>
        <v>0</v>
      </c>
      <c r="BK254" s="219">
        <f t="shared" si="113"/>
        <v>0</v>
      </c>
      <c r="BL254" s="31">
        <f t="shared" si="114"/>
        <v>0</v>
      </c>
      <c r="BM254" s="219">
        <f t="shared" si="115"/>
        <v>0</v>
      </c>
      <c r="BN254" s="31">
        <f t="shared" si="116"/>
        <v>0</v>
      </c>
      <c r="BO254" s="219">
        <f t="shared" si="117"/>
        <v>0</v>
      </c>
    </row>
    <row r="255" spans="1:67" x14ac:dyDescent="0.25">
      <c r="A255" s="358" t="s">
        <v>2481</v>
      </c>
      <c r="B255" s="176" t="str">
        <f>VLOOKUP(A255,kurspris!$A$1:$B$992,2,FALSE)</f>
        <v>Elitidrott och tränarskap i ett samhällsperspektiv</v>
      </c>
      <c r="D255" s="31" t="s">
        <v>117</v>
      </c>
      <c r="F255" s="31" t="s">
        <v>2273</v>
      </c>
      <c r="I255" s="31" t="s">
        <v>2276</v>
      </c>
      <c r="L255" s="38">
        <v>1</v>
      </c>
      <c r="M255" s="325">
        <v>7.5</v>
      </c>
      <c r="P255" s="31">
        <v>5</v>
      </c>
      <c r="Q255" s="196">
        <f t="shared" si="120"/>
        <v>0.625</v>
      </c>
      <c r="R255" s="38">
        <v>0.8</v>
      </c>
      <c r="S255" s="280">
        <f t="shared" si="90"/>
        <v>0.5</v>
      </c>
      <c r="T255" s="31">
        <f>VLOOKUP(A255,'Ansvar kurs'!$A$1:$C$1123,2,FALSE)</f>
        <v>2180</v>
      </c>
      <c r="U255" s="31" t="str">
        <f>VLOOKUP(T255,Orgenheter!$A$1:$C$166,2,FALSE)</f>
        <v xml:space="preserve">Pedagogik                     </v>
      </c>
      <c r="V255" s="31" t="str">
        <f>VLOOKUP(T255,Orgenheter!$A$1:$C$166,3,FALSE)</f>
        <v>Sam</v>
      </c>
      <c r="W255" s="35" t="str">
        <f>VLOOKUP(D255,Program!$A$1:$B$36,2,FALSE)</f>
        <v>Fristående och övriga kurser</v>
      </c>
      <c r="X255" s="40">
        <f>VLOOKUP(A255,kurspris!$A$1:$Q$913,15,FALSE)</f>
        <v>20766</v>
      </c>
      <c r="Y255" s="40">
        <f>VLOOKUP(A255,kurspris!$A$1:$Q$913,16,FALSE)</f>
        <v>17442</v>
      </c>
      <c r="Z255" s="40">
        <f t="shared" si="91"/>
        <v>21699.75</v>
      </c>
      <c r="AA255" s="40">
        <f>VLOOKUP(A255,kurspris!$A$1:$Q$913,17,FALSE)</f>
        <v>6000</v>
      </c>
      <c r="AB255" s="40">
        <f t="shared" si="92"/>
        <v>3750</v>
      </c>
      <c r="AC255" s="40">
        <f t="shared" si="93"/>
        <v>25449.75</v>
      </c>
      <c r="AD255" s="31">
        <f>VLOOKUP($A255,kurspris!$A$1:$Q$950,3,FALSE)</f>
        <v>0</v>
      </c>
      <c r="AE255" s="31">
        <f>VLOOKUP($A255,kurspris!$A$1:$Q$950,4,FALSE)</f>
        <v>0</v>
      </c>
      <c r="AF255" s="31">
        <f>VLOOKUP($A255,kurspris!$A$1:$Q$950,5,FALSE)</f>
        <v>0</v>
      </c>
      <c r="AG255" s="31">
        <f>VLOOKUP($A255,kurspris!$A$1:$Q$950,6,FALSE)</f>
        <v>0</v>
      </c>
      <c r="AH255" s="31">
        <f>VLOOKUP($A255,kurspris!$A$1:$Q$950,7,FALSE)</f>
        <v>0</v>
      </c>
      <c r="AI255" s="31">
        <f>VLOOKUP($A255,kurspris!$A$1:$Q$950,8,FALSE)</f>
        <v>0</v>
      </c>
      <c r="AJ255" s="31">
        <f>VLOOKUP($A255,kurspris!$A$1:$Q$950,9,FALSE)</f>
        <v>1</v>
      </c>
      <c r="AK255" s="31">
        <f>VLOOKUP($A255,kurspris!$A$1:$Q$950,10,FALSE)</f>
        <v>0</v>
      </c>
      <c r="AL255" s="31">
        <f>VLOOKUP($A255,kurspris!$A$1:$Q$950,11,FALSE)</f>
        <v>0</v>
      </c>
      <c r="AM255" s="31">
        <f>VLOOKUP($A255,kurspris!$A$1:$Q$950,12,FALSE)</f>
        <v>0</v>
      </c>
      <c r="AN255" s="31">
        <f>VLOOKUP($A255,kurspris!$A$1:$Q$950,13,FALSE)</f>
        <v>0</v>
      </c>
      <c r="AO255" s="31">
        <f>VLOOKUP($A255,kurspris!$A$1:$Q$950,14,FALSE)</f>
        <v>0</v>
      </c>
      <c r="AP255" s="57" t="s">
        <v>2267</v>
      </c>
      <c r="AQ255"/>
      <c r="AR255" s="31">
        <f t="shared" si="94"/>
        <v>0</v>
      </c>
      <c r="AS255" s="219">
        <f t="shared" si="95"/>
        <v>0</v>
      </c>
      <c r="AT255" s="31">
        <f t="shared" si="96"/>
        <v>0</v>
      </c>
      <c r="AU255" s="219">
        <f t="shared" si="97"/>
        <v>0</v>
      </c>
      <c r="AV255" s="31">
        <f t="shared" si="98"/>
        <v>0</v>
      </c>
      <c r="AW255" s="31">
        <f t="shared" si="99"/>
        <v>0</v>
      </c>
      <c r="AX255" s="31">
        <f t="shared" si="100"/>
        <v>0</v>
      </c>
      <c r="AY255" s="219">
        <f t="shared" si="101"/>
        <v>0</v>
      </c>
      <c r="AZ255" s="196">
        <f t="shared" si="102"/>
        <v>0</v>
      </c>
      <c r="BA255" s="219">
        <f t="shared" si="103"/>
        <v>0</v>
      </c>
      <c r="BB255" s="31">
        <f t="shared" si="104"/>
        <v>0</v>
      </c>
      <c r="BC255" s="219">
        <f t="shared" si="105"/>
        <v>0</v>
      </c>
      <c r="BD255" s="31">
        <f t="shared" si="106"/>
        <v>0.625</v>
      </c>
      <c r="BE255" s="219">
        <f t="shared" si="107"/>
        <v>0.5</v>
      </c>
      <c r="BF255" s="31">
        <f t="shared" si="108"/>
        <v>0</v>
      </c>
      <c r="BG255" s="219">
        <f t="shared" si="109"/>
        <v>0</v>
      </c>
      <c r="BH255" s="31">
        <f t="shared" si="110"/>
        <v>0</v>
      </c>
      <c r="BI255" s="219">
        <f t="shared" si="111"/>
        <v>0</v>
      </c>
      <c r="BJ255" s="31">
        <f t="shared" si="112"/>
        <v>0</v>
      </c>
      <c r="BK255" s="219">
        <f t="shared" si="113"/>
        <v>0</v>
      </c>
      <c r="BL255" s="31">
        <f t="shared" si="114"/>
        <v>0</v>
      </c>
      <c r="BM255" s="219">
        <f t="shared" si="115"/>
        <v>0</v>
      </c>
      <c r="BN255" s="31">
        <f t="shared" si="116"/>
        <v>0</v>
      </c>
      <c r="BO255" s="219">
        <f t="shared" si="117"/>
        <v>0</v>
      </c>
    </row>
    <row r="256" spans="1:67" x14ac:dyDescent="0.25">
      <c r="A256" s="57" t="s">
        <v>1667</v>
      </c>
      <c r="B256" s="176" t="str">
        <f>VLOOKUP(A256,kurspris!$A$1:$B$992,2,FALSE)</f>
        <v>Matematikundervisning med IT</v>
      </c>
      <c r="C256" s="35"/>
      <c r="D256" s="31" t="s">
        <v>117</v>
      </c>
      <c r="E256" s="60"/>
      <c r="F256" s="60" t="s">
        <v>2273</v>
      </c>
      <c r="I256" s="31" t="s">
        <v>2275</v>
      </c>
      <c r="L256" s="38">
        <v>0.25</v>
      </c>
      <c r="M256" s="325">
        <v>7.5</v>
      </c>
      <c r="N256" s="38"/>
      <c r="P256" s="324">
        <v>30</v>
      </c>
      <c r="Q256" s="196">
        <f t="shared" si="120"/>
        <v>3.75</v>
      </c>
      <c r="R256" s="38">
        <v>0.8</v>
      </c>
      <c r="S256" s="280">
        <f t="shared" si="90"/>
        <v>3</v>
      </c>
      <c r="T256" s="31">
        <f>VLOOKUP(A256,'Ansvar kurs'!$A$1:$C$1123,2,FALSE)</f>
        <v>2193</v>
      </c>
      <c r="U256" s="31" t="str">
        <f>VLOOKUP(T256,Orgenheter!$A$1:$C$166,2,FALSE)</f>
        <v xml:space="preserve">TUV </v>
      </c>
      <c r="V256" s="31" t="str">
        <f>VLOOKUP(T256,Orgenheter!$A$1:$C$166,3,FALSE)</f>
        <v>Sam</v>
      </c>
      <c r="W256" s="35" t="str">
        <f>VLOOKUP(D256,Program!$A$1:$B$36,2,FALSE)</f>
        <v>Fristående och övriga kurser</v>
      </c>
      <c r="X256" s="40">
        <f>VLOOKUP(A256,kurspris!$A$1:$Q$913,15,FALSE)</f>
        <v>20766</v>
      </c>
      <c r="Y256" s="40">
        <f>VLOOKUP(A256,kurspris!$A$1:$Q$913,16,FALSE)</f>
        <v>17442</v>
      </c>
      <c r="Z256" s="40">
        <f t="shared" si="91"/>
        <v>130198.5</v>
      </c>
      <c r="AA256" s="40">
        <f>VLOOKUP(A256,kurspris!$A$1:$Q$913,17,FALSE)</f>
        <v>6000</v>
      </c>
      <c r="AB256" s="40">
        <f t="shared" si="92"/>
        <v>22500</v>
      </c>
      <c r="AC256" s="40">
        <f t="shared" si="93"/>
        <v>152698.5</v>
      </c>
      <c r="AD256" s="31">
        <f>VLOOKUP($A256,kurspris!$A$1:$Q$950,3,FALSE)</f>
        <v>0</v>
      </c>
      <c r="AE256" s="31">
        <f>VLOOKUP($A256,kurspris!$A$1:$Q$950,4,FALSE)</f>
        <v>0</v>
      </c>
      <c r="AF256" s="31">
        <f>VLOOKUP($A256,kurspris!$A$1:$Q$950,5,FALSE)</f>
        <v>0</v>
      </c>
      <c r="AG256" s="31">
        <f>VLOOKUP($A256,kurspris!$A$1:$Q$950,6,FALSE)</f>
        <v>0</v>
      </c>
      <c r="AH256" s="31">
        <f>VLOOKUP($A256,kurspris!$A$1:$Q$950,7,FALSE)</f>
        <v>0</v>
      </c>
      <c r="AI256" s="31">
        <f>VLOOKUP($A256,kurspris!$A$1:$Q$950,8,FALSE)</f>
        <v>0</v>
      </c>
      <c r="AJ256" s="31">
        <f>VLOOKUP($A256,kurspris!$A$1:$Q$950,9,FALSE)</f>
        <v>1</v>
      </c>
      <c r="AK256" s="31">
        <f>VLOOKUP($A256,kurspris!$A$1:$Q$950,10,FALSE)</f>
        <v>0</v>
      </c>
      <c r="AL256" s="31">
        <f>VLOOKUP($A256,kurspris!$A$1:$Q$950,11,FALSE)</f>
        <v>0</v>
      </c>
      <c r="AM256" s="31">
        <f>VLOOKUP($A256,kurspris!$A$1:$Q$950,12,FALSE)</f>
        <v>0</v>
      </c>
      <c r="AN256" s="31">
        <f>VLOOKUP($A256,kurspris!$A$1:$Q$950,13,FALSE)</f>
        <v>0</v>
      </c>
      <c r="AO256" s="31">
        <f>VLOOKUP($A256,kurspris!$A$1:$Q$950,14,FALSE)</f>
        <v>0</v>
      </c>
      <c r="AP256" s="57" t="s">
        <v>2267</v>
      </c>
      <c r="AQ256"/>
      <c r="AR256" s="31">
        <f t="shared" si="94"/>
        <v>0</v>
      </c>
      <c r="AS256" s="219">
        <f t="shared" si="95"/>
        <v>0</v>
      </c>
      <c r="AT256" s="31">
        <f t="shared" si="96"/>
        <v>0</v>
      </c>
      <c r="AU256" s="219">
        <f t="shared" si="97"/>
        <v>0</v>
      </c>
      <c r="AV256" s="31">
        <f t="shared" si="98"/>
        <v>0</v>
      </c>
      <c r="AW256" s="31">
        <f t="shared" si="99"/>
        <v>0</v>
      </c>
      <c r="AX256" s="31">
        <f t="shared" si="100"/>
        <v>0</v>
      </c>
      <c r="AY256" s="219">
        <f t="shared" si="101"/>
        <v>0</v>
      </c>
      <c r="AZ256" s="196">
        <f t="shared" si="102"/>
        <v>0</v>
      </c>
      <c r="BA256" s="219">
        <f t="shared" si="103"/>
        <v>0</v>
      </c>
      <c r="BB256" s="31">
        <f t="shared" si="104"/>
        <v>0</v>
      </c>
      <c r="BC256" s="219">
        <f t="shared" si="105"/>
        <v>0</v>
      </c>
      <c r="BD256" s="31">
        <f t="shared" si="106"/>
        <v>3.75</v>
      </c>
      <c r="BE256" s="219">
        <f t="shared" si="107"/>
        <v>3</v>
      </c>
      <c r="BF256" s="31">
        <f t="shared" si="108"/>
        <v>0</v>
      </c>
      <c r="BG256" s="219">
        <f t="shared" si="109"/>
        <v>0</v>
      </c>
      <c r="BH256" s="31">
        <f t="shared" si="110"/>
        <v>0</v>
      </c>
      <c r="BI256" s="219">
        <f t="shared" si="111"/>
        <v>0</v>
      </c>
      <c r="BJ256" s="31">
        <f t="shared" si="112"/>
        <v>0</v>
      </c>
      <c r="BK256" s="219">
        <f t="shared" si="113"/>
        <v>0</v>
      </c>
      <c r="BL256" s="31">
        <f t="shared" si="114"/>
        <v>0</v>
      </c>
      <c r="BM256" s="219">
        <f t="shared" si="115"/>
        <v>0</v>
      </c>
      <c r="BN256" s="31">
        <f t="shared" si="116"/>
        <v>0</v>
      </c>
      <c r="BO256" s="219">
        <f t="shared" si="117"/>
        <v>0</v>
      </c>
    </row>
    <row r="257" spans="1:67" x14ac:dyDescent="0.25">
      <c r="A257" s="31" t="s">
        <v>1666</v>
      </c>
      <c r="B257" s="176" t="str">
        <f>VLOOKUP(A257,kurspris!$A$1:$B$992,2,FALSE)</f>
        <v>Design av digital didaktik</v>
      </c>
      <c r="D257" s="31" t="s">
        <v>117</v>
      </c>
      <c r="F257" s="60" t="s">
        <v>2273</v>
      </c>
      <c r="I257" s="31" t="s">
        <v>2275</v>
      </c>
      <c r="L257" s="38">
        <v>0.25</v>
      </c>
      <c r="M257" s="325">
        <v>7.5</v>
      </c>
      <c r="P257" s="31">
        <v>30</v>
      </c>
      <c r="Q257" s="196">
        <f t="shared" si="120"/>
        <v>3.75</v>
      </c>
      <c r="R257" s="38">
        <v>0.8</v>
      </c>
      <c r="S257" s="280">
        <f t="shared" si="90"/>
        <v>3</v>
      </c>
      <c r="T257" s="31">
        <f>VLOOKUP(A257,'Ansvar kurs'!$A$1:$C$1123,2,FALSE)</f>
        <v>2193</v>
      </c>
      <c r="U257" s="31" t="str">
        <f>VLOOKUP(T257,Orgenheter!$A$1:$C$166,2,FALSE)</f>
        <v xml:space="preserve">TUV </v>
      </c>
      <c r="V257" s="31" t="str">
        <f>VLOOKUP(T257,Orgenheter!$A$1:$C$166,3,FALSE)</f>
        <v>Sam</v>
      </c>
      <c r="W257" s="35" t="str">
        <f>VLOOKUP(D257,Program!$A$1:$B$36,2,FALSE)</f>
        <v>Fristående och övriga kurser</v>
      </c>
      <c r="X257" s="40">
        <f>VLOOKUP(A257,kurspris!$A$1:$Q$913,15,FALSE)</f>
        <v>20766</v>
      </c>
      <c r="Y257" s="40">
        <f>VLOOKUP(A257,kurspris!$A$1:$Q$913,16,FALSE)</f>
        <v>17442</v>
      </c>
      <c r="Z257" s="40">
        <f t="shared" si="91"/>
        <v>130198.5</v>
      </c>
      <c r="AA257" s="40">
        <f>VLOOKUP(A257,kurspris!$A$1:$Q$913,17,FALSE)</f>
        <v>6000</v>
      </c>
      <c r="AB257" s="40">
        <f t="shared" si="92"/>
        <v>22500</v>
      </c>
      <c r="AC257" s="40">
        <f t="shared" si="93"/>
        <v>152698.5</v>
      </c>
      <c r="AD257" s="31">
        <f>VLOOKUP($A257,kurspris!$A$1:$Q$950,3,FALSE)</f>
        <v>0</v>
      </c>
      <c r="AE257" s="31">
        <f>VLOOKUP($A257,kurspris!$A$1:$Q$950,4,FALSE)</f>
        <v>0</v>
      </c>
      <c r="AF257" s="31">
        <f>VLOOKUP($A257,kurspris!$A$1:$Q$950,5,FALSE)</f>
        <v>0</v>
      </c>
      <c r="AG257" s="31">
        <f>VLOOKUP($A257,kurspris!$A$1:$Q$950,6,FALSE)</f>
        <v>0</v>
      </c>
      <c r="AH257" s="31">
        <f>VLOOKUP($A257,kurspris!$A$1:$Q$950,7,FALSE)</f>
        <v>0</v>
      </c>
      <c r="AI257" s="31">
        <f>VLOOKUP($A257,kurspris!$A$1:$Q$950,8,FALSE)</f>
        <v>0</v>
      </c>
      <c r="AJ257" s="31">
        <f>VLOOKUP($A257,kurspris!$A$1:$Q$950,9,FALSE)</f>
        <v>1</v>
      </c>
      <c r="AK257" s="31">
        <f>VLOOKUP($A257,kurspris!$A$1:$Q$950,10,FALSE)</f>
        <v>0</v>
      </c>
      <c r="AL257" s="31">
        <f>VLOOKUP($A257,kurspris!$A$1:$Q$950,11,FALSE)</f>
        <v>0</v>
      </c>
      <c r="AM257" s="31">
        <f>VLOOKUP($A257,kurspris!$A$1:$Q$950,12,FALSE)</f>
        <v>0</v>
      </c>
      <c r="AN257" s="31">
        <f>VLOOKUP($A257,kurspris!$A$1:$Q$950,13,FALSE)</f>
        <v>0</v>
      </c>
      <c r="AO257" s="31">
        <f>VLOOKUP($A257,kurspris!$A$1:$Q$950,14,FALSE)</f>
        <v>0</v>
      </c>
      <c r="AP257" s="57" t="s">
        <v>2267</v>
      </c>
      <c r="AQ257"/>
      <c r="AR257" s="31">
        <f t="shared" si="94"/>
        <v>0</v>
      </c>
      <c r="AS257" s="219">
        <f t="shared" si="95"/>
        <v>0</v>
      </c>
      <c r="AT257" s="31">
        <f t="shared" si="96"/>
        <v>0</v>
      </c>
      <c r="AU257" s="219">
        <f t="shared" si="97"/>
        <v>0</v>
      </c>
      <c r="AV257" s="31">
        <f t="shared" si="98"/>
        <v>0</v>
      </c>
      <c r="AW257" s="31">
        <f t="shared" si="99"/>
        <v>0</v>
      </c>
      <c r="AX257" s="31">
        <f t="shared" si="100"/>
        <v>0</v>
      </c>
      <c r="AY257" s="219">
        <f t="shared" si="101"/>
        <v>0</v>
      </c>
      <c r="AZ257" s="196">
        <f t="shared" si="102"/>
        <v>0</v>
      </c>
      <c r="BA257" s="219">
        <f t="shared" si="103"/>
        <v>0</v>
      </c>
      <c r="BB257" s="31">
        <f t="shared" si="104"/>
        <v>0</v>
      </c>
      <c r="BC257" s="219">
        <f t="shared" si="105"/>
        <v>0</v>
      </c>
      <c r="BD257" s="31">
        <f t="shared" si="106"/>
        <v>3.75</v>
      </c>
      <c r="BE257" s="219">
        <f t="shared" si="107"/>
        <v>3</v>
      </c>
      <c r="BF257" s="31">
        <f t="shared" si="108"/>
        <v>0</v>
      </c>
      <c r="BG257" s="219">
        <f t="shared" si="109"/>
        <v>0</v>
      </c>
      <c r="BH257" s="31">
        <f t="shared" si="110"/>
        <v>0</v>
      </c>
      <c r="BI257" s="219">
        <f t="shared" si="111"/>
        <v>0</v>
      </c>
      <c r="BJ257" s="31">
        <f t="shared" si="112"/>
        <v>0</v>
      </c>
      <c r="BK257" s="219">
        <f t="shared" si="113"/>
        <v>0</v>
      </c>
      <c r="BL257" s="31">
        <f t="shared" si="114"/>
        <v>0</v>
      </c>
      <c r="BM257" s="219">
        <f t="shared" si="115"/>
        <v>0</v>
      </c>
      <c r="BN257" s="31">
        <f t="shared" si="116"/>
        <v>0</v>
      </c>
      <c r="BO257" s="219">
        <f t="shared" si="117"/>
        <v>0</v>
      </c>
    </row>
    <row r="258" spans="1:67" x14ac:dyDescent="0.25">
      <c r="A258" s="173" t="s">
        <v>2139</v>
      </c>
      <c r="B258" s="530" t="str">
        <f>VLOOKUP(A258,kurspris!$A$1:$B$992,2,FALSE)</f>
        <v>Digital kompetens och lärande I</v>
      </c>
      <c r="C258" s="173"/>
      <c r="D258" s="173" t="s">
        <v>117</v>
      </c>
      <c r="E258" s="173"/>
      <c r="F258" s="531" t="s">
        <v>2319</v>
      </c>
      <c r="G258" s="173"/>
      <c r="H258" s="173"/>
      <c r="I258" s="173"/>
      <c r="J258" s="173"/>
      <c r="K258" s="173"/>
      <c r="L258" s="532">
        <v>0.5</v>
      </c>
      <c r="M258" s="533">
        <v>7.5</v>
      </c>
      <c r="N258" s="173"/>
      <c r="O258" s="173"/>
      <c r="P258" s="173">
        <v>78</v>
      </c>
      <c r="Q258" s="196">
        <f t="shared" si="120"/>
        <v>9.75</v>
      </c>
      <c r="R258" s="38">
        <v>0.8</v>
      </c>
      <c r="S258" s="280">
        <f t="shared" ref="S258:S321" si="121">Q258*R258</f>
        <v>7.8000000000000007</v>
      </c>
      <c r="T258" s="31">
        <f>VLOOKUP(A258,'Ansvar kurs'!$A$1:$C$1123,2,FALSE)</f>
        <v>2193</v>
      </c>
      <c r="U258" s="31" t="str">
        <f>VLOOKUP(T258,Orgenheter!$A$1:$C$166,2,FALSE)</f>
        <v xml:space="preserve">TUV </v>
      </c>
      <c r="V258" s="31" t="str">
        <f>VLOOKUP(T258,Orgenheter!$A$1:$C$166,3,FALSE)</f>
        <v>Sam</v>
      </c>
      <c r="W258" s="35" t="str">
        <f>VLOOKUP(D258,Program!$A$1:$B$36,2,FALSE)</f>
        <v>Fristående och övriga kurser</v>
      </c>
      <c r="X258" s="40">
        <f>VLOOKUP(A258,kurspris!$A$1:$Q$913,15,FALSE)</f>
        <v>20766</v>
      </c>
      <c r="Y258" s="40">
        <f>VLOOKUP(A258,kurspris!$A$1:$Q$913,16,FALSE)</f>
        <v>17442</v>
      </c>
      <c r="Z258" s="40">
        <f t="shared" ref="Z258:Z321" si="122">X258*Q258+S258*Y258</f>
        <v>338516.1</v>
      </c>
      <c r="AA258" s="40">
        <f>VLOOKUP(A258,kurspris!$A$1:$Q$913,17,FALSE)</f>
        <v>6000</v>
      </c>
      <c r="AB258" s="40">
        <f t="shared" ref="AB258:AB321" si="123">AA258*Q258</f>
        <v>58500</v>
      </c>
      <c r="AC258" s="40">
        <f t="shared" ref="AC258:AC321" si="124">Z258+AB258</f>
        <v>397016.1</v>
      </c>
      <c r="AD258" s="31">
        <f>VLOOKUP($A258,kurspris!$A$1:$Q$950,3,FALSE)</f>
        <v>0</v>
      </c>
      <c r="AE258" s="31">
        <f>VLOOKUP($A258,kurspris!$A$1:$Q$950,4,FALSE)</f>
        <v>0</v>
      </c>
      <c r="AF258" s="31">
        <f>VLOOKUP($A258,kurspris!$A$1:$Q$950,5,FALSE)</f>
        <v>0</v>
      </c>
      <c r="AG258" s="31">
        <f>VLOOKUP($A258,kurspris!$A$1:$Q$950,6,FALSE)</f>
        <v>0</v>
      </c>
      <c r="AH258" s="31">
        <f>VLOOKUP($A258,kurspris!$A$1:$Q$950,7,FALSE)</f>
        <v>0</v>
      </c>
      <c r="AI258" s="31">
        <f>VLOOKUP($A258,kurspris!$A$1:$Q$950,8,FALSE)</f>
        <v>0</v>
      </c>
      <c r="AJ258" s="31">
        <f>VLOOKUP($A258,kurspris!$A$1:$Q$950,9,FALSE)</f>
        <v>1</v>
      </c>
      <c r="AK258" s="31">
        <f>VLOOKUP($A258,kurspris!$A$1:$Q$950,10,FALSE)</f>
        <v>0</v>
      </c>
      <c r="AL258" s="31">
        <f>VLOOKUP($A258,kurspris!$A$1:$Q$950,11,FALSE)</f>
        <v>0</v>
      </c>
      <c r="AM258" s="31">
        <f>VLOOKUP($A258,kurspris!$A$1:$Q$950,12,FALSE)</f>
        <v>0</v>
      </c>
      <c r="AN258" s="31">
        <f>VLOOKUP($A258,kurspris!$A$1:$Q$950,13,FALSE)</f>
        <v>0</v>
      </c>
      <c r="AO258" s="31">
        <f>VLOOKUP($A258,kurspris!$A$1:$Q$950,14,FALSE)</f>
        <v>0</v>
      </c>
      <c r="AP258" s="57" t="s">
        <v>2267</v>
      </c>
      <c r="AQ258" t="s">
        <v>2378</v>
      </c>
      <c r="AR258" s="31">
        <f t="shared" ref="AR258:AR321" si="125">$Q258*AD258</f>
        <v>0</v>
      </c>
      <c r="AS258" s="219">
        <f t="shared" ref="AS258:AS321" si="126">$S258*AD258</f>
        <v>0</v>
      </c>
      <c r="AT258" s="31">
        <f t="shared" ref="AT258:AT321" si="127">$Q258*AE258</f>
        <v>0</v>
      </c>
      <c r="AU258" s="219">
        <f t="shared" ref="AU258:AU321" si="128">$S258*AE258</f>
        <v>0</v>
      </c>
      <c r="AV258" s="31">
        <f t="shared" ref="AV258:AV321" si="129">$Q258*AF258</f>
        <v>0</v>
      </c>
      <c r="AW258" s="31">
        <f t="shared" ref="AW258:AW321" si="130">$S258*AF258</f>
        <v>0</v>
      </c>
      <c r="AX258" s="31">
        <f t="shared" ref="AX258:AX321" si="131">$Q258*AG258</f>
        <v>0</v>
      </c>
      <c r="AY258" s="219">
        <f t="shared" ref="AY258:AY321" si="132">$S258*AG258</f>
        <v>0</v>
      </c>
      <c r="AZ258" s="196">
        <f t="shared" ref="AZ258:AZ321" si="133">$Q258*AH258</f>
        <v>0</v>
      </c>
      <c r="BA258" s="219">
        <f t="shared" ref="BA258:BA321" si="134">$S258*AH258</f>
        <v>0</v>
      </c>
      <c r="BB258" s="31">
        <f t="shared" ref="BB258:BB321" si="135">$Q258*AI258</f>
        <v>0</v>
      </c>
      <c r="BC258" s="219">
        <f t="shared" ref="BC258:BC321" si="136">$S258*AI258</f>
        <v>0</v>
      </c>
      <c r="BD258" s="31">
        <f t="shared" ref="BD258:BD321" si="137">$Q258*AJ258</f>
        <v>9.75</v>
      </c>
      <c r="BE258" s="219">
        <f t="shared" ref="BE258:BE321" si="138">$S258*AJ258</f>
        <v>7.8000000000000007</v>
      </c>
      <c r="BF258" s="31">
        <f t="shared" ref="BF258:BF321" si="139">$Q258*AK258</f>
        <v>0</v>
      </c>
      <c r="BG258" s="219">
        <f t="shared" ref="BG258:BG321" si="140">$S258*AK258</f>
        <v>0</v>
      </c>
      <c r="BH258" s="31">
        <f t="shared" ref="BH258:BH321" si="141">$Q258*AL258</f>
        <v>0</v>
      </c>
      <c r="BI258" s="219">
        <f t="shared" ref="BI258:BI321" si="142">$S258*AL258</f>
        <v>0</v>
      </c>
      <c r="BJ258" s="31">
        <f t="shared" ref="BJ258:BJ321" si="143">$Q258*AM258</f>
        <v>0</v>
      </c>
      <c r="BK258" s="219">
        <f t="shared" ref="BK258:BK321" si="144">$S258*AM258</f>
        <v>0</v>
      </c>
      <c r="BL258" s="31">
        <f t="shared" ref="BL258:BL321" si="145">$Q258*AN258</f>
        <v>0</v>
      </c>
      <c r="BM258" s="219">
        <f t="shared" ref="BM258:BM321" si="146">$S258*AN258</f>
        <v>0</v>
      </c>
      <c r="BN258" s="31">
        <f t="shared" ref="BN258:BN321" si="147">$Q258*AO258</f>
        <v>0</v>
      </c>
      <c r="BO258" s="219">
        <f t="shared" ref="BO258:BO321" si="148">$S258*AO258</f>
        <v>0</v>
      </c>
    </row>
    <row r="259" spans="1:67" x14ac:dyDescent="0.25">
      <c r="A259" s="31" t="s">
        <v>1983</v>
      </c>
      <c r="B259" s="176" t="str">
        <f>VLOOKUP(A259,kurspris!$A$1:$B$992,2,FALSE)</f>
        <v>Ekonomisk och soial geografi</v>
      </c>
      <c r="C259" s="31">
        <v>72908</v>
      </c>
      <c r="D259" s="60" t="s">
        <v>482</v>
      </c>
      <c r="E259" s="60"/>
      <c r="F259" s="57" t="s">
        <v>2274</v>
      </c>
      <c r="H259" s="31" t="s">
        <v>2335</v>
      </c>
      <c r="I259" s="31" t="s">
        <v>2399</v>
      </c>
      <c r="J259" s="31" t="s">
        <v>2238</v>
      </c>
      <c r="L259" s="38"/>
      <c r="M259">
        <v>15</v>
      </c>
      <c r="P259" s="31">
        <v>4</v>
      </c>
      <c r="Q259" s="539">
        <v>1</v>
      </c>
      <c r="R259" s="38">
        <v>0.85</v>
      </c>
      <c r="S259" s="280">
        <f t="shared" si="121"/>
        <v>0.85</v>
      </c>
      <c r="T259" s="31">
        <f>VLOOKUP(A259,'Ansvar kurs'!$A$1:$C$1123,2,FALSE)</f>
        <v>2500</v>
      </c>
      <c r="U259" s="31" t="str">
        <f>VLOOKUP(T259,Orgenheter!$A$1:$C$166,2,FALSE)</f>
        <v>Geografi</v>
      </c>
      <c r="V259" s="31" t="str">
        <f>VLOOKUP(T259,Orgenheter!$A$1:$C$166,3,FALSE)</f>
        <v>Sam</v>
      </c>
      <c r="W259" s="35" t="str">
        <f>VLOOKUP(D259,Program!$A$1:$B$36,2,FALSE)</f>
        <v>Ämneslärarprogrammet - Gy</v>
      </c>
      <c r="X259" s="40">
        <f>VLOOKUP(A259,kurspris!$A$1:$Q$913,15,FALSE)</f>
        <v>20763.75</v>
      </c>
      <c r="Y259" s="40">
        <f>VLOOKUP(A259,kurspris!$A$1:$Q$913,16,FALSE)</f>
        <v>22102</v>
      </c>
      <c r="Z259" s="40">
        <f t="shared" si="122"/>
        <v>39550.449999999997</v>
      </c>
      <c r="AA259" s="40">
        <f>VLOOKUP(A259,kurspris!$A$1:$Q$913,17,FALSE)</f>
        <v>10150</v>
      </c>
      <c r="AB259" s="40">
        <f t="shared" si="123"/>
        <v>10150</v>
      </c>
      <c r="AC259" s="40">
        <f t="shared" si="124"/>
        <v>49700.45</v>
      </c>
      <c r="AD259" s="31">
        <f>VLOOKUP($A259,kurspris!$A$1:$Q$950,3,FALSE)</f>
        <v>0</v>
      </c>
      <c r="AE259" s="31">
        <f>VLOOKUP($A259,kurspris!$A$1:$Q$950,4,FALSE)</f>
        <v>0</v>
      </c>
      <c r="AF259" s="31">
        <f>VLOOKUP($A259,kurspris!$A$1:$Q$950,5,FALSE)</f>
        <v>0</v>
      </c>
      <c r="AG259" s="31">
        <f>VLOOKUP($A259,kurspris!$A$1:$Q$950,6,FALSE)</f>
        <v>0</v>
      </c>
      <c r="AH259" s="31">
        <f>VLOOKUP($A259,kurspris!$A$1:$Q$950,7,FALSE)</f>
        <v>0</v>
      </c>
      <c r="AI259" s="31">
        <f>VLOOKUP($A259,kurspris!$A$1:$Q$950,8,FALSE)</f>
        <v>0.25</v>
      </c>
      <c r="AJ259" s="31">
        <f>VLOOKUP($A259,kurspris!$A$1:$Q$950,9,FALSE)</f>
        <v>0.75</v>
      </c>
      <c r="AK259" s="31">
        <f>VLOOKUP($A259,kurspris!$A$1:$Q$950,10,FALSE)</f>
        <v>0</v>
      </c>
      <c r="AL259" s="31">
        <f>VLOOKUP($A259,kurspris!$A$1:$Q$950,11,FALSE)</f>
        <v>0</v>
      </c>
      <c r="AM259" s="31">
        <f>VLOOKUP($A259,kurspris!$A$1:$Q$950,12,FALSE)</f>
        <v>0</v>
      </c>
      <c r="AN259" s="31">
        <f>VLOOKUP($A259,kurspris!$A$1:$Q$950,13,FALSE)</f>
        <v>0</v>
      </c>
      <c r="AO259" s="31">
        <f>VLOOKUP($A259,kurspris!$A$1:$Q$950,14,FALSE)</f>
        <v>0</v>
      </c>
      <c r="AP259" s="57" t="s">
        <v>2402</v>
      </c>
      <c r="AQ259"/>
      <c r="AR259" s="31">
        <f t="shared" si="125"/>
        <v>0</v>
      </c>
      <c r="AS259" s="219">
        <f t="shared" si="126"/>
        <v>0</v>
      </c>
      <c r="AT259" s="31">
        <f t="shared" si="127"/>
        <v>0</v>
      </c>
      <c r="AU259" s="219">
        <f t="shared" si="128"/>
        <v>0</v>
      </c>
      <c r="AV259" s="31">
        <f t="shared" si="129"/>
        <v>0</v>
      </c>
      <c r="AW259" s="31">
        <f t="shared" si="130"/>
        <v>0</v>
      </c>
      <c r="AX259" s="31">
        <f t="shared" si="131"/>
        <v>0</v>
      </c>
      <c r="AY259" s="219">
        <f t="shared" si="132"/>
        <v>0</v>
      </c>
      <c r="AZ259" s="196">
        <f t="shared" si="133"/>
        <v>0</v>
      </c>
      <c r="BA259" s="219">
        <f t="shared" si="134"/>
        <v>0</v>
      </c>
      <c r="BB259" s="31">
        <f t="shared" si="135"/>
        <v>0.25</v>
      </c>
      <c r="BC259" s="219">
        <f t="shared" si="136"/>
        <v>0.21249999999999999</v>
      </c>
      <c r="BD259" s="31">
        <f t="shared" si="137"/>
        <v>0.75</v>
      </c>
      <c r="BE259" s="219">
        <f t="shared" si="138"/>
        <v>0.63749999999999996</v>
      </c>
      <c r="BF259" s="31">
        <f t="shared" si="139"/>
        <v>0</v>
      </c>
      <c r="BG259" s="219">
        <f t="shared" si="140"/>
        <v>0</v>
      </c>
      <c r="BH259" s="31">
        <f t="shared" si="141"/>
        <v>0</v>
      </c>
      <c r="BI259" s="219">
        <f t="shared" si="142"/>
        <v>0</v>
      </c>
      <c r="BJ259" s="31">
        <f t="shared" si="143"/>
        <v>0</v>
      </c>
      <c r="BK259" s="219">
        <f t="shared" si="144"/>
        <v>0</v>
      </c>
      <c r="BL259" s="31">
        <f t="shared" si="145"/>
        <v>0</v>
      </c>
      <c r="BM259" s="219">
        <f t="shared" si="146"/>
        <v>0</v>
      </c>
      <c r="BN259" s="31">
        <f t="shared" si="147"/>
        <v>0</v>
      </c>
      <c r="BO259" s="219">
        <f t="shared" si="148"/>
        <v>0</v>
      </c>
    </row>
    <row r="260" spans="1:67" x14ac:dyDescent="0.25">
      <c r="A260" s="31" t="s">
        <v>1983</v>
      </c>
      <c r="B260" s="176" t="str">
        <f>VLOOKUP(A260,kurspris!$A$1:$B$992,2,FALSE)</f>
        <v>Ekonomisk och soial geografi</v>
      </c>
      <c r="C260" s="31">
        <v>72908</v>
      </c>
      <c r="D260" s="60" t="s">
        <v>482</v>
      </c>
      <c r="E260" s="60"/>
      <c r="F260" s="57" t="s">
        <v>2274</v>
      </c>
      <c r="H260" s="31" t="s">
        <v>2335</v>
      </c>
      <c r="I260" s="31" t="s">
        <v>2399</v>
      </c>
      <c r="J260" s="31" t="s">
        <v>2232</v>
      </c>
      <c r="L260" s="38"/>
      <c r="M260">
        <v>15</v>
      </c>
      <c r="P260" s="31">
        <v>1</v>
      </c>
      <c r="Q260" s="539">
        <v>0.25</v>
      </c>
      <c r="R260" s="38">
        <v>0.85</v>
      </c>
      <c r="S260" s="280">
        <f t="shared" si="121"/>
        <v>0.21249999999999999</v>
      </c>
      <c r="T260" s="31">
        <f>VLOOKUP(A260,'Ansvar kurs'!$A$1:$C$1123,2,FALSE)</f>
        <v>2500</v>
      </c>
      <c r="U260" s="31" t="str">
        <f>VLOOKUP(T260,Orgenheter!$A$1:$C$166,2,FALSE)</f>
        <v>Geografi</v>
      </c>
      <c r="V260" s="31" t="str">
        <f>VLOOKUP(T260,Orgenheter!$A$1:$C$166,3,FALSE)</f>
        <v>Sam</v>
      </c>
      <c r="W260" s="35" t="str">
        <f>VLOOKUP(D260,Program!$A$1:$B$36,2,FALSE)</f>
        <v>Ämneslärarprogrammet - Gy</v>
      </c>
      <c r="X260" s="40">
        <f>VLOOKUP(A260,kurspris!$A$1:$Q$913,15,FALSE)</f>
        <v>20763.75</v>
      </c>
      <c r="Y260" s="40">
        <f>VLOOKUP(A260,kurspris!$A$1:$Q$913,16,FALSE)</f>
        <v>22102</v>
      </c>
      <c r="Z260" s="40">
        <f t="shared" si="122"/>
        <v>9887.6124999999993</v>
      </c>
      <c r="AA260" s="40">
        <f>VLOOKUP(A260,kurspris!$A$1:$Q$913,17,FALSE)</f>
        <v>10150</v>
      </c>
      <c r="AB260" s="40">
        <f t="shared" si="123"/>
        <v>2537.5</v>
      </c>
      <c r="AC260" s="40">
        <f t="shared" si="124"/>
        <v>12425.112499999999</v>
      </c>
      <c r="AD260" s="31">
        <f>VLOOKUP($A260,kurspris!$A$1:$Q$950,3,FALSE)</f>
        <v>0</v>
      </c>
      <c r="AE260" s="31">
        <f>VLOOKUP($A260,kurspris!$A$1:$Q$950,4,FALSE)</f>
        <v>0</v>
      </c>
      <c r="AF260" s="31">
        <f>VLOOKUP($A260,kurspris!$A$1:$Q$950,5,FALSE)</f>
        <v>0</v>
      </c>
      <c r="AG260" s="31">
        <f>VLOOKUP($A260,kurspris!$A$1:$Q$950,6,FALSE)</f>
        <v>0</v>
      </c>
      <c r="AH260" s="31">
        <f>VLOOKUP($A260,kurspris!$A$1:$Q$950,7,FALSE)</f>
        <v>0</v>
      </c>
      <c r="AI260" s="31">
        <f>VLOOKUP($A260,kurspris!$A$1:$Q$950,8,FALSE)</f>
        <v>0.25</v>
      </c>
      <c r="AJ260" s="31">
        <f>VLOOKUP($A260,kurspris!$A$1:$Q$950,9,FALSE)</f>
        <v>0.75</v>
      </c>
      <c r="AK260" s="31">
        <f>VLOOKUP($A260,kurspris!$A$1:$Q$950,10,FALSE)</f>
        <v>0</v>
      </c>
      <c r="AL260" s="31">
        <f>VLOOKUP($A260,kurspris!$A$1:$Q$950,11,FALSE)</f>
        <v>0</v>
      </c>
      <c r="AM260" s="31">
        <f>VLOOKUP($A260,kurspris!$A$1:$Q$950,12,FALSE)</f>
        <v>0</v>
      </c>
      <c r="AN260" s="31">
        <f>VLOOKUP($A260,kurspris!$A$1:$Q$950,13,FALSE)</f>
        <v>0</v>
      </c>
      <c r="AO260" s="31">
        <f>VLOOKUP($A260,kurspris!$A$1:$Q$950,14,FALSE)</f>
        <v>0</v>
      </c>
      <c r="AP260" s="57" t="s">
        <v>2402</v>
      </c>
      <c r="AQ260"/>
      <c r="AR260" s="31">
        <f t="shared" si="125"/>
        <v>0</v>
      </c>
      <c r="AS260" s="219">
        <f t="shared" si="126"/>
        <v>0</v>
      </c>
      <c r="AT260" s="31">
        <f t="shared" si="127"/>
        <v>0</v>
      </c>
      <c r="AU260" s="219">
        <f t="shared" si="128"/>
        <v>0</v>
      </c>
      <c r="AV260" s="31">
        <f t="shared" si="129"/>
        <v>0</v>
      </c>
      <c r="AW260" s="31">
        <f t="shared" si="130"/>
        <v>0</v>
      </c>
      <c r="AX260" s="31">
        <f t="shared" si="131"/>
        <v>0</v>
      </c>
      <c r="AY260" s="219">
        <f t="shared" si="132"/>
        <v>0</v>
      </c>
      <c r="AZ260" s="196">
        <f t="shared" si="133"/>
        <v>0</v>
      </c>
      <c r="BA260" s="219">
        <f t="shared" si="134"/>
        <v>0</v>
      </c>
      <c r="BB260" s="31">
        <f t="shared" si="135"/>
        <v>6.25E-2</v>
      </c>
      <c r="BC260" s="219">
        <f t="shared" si="136"/>
        <v>5.3124999999999999E-2</v>
      </c>
      <c r="BD260" s="31">
        <f t="shared" si="137"/>
        <v>0.1875</v>
      </c>
      <c r="BE260" s="219">
        <f t="shared" si="138"/>
        <v>0.15937499999999999</v>
      </c>
      <c r="BF260" s="31">
        <f t="shared" si="139"/>
        <v>0</v>
      </c>
      <c r="BG260" s="219">
        <f t="shared" si="140"/>
        <v>0</v>
      </c>
      <c r="BH260" s="31">
        <f t="shared" si="141"/>
        <v>0</v>
      </c>
      <c r="BI260" s="219">
        <f t="shared" si="142"/>
        <v>0</v>
      </c>
      <c r="BJ260" s="31">
        <f t="shared" si="143"/>
        <v>0</v>
      </c>
      <c r="BK260" s="219">
        <f t="shared" si="144"/>
        <v>0</v>
      </c>
      <c r="BL260" s="31">
        <f t="shared" si="145"/>
        <v>0</v>
      </c>
      <c r="BM260" s="219">
        <f t="shared" si="146"/>
        <v>0</v>
      </c>
      <c r="BN260" s="31">
        <f t="shared" si="147"/>
        <v>0</v>
      </c>
      <c r="BO260" s="219">
        <f t="shared" si="148"/>
        <v>0</v>
      </c>
    </row>
    <row r="261" spans="1:67" x14ac:dyDescent="0.25">
      <c r="A261" s="31" t="s">
        <v>1801</v>
      </c>
      <c r="B261" s="176" t="str">
        <f>VLOOKUP(A261,kurspris!$A$1:$B$992,2,FALSE)</f>
        <v>Befolkningsgeografi</v>
      </c>
      <c r="C261" s="31">
        <v>72903</v>
      </c>
      <c r="D261" s="60" t="s">
        <v>482</v>
      </c>
      <c r="E261" s="60"/>
      <c r="F261" s="57" t="s">
        <v>2274</v>
      </c>
      <c r="H261" s="31" t="s">
        <v>2335</v>
      </c>
      <c r="I261" s="31" t="s">
        <v>2399</v>
      </c>
      <c r="J261" s="31" t="s">
        <v>2238</v>
      </c>
      <c r="L261" s="38"/>
      <c r="M261">
        <v>15</v>
      </c>
      <c r="P261" s="31">
        <v>4</v>
      </c>
      <c r="Q261" s="539">
        <v>1</v>
      </c>
      <c r="R261" s="38">
        <v>0.85</v>
      </c>
      <c r="S261" s="280">
        <f t="shared" si="121"/>
        <v>0.85</v>
      </c>
      <c r="T261" s="31">
        <f>VLOOKUP(A261,'Ansvar kurs'!$A$1:$C$1123,2,FALSE)</f>
        <v>2500</v>
      </c>
      <c r="U261" s="31" t="str">
        <f>VLOOKUP(T261,Orgenheter!$A$1:$C$166,2,FALSE)</f>
        <v>Geografi</v>
      </c>
      <c r="V261" s="31" t="str">
        <f>VLOOKUP(T261,Orgenheter!$A$1:$C$166,3,FALSE)</f>
        <v>Sam</v>
      </c>
      <c r="W261" s="35" t="str">
        <f>VLOOKUP(D261,Program!$A$1:$B$36,2,FALSE)</f>
        <v>Ämneslärarprogrammet - Gy</v>
      </c>
      <c r="X261" s="40">
        <f>VLOOKUP(A261,kurspris!$A$1:$Q$913,15,FALSE)</f>
        <v>20763.75</v>
      </c>
      <c r="Y261" s="40">
        <f>VLOOKUP(A261,kurspris!$A$1:$Q$913,16,FALSE)</f>
        <v>22102</v>
      </c>
      <c r="Z261" s="40">
        <f t="shared" si="122"/>
        <v>39550.449999999997</v>
      </c>
      <c r="AA261" s="40">
        <f>VLOOKUP(A261,kurspris!$A$1:$Q$913,17,FALSE)</f>
        <v>10150</v>
      </c>
      <c r="AB261" s="40">
        <f t="shared" si="123"/>
        <v>10150</v>
      </c>
      <c r="AC261" s="40">
        <f t="shared" si="124"/>
        <v>49700.45</v>
      </c>
      <c r="AD261" s="31">
        <f>VLOOKUP($A261,kurspris!$A$1:$Q$950,3,FALSE)</f>
        <v>0</v>
      </c>
      <c r="AE261" s="31">
        <f>VLOOKUP($A261,kurspris!$A$1:$Q$950,4,FALSE)</f>
        <v>0</v>
      </c>
      <c r="AF261" s="31">
        <f>VLOOKUP($A261,kurspris!$A$1:$Q$950,5,FALSE)</f>
        <v>0</v>
      </c>
      <c r="AG261" s="31">
        <f>VLOOKUP($A261,kurspris!$A$1:$Q$950,6,FALSE)</f>
        <v>0</v>
      </c>
      <c r="AH261" s="31">
        <f>VLOOKUP($A261,kurspris!$A$1:$Q$950,7,FALSE)</f>
        <v>0</v>
      </c>
      <c r="AI261" s="31">
        <f>VLOOKUP($A261,kurspris!$A$1:$Q$950,8,FALSE)</f>
        <v>0.25</v>
      </c>
      <c r="AJ261" s="31">
        <f>VLOOKUP($A261,kurspris!$A$1:$Q$950,9,FALSE)</f>
        <v>0.75</v>
      </c>
      <c r="AK261" s="31">
        <f>VLOOKUP($A261,kurspris!$A$1:$Q$950,10,FALSE)</f>
        <v>0</v>
      </c>
      <c r="AL261" s="31">
        <f>VLOOKUP($A261,kurspris!$A$1:$Q$950,11,FALSE)</f>
        <v>0</v>
      </c>
      <c r="AM261" s="31">
        <f>VLOOKUP($A261,kurspris!$A$1:$Q$950,12,FALSE)</f>
        <v>0</v>
      </c>
      <c r="AN261" s="31">
        <f>VLOOKUP($A261,kurspris!$A$1:$Q$950,13,FALSE)</f>
        <v>0</v>
      </c>
      <c r="AO261" s="31">
        <f>VLOOKUP($A261,kurspris!$A$1:$Q$950,14,FALSE)</f>
        <v>0</v>
      </c>
      <c r="AP261" s="57" t="s">
        <v>2402</v>
      </c>
      <c r="AQ261"/>
      <c r="AR261" s="31">
        <f t="shared" si="125"/>
        <v>0</v>
      </c>
      <c r="AS261" s="219">
        <f t="shared" si="126"/>
        <v>0</v>
      </c>
      <c r="AT261" s="31">
        <f t="shared" si="127"/>
        <v>0</v>
      </c>
      <c r="AU261" s="219">
        <f t="shared" si="128"/>
        <v>0</v>
      </c>
      <c r="AV261" s="31">
        <f t="shared" si="129"/>
        <v>0</v>
      </c>
      <c r="AW261" s="31">
        <f t="shared" si="130"/>
        <v>0</v>
      </c>
      <c r="AX261" s="31">
        <f t="shared" si="131"/>
        <v>0</v>
      </c>
      <c r="AY261" s="219">
        <f t="shared" si="132"/>
        <v>0</v>
      </c>
      <c r="AZ261" s="196">
        <f t="shared" si="133"/>
        <v>0</v>
      </c>
      <c r="BA261" s="219">
        <f t="shared" si="134"/>
        <v>0</v>
      </c>
      <c r="BB261" s="31">
        <f t="shared" si="135"/>
        <v>0.25</v>
      </c>
      <c r="BC261" s="219">
        <f t="shared" si="136"/>
        <v>0.21249999999999999</v>
      </c>
      <c r="BD261" s="31">
        <f t="shared" si="137"/>
        <v>0.75</v>
      </c>
      <c r="BE261" s="219">
        <f t="shared" si="138"/>
        <v>0.63749999999999996</v>
      </c>
      <c r="BF261" s="31">
        <f t="shared" si="139"/>
        <v>0</v>
      </c>
      <c r="BG261" s="219">
        <f t="shared" si="140"/>
        <v>0</v>
      </c>
      <c r="BH261" s="31">
        <f t="shared" si="141"/>
        <v>0</v>
      </c>
      <c r="BI261" s="219">
        <f t="shared" si="142"/>
        <v>0</v>
      </c>
      <c r="BJ261" s="31">
        <f t="shared" si="143"/>
        <v>0</v>
      </c>
      <c r="BK261" s="219">
        <f t="shared" si="144"/>
        <v>0</v>
      </c>
      <c r="BL261" s="31">
        <f t="shared" si="145"/>
        <v>0</v>
      </c>
      <c r="BM261" s="219">
        <f t="shared" si="146"/>
        <v>0</v>
      </c>
      <c r="BN261" s="31">
        <f t="shared" si="147"/>
        <v>0</v>
      </c>
      <c r="BO261" s="219">
        <f t="shared" si="148"/>
        <v>0</v>
      </c>
    </row>
    <row r="262" spans="1:67" x14ac:dyDescent="0.25">
      <c r="A262" s="31" t="s">
        <v>1801</v>
      </c>
      <c r="B262" s="176" t="str">
        <f>VLOOKUP(A262,kurspris!$A$1:$B$992,2,FALSE)</f>
        <v>Befolkningsgeografi</v>
      </c>
      <c r="C262" s="31">
        <v>72903</v>
      </c>
      <c r="D262" s="60" t="s">
        <v>482</v>
      </c>
      <c r="E262" s="60"/>
      <c r="F262" s="57" t="s">
        <v>2274</v>
      </c>
      <c r="H262" s="31" t="s">
        <v>2335</v>
      </c>
      <c r="I262" s="31" t="s">
        <v>2399</v>
      </c>
      <c r="J262" s="31" t="s">
        <v>2232</v>
      </c>
      <c r="L262" s="38"/>
      <c r="M262">
        <v>15</v>
      </c>
      <c r="P262" s="31">
        <v>1</v>
      </c>
      <c r="Q262" s="539">
        <v>0.25</v>
      </c>
      <c r="R262" s="38">
        <v>0.85</v>
      </c>
      <c r="S262" s="280">
        <f t="shared" si="121"/>
        <v>0.21249999999999999</v>
      </c>
      <c r="T262" s="31">
        <f>VLOOKUP(A262,'Ansvar kurs'!$A$1:$C$1123,2,FALSE)</f>
        <v>2500</v>
      </c>
      <c r="U262" s="31" t="str">
        <f>VLOOKUP(T262,Orgenheter!$A$1:$C$166,2,FALSE)</f>
        <v>Geografi</v>
      </c>
      <c r="V262" s="31" t="str">
        <f>VLOOKUP(T262,Orgenheter!$A$1:$C$166,3,FALSE)</f>
        <v>Sam</v>
      </c>
      <c r="W262" s="35" t="str">
        <f>VLOOKUP(D262,Program!$A$1:$B$36,2,FALSE)</f>
        <v>Ämneslärarprogrammet - Gy</v>
      </c>
      <c r="X262" s="40">
        <f>VLOOKUP(A262,kurspris!$A$1:$Q$913,15,FALSE)</f>
        <v>20763.75</v>
      </c>
      <c r="Y262" s="40">
        <f>VLOOKUP(A262,kurspris!$A$1:$Q$913,16,FALSE)</f>
        <v>22102</v>
      </c>
      <c r="Z262" s="40">
        <f t="shared" si="122"/>
        <v>9887.6124999999993</v>
      </c>
      <c r="AA262" s="40">
        <f>VLOOKUP(A262,kurspris!$A$1:$Q$913,17,FALSE)</f>
        <v>10150</v>
      </c>
      <c r="AB262" s="40">
        <f t="shared" si="123"/>
        <v>2537.5</v>
      </c>
      <c r="AC262" s="40">
        <f t="shared" si="124"/>
        <v>12425.112499999999</v>
      </c>
      <c r="AD262" s="31">
        <f>VLOOKUP($A262,kurspris!$A$1:$Q$950,3,FALSE)</f>
        <v>0</v>
      </c>
      <c r="AE262" s="31">
        <f>VLOOKUP($A262,kurspris!$A$1:$Q$950,4,FALSE)</f>
        <v>0</v>
      </c>
      <c r="AF262" s="31">
        <f>VLOOKUP($A262,kurspris!$A$1:$Q$950,5,FALSE)</f>
        <v>0</v>
      </c>
      <c r="AG262" s="31">
        <f>VLOOKUP($A262,kurspris!$A$1:$Q$950,6,FALSE)</f>
        <v>0</v>
      </c>
      <c r="AH262" s="31">
        <f>VLOOKUP($A262,kurspris!$A$1:$Q$950,7,FALSE)</f>
        <v>0</v>
      </c>
      <c r="AI262" s="31">
        <f>VLOOKUP($A262,kurspris!$A$1:$Q$950,8,FALSE)</f>
        <v>0.25</v>
      </c>
      <c r="AJ262" s="31">
        <f>VLOOKUP($A262,kurspris!$A$1:$Q$950,9,FALSE)</f>
        <v>0.75</v>
      </c>
      <c r="AK262" s="31">
        <f>VLOOKUP($A262,kurspris!$A$1:$Q$950,10,FALSE)</f>
        <v>0</v>
      </c>
      <c r="AL262" s="31">
        <f>VLOOKUP($A262,kurspris!$A$1:$Q$950,11,FALSE)</f>
        <v>0</v>
      </c>
      <c r="AM262" s="31">
        <f>VLOOKUP($A262,kurspris!$A$1:$Q$950,12,FALSE)</f>
        <v>0</v>
      </c>
      <c r="AN262" s="31">
        <f>VLOOKUP($A262,kurspris!$A$1:$Q$950,13,FALSE)</f>
        <v>0</v>
      </c>
      <c r="AO262" s="31">
        <f>VLOOKUP($A262,kurspris!$A$1:$Q$950,14,FALSE)</f>
        <v>0</v>
      </c>
      <c r="AP262" s="57" t="s">
        <v>2402</v>
      </c>
      <c r="AQ262"/>
      <c r="AR262" s="31">
        <f t="shared" si="125"/>
        <v>0</v>
      </c>
      <c r="AS262" s="219">
        <f t="shared" si="126"/>
        <v>0</v>
      </c>
      <c r="AT262" s="31">
        <f t="shared" si="127"/>
        <v>0</v>
      </c>
      <c r="AU262" s="219">
        <f t="shared" si="128"/>
        <v>0</v>
      </c>
      <c r="AV262" s="31">
        <f t="shared" si="129"/>
        <v>0</v>
      </c>
      <c r="AW262" s="31">
        <f t="shared" si="130"/>
        <v>0</v>
      </c>
      <c r="AX262" s="31">
        <f t="shared" si="131"/>
        <v>0</v>
      </c>
      <c r="AY262" s="219">
        <f t="shared" si="132"/>
        <v>0</v>
      </c>
      <c r="AZ262" s="196">
        <f t="shared" si="133"/>
        <v>0</v>
      </c>
      <c r="BA262" s="219">
        <f t="shared" si="134"/>
        <v>0</v>
      </c>
      <c r="BB262" s="31">
        <f t="shared" si="135"/>
        <v>6.25E-2</v>
      </c>
      <c r="BC262" s="219">
        <f t="shared" si="136"/>
        <v>5.3124999999999999E-2</v>
      </c>
      <c r="BD262" s="31">
        <f t="shared" si="137"/>
        <v>0.1875</v>
      </c>
      <c r="BE262" s="219">
        <f t="shared" si="138"/>
        <v>0.15937499999999999</v>
      </c>
      <c r="BF262" s="31">
        <f t="shared" si="139"/>
        <v>0</v>
      </c>
      <c r="BG262" s="219">
        <f t="shared" si="140"/>
        <v>0</v>
      </c>
      <c r="BH262" s="31">
        <f t="shared" si="141"/>
        <v>0</v>
      </c>
      <c r="BI262" s="219">
        <f t="shared" si="142"/>
        <v>0</v>
      </c>
      <c r="BJ262" s="31">
        <f t="shared" si="143"/>
        <v>0</v>
      </c>
      <c r="BK262" s="219">
        <f t="shared" si="144"/>
        <v>0</v>
      </c>
      <c r="BL262" s="31">
        <f t="shared" si="145"/>
        <v>0</v>
      </c>
      <c r="BM262" s="219">
        <f t="shared" si="146"/>
        <v>0</v>
      </c>
      <c r="BN262" s="31">
        <f t="shared" si="147"/>
        <v>0</v>
      </c>
      <c r="BO262" s="219">
        <f t="shared" si="148"/>
        <v>0</v>
      </c>
    </row>
    <row r="263" spans="1:67" x14ac:dyDescent="0.25">
      <c r="A263" s="31" t="s">
        <v>1875</v>
      </c>
      <c r="B263" s="176" t="str">
        <f>VLOOKUP(A263,kurspris!$A$1:$B$992,2,FALSE)</f>
        <v>Kartor och GIS</v>
      </c>
      <c r="D263" s="60" t="s">
        <v>482</v>
      </c>
      <c r="E263" s="576" t="s">
        <v>2225</v>
      </c>
      <c r="F263" s="31" t="s">
        <v>2273</v>
      </c>
      <c r="G263" t="s">
        <v>2448</v>
      </c>
      <c r="H263" t="s">
        <v>2335</v>
      </c>
      <c r="J263" s="31" t="s">
        <v>2232</v>
      </c>
      <c r="L263" s="38">
        <v>1</v>
      </c>
      <c r="M263">
        <v>7.5</v>
      </c>
      <c r="P263" s="31">
        <v>1</v>
      </c>
      <c r="Q263" s="196">
        <f>(M263/60)*P263</f>
        <v>0.125</v>
      </c>
      <c r="R263" s="38">
        <v>0.85</v>
      </c>
      <c r="S263" s="280">
        <f t="shared" si="121"/>
        <v>0.10625</v>
      </c>
      <c r="T263" s="31">
        <f>VLOOKUP(A263,'Ansvar kurs'!$A$1:$C$1123,2,FALSE)</f>
        <v>2500</v>
      </c>
      <c r="U263" s="31" t="str">
        <f>VLOOKUP(T263,Orgenheter!$A$1:$C$166,2,FALSE)</f>
        <v>Geografi</v>
      </c>
      <c r="V263" s="31" t="str">
        <f>VLOOKUP(T263,Orgenheter!$A$1:$C$166,3,FALSE)</f>
        <v>Sam</v>
      </c>
      <c r="W263" s="35" t="str">
        <f>VLOOKUP(D263,Program!$A$1:$B$36,2,FALSE)</f>
        <v>Ämneslärarprogrammet - Gy</v>
      </c>
      <c r="X263" s="40">
        <f>VLOOKUP(A263,kurspris!$A$1:$Q$913,15,FALSE)</f>
        <v>20761.5</v>
      </c>
      <c r="Y263" s="40">
        <f>VLOOKUP(A263,kurspris!$A$1:$Q$913,16,FALSE)</f>
        <v>26762</v>
      </c>
      <c r="Z263" s="40">
        <f t="shared" si="122"/>
        <v>5438.65</v>
      </c>
      <c r="AA263" s="40">
        <f>VLOOKUP(A263,kurspris!$A$1:$Q$913,17,FALSE)</f>
        <v>14300</v>
      </c>
      <c r="AB263" s="40">
        <f t="shared" si="123"/>
        <v>1787.5</v>
      </c>
      <c r="AC263" s="40">
        <f t="shared" si="124"/>
        <v>7226.15</v>
      </c>
      <c r="AD263" s="31">
        <f>VLOOKUP($A263,kurspris!$A$1:$Q$950,3,FALSE)</f>
        <v>0</v>
      </c>
      <c r="AE263" s="31">
        <f>VLOOKUP($A263,kurspris!$A$1:$Q$950,4,FALSE)</f>
        <v>0</v>
      </c>
      <c r="AF263" s="31">
        <f>VLOOKUP($A263,kurspris!$A$1:$Q$950,5,FALSE)</f>
        <v>0</v>
      </c>
      <c r="AG263" s="31">
        <f>VLOOKUP($A263,kurspris!$A$1:$Q$950,6,FALSE)</f>
        <v>0</v>
      </c>
      <c r="AH263" s="31">
        <f>VLOOKUP($A263,kurspris!$A$1:$Q$950,7,FALSE)</f>
        <v>0</v>
      </c>
      <c r="AI263" s="31">
        <f>VLOOKUP($A263,kurspris!$A$1:$Q$950,8,FALSE)</f>
        <v>0.5</v>
      </c>
      <c r="AJ263" s="31">
        <f>VLOOKUP($A263,kurspris!$A$1:$Q$950,9,FALSE)</f>
        <v>0.5</v>
      </c>
      <c r="AK263" s="31">
        <f>VLOOKUP($A263,kurspris!$A$1:$Q$950,10,FALSE)</f>
        <v>0</v>
      </c>
      <c r="AL263" s="31">
        <f>VLOOKUP($A263,kurspris!$A$1:$Q$950,11,FALSE)</f>
        <v>0</v>
      </c>
      <c r="AM263" s="31">
        <f>VLOOKUP($A263,kurspris!$A$1:$Q$950,12,FALSE)</f>
        <v>0</v>
      </c>
      <c r="AN263" s="31">
        <f>VLOOKUP($A263,kurspris!$A$1:$Q$950,13,FALSE)</f>
        <v>0</v>
      </c>
      <c r="AO263" s="31">
        <f>VLOOKUP($A263,kurspris!$A$1:$Q$950,14,FALSE)</f>
        <v>0</v>
      </c>
      <c r="AP263" s="57" t="s">
        <v>2506</v>
      </c>
      <c r="AQ263"/>
      <c r="AR263" s="31">
        <f t="shared" si="125"/>
        <v>0</v>
      </c>
      <c r="AS263" s="219">
        <f t="shared" si="126"/>
        <v>0</v>
      </c>
      <c r="AT263" s="31">
        <f t="shared" si="127"/>
        <v>0</v>
      </c>
      <c r="AU263" s="219">
        <f t="shared" si="128"/>
        <v>0</v>
      </c>
      <c r="AV263" s="31">
        <f t="shared" si="129"/>
        <v>0</v>
      </c>
      <c r="AW263" s="31">
        <f t="shared" si="130"/>
        <v>0</v>
      </c>
      <c r="AX263" s="31">
        <f t="shared" si="131"/>
        <v>0</v>
      </c>
      <c r="AY263" s="219">
        <f t="shared" si="132"/>
        <v>0</v>
      </c>
      <c r="AZ263" s="196">
        <f t="shared" si="133"/>
        <v>0</v>
      </c>
      <c r="BA263" s="219">
        <f t="shared" si="134"/>
        <v>0</v>
      </c>
      <c r="BB263" s="31">
        <f t="shared" si="135"/>
        <v>6.25E-2</v>
      </c>
      <c r="BC263" s="219">
        <f t="shared" si="136"/>
        <v>5.3124999999999999E-2</v>
      </c>
      <c r="BD263" s="31">
        <f t="shared" si="137"/>
        <v>6.25E-2</v>
      </c>
      <c r="BE263" s="219">
        <f t="shared" si="138"/>
        <v>5.3124999999999999E-2</v>
      </c>
      <c r="BF263" s="31">
        <f t="shared" si="139"/>
        <v>0</v>
      </c>
      <c r="BG263" s="219">
        <f t="shared" si="140"/>
        <v>0</v>
      </c>
      <c r="BH263" s="31">
        <f t="shared" si="141"/>
        <v>0</v>
      </c>
      <c r="BI263" s="219">
        <f t="shared" si="142"/>
        <v>0</v>
      </c>
      <c r="BJ263" s="31">
        <f t="shared" si="143"/>
        <v>0</v>
      </c>
      <c r="BK263" s="219">
        <f t="shared" si="144"/>
        <v>0</v>
      </c>
      <c r="BL263" s="31">
        <f t="shared" si="145"/>
        <v>0</v>
      </c>
      <c r="BM263" s="219">
        <f t="shared" si="146"/>
        <v>0</v>
      </c>
      <c r="BN263" s="31">
        <f t="shared" si="147"/>
        <v>0</v>
      </c>
      <c r="BO263" s="219">
        <f t="shared" si="148"/>
        <v>0</v>
      </c>
    </row>
    <row r="264" spans="1:67" x14ac:dyDescent="0.25">
      <c r="A264" s="31" t="s">
        <v>1875</v>
      </c>
      <c r="B264" s="176" t="str">
        <f>VLOOKUP(A264,kurspris!$A$1:$B$992,2,FALSE)</f>
        <v>Kartor och GIS</v>
      </c>
      <c r="D264" s="60" t="s">
        <v>482</v>
      </c>
      <c r="E264" s="576" t="s">
        <v>2432</v>
      </c>
      <c r="F264" s="31" t="s">
        <v>2273</v>
      </c>
      <c r="G264" t="s">
        <v>2448</v>
      </c>
      <c r="H264" t="s">
        <v>2335</v>
      </c>
      <c r="J264" s="31" t="s">
        <v>2238</v>
      </c>
      <c r="L264" s="38">
        <v>1</v>
      </c>
      <c r="M264">
        <v>7.5</v>
      </c>
      <c r="P264" s="31">
        <v>3</v>
      </c>
      <c r="Q264" s="196">
        <f>(M264/60)*P264</f>
        <v>0.375</v>
      </c>
      <c r="R264" s="38">
        <v>0.85</v>
      </c>
      <c r="S264" s="280">
        <f t="shared" si="121"/>
        <v>0.31874999999999998</v>
      </c>
      <c r="T264" s="31">
        <f>VLOOKUP(A264,'Ansvar kurs'!$A$1:$C$1123,2,FALSE)</f>
        <v>2500</v>
      </c>
      <c r="U264" s="31" t="str">
        <f>VLOOKUP(T264,Orgenheter!$A$1:$C$166,2,FALSE)</f>
        <v>Geografi</v>
      </c>
      <c r="V264" s="31" t="str">
        <f>VLOOKUP(T264,Orgenheter!$A$1:$C$166,3,FALSE)</f>
        <v>Sam</v>
      </c>
      <c r="W264" s="35" t="str">
        <f>VLOOKUP(D264,Program!$A$1:$B$36,2,FALSE)</f>
        <v>Ämneslärarprogrammet - Gy</v>
      </c>
      <c r="X264" s="40">
        <f>VLOOKUP(A264,kurspris!$A$1:$Q$913,15,FALSE)</f>
        <v>20761.5</v>
      </c>
      <c r="Y264" s="40">
        <f>VLOOKUP(A264,kurspris!$A$1:$Q$913,16,FALSE)</f>
        <v>26762</v>
      </c>
      <c r="Z264" s="40">
        <f t="shared" si="122"/>
        <v>16315.949999999999</v>
      </c>
      <c r="AA264" s="40">
        <f>VLOOKUP(A264,kurspris!$A$1:$Q$913,17,FALSE)</f>
        <v>14300</v>
      </c>
      <c r="AB264" s="40">
        <f t="shared" si="123"/>
        <v>5362.5</v>
      </c>
      <c r="AC264" s="40">
        <f t="shared" si="124"/>
        <v>21678.449999999997</v>
      </c>
      <c r="AD264" s="31">
        <f>VLOOKUP($A264,kurspris!$A$1:$Q$950,3,FALSE)</f>
        <v>0</v>
      </c>
      <c r="AE264" s="31">
        <f>VLOOKUP($A264,kurspris!$A$1:$Q$950,4,FALSE)</f>
        <v>0</v>
      </c>
      <c r="AF264" s="31">
        <f>VLOOKUP($A264,kurspris!$A$1:$Q$950,5,FALSE)</f>
        <v>0</v>
      </c>
      <c r="AG264" s="31">
        <f>VLOOKUP($A264,kurspris!$A$1:$Q$950,6,FALSE)</f>
        <v>0</v>
      </c>
      <c r="AH264" s="31">
        <f>VLOOKUP($A264,kurspris!$A$1:$Q$950,7,FALSE)</f>
        <v>0</v>
      </c>
      <c r="AI264" s="31">
        <f>VLOOKUP($A264,kurspris!$A$1:$Q$950,8,FALSE)</f>
        <v>0.5</v>
      </c>
      <c r="AJ264" s="31">
        <f>VLOOKUP($A264,kurspris!$A$1:$Q$950,9,FALSE)</f>
        <v>0.5</v>
      </c>
      <c r="AK264" s="31">
        <f>VLOOKUP($A264,kurspris!$A$1:$Q$950,10,FALSE)</f>
        <v>0</v>
      </c>
      <c r="AL264" s="31">
        <f>VLOOKUP($A264,kurspris!$A$1:$Q$950,11,FALSE)</f>
        <v>0</v>
      </c>
      <c r="AM264" s="31">
        <f>VLOOKUP($A264,kurspris!$A$1:$Q$950,12,FALSE)</f>
        <v>0</v>
      </c>
      <c r="AN264" s="31">
        <f>VLOOKUP($A264,kurspris!$A$1:$Q$950,13,FALSE)</f>
        <v>0</v>
      </c>
      <c r="AO264" s="31">
        <f>VLOOKUP($A264,kurspris!$A$1:$Q$950,14,FALSE)</f>
        <v>0</v>
      </c>
      <c r="AP264" s="57" t="s">
        <v>2506</v>
      </c>
      <c r="AQ264"/>
      <c r="AR264" s="31">
        <f t="shared" si="125"/>
        <v>0</v>
      </c>
      <c r="AS264" s="219">
        <f t="shared" si="126"/>
        <v>0</v>
      </c>
      <c r="AT264" s="31">
        <f t="shared" si="127"/>
        <v>0</v>
      </c>
      <c r="AU264" s="219">
        <f t="shared" si="128"/>
        <v>0</v>
      </c>
      <c r="AV264" s="31">
        <f t="shared" si="129"/>
        <v>0</v>
      </c>
      <c r="AW264" s="31">
        <f t="shared" si="130"/>
        <v>0</v>
      </c>
      <c r="AX264" s="31">
        <f t="shared" si="131"/>
        <v>0</v>
      </c>
      <c r="AY264" s="219">
        <f t="shared" si="132"/>
        <v>0</v>
      </c>
      <c r="AZ264" s="196">
        <f t="shared" si="133"/>
        <v>0</v>
      </c>
      <c r="BA264" s="219">
        <f t="shared" si="134"/>
        <v>0</v>
      </c>
      <c r="BB264" s="31">
        <f t="shared" si="135"/>
        <v>0.1875</v>
      </c>
      <c r="BC264" s="219">
        <f t="shared" si="136"/>
        <v>0.15937499999999999</v>
      </c>
      <c r="BD264" s="31">
        <f t="shared" si="137"/>
        <v>0.1875</v>
      </c>
      <c r="BE264" s="219">
        <f t="shared" si="138"/>
        <v>0.15937499999999999</v>
      </c>
      <c r="BF264" s="31">
        <f t="shared" si="139"/>
        <v>0</v>
      </c>
      <c r="BG264" s="219">
        <f t="shared" si="140"/>
        <v>0</v>
      </c>
      <c r="BH264" s="31">
        <f t="shared" si="141"/>
        <v>0</v>
      </c>
      <c r="BI264" s="219">
        <f t="shared" si="142"/>
        <v>0</v>
      </c>
      <c r="BJ264" s="31">
        <f t="shared" si="143"/>
        <v>0</v>
      </c>
      <c r="BK264" s="219">
        <f t="shared" si="144"/>
        <v>0</v>
      </c>
      <c r="BL264" s="31">
        <f t="shared" si="145"/>
        <v>0</v>
      </c>
      <c r="BM264" s="219">
        <f t="shared" si="146"/>
        <v>0</v>
      </c>
      <c r="BN264" s="31">
        <f t="shared" si="147"/>
        <v>0</v>
      </c>
      <c r="BO264" s="219">
        <f t="shared" si="148"/>
        <v>0</v>
      </c>
    </row>
    <row r="265" spans="1:67" x14ac:dyDescent="0.25">
      <c r="A265" s="31" t="s">
        <v>1878</v>
      </c>
      <c r="B265" s="176" t="str">
        <f>VLOOKUP(A265,kurspris!$A$1:$B$992,2,FALSE)</f>
        <v>Geografididaktik 1</v>
      </c>
      <c r="D265" s="60" t="s">
        <v>482</v>
      </c>
      <c r="E265" s="576" t="s">
        <v>2225</v>
      </c>
      <c r="F265" s="31" t="s">
        <v>2273</v>
      </c>
      <c r="G265" t="s">
        <v>2438</v>
      </c>
      <c r="H265" t="s">
        <v>2335</v>
      </c>
      <c r="J265" s="31" t="s">
        <v>2232</v>
      </c>
      <c r="L265" s="38">
        <v>1</v>
      </c>
      <c r="M265">
        <v>7.5</v>
      </c>
      <c r="P265" s="31">
        <v>1</v>
      </c>
      <c r="Q265" s="196">
        <f>(M265/60)*P265</f>
        <v>0.125</v>
      </c>
      <c r="R265" s="38">
        <v>0.85</v>
      </c>
      <c r="S265" s="280">
        <f t="shared" si="121"/>
        <v>0.10625</v>
      </c>
      <c r="T265" s="31">
        <f>VLOOKUP(A265,'Ansvar kurs'!$A$1:$C$1123,2,FALSE)</f>
        <v>2500</v>
      </c>
      <c r="U265" s="31" t="str">
        <f>VLOOKUP(T265,Orgenheter!$A$1:$C$166,2,FALSE)</f>
        <v>Geografi</v>
      </c>
      <c r="V265" s="31" t="str">
        <f>VLOOKUP(T265,Orgenheter!$A$1:$C$166,3,FALSE)</f>
        <v>Sam</v>
      </c>
      <c r="W265" s="35" t="str">
        <f>VLOOKUP(D265,Program!$A$1:$B$36,2,FALSE)</f>
        <v>Ämneslärarprogrammet - Gy</v>
      </c>
      <c r="X265" s="40">
        <f>VLOOKUP(A265,kurspris!$A$1:$Q$913,15,FALSE)</f>
        <v>20766</v>
      </c>
      <c r="Y265" s="40">
        <f>VLOOKUP(A265,kurspris!$A$1:$Q$913,16,FALSE)</f>
        <v>17442</v>
      </c>
      <c r="Z265" s="40">
        <f t="shared" si="122"/>
        <v>4448.9624999999996</v>
      </c>
      <c r="AA265" s="40">
        <f>VLOOKUP(A265,kurspris!$A$1:$Q$913,17,FALSE)</f>
        <v>6000</v>
      </c>
      <c r="AB265" s="40">
        <f t="shared" si="123"/>
        <v>750</v>
      </c>
      <c r="AC265" s="40">
        <f t="shared" si="124"/>
        <v>5198.9624999999996</v>
      </c>
      <c r="AD265" s="31">
        <f>VLOOKUP($A265,kurspris!$A$1:$Q$950,3,FALSE)</f>
        <v>0</v>
      </c>
      <c r="AE265" s="31">
        <f>VLOOKUP($A265,kurspris!$A$1:$Q$950,4,FALSE)</f>
        <v>0</v>
      </c>
      <c r="AF265" s="31">
        <f>VLOOKUP($A265,kurspris!$A$1:$Q$950,5,FALSE)</f>
        <v>0</v>
      </c>
      <c r="AG265" s="31">
        <f>VLOOKUP($A265,kurspris!$A$1:$Q$950,6,FALSE)</f>
        <v>0</v>
      </c>
      <c r="AH265" s="31">
        <f>VLOOKUP($A265,kurspris!$A$1:$Q$950,7,FALSE)</f>
        <v>0</v>
      </c>
      <c r="AI265" s="31">
        <f>VLOOKUP($A265,kurspris!$A$1:$Q$950,8,FALSE)</f>
        <v>0</v>
      </c>
      <c r="AJ265" s="31">
        <f>VLOOKUP($A265,kurspris!$A$1:$Q$950,9,FALSE)</f>
        <v>1</v>
      </c>
      <c r="AK265" s="31">
        <f>VLOOKUP($A265,kurspris!$A$1:$Q$950,10,FALSE)</f>
        <v>0</v>
      </c>
      <c r="AL265" s="31">
        <f>VLOOKUP($A265,kurspris!$A$1:$Q$950,11,FALSE)</f>
        <v>0</v>
      </c>
      <c r="AM265" s="31">
        <f>VLOOKUP($A265,kurspris!$A$1:$Q$950,12,FALSE)</f>
        <v>0</v>
      </c>
      <c r="AN265" s="31">
        <f>VLOOKUP($A265,kurspris!$A$1:$Q$950,13,FALSE)</f>
        <v>0</v>
      </c>
      <c r="AO265" s="31">
        <f>VLOOKUP($A265,kurspris!$A$1:$Q$950,14,FALSE)</f>
        <v>0</v>
      </c>
      <c r="AP265" s="57" t="s">
        <v>2506</v>
      </c>
      <c r="AQ265"/>
      <c r="AR265" s="31">
        <f t="shared" si="125"/>
        <v>0</v>
      </c>
      <c r="AS265" s="219">
        <f t="shared" si="126"/>
        <v>0</v>
      </c>
      <c r="AT265" s="31">
        <f t="shared" si="127"/>
        <v>0</v>
      </c>
      <c r="AU265" s="219">
        <f t="shared" si="128"/>
        <v>0</v>
      </c>
      <c r="AV265" s="31">
        <f t="shared" si="129"/>
        <v>0</v>
      </c>
      <c r="AW265" s="31">
        <f t="shared" si="130"/>
        <v>0</v>
      </c>
      <c r="AX265" s="31">
        <f t="shared" si="131"/>
        <v>0</v>
      </c>
      <c r="AY265" s="219">
        <f t="shared" si="132"/>
        <v>0</v>
      </c>
      <c r="AZ265" s="196">
        <f t="shared" si="133"/>
        <v>0</v>
      </c>
      <c r="BA265" s="219">
        <f t="shared" si="134"/>
        <v>0</v>
      </c>
      <c r="BB265" s="31">
        <f t="shared" si="135"/>
        <v>0</v>
      </c>
      <c r="BC265" s="219">
        <f t="shared" si="136"/>
        <v>0</v>
      </c>
      <c r="BD265" s="31">
        <f t="shared" si="137"/>
        <v>0.125</v>
      </c>
      <c r="BE265" s="219">
        <f t="shared" si="138"/>
        <v>0.10625</v>
      </c>
      <c r="BF265" s="31">
        <f t="shared" si="139"/>
        <v>0</v>
      </c>
      <c r="BG265" s="219">
        <f t="shared" si="140"/>
        <v>0</v>
      </c>
      <c r="BH265" s="31">
        <f t="shared" si="141"/>
        <v>0</v>
      </c>
      <c r="BI265" s="219">
        <f t="shared" si="142"/>
        <v>0</v>
      </c>
      <c r="BJ265" s="31">
        <f t="shared" si="143"/>
        <v>0</v>
      </c>
      <c r="BK265" s="219">
        <f t="shared" si="144"/>
        <v>0</v>
      </c>
      <c r="BL265" s="31">
        <f t="shared" si="145"/>
        <v>0</v>
      </c>
      <c r="BM265" s="219">
        <f t="shared" si="146"/>
        <v>0</v>
      </c>
      <c r="BN265" s="31">
        <f t="shared" si="147"/>
        <v>0</v>
      </c>
      <c r="BO265" s="219">
        <f t="shared" si="148"/>
        <v>0</v>
      </c>
    </row>
    <row r="266" spans="1:67" x14ac:dyDescent="0.25">
      <c r="A266" s="31" t="s">
        <v>1878</v>
      </c>
      <c r="B266" s="176" t="str">
        <f>VLOOKUP(A266,kurspris!$A$1:$B$992,2,FALSE)</f>
        <v>Geografididaktik 1</v>
      </c>
      <c r="D266" s="60" t="s">
        <v>482</v>
      </c>
      <c r="E266" s="576" t="s">
        <v>2432</v>
      </c>
      <c r="F266" s="31" t="s">
        <v>2273</v>
      </c>
      <c r="G266" t="s">
        <v>2438</v>
      </c>
      <c r="H266" t="s">
        <v>2335</v>
      </c>
      <c r="J266" s="31" t="s">
        <v>2238</v>
      </c>
      <c r="L266" s="38">
        <v>1</v>
      </c>
      <c r="M266">
        <v>7.5</v>
      </c>
      <c r="P266" s="31">
        <v>3</v>
      </c>
      <c r="Q266" s="196">
        <f>(M266/60)*P266</f>
        <v>0.375</v>
      </c>
      <c r="R266" s="38">
        <v>0.85</v>
      </c>
      <c r="S266" s="280">
        <f t="shared" si="121"/>
        <v>0.31874999999999998</v>
      </c>
      <c r="T266" s="31">
        <f>VLOOKUP(A266,'Ansvar kurs'!$A$1:$C$1123,2,FALSE)</f>
        <v>2500</v>
      </c>
      <c r="U266" s="31" t="str">
        <f>VLOOKUP(T266,Orgenheter!$A$1:$C$166,2,FALSE)</f>
        <v>Geografi</v>
      </c>
      <c r="V266" s="31" t="str">
        <f>VLOOKUP(T266,Orgenheter!$A$1:$C$166,3,FALSE)</f>
        <v>Sam</v>
      </c>
      <c r="W266" s="35" t="str">
        <f>VLOOKUP(D266,Program!$A$1:$B$36,2,FALSE)</f>
        <v>Ämneslärarprogrammet - Gy</v>
      </c>
      <c r="X266" s="40">
        <f>VLOOKUP(A266,kurspris!$A$1:$Q$913,15,FALSE)</f>
        <v>20766</v>
      </c>
      <c r="Y266" s="40">
        <f>VLOOKUP(A266,kurspris!$A$1:$Q$913,16,FALSE)</f>
        <v>17442</v>
      </c>
      <c r="Z266" s="40">
        <f t="shared" si="122"/>
        <v>13346.887500000001</v>
      </c>
      <c r="AA266" s="40">
        <f>VLOOKUP(A266,kurspris!$A$1:$Q$913,17,FALSE)</f>
        <v>6000</v>
      </c>
      <c r="AB266" s="40">
        <f t="shared" si="123"/>
        <v>2250</v>
      </c>
      <c r="AC266" s="40">
        <f t="shared" si="124"/>
        <v>15596.887500000001</v>
      </c>
      <c r="AD266" s="31">
        <f>VLOOKUP($A266,kurspris!$A$1:$Q$950,3,FALSE)</f>
        <v>0</v>
      </c>
      <c r="AE266" s="31">
        <f>VLOOKUP($A266,kurspris!$A$1:$Q$950,4,FALSE)</f>
        <v>0</v>
      </c>
      <c r="AF266" s="31">
        <f>VLOOKUP($A266,kurspris!$A$1:$Q$950,5,FALSE)</f>
        <v>0</v>
      </c>
      <c r="AG266" s="31">
        <f>VLOOKUP($A266,kurspris!$A$1:$Q$950,6,FALSE)</f>
        <v>0</v>
      </c>
      <c r="AH266" s="31">
        <f>VLOOKUP($A266,kurspris!$A$1:$Q$950,7,FALSE)</f>
        <v>0</v>
      </c>
      <c r="AI266" s="31">
        <f>VLOOKUP($A266,kurspris!$A$1:$Q$950,8,FALSE)</f>
        <v>0</v>
      </c>
      <c r="AJ266" s="31">
        <f>VLOOKUP($A266,kurspris!$A$1:$Q$950,9,FALSE)</f>
        <v>1</v>
      </c>
      <c r="AK266" s="31">
        <f>VLOOKUP($A266,kurspris!$A$1:$Q$950,10,FALSE)</f>
        <v>0</v>
      </c>
      <c r="AL266" s="31">
        <f>VLOOKUP($A266,kurspris!$A$1:$Q$950,11,FALSE)</f>
        <v>0</v>
      </c>
      <c r="AM266" s="31">
        <f>VLOOKUP($A266,kurspris!$A$1:$Q$950,12,FALSE)</f>
        <v>0</v>
      </c>
      <c r="AN266" s="31">
        <f>VLOOKUP($A266,kurspris!$A$1:$Q$950,13,FALSE)</f>
        <v>0</v>
      </c>
      <c r="AO266" s="31">
        <f>VLOOKUP($A266,kurspris!$A$1:$Q$950,14,FALSE)</f>
        <v>0</v>
      </c>
      <c r="AP266" s="57" t="s">
        <v>2506</v>
      </c>
      <c r="AQ266"/>
      <c r="AR266" s="31">
        <f t="shared" si="125"/>
        <v>0</v>
      </c>
      <c r="AS266" s="219">
        <f t="shared" si="126"/>
        <v>0</v>
      </c>
      <c r="AT266" s="31">
        <f t="shared" si="127"/>
        <v>0</v>
      </c>
      <c r="AU266" s="219">
        <f t="shared" si="128"/>
        <v>0</v>
      </c>
      <c r="AV266" s="31">
        <f t="shared" si="129"/>
        <v>0</v>
      </c>
      <c r="AW266" s="31">
        <f t="shared" si="130"/>
        <v>0</v>
      </c>
      <c r="AX266" s="31">
        <f t="shared" si="131"/>
        <v>0</v>
      </c>
      <c r="AY266" s="219">
        <f t="shared" si="132"/>
        <v>0</v>
      </c>
      <c r="AZ266" s="196">
        <f t="shared" si="133"/>
        <v>0</v>
      </c>
      <c r="BA266" s="219">
        <f t="shared" si="134"/>
        <v>0</v>
      </c>
      <c r="BB266" s="31">
        <f t="shared" si="135"/>
        <v>0</v>
      </c>
      <c r="BC266" s="219">
        <f t="shared" si="136"/>
        <v>0</v>
      </c>
      <c r="BD266" s="31">
        <f t="shared" si="137"/>
        <v>0.375</v>
      </c>
      <c r="BE266" s="219">
        <f t="shared" si="138"/>
        <v>0.31874999999999998</v>
      </c>
      <c r="BF266" s="31">
        <f t="shared" si="139"/>
        <v>0</v>
      </c>
      <c r="BG266" s="219">
        <f t="shared" si="140"/>
        <v>0</v>
      </c>
      <c r="BH266" s="31">
        <f t="shared" si="141"/>
        <v>0</v>
      </c>
      <c r="BI266" s="219">
        <f t="shared" si="142"/>
        <v>0</v>
      </c>
      <c r="BJ266" s="31">
        <f t="shared" si="143"/>
        <v>0</v>
      </c>
      <c r="BK266" s="219">
        <f t="shared" si="144"/>
        <v>0</v>
      </c>
      <c r="BL266" s="31">
        <f t="shared" si="145"/>
        <v>0</v>
      </c>
      <c r="BM266" s="219">
        <f t="shared" si="146"/>
        <v>0</v>
      </c>
      <c r="BN266" s="31">
        <f t="shared" si="147"/>
        <v>0</v>
      </c>
      <c r="BO266" s="219">
        <f t="shared" si="148"/>
        <v>0</v>
      </c>
    </row>
    <row r="267" spans="1:67" x14ac:dyDescent="0.25">
      <c r="A267" s="31" t="s">
        <v>1984</v>
      </c>
      <c r="B267" s="176" t="str">
        <f>VLOOKUP(A267,kurspris!$A$1:$B$992,2,FALSE)</f>
        <v>Geografididaktik 2</v>
      </c>
      <c r="C267" s="31">
        <v>72907</v>
      </c>
      <c r="D267" s="60" t="s">
        <v>482</v>
      </c>
      <c r="E267" s="60"/>
      <c r="F267" s="57" t="s">
        <v>2274</v>
      </c>
      <c r="H267" s="31" t="s">
        <v>2335</v>
      </c>
      <c r="I267" s="31" t="s">
        <v>2399</v>
      </c>
      <c r="J267" s="31" t="s">
        <v>2231</v>
      </c>
      <c r="L267" s="38"/>
      <c r="M267">
        <v>7.5</v>
      </c>
      <c r="P267" s="31">
        <v>1</v>
      </c>
      <c r="Q267" s="539">
        <v>0.125</v>
      </c>
      <c r="R267" s="38">
        <v>0.85</v>
      </c>
      <c r="S267" s="280">
        <f t="shared" si="121"/>
        <v>0.10625</v>
      </c>
      <c r="T267" s="31">
        <f>VLOOKUP(A267,'Ansvar kurs'!$A$1:$C$1123,2,FALSE)</f>
        <v>2500</v>
      </c>
      <c r="U267" s="31" t="str">
        <f>VLOOKUP(T267,Orgenheter!$A$1:$C$166,2,FALSE)</f>
        <v>Geografi</v>
      </c>
      <c r="V267" s="31" t="str">
        <f>VLOOKUP(T267,Orgenheter!$A$1:$C$166,3,FALSE)</f>
        <v>Sam</v>
      </c>
      <c r="W267" s="35" t="str">
        <f>VLOOKUP(D267,Program!$A$1:$B$36,2,FALSE)</f>
        <v>Ämneslärarprogrammet - Gy</v>
      </c>
      <c r="X267" s="40">
        <f>VLOOKUP(A267,kurspris!$A$1:$Q$913,15,FALSE)</f>
        <v>20766</v>
      </c>
      <c r="Y267" s="40">
        <f>VLOOKUP(A267,kurspris!$A$1:$Q$913,16,FALSE)</f>
        <v>17442</v>
      </c>
      <c r="Z267" s="40">
        <f t="shared" si="122"/>
        <v>4448.9624999999996</v>
      </c>
      <c r="AA267" s="40">
        <f>VLOOKUP(A267,kurspris!$A$1:$Q$913,17,FALSE)</f>
        <v>6000</v>
      </c>
      <c r="AB267" s="40">
        <f t="shared" si="123"/>
        <v>750</v>
      </c>
      <c r="AC267" s="40">
        <f t="shared" si="124"/>
        <v>5198.9624999999996</v>
      </c>
      <c r="AD267" s="31">
        <f>VLOOKUP($A267,kurspris!$A$1:$Q$950,3,FALSE)</f>
        <v>0</v>
      </c>
      <c r="AE267" s="31">
        <f>VLOOKUP($A267,kurspris!$A$1:$Q$950,4,FALSE)</f>
        <v>0</v>
      </c>
      <c r="AF267" s="31">
        <f>VLOOKUP($A267,kurspris!$A$1:$Q$950,5,FALSE)</f>
        <v>0</v>
      </c>
      <c r="AG267" s="31">
        <f>VLOOKUP($A267,kurspris!$A$1:$Q$950,6,FALSE)</f>
        <v>0</v>
      </c>
      <c r="AH267" s="31">
        <f>VLOOKUP($A267,kurspris!$A$1:$Q$950,7,FALSE)</f>
        <v>0</v>
      </c>
      <c r="AI267" s="31">
        <f>VLOOKUP($A267,kurspris!$A$1:$Q$950,8,FALSE)</f>
        <v>0</v>
      </c>
      <c r="AJ267" s="31">
        <f>VLOOKUP($A267,kurspris!$A$1:$Q$950,9,FALSE)</f>
        <v>1</v>
      </c>
      <c r="AK267" s="31">
        <f>VLOOKUP($A267,kurspris!$A$1:$Q$950,10,FALSE)</f>
        <v>0</v>
      </c>
      <c r="AL267" s="31">
        <f>VLOOKUP($A267,kurspris!$A$1:$Q$950,11,FALSE)</f>
        <v>0</v>
      </c>
      <c r="AM267" s="31">
        <f>VLOOKUP($A267,kurspris!$A$1:$Q$950,12,FALSE)</f>
        <v>0</v>
      </c>
      <c r="AN267" s="31">
        <f>VLOOKUP($A267,kurspris!$A$1:$Q$950,13,FALSE)</f>
        <v>0</v>
      </c>
      <c r="AO267" s="31">
        <f>VLOOKUP($A267,kurspris!$A$1:$Q$950,14,FALSE)</f>
        <v>0</v>
      </c>
      <c r="AP267" s="57" t="s">
        <v>2402</v>
      </c>
      <c r="AQ267"/>
      <c r="AR267" s="31">
        <f t="shared" si="125"/>
        <v>0</v>
      </c>
      <c r="AS267" s="219">
        <f t="shared" si="126"/>
        <v>0</v>
      </c>
      <c r="AT267" s="31">
        <f t="shared" si="127"/>
        <v>0</v>
      </c>
      <c r="AU267" s="219">
        <f t="shared" si="128"/>
        <v>0</v>
      </c>
      <c r="AV267" s="31">
        <f t="shared" si="129"/>
        <v>0</v>
      </c>
      <c r="AW267" s="31">
        <f t="shared" si="130"/>
        <v>0</v>
      </c>
      <c r="AX267" s="31">
        <f t="shared" si="131"/>
        <v>0</v>
      </c>
      <c r="AY267" s="219">
        <f t="shared" si="132"/>
        <v>0</v>
      </c>
      <c r="AZ267" s="196">
        <f t="shared" si="133"/>
        <v>0</v>
      </c>
      <c r="BA267" s="219">
        <f t="shared" si="134"/>
        <v>0</v>
      </c>
      <c r="BB267" s="31">
        <f t="shared" si="135"/>
        <v>0</v>
      </c>
      <c r="BC267" s="219">
        <f t="shared" si="136"/>
        <v>0</v>
      </c>
      <c r="BD267" s="31">
        <f t="shared" si="137"/>
        <v>0.125</v>
      </c>
      <c r="BE267" s="219">
        <f t="shared" si="138"/>
        <v>0.10625</v>
      </c>
      <c r="BF267" s="31">
        <f t="shared" si="139"/>
        <v>0</v>
      </c>
      <c r="BG267" s="219">
        <f t="shared" si="140"/>
        <v>0</v>
      </c>
      <c r="BH267" s="31">
        <f t="shared" si="141"/>
        <v>0</v>
      </c>
      <c r="BI267" s="219">
        <f t="shared" si="142"/>
        <v>0</v>
      </c>
      <c r="BJ267" s="31">
        <f t="shared" si="143"/>
        <v>0</v>
      </c>
      <c r="BK267" s="219">
        <f t="shared" si="144"/>
        <v>0</v>
      </c>
      <c r="BL267" s="31">
        <f t="shared" si="145"/>
        <v>0</v>
      </c>
      <c r="BM267" s="219">
        <f t="shared" si="146"/>
        <v>0</v>
      </c>
      <c r="BN267" s="31">
        <f t="shared" si="147"/>
        <v>0</v>
      </c>
      <c r="BO267" s="219">
        <f t="shared" si="148"/>
        <v>0</v>
      </c>
    </row>
    <row r="268" spans="1:67" x14ac:dyDescent="0.25">
      <c r="A268" s="31" t="s">
        <v>1984</v>
      </c>
      <c r="B268" s="176" t="str">
        <f>VLOOKUP(A268,kurspris!$A$1:$B$992,2,FALSE)</f>
        <v>Geografididaktik 2</v>
      </c>
      <c r="C268" s="31">
        <v>72907</v>
      </c>
      <c r="D268" s="60" t="s">
        <v>482</v>
      </c>
      <c r="E268" s="60"/>
      <c r="F268" s="57" t="s">
        <v>2274</v>
      </c>
      <c r="H268" s="31" t="s">
        <v>2335</v>
      </c>
      <c r="I268" s="31" t="s">
        <v>2399</v>
      </c>
      <c r="J268" s="31" t="s">
        <v>2238</v>
      </c>
      <c r="L268" s="38"/>
      <c r="M268">
        <v>7.5</v>
      </c>
      <c r="P268" s="31">
        <v>3</v>
      </c>
      <c r="Q268" s="539">
        <v>0.375</v>
      </c>
      <c r="R268" s="38">
        <v>0.85</v>
      </c>
      <c r="S268" s="280">
        <f t="shared" si="121"/>
        <v>0.31874999999999998</v>
      </c>
      <c r="T268" s="31">
        <f>VLOOKUP(A268,'Ansvar kurs'!$A$1:$C$1123,2,FALSE)</f>
        <v>2500</v>
      </c>
      <c r="U268" s="31" t="str">
        <f>VLOOKUP(T268,Orgenheter!$A$1:$C$166,2,FALSE)</f>
        <v>Geografi</v>
      </c>
      <c r="V268" s="31" t="str">
        <f>VLOOKUP(T268,Orgenheter!$A$1:$C$166,3,FALSE)</f>
        <v>Sam</v>
      </c>
      <c r="W268" s="35" t="str">
        <f>VLOOKUP(D268,Program!$A$1:$B$36,2,FALSE)</f>
        <v>Ämneslärarprogrammet - Gy</v>
      </c>
      <c r="X268" s="40">
        <f>VLOOKUP(A268,kurspris!$A$1:$Q$913,15,FALSE)</f>
        <v>20766</v>
      </c>
      <c r="Y268" s="40">
        <f>VLOOKUP(A268,kurspris!$A$1:$Q$913,16,FALSE)</f>
        <v>17442</v>
      </c>
      <c r="Z268" s="40">
        <f t="shared" si="122"/>
        <v>13346.887500000001</v>
      </c>
      <c r="AA268" s="40">
        <f>VLOOKUP(A268,kurspris!$A$1:$Q$913,17,FALSE)</f>
        <v>6000</v>
      </c>
      <c r="AB268" s="40">
        <f t="shared" si="123"/>
        <v>2250</v>
      </c>
      <c r="AC268" s="40">
        <f t="shared" si="124"/>
        <v>15596.887500000001</v>
      </c>
      <c r="AD268" s="31">
        <f>VLOOKUP($A268,kurspris!$A$1:$Q$950,3,FALSE)</f>
        <v>0</v>
      </c>
      <c r="AE268" s="31">
        <f>VLOOKUP($A268,kurspris!$A$1:$Q$950,4,FALSE)</f>
        <v>0</v>
      </c>
      <c r="AF268" s="31">
        <f>VLOOKUP($A268,kurspris!$A$1:$Q$950,5,FALSE)</f>
        <v>0</v>
      </c>
      <c r="AG268" s="31">
        <f>VLOOKUP($A268,kurspris!$A$1:$Q$950,6,FALSE)</f>
        <v>0</v>
      </c>
      <c r="AH268" s="31">
        <f>VLOOKUP($A268,kurspris!$A$1:$Q$950,7,FALSE)</f>
        <v>0</v>
      </c>
      <c r="AI268" s="31">
        <f>VLOOKUP($A268,kurspris!$A$1:$Q$950,8,FALSE)</f>
        <v>0</v>
      </c>
      <c r="AJ268" s="31">
        <f>VLOOKUP($A268,kurspris!$A$1:$Q$950,9,FALSE)</f>
        <v>1</v>
      </c>
      <c r="AK268" s="31">
        <f>VLOOKUP($A268,kurspris!$A$1:$Q$950,10,FALSE)</f>
        <v>0</v>
      </c>
      <c r="AL268" s="31">
        <f>VLOOKUP($A268,kurspris!$A$1:$Q$950,11,FALSE)</f>
        <v>0</v>
      </c>
      <c r="AM268" s="31">
        <f>VLOOKUP($A268,kurspris!$A$1:$Q$950,12,FALSE)</f>
        <v>0</v>
      </c>
      <c r="AN268" s="31">
        <f>VLOOKUP($A268,kurspris!$A$1:$Q$950,13,FALSE)</f>
        <v>0</v>
      </c>
      <c r="AO268" s="31">
        <f>VLOOKUP($A268,kurspris!$A$1:$Q$950,14,FALSE)</f>
        <v>0</v>
      </c>
      <c r="AP268" s="57" t="s">
        <v>2402</v>
      </c>
      <c r="AQ268"/>
      <c r="AR268" s="31">
        <f t="shared" si="125"/>
        <v>0</v>
      </c>
      <c r="AS268" s="219">
        <f t="shared" si="126"/>
        <v>0</v>
      </c>
      <c r="AT268" s="31">
        <f t="shared" si="127"/>
        <v>0</v>
      </c>
      <c r="AU268" s="219">
        <f t="shared" si="128"/>
        <v>0</v>
      </c>
      <c r="AV268" s="31">
        <f t="shared" si="129"/>
        <v>0</v>
      </c>
      <c r="AW268" s="31">
        <f t="shared" si="130"/>
        <v>0</v>
      </c>
      <c r="AX268" s="31">
        <f t="shared" si="131"/>
        <v>0</v>
      </c>
      <c r="AY268" s="219">
        <f t="shared" si="132"/>
        <v>0</v>
      </c>
      <c r="AZ268" s="196">
        <f t="shared" si="133"/>
        <v>0</v>
      </c>
      <c r="BA268" s="219">
        <f t="shared" si="134"/>
        <v>0</v>
      </c>
      <c r="BB268" s="31">
        <f t="shared" si="135"/>
        <v>0</v>
      </c>
      <c r="BC268" s="219">
        <f t="shared" si="136"/>
        <v>0</v>
      </c>
      <c r="BD268" s="31">
        <f t="shared" si="137"/>
        <v>0.375</v>
      </c>
      <c r="BE268" s="219">
        <f t="shared" si="138"/>
        <v>0.31874999999999998</v>
      </c>
      <c r="BF268" s="31">
        <f t="shared" si="139"/>
        <v>0</v>
      </c>
      <c r="BG268" s="219">
        <f t="shared" si="140"/>
        <v>0</v>
      </c>
      <c r="BH268" s="31">
        <f t="shared" si="141"/>
        <v>0</v>
      </c>
      <c r="BI268" s="219">
        <f t="shared" si="142"/>
        <v>0</v>
      </c>
      <c r="BJ268" s="31">
        <f t="shared" si="143"/>
        <v>0</v>
      </c>
      <c r="BK268" s="219">
        <f t="shared" si="144"/>
        <v>0</v>
      </c>
      <c r="BL268" s="31">
        <f t="shared" si="145"/>
        <v>0</v>
      </c>
      <c r="BM268" s="219">
        <f t="shared" si="146"/>
        <v>0</v>
      </c>
      <c r="BN268" s="31">
        <f t="shared" si="147"/>
        <v>0</v>
      </c>
      <c r="BO268" s="219">
        <f t="shared" si="148"/>
        <v>0</v>
      </c>
    </row>
    <row r="269" spans="1:67" x14ac:dyDescent="0.25">
      <c r="A269" s="31" t="s">
        <v>1984</v>
      </c>
      <c r="B269" s="176" t="str">
        <f>VLOOKUP(A269,kurspris!$A$1:$B$992,2,FALSE)</f>
        <v>Geografididaktik 2</v>
      </c>
      <c r="C269" s="31">
        <v>72907</v>
      </c>
      <c r="D269" s="60" t="s">
        <v>482</v>
      </c>
      <c r="E269" s="60"/>
      <c r="F269" s="57" t="s">
        <v>2274</v>
      </c>
      <c r="H269" s="31" t="s">
        <v>2335</v>
      </c>
      <c r="I269" s="31" t="s">
        <v>2399</v>
      </c>
      <c r="J269" s="31" t="s">
        <v>2241</v>
      </c>
      <c r="L269" s="38"/>
      <c r="M269">
        <v>7.5</v>
      </c>
      <c r="P269" s="31">
        <v>2</v>
      </c>
      <c r="Q269" s="539">
        <v>0.25</v>
      </c>
      <c r="R269" s="38">
        <v>0.85</v>
      </c>
      <c r="S269" s="280">
        <f t="shared" si="121"/>
        <v>0.21249999999999999</v>
      </c>
      <c r="T269" s="31">
        <f>VLOOKUP(A269,'Ansvar kurs'!$A$1:$C$1123,2,FALSE)</f>
        <v>2500</v>
      </c>
      <c r="U269" s="31" t="str">
        <f>VLOOKUP(T269,Orgenheter!$A$1:$C$166,2,FALSE)</f>
        <v>Geografi</v>
      </c>
      <c r="V269" s="31" t="str">
        <f>VLOOKUP(T269,Orgenheter!$A$1:$C$166,3,FALSE)</f>
        <v>Sam</v>
      </c>
      <c r="W269" s="35" t="str">
        <f>VLOOKUP(D269,Program!$A$1:$B$36,2,FALSE)</f>
        <v>Ämneslärarprogrammet - Gy</v>
      </c>
      <c r="X269" s="40">
        <f>VLOOKUP(A269,kurspris!$A$1:$Q$913,15,FALSE)</f>
        <v>20766</v>
      </c>
      <c r="Y269" s="40">
        <f>VLOOKUP(A269,kurspris!$A$1:$Q$913,16,FALSE)</f>
        <v>17442</v>
      </c>
      <c r="Z269" s="40">
        <f t="shared" si="122"/>
        <v>8897.9249999999993</v>
      </c>
      <c r="AA269" s="40">
        <f>VLOOKUP(A269,kurspris!$A$1:$Q$913,17,FALSE)</f>
        <v>6000</v>
      </c>
      <c r="AB269" s="40">
        <f t="shared" si="123"/>
        <v>1500</v>
      </c>
      <c r="AC269" s="40">
        <f t="shared" si="124"/>
        <v>10397.924999999999</v>
      </c>
      <c r="AD269" s="31">
        <f>VLOOKUP($A269,kurspris!$A$1:$Q$950,3,FALSE)</f>
        <v>0</v>
      </c>
      <c r="AE269" s="31">
        <f>VLOOKUP($A269,kurspris!$A$1:$Q$950,4,FALSE)</f>
        <v>0</v>
      </c>
      <c r="AF269" s="31">
        <f>VLOOKUP($A269,kurspris!$A$1:$Q$950,5,FALSE)</f>
        <v>0</v>
      </c>
      <c r="AG269" s="31">
        <f>VLOOKUP($A269,kurspris!$A$1:$Q$950,6,FALSE)</f>
        <v>0</v>
      </c>
      <c r="AH269" s="31">
        <f>VLOOKUP($A269,kurspris!$A$1:$Q$950,7,FALSE)</f>
        <v>0</v>
      </c>
      <c r="AI269" s="31">
        <f>VLOOKUP($A269,kurspris!$A$1:$Q$950,8,FALSE)</f>
        <v>0</v>
      </c>
      <c r="AJ269" s="31">
        <f>VLOOKUP($A269,kurspris!$A$1:$Q$950,9,FALSE)</f>
        <v>1</v>
      </c>
      <c r="AK269" s="31">
        <f>VLOOKUP($A269,kurspris!$A$1:$Q$950,10,FALSE)</f>
        <v>0</v>
      </c>
      <c r="AL269" s="31">
        <f>VLOOKUP($A269,kurspris!$A$1:$Q$950,11,FALSE)</f>
        <v>0</v>
      </c>
      <c r="AM269" s="31">
        <f>VLOOKUP($A269,kurspris!$A$1:$Q$950,12,FALSE)</f>
        <v>0</v>
      </c>
      <c r="AN269" s="31">
        <f>VLOOKUP($A269,kurspris!$A$1:$Q$950,13,FALSE)</f>
        <v>0</v>
      </c>
      <c r="AO269" s="31">
        <f>VLOOKUP($A269,kurspris!$A$1:$Q$950,14,FALSE)</f>
        <v>0</v>
      </c>
      <c r="AP269" s="57" t="s">
        <v>2402</v>
      </c>
      <c r="AQ269"/>
      <c r="AR269" s="31">
        <f t="shared" si="125"/>
        <v>0</v>
      </c>
      <c r="AS269" s="219">
        <f t="shared" si="126"/>
        <v>0</v>
      </c>
      <c r="AT269" s="31">
        <f t="shared" si="127"/>
        <v>0</v>
      </c>
      <c r="AU269" s="219">
        <f t="shared" si="128"/>
        <v>0</v>
      </c>
      <c r="AV269" s="31">
        <f t="shared" si="129"/>
        <v>0</v>
      </c>
      <c r="AW269" s="31">
        <f t="shared" si="130"/>
        <v>0</v>
      </c>
      <c r="AX269" s="31">
        <f t="shared" si="131"/>
        <v>0</v>
      </c>
      <c r="AY269" s="219">
        <f t="shared" si="132"/>
        <v>0</v>
      </c>
      <c r="AZ269" s="196">
        <f t="shared" si="133"/>
        <v>0</v>
      </c>
      <c r="BA269" s="219">
        <f t="shared" si="134"/>
        <v>0</v>
      </c>
      <c r="BB269" s="31">
        <f t="shared" si="135"/>
        <v>0</v>
      </c>
      <c r="BC269" s="219">
        <f t="shared" si="136"/>
        <v>0</v>
      </c>
      <c r="BD269" s="31">
        <f t="shared" si="137"/>
        <v>0.25</v>
      </c>
      <c r="BE269" s="219">
        <f t="shared" si="138"/>
        <v>0.21249999999999999</v>
      </c>
      <c r="BF269" s="31">
        <f t="shared" si="139"/>
        <v>0</v>
      </c>
      <c r="BG269" s="219">
        <f t="shared" si="140"/>
        <v>0</v>
      </c>
      <c r="BH269" s="31">
        <f t="shared" si="141"/>
        <v>0</v>
      </c>
      <c r="BI269" s="219">
        <f t="shared" si="142"/>
        <v>0</v>
      </c>
      <c r="BJ269" s="31">
        <f t="shared" si="143"/>
        <v>0</v>
      </c>
      <c r="BK269" s="219">
        <f t="shared" si="144"/>
        <v>0</v>
      </c>
      <c r="BL269" s="31">
        <f t="shared" si="145"/>
        <v>0</v>
      </c>
      <c r="BM269" s="219">
        <f t="shared" si="146"/>
        <v>0</v>
      </c>
      <c r="BN269" s="31">
        <f t="shared" si="147"/>
        <v>0</v>
      </c>
      <c r="BO269" s="219">
        <f t="shared" si="148"/>
        <v>0</v>
      </c>
    </row>
    <row r="270" spans="1:67" x14ac:dyDescent="0.25">
      <c r="A270" s="31" t="s">
        <v>2028</v>
      </c>
      <c r="B270" s="176" t="str">
        <f>VLOOKUP(A270,kurspris!$A$1:$B$992,2,FALSE)</f>
        <v>Att undervisa i geografi (VFU)</v>
      </c>
      <c r="D270" s="60" t="s">
        <v>482</v>
      </c>
      <c r="E270" s="576" t="s">
        <v>2434</v>
      </c>
      <c r="F270" s="31" t="s">
        <v>2273</v>
      </c>
      <c r="G270" t="s">
        <v>2444</v>
      </c>
      <c r="H270" t="s">
        <v>2335</v>
      </c>
      <c r="J270" s="31" t="s">
        <v>2231</v>
      </c>
      <c r="L270" s="38">
        <v>1</v>
      </c>
      <c r="M270">
        <v>6</v>
      </c>
      <c r="P270" s="31">
        <v>1</v>
      </c>
      <c r="Q270" s="196">
        <f>(M270/60)*P270</f>
        <v>0.1</v>
      </c>
      <c r="R270" s="38">
        <v>0.85</v>
      </c>
      <c r="S270" s="280">
        <f t="shared" si="121"/>
        <v>8.5000000000000006E-2</v>
      </c>
      <c r="T270" s="31">
        <f>VLOOKUP(A270,'Ansvar kurs'!$A$1:$C$1123,2,FALSE)</f>
        <v>2500</v>
      </c>
      <c r="U270" s="31" t="str">
        <f>VLOOKUP(T270,Orgenheter!$A$1:$C$166,2,FALSE)</f>
        <v>Geografi</v>
      </c>
      <c r="V270" s="31" t="str">
        <f>VLOOKUP(T270,Orgenheter!$A$1:$C$166,3,FALSE)</f>
        <v>Sam</v>
      </c>
      <c r="W270" s="35" t="str">
        <f>VLOOKUP(D270,Program!$A$1:$B$36,2,FALSE)</f>
        <v>Ämneslärarprogrammet - Gy</v>
      </c>
      <c r="X270" s="40">
        <f>VLOOKUP(A270,kurspris!$A$1:$Q$913,15,FALSE)</f>
        <v>25235</v>
      </c>
      <c r="Y270" s="40">
        <f>VLOOKUP(A270,kurspris!$A$1:$Q$913,16,FALSE)</f>
        <v>27976</v>
      </c>
      <c r="Z270" s="40">
        <f t="shared" si="122"/>
        <v>4901.46</v>
      </c>
      <c r="AA270" s="40">
        <f>VLOOKUP(A270,kurspris!$A$1:$Q$913,17,FALSE)</f>
        <v>3600</v>
      </c>
      <c r="AB270" s="40">
        <f t="shared" si="123"/>
        <v>360</v>
      </c>
      <c r="AC270" s="40">
        <f t="shared" si="124"/>
        <v>5261.46</v>
      </c>
      <c r="AD270" s="31">
        <f>VLOOKUP($A270,kurspris!$A$1:$Q$950,3,FALSE)</f>
        <v>0</v>
      </c>
      <c r="AE270" s="31">
        <f>VLOOKUP($A270,kurspris!$A$1:$Q$950,4,FALSE)</f>
        <v>0</v>
      </c>
      <c r="AF270" s="31">
        <f>VLOOKUP($A270,kurspris!$A$1:$Q$950,5,FALSE)</f>
        <v>0</v>
      </c>
      <c r="AG270" s="31">
        <f>VLOOKUP($A270,kurspris!$A$1:$Q$950,6,FALSE)</f>
        <v>0</v>
      </c>
      <c r="AH270" s="31">
        <f>VLOOKUP($A270,kurspris!$A$1:$Q$950,7,FALSE)</f>
        <v>0</v>
      </c>
      <c r="AI270" s="31">
        <f>VLOOKUP($A270,kurspris!$A$1:$Q$950,8,FALSE)</f>
        <v>0</v>
      </c>
      <c r="AJ270" s="31">
        <f>VLOOKUP($A270,kurspris!$A$1:$Q$950,9,FALSE)</f>
        <v>0</v>
      </c>
      <c r="AK270" s="31">
        <f>VLOOKUP($A270,kurspris!$A$1:$Q$950,10,FALSE)</f>
        <v>0</v>
      </c>
      <c r="AL270" s="31">
        <f>VLOOKUP($A270,kurspris!$A$1:$Q$950,11,FALSE)</f>
        <v>1</v>
      </c>
      <c r="AM270" s="31">
        <f>VLOOKUP($A270,kurspris!$A$1:$Q$950,12,FALSE)</f>
        <v>0</v>
      </c>
      <c r="AN270" s="31">
        <f>VLOOKUP($A270,kurspris!$A$1:$Q$950,13,FALSE)</f>
        <v>0</v>
      </c>
      <c r="AO270" s="31">
        <f>VLOOKUP($A270,kurspris!$A$1:$Q$950,14,FALSE)</f>
        <v>0</v>
      </c>
      <c r="AP270" s="57" t="s">
        <v>2506</v>
      </c>
      <c r="AQ270"/>
      <c r="AR270" s="31">
        <f t="shared" si="125"/>
        <v>0</v>
      </c>
      <c r="AS270" s="219">
        <f t="shared" si="126"/>
        <v>0</v>
      </c>
      <c r="AT270" s="31">
        <f t="shared" si="127"/>
        <v>0</v>
      </c>
      <c r="AU270" s="219">
        <f t="shared" si="128"/>
        <v>0</v>
      </c>
      <c r="AV270" s="31">
        <f t="shared" si="129"/>
        <v>0</v>
      </c>
      <c r="AW270" s="31">
        <f t="shared" si="130"/>
        <v>0</v>
      </c>
      <c r="AX270" s="31">
        <f t="shared" si="131"/>
        <v>0</v>
      </c>
      <c r="AY270" s="219">
        <f t="shared" si="132"/>
        <v>0</v>
      </c>
      <c r="AZ270" s="196">
        <f t="shared" si="133"/>
        <v>0</v>
      </c>
      <c r="BA270" s="219">
        <f t="shared" si="134"/>
        <v>0</v>
      </c>
      <c r="BB270" s="31">
        <f t="shared" si="135"/>
        <v>0</v>
      </c>
      <c r="BC270" s="219">
        <f t="shared" si="136"/>
        <v>0</v>
      </c>
      <c r="BD270" s="31">
        <f t="shared" si="137"/>
        <v>0</v>
      </c>
      <c r="BE270" s="219">
        <f t="shared" si="138"/>
        <v>0</v>
      </c>
      <c r="BF270" s="31">
        <f t="shared" si="139"/>
        <v>0</v>
      </c>
      <c r="BG270" s="219">
        <f t="shared" si="140"/>
        <v>0</v>
      </c>
      <c r="BH270" s="31">
        <f t="shared" si="141"/>
        <v>0.1</v>
      </c>
      <c r="BI270" s="219">
        <f t="shared" si="142"/>
        <v>8.5000000000000006E-2</v>
      </c>
      <c r="BJ270" s="31">
        <f t="shared" si="143"/>
        <v>0</v>
      </c>
      <c r="BK270" s="219">
        <f t="shared" si="144"/>
        <v>0</v>
      </c>
      <c r="BL270" s="31">
        <f t="shared" si="145"/>
        <v>0</v>
      </c>
      <c r="BM270" s="219">
        <f t="shared" si="146"/>
        <v>0</v>
      </c>
      <c r="BN270" s="31">
        <f t="shared" si="147"/>
        <v>0</v>
      </c>
      <c r="BO270" s="219">
        <f t="shared" si="148"/>
        <v>0</v>
      </c>
    </row>
    <row r="271" spans="1:67" x14ac:dyDescent="0.25">
      <c r="A271" s="31" t="s">
        <v>2028</v>
      </c>
      <c r="B271" s="176" t="str">
        <f>VLOOKUP(A271,kurspris!$A$1:$B$992,2,FALSE)</f>
        <v>Att undervisa i geografi (VFU)</v>
      </c>
      <c r="D271" s="60" t="s">
        <v>482</v>
      </c>
      <c r="E271" s="576" t="s">
        <v>2434</v>
      </c>
      <c r="F271" s="31" t="s">
        <v>2273</v>
      </c>
      <c r="G271" t="s">
        <v>2444</v>
      </c>
      <c r="H271" t="s">
        <v>2335</v>
      </c>
      <c r="J271" s="31" t="s">
        <v>2238</v>
      </c>
      <c r="L271" s="38">
        <v>1</v>
      </c>
      <c r="M271">
        <v>6</v>
      </c>
      <c r="P271" s="31">
        <v>2</v>
      </c>
      <c r="Q271" s="196">
        <f>(M271/60)*P271</f>
        <v>0.2</v>
      </c>
      <c r="R271" s="38">
        <v>0.85</v>
      </c>
      <c r="S271" s="280">
        <f t="shared" si="121"/>
        <v>0.17</v>
      </c>
      <c r="T271" s="31">
        <f>VLOOKUP(A271,'Ansvar kurs'!$A$1:$C$1123,2,FALSE)</f>
        <v>2500</v>
      </c>
      <c r="U271" s="31" t="str">
        <f>VLOOKUP(T271,Orgenheter!$A$1:$C$166,2,FALSE)</f>
        <v>Geografi</v>
      </c>
      <c r="V271" s="31" t="str">
        <f>VLOOKUP(T271,Orgenheter!$A$1:$C$166,3,FALSE)</f>
        <v>Sam</v>
      </c>
      <c r="W271" s="35" t="str">
        <f>VLOOKUP(D271,Program!$A$1:$B$36,2,FALSE)</f>
        <v>Ämneslärarprogrammet - Gy</v>
      </c>
      <c r="X271" s="40">
        <f>VLOOKUP(A271,kurspris!$A$1:$Q$913,15,FALSE)</f>
        <v>25235</v>
      </c>
      <c r="Y271" s="40">
        <f>VLOOKUP(A271,kurspris!$A$1:$Q$913,16,FALSE)</f>
        <v>27976</v>
      </c>
      <c r="Z271" s="40">
        <f t="shared" si="122"/>
        <v>9802.92</v>
      </c>
      <c r="AA271" s="40">
        <f>VLOOKUP(A271,kurspris!$A$1:$Q$913,17,FALSE)</f>
        <v>3600</v>
      </c>
      <c r="AB271" s="40">
        <f t="shared" si="123"/>
        <v>720</v>
      </c>
      <c r="AC271" s="40">
        <f t="shared" si="124"/>
        <v>10522.92</v>
      </c>
      <c r="AD271" s="31">
        <f>VLOOKUP($A271,kurspris!$A$1:$Q$950,3,FALSE)</f>
        <v>0</v>
      </c>
      <c r="AE271" s="31">
        <f>VLOOKUP($A271,kurspris!$A$1:$Q$950,4,FALSE)</f>
        <v>0</v>
      </c>
      <c r="AF271" s="31">
        <f>VLOOKUP($A271,kurspris!$A$1:$Q$950,5,FALSE)</f>
        <v>0</v>
      </c>
      <c r="AG271" s="31">
        <f>VLOOKUP($A271,kurspris!$A$1:$Q$950,6,FALSE)</f>
        <v>0</v>
      </c>
      <c r="AH271" s="31">
        <f>VLOOKUP($A271,kurspris!$A$1:$Q$950,7,FALSE)</f>
        <v>0</v>
      </c>
      <c r="AI271" s="31">
        <f>VLOOKUP($A271,kurspris!$A$1:$Q$950,8,FALSE)</f>
        <v>0</v>
      </c>
      <c r="AJ271" s="31">
        <f>VLOOKUP($A271,kurspris!$A$1:$Q$950,9,FALSE)</f>
        <v>0</v>
      </c>
      <c r="AK271" s="31">
        <f>VLOOKUP($A271,kurspris!$A$1:$Q$950,10,FALSE)</f>
        <v>0</v>
      </c>
      <c r="AL271" s="31">
        <f>VLOOKUP($A271,kurspris!$A$1:$Q$950,11,FALSE)</f>
        <v>1</v>
      </c>
      <c r="AM271" s="31">
        <f>VLOOKUP($A271,kurspris!$A$1:$Q$950,12,FALSE)</f>
        <v>0</v>
      </c>
      <c r="AN271" s="31">
        <f>VLOOKUP($A271,kurspris!$A$1:$Q$950,13,FALSE)</f>
        <v>0</v>
      </c>
      <c r="AO271" s="31">
        <f>VLOOKUP($A271,kurspris!$A$1:$Q$950,14,FALSE)</f>
        <v>0</v>
      </c>
      <c r="AP271" s="57" t="s">
        <v>2506</v>
      </c>
      <c r="AQ271"/>
      <c r="AR271" s="31">
        <f t="shared" si="125"/>
        <v>0</v>
      </c>
      <c r="AS271" s="219">
        <f t="shared" si="126"/>
        <v>0</v>
      </c>
      <c r="AT271" s="31">
        <f t="shared" si="127"/>
        <v>0</v>
      </c>
      <c r="AU271" s="219">
        <f t="shared" si="128"/>
        <v>0</v>
      </c>
      <c r="AV271" s="31">
        <f t="shared" si="129"/>
        <v>0</v>
      </c>
      <c r="AW271" s="31">
        <f t="shared" si="130"/>
        <v>0</v>
      </c>
      <c r="AX271" s="31">
        <f t="shared" si="131"/>
        <v>0</v>
      </c>
      <c r="AY271" s="219">
        <f t="shared" si="132"/>
        <v>0</v>
      </c>
      <c r="AZ271" s="196">
        <f t="shared" si="133"/>
        <v>0</v>
      </c>
      <c r="BA271" s="219">
        <f t="shared" si="134"/>
        <v>0</v>
      </c>
      <c r="BB271" s="31">
        <f t="shared" si="135"/>
        <v>0</v>
      </c>
      <c r="BC271" s="219">
        <f t="shared" si="136"/>
        <v>0</v>
      </c>
      <c r="BD271" s="31">
        <f t="shared" si="137"/>
        <v>0</v>
      </c>
      <c r="BE271" s="219">
        <f t="shared" si="138"/>
        <v>0</v>
      </c>
      <c r="BF271" s="31">
        <f t="shared" si="139"/>
        <v>0</v>
      </c>
      <c r="BG271" s="219">
        <f t="shared" si="140"/>
        <v>0</v>
      </c>
      <c r="BH271" s="31">
        <f t="shared" si="141"/>
        <v>0.2</v>
      </c>
      <c r="BI271" s="219">
        <f t="shared" si="142"/>
        <v>0.17</v>
      </c>
      <c r="BJ271" s="31">
        <f t="shared" si="143"/>
        <v>0</v>
      </c>
      <c r="BK271" s="219">
        <f t="shared" si="144"/>
        <v>0</v>
      </c>
      <c r="BL271" s="31">
        <f t="shared" si="145"/>
        <v>0</v>
      </c>
      <c r="BM271" s="219">
        <f t="shared" si="146"/>
        <v>0</v>
      </c>
      <c r="BN271" s="31">
        <f t="shared" si="147"/>
        <v>0</v>
      </c>
      <c r="BO271" s="219">
        <f t="shared" si="148"/>
        <v>0</v>
      </c>
    </row>
    <row r="272" spans="1:67" x14ac:dyDescent="0.25">
      <c r="A272" s="31" t="s">
        <v>2341</v>
      </c>
      <c r="B272" s="176" t="str">
        <f>VLOOKUP(A272,kurspris!$A$1:$B$992,2,FALSE)</f>
        <v>Geografi - landskap och hållbar utveckling</v>
      </c>
      <c r="C272" s="31">
        <v>72900</v>
      </c>
      <c r="D272" s="60" t="s">
        <v>482</v>
      </c>
      <c r="E272" s="60"/>
      <c r="F272" s="57" t="s">
        <v>2274</v>
      </c>
      <c r="H272" s="31" t="s">
        <v>2335</v>
      </c>
      <c r="I272" s="31" t="s">
        <v>2399</v>
      </c>
      <c r="J272" s="31" t="s">
        <v>2231</v>
      </c>
      <c r="L272" s="38"/>
      <c r="M272">
        <v>7.5</v>
      </c>
      <c r="P272" s="31">
        <v>1</v>
      </c>
      <c r="Q272" s="539">
        <v>0.125</v>
      </c>
      <c r="R272" s="38">
        <v>0.85</v>
      </c>
      <c r="S272" s="280">
        <f t="shared" si="121"/>
        <v>0.10625</v>
      </c>
      <c r="T272" s="31">
        <f>VLOOKUP(A272,'Ansvar kurs'!$A$1:$C$1123,2,FALSE)</f>
        <v>2500</v>
      </c>
      <c r="U272" s="31" t="str">
        <f>VLOOKUP(T272,Orgenheter!$A$1:$C$166,2,FALSE)</f>
        <v>Geografi</v>
      </c>
      <c r="V272" s="31" t="str">
        <f>VLOOKUP(T272,Orgenheter!$A$1:$C$166,3,FALSE)</f>
        <v>Sam</v>
      </c>
      <c r="W272" s="35" t="str">
        <f>VLOOKUP(D272,Program!$A$1:$B$36,2,FALSE)</f>
        <v>Ämneslärarprogrammet - Gy</v>
      </c>
      <c r="X272" s="40">
        <f>VLOOKUP(A272,kurspris!$A$1:$Q$913,15,FALSE)</f>
        <v>20766</v>
      </c>
      <c r="Y272" s="40">
        <f>VLOOKUP(A272,kurspris!$A$1:$Q$913,16,FALSE)</f>
        <v>17442</v>
      </c>
      <c r="Z272" s="40">
        <f t="shared" si="122"/>
        <v>4448.9624999999996</v>
      </c>
      <c r="AA272" s="40">
        <f>VLOOKUP(A272,kurspris!$A$1:$Q$913,17,FALSE)</f>
        <v>6000</v>
      </c>
      <c r="AB272" s="40">
        <f t="shared" si="123"/>
        <v>750</v>
      </c>
      <c r="AC272" s="40">
        <f t="shared" si="124"/>
        <v>5198.9624999999996</v>
      </c>
      <c r="AD272" s="31">
        <f>VLOOKUP($A272,kurspris!$A$1:$Q$950,3,FALSE)</f>
        <v>0</v>
      </c>
      <c r="AE272" s="31">
        <f>VLOOKUP($A272,kurspris!$A$1:$Q$950,4,FALSE)</f>
        <v>0</v>
      </c>
      <c r="AF272" s="31">
        <f>VLOOKUP($A272,kurspris!$A$1:$Q$950,5,FALSE)</f>
        <v>0</v>
      </c>
      <c r="AG272" s="31">
        <f>VLOOKUP($A272,kurspris!$A$1:$Q$950,6,FALSE)</f>
        <v>0</v>
      </c>
      <c r="AH272" s="31">
        <f>VLOOKUP($A272,kurspris!$A$1:$Q$950,7,FALSE)</f>
        <v>0</v>
      </c>
      <c r="AI272" s="31">
        <f>VLOOKUP($A272,kurspris!$A$1:$Q$950,8,FALSE)</f>
        <v>0</v>
      </c>
      <c r="AJ272" s="31">
        <f>VLOOKUP($A272,kurspris!$A$1:$Q$950,9,FALSE)</f>
        <v>1</v>
      </c>
      <c r="AK272" s="31">
        <f>VLOOKUP($A272,kurspris!$A$1:$Q$950,10,FALSE)</f>
        <v>0</v>
      </c>
      <c r="AL272" s="31">
        <f>VLOOKUP($A272,kurspris!$A$1:$Q$950,11,FALSE)</f>
        <v>0</v>
      </c>
      <c r="AM272" s="31">
        <f>VLOOKUP($A272,kurspris!$A$1:$Q$950,12,FALSE)</f>
        <v>0</v>
      </c>
      <c r="AN272" s="31">
        <f>VLOOKUP($A272,kurspris!$A$1:$Q$950,13,FALSE)</f>
        <v>0</v>
      </c>
      <c r="AO272" s="31">
        <f>VLOOKUP($A272,kurspris!$A$1:$Q$950,14,FALSE)</f>
        <v>0</v>
      </c>
      <c r="AP272" s="57" t="s">
        <v>2402</v>
      </c>
      <c r="AQ272"/>
      <c r="AR272" s="31">
        <f t="shared" si="125"/>
        <v>0</v>
      </c>
      <c r="AS272" s="219">
        <f t="shared" si="126"/>
        <v>0</v>
      </c>
      <c r="AT272" s="31">
        <f t="shared" si="127"/>
        <v>0</v>
      </c>
      <c r="AU272" s="219">
        <f t="shared" si="128"/>
        <v>0</v>
      </c>
      <c r="AV272" s="31">
        <f t="shared" si="129"/>
        <v>0</v>
      </c>
      <c r="AW272" s="31">
        <f t="shared" si="130"/>
        <v>0</v>
      </c>
      <c r="AX272" s="31">
        <f t="shared" si="131"/>
        <v>0</v>
      </c>
      <c r="AY272" s="219">
        <f t="shared" si="132"/>
        <v>0</v>
      </c>
      <c r="AZ272" s="196">
        <f t="shared" si="133"/>
        <v>0</v>
      </c>
      <c r="BA272" s="219">
        <f t="shared" si="134"/>
        <v>0</v>
      </c>
      <c r="BB272" s="31">
        <f t="shared" si="135"/>
        <v>0</v>
      </c>
      <c r="BC272" s="219">
        <f t="shared" si="136"/>
        <v>0</v>
      </c>
      <c r="BD272" s="31">
        <f t="shared" si="137"/>
        <v>0.125</v>
      </c>
      <c r="BE272" s="219">
        <f t="shared" si="138"/>
        <v>0.10625</v>
      </c>
      <c r="BF272" s="31">
        <f t="shared" si="139"/>
        <v>0</v>
      </c>
      <c r="BG272" s="219">
        <f t="shared" si="140"/>
        <v>0</v>
      </c>
      <c r="BH272" s="31">
        <f t="shared" si="141"/>
        <v>0</v>
      </c>
      <c r="BI272" s="219">
        <f t="shared" si="142"/>
        <v>0</v>
      </c>
      <c r="BJ272" s="31">
        <f t="shared" si="143"/>
        <v>0</v>
      </c>
      <c r="BK272" s="219">
        <f t="shared" si="144"/>
        <v>0</v>
      </c>
      <c r="BL272" s="31">
        <f t="shared" si="145"/>
        <v>0</v>
      </c>
      <c r="BM272" s="219">
        <f t="shared" si="146"/>
        <v>0</v>
      </c>
      <c r="BN272" s="31">
        <f t="shared" si="147"/>
        <v>0</v>
      </c>
      <c r="BO272" s="219">
        <f t="shared" si="148"/>
        <v>0</v>
      </c>
    </row>
    <row r="273" spans="1:67" x14ac:dyDescent="0.25">
      <c r="A273" s="31" t="s">
        <v>2341</v>
      </c>
      <c r="B273" s="176" t="str">
        <f>VLOOKUP(A273,kurspris!$A$1:$B$992,2,FALSE)</f>
        <v>Geografi - landskap och hållbar utveckling</v>
      </c>
      <c r="C273" s="31">
        <v>72900</v>
      </c>
      <c r="D273" s="60" t="s">
        <v>482</v>
      </c>
      <c r="E273" s="60"/>
      <c r="F273" s="57" t="s">
        <v>2274</v>
      </c>
      <c r="H273" s="31" t="s">
        <v>2335</v>
      </c>
      <c r="I273" s="31" t="s">
        <v>2399</v>
      </c>
      <c r="J273" s="31" t="s">
        <v>2238</v>
      </c>
      <c r="L273" s="38"/>
      <c r="M273">
        <v>7.5</v>
      </c>
      <c r="P273" s="31">
        <v>3</v>
      </c>
      <c r="Q273" s="539">
        <v>0.375</v>
      </c>
      <c r="R273" s="38">
        <v>0.85</v>
      </c>
      <c r="S273" s="280">
        <f t="shared" si="121"/>
        <v>0.31874999999999998</v>
      </c>
      <c r="T273" s="31">
        <f>VLOOKUP(A273,'Ansvar kurs'!$A$1:$C$1123,2,FALSE)</f>
        <v>2500</v>
      </c>
      <c r="U273" s="31" t="str">
        <f>VLOOKUP(T273,Orgenheter!$A$1:$C$166,2,FALSE)</f>
        <v>Geografi</v>
      </c>
      <c r="V273" s="31" t="str">
        <f>VLOOKUP(T273,Orgenheter!$A$1:$C$166,3,FALSE)</f>
        <v>Sam</v>
      </c>
      <c r="W273" s="35" t="str">
        <f>VLOOKUP(D273,Program!$A$1:$B$36,2,FALSE)</f>
        <v>Ämneslärarprogrammet - Gy</v>
      </c>
      <c r="X273" s="40">
        <f>VLOOKUP(A273,kurspris!$A$1:$Q$913,15,FALSE)</f>
        <v>20766</v>
      </c>
      <c r="Y273" s="40">
        <f>VLOOKUP(A273,kurspris!$A$1:$Q$913,16,FALSE)</f>
        <v>17442</v>
      </c>
      <c r="Z273" s="40">
        <f t="shared" si="122"/>
        <v>13346.887500000001</v>
      </c>
      <c r="AA273" s="40">
        <f>VLOOKUP(A273,kurspris!$A$1:$Q$913,17,FALSE)</f>
        <v>6000</v>
      </c>
      <c r="AB273" s="40">
        <f t="shared" si="123"/>
        <v>2250</v>
      </c>
      <c r="AC273" s="40">
        <f t="shared" si="124"/>
        <v>15596.887500000001</v>
      </c>
      <c r="AD273" s="31">
        <f>VLOOKUP($A273,kurspris!$A$1:$Q$950,3,FALSE)</f>
        <v>0</v>
      </c>
      <c r="AE273" s="31">
        <f>VLOOKUP($A273,kurspris!$A$1:$Q$950,4,FALSE)</f>
        <v>0</v>
      </c>
      <c r="AF273" s="31">
        <f>VLOOKUP($A273,kurspris!$A$1:$Q$950,5,FALSE)</f>
        <v>0</v>
      </c>
      <c r="AG273" s="31">
        <f>VLOOKUP($A273,kurspris!$A$1:$Q$950,6,FALSE)</f>
        <v>0</v>
      </c>
      <c r="AH273" s="31">
        <f>VLOOKUP($A273,kurspris!$A$1:$Q$950,7,FALSE)</f>
        <v>0</v>
      </c>
      <c r="AI273" s="31">
        <f>VLOOKUP($A273,kurspris!$A$1:$Q$950,8,FALSE)</f>
        <v>0</v>
      </c>
      <c r="AJ273" s="31">
        <f>VLOOKUP($A273,kurspris!$A$1:$Q$950,9,FALSE)</f>
        <v>1</v>
      </c>
      <c r="AK273" s="31">
        <f>VLOOKUP($A273,kurspris!$A$1:$Q$950,10,FALSE)</f>
        <v>0</v>
      </c>
      <c r="AL273" s="31">
        <f>VLOOKUP($A273,kurspris!$A$1:$Q$950,11,FALSE)</f>
        <v>0</v>
      </c>
      <c r="AM273" s="31">
        <f>VLOOKUP($A273,kurspris!$A$1:$Q$950,12,FALSE)</f>
        <v>0</v>
      </c>
      <c r="AN273" s="31">
        <f>VLOOKUP($A273,kurspris!$A$1:$Q$950,13,FALSE)</f>
        <v>0</v>
      </c>
      <c r="AO273" s="31">
        <f>VLOOKUP($A273,kurspris!$A$1:$Q$950,14,FALSE)</f>
        <v>0</v>
      </c>
      <c r="AP273" s="57" t="s">
        <v>2402</v>
      </c>
      <c r="AQ273"/>
      <c r="AR273" s="31">
        <f t="shared" si="125"/>
        <v>0</v>
      </c>
      <c r="AS273" s="219">
        <f t="shared" si="126"/>
        <v>0</v>
      </c>
      <c r="AT273" s="31">
        <f t="shared" si="127"/>
        <v>0</v>
      </c>
      <c r="AU273" s="219">
        <f t="shared" si="128"/>
        <v>0</v>
      </c>
      <c r="AV273" s="31">
        <f t="shared" si="129"/>
        <v>0</v>
      </c>
      <c r="AW273" s="31">
        <f t="shared" si="130"/>
        <v>0</v>
      </c>
      <c r="AX273" s="31">
        <f t="shared" si="131"/>
        <v>0</v>
      </c>
      <c r="AY273" s="219">
        <f t="shared" si="132"/>
        <v>0</v>
      </c>
      <c r="AZ273" s="196">
        <f t="shared" si="133"/>
        <v>0</v>
      </c>
      <c r="BA273" s="219">
        <f t="shared" si="134"/>
        <v>0</v>
      </c>
      <c r="BB273" s="31">
        <f t="shared" si="135"/>
        <v>0</v>
      </c>
      <c r="BC273" s="219">
        <f t="shared" si="136"/>
        <v>0</v>
      </c>
      <c r="BD273" s="31">
        <f t="shared" si="137"/>
        <v>0.375</v>
      </c>
      <c r="BE273" s="219">
        <f t="shared" si="138"/>
        <v>0.31874999999999998</v>
      </c>
      <c r="BF273" s="31">
        <f t="shared" si="139"/>
        <v>0</v>
      </c>
      <c r="BG273" s="219">
        <f t="shared" si="140"/>
        <v>0</v>
      </c>
      <c r="BH273" s="31">
        <f t="shared" si="141"/>
        <v>0</v>
      </c>
      <c r="BI273" s="219">
        <f t="shared" si="142"/>
        <v>0</v>
      </c>
      <c r="BJ273" s="31">
        <f t="shared" si="143"/>
        <v>0</v>
      </c>
      <c r="BK273" s="219">
        <f t="shared" si="144"/>
        <v>0</v>
      </c>
      <c r="BL273" s="31">
        <f t="shared" si="145"/>
        <v>0</v>
      </c>
      <c r="BM273" s="219">
        <f t="shared" si="146"/>
        <v>0</v>
      </c>
      <c r="BN273" s="31">
        <f t="shared" si="147"/>
        <v>0</v>
      </c>
      <c r="BO273" s="219">
        <f t="shared" si="148"/>
        <v>0</v>
      </c>
    </row>
    <row r="274" spans="1:67" x14ac:dyDescent="0.25">
      <c r="A274" s="31" t="s">
        <v>2341</v>
      </c>
      <c r="B274" s="176" t="str">
        <f>VLOOKUP(A274,kurspris!$A$1:$B$992,2,FALSE)</f>
        <v>Geografi - landskap och hållbar utveckling</v>
      </c>
      <c r="C274" s="31">
        <v>72900</v>
      </c>
      <c r="D274" s="60" t="s">
        <v>482</v>
      </c>
      <c r="E274" s="60"/>
      <c r="F274" s="57" t="s">
        <v>2274</v>
      </c>
      <c r="H274" s="31" t="s">
        <v>2335</v>
      </c>
      <c r="I274" s="31" t="s">
        <v>2399</v>
      </c>
      <c r="J274" s="31" t="s">
        <v>2241</v>
      </c>
      <c r="L274" s="38"/>
      <c r="M274">
        <v>7.5</v>
      </c>
      <c r="P274" s="31">
        <v>2</v>
      </c>
      <c r="Q274" s="539">
        <v>0.25</v>
      </c>
      <c r="R274" s="38">
        <v>0.85</v>
      </c>
      <c r="S274" s="280">
        <f t="shared" si="121"/>
        <v>0.21249999999999999</v>
      </c>
      <c r="T274" s="31">
        <f>VLOOKUP(A274,'Ansvar kurs'!$A$1:$C$1123,2,FALSE)</f>
        <v>2500</v>
      </c>
      <c r="U274" s="31" t="str">
        <f>VLOOKUP(T274,Orgenheter!$A$1:$C$166,2,FALSE)</f>
        <v>Geografi</v>
      </c>
      <c r="V274" s="31" t="str">
        <f>VLOOKUP(T274,Orgenheter!$A$1:$C$166,3,FALSE)</f>
        <v>Sam</v>
      </c>
      <c r="W274" s="35" t="str">
        <f>VLOOKUP(D274,Program!$A$1:$B$36,2,FALSE)</f>
        <v>Ämneslärarprogrammet - Gy</v>
      </c>
      <c r="X274" s="40">
        <f>VLOOKUP(A274,kurspris!$A$1:$Q$913,15,FALSE)</f>
        <v>20766</v>
      </c>
      <c r="Y274" s="40">
        <f>VLOOKUP(A274,kurspris!$A$1:$Q$913,16,FALSE)</f>
        <v>17442</v>
      </c>
      <c r="Z274" s="40">
        <f t="shared" si="122"/>
        <v>8897.9249999999993</v>
      </c>
      <c r="AA274" s="40">
        <f>VLOOKUP(A274,kurspris!$A$1:$Q$913,17,FALSE)</f>
        <v>6000</v>
      </c>
      <c r="AB274" s="40">
        <f t="shared" si="123"/>
        <v>1500</v>
      </c>
      <c r="AC274" s="40">
        <f t="shared" si="124"/>
        <v>10397.924999999999</v>
      </c>
      <c r="AD274" s="31">
        <f>VLOOKUP($A274,kurspris!$A$1:$Q$950,3,FALSE)</f>
        <v>0</v>
      </c>
      <c r="AE274" s="31">
        <f>VLOOKUP($A274,kurspris!$A$1:$Q$950,4,FALSE)</f>
        <v>0</v>
      </c>
      <c r="AF274" s="31">
        <f>VLOOKUP($A274,kurspris!$A$1:$Q$950,5,FALSE)</f>
        <v>0</v>
      </c>
      <c r="AG274" s="31">
        <f>VLOOKUP($A274,kurspris!$A$1:$Q$950,6,FALSE)</f>
        <v>0</v>
      </c>
      <c r="AH274" s="31">
        <f>VLOOKUP($A274,kurspris!$A$1:$Q$950,7,FALSE)</f>
        <v>0</v>
      </c>
      <c r="AI274" s="31">
        <f>VLOOKUP($A274,kurspris!$A$1:$Q$950,8,FALSE)</f>
        <v>0</v>
      </c>
      <c r="AJ274" s="31">
        <f>VLOOKUP($A274,kurspris!$A$1:$Q$950,9,FALSE)</f>
        <v>1</v>
      </c>
      <c r="AK274" s="31">
        <f>VLOOKUP($A274,kurspris!$A$1:$Q$950,10,FALSE)</f>
        <v>0</v>
      </c>
      <c r="AL274" s="31">
        <f>VLOOKUP($A274,kurspris!$A$1:$Q$950,11,FALSE)</f>
        <v>0</v>
      </c>
      <c r="AM274" s="31">
        <f>VLOOKUP($A274,kurspris!$A$1:$Q$950,12,FALSE)</f>
        <v>0</v>
      </c>
      <c r="AN274" s="31">
        <f>VLOOKUP($A274,kurspris!$A$1:$Q$950,13,FALSE)</f>
        <v>0</v>
      </c>
      <c r="AO274" s="31">
        <f>VLOOKUP($A274,kurspris!$A$1:$Q$950,14,FALSE)</f>
        <v>0</v>
      </c>
      <c r="AP274" s="57" t="s">
        <v>2402</v>
      </c>
      <c r="AQ274"/>
      <c r="AR274" s="31">
        <f t="shared" si="125"/>
        <v>0</v>
      </c>
      <c r="AS274" s="219">
        <f t="shared" si="126"/>
        <v>0</v>
      </c>
      <c r="AT274" s="31">
        <f t="shared" si="127"/>
        <v>0</v>
      </c>
      <c r="AU274" s="219">
        <f t="shared" si="128"/>
        <v>0</v>
      </c>
      <c r="AV274" s="31">
        <f t="shared" si="129"/>
        <v>0</v>
      </c>
      <c r="AW274" s="31">
        <f t="shared" si="130"/>
        <v>0</v>
      </c>
      <c r="AX274" s="31">
        <f t="shared" si="131"/>
        <v>0</v>
      </c>
      <c r="AY274" s="219">
        <f t="shared" si="132"/>
        <v>0</v>
      </c>
      <c r="AZ274" s="196">
        <f t="shared" si="133"/>
        <v>0</v>
      </c>
      <c r="BA274" s="219">
        <f t="shared" si="134"/>
        <v>0</v>
      </c>
      <c r="BB274" s="31">
        <f t="shared" si="135"/>
        <v>0</v>
      </c>
      <c r="BC274" s="219">
        <f t="shared" si="136"/>
        <v>0</v>
      </c>
      <c r="BD274" s="31">
        <f t="shared" si="137"/>
        <v>0.25</v>
      </c>
      <c r="BE274" s="219">
        <f t="shared" si="138"/>
        <v>0.21249999999999999</v>
      </c>
      <c r="BF274" s="31">
        <f t="shared" si="139"/>
        <v>0</v>
      </c>
      <c r="BG274" s="219">
        <f t="shared" si="140"/>
        <v>0</v>
      </c>
      <c r="BH274" s="31">
        <f t="shared" si="141"/>
        <v>0</v>
      </c>
      <c r="BI274" s="219">
        <f t="shared" si="142"/>
        <v>0</v>
      </c>
      <c r="BJ274" s="31">
        <f t="shared" si="143"/>
        <v>0</v>
      </c>
      <c r="BK274" s="219">
        <f t="shared" si="144"/>
        <v>0</v>
      </c>
      <c r="BL274" s="31">
        <f t="shared" si="145"/>
        <v>0</v>
      </c>
      <c r="BM274" s="219">
        <f t="shared" si="146"/>
        <v>0</v>
      </c>
      <c r="BN274" s="31">
        <f t="shared" si="147"/>
        <v>0</v>
      </c>
      <c r="BO274" s="219">
        <f t="shared" si="148"/>
        <v>0</v>
      </c>
    </row>
    <row r="275" spans="1:67" x14ac:dyDescent="0.25">
      <c r="A275" s="31" t="s">
        <v>2006</v>
      </c>
      <c r="B275" s="176" t="str">
        <f>VLOOKUP(A275,kurspris!$A$1:$B$992,2,FALSE)</f>
        <v>Hem- och konsumentkunskap, distans A</v>
      </c>
      <c r="C275" s="31">
        <v>72800</v>
      </c>
      <c r="D275" s="60" t="s">
        <v>117</v>
      </c>
      <c r="E275" s="60"/>
      <c r="F275" s="57" t="s">
        <v>2274</v>
      </c>
      <c r="H275" s="31" t="s">
        <v>2335</v>
      </c>
      <c r="I275" s="31" t="s">
        <v>2275</v>
      </c>
      <c r="L275" s="38"/>
      <c r="M275">
        <v>30</v>
      </c>
      <c r="P275" s="31">
        <v>38</v>
      </c>
      <c r="Q275" s="539">
        <v>19</v>
      </c>
      <c r="R275" s="38">
        <v>0.8</v>
      </c>
      <c r="S275" s="280">
        <f t="shared" si="121"/>
        <v>15.200000000000001</v>
      </c>
      <c r="T275" s="31">
        <f>VLOOKUP(A275,'Ansvar kurs'!$A$1:$C$1123,2,FALSE)</f>
        <v>2650</v>
      </c>
      <c r="U275" s="31" t="str">
        <f>VLOOKUP(T275,Orgenheter!$A$1:$C$166,2,FALSE)</f>
        <v>Inst för kost- och måltidsvetenskap</v>
      </c>
      <c r="V275" s="31" t="str">
        <f>VLOOKUP(T275,Orgenheter!$A$1:$C$166,3,FALSE)</f>
        <v>Sam</v>
      </c>
      <c r="W275" s="35" t="str">
        <f>VLOOKUP(D275,Program!$A$1:$B$36,2,FALSE)</f>
        <v>Fristående och övriga kurser</v>
      </c>
      <c r="X275" s="40">
        <f>VLOOKUP(A275,kurspris!$A$1:$Q$913,15,FALSE)</f>
        <v>20757</v>
      </c>
      <c r="Y275" s="40">
        <f>VLOOKUP(A275,kurspris!$A$1:$Q$913,16,FALSE)</f>
        <v>36082</v>
      </c>
      <c r="Z275" s="40">
        <f t="shared" si="122"/>
        <v>942829.4</v>
      </c>
      <c r="AA275" s="40">
        <f>VLOOKUP(A275,kurspris!$A$1:$Q$913,17,FALSE)</f>
        <v>22600</v>
      </c>
      <c r="AB275" s="40">
        <f t="shared" si="123"/>
        <v>429400</v>
      </c>
      <c r="AC275" s="40">
        <f t="shared" si="124"/>
        <v>1372229.4</v>
      </c>
      <c r="AD275" s="31">
        <f>VLOOKUP($A275,kurspris!$A$1:$Q$950,3,FALSE)</f>
        <v>0</v>
      </c>
      <c r="AE275" s="31">
        <f>VLOOKUP($A275,kurspris!$A$1:$Q$950,4,FALSE)</f>
        <v>0</v>
      </c>
      <c r="AF275" s="31">
        <f>VLOOKUP($A275,kurspris!$A$1:$Q$950,5,FALSE)</f>
        <v>0</v>
      </c>
      <c r="AG275" s="31">
        <f>VLOOKUP($A275,kurspris!$A$1:$Q$950,6,FALSE)</f>
        <v>0</v>
      </c>
      <c r="AH275" s="31">
        <f>VLOOKUP($A275,kurspris!$A$1:$Q$950,7,FALSE)</f>
        <v>0</v>
      </c>
      <c r="AI275" s="31">
        <f>VLOOKUP($A275,kurspris!$A$1:$Q$950,8,FALSE)</f>
        <v>1</v>
      </c>
      <c r="AJ275" s="31">
        <f>VLOOKUP($A275,kurspris!$A$1:$Q$950,9,FALSE)</f>
        <v>0</v>
      </c>
      <c r="AK275" s="31">
        <f>VLOOKUP($A275,kurspris!$A$1:$Q$950,10,FALSE)</f>
        <v>0</v>
      </c>
      <c r="AL275" s="31">
        <f>VLOOKUP($A275,kurspris!$A$1:$Q$950,11,FALSE)</f>
        <v>0</v>
      </c>
      <c r="AM275" s="31">
        <f>VLOOKUP($A275,kurspris!$A$1:$Q$950,12,FALSE)</f>
        <v>0</v>
      </c>
      <c r="AN275" s="31">
        <f>VLOOKUP($A275,kurspris!$A$1:$Q$950,13,FALSE)</f>
        <v>0</v>
      </c>
      <c r="AO275" s="31">
        <f>VLOOKUP($A275,kurspris!$A$1:$Q$950,14,FALSE)</f>
        <v>0</v>
      </c>
      <c r="AP275" s="57" t="s">
        <v>2402</v>
      </c>
      <c r="AQ275"/>
      <c r="AR275" s="31">
        <f t="shared" si="125"/>
        <v>0</v>
      </c>
      <c r="AS275" s="219">
        <f t="shared" si="126"/>
        <v>0</v>
      </c>
      <c r="AT275" s="31">
        <f t="shared" si="127"/>
        <v>0</v>
      </c>
      <c r="AU275" s="219">
        <f t="shared" si="128"/>
        <v>0</v>
      </c>
      <c r="AV275" s="31">
        <f t="shared" si="129"/>
        <v>0</v>
      </c>
      <c r="AW275" s="31">
        <f t="shared" si="130"/>
        <v>0</v>
      </c>
      <c r="AX275" s="31">
        <f t="shared" si="131"/>
        <v>0</v>
      </c>
      <c r="AY275" s="219">
        <f t="shared" si="132"/>
        <v>0</v>
      </c>
      <c r="AZ275" s="196">
        <f t="shared" si="133"/>
        <v>0</v>
      </c>
      <c r="BA275" s="219">
        <f t="shared" si="134"/>
        <v>0</v>
      </c>
      <c r="BB275" s="31">
        <f t="shared" si="135"/>
        <v>19</v>
      </c>
      <c r="BC275" s="219">
        <f t="shared" si="136"/>
        <v>15.200000000000001</v>
      </c>
      <c r="BD275" s="31">
        <f t="shared" si="137"/>
        <v>0</v>
      </c>
      <c r="BE275" s="219">
        <f t="shared" si="138"/>
        <v>0</v>
      </c>
      <c r="BF275" s="31">
        <f t="shared" si="139"/>
        <v>0</v>
      </c>
      <c r="BG275" s="219">
        <f t="shared" si="140"/>
        <v>0</v>
      </c>
      <c r="BH275" s="31">
        <f t="shared" si="141"/>
        <v>0</v>
      </c>
      <c r="BI275" s="219">
        <f t="shared" si="142"/>
        <v>0</v>
      </c>
      <c r="BJ275" s="31">
        <f t="shared" si="143"/>
        <v>0</v>
      </c>
      <c r="BK275" s="219">
        <f t="shared" si="144"/>
        <v>0</v>
      </c>
      <c r="BL275" s="31">
        <f t="shared" si="145"/>
        <v>0</v>
      </c>
      <c r="BM275" s="219">
        <f t="shared" si="146"/>
        <v>0</v>
      </c>
      <c r="BN275" s="31">
        <f t="shared" si="147"/>
        <v>0</v>
      </c>
      <c r="BO275" s="219">
        <f t="shared" si="148"/>
        <v>0</v>
      </c>
    </row>
    <row r="276" spans="1:67" x14ac:dyDescent="0.25">
      <c r="A276" s="31" t="s">
        <v>2006</v>
      </c>
      <c r="B276" s="176" t="str">
        <f>VLOOKUP(A276,kurspris!$A$1:$B$992,2,FALSE)</f>
        <v>Hem- och konsumentkunskap, distans A</v>
      </c>
      <c r="C276" s="31">
        <v>72816</v>
      </c>
      <c r="D276" s="60" t="s">
        <v>117</v>
      </c>
      <c r="E276" s="60"/>
      <c r="F276" s="57" t="s">
        <v>2274</v>
      </c>
      <c r="H276" s="31" t="s">
        <v>2335</v>
      </c>
      <c r="I276" s="31" t="s">
        <v>2275</v>
      </c>
      <c r="L276" s="38"/>
      <c r="M276" s="244">
        <v>15</v>
      </c>
      <c r="P276" s="31">
        <v>17</v>
      </c>
      <c r="Q276" s="539">
        <v>4.25</v>
      </c>
      <c r="R276" s="38">
        <v>0.8</v>
      </c>
      <c r="S276" s="280">
        <f t="shared" si="121"/>
        <v>3.4000000000000004</v>
      </c>
      <c r="T276" s="31">
        <f>VLOOKUP(A276,'Ansvar kurs'!$A$1:$C$1123,2,FALSE)</f>
        <v>2650</v>
      </c>
      <c r="U276" s="31" t="str">
        <f>VLOOKUP(T276,Orgenheter!$A$1:$C$166,2,FALSE)</f>
        <v>Inst för kost- och måltidsvetenskap</v>
      </c>
      <c r="V276" s="31" t="str">
        <f>VLOOKUP(T276,Orgenheter!$A$1:$C$166,3,FALSE)</f>
        <v>Sam</v>
      </c>
      <c r="W276" s="35" t="str">
        <f>VLOOKUP(D276,Program!$A$1:$B$36,2,FALSE)</f>
        <v>Fristående och övriga kurser</v>
      </c>
      <c r="X276" s="40">
        <f>VLOOKUP(A276,kurspris!$A$1:$Q$913,15,FALSE)</f>
        <v>20757</v>
      </c>
      <c r="Y276" s="40">
        <f>VLOOKUP(A276,kurspris!$A$1:$Q$913,16,FALSE)</f>
        <v>36082</v>
      </c>
      <c r="Z276" s="40">
        <f t="shared" si="122"/>
        <v>210896.05000000002</v>
      </c>
      <c r="AA276" s="40">
        <f>VLOOKUP(A276,kurspris!$A$1:$Q$913,17,FALSE)</f>
        <v>22600</v>
      </c>
      <c r="AB276" s="40">
        <f t="shared" si="123"/>
        <v>96050</v>
      </c>
      <c r="AC276" s="40">
        <f t="shared" si="124"/>
        <v>306946.05000000005</v>
      </c>
      <c r="AD276" s="31">
        <f>VLOOKUP($A276,kurspris!$A$1:$Q$950,3,FALSE)</f>
        <v>0</v>
      </c>
      <c r="AE276" s="31">
        <f>VLOOKUP($A276,kurspris!$A$1:$Q$950,4,FALSE)</f>
        <v>0</v>
      </c>
      <c r="AF276" s="31">
        <f>VLOOKUP($A276,kurspris!$A$1:$Q$950,5,FALSE)</f>
        <v>0</v>
      </c>
      <c r="AG276" s="31">
        <f>VLOOKUP($A276,kurspris!$A$1:$Q$950,6,FALSE)</f>
        <v>0</v>
      </c>
      <c r="AH276" s="31">
        <f>VLOOKUP($A276,kurspris!$A$1:$Q$950,7,FALSE)</f>
        <v>0</v>
      </c>
      <c r="AI276" s="31">
        <f>VLOOKUP($A276,kurspris!$A$1:$Q$950,8,FALSE)</f>
        <v>1</v>
      </c>
      <c r="AJ276" s="31">
        <f>VLOOKUP($A276,kurspris!$A$1:$Q$950,9,FALSE)</f>
        <v>0</v>
      </c>
      <c r="AK276" s="31">
        <f>VLOOKUP($A276,kurspris!$A$1:$Q$950,10,FALSE)</f>
        <v>0</v>
      </c>
      <c r="AL276" s="31">
        <f>VLOOKUP($A276,kurspris!$A$1:$Q$950,11,FALSE)</f>
        <v>0</v>
      </c>
      <c r="AM276" s="31">
        <f>VLOOKUP($A276,kurspris!$A$1:$Q$950,12,FALSE)</f>
        <v>0</v>
      </c>
      <c r="AN276" s="31">
        <f>VLOOKUP($A276,kurspris!$A$1:$Q$950,13,FALSE)</f>
        <v>0</v>
      </c>
      <c r="AO276" s="31">
        <f>VLOOKUP($A276,kurspris!$A$1:$Q$950,14,FALSE)</f>
        <v>0</v>
      </c>
      <c r="AP276" s="57" t="s">
        <v>2402</v>
      </c>
      <c r="AQ276" t="s">
        <v>2308</v>
      </c>
      <c r="AR276" s="31">
        <f t="shared" si="125"/>
        <v>0</v>
      </c>
      <c r="AS276" s="219">
        <f t="shared" si="126"/>
        <v>0</v>
      </c>
      <c r="AT276" s="31">
        <f t="shared" si="127"/>
        <v>0</v>
      </c>
      <c r="AU276" s="219">
        <f t="shared" si="128"/>
        <v>0</v>
      </c>
      <c r="AV276" s="31">
        <f t="shared" si="129"/>
        <v>0</v>
      </c>
      <c r="AW276" s="31">
        <f t="shared" si="130"/>
        <v>0</v>
      </c>
      <c r="AX276" s="31">
        <f t="shared" si="131"/>
        <v>0</v>
      </c>
      <c r="AY276" s="219">
        <f t="shared" si="132"/>
        <v>0</v>
      </c>
      <c r="AZ276" s="196">
        <f t="shared" si="133"/>
        <v>0</v>
      </c>
      <c r="BA276" s="219">
        <f t="shared" si="134"/>
        <v>0</v>
      </c>
      <c r="BB276" s="31">
        <f t="shared" si="135"/>
        <v>4.25</v>
      </c>
      <c r="BC276" s="219">
        <f t="shared" si="136"/>
        <v>3.4000000000000004</v>
      </c>
      <c r="BD276" s="31">
        <f t="shared" si="137"/>
        <v>0</v>
      </c>
      <c r="BE276" s="219">
        <f t="shared" si="138"/>
        <v>0</v>
      </c>
      <c r="BF276" s="31">
        <f t="shared" si="139"/>
        <v>0</v>
      </c>
      <c r="BG276" s="219">
        <f t="shared" si="140"/>
        <v>0</v>
      </c>
      <c r="BH276" s="31">
        <f t="shared" si="141"/>
        <v>0</v>
      </c>
      <c r="BI276" s="219">
        <f t="shared" si="142"/>
        <v>0</v>
      </c>
      <c r="BJ276" s="31">
        <f t="shared" si="143"/>
        <v>0</v>
      </c>
      <c r="BK276" s="219">
        <f t="shared" si="144"/>
        <v>0</v>
      </c>
      <c r="BL276" s="31">
        <f t="shared" si="145"/>
        <v>0</v>
      </c>
      <c r="BM276" s="219">
        <f t="shared" si="146"/>
        <v>0</v>
      </c>
      <c r="BN276" s="31">
        <f t="shared" si="147"/>
        <v>0</v>
      </c>
      <c r="BO276" s="219">
        <f t="shared" si="148"/>
        <v>0</v>
      </c>
    </row>
    <row r="277" spans="1:67" x14ac:dyDescent="0.25">
      <c r="A277" s="31" t="s">
        <v>2006</v>
      </c>
      <c r="B277" s="176" t="str">
        <f>VLOOKUP(A277,kurspris!$A$1:$B$992,2,FALSE)</f>
        <v>Hem- och konsumentkunskap, distans A</v>
      </c>
      <c r="D277" s="31" t="s">
        <v>117</v>
      </c>
      <c r="F277" s="31" t="s">
        <v>2273</v>
      </c>
      <c r="I277" s="31" t="s">
        <v>2275</v>
      </c>
      <c r="L277" s="38">
        <v>0.5</v>
      </c>
      <c r="M277" s="325">
        <v>15</v>
      </c>
      <c r="P277" s="31">
        <v>20</v>
      </c>
      <c r="Q277" s="196">
        <f>(M277/60)*P277</f>
        <v>5</v>
      </c>
      <c r="R277" s="38">
        <v>0.8</v>
      </c>
      <c r="S277" s="280">
        <f t="shared" si="121"/>
        <v>4</v>
      </c>
      <c r="T277" s="31">
        <f>VLOOKUP(A277,'Ansvar kurs'!$A$1:$C$1123,2,FALSE)</f>
        <v>2650</v>
      </c>
      <c r="U277" s="31" t="str">
        <f>VLOOKUP(T277,Orgenheter!$A$1:$C$166,2,FALSE)</f>
        <v>Inst för kost- och måltidsvetenskap</v>
      </c>
      <c r="V277" s="31" t="str">
        <f>VLOOKUP(T277,Orgenheter!$A$1:$C$166,3,FALSE)</f>
        <v>Sam</v>
      </c>
      <c r="W277" s="35" t="str">
        <f>VLOOKUP(D277,Program!$A$1:$B$36,2,FALSE)</f>
        <v>Fristående och övriga kurser</v>
      </c>
      <c r="X277" s="40">
        <f>VLOOKUP(A277,kurspris!$A$1:$Q$913,15,FALSE)</f>
        <v>20757</v>
      </c>
      <c r="Y277" s="40">
        <f>VLOOKUP(A277,kurspris!$A$1:$Q$913,16,FALSE)</f>
        <v>36082</v>
      </c>
      <c r="Z277" s="40">
        <f t="shared" si="122"/>
        <v>248113</v>
      </c>
      <c r="AA277" s="40">
        <f>VLOOKUP(A277,kurspris!$A$1:$Q$913,17,FALSE)</f>
        <v>22600</v>
      </c>
      <c r="AB277" s="40">
        <f t="shared" si="123"/>
        <v>113000</v>
      </c>
      <c r="AC277" s="40">
        <f t="shared" si="124"/>
        <v>361113</v>
      </c>
      <c r="AD277" s="31">
        <f>VLOOKUP($A277,kurspris!$A$1:$Q$950,3,FALSE)</f>
        <v>0</v>
      </c>
      <c r="AE277" s="31">
        <f>VLOOKUP($A277,kurspris!$A$1:$Q$950,4,FALSE)</f>
        <v>0</v>
      </c>
      <c r="AF277" s="31">
        <f>VLOOKUP($A277,kurspris!$A$1:$Q$950,5,FALSE)</f>
        <v>0</v>
      </c>
      <c r="AG277" s="31">
        <f>VLOOKUP($A277,kurspris!$A$1:$Q$950,6,FALSE)</f>
        <v>0</v>
      </c>
      <c r="AH277" s="31">
        <f>VLOOKUP($A277,kurspris!$A$1:$Q$950,7,FALSE)</f>
        <v>0</v>
      </c>
      <c r="AI277" s="31">
        <f>VLOOKUP($A277,kurspris!$A$1:$Q$950,8,FALSE)</f>
        <v>1</v>
      </c>
      <c r="AJ277" s="31">
        <f>VLOOKUP($A277,kurspris!$A$1:$Q$950,9,FALSE)</f>
        <v>0</v>
      </c>
      <c r="AK277" s="31">
        <f>VLOOKUP($A277,kurspris!$A$1:$Q$950,10,FALSE)</f>
        <v>0</v>
      </c>
      <c r="AL277" s="31">
        <f>VLOOKUP($A277,kurspris!$A$1:$Q$950,11,FALSE)</f>
        <v>0</v>
      </c>
      <c r="AM277" s="31">
        <f>VLOOKUP($A277,kurspris!$A$1:$Q$950,12,FALSE)</f>
        <v>0</v>
      </c>
      <c r="AN277" s="31">
        <f>VLOOKUP($A277,kurspris!$A$1:$Q$950,13,FALSE)</f>
        <v>0</v>
      </c>
      <c r="AO277" s="31">
        <f>VLOOKUP($A277,kurspris!$A$1:$Q$950,14,FALSE)</f>
        <v>0</v>
      </c>
      <c r="AP277" s="57" t="s">
        <v>2267</v>
      </c>
      <c r="AQ277" s="37"/>
      <c r="AR277" s="31">
        <f t="shared" si="125"/>
        <v>0</v>
      </c>
      <c r="AS277" s="219">
        <f t="shared" si="126"/>
        <v>0</v>
      </c>
      <c r="AT277" s="31">
        <f t="shared" si="127"/>
        <v>0</v>
      </c>
      <c r="AU277" s="219">
        <f t="shared" si="128"/>
        <v>0</v>
      </c>
      <c r="AV277" s="31">
        <f t="shared" si="129"/>
        <v>0</v>
      </c>
      <c r="AW277" s="31">
        <f t="shared" si="130"/>
        <v>0</v>
      </c>
      <c r="AX277" s="31">
        <f t="shared" si="131"/>
        <v>0</v>
      </c>
      <c r="AY277" s="219">
        <f t="shared" si="132"/>
        <v>0</v>
      </c>
      <c r="AZ277" s="196">
        <f t="shared" si="133"/>
        <v>0</v>
      </c>
      <c r="BA277" s="219">
        <f t="shared" si="134"/>
        <v>0</v>
      </c>
      <c r="BB277" s="31">
        <f t="shared" si="135"/>
        <v>5</v>
      </c>
      <c r="BC277" s="219">
        <f t="shared" si="136"/>
        <v>4</v>
      </c>
      <c r="BD277" s="31">
        <f t="shared" si="137"/>
        <v>0</v>
      </c>
      <c r="BE277" s="219">
        <f t="shared" si="138"/>
        <v>0</v>
      </c>
      <c r="BF277" s="31">
        <f t="shared" si="139"/>
        <v>0</v>
      </c>
      <c r="BG277" s="219">
        <f t="shared" si="140"/>
        <v>0</v>
      </c>
      <c r="BH277" s="31">
        <f t="shared" si="141"/>
        <v>0</v>
      </c>
      <c r="BI277" s="219">
        <f t="shared" si="142"/>
        <v>0</v>
      </c>
      <c r="BJ277" s="31">
        <f t="shared" si="143"/>
        <v>0</v>
      </c>
      <c r="BK277" s="219">
        <f t="shared" si="144"/>
        <v>0</v>
      </c>
      <c r="BL277" s="31">
        <f t="shared" si="145"/>
        <v>0</v>
      </c>
      <c r="BM277" s="219">
        <f t="shared" si="146"/>
        <v>0</v>
      </c>
      <c r="BN277" s="31">
        <f t="shared" si="147"/>
        <v>0</v>
      </c>
      <c r="BO277" s="219">
        <f t="shared" si="148"/>
        <v>0</v>
      </c>
    </row>
    <row r="278" spans="1:67" x14ac:dyDescent="0.25">
      <c r="A278" s="57" t="s">
        <v>2281</v>
      </c>
      <c r="B278" s="176" t="str">
        <f>VLOOKUP(A278,kurspris!$A$1:$B$992,2,FALSE)</f>
        <v>Mat och måltider för barn och ungdomar</v>
      </c>
      <c r="D278" s="31" t="s">
        <v>117</v>
      </c>
      <c r="F278" s="31" t="s">
        <v>2273</v>
      </c>
      <c r="I278" s="31" t="s">
        <v>2275</v>
      </c>
      <c r="L278" s="38">
        <v>0.25</v>
      </c>
      <c r="M278" s="325">
        <v>7.5</v>
      </c>
      <c r="P278" s="31">
        <v>40</v>
      </c>
      <c r="Q278" s="196">
        <f>(M278/60)*P278</f>
        <v>5</v>
      </c>
      <c r="R278" s="38">
        <v>0.8</v>
      </c>
      <c r="S278" s="280">
        <f t="shared" si="121"/>
        <v>4</v>
      </c>
      <c r="T278" s="31">
        <f>VLOOKUP(A278,'Ansvar kurs'!$A$1:$C$1123,2,FALSE)</f>
        <v>2650</v>
      </c>
      <c r="U278" s="31" t="str">
        <f>VLOOKUP(T278,Orgenheter!$A$1:$C$166,2,FALSE)</f>
        <v>Inst för kost- och måltidsvetenskap</v>
      </c>
      <c r="V278" s="31" t="str">
        <f>VLOOKUP(T278,Orgenheter!$A$1:$C$166,3,FALSE)</f>
        <v>Sam</v>
      </c>
      <c r="W278" s="35" t="str">
        <f>VLOOKUP(D278,Program!$A$1:$B$36,2,FALSE)</f>
        <v>Fristående och övriga kurser</v>
      </c>
      <c r="X278" s="40">
        <f>VLOOKUP(A278,kurspris!$A$1:$Q$913,15,FALSE)</f>
        <v>20766</v>
      </c>
      <c r="Y278" s="40">
        <f>VLOOKUP(A278,kurspris!$A$1:$Q$913,16,FALSE)</f>
        <v>17442</v>
      </c>
      <c r="Z278" s="40">
        <f t="shared" si="122"/>
        <v>173598</v>
      </c>
      <c r="AA278" s="40">
        <f>VLOOKUP(A278,kurspris!$A$1:$Q$913,17,FALSE)</f>
        <v>6000</v>
      </c>
      <c r="AB278" s="40">
        <f t="shared" si="123"/>
        <v>30000</v>
      </c>
      <c r="AC278" s="40">
        <f t="shared" si="124"/>
        <v>203598</v>
      </c>
      <c r="AD278" s="31">
        <f>VLOOKUP($A278,kurspris!$A$1:$Q$950,3,FALSE)</f>
        <v>0</v>
      </c>
      <c r="AE278" s="31">
        <f>VLOOKUP($A278,kurspris!$A$1:$Q$950,4,FALSE)</f>
        <v>0</v>
      </c>
      <c r="AF278" s="31">
        <f>VLOOKUP($A278,kurspris!$A$1:$Q$950,5,FALSE)</f>
        <v>0</v>
      </c>
      <c r="AG278" s="31">
        <f>VLOOKUP($A278,kurspris!$A$1:$Q$950,6,FALSE)</f>
        <v>0</v>
      </c>
      <c r="AH278" s="31">
        <f>VLOOKUP($A278,kurspris!$A$1:$Q$950,7,FALSE)</f>
        <v>0</v>
      </c>
      <c r="AI278" s="31">
        <f>VLOOKUP($A278,kurspris!$A$1:$Q$950,8,FALSE)</f>
        <v>0</v>
      </c>
      <c r="AJ278" s="31">
        <f>VLOOKUP($A278,kurspris!$A$1:$Q$950,9,FALSE)</f>
        <v>1</v>
      </c>
      <c r="AK278" s="31">
        <f>VLOOKUP($A278,kurspris!$A$1:$Q$950,10,FALSE)</f>
        <v>0</v>
      </c>
      <c r="AL278" s="31">
        <f>VLOOKUP($A278,kurspris!$A$1:$Q$950,11,FALSE)</f>
        <v>0</v>
      </c>
      <c r="AM278" s="31">
        <f>VLOOKUP($A278,kurspris!$A$1:$Q$950,12,FALSE)</f>
        <v>0</v>
      </c>
      <c r="AN278" s="31">
        <f>VLOOKUP($A278,kurspris!$A$1:$Q$950,13,FALSE)</f>
        <v>0</v>
      </c>
      <c r="AO278" s="31">
        <f>VLOOKUP($A278,kurspris!$A$1:$Q$950,14,FALSE)</f>
        <v>0</v>
      </c>
      <c r="AP278" s="57" t="s">
        <v>2267</v>
      </c>
      <c r="AQ278" s="37"/>
      <c r="AR278" s="31">
        <f t="shared" si="125"/>
        <v>0</v>
      </c>
      <c r="AS278" s="219">
        <f t="shared" si="126"/>
        <v>0</v>
      </c>
      <c r="AT278" s="31">
        <f t="shared" si="127"/>
        <v>0</v>
      </c>
      <c r="AU278" s="219">
        <f t="shared" si="128"/>
        <v>0</v>
      </c>
      <c r="AV278" s="31">
        <f t="shared" si="129"/>
        <v>0</v>
      </c>
      <c r="AW278" s="31">
        <f t="shared" si="130"/>
        <v>0</v>
      </c>
      <c r="AX278" s="31">
        <f t="shared" si="131"/>
        <v>0</v>
      </c>
      <c r="AY278" s="219">
        <f t="shared" si="132"/>
        <v>0</v>
      </c>
      <c r="AZ278" s="196">
        <f t="shared" si="133"/>
        <v>0</v>
      </c>
      <c r="BA278" s="219">
        <f t="shared" si="134"/>
        <v>0</v>
      </c>
      <c r="BB278" s="31">
        <f t="shared" si="135"/>
        <v>0</v>
      </c>
      <c r="BC278" s="219">
        <f t="shared" si="136"/>
        <v>0</v>
      </c>
      <c r="BD278" s="31">
        <f t="shared" si="137"/>
        <v>5</v>
      </c>
      <c r="BE278" s="219">
        <f t="shared" si="138"/>
        <v>4</v>
      </c>
      <c r="BF278" s="31">
        <f t="shared" si="139"/>
        <v>0</v>
      </c>
      <c r="BG278" s="219">
        <f t="shared" si="140"/>
        <v>0</v>
      </c>
      <c r="BH278" s="31">
        <f t="shared" si="141"/>
        <v>0</v>
      </c>
      <c r="BI278" s="219">
        <f t="shared" si="142"/>
        <v>0</v>
      </c>
      <c r="BJ278" s="31">
        <f t="shared" si="143"/>
        <v>0</v>
      </c>
      <c r="BK278" s="219">
        <f t="shared" si="144"/>
        <v>0</v>
      </c>
      <c r="BL278" s="31">
        <f t="shared" si="145"/>
        <v>0</v>
      </c>
      <c r="BM278" s="219">
        <f t="shared" si="146"/>
        <v>0</v>
      </c>
      <c r="BN278" s="31">
        <f t="shared" si="147"/>
        <v>0</v>
      </c>
      <c r="BO278" s="219">
        <f t="shared" si="148"/>
        <v>0</v>
      </c>
    </row>
    <row r="279" spans="1:67" x14ac:dyDescent="0.25">
      <c r="A279" s="31" t="s">
        <v>2097</v>
      </c>
      <c r="B279" s="176" t="str">
        <f>VLOOKUP(A279,kurspris!$A$1:$B$992,2,FALSE)</f>
        <v>Hem- och konsumentkunskap B, distans</v>
      </c>
      <c r="D279" s="31" t="s">
        <v>117</v>
      </c>
      <c r="F279" s="31" t="s">
        <v>2273</v>
      </c>
      <c r="I279" s="31" t="s">
        <v>2275</v>
      </c>
      <c r="L279" s="38">
        <v>1</v>
      </c>
      <c r="M279" s="325">
        <v>30</v>
      </c>
      <c r="P279" s="173">
        <v>35</v>
      </c>
      <c r="Q279" s="196">
        <f>(M279/60)*P279</f>
        <v>17.5</v>
      </c>
      <c r="R279" s="38">
        <v>0.8</v>
      </c>
      <c r="S279" s="280">
        <f t="shared" si="121"/>
        <v>14</v>
      </c>
      <c r="T279" s="31">
        <f>VLOOKUP(A279,'Ansvar kurs'!$A$1:$C$1123,2,FALSE)</f>
        <v>2650</v>
      </c>
      <c r="U279" s="31" t="str">
        <f>VLOOKUP(T279,Orgenheter!$A$1:$C$166,2,FALSE)</f>
        <v>Inst för kost- och måltidsvetenskap</v>
      </c>
      <c r="V279" s="31" t="str">
        <f>VLOOKUP(T279,Orgenheter!$A$1:$C$166,3,FALSE)</f>
        <v>Sam</v>
      </c>
      <c r="W279" s="35" t="str">
        <f>VLOOKUP(D279,Program!$A$1:$B$36,2,FALSE)</f>
        <v>Fristående och övriga kurser</v>
      </c>
      <c r="X279" s="40">
        <f>VLOOKUP(A279,kurspris!$A$1:$Q$913,15,FALSE)</f>
        <v>20757</v>
      </c>
      <c r="Y279" s="40">
        <f>VLOOKUP(A279,kurspris!$A$1:$Q$913,16,FALSE)</f>
        <v>36082</v>
      </c>
      <c r="Z279" s="40">
        <f t="shared" si="122"/>
        <v>868395.5</v>
      </c>
      <c r="AA279" s="40">
        <f>VLOOKUP(A279,kurspris!$A$1:$Q$913,17,FALSE)</f>
        <v>22600</v>
      </c>
      <c r="AB279" s="40">
        <f t="shared" si="123"/>
        <v>395500</v>
      </c>
      <c r="AC279" s="40">
        <f t="shared" si="124"/>
        <v>1263895.5</v>
      </c>
      <c r="AD279" s="31">
        <f>VLOOKUP($A279,kurspris!$A$1:$Q$950,3,FALSE)</f>
        <v>0</v>
      </c>
      <c r="AE279" s="31">
        <f>VLOOKUP($A279,kurspris!$A$1:$Q$950,4,FALSE)</f>
        <v>0</v>
      </c>
      <c r="AF279" s="31">
        <f>VLOOKUP($A279,kurspris!$A$1:$Q$950,5,FALSE)</f>
        <v>0</v>
      </c>
      <c r="AG279" s="31">
        <f>VLOOKUP($A279,kurspris!$A$1:$Q$950,6,FALSE)</f>
        <v>0</v>
      </c>
      <c r="AH279" s="31">
        <f>VLOOKUP($A279,kurspris!$A$1:$Q$950,7,FALSE)</f>
        <v>0</v>
      </c>
      <c r="AI279" s="31">
        <f>VLOOKUP($A279,kurspris!$A$1:$Q$950,8,FALSE)</f>
        <v>1</v>
      </c>
      <c r="AJ279" s="31">
        <f>VLOOKUP($A279,kurspris!$A$1:$Q$950,9,FALSE)</f>
        <v>0</v>
      </c>
      <c r="AK279" s="31">
        <f>VLOOKUP($A279,kurspris!$A$1:$Q$950,10,FALSE)</f>
        <v>0</v>
      </c>
      <c r="AL279" s="31">
        <f>VLOOKUP($A279,kurspris!$A$1:$Q$950,11,FALSE)</f>
        <v>0</v>
      </c>
      <c r="AM279" s="31">
        <f>VLOOKUP($A279,kurspris!$A$1:$Q$950,12,FALSE)</f>
        <v>0</v>
      </c>
      <c r="AN279" s="31">
        <f>VLOOKUP($A279,kurspris!$A$1:$Q$950,13,FALSE)</f>
        <v>0</v>
      </c>
      <c r="AO279" s="31">
        <f>VLOOKUP($A279,kurspris!$A$1:$Q$950,14,FALSE)</f>
        <v>0</v>
      </c>
      <c r="AP279" s="57" t="s">
        <v>2267</v>
      </c>
      <c r="AQ279" s="37"/>
      <c r="AR279" s="31">
        <f t="shared" si="125"/>
        <v>0</v>
      </c>
      <c r="AS279" s="219">
        <f t="shared" si="126"/>
        <v>0</v>
      </c>
      <c r="AT279" s="31">
        <f t="shared" si="127"/>
        <v>0</v>
      </c>
      <c r="AU279" s="219">
        <f t="shared" si="128"/>
        <v>0</v>
      </c>
      <c r="AV279" s="31">
        <f t="shared" si="129"/>
        <v>0</v>
      </c>
      <c r="AW279" s="31">
        <f t="shared" si="130"/>
        <v>0</v>
      </c>
      <c r="AX279" s="31">
        <f t="shared" si="131"/>
        <v>0</v>
      </c>
      <c r="AY279" s="219">
        <f t="shared" si="132"/>
        <v>0</v>
      </c>
      <c r="AZ279" s="196">
        <f t="shared" si="133"/>
        <v>0</v>
      </c>
      <c r="BA279" s="219">
        <f t="shared" si="134"/>
        <v>0</v>
      </c>
      <c r="BB279" s="31">
        <f t="shared" si="135"/>
        <v>17.5</v>
      </c>
      <c r="BC279" s="219">
        <f t="shared" si="136"/>
        <v>14</v>
      </c>
      <c r="BD279" s="31">
        <f t="shared" si="137"/>
        <v>0</v>
      </c>
      <c r="BE279" s="219">
        <f t="shared" si="138"/>
        <v>0</v>
      </c>
      <c r="BF279" s="31">
        <f t="shared" si="139"/>
        <v>0</v>
      </c>
      <c r="BG279" s="219">
        <f t="shared" si="140"/>
        <v>0</v>
      </c>
      <c r="BH279" s="31">
        <f t="shared" si="141"/>
        <v>0</v>
      </c>
      <c r="BI279" s="219">
        <f t="shared" si="142"/>
        <v>0</v>
      </c>
      <c r="BJ279" s="31">
        <f t="shared" si="143"/>
        <v>0</v>
      </c>
      <c r="BK279" s="219">
        <f t="shared" si="144"/>
        <v>0</v>
      </c>
      <c r="BL279" s="31">
        <f t="shared" si="145"/>
        <v>0</v>
      </c>
      <c r="BM279" s="219">
        <f t="shared" si="146"/>
        <v>0</v>
      </c>
      <c r="BN279" s="31">
        <f t="shared" si="147"/>
        <v>0</v>
      </c>
      <c r="BO279" s="219">
        <f t="shared" si="148"/>
        <v>0</v>
      </c>
    </row>
    <row r="280" spans="1:67" x14ac:dyDescent="0.25">
      <c r="A280" s="31" t="s">
        <v>2098</v>
      </c>
      <c r="B280" s="176" t="str">
        <f>VLOOKUP(A280,kurspris!$A$1:$B$992,2,FALSE)</f>
        <v>Hem- och konsumentkunskap B15, distans</v>
      </c>
      <c r="D280" s="31" t="s">
        <v>117</v>
      </c>
      <c r="F280" s="31" t="s">
        <v>2273</v>
      </c>
      <c r="I280" s="31" t="s">
        <v>2275</v>
      </c>
      <c r="L280" s="38">
        <v>1</v>
      </c>
      <c r="M280" s="325">
        <v>15</v>
      </c>
      <c r="P280" s="173">
        <v>15</v>
      </c>
      <c r="Q280" s="196">
        <f>(M280/60)*P280</f>
        <v>3.75</v>
      </c>
      <c r="R280" s="38">
        <v>0.8</v>
      </c>
      <c r="S280" s="280">
        <f t="shared" si="121"/>
        <v>3</v>
      </c>
      <c r="T280" s="31">
        <f>VLOOKUP(A280,'Ansvar kurs'!$A$1:$C$1123,2,FALSE)</f>
        <v>2650</v>
      </c>
      <c r="U280" s="31" t="str">
        <f>VLOOKUP(T280,Orgenheter!$A$1:$C$166,2,FALSE)</f>
        <v>Inst för kost- och måltidsvetenskap</v>
      </c>
      <c r="V280" s="31" t="str">
        <f>VLOOKUP(T280,Orgenheter!$A$1:$C$166,3,FALSE)</f>
        <v>Sam</v>
      </c>
      <c r="W280" s="35" t="str">
        <f>VLOOKUP(D280,Program!$A$1:$B$36,2,FALSE)</f>
        <v>Fristående och övriga kurser</v>
      </c>
      <c r="X280" s="40">
        <f>VLOOKUP(A280,kurspris!$A$1:$Q$913,15,FALSE)</f>
        <v>20757</v>
      </c>
      <c r="Y280" s="40">
        <f>VLOOKUP(A280,kurspris!$A$1:$Q$913,16,FALSE)</f>
        <v>36082</v>
      </c>
      <c r="Z280" s="40">
        <f t="shared" si="122"/>
        <v>186084.75</v>
      </c>
      <c r="AA280" s="40">
        <f>VLOOKUP(A280,kurspris!$A$1:$Q$913,17,FALSE)</f>
        <v>22600</v>
      </c>
      <c r="AB280" s="40">
        <f t="shared" si="123"/>
        <v>84750</v>
      </c>
      <c r="AC280" s="40">
        <f t="shared" si="124"/>
        <v>270834.75</v>
      </c>
      <c r="AD280" s="31">
        <f>VLOOKUP($A280,kurspris!$A$1:$Q$950,3,FALSE)</f>
        <v>0</v>
      </c>
      <c r="AE280" s="31">
        <f>VLOOKUP($A280,kurspris!$A$1:$Q$950,4,FALSE)</f>
        <v>0</v>
      </c>
      <c r="AF280" s="31">
        <f>VLOOKUP($A280,kurspris!$A$1:$Q$950,5,FALSE)</f>
        <v>0</v>
      </c>
      <c r="AG280" s="31">
        <f>VLOOKUP($A280,kurspris!$A$1:$Q$950,6,FALSE)</f>
        <v>0</v>
      </c>
      <c r="AH280" s="31">
        <f>VLOOKUP($A280,kurspris!$A$1:$Q$950,7,FALSE)</f>
        <v>0</v>
      </c>
      <c r="AI280" s="31">
        <f>VLOOKUP($A280,kurspris!$A$1:$Q$950,8,FALSE)</f>
        <v>1</v>
      </c>
      <c r="AJ280" s="31">
        <f>VLOOKUP($A280,kurspris!$A$1:$Q$950,9,FALSE)</f>
        <v>0</v>
      </c>
      <c r="AK280" s="31">
        <f>VLOOKUP($A280,kurspris!$A$1:$Q$950,10,FALSE)</f>
        <v>0</v>
      </c>
      <c r="AL280" s="31">
        <f>VLOOKUP($A280,kurspris!$A$1:$Q$950,11,FALSE)</f>
        <v>0</v>
      </c>
      <c r="AM280" s="31">
        <f>VLOOKUP($A280,kurspris!$A$1:$Q$950,12,FALSE)</f>
        <v>0</v>
      </c>
      <c r="AN280" s="31">
        <f>VLOOKUP($A280,kurspris!$A$1:$Q$950,13,FALSE)</f>
        <v>0</v>
      </c>
      <c r="AO280" s="31">
        <f>VLOOKUP($A280,kurspris!$A$1:$Q$950,14,FALSE)</f>
        <v>0</v>
      </c>
      <c r="AP280" s="57" t="s">
        <v>2267</v>
      </c>
      <c r="AQ280" s="37"/>
      <c r="AR280" s="31">
        <f t="shared" si="125"/>
        <v>0</v>
      </c>
      <c r="AS280" s="219">
        <f t="shared" si="126"/>
        <v>0</v>
      </c>
      <c r="AT280" s="31">
        <f t="shared" si="127"/>
        <v>0</v>
      </c>
      <c r="AU280" s="219">
        <f t="shared" si="128"/>
        <v>0</v>
      </c>
      <c r="AV280" s="31">
        <f t="shared" si="129"/>
        <v>0</v>
      </c>
      <c r="AW280" s="31">
        <f t="shared" si="130"/>
        <v>0</v>
      </c>
      <c r="AX280" s="31">
        <f t="shared" si="131"/>
        <v>0</v>
      </c>
      <c r="AY280" s="219">
        <f t="shared" si="132"/>
        <v>0</v>
      </c>
      <c r="AZ280" s="196">
        <f t="shared" si="133"/>
        <v>0</v>
      </c>
      <c r="BA280" s="219">
        <f t="shared" si="134"/>
        <v>0</v>
      </c>
      <c r="BB280" s="31">
        <f t="shared" si="135"/>
        <v>3.75</v>
      </c>
      <c r="BC280" s="219">
        <f t="shared" si="136"/>
        <v>3</v>
      </c>
      <c r="BD280" s="31">
        <f t="shared" si="137"/>
        <v>0</v>
      </c>
      <c r="BE280" s="219">
        <f t="shared" si="138"/>
        <v>0</v>
      </c>
      <c r="BF280" s="31">
        <f t="shared" si="139"/>
        <v>0</v>
      </c>
      <c r="BG280" s="219">
        <f t="shared" si="140"/>
        <v>0</v>
      </c>
      <c r="BH280" s="31">
        <f t="shared" si="141"/>
        <v>0</v>
      </c>
      <c r="BI280" s="219">
        <f t="shared" si="142"/>
        <v>0</v>
      </c>
      <c r="BJ280" s="31">
        <f t="shared" si="143"/>
        <v>0</v>
      </c>
      <c r="BK280" s="219">
        <f t="shared" si="144"/>
        <v>0</v>
      </c>
      <c r="BL280" s="31">
        <f t="shared" si="145"/>
        <v>0</v>
      </c>
      <c r="BM280" s="219">
        <f t="shared" si="146"/>
        <v>0</v>
      </c>
      <c r="BN280" s="31">
        <f t="shared" si="147"/>
        <v>0</v>
      </c>
      <c r="BO280" s="219">
        <f t="shared" si="148"/>
        <v>0</v>
      </c>
    </row>
    <row r="281" spans="1:67" x14ac:dyDescent="0.25">
      <c r="A281" s="31" t="s">
        <v>2160</v>
      </c>
      <c r="B281" s="176" t="str">
        <f>VLOOKUP(A281,kurspris!$A$1:$B$992,2,FALSE)</f>
        <v>Vetenskaplig metod med inriktning hem- och konsumentkunskap</v>
      </c>
      <c r="C281" s="31">
        <v>72803</v>
      </c>
      <c r="D281" s="60" t="s">
        <v>117</v>
      </c>
      <c r="E281" s="60"/>
      <c r="F281" s="57" t="s">
        <v>2274</v>
      </c>
      <c r="H281" s="31" t="s">
        <v>2335</v>
      </c>
      <c r="I281" s="31" t="s">
        <v>2275</v>
      </c>
      <c r="L281" s="38"/>
      <c r="M281">
        <v>7.5</v>
      </c>
      <c r="P281" s="31">
        <v>17</v>
      </c>
      <c r="Q281" s="539">
        <v>2.125</v>
      </c>
      <c r="R281" s="38">
        <v>0.8</v>
      </c>
      <c r="S281" s="280">
        <f t="shared" si="121"/>
        <v>1.7000000000000002</v>
      </c>
      <c r="T281" s="31">
        <f>VLOOKUP(A281,'Ansvar kurs'!$A$1:$C$1123,2,FALSE)</f>
        <v>2650</v>
      </c>
      <c r="U281" s="31" t="str">
        <f>VLOOKUP(T281,Orgenheter!$A$1:$C$166,2,FALSE)</f>
        <v>Inst för kost- och måltidsvetenskap</v>
      </c>
      <c r="V281" s="31" t="str">
        <f>VLOOKUP(T281,Orgenheter!$A$1:$C$166,3,FALSE)</f>
        <v>Sam</v>
      </c>
      <c r="W281" s="35" t="str">
        <f>VLOOKUP(D281,Program!$A$1:$B$36,2,FALSE)</f>
        <v>Fristående och övriga kurser</v>
      </c>
      <c r="X281" s="40">
        <f>VLOOKUP(A281,kurspris!$A$1:$Q$913,15,FALSE)</f>
        <v>20766</v>
      </c>
      <c r="Y281" s="40">
        <f>VLOOKUP(A281,kurspris!$A$1:$Q$913,16,FALSE)</f>
        <v>17442</v>
      </c>
      <c r="Z281" s="40">
        <f t="shared" si="122"/>
        <v>73779.149999999994</v>
      </c>
      <c r="AA281" s="40">
        <f>VLOOKUP(A281,kurspris!$A$1:$Q$913,17,FALSE)</f>
        <v>6000</v>
      </c>
      <c r="AB281" s="40">
        <f t="shared" si="123"/>
        <v>12750</v>
      </c>
      <c r="AC281" s="40">
        <f t="shared" si="124"/>
        <v>86529.15</v>
      </c>
      <c r="AD281" s="31">
        <f>VLOOKUP($A281,kurspris!$A$1:$Q$950,3,FALSE)</f>
        <v>0</v>
      </c>
      <c r="AE281" s="31">
        <f>VLOOKUP($A281,kurspris!$A$1:$Q$950,4,FALSE)</f>
        <v>0</v>
      </c>
      <c r="AF281" s="31">
        <f>VLOOKUP($A281,kurspris!$A$1:$Q$950,5,FALSE)</f>
        <v>0</v>
      </c>
      <c r="AG281" s="31">
        <f>VLOOKUP($A281,kurspris!$A$1:$Q$950,6,FALSE)</f>
        <v>0</v>
      </c>
      <c r="AH281" s="31">
        <f>VLOOKUP($A281,kurspris!$A$1:$Q$950,7,FALSE)</f>
        <v>0</v>
      </c>
      <c r="AI281" s="31">
        <f>VLOOKUP($A281,kurspris!$A$1:$Q$950,8,FALSE)</f>
        <v>0</v>
      </c>
      <c r="AJ281" s="31">
        <f>VLOOKUP($A281,kurspris!$A$1:$Q$950,9,FALSE)</f>
        <v>1</v>
      </c>
      <c r="AK281" s="31">
        <f>VLOOKUP($A281,kurspris!$A$1:$Q$950,10,FALSE)</f>
        <v>0</v>
      </c>
      <c r="AL281" s="31">
        <f>VLOOKUP($A281,kurspris!$A$1:$Q$950,11,FALSE)</f>
        <v>0</v>
      </c>
      <c r="AM281" s="31">
        <f>VLOOKUP($A281,kurspris!$A$1:$Q$950,12,FALSE)</f>
        <v>0</v>
      </c>
      <c r="AN281" s="31">
        <f>VLOOKUP($A281,kurspris!$A$1:$Q$950,13,FALSE)</f>
        <v>0</v>
      </c>
      <c r="AO281" s="31">
        <f>VLOOKUP($A281,kurspris!$A$1:$Q$950,14,FALSE)</f>
        <v>0</v>
      </c>
      <c r="AP281" s="57" t="s">
        <v>2402</v>
      </c>
      <c r="AQ281"/>
      <c r="AR281" s="31">
        <f t="shared" si="125"/>
        <v>0</v>
      </c>
      <c r="AS281" s="219">
        <f t="shared" si="126"/>
        <v>0</v>
      </c>
      <c r="AT281" s="31">
        <f t="shared" si="127"/>
        <v>0</v>
      </c>
      <c r="AU281" s="219">
        <f t="shared" si="128"/>
        <v>0</v>
      </c>
      <c r="AV281" s="31">
        <f t="shared" si="129"/>
        <v>0</v>
      </c>
      <c r="AW281" s="31">
        <f t="shared" si="130"/>
        <v>0</v>
      </c>
      <c r="AX281" s="31">
        <f t="shared" si="131"/>
        <v>0</v>
      </c>
      <c r="AY281" s="219">
        <f t="shared" si="132"/>
        <v>0</v>
      </c>
      <c r="AZ281" s="196">
        <f t="shared" si="133"/>
        <v>0</v>
      </c>
      <c r="BA281" s="219">
        <f t="shared" si="134"/>
        <v>0</v>
      </c>
      <c r="BB281" s="31">
        <f t="shared" si="135"/>
        <v>0</v>
      </c>
      <c r="BC281" s="219">
        <f t="shared" si="136"/>
        <v>0</v>
      </c>
      <c r="BD281" s="31">
        <f t="shared" si="137"/>
        <v>2.125</v>
      </c>
      <c r="BE281" s="219">
        <f t="shared" si="138"/>
        <v>1.7000000000000002</v>
      </c>
      <c r="BF281" s="31">
        <f t="shared" si="139"/>
        <v>0</v>
      </c>
      <c r="BG281" s="219">
        <f t="shared" si="140"/>
        <v>0</v>
      </c>
      <c r="BH281" s="31">
        <f t="shared" si="141"/>
        <v>0</v>
      </c>
      <c r="BI281" s="219">
        <f t="shared" si="142"/>
        <v>0</v>
      </c>
      <c r="BJ281" s="31">
        <f t="shared" si="143"/>
        <v>0</v>
      </c>
      <c r="BK281" s="219">
        <f t="shared" si="144"/>
        <v>0</v>
      </c>
      <c r="BL281" s="31">
        <f t="shared" si="145"/>
        <v>0</v>
      </c>
      <c r="BM281" s="219">
        <f t="shared" si="146"/>
        <v>0</v>
      </c>
      <c r="BN281" s="31">
        <f t="shared" si="147"/>
        <v>0</v>
      </c>
      <c r="BO281" s="219">
        <f t="shared" si="148"/>
        <v>0</v>
      </c>
    </row>
    <row r="282" spans="1:67" x14ac:dyDescent="0.25">
      <c r="A282" s="31" t="s">
        <v>2161</v>
      </c>
      <c r="B282" s="176" t="str">
        <f>VLOOKUP(A282,kurspris!$A$1:$B$992,2,FALSE)</f>
        <v>Uppsats med inriktning hem- och konsumentkunskap</v>
      </c>
      <c r="C282" s="31">
        <v>72805</v>
      </c>
      <c r="D282" s="60" t="s">
        <v>117</v>
      </c>
      <c r="E282" s="60"/>
      <c r="F282" s="57" t="s">
        <v>2274</v>
      </c>
      <c r="H282" s="31" t="s">
        <v>2394</v>
      </c>
      <c r="I282" s="31" t="s">
        <v>2275</v>
      </c>
      <c r="L282" s="38"/>
      <c r="M282">
        <v>15</v>
      </c>
      <c r="P282" s="31">
        <v>15</v>
      </c>
      <c r="Q282" s="539">
        <v>3.75</v>
      </c>
      <c r="R282" s="38">
        <v>0.8</v>
      </c>
      <c r="S282" s="280">
        <f t="shared" si="121"/>
        <v>3</v>
      </c>
      <c r="T282" s="31">
        <f>VLOOKUP(A282,'Ansvar kurs'!$A$1:$C$1123,2,FALSE)</f>
        <v>2650</v>
      </c>
      <c r="U282" s="31" t="str">
        <f>VLOOKUP(T282,Orgenheter!$A$1:$C$166,2,FALSE)</f>
        <v>Inst för kost- och måltidsvetenskap</v>
      </c>
      <c r="V282" s="31" t="str">
        <f>VLOOKUP(T282,Orgenheter!$A$1:$C$166,3,FALSE)</f>
        <v>Sam</v>
      </c>
      <c r="W282" s="35" t="str">
        <f>VLOOKUP(D282,Program!$A$1:$B$36,2,FALSE)</f>
        <v>Fristående och övriga kurser</v>
      </c>
      <c r="X282" s="40">
        <f>VLOOKUP(A282,kurspris!$A$1:$Q$913,15,FALSE)</f>
        <v>20766</v>
      </c>
      <c r="Y282" s="40">
        <f>VLOOKUP(A282,kurspris!$A$1:$Q$913,16,FALSE)</f>
        <v>17442</v>
      </c>
      <c r="Z282" s="40">
        <f t="shared" si="122"/>
        <v>130198.5</v>
      </c>
      <c r="AA282" s="40">
        <f>VLOOKUP(A282,kurspris!$A$1:$Q$913,17,FALSE)</f>
        <v>6000</v>
      </c>
      <c r="AB282" s="40">
        <f t="shared" si="123"/>
        <v>22500</v>
      </c>
      <c r="AC282" s="40">
        <f t="shared" si="124"/>
        <v>152698.5</v>
      </c>
      <c r="AD282" s="31">
        <f>VLOOKUP($A282,kurspris!$A$1:$Q$950,3,FALSE)</f>
        <v>0</v>
      </c>
      <c r="AE282" s="31">
        <f>VLOOKUP($A282,kurspris!$A$1:$Q$950,4,FALSE)</f>
        <v>0</v>
      </c>
      <c r="AF282" s="31">
        <f>VLOOKUP($A282,kurspris!$A$1:$Q$950,5,FALSE)</f>
        <v>0</v>
      </c>
      <c r="AG282" s="31">
        <f>VLOOKUP($A282,kurspris!$A$1:$Q$950,6,FALSE)</f>
        <v>0</v>
      </c>
      <c r="AH282" s="31">
        <f>VLOOKUP($A282,kurspris!$A$1:$Q$950,7,FALSE)</f>
        <v>0</v>
      </c>
      <c r="AI282" s="31">
        <f>VLOOKUP($A282,kurspris!$A$1:$Q$950,8,FALSE)</f>
        <v>0</v>
      </c>
      <c r="AJ282" s="31">
        <f>VLOOKUP($A282,kurspris!$A$1:$Q$950,9,FALSE)</f>
        <v>1</v>
      </c>
      <c r="AK282" s="31">
        <f>VLOOKUP($A282,kurspris!$A$1:$Q$950,10,FALSE)</f>
        <v>0</v>
      </c>
      <c r="AL282" s="31">
        <f>VLOOKUP($A282,kurspris!$A$1:$Q$950,11,FALSE)</f>
        <v>0</v>
      </c>
      <c r="AM282" s="31">
        <f>VLOOKUP($A282,kurspris!$A$1:$Q$950,12,FALSE)</f>
        <v>0</v>
      </c>
      <c r="AN282" s="31">
        <f>VLOOKUP($A282,kurspris!$A$1:$Q$950,13,FALSE)</f>
        <v>0</v>
      </c>
      <c r="AO282" s="31">
        <f>VLOOKUP($A282,kurspris!$A$1:$Q$950,14,FALSE)</f>
        <v>0</v>
      </c>
      <c r="AP282" s="57" t="s">
        <v>2402</v>
      </c>
      <c r="AQ282"/>
      <c r="AR282" s="31">
        <f t="shared" si="125"/>
        <v>0</v>
      </c>
      <c r="AS282" s="219">
        <f t="shared" si="126"/>
        <v>0</v>
      </c>
      <c r="AT282" s="31">
        <f t="shared" si="127"/>
        <v>0</v>
      </c>
      <c r="AU282" s="219">
        <f t="shared" si="128"/>
        <v>0</v>
      </c>
      <c r="AV282" s="31">
        <f t="shared" si="129"/>
        <v>0</v>
      </c>
      <c r="AW282" s="31">
        <f t="shared" si="130"/>
        <v>0</v>
      </c>
      <c r="AX282" s="31">
        <f t="shared" si="131"/>
        <v>0</v>
      </c>
      <c r="AY282" s="219">
        <f t="shared" si="132"/>
        <v>0</v>
      </c>
      <c r="AZ282" s="196">
        <f t="shared" si="133"/>
        <v>0</v>
      </c>
      <c r="BA282" s="219">
        <f t="shared" si="134"/>
        <v>0</v>
      </c>
      <c r="BB282" s="31">
        <f t="shared" si="135"/>
        <v>0</v>
      </c>
      <c r="BC282" s="219">
        <f t="shared" si="136"/>
        <v>0</v>
      </c>
      <c r="BD282" s="31">
        <f t="shared" si="137"/>
        <v>3.75</v>
      </c>
      <c r="BE282" s="219">
        <f t="shared" si="138"/>
        <v>3</v>
      </c>
      <c r="BF282" s="31">
        <f t="shared" si="139"/>
        <v>0</v>
      </c>
      <c r="BG282" s="219">
        <f t="shared" si="140"/>
        <v>0</v>
      </c>
      <c r="BH282" s="31">
        <f t="shared" si="141"/>
        <v>0</v>
      </c>
      <c r="BI282" s="219">
        <f t="shared" si="142"/>
        <v>0</v>
      </c>
      <c r="BJ282" s="31">
        <f t="shared" si="143"/>
        <v>0</v>
      </c>
      <c r="BK282" s="219">
        <f t="shared" si="144"/>
        <v>0</v>
      </c>
      <c r="BL282" s="31">
        <f t="shared" si="145"/>
        <v>0</v>
      </c>
      <c r="BM282" s="219">
        <f t="shared" si="146"/>
        <v>0</v>
      </c>
      <c r="BN282" s="31">
        <f t="shared" si="147"/>
        <v>0</v>
      </c>
      <c r="BO282" s="219">
        <f t="shared" si="148"/>
        <v>0</v>
      </c>
    </row>
    <row r="283" spans="1:67" x14ac:dyDescent="0.25">
      <c r="A283" s="31" t="s">
        <v>2384</v>
      </c>
      <c r="B283" s="176" t="str">
        <f>VLOOKUP(A283,kurspris!$A$1:$B$992,2,FALSE)</f>
        <v>Hälsokommunikation och sociologiska perspektiv inom hem- och konsumentkunskap</v>
      </c>
      <c r="C283" s="31">
        <v>72806</v>
      </c>
      <c r="D283" s="60" t="s">
        <v>117</v>
      </c>
      <c r="E283" s="60"/>
      <c r="F283" s="57" t="s">
        <v>2274</v>
      </c>
      <c r="H283" s="31" t="s">
        <v>2395</v>
      </c>
      <c r="I283" s="31" t="s">
        <v>2275</v>
      </c>
      <c r="L283" s="38"/>
      <c r="M283">
        <v>7.5</v>
      </c>
      <c r="P283" s="31">
        <v>18</v>
      </c>
      <c r="Q283" s="539">
        <v>2.25</v>
      </c>
      <c r="R283" s="38">
        <v>0.8</v>
      </c>
      <c r="S283" s="280">
        <f t="shared" si="121"/>
        <v>1.8</v>
      </c>
      <c r="T283" s="31">
        <f>VLOOKUP(A283,'Ansvar kurs'!$A$1:$C$1123,2,FALSE)</f>
        <v>2650</v>
      </c>
      <c r="U283" s="31" t="str">
        <f>VLOOKUP(T283,Orgenheter!$A$1:$C$166,2,FALSE)</f>
        <v>Inst för kost- och måltidsvetenskap</v>
      </c>
      <c r="V283" s="31" t="str">
        <f>VLOOKUP(T283,Orgenheter!$A$1:$C$166,3,FALSE)</f>
        <v>Sam</v>
      </c>
      <c r="W283" s="35" t="str">
        <f>VLOOKUP(D283,Program!$A$1:$B$36,2,FALSE)</f>
        <v>Fristående och övriga kurser</v>
      </c>
      <c r="X283" s="40">
        <f>VLOOKUP(A283,kurspris!$A$1:$Q$913,15,FALSE)</f>
        <v>20766</v>
      </c>
      <c r="Y283" s="40">
        <f>VLOOKUP(A283,kurspris!$A$1:$Q$913,16,FALSE)</f>
        <v>17442</v>
      </c>
      <c r="Z283" s="40">
        <f t="shared" si="122"/>
        <v>78119.100000000006</v>
      </c>
      <c r="AA283" s="40">
        <f>VLOOKUP(A283,kurspris!$A$1:$Q$913,17,FALSE)</f>
        <v>6000</v>
      </c>
      <c r="AB283" s="40">
        <f t="shared" si="123"/>
        <v>13500</v>
      </c>
      <c r="AC283" s="40">
        <f t="shared" si="124"/>
        <v>91619.1</v>
      </c>
      <c r="AD283" s="31">
        <f>VLOOKUP($A283,kurspris!$A$1:$Q$950,3,FALSE)</f>
        <v>0</v>
      </c>
      <c r="AE283" s="31">
        <f>VLOOKUP($A283,kurspris!$A$1:$Q$950,4,FALSE)</f>
        <v>0</v>
      </c>
      <c r="AF283" s="31">
        <f>VLOOKUP($A283,kurspris!$A$1:$Q$950,5,FALSE)</f>
        <v>0</v>
      </c>
      <c r="AG283" s="31">
        <f>VLOOKUP($A283,kurspris!$A$1:$Q$950,6,FALSE)</f>
        <v>0</v>
      </c>
      <c r="AH283" s="31">
        <f>VLOOKUP($A283,kurspris!$A$1:$Q$950,7,FALSE)</f>
        <v>0</v>
      </c>
      <c r="AI283" s="31">
        <f>VLOOKUP($A283,kurspris!$A$1:$Q$950,8,FALSE)</f>
        <v>0</v>
      </c>
      <c r="AJ283" s="31">
        <f>VLOOKUP($A283,kurspris!$A$1:$Q$950,9,FALSE)</f>
        <v>1</v>
      </c>
      <c r="AK283" s="31">
        <f>VLOOKUP($A283,kurspris!$A$1:$Q$950,10,FALSE)</f>
        <v>0</v>
      </c>
      <c r="AL283" s="31">
        <f>VLOOKUP($A283,kurspris!$A$1:$Q$950,11,FALSE)</f>
        <v>0</v>
      </c>
      <c r="AM283" s="31">
        <f>VLOOKUP($A283,kurspris!$A$1:$Q$950,12,FALSE)</f>
        <v>0</v>
      </c>
      <c r="AN283" s="31">
        <f>VLOOKUP($A283,kurspris!$A$1:$Q$950,13,FALSE)</f>
        <v>0</v>
      </c>
      <c r="AO283" s="31">
        <f>VLOOKUP($A283,kurspris!$A$1:$Q$950,14,FALSE)</f>
        <v>0</v>
      </c>
      <c r="AP283" s="57" t="s">
        <v>2402</v>
      </c>
      <c r="AQ283"/>
      <c r="AR283" s="31">
        <f t="shared" si="125"/>
        <v>0</v>
      </c>
      <c r="AS283" s="219">
        <f t="shared" si="126"/>
        <v>0</v>
      </c>
      <c r="AT283" s="31">
        <f t="shared" si="127"/>
        <v>0</v>
      </c>
      <c r="AU283" s="219">
        <f t="shared" si="128"/>
        <v>0</v>
      </c>
      <c r="AV283" s="31">
        <f t="shared" si="129"/>
        <v>0</v>
      </c>
      <c r="AW283" s="31">
        <f t="shared" si="130"/>
        <v>0</v>
      </c>
      <c r="AX283" s="31">
        <f t="shared" si="131"/>
        <v>0</v>
      </c>
      <c r="AY283" s="219">
        <f t="shared" si="132"/>
        <v>0</v>
      </c>
      <c r="AZ283" s="196">
        <f t="shared" si="133"/>
        <v>0</v>
      </c>
      <c r="BA283" s="219">
        <f t="shared" si="134"/>
        <v>0</v>
      </c>
      <c r="BB283" s="31">
        <f t="shared" si="135"/>
        <v>0</v>
      </c>
      <c r="BC283" s="219">
        <f t="shared" si="136"/>
        <v>0</v>
      </c>
      <c r="BD283" s="31">
        <f t="shared" si="137"/>
        <v>2.25</v>
      </c>
      <c r="BE283" s="219">
        <f t="shared" si="138"/>
        <v>1.8</v>
      </c>
      <c r="BF283" s="31">
        <f t="shared" si="139"/>
        <v>0</v>
      </c>
      <c r="BG283" s="219">
        <f t="shared" si="140"/>
        <v>0</v>
      </c>
      <c r="BH283" s="31">
        <f t="shared" si="141"/>
        <v>0</v>
      </c>
      <c r="BI283" s="219">
        <f t="shared" si="142"/>
        <v>0</v>
      </c>
      <c r="BJ283" s="31">
        <f t="shared" si="143"/>
        <v>0</v>
      </c>
      <c r="BK283" s="219">
        <f t="shared" si="144"/>
        <v>0</v>
      </c>
      <c r="BL283" s="31">
        <f t="shared" si="145"/>
        <v>0</v>
      </c>
      <c r="BM283" s="219">
        <f t="shared" si="146"/>
        <v>0</v>
      </c>
      <c r="BN283" s="31">
        <f t="shared" si="147"/>
        <v>0</v>
      </c>
      <c r="BO283" s="219">
        <f t="shared" si="148"/>
        <v>0</v>
      </c>
    </row>
    <row r="284" spans="1:67" x14ac:dyDescent="0.25">
      <c r="A284" s="31" t="s">
        <v>2149</v>
      </c>
      <c r="B284" s="176" t="str">
        <f>VLOOKUP(A284,kurspris!$A$1:$B$992,2,FALSE)</f>
        <v>Undervisning och lärande (UVK)</v>
      </c>
      <c r="D284" s="60" t="s">
        <v>2155</v>
      </c>
      <c r="E284" s="576" t="s">
        <v>2429</v>
      </c>
      <c r="F284" s="31" t="s">
        <v>2273</v>
      </c>
      <c r="G284" s="31" t="s">
        <v>2458</v>
      </c>
      <c r="H284" s="31" t="s">
        <v>2335</v>
      </c>
      <c r="I284" s="31" t="s">
        <v>2276</v>
      </c>
      <c r="L284" s="38">
        <v>1</v>
      </c>
      <c r="M284" s="325">
        <v>15</v>
      </c>
      <c r="P284" s="31">
        <v>2</v>
      </c>
      <c r="Q284" s="196">
        <f t="shared" ref="Q284:Q289" si="149">(M284/60)*P284</f>
        <v>0.5</v>
      </c>
      <c r="R284" s="38">
        <v>0.85</v>
      </c>
      <c r="S284" s="280">
        <f t="shared" si="121"/>
        <v>0.42499999999999999</v>
      </c>
      <c r="T284" s="31">
        <f>VLOOKUP(A284,'Ansvar kurs'!$A$1:$C$1123,2,FALSE)</f>
        <v>2180</v>
      </c>
      <c r="U284" s="31" t="str">
        <f>VLOOKUP(T284,Orgenheter!$A$1:$C$166,2,FALSE)</f>
        <v xml:space="preserve">Pedagogik                     </v>
      </c>
      <c r="V284" s="31" t="str">
        <f>VLOOKUP(T284,Orgenheter!$A$1:$C$166,3,FALSE)</f>
        <v>Sam</v>
      </c>
      <c r="W284" s="35" t="str">
        <f>VLOOKUP(D284,Program!$A$1:$B$36,2,FALSE)</f>
        <v>KPU - åk 7-9 och Gy</v>
      </c>
      <c r="X284" s="40">
        <f>VLOOKUP(A284,kurspris!$A$1:$Q$913,15,FALSE)</f>
        <v>26554</v>
      </c>
      <c r="Y284" s="40">
        <f>VLOOKUP(A284,kurspris!$A$1:$Q$913,16,FALSE)</f>
        <v>33465</v>
      </c>
      <c r="Z284" s="40">
        <f t="shared" si="122"/>
        <v>27499.625</v>
      </c>
      <c r="AA284" s="40">
        <f>VLOOKUP(A284,kurspris!$A$1:$Q$913,17,FALSE)</f>
        <v>6000</v>
      </c>
      <c r="AB284" s="40">
        <f t="shared" si="123"/>
        <v>3000</v>
      </c>
      <c r="AC284" s="40">
        <f t="shared" si="124"/>
        <v>30499.625</v>
      </c>
      <c r="AD284" s="31">
        <f>VLOOKUP($A284,kurspris!$A$1:$Q$950,3,FALSE)</f>
        <v>0</v>
      </c>
      <c r="AE284" s="31">
        <f>VLOOKUP($A284,kurspris!$A$1:$Q$950,4,FALSE)</f>
        <v>0</v>
      </c>
      <c r="AF284" s="31">
        <f>VLOOKUP($A284,kurspris!$A$1:$Q$950,5,FALSE)</f>
        <v>0</v>
      </c>
      <c r="AG284" s="31">
        <f>VLOOKUP($A284,kurspris!$A$1:$Q$950,6,FALSE)</f>
        <v>1</v>
      </c>
      <c r="AH284" s="31">
        <f>VLOOKUP($A284,kurspris!$A$1:$Q$950,7,FALSE)</f>
        <v>0</v>
      </c>
      <c r="AI284" s="31">
        <f>VLOOKUP($A284,kurspris!$A$1:$Q$950,8,FALSE)</f>
        <v>0</v>
      </c>
      <c r="AJ284" s="31">
        <f>VLOOKUP($A284,kurspris!$A$1:$Q$950,9,FALSE)</f>
        <v>0</v>
      </c>
      <c r="AK284" s="31">
        <f>VLOOKUP($A284,kurspris!$A$1:$Q$950,10,FALSE)</f>
        <v>0</v>
      </c>
      <c r="AL284" s="31">
        <f>VLOOKUP($A284,kurspris!$A$1:$Q$950,11,FALSE)</f>
        <v>0</v>
      </c>
      <c r="AM284" s="31">
        <f>VLOOKUP($A284,kurspris!$A$1:$Q$950,12,FALSE)</f>
        <v>0</v>
      </c>
      <c r="AN284" s="31">
        <f>VLOOKUP($A284,kurspris!$A$1:$Q$950,13,FALSE)</f>
        <v>0</v>
      </c>
      <c r="AO284" s="31">
        <f>VLOOKUP($A284,kurspris!$A$1:$Q$950,14,FALSE)</f>
        <v>0</v>
      </c>
      <c r="AP284" s="57" t="s">
        <v>2502</v>
      </c>
      <c r="AQ284"/>
      <c r="AR284" s="31">
        <f t="shared" si="125"/>
        <v>0</v>
      </c>
      <c r="AS284" s="219">
        <f t="shared" si="126"/>
        <v>0</v>
      </c>
      <c r="AT284" s="31">
        <f t="shared" si="127"/>
        <v>0</v>
      </c>
      <c r="AU284" s="219">
        <f t="shared" si="128"/>
        <v>0</v>
      </c>
      <c r="AV284" s="31">
        <f t="shared" si="129"/>
        <v>0</v>
      </c>
      <c r="AW284" s="31">
        <f t="shared" si="130"/>
        <v>0</v>
      </c>
      <c r="AX284" s="31">
        <f t="shared" si="131"/>
        <v>0.5</v>
      </c>
      <c r="AY284" s="219">
        <f t="shared" si="132"/>
        <v>0.42499999999999999</v>
      </c>
      <c r="AZ284" s="196">
        <f t="shared" si="133"/>
        <v>0</v>
      </c>
      <c r="BA284" s="219">
        <f t="shared" si="134"/>
        <v>0</v>
      </c>
      <c r="BB284" s="31">
        <f t="shared" si="135"/>
        <v>0</v>
      </c>
      <c r="BC284" s="219">
        <f t="shared" si="136"/>
        <v>0</v>
      </c>
      <c r="BD284" s="31">
        <f t="shared" si="137"/>
        <v>0</v>
      </c>
      <c r="BE284" s="219">
        <f t="shared" si="138"/>
        <v>0</v>
      </c>
      <c r="BF284" s="31">
        <f t="shared" si="139"/>
        <v>0</v>
      </c>
      <c r="BG284" s="219">
        <f t="shared" si="140"/>
        <v>0</v>
      </c>
      <c r="BH284" s="31">
        <f t="shared" si="141"/>
        <v>0</v>
      </c>
      <c r="BI284" s="219">
        <f t="shared" si="142"/>
        <v>0</v>
      </c>
      <c r="BJ284" s="31">
        <f t="shared" si="143"/>
        <v>0</v>
      </c>
      <c r="BK284" s="219">
        <f t="shared" si="144"/>
        <v>0</v>
      </c>
      <c r="BL284" s="31">
        <f t="shared" si="145"/>
        <v>0</v>
      </c>
      <c r="BM284" s="219">
        <f t="shared" si="146"/>
        <v>0</v>
      </c>
      <c r="BN284" s="31">
        <f t="shared" si="147"/>
        <v>0</v>
      </c>
      <c r="BO284" s="219">
        <f t="shared" si="148"/>
        <v>0</v>
      </c>
    </row>
    <row r="285" spans="1:67" x14ac:dyDescent="0.25">
      <c r="A285" s="31" t="s">
        <v>2149</v>
      </c>
      <c r="B285" s="176" t="str">
        <f>VLOOKUP(A285,kurspris!$A$1:$B$992,2,FALSE)</f>
        <v>Undervisning och lärande (UVK)</v>
      </c>
      <c r="D285" s="60" t="s">
        <v>2155</v>
      </c>
      <c r="E285" s="576" t="s">
        <v>2226</v>
      </c>
      <c r="F285" s="31" t="s">
        <v>2273</v>
      </c>
      <c r="G285" s="31" t="s">
        <v>2458</v>
      </c>
      <c r="H285" s="31" t="s">
        <v>2335</v>
      </c>
      <c r="I285" s="31" t="s">
        <v>2276</v>
      </c>
      <c r="L285" s="38">
        <v>1</v>
      </c>
      <c r="M285" s="325">
        <v>15</v>
      </c>
      <c r="P285" s="31">
        <v>1</v>
      </c>
      <c r="Q285" s="196">
        <f t="shared" si="149"/>
        <v>0.25</v>
      </c>
      <c r="R285" s="38">
        <v>0.85</v>
      </c>
      <c r="S285" s="280">
        <f t="shared" si="121"/>
        <v>0.21249999999999999</v>
      </c>
      <c r="T285" s="31">
        <f>VLOOKUP(A285,'Ansvar kurs'!$A$1:$C$1123,2,FALSE)</f>
        <v>2180</v>
      </c>
      <c r="U285" s="31" t="str">
        <f>VLOOKUP(T285,Orgenheter!$A$1:$C$166,2,FALSE)</f>
        <v xml:space="preserve">Pedagogik                     </v>
      </c>
      <c r="V285" s="31" t="str">
        <f>VLOOKUP(T285,Orgenheter!$A$1:$C$166,3,FALSE)</f>
        <v>Sam</v>
      </c>
      <c r="W285" s="35" t="str">
        <f>VLOOKUP(D285,Program!$A$1:$B$36,2,FALSE)</f>
        <v>KPU - åk 7-9 och Gy</v>
      </c>
      <c r="X285" s="40">
        <f>VLOOKUP(A285,kurspris!$A$1:$Q$913,15,FALSE)</f>
        <v>26554</v>
      </c>
      <c r="Y285" s="40">
        <f>VLOOKUP(A285,kurspris!$A$1:$Q$913,16,FALSE)</f>
        <v>33465</v>
      </c>
      <c r="Z285" s="40">
        <f t="shared" si="122"/>
        <v>13749.8125</v>
      </c>
      <c r="AA285" s="40">
        <f>VLOOKUP(A285,kurspris!$A$1:$Q$913,17,FALSE)</f>
        <v>6000</v>
      </c>
      <c r="AB285" s="40">
        <f t="shared" si="123"/>
        <v>1500</v>
      </c>
      <c r="AC285" s="40">
        <f t="shared" si="124"/>
        <v>15249.8125</v>
      </c>
      <c r="AD285" s="31">
        <f>VLOOKUP($A285,kurspris!$A$1:$Q$950,3,FALSE)</f>
        <v>0</v>
      </c>
      <c r="AE285" s="31">
        <f>VLOOKUP($A285,kurspris!$A$1:$Q$950,4,FALSE)</f>
        <v>0</v>
      </c>
      <c r="AF285" s="31">
        <f>VLOOKUP($A285,kurspris!$A$1:$Q$950,5,FALSE)</f>
        <v>0</v>
      </c>
      <c r="AG285" s="31">
        <f>VLOOKUP($A285,kurspris!$A$1:$Q$950,6,FALSE)</f>
        <v>1</v>
      </c>
      <c r="AH285" s="31">
        <f>VLOOKUP($A285,kurspris!$A$1:$Q$950,7,FALSE)</f>
        <v>0</v>
      </c>
      <c r="AI285" s="31">
        <f>VLOOKUP($A285,kurspris!$A$1:$Q$950,8,FALSE)</f>
        <v>0</v>
      </c>
      <c r="AJ285" s="31">
        <f>VLOOKUP($A285,kurspris!$A$1:$Q$950,9,FALSE)</f>
        <v>0</v>
      </c>
      <c r="AK285" s="31">
        <f>VLOOKUP($A285,kurspris!$A$1:$Q$950,10,FALSE)</f>
        <v>0</v>
      </c>
      <c r="AL285" s="31">
        <f>VLOOKUP($A285,kurspris!$A$1:$Q$950,11,FALSE)</f>
        <v>0</v>
      </c>
      <c r="AM285" s="31">
        <f>VLOOKUP($A285,kurspris!$A$1:$Q$950,12,FALSE)</f>
        <v>0</v>
      </c>
      <c r="AN285" s="31">
        <f>VLOOKUP($A285,kurspris!$A$1:$Q$950,13,FALSE)</f>
        <v>0</v>
      </c>
      <c r="AO285" s="31">
        <f>VLOOKUP($A285,kurspris!$A$1:$Q$950,14,FALSE)</f>
        <v>0</v>
      </c>
      <c r="AP285" s="57" t="s">
        <v>2502</v>
      </c>
      <c r="AQ285"/>
      <c r="AR285" s="31">
        <f t="shared" si="125"/>
        <v>0</v>
      </c>
      <c r="AS285" s="219">
        <f t="shared" si="126"/>
        <v>0</v>
      </c>
      <c r="AT285" s="31">
        <f t="shared" si="127"/>
        <v>0</v>
      </c>
      <c r="AU285" s="219">
        <f t="shared" si="128"/>
        <v>0</v>
      </c>
      <c r="AV285" s="31">
        <f t="shared" si="129"/>
        <v>0</v>
      </c>
      <c r="AW285" s="31">
        <f t="shared" si="130"/>
        <v>0</v>
      </c>
      <c r="AX285" s="31">
        <f t="shared" si="131"/>
        <v>0.25</v>
      </c>
      <c r="AY285" s="219">
        <f t="shared" si="132"/>
        <v>0.21249999999999999</v>
      </c>
      <c r="AZ285" s="196">
        <f t="shared" si="133"/>
        <v>0</v>
      </c>
      <c r="BA285" s="219">
        <f t="shared" si="134"/>
        <v>0</v>
      </c>
      <c r="BB285" s="31">
        <f t="shared" si="135"/>
        <v>0</v>
      </c>
      <c r="BC285" s="219">
        <f t="shared" si="136"/>
        <v>0</v>
      </c>
      <c r="BD285" s="31">
        <f t="shared" si="137"/>
        <v>0</v>
      </c>
      <c r="BE285" s="219">
        <f t="shared" si="138"/>
        <v>0</v>
      </c>
      <c r="BF285" s="31">
        <f t="shared" si="139"/>
        <v>0</v>
      </c>
      <c r="BG285" s="219">
        <f t="shared" si="140"/>
        <v>0</v>
      </c>
      <c r="BH285" s="31">
        <f t="shared" si="141"/>
        <v>0</v>
      </c>
      <c r="BI285" s="219">
        <f t="shared" si="142"/>
        <v>0</v>
      </c>
      <c r="BJ285" s="31">
        <f t="shared" si="143"/>
        <v>0</v>
      </c>
      <c r="BK285" s="219">
        <f t="shared" si="144"/>
        <v>0</v>
      </c>
      <c r="BL285" s="31">
        <f t="shared" si="145"/>
        <v>0</v>
      </c>
      <c r="BM285" s="219">
        <f t="shared" si="146"/>
        <v>0</v>
      </c>
      <c r="BN285" s="31">
        <f t="shared" si="147"/>
        <v>0</v>
      </c>
      <c r="BO285" s="219">
        <f t="shared" si="148"/>
        <v>0</v>
      </c>
    </row>
    <row r="286" spans="1:67" x14ac:dyDescent="0.25">
      <c r="A286" s="31" t="s">
        <v>2149</v>
      </c>
      <c r="B286" s="176" t="str">
        <f>VLOOKUP(A286,kurspris!$A$1:$B$992,2,FALSE)</f>
        <v>Undervisning och lärande (UVK)</v>
      </c>
      <c r="D286" s="60" t="s">
        <v>2155</v>
      </c>
      <c r="E286" s="576" t="s">
        <v>2225</v>
      </c>
      <c r="F286" s="31" t="s">
        <v>2273</v>
      </c>
      <c r="G286" s="31" t="s">
        <v>2458</v>
      </c>
      <c r="H286" s="31" t="s">
        <v>2335</v>
      </c>
      <c r="I286" s="31" t="s">
        <v>2276</v>
      </c>
      <c r="L286" s="38">
        <v>1</v>
      </c>
      <c r="M286" s="325">
        <v>15</v>
      </c>
      <c r="P286" s="31">
        <v>2</v>
      </c>
      <c r="Q286" s="196">
        <f t="shared" si="149"/>
        <v>0.5</v>
      </c>
      <c r="R286" s="38">
        <v>0.85</v>
      </c>
      <c r="S286" s="280">
        <f t="shared" si="121"/>
        <v>0.42499999999999999</v>
      </c>
      <c r="T286" s="31">
        <f>VLOOKUP(A286,'Ansvar kurs'!$A$1:$C$1123,2,FALSE)</f>
        <v>2180</v>
      </c>
      <c r="U286" s="31" t="str">
        <f>VLOOKUP(T286,Orgenheter!$A$1:$C$166,2,FALSE)</f>
        <v xml:space="preserve">Pedagogik                     </v>
      </c>
      <c r="V286" s="31" t="str">
        <f>VLOOKUP(T286,Orgenheter!$A$1:$C$166,3,FALSE)</f>
        <v>Sam</v>
      </c>
      <c r="W286" s="35" t="str">
        <f>VLOOKUP(D286,Program!$A$1:$B$36,2,FALSE)</f>
        <v>KPU - åk 7-9 och Gy</v>
      </c>
      <c r="X286" s="40">
        <f>VLOOKUP(A286,kurspris!$A$1:$Q$913,15,FALSE)</f>
        <v>26554</v>
      </c>
      <c r="Y286" s="40">
        <f>VLOOKUP(A286,kurspris!$A$1:$Q$913,16,FALSE)</f>
        <v>33465</v>
      </c>
      <c r="Z286" s="40">
        <f t="shared" si="122"/>
        <v>27499.625</v>
      </c>
      <c r="AA286" s="40">
        <f>VLOOKUP(A286,kurspris!$A$1:$Q$913,17,FALSE)</f>
        <v>6000</v>
      </c>
      <c r="AB286" s="40">
        <f t="shared" si="123"/>
        <v>3000</v>
      </c>
      <c r="AC286" s="40">
        <f t="shared" si="124"/>
        <v>30499.625</v>
      </c>
      <c r="AD286" s="31">
        <f>VLOOKUP($A286,kurspris!$A$1:$Q$950,3,FALSE)</f>
        <v>0</v>
      </c>
      <c r="AE286" s="31">
        <f>VLOOKUP($A286,kurspris!$A$1:$Q$950,4,FALSE)</f>
        <v>0</v>
      </c>
      <c r="AF286" s="31">
        <f>VLOOKUP($A286,kurspris!$A$1:$Q$950,5,FALSE)</f>
        <v>0</v>
      </c>
      <c r="AG286" s="31">
        <f>VLOOKUP($A286,kurspris!$A$1:$Q$950,6,FALSE)</f>
        <v>1</v>
      </c>
      <c r="AH286" s="31">
        <f>VLOOKUP($A286,kurspris!$A$1:$Q$950,7,FALSE)</f>
        <v>0</v>
      </c>
      <c r="AI286" s="31">
        <f>VLOOKUP($A286,kurspris!$A$1:$Q$950,8,FALSE)</f>
        <v>0</v>
      </c>
      <c r="AJ286" s="31">
        <f>VLOOKUP($A286,kurspris!$A$1:$Q$950,9,FALSE)</f>
        <v>0</v>
      </c>
      <c r="AK286" s="31">
        <f>VLOOKUP($A286,kurspris!$A$1:$Q$950,10,FALSE)</f>
        <v>0</v>
      </c>
      <c r="AL286" s="31">
        <f>VLOOKUP($A286,kurspris!$A$1:$Q$950,11,FALSE)</f>
        <v>0</v>
      </c>
      <c r="AM286" s="31">
        <f>VLOOKUP($A286,kurspris!$A$1:$Q$950,12,FALSE)</f>
        <v>0</v>
      </c>
      <c r="AN286" s="31">
        <f>VLOOKUP($A286,kurspris!$A$1:$Q$950,13,FALSE)</f>
        <v>0</v>
      </c>
      <c r="AO286" s="31">
        <f>VLOOKUP($A286,kurspris!$A$1:$Q$950,14,FALSE)</f>
        <v>0</v>
      </c>
      <c r="AP286" s="57" t="s">
        <v>2502</v>
      </c>
      <c r="AQ286"/>
      <c r="AR286" s="31">
        <f t="shared" si="125"/>
        <v>0</v>
      </c>
      <c r="AS286" s="219">
        <f t="shared" si="126"/>
        <v>0</v>
      </c>
      <c r="AT286" s="31">
        <f t="shared" si="127"/>
        <v>0</v>
      </c>
      <c r="AU286" s="219">
        <f t="shared" si="128"/>
        <v>0</v>
      </c>
      <c r="AV286" s="31">
        <f t="shared" si="129"/>
        <v>0</v>
      </c>
      <c r="AW286" s="31">
        <f t="shared" si="130"/>
        <v>0</v>
      </c>
      <c r="AX286" s="31">
        <f t="shared" si="131"/>
        <v>0.5</v>
      </c>
      <c r="AY286" s="219">
        <f t="shared" si="132"/>
        <v>0.42499999999999999</v>
      </c>
      <c r="AZ286" s="196">
        <f t="shared" si="133"/>
        <v>0</v>
      </c>
      <c r="BA286" s="219">
        <f t="shared" si="134"/>
        <v>0</v>
      </c>
      <c r="BB286" s="31">
        <f t="shared" si="135"/>
        <v>0</v>
      </c>
      <c r="BC286" s="219">
        <f t="shared" si="136"/>
        <v>0</v>
      </c>
      <c r="BD286" s="31">
        <f t="shared" si="137"/>
        <v>0</v>
      </c>
      <c r="BE286" s="219">
        <f t="shared" si="138"/>
        <v>0</v>
      </c>
      <c r="BF286" s="31">
        <f t="shared" si="139"/>
        <v>0</v>
      </c>
      <c r="BG286" s="219">
        <f t="shared" si="140"/>
        <v>0</v>
      </c>
      <c r="BH286" s="31">
        <f t="shared" si="141"/>
        <v>0</v>
      </c>
      <c r="BI286" s="219">
        <f t="shared" si="142"/>
        <v>0</v>
      </c>
      <c r="BJ286" s="31">
        <f t="shared" si="143"/>
        <v>0</v>
      </c>
      <c r="BK286" s="219">
        <f t="shared" si="144"/>
        <v>0</v>
      </c>
      <c r="BL286" s="31">
        <f t="shared" si="145"/>
        <v>0</v>
      </c>
      <c r="BM286" s="219">
        <f t="shared" si="146"/>
        <v>0</v>
      </c>
      <c r="BN286" s="31">
        <f t="shared" si="147"/>
        <v>0</v>
      </c>
      <c r="BO286" s="219">
        <f t="shared" si="148"/>
        <v>0</v>
      </c>
    </row>
    <row r="287" spans="1:67" x14ac:dyDescent="0.25">
      <c r="A287" s="31" t="s">
        <v>2149</v>
      </c>
      <c r="B287" s="176" t="str">
        <f>VLOOKUP(A287,kurspris!$A$1:$B$992,2,FALSE)</f>
        <v>Undervisning och lärande (UVK)</v>
      </c>
      <c r="D287" s="60" t="s">
        <v>2155</v>
      </c>
      <c r="E287" s="576" t="s">
        <v>2434</v>
      </c>
      <c r="F287" s="31" t="s">
        <v>2273</v>
      </c>
      <c r="G287" s="31" t="s">
        <v>2458</v>
      </c>
      <c r="H287" s="31" t="s">
        <v>2335</v>
      </c>
      <c r="I287" s="31" t="s">
        <v>2276</v>
      </c>
      <c r="L287" s="38">
        <v>1</v>
      </c>
      <c r="M287" s="325">
        <v>15</v>
      </c>
      <c r="P287" s="31">
        <v>1</v>
      </c>
      <c r="Q287" s="196">
        <f t="shared" si="149"/>
        <v>0.25</v>
      </c>
      <c r="R287" s="38">
        <v>0.85</v>
      </c>
      <c r="S287" s="280">
        <f t="shared" si="121"/>
        <v>0.21249999999999999</v>
      </c>
      <c r="T287" s="31">
        <f>VLOOKUP(A287,'Ansvar kurs'!$A$1:$C$1123,2,FALSE)</f>
        <v>2180</v>
      </c>
      <c r="U287" s="31" t="str">
        <f>VLOOKUP(T287,Orgenheter!$A$1:$C$166,2,FALSE)</f>
        <v xml:space="preserve">Pedagogik                     </v>
      </c>
      <c r="V287" s="31" t="str">
        <f>VLOOKUP(T287,Orgenheter!$A$1:$C$166,3,FALSE)</f>
        <v>Sam</v>
      </c>
      <c r="W287" s="35" t="str">
        <f>VLOOKUP(D287,Program!$A$1:$B$36,2,FALSE)</f>
        <v>KPU - åk 7-9 och Gy</v>
      </c>
      <c r="X287" s="40">
        <f>VLOOKUP(A287,kurspris!$A$1:$Q$913,15,FALSE)</f>
        <v>26554</v>
      </c>
      <c r="Y287" s="40">
        <f>VLOOKUP(A287,kurspris!$A$1:$Q$913,16,FALSE)</f>
        <v>33465</v>
      </c>
      <c r="Z287" s="40">
        <f t="shared" si="122"/>
        <v>13749.8125</v>
      </c>
      <c r="AA287" s="40">
        <f>VLOOKUP(A287,kurspris!$A$1:$Q$913,17,FALSE)</f>
        <v>6000</v>
      </c>
      <c r="AB287" s="40">
        <f t="shared" si="123"/>
        <v>1500</v>
      </c>
      <c r="AC287" s="40">
        <f t="shared" si="124"/>
        <v>15249.8125</v>
      </c>
      <c r="AD287" s="31">
        <f>VLOOKUP($A287,kurspris!$A$1:$Q$950,3,FALSE)</f>
        <v>0</v>
      </c>
      <c r="AE287" s="31">
        <f>VLOOKUP($A287,kurspris!$A$1:$Q$950,4,FALSE)</f>
        <v>0</v>
      </c>
      <c r="AF287" s="31">
        <f>VLOOKUP($A287,kurspris!$A$1:$Q$950,5,FALSE)</f>
        <v>0</v>
      </c>
      <c r="AG287" s="31">
        <f>VLOOKUP($A287,kurspris!$A$1:$Q$950,6,FALSE)</f>
        <v>1</v>
      </c>
      <c r="AH287" s="31">
        <f>VLOOKUP($A287,kurspris!$A$1:$Q$950,7,FALSE)</f>
        <v>0</v>
      </c>
      <c r="AI287" s="31">
        <f>VLOOKUP($A287,kurspris!$A$1:$Q$950,8,FALSE)</f>
        <v>0</v>
      </c>
      <c r="AJ287" s="31">
        <f>VLOOKUP($A287,kurspris!$A$1:$Q$950,9,FALSE)</f>
        <v>0</v>
      </c>
      <c r="AK287" s="31">
        <f>VLOOKUP($A287,kurspris!$A$1:$Q$950,10,FALSE)</f>
        <v>0</v>
      </c>
      <c r="AL287" s="31">
        <f>VLOOKUP($A287,kurspris!$A$1:$Q$950,11,FALSE)</f>
        <v>0</v>
      </c>
      <c r="AM287" s="31">
        <f>VLOOKUP($A287,kurspris!$A$1:$Q$950,12,FALSE)</f>
        <v>0</v>
      </c>
      <c r="AN287" s="31">
        <f>VLOOKUP($A287,kurspris!$A$1:$Q$950,13,FALSE)</f>
        <v>0</v>
      </c>
      <c r="AO287" s="31">
        <f>VLOOKUP($A287,kurspris!$A$1:$Q$950,14,FALSE)</f>
        <v>0</v>
      </c>
      <c r="AP287" s="57" t="s">
        <v>2502</v>
      </c>
      <c r="AQ287"/>
      <c r="AR287" s="31">
        <f t="shared" si="125"/>
        <v>0</v>
      </c>
      <c r="AS287" s="219">
        <f t="shared" si="126"/>
        <v>0</v>
      </c>
      <c r="AT287" s="31">
        <f t="shared" si="127"/>
        <v>0</v>
      </c>
      <c r="AU287" s="219">
        <f t="shared" si="128"/>
        <v>0</v>
      </c>
      <c r="AV287" s="31">
        <f t="shared" si="129"/>
        <v>0</v>
      </c>
      <c r="AW287" s="31">
        <f t="shared" si="130"/>
        <v>0</v>
      </c>
      <c r="AX287" s="31">
        <f t="shared" si="131"/>
        <v>0.25</v>
      </c>
      <c r="AY287" s="219">
        <f t="shared" si="132"/>
        <v>0.21249999999999999</v>
      </c>
      <c r="AZ287" s="196">
        <f t="shared" si="133"/>
        <v>0</v>
      </c>
      <c r="BA287" s="219">
        <f t="shared" si="134"/>
        <v>0</v>
      </c>
      <c r="BB287" s="31">
        <f t="shared" si="135"/>
        <v>0</v>
      </c>
      <c r="BC287" s="219">
        <f t="shared" si="136"/>
        <v>0</v>
      </c>
      <c r="BD287" s="31">
        <f t="shared" si="137"/>
        <v>0</v>
      </c>
      <c r="BE287" s="219">
        <f t="shared" si="138"/>
        <v>0</v>
      </c>
      <c r="BF287" s="31">
        <f t="shared" si="139"/>
        <v>0</v>
      </c>
      <c r="BG287" s="219">
        <f t="shared" si="140"/>
        <v>0</v>
      </c>
      <c r="BH287" s="31">
        <f t="shared" si="141"/>
        <v>0</v>
      </c>
      <c r="BI287" s="219">
        <f t="shared" si="142"/>
        <v>0</v>
      </c>
      <c r="BJ287" s="31">
        <f t="shared" si="143"/>
        <v>0</v>
      </c>
      <c r="BK287" s="219">
        <f t="shared" si="144"/>
        <v>0</v>
      </c>
      <c r="BL287" s="31">
        <f t="shared" si="145"/>
        <v>0</v>
      </c>
      <c r="BM287" s="219">
        <f t="shared" si="146"/>
        <v>0</v>
      </c>
      <c r="BN287" s="31">
        <f t="shared" si="147"/>
        <v>0</v>
      </c>
      <c r="BO287" s="219">
        <f t="shared" si="148"/>
        <v>0</v>
      </c>
    </row>
    <row r="288" spans="1:67" x14ac:dyDescent="0.25">
      <c r="A288" s="31" t="s">
        <v>2149</v>
      </c>
      <c r="B288" s="176" t="str">
        <f>VLOOKUP(A288,kurspris!$A$1:$B$992,2,FALSE)</f>
        <v>Undervisning och lärande (UVK)</v>
      </c>
      <c r="D288" s="60" t="s">
        <v>2155</v>
      </c>
      <c r="E288" s="576" t="s">
        <v>2432</v>
      </c>
      <c r="F288" s="31" t="s">
        <v>2273</v>
      </c>
      <c r="G288" s="31" t="s">
        <v>2458</v>
      </c>
      <c r="H288" s="31" t="s">
        <v>2335</v>
      </c>
      <c r="I288" s="31" t="s">
        <v>2276</v>
      </c>
      <c r="L288" s="38">
        <v>1</v>
      </c>
      <c r="M288" s="325">
        <v>15</v>
      </c>
      <c r="P288" s="31">
        <v>1</v>
      </c>
      <c r="Q288" s="196">
        <f t="shared" si="149"/>
        <v>0.25</v>
      </c>
      <c r="R288" s="38">
        <v>0.85</v>
      </c>
      <c r="S288" s="280">
        <f t="shared" si="121"/>
        <v>0.21249999999999999</v>
      </c>
      <c r="T288" s="31">
        <f>VLOOKUP(A288,'Ansvar kurs'!$A$1:$C$1123,2,FALSE)</f>
        <v>2180</v>
      </c>
      <c r="U288" s="31" t="str">
        <f>VLOOKUP(T288,Orgenheter!$A$1:$C$166,2,FALSE)</f>
        <v xml:space="preserve">Pedagogik                     </v>
      </c>
      <c r="V288" s="31" t="str">
        <f>VLOOKUP(T288,Orgenheter!$A$1:$C$166,3,FALSE)</f>
        <v>Sam</v>
      </c>
      <c r="W288" s="35" t="str">
        <f>VLOOKUP(D288,Program!$A$1:$B$36,2,FALSE)</f>
        <v>KPU - åk 7-9 och Gy</v>
      </c>
      <c r="X288" s="40">
        <f>VLOOKUP(A288,kurspris!$A$1:$Q$913,15,FALSE)</f>
        <v>26554</v>
      </c>
      <c r="Y288" s="40">
        <f>VLOOKUP(A288,kurspris!$A$1:$Q$913,16,FALSE)</f>
        <v>33465</v>
      </c>
      <c r="Z288" s="40">
        <f t="shared" si="122"/>
        <v>13749.8125</v>
      </c>
      <c r="AA288" s="40">
        <f>VLOOKUP(A288,kurspris!$A$1:$Q$913,17,FALSE)</f>
        <v>6000</v>
      </c>
      <c r="AB288" s="40">
        <f t="shared" si="123"/>
        <v>1500</v>
      </c>
      <c r="AC288" s="40">
        <f t="shared" si="124"/>
        <v>15249.8125</v>
      </c>
      <c r="AD288" s="31">
        <f>VLOOKUP($A288,kurspris!$A$1:$Q$950,3,FALSE)</f>
        <v>0</v>
      </c>
      <c r="AE288" s="31">
        <f>VLOOKUP($A288,kurspris!$A$1:$Q$950,4,FALSE)</f>
        <v>0</v>
      </c>
      <c r="AF288" s="31">
        <f>VLOOKUP($A288,kurspris!$A$1:$Q$950,5,FALSE)</f>
        <v>0</v>
      </c>
      <c r="AG288" s="31">
        <f>VLOOKUP($A288,kurspris!$A$1:$Q$950,6,FALSE)</f>
        <v>1</v>
      </c>
      <c r="AH288" s="31">
        <f>VLOOKUP($A288,kurspris!$A$1:$Q$950,7,FALSE)</f>
        <v>0</v>
      </c>
      <c r="AI288" s="31">
        <f>VLOOKUP($A288,kurspris!$A$1:$Q$950,8,FALSE)</f>
        <v>0</v>
      </c>
      <c r="AJ288" s="31">
        <f>VLOOKUP($A288,kurspris!$A$1:$Q$950,9,FALSE)</f>
        <v>0</v>
      </c>
      <c r="AK288" s="31">
        <f>VLOOKUP($A288,kurspris!$A$1:$Q$950,10,FALSE)</f>
        <v>0</v>
      </c>
      <c r="AL288" s="31">
        <f>VLOOKUP($A288,kurspris!$A$1:$Q$950,11,FALSE)</f>
        <v>0</v>
      </c>
      <c r="AM288" s="31">
        <f>VLOOKUP($A288,kurspris!$A$1:$Q$950,12,FALSE)</f>
        <v>0</v>
      </c>
      <c r="AN288" s="31">
        <f>VLOOKUP($A288,kurspris!$A$1:$Q$950,13,FALSE)</f>
        <v>0</v>
      </c>
      <c r="AO288" s="31">
        <f>VLOOKUP($A288,kurspris!$A$1:$Q$950,14,FALSE)</f>
        <v>0</v>
      </c>
      <c r="AP288" s="57" t="s">
        <v>2502</v>
      </c>
      <c r="AQ288"/>
      <c r="AR288" s="31">
        <f t="shared" si="125"/>
        <v>0</v>
      </c>
      <c r="AS288" s="219">
        <f t="shared" si="126"/>
        <v>0</v>
      </c>
      <c r="AT288" s="31">
        <f t="shared" si="127"/>
        <v>0</v>
      </c>
      <c r="AU288" s="219">
        <f t="shared" si="128"/>
        <v>0</v>
      </c>
      <c r="AV288" s="31">
        <f t="shared" si="129"/>
        <v>0</v>
      </c>
      <c r="AW288" s="31">
        <f t="shared" si="130"/>
        <v>0</v>
      </c>
      <c r="AX288" s="31">
        <f t="shared" si="131"/>
        <v>0.25</v>
      </c>
      <c r="AY288" s="219">
        <f t="shared" si="132"/>
        <v>0.21249999999999999</v>
      </c>
      <c r="AZ288" s="196">
        <f t="shared" si="133"/>
        <v>0</v>
      </c>
      <c r="BA288" s="219">
        <f t="shared" si="134"/>
        <v>0</v>
      </c>
      <c r="BB288" s="31">
        <f t="shared" si="135"/>
        <v>0</v>
      </c>
      <c r="BC288" s="219">
        <f t="shared" si="136"/>
        <v>0</v>
      </c>
      <c r="BD288" s="31">
        <f t="shared" si="137"/>
        <v>0</v>
      </c>
      <c r="BE288" s="219">
        <f t="shared" si="138"/>
        <v>0</v>
      </c>
      <c r="BF288" s="31">
        <f t="shared" si="139"/>
        <v>0</v>
      </c>
      <c r="BG288" s="219">
        <f t="shared" si="140"/>
        <v>0</v>
      </c>
      <c r="BH288" s="31">
        <f t="shared" si="141"/>
        <v>0</v>
      </c>
      <c r="BI288" s="219">
        <f t="shared" si="142"/>
        <v>0</v>
      </c>
      <c r="BJ288" s="31">
        <f t="shared" si="143"/>
        <v>0</v>
      </c>
      <c r="BK288" s="219">
        <f t="shared" si="144"/>
        <v>0</v>
      </c>
      <c r="BL288" s="31">
        <f t="shared" si="145"/>
        <v>0</v>
      </c>
      <c r="BM288" s="219">
        <f t="shared" si="146"/>
        <v>0</v>
      </c>
      <c r="BN288" s="31">
        <f t="shared" si="147"/>
        <v>0</v>
      </c>
      <c r="BO288" s="219">
        <f t="shared" si="148"/>
        <v>0</v>
      </c>
    </row>
    <row r="289" spans="1:67" x14ac:dyDescent="0.25">
      <c r="A289" s="244" t="s">
        <v>2149</v>
      </c>
      <c r="B289" s="362" t="str">
        <f>VLOOKUP(A289,kurspris!$A$1:$B$992,2,FALSE)</f>
        <v>Undervisning och lärande (UVK)</v>
      </c>
      <c r="C289" s="244"/>
      <c r="D289" s="538" t="s">
        <v>2155</v>
      </c>
      <c r="E289" s="538" t="s">
        <v>2203</v>
      </c>
      <c r="F289" s="244" t="s">
        <v>2273</v>
      </c>
      <c r="G289" s="244"/>
      <c r="H289" s="244">
        <v>2480</v>
      </c>
      <c r="I289" s="244"/>
      <c r="J289" s="244"/>
      <c r="K289" s="244"/>
      <c r="L289" s="518">
        <v>1</v>
      </c>
      <c r="M289" s="325">
        <v>15</v>
      </c>
      <c r="N289" s="38"/>
      <c r="P289" s="324">
        <v>58</v>
      </c>
      <c r="Q289" s="196">
        <f t="shared" si="149"/>
        <v>14.5</v>
      </c>
      <c r="R289" s="38">
        <v>0.85</v>
      </c>
      <c r="S289" s="280">
        <f t="shared" si="121"/>
        <v>12.324999999999999</v>
      </c>
      <c r="T289" s="31">
        <f>VLOOKUP(A289,'Ansvar kurs'!$A$1:$C$1123,2,FALSE)</f>
        <v>2180</v>
      </c>
      <c r="U289" s="31" t="str">
        <f>VLOOKUP(T289,Orgenheter!$A$1:$C$166,2,FALSE)</f>
        <v xml:space="preserve">Pedagogik                     </v>
      </c>
      <c r="V289" s="31" t="str">
        <f>VLOOKUP(T289,Orgenheter!$A$1:$C$166,3,FALSE)</f>
        <v>Sam</v>
      </c>
      <c r="W289" s="35" t="str">
        <f>VLOOKUP(D289,Program!$A$1:$B$36,2,FALSE)</f>
        <v>KPU - åk 7-9 och Gy</v>
      </c>
      <c r="X289" s="40">
        <f>VLOOKUP(A289,kurspris!$A$1:$Q$913,15,FALSE)</f>
        <v>26554</v>
      </c>
      <c r="Y289" s="40">
        <f>VLOOKUP(A289,kurspris!$A$1:$Q$913,16,FALSE)</f>
        <v>33465</v>
      </c>
      <c r="Z289" s="40">
        <f t="shared" si="122"/>
        <v>797489.125</v>
      </c>
      <c r="AA289" s="40">
        <f>VLOOKUP(A289,kurspris!$A$1:$Q$913,17,FALSE)</f>
        <v>6000</v>
      </c>
      <c r="AB289" s="40">
        <f t="shared" si="123"/>
        <v>87000</v>
      </c>
      <c r="AC289" s="40">
        <f t="shared" si="124"/>
        <v>884489.125</v>
      </c>
      <c r="AD289" s="31">
        <f>VLOOKUP($A289,kurspris!$A$1:$Q$950,3,FALSE)</f>
        <v>0</v>
      </c>
      <c r="AE289" s="31">
        <f>VLOOKUP($A289,kurspris!$A$1:$Q$950,4,FALSE)</f>
        <v>0</v>
      </c>
      <c r="AF289" s="31">
        <f>VLOOKUP($A289,kurspris!$A$1:$Q$950,5,FALSE)</f>
        <v>0</v>
      </c>
      <c r="AG289" s="31">
        <f>VLOOKUP($A289,kurspris!$A$1:$Q$950,6,FALSE)</f>
        <v>1</v>
      </c>
      <c r="AH289" s="31">
        <f>VLOOKUP($A289,kurspris!$A$1:$Q$950,7,FALSE)</f>
        <v>0</v>
      </c>
      <c r="AI289" s="31">
        <f>VLOOKUP($A289,kurspris!$A$1:$Q$950,8,FALSE)</f>
        <v>0</v>
      </c>
      <c r="AJ289" s="31">
        <f>VLOOKUP($A289,kurspris!$A$1:$Q$950,9,FALSE)</f>
        <v>0</v>
      </c>
      <c r="AK289" s="31">
        <f>VLOOKUP($A289,kurspris!$A$1:$Q$950,10,FALSE)</f>
        <v>0</v>
      </c>
      <c r="AL289" s="31">
        <f>VLOOKUP($A289,kurspris!$A$1:$Q$950,11,FALSE)</f>
        <v>0</v>
      </c>
      <c r="AM289" s="31">
        <f>VLOOKUP($A289,kurspris!$A$1:$Q$950,12,FALSE)</f>
        <v>0</v>
      </c>
      <c r="AN289" s="31">
        <f>VLOOKUP($A289,kurspris!$A$1:$Q$950,13,FALSE)</f>
        <v>0</v>
      </c>
      <c r="AO289" s="31">
        <f>VLOOKUP($A289,kurspris!$A$1:$Q$950,14,FALSE)</f>
        <v>0</v>
      </c>
      <c r="AP289" s="57" t="s">
        <v>2222</v>
      </c>
      <c r="AQ289"/>
      <c r="AR289" s="31">
        <f t="shared" si="125"/>
        <v>0</v>
      </c>
      <c r="AS289" s="219">
        <f t="shared" si="126"/>
        <v>0</v>
      </c>
      <c r="AT289" s="31">
        <f t="shared" si="127"/>
        <v>0</v>
      </c>
      <c r="AU289" s="219">
        <f t="shared" si="128"/>
        <v>0</v>
      </c>
      <c r="AV289" s="31">
        <f t="shared" si="129"/>
        <v>0</v>
      </c>
      <c r="AW289" s="31">
        <f t="shared" si="130"/>
        <v>0</v>
      </c>
      <c r="AX289" s="31">
        <f t="shared" si="131"/>
        <v>14.5</v>
      </c>
      <c r="AY289" s="219">
        <f t="shared" si="132"/>
        <v>12.324999999999999</v>
      </c>
      <c r="AZ289" s="196">
        <f t="shared" si="133"/>
        <v>0</v>
      </c>
      <c r="BA289" s="219">
        <f t="shared" si="134"/>
        <v>0</v>
      </c>
      <c r="BB289" s="31">
        <f t="shared" si="135"/>
        <v>0</v>
      </c>
      <c r="BC289" s="219">
        <f t="shared" si="136"/>
        <v>0</v>
      </c>
      <c r="BD289" s="31">
        <f t="shared" si="137"/>
        <v>0</v>
      </c>
      <c r="BE289" s="219">
        <f t="shared" si="138"/>
        <v>0</v>
      </c>
      <c r="BF289" s="31">
        <f t="shared" si="139"/>
        <v>0</v>
      </c>
      <c r="BG289" s="219">
        <f t="shared" si="140"/>
        <v>0</v>
      </c>
      <c r="BH289" s="31">
        <f t="shared" si="141"/>
        <v>0</v>
      </c>
      <c r="BI289" s="219">
        <f t="shared" si="142"/>
        <v>0</v>
      </c>
      <c r="BJ289" s="31">
        <f t="shared" si="143"/>
        <v>0</v>
      </c>
      <c r="BK289" s="219">
        <f t="shared" si="144"/>
        <v>0</v>
      </c>
      <c r="BL289" s="31">
        <f t="shared" si="145"/>
        <v>0</v>
      </c>
      <c r="BM289" s="219">
        <f t="shared" si="146"/>
        <v>0</v>
      </c>
      <c r="BN289" s="31">
        <f t="shared" si="147"/>
        <v>0</v>
      </c>
      <c r="BO289" s="219">
        <f t="shared" si="148"/>
        <v>0</v>
      </c>
    </row>
    <row r="290" spans="1:67" x14ac:dyDescent="0.25">
      <c r="A290" s="31" t="s">
        <v>2149</v>
      </c>
      <c r="B290" s="176" t="str">
        <f>VLOOKUP(A290,kurspris!$A$1:$B$992,2,FALSE)</f>
        <v>Undervisning och lärande (UVK)</v>
      </c>
      <c r="C290" s="31">
        <v>62800</v>
      </c>
      <c r="D290" s="60" t="s">
        <v>2155</v>
      </c>
      <c r="E290" s="60"/>
      <c r="F290" s="57" t="s">
        <v>2274</v>
      </c>
      <c r="H290" s="31" t="s">
        <v>2335</v>
      </c>
      <c r="I290" s="31" t="s">
        <v>2275</v>
      </c>
      <c r="L290" s="38"/>
      <c r="M290">
        <v>15</v>
      </c>
      <c r="P290" s="31">
        <v>21</v>
      </c>
      <c r="Q290" s="539">
        <v>5.25</v>
      </c>
      <c r="R290" s="38">
        <v>0.85</v>
      </c>
      <c r="S290" s="280">
        <f t="shared" si="121"/>
        <v>4.4624999999999995</v>
      </c>
      <c r="T290" s="31">
        <f>VLOOKUP(A290,'Ansvar kurs'!$A$1:$C$1123,2,FALSE)</f>
        <v>2180</v>
      </c>
      <c r="U290" s="31" t="str">
        <f>VLOOKUP(T290,Orgenheter!$A$1:$C$166,2,FALSE)</f>
        <v xml:space="preserve">Pedagogik                     </v>
      </c>
      <c r="V290" s="31" t="str">
        <f>VLOOKUP(T290,Orgenheter!$A$1:$C$166,3,FALSE)</f>
        <v>Sam</v>
      </c>
      <c r="W290" s="35" t="str">
        <f>VLOOKUP(D290,Program!$A$1:$B$36,2,FALSE)</f>
        <v>KPU - åk 7-9 och Gy</v>
      </c>
      <c r="X290" s="40">
        <f>VLOOKUP(A290,kurspris!$A$1:$Q$913,15,FALSE)</f>
        <v>26554</v>
      </c>
      <c r="Y290" s="40">
        <f>VLOOKUP(A290,kurspris!$A$1:$Q$913,16,FALSE)</f>
        <v>33465</v>
      </c>
      <c r="Z290" s="40">
        <f t="shared" si="122"/>
        <v>288746.0625</v>
      </c>
      <c r="AA290" s="40">
        <f>VLOOKUP(A290,kurspris!$A$1:$Q$913,17,FALSE)</f>
        <v>6000</v>
      </c>
      <c r="AB290" s="40">
        <f t="shared" si="123"/>
        <v>31500</v>
      </c>
      <c r="AC290" s="40">
        <f t="shared" si="124"/>
        <v>320246.0625</v>
      </c>
      <c r="AD290" s="31">
        <f>VLOOKUP($A290,kurspris!$A$1:$Q$950,3,FALSE)</f>
        <v>0</v>
      </c>
      <c r="AE290" s="31">
        <f>VLOOKUP($A290,kurspris!$A$1:$Q$950,4,FALSE)</f>
        <v>0</v>
      </c>
      <c r="AF290" s="31">
        <f>VLOOKUP($A290,kurspris!$A$1:$Q$950,5,FALSE)</f>
        <v>0</v>
      </c>
      <c r="AG290" s="31">
        <f>VLOOKUP($A290,kurspris!$A$1:$Q$950,6,FALSE)</f>
        <v>1</v>
      </c>
      <c r="AH290" s="31">
        <f>VLOOKUP($A290,kurspris!$A$1:$Q$950,7,FALSE)</f>
        <v>0</v>
      </c>
      <c r="AI290" s="31">
        <f>VLOOKUP($A290,kurspris!$A$1:$Q$950,8,FALSE)</f>
        <v>0</v>
      </c>
      <c r="AJ290" s="31">
        <f>VLOOKUP($A290,kurspris!$A$1:$Q$950,9,FALSE)</f>
        <v>0</v>
      </c>
      <c r="AK290" s="31">
        <f>VLOOKUP($A290,kurspris!$A$1:$Q$950,10,FALSE)</f>
        <v>0</v>
      </c>
      <c r="AL290" s="31">
        <f>VLOOKUP($A290,kurspris!$A$1:$Q$950,11,FALSE)</f>
        <v>0</v>
      </c>
      <c r="AM290" s="31">
        <f>VLOOKUP($A290,kurspris!$A$1:$Q$950,12,FALSE)</f>
        <v>0</v>
      </c>
      <c r="AN290" s="31">
        <f>VLOOKUP($A290,kurspris!$A$1:$Q$950,13,FALSE)</f>
        <v>0</v>
      </c>
      <c r="AO290" s="31">
        <f>VLOOKUP($A290,kurspris!$A$1:$Q$950,14,FALSE)</f>
        <v>0</v>
      </c>
      <c r="AP290" s="57" t="s">
        <v>2402</v>
      </c>
      <c r="AQ290"/>
      <c r="AR290" s="31">
        <f t="shared" si="125"/>
        <v>0</v>
      </c>
      <c r="AS290" s="219">
        <f t="shared" si="126"/>
        <v>0</v>
      </c>
      <c r="AT290" s="31">
        <f t="shared" si="127"/>
        <v>0</v>
      </c>
      <c r="AU290" s="219">
        <f t="shared" si="128"/>
        <v>0</v>
      </c>
      <c r="AV290" s="31">
        <f t="shared" si="129"/>
        <v>0</v>
      </c>
      <c r="AW290" s="31">
        <f t="shared" si="130"/>
        <v>0</v>
      </c>
      <c r="AX290" s="31">
        <f t="shared" si="131"/>
        <v>5.25</v>
      </c>
      <c r="AY290" s="219">
        <f t="shared" si="132"/>
        <v>4.4624999999999995</v>
      </c>
      <c r="AZ290" s="196">
        <f t="shared" si="133"/>
        <v>0</v>
      </c>
      <c r="BA290" s="219">
        <f t="shared" si="134"/>
        <v>0</v>
      </c>
      <c r="BB290" s="31">
        <f t="shared" si="135"/>
        <v>0</v>
      </c>
      <c r="BC290" s="219">
        <f t="shared" si="136"/>
        <v>0</v>
      </c>
      <c r="BD290" s="31">
        <f t="shared" si="137"/>
        <v>0</v>
      </c>
      <c r="BE290" s="219">
        <f t="shared" si="138"/>
        <v>0</v>
      </c>
      <c r="BF290" s="31">
        <f t="shared" si="139"/>
        <v>0</v>
      </c>
      <c r="BG290" s="219">
        <f t="shared" si="140"/>
        <v>0</v>
      </c>
      <c r="BH290" s="31">
        <f t="shared" si="141"/>
        <v>0</v>
      </c>
      <c r="BI290" s="219">
        <f t="shared" si="142"/>
        <v>0</v>
      </c>
      <c r="BJ290" s="31">
        <f t="shared" si="143"/>
        <v>0</v>
      </c>
      <c r="BK290" s="219">
        <f t="shared" si="144"/>
        <v>0</v>
      </c>
      <c r="BL290" s="31">
        <f t="shared" si="145"/>
        <v>0</v>
      </c>
      <c r="BM290" s="219">
        <f t="shared" si="146"/>
        <v>0</v>
      </c>
      <c r="BN290" s="31">
        <f t="shared" si="147"/>
        <v>0</v>
      </c>
      <c r="BO290" s="219">
        <f t="shared" si="148"/>
        <v>0</v>
      </c>
    </row>
    <row r="291" spans="1:67" x14ac:dyDescent="0.25">
      <c r="A291" s="31" t="s">
        <v>2150</v>
      </c>
      <c r="B291" s="176" t="str">
        <f>VLOOKUP(A291,kurspris!$A$1:$B$992,2,FALSE)</f>
        <v>Skolans uppdrag (UVK)</v>
      </c>
      <c r="D291" s="60" t="s">
        <v>2155</v>
      </c>
      <c r="E291" s="574" t="s">
        <v>2429</v>
      </c>
      <c r="F291" s="31" t="s">
        <v>2273</v>
      </c>
      <c r="G291" s="31" t="s">
        <v>2458</v>
      </c>
      <c r="H291" s="31" t="s">
        <v>2335</v>
      </c>
      <c r="I291" s="31" t="s">
        <v>2276</v>
      </c>
      <c r="L291" s="38">
        <v>0.5</v>
      </c>
      <c r="M291" s="325">
        <v>15</v>
      </c>
      <c r="N291" s="38"/>
      <c r="P291" s="324">
        <v>2</v>
      </c>
      <c r="Q291" s="196">
        <f t="shared" ref="Q291:Q297" si="150">(M291/60)*P291</f>
        <v>0.5</v>
      </c>
      <c r="R291" s="38">
        <v>0.85</v>
      </c>
      <c r="S291" s="280">
        <f t="shared" si="121"/>
        <v>0.42499999999999999</v>
      </c>
      <c r="T291" s="31">
        <f>VLOOKUP(A291,'Ansvar kurs'!$A$1:$C$1123,2,FALSE)</f>
        <v>1630</v>
      </c>
      <c r="U291" s="31" t="str">
        <f>VLOOKUP(T291,Orgenheter!$A$1:$C$166,2,FALSE)</f>
        <v>Inst för ide- o samhällsstudier</v>
      </c>
      <c r="V291" s="31" t="str">
        <f>VLOOKUP(T291,Orgenheter!$A$1:$C$166,3,FALSE)</f>
        <v>Hum</v>
      </c>
      <c r="W291" s="35" t="str">
        <f>VLOOKUP(D291,Program!$A$1:$B$36,2,FALSE)</f>
        <v>KPU - åk 7-9 och Gy</v>
      </c>
      <c r="X291" s="40">
        <f>VLOOKUP(A291,kurspris!$A$1:$Q$913,15,FALSE)</f>
        <v>26554</v>
      </c>
      <c r="Y291" s="40">
        <f>VLOOKUP(A291,kurspris!$A$1:$Q$913,16,FALSE)</f>
        <v>33465</v>
      </c>
      <c r="Z291" s="40">
        <f t="shared" si="122"/>
        <v>27499.625</v>
      </c>
      <c r="AA291" s="40">
        <f>VLOOKUP(A291,kurspris!$A$1:$Q$913,17,FALSE)</f>
        <v>6000</v>
      </c>
      <c r="AB291" s="40">
        <f t="shared" si="123"/>
        <v>3000</v>
      </c>
      <c r="AC291" s="40">
        <f t="shared" si="124"/>
        <v>30499.625</v>
      </c>
      <c r="AD291" s="31">
        <f>VLOOKUP($A291,kurspris!$A$1:$Q$950,3,FALSE)</f>
        <v>0</v>
      </c>
      <c r="AE291" s="31">
        <f>VLOOKUP($A291,kurspris!$A$1:$Q$950,4,FALSE)</f>
        <v>0</v>
      </c>
      <c r="AF291" s="31">
        <f>VLOOKUP($A291,kurspris!$A$1:$Q$950,5,FALSE)</f>
        <v>0</v>
      </c>
      <c r="AG291" s="31">
        <f>VLOOKUP($A291,kurspris!$A$1:$Q$950,6,FALSE)</f>
        <v>1</v>
      </c>
      <c r="AH291" s="31">
        <f>VLOOKUP($A291,kurspris!$A$1:$Q$950,7,FALSE)</f>
        <v>0</v>
      </c>
      <c r="AI291" s="31">
        <f>VLOOKUP($A291,kurspris!$A$1:$Q$950,8,FALSE)</f>
        <v>0</v>
      </c>
      <c r="AJ291" s="31">
        <f>VLOOKUP($A291,kurspris!$A$1:$Q$950,9,FALSE)</f>
        <v>0</v>
      </c>
      <c r="AK291" s="31">
        <f>VLOOKUP($A291,kurspris!$A$1:$Q$950,10,FALSE)</f>
        <v>0</v>
      </c>
      <c r="AL291" s="31">
        <f>VLOOKUP($A291,kurspris!$A$1:$Q$950,11,FALSE)</f>
        <v>0</v>
      </c>
      <c r="AM291" s="31">
        <f>VLOOKUP($A291,kurspris!$A$1:$Q$950,12,FALSE)</f>
        <v>0</v>
      </c>
      <c r="AN291" s="31">
        <f>VLOOKUP($A291,kurspris!$A$1:$Q$950,13,FALSE)</f>
        <v>0</v>
      </c>
      <c r="AO291" s="31">
        <f>VLOOKUP($A291,kurspris!$A$1:$Q$950,14,FALSE)</f>
        <v>0</v>
      </c>
      <c r="AP291" s="57" t="s">
        <v>2503</v>
      </c>
      <c r="AQ291"/>
      <c r="AR291" s="31">
        <f t="shared" si="125"/>
        <v>0</v>
      </c>
      <c r="AS291" s="219">
        <f t="shared" si="126"/>
        <v>0</v>
      </c>
      <c r="AT291" s="31">
        <f t="shared" si="127"/>
        <v>0</v>
      </c>
      <c r="AU291" s="219">
        <f t="shared" si="128"/>
        <v>0</v>
      </c>
      <c r="AV291" s="31">
        <f t="shared" si="129"/>
        <v>0</v>
      </c>
      <c r="AW291" s="31">
        <f t="shared" si="130"/>
        <v>0</v>
      </c>
      <c r="AX291" s="31">
        <f t="shared" si="131"/>
        <v>0.5</v>
      </c>
      <c r="AY291" s="219">
        <f t="shared" si="132"/>
        <v>0.42499999999999999</v>
      </c>
      <c r="AZ291" s="196">
        <f t="shared" si="133"/>
        <v>0</v>
      </c>
      <c r="BA291" s="219">
        <f t="shared" si="134"/>
        <v>0</v>
      </c>
      <c r="BB291" s="31">
        <f t="shared" si="135"/>
        <v>0</v>
      </c>
      <c r="BC291" s="219">
        <f t="shared" si="136"/>
        <v>0</v>
      </c>
      <c r="BD291" s="31">
        <f t="shared" si="137"/>
        <v>0</v>
      </c>
      <c r="BE291" s="219">
        <f t="shared" si="138"/>
        <v>0</v>
      </c>
      <c r="BF291" s="31">
        <f t="shared" si="139"/>
        <v>0</v>
      </c>
      <c r="BG291" s="219">
        <f t="shared" si="140"/>
        <v>0</v>
      </c>
      <c r="BH291" s="31">
        <f t="shared" si="141"/>
        <v>0</v>
      </c>
      <c r="BI291" s="219">
        <f t="shared" si="142"/>
        <v>0</v>
      </c>
      <c r="BJ291" s="31">
        <f t="shared" si="143"/>
        <v>0</v>
      </c>
      <c r="BK291" s="219">
        <f t="shared" si="144"/>
        <v>0</v>
      </c>
      <c r="BL291" s="31">
        <f t="shared" si="145"/>
        <v>0</v>
      </c>
      <c r="BM291" s="219">
        <f t="shared" si="146"/>
        <v>0</v>
      </c>
      <c r="BN291" s="31">
        <f t="shared" si="147"/>
        <v>0</v>
      </c>
      <c r="BO291" s="219">
        <f t="shared" si="148"/>
        <v>0</v>
      </c>
    </row>
    <row r="292" spans="1:67" x14ac:dyDescent="0.25">
      <c r="A292" s="31" t="s">
        <v>2150</v>
      </c>
      <c r="B292" s="176" t="str">
        <f>VLOOKUP(A292,kurspris!$A$1:$B$992,2,FALSE)</f>
        <v>Skolans uppdrag (UVK)</v>
      </c>
      <c r="D292" s="60" t="s">
        <v>2155</v>
      </c>
      <c r="E292" s="574" t="s">
        <v>2226</v>
      </c>
      <c r="F292" s="31" t="s">
        <v>2273</v>
      </c>
      <c r="G292" s="31" t="s">
        <v>2458</v>
      </c>
      <c r="H292" s="31" t="s">
        <v>2335</v>
      </c>
      <c r="I292" s="31" t="s">
        <v>2276</v>
      </c>
      <c r="L292" s="38">
        <v>0.5</v>
      </c>
      <c r="M292" s="325">
        <v>15</v>
      </c>
      <c r="N292" s="38"/>
      <c r="P292" s="324">
        <v>1</v>
      </c>
      <c r="Q292" s="196">
        <f t="shared" si="150"/>
        <v>0.25</v>
      </c>
      <c r="R292" s="38">
        <v>0.85</v>
      </c>
      <c r="S292" s="280">
        <f t="shared" si="121"/>
        <v>0.21249999999999999</v>
      </c>
      <c r="T292" s="31">
        <f>VLOOKUP(A292,'Ansvar kurs'!$A$1:$C$1123,2,FALSE)</f>
        <v>1630</v>
      </c>
      <c r="U292" s="31" t="str">
        <f>VLOOKUP(T292,Orgenheter!$A$1:$C$166,2,FALSE)</f>
        <v>Inst för ide- o samhällsstudier</v>
      </c>
      <c r="V292" s="31" t="str">
        <f>VLOOKUP(T292,Orgenheter!$A$1:$C$166,3,FALSE)</f>
        <v>Hum</v>
      </c>
      <c r="W292" s="35" t="str">
        <f>VLOOKUP(D292,Program!$A$1:$B$36,2,FALSE)</f>
        <v>KPU - åk 7-9 och Gy</v>
      </c>
      <c r="X292" s="40">
        <f>VLOOKUP(A292,kurspris!$A$1:$Q$913,15,FALSE)</f>
        <v>26554</v>
      </c>
      <c r="Y292" s="40">
        <f>VLOOKUP(A292,kurspris!$A$1:$Q$913,16,FALSE)</f>
        <v>33465</v>
      </c>
      <c r="Z292" s="40">
        <f t="shared" si="122"/>
        <v>13749.8125</v>
      </c>
      <c r="AA292" s="40">
        <f>VLOOKUP(A292,kurspris!$A$1:$Q$913,17,FALSE)</f>
        <v>6000</v>
      </c>
      <c r="AB292" s="40">
        <f t="shared" si="123"/>
        <v>1500</v>
      </c>
      <c r="AC292" s="40">
        <f t="shared" si="124"/>
        <v>15249.8125</v>
      </c>
      <c r="AD292" s="31">
        <f>VLOOKUP($A292,kurspris!$A$1:$Q$950,3,FALSE)</f>
        <v>0</v>
      </c>
      <c r="AE292" s="31">
        <f>VLOOKUP($A292,kurspris!$A$1:$Q$950,4,FALSE)</f>
        <v>0</v>
      </c>
      <c r="AF292" s="31">
        <f>VLOOKUP($A292,kurspris!$A$1:$Q$950,5,FALSE)</f>
        <v>0</v>
      </c>
      <c r="AG292" s="31">
        <f>VLOOKUP($A292,kurspris!$A$1:$Q$950,6,FALSE)</f>
        <v>1</v>
      </c>
      <c r="AH292" s="31">
        <f>VLOOKUP($A292,kurspris!$A$1:$Q$950,7,FALSE)</f>
        <v>0</v>
      </c>
      <c r="AI292" s="31">
        <f>VLOOKUP($A292,kurspris!$A$1:$Q$950,8,FALSE)</f>
        <v>0</v>
      </c>
      <c r="AJ292" s="31">
        <f>VLOOKUP($A292,kurspris!$A$1:$Q$950,9,FALSE)</f>
        <v>0</v>
      </c>
      <c r="AK292" s="31">
        <f>VLOOKUP($A292,kurspris!$A$1:$Q$950,10,FALSE)</f>
        <v>0</v>
      </c>
      <c r="AL292" s="31">
        <f>VLOOKUP($A292,kurspris!$A$1:$Q$950,11,FALSE)</f>
        <v>0</v>
      </c>
      <c r="AM292" s="31">
        <f>VLOOKUP($A292,kurspris!$A$1:$Q$950,12,FALSE)</f>
        <v>0</v>
      </c>
      <c r="AN292" s="31">
        <f>VLOOKUP($A292,kurspris!$A$1:$Q$950,13,FALSE)</f>
        <v>0</v>
      </c>
      <c r="AO292" s="31">
        <f>VLOOKUP($A292,kurspris!$A$1:$Q$950,14,FALSE)</f>
        <v>0</v>
      </c>
      <c r="AP292" s="57" t="s">
        <v>2503</v>
      </c>
      <c r="AQ292"/>
      <c r="AR292" s="31">
        <f t="shared" si="125"/>
        <v>0</v>
      </c>
      <c r="AS292" s="219">
        <f t="shared" si="126"/>
        <v>0</v>
      </c>
      <c r="AT292" s="31">
        <f t="shared" si="127"/>
        <v>0</v>
      </c>
      <c r="AU292" s="219">
        <f t="shared" si="128"/>
        <v>0</v>
      </c>
      <c r="AV292" s="31">
        <f t="shared" si="129"/>
        <v>0</v>
      </c>
      <c r="AW292" s="31">
        <f t="shared" si="130"/>
        <v>0</v>
      </c>
      <c r="AX292" s="31">
        <f t="shared" si="131"/>
        <v>0.25</v>
      </c>
      <c r="AY292" s="219">
        <f t="shared" si="132"/>
        <v>0.21249999999999999</v>
      </c>
      <c r="AZ292" s="196">
        <f t="shared" si="133"/>
        <v>0</v>
      </c>
      <c r="BA292" s="219">
        <f t="shared" si="134"/>
        <v>0</v>
      </c>
      <c r="BB292" s="31">
        <f t="shared" si="135"/>
        <v>0</v>
      </c>
      <c r="BC292" s="219">
        <f t="shared" si="136"/>
        <v>0</v>
      </c>
      <c r="BD292" s="31">
        <f t="shared" si="137"/>
        <v>0</v>
      </c>
      <c r="BE292" s="219">
        <f t="shared" si="138"/>
        <v>0</v>
      </c>
      <c r="BF292" s="31">
        <f t="shared" si="139"/>
        <v>0</v>
      </c>
      <c r="BG292" s="219">
        <f t="shared" si="140"/>
        <v>0</v>
      </c>
      <c r="BH292" s="31">
        <f t="shared" si="141"/>
        <v>0</v>
      </c>
      <c r="BI292" s="219">
        <f t="shared" si="142"/>
        <v>0</v>
      </c>
      <c r="BJ292" s="31">
        <f t="shared" si="143"/>
        <v>0</v>
      </c>
      <c r="BK292" s="219">
        <f t="shared" si="144"/>
        <v>0</v>
      </c>
      <c r="BL292" s="31">
        <f t="shared" si="145"/>
        <v>0</v>
      </c>
      <c r="BM292" s="219">
        <f t="shared" si="146"/>
        <v>0</v>
      </c>
      <c r="BN292" s="31">
        <f t="shared" si="147"/>
        <v>0</v>
      </c>
      <c r="BO292" s="219">
        <f t="shared" si="148"/>
        <v>0</v>
      </c>
    </row>
    <row r="293" spans="1:67" x14ac:dyDescent="0.25">
      <c r="A293" s="31" t="s">
        <v>2150</v>
      </c>
      <c r="B293" s="176" t="str">
        <f>VLOOKUP(A293,kurspris!$A$1:$B$992,2,FALSE)</f>
        <v>Skolans uppdrag (UVK)</v>
      </c>
      <c r="D293" s="60" t="s">
        <v>2155</v>
      </c>
      <c r="E293" s="574" t="s">
        <v>2225</v>
      </c>
      <c r="F293" s="31" t="s">
        <v>2273</v>
      </c>
      <c r="G293" s="31" t="s">
        <v>2458</v>
      </c>
      <c r="H293" s="31" t="s">
        <v>2335</v>
      </c>
      <c r="I293" s="31" t="s">
        <v>2276</v>
      </c>
      <c r="L293" s="38">
        <v>0.5</v>
      </c>
      <c r="M293" s="325">
        <v>15</v>
      </c>
      <c r="N293" s="38"/>
      <c r="P293" s="324">
        <v>3</v>
      </c>
      <c r="Q293" s="196">
        <f t="shared" si="150"/>
        <v>0.75</v>
      </c>
      <c r="R293" s="38">
        <v>0.85</v>
      </c>
      <c r="S293" s="280">
        <f t="shared" si="121"/>
        <v>0.63749999999999996</v>
      </c>
      <c r="T293" s="31">
        <f>VLOOKUP(A293,'Ansvar kurs'!$A$1:$C$1123,2,FALSE)</f>
        <v>1630</v>
      </c>
      <c r="U293" s="31" t="str">
        <f>VLOOKUP(T293,Orgenheter!$A$1:$C$166,2,FALSE)</f>
        <v>Inst för ide- o samhällsstudier</v>
      </c>
      <c r="V293" s="31" t="str">
        <f>VLOOKUP(T293,Orgenheter!$A$1:$C$166,3,FALSE)</f>
        <v>Hum</v>
      </c>
      <c r="W293" s="35" t="str">
        <f>VLOOKUP(D293,Program!$A$1:$B$36,2,FALSE)</f>
        <v>KPU - åk 7-9 och Gy</v>
      </c>
      <c r="X293" s="40">
        <f>VLOOKUP(A293,kurspris!$A$1:$Q$913,15,FALSE)</f>
        <v>26554</v>
      </c>
      <c r="Y293" s="40">
        <f>VLOOKUP(A293,kurspris!$A$1:$Q$913,16,FALSE)</f>
        <v>33465</v>
      </c>
      <c r="Z293" s="40">
        <f t="shared" si="122"/>
        <v>41249.4375</v>
      </c>
      <c r="AA293" s="40">
        <f>VLOOKUP(A293,kurspris!$A$1:$Q$913,17,FALSE)</f>
        <v>6000</v>
      </c>
      <c r="AB293" s="40">
        <f t="shared" si="123"/>
        <v>4500</v>
      </c>
      <c r="AC293" s="40">
        <f t="shared" si="124"/>
        <v>45749.4375</v>
      </c>
      <c r="AD293" s="31">
        <f>VLOOKUP($A293,kurspris!$A$1:$Q$950,3,FALSE)</f>
        <v>0</v>
      </c>
      <c r="AE293" s="31">
        <f>VLOOKUP($A293,kurspris!$A$1:$Q$950,4,FALSE)</f>
        <v>0</v>
      </c>
      <c r="AF293" s="31">
        <f>VLOOKUP($A293,kurspris!$A$1:$Q$950,5,FALSE)</f>
        <v>0</v>
      </c>
      <c r="AG293" s="31">
        <f>VLOOKUP($A293,kurspris!$A$1:$Q$950,6,FALSE)</f>
        <v>1</v>
      </c>
      <c r="AH293" s="31">
        <f>VLOOKUP($A293,kurspris!$A$1:$Q$950,7,FALSE)</f>
        <v>0</v>
      </c>
      <c r="AI293" s="31">
        <f>VLOOKUP($A293,kurspris!$A$1:$Q$950,8,FALSE)</f>
        <v>0</v>
      </c>
      <c r="AJ293" s="31">
        <f>VLOOKUP($A293,kurspris!$A$1:$Q$950,9,FALSE)</f>
        <v>0</v>
      </c>
      <c r="AK293" s="31">
        <f>VLOOKUP($A293,kurspris!$A$1:$Q$950,10,FALSE)</f>
        <v>0</v>
      </c>
      <c r="AL293" s="31">
        <f>VLOOKUP($A293,kurspris!$A$1:$Q$950,11,FALSE)</f>
        <v>0</v>
      </c>
      <c r="AM293" s="31">
        <f>VLOOKUP($A293,kurspris!$A$1:$Q$950,12,FALSE)</f>
        <v>0</v>
      </c>
      <c r="AN293" s="31">
        <f>VLOOKUP($A293,kurspris!$A$1:$Q$950,13,FALSE)</f>
        <v>0</v>
      </c>
      <c r="AO293" s="31">
        <f>VLOOKUP($A293,kurspris!$A$1:$Q$950,14,FALSE)</f>
        <v>0</v>
      </c>
      <c r="AP293" s="57" t="s">
        <v>2503</v>
      </c>
      <c r="AQ293"/>
      <c r="AR293" s="31">
        <f t="shared" si="125"/>
        <v>0</v>
      </c>
      <c r="AS293" s="219">
        <f t="shared" si="126"/>
        <v>0</v>
      </c>
      <c r="AT293" s="31">
        <f t="shared" si="127"/>
        <v>0</v>
      </c>
      <c r="AU293" s="219">
        <f t="shared" si="128"/>
        <v>0</v>
      </c>
      <c r="AV293" s="31">
        <f t="shared" si="129"/>
        <v>0</v>
      </c>
      <c r="AW293" s="31">
        <f t="shared" si="130"/>
        <v>0</v>
      </c>
      <c r="AX293" s="31">
        <f t="shared" si="131"/>
        <v>0.75</v>
      </c>
      <c r="AY293" s="219">
        <f t="shared" si="132"/>
        <v>0.63749999999999996</v>
      </c>
      <c r="AZ293" s="196">
        <f t="shared" si="133"/>
        <v>0</v>
      </c>
      <c r="BA293" s="219">
        <f t="shared" si="134"/>
        <v>0</v>
      </c>
      <c r="BB293" s="31">
        <f t="shared" si="135"/>
        <v>0</v>
      </c>
      <c r="BC293" s="219">
        <f t="shared" si="136"/>
        <v>0</v>
      </c>
      <c r="BD293" s="31">
        <f t="shared" si="137"/>
        <v>0</v>
      </c>
      <c r="BE293" s="219">
        <f t="shared" si="138"/>
        <v>0</v>
      </c>
      <c r="BF293" s="31">
        <f t="shared" si="139"/>
        <v>0</v>
      </c>
      <c r="BG293" s="219">
        <f t="shared" si="140"/>
        <v>0</v>
      </c>
      <c r="BH293" s="31">
        <f t="shared" si="141"/>
        <v>0</v>
      </c>
      <c r="BI293" s="219">
        <f t="shared" si="142"/>
        <v>0</v>
      </c>
      <c r="BJ293" s="31">
        <f t="shared" si="143"/>
        <v>0</v>
      </c>
      <c r="BK293" s="219">
        <f t="shared" si="144"/>
        <v>0</v>
      </c>
      <c r="BL293" s="31">
        <f t="shared" si="145"/>
        <v>0</v>
      </c>
      <c r="BM293" s="219">
        <f t="shared" si="146"/>
        <v>0</v>
      </c>
      <c r="BN293" s="31">
        <f t="shared" si="147"/>
        <v>0</v>
      </c>
      <c r="BO293" s="219">
        <f t="shared" si="148"/>
        <v>0</v>
      </c>
    </row>
    <row r="294" spans="1:67" x14ac:dyDescent="0.25">
      <c r="A294" s="31" t="s">
        <v>2150</v>
      </c>
      <c r="B294" s="176" t="str">
        <f>VLOOKUP(A294,kurspris!$A$1:$B$992,2,FALSE)</f>
        <v>Skolans uppdrag (UVK)</v>
      </c>
      <c r="D294" s="60" t="s">
        <v>2155</v>
      </c>
      <c r="E294" s="574" t="s">
        <v>2434</v>
      </c>
      <c r="F294" s="31" t="s">
        <v>2273</v>
      </c>
      <c r="G294" s="31" t="s">
        <v>2458</v>
      </c>
      <c r="H294" s="31" t="s">
        <v>2335</v>
      </c>
      <c r="I294" s="31" t="s">
        <v>2276</v>
      </c>
      <c r="L294" s="38">
        <v>0.5</v>
      </c>
      <c r="M294" s="325">
        <v>15</v>
      </c>
      <c r="N294" s="38"/>
      <c r="P294" s="324">
        <v>1</v>
      </c>
      <c r="Q294" s="196">
        <f t="shared" si="150"/>
        <v>0.25</v>
      </c>
      <c r="R294" s="38">
        <v>0.85</v>
      </c>
      <c r="S294" s="280">
        <f t="shared" si="121"/>
        <v>0.21249999999999999</v>
      </c>
      <c r="T294" s="31">
        <f>VLOOKUP(A294,'Ansvar kurs'!$A$1:$C$1123,2,FALSE)</f>
        <v>1630</v>
      </c>
      <c r="U294" s="31" t="str">
        <f>VLOOKUP(T294,Orgenheter!$A$1:$C$166,2,FALSE)</f>
        <v>Inst för ide- o samhällsstudier</v>
      </c>
      <c r="V294" s="31" t="str">
        <f>VLOOKUP(T294,Orgenheter!$A$1:$C$166,3,FALSE)</f>
        <v>Hum</v>
      </c>
      <c r="W294" s="35" t="str">
        <f>VLOOKUP(D294,Program!$A$1:$B$36,2,FALSE)</f>
        <v>KPU - åk 7-9 och Gy</v>
      </c>
      <c r="X294" s="40">
        <f>VLOOKUP(A294,kurspris!$A$1:$Q$913,15,FALSE)</f>
        <v>26554</v>
      </c>
      <c r="Y294" s="40">
        <f>VLOOKUP(A294,kurspris!$A$1:$Q$913,16,FALSE)</f>
        <v>33465</v>
      </c>
      <c r="Z294" s="40">
        <f t="shared" si="122"/>
        <v>13749.8125</v>
      </c>
      <c r="AA294" s="40">
        <f>VLOOKUP(A294,kurspris!$A$1:$Q$913,17,FALSE)</f>
        <v>6000</v>
      </c>
      <c r="AB294" s="40">
        <f t="shared" si="123"/>
        <v>1500</v>
      </c>
      <c r="AC294" s="40">
        <f t="shared" si="124"/>
        <v>15249.8125</v>
      </c>
      <c r="AD294" s="31">
        <f>VLOOKUP($A294,kurspris!$A$1:$Q$950,3,FALSE)</f>
        <v>0</v>
      </c>
      <c r="AE294" s="31">
        <f>VLOOKUP($A294,kurspris!$A$1:$Q$950,4,FALSE)</f>
        <v>0</v>
      </c>
      <c r="AF294" s="31">
        <f>VLOOKUP($A294,kurspris!$A$1:$Q$950,5,FALSE)</f>
        <v>0</v>
      </c>
      <c r="AG294" s="31">
        <f>VLOOKUP($A294,kurspris!$A$1:$Q$950,6,FALSE)</f>
        <v>1</v>
      </c>
      <c r="AH294" s="31">
        <f>VLOOKUP($A294,kurspris!$A$1:$Q$950,7,FALSE)</f>
        <v>0</v>
      </c>
      <c r="AI294" s="31">
        <f>VLOOKUP($A294,kurspris!$A$1:$Q$950,8,FALSE)</f>
        <v>0</v>
      </c>
      <c r="AJ294" s="31">
        <f>VLOOKUP($A294,kurspris!$A$1:$Q$950,9,FALSE)</f>
        <v>0</v>
      </c>
      <c r="AK294" s="31">
        <f>VLOOKUP($A294,kurspris!$A$1:$Q$950,10,FALSE)</f>
        <v>0</v>
      </c>
      <c r="AL294" s="31">
        <f>VLOOKUP($A294,kurspris!$A$1:$Q$950,11,FALSE)</f>
        <v>0</v>
      </c>
      <c r="AM294" s="31">
        <f>VLOOKUP($A294,kurspris!$A$1:$Q$950,12,FALSE)</f>
        <v>0</v>
      </c>
      <c r="AN294" s="31">
        <f>VLOOKUP($A294,kurspris!$A$1:$Q$950,13,FALSE)</f>
        <v>0</v>
      </c>
      <c r="AO294" s="31">
        <f>VLOOKUP($A294,kurspris!$A$1:$Q$950,14,FALSE)</f>
        <v>0</v>
      </c>
      <c r="AP294" s="57" t="s">
        <v>2503</v>
      </c>
      <c r="AQ294"/>
      <c r="AR294" s="31">
        <f t="shared" si="125"/>
        <v>0</v>
      </c>
      <c r="AS294" s="219">
        <f t="shared" si="126"/>
        <v>0</v>
      </c>
      <c r="AT294" s="31">
        <f t="shared" si="127"/>
        <v>0</v>
      </c>
      <c r="AU294" s="219">
        <f t="shared" si="128"/>
        <v>0</v>
      </c>
      <c r="AV294" s="31">
        <f t="shared" si="129"/>
        <v>0</v>
      </c>
      <c r="AW294" s="31">
        <f t="shared" si="130"/>
        <v>0</v>
      </c>
      <c r="AX294" s="31">
        <f t="shared" si="131"/>
        <v>0.25</v>
      </c>
      <c r="AY294" s="219">
        <f t="shared" si="132"/>
        <v>0.21249999999999999</v>
      </c>
      <c r="AZ294" s="196">
        <f t="shared" si="133"/>
        <v>0</v>
      </c>
      <c r="BA294" s="219">
        <f t="shared" si="134"/>
        <v>0</v>
      </c>
      <c r="BB294" s="31">
        <f t="shared" si="135"/>
        <v>0</v>
      </c>
      <c r="BC294" s="219">
        <f t="shared" si="136"/>
        <v>0</v>
      </c>
      <c r="BD294" s="31">
        <f t="shared" si="137"/>
        <v>0</v>
      </c>
      <c r="BE294" s="219">
        <f t="shared" si="138"/>
        <v>0</v>
      </c>
      <c r="BF294" s="31">
        <f t="shared" si="139"/>
        <v>0</v>
      </c>
      <c r="BG294" s="219">
        <f t="shared" si="140"/>
        <v>0</v>
      </c>
      <c r="BH294" s="31">
        <f t="shared" si="141"/>
        <v>0</v>
      </c>
      <c r="BI294" s="219">
        <f t="shared" si="142"/>
        <v>0</v>
      </c>
      <c r="BJ294" s="31">
        <f t="shared" si="143"/>
        <v>0</v>
      </c>
      <c r="BK294" s="219">
        <f t="shared" si="144"/>
        <v>0</v>
      </c>
      <c r="BL294" s="31">
        <f t="shared" si="145"/>
        <v>0</v>
      </c>
      <c r="BM294" s="219">
        <f t="shared" si="146"/>
        <v>0</v>
      </c>
      <c r="BN294" s="31">
        <f t="shared" si="147"/>
        <v>0</v>
      </c>
      <c r="BO294" s="219">
        <f t="shared" si="148"/>
        <v>0</v>
      </c>
    </row>
    <row r="295" spans="1:67" x14ac:dyDescent="0.25">
      <c r="A295" s="31" t="s">
        <v>2150</v>
      </c>
      <c r="B295" s="176" t="str">
        <f>VLOOKUP(A295,kurspris!$A$1:$B$992,2,FALSE)</f>
        <v>Skolans uppdrag (UVK)</v>
      </c>
      <c r="D295" s="60" t="s">
        <v>2155</v>
      </c>
      <c r="E295" s="576" t="s">
        <v>2432</v>
      </c>
      <c r="F295" s="31" t="s">
        <v>2273</v>
      </c>
      <c r="G295" s="31" t="s">
        <v>2458</v>
      </c>
      <c r="H295" s="31" t="s">
        <v>2335</v>
      </c>
      <c r="I295" s="31" t="s">
        <v>2276</v>
      </c>
      <c r="L295" s="38">
        <v>0.5</v>
      </c>
      <c r="M295" s="325">
        <v>15</v>
      </c>
      <c r="P295" s="31">
        <v>2</v>
      </c>
      <c r="Q295" s="196">
        <f t="shared" si="150"/>
        <v>0.5</v>
      </c>
      <c r="R295" s="38">
        <v>0.85</v>
      </c>
      <c r="S295" s="280">
        <f t="shared" si="121"/>
        <v>0.42499999999999999</v>
      </c>
      <c r="T295" s="31">
        <f>VLOOKUP(A295,'Ansvar kurs'!$A$1:$C$1123,2,FALSE)</f>
        <v>1630</v>
      </c>
      <c r="U295" s="31" t="str">
        <f>VLOOKUP(T295,Orgenheter!$A$1:$C$166,2,FALSE)</f>
        <v>Inst för ide- o samhällsstudier</v>
      </c>
      <c r="V295" s="31" t="str">
        <f>VLOOKUP(T295,Orgenheter!$A$1:$C$166,3,FALSE)</f>
        <v>Hum</v>
      </c>
      <c r="W295" s="35" t="str">
        <f>VLOOKUP(D295,Program!$A$1:$B$36,2,FALSE)</f>
        <v>KPU - åk 7-9 och Gy</v>
      </c>
      <c r="X295" s="40">
        <f>VLOOKUP(A295,kurspris!$A$1:$Q$913,15,FALSE)</f>
        <v>26554</v>
      </c>
      <c r="Y295" s="40">
        <f>VLOOKUP(A295,kurspris!$A$1:$Q$913,16,FALSE)</f>
        <v>33465</v>
      </c>
      <c r="Z295" s="40">
        <f t="shared" si="122"/>
        <v>27499.625</v>
      </c>
      <c r="AA295" s="40">
        <f>VLOOKUP(A295,kurspris!$A$1:$Q$913,17,FALSE)</f>
        <v>6000</v>
      </c>
      <c r="AB295" s="40">
        <f t="shared" si="123"/>
        <v>3000</v>
      </c>
      <c r="AC295" s="40">
        <f t="shared" si="124"/>
        <v>30499.625</v>
      </c>
      <c r="AD295" s="31">
        <f>VLOOKUP($A295,kurspris!$A$1:$Q$950,3,FALSE)</f>
        <v>0</v>
      </c>
      <c r="AE295" s="31">
        <f>VLOOKUP($A295,kurspris!$A$1:$Q$950,4,FALSE)</f>
        <v>0</v>
      </c>
      <c r="AF295" s="31">
        <f>VLOOKUP($A295,kurspris!$A$1:$Q$950,5,FALSE)</f>
        <v>0</v>
      </c>
      <c r="AG295" s="31">
        <f>VLOOKUP($A295,kurspris!$A$1:$Q$950,6,FALSE)</f>
        <v>1</v>
      </c>
      <c r="AH295" s="31">
        <f>VLOOKUP($A295,kurspris!$A$1:$Q$950,7,FALSE)</f>
        <v>0</v>
      </c>
      <c r="AI295" s="31">
        <f>VLOOKUP($A295,kurspris!$A$1:$Q$950,8,FALSE)</f>
        <v>0</v>
      </c>
      <c r="AJ295" s="31">
        <f>VLOOKUP($A295,kurspris!$A$1:$Q$950,9,FALSE)</f>
        <v>0</v>
      </c>
      <c r="AK295" s="31">
        <f>VLOOKUP($A295,kurspris!$A$1:$Q$950,10,FALSE)</f>
        <v>0</v>
      </c>
      <c r="AL295" s="31">
        <f>VLOOKUP($A295,kurspris!$A$1:$Q$950,11,FALSE)</f>
        <v>0</v>
      </c>
      <c r="AM295" s="31">
        <f>VLOOKUP($A295,kurspris!$A$1:$Q$950,12,FALSE)</f>
        <v>0</v>
      </c>
      <c r="AN295" s="31">
        <f>VLOOKUP($A295,kurspris!$A$1:$Q$950,13,FALSE)</f>
        <v>0</v>
      </c>
      <c r="AO295" s="31">
        <f>VLOOKUP($A295,kurspris!$A$1:$Q$950,14,FALSE)</f>
        <v>0</v>
      </c>
      <c r="AP295" s="57" t="s">
        <v>2503</v>
      </c>
      <c r="AQ295"/>
      <c r="AR295" s="31">
        <f t="shared" si="125"/>
        <v>0</v>
      </c>
      <c r="AS295" s="219">
        <f t="shared" si="126"/>
        <v>0</v>
      </c>
      <c r="AT295" s="31">
        <f t="shared" si="127"/>
        <v>0</v>
      </c>
      <c r="AU295" s="219">
        <f t="shared" si="128"/>
        <v>0</v>
      </c>
      <c r="AV295" s="31">
        <f t="shared" si="129"/>
        <v>0</v>
      </c>
      <c r="AW295" s="31">
        <f t="shared" si="130"/>
        <v>0</v>
      </c>
      <c r="AX295" s="31">
        <f t="shared" si="131"/>
        <v>0.5</v>
      </c>
      <c r="AY295" s="219">
        <f t="shared" si="132"/>
        <v>0.42499999999999999</v>
      </c>
      <c r="AZ295" s="196">
        <f t="shared" si="133"/>
        <v>0</v>
      </c>
      <c r="BA295" s="219">
        <f t="shared" si="134"/>
        <v>0</v>
      </c>
      <c r="BB295" s="31">
        <f t="shared" si="135"/>
        <v>0</v>
      </c>
      <c r="BC295" s="219">
        <f t="shared" si="136"/>
        <v>0</v>
      </c>
      <c r="BD295" s="31">
        <f t="shared" si="137"/>
        <v>0</v>
      </c>
      <c r="BE295" s="219">
        <f t="shared" si="138"/>
        <v>0</v>
      </c>
      <c r="BF295" s="31">
        <f t="shared" si="139"/>
        <v>0</v>
      </c>
      <c r="BG295" s="219">
        <f t="shared" si="140"/>
        <v>0</v>
      </c>
      <c r="BH295" s="31">
        <f t="shared" si="141"/>
        <v>0</v>
      </c>
      <c r="BI295" s="219">
        <f t="shared" si="142"/>
        <v>0</v>
      </c>
      <c r="BJ295" s="31">
        <f t="shared" si="143"/>
        <v>0</v>
      </c>
      <c r="BK295" s="219">
        <f t="shared" si="144"/>
        <v>0</v>
      </c>
      <c r="BL295" s="31">
        <f t="shared" si="145"/>
        <v>0</v>
      </c>
      <c r="BM295" s="219">
        <f t="shared" si="146"/>
        <v>0</v>
      </c>
      <c r="BN295" s="31">
        <f t="shared" si="147"/>
        <v>0</v>
      </c>
      <c r="BO295" s="219">
        <f t="shared" si="148"/>
        <v>0</v>
      </c>
    </row>
    <row r="296" spans="1:67" x14ac:dyDescent="0.25">
      <c r="A296" s="244" t="s">
        <v>2150</v>
      </c>
      <c r="B296" s="362" t="str">
        <f>VLOOKUP(A296,kurspris!$A$1:$B$992,2,FALSE)</f>
        <v>Skolans uppdrag (UVK)</v>
      </c>
      <c r="C296" s="244"/>
      <c r="D296" s="538" t="s">
        <v>2155</v>
      </c>
      <c r="E296" s="538" t="s">
        <v>2203</v>
      </c>
      <c r="F296" s="244" t="s">
        <v>2273</v>
      </c>
      <c r="G296" s="244"/>
      <c r="H296" s="244">
        <v>2480</v>
      </c>
      <c r="I296" s="244"/>
      <c r="J296" s="244"/>
      <c r="K296" s="244"/>
      <c r="L296" s="518">
        <v>0.5</v>
      </c>
      <c r="M296" s="325">
        <v>15</v>
      </c>
      <c r="P296" s="574">
        <v>31</v>
      </c>
      <c r="Q296" s="196">
        <f t="shared" si="150"/>
        <v>7.75</v>
      </c>
      <c r="R296" s="38">
        <v>0.85</v>
      </c>
      <c r="S296" s="280">
        <f t="shared" si="121"/>
        <v>6.5874999999999995</v>
      </c>
      <c r="T296" s="31">
        <f>VLOOKUP(A296,'Ansvar kurs'!$A$1:$C$1123,2,FALSE)</f>
        <v>1630</v>
      </c>
      <c r="U296" s="31" t="str">
        <f>VLOOKUP(T296,Orgenheter!$A$1:$C$166,2,FALSE)</f>
        <v>Inst för ide- o samhällsstudier</v>
      </c>
      <c r="V296" s="31" t="str">
        <f>VLOOKUP(T296,Orgenheter!$A$1:$C$166,3,FALSE)</f>
        <v>Hum</v>
      </c>
      <c r="W296" s="35" t="str">
        <f>VLOOKUP(D296,Program!$A$1:$B$36,2,FALSE)</f>
        <v>KPU - åk 7-9 och Gy</v>
      </c>
      <c r="X296" s="40">
        <f>VLOOKUP(A296,kurspris!$A$1:$Q$913,15,FALSE)</f>
        <v>26554</v>
      </c>
      <c r="Y296" s="40">
        <f>VLOOKUP(A296,kurspris!$A$1:$Q$913,16,FALSE)</f>
        <v>33465</v>
      </c>
      <c r="Z296" s="40">
        <f t="shared" si="122"/>
        <v>426244.1875</v>
      </c>
      <c r="AA296" s="40">
        <f>VLOOKUP(A296,kurspris!$A$1:$Q$913,17,FALSE)</f>
        <v>6000</v>
      </c>
      <c r="AB296" s="40">
        <f t="shared" si="123"/>
        <v>46500</v>
      </c>
      <c r="AC296" s="40">
        <f t="shared" si="124"/>
        <v>472744.1875</v>
      </c>
      <c r="AD296" s="31">
        <f>VLOOKUP($A296,kurspris!$A$1:$Q$950,3,FALSE)</f>
        <v>0</v>
      </c>
      <c r="AE296" s="31">
        <f>VLOOKUP($A296,kurspris!$A$1:$Q$950,4,FALSE)</f>
        <v>0</v>
      </c>
      <c r="AF296" s="31">
        <f>VLOOKUP($A296,kurspris!$A$1:$Q$950,5,FALSE)</f>
        <v>0</v>
      </c>
      <c r="AG296" s="31">
        <f>VLOOKUP($A296,kurspris!$A$1:$Q$950,6,FALSE)</f>
        <v>1</v>
      </c>
      <c r="AH296" s="31">
        <f>VLOOKUP($A296,kurspris!$A$1:$Q$950,7,FALSE)</f>
        <v>0</v>
      </c>
      <c r="AI296" s="31">
        <f>VLOOKUP($A296,kurspris!$A$1:$Q$950,8,FALSE)</f>
        <v>0</v>
      </c>
      <c r="AJ296" s="31">
        <f>VLOOKUP($A296,kurspris!$A$1:$Q$950,9,FALSE)</f>
        <v>0</v>
      </c>
      <c r="AK296" s="31">
        <f>VLOOKUP($A296,kurspris!$A$1:$Q$950,10,FALSE)</f>
        <v>0</v>
      </c>
      <c r="AL296" s="31">
        <f>VLOOKUP($A296,kurspris!$A$1:$Q$950,11,FALSE)</f>
        <v>0</v>
      </c>
      <c r="AM296" s="31">
        <f>VLOOKUP($A296,kurspris!$A$1:$Q$950,12,FALSE)</f>
        <v>0</v>
      </c>
      <c r="AN296" s="31">
        <f>VLOOKUP($A296,kurspris!$A$1:$Q$950,13,FALSE)</f>
        <v>0</v>
      </c>
      <c r="AO296" s="31">
        <f>VLOOKUP($A296,kurspris!$A$1:$Q$950,14,FALSE)</f>
        <v>0</v>
      </c>
      <c r="AP296" s="57" t="s">
        <v>2499</v>
      </c>
      <c r="AQ296" t="s">
        <v>2377</v>
      </c>
      <c r="AR296" s="31">
        <f t="shared" si="125"/>
        <v>0</v>
      </c>
      <c r="AS296" s="219">
        <f t="shared" si="126"/>
        <v>0</v>
      </c>
      <c r="AT296" s="31">
        <f t="shared" si="127"/>
        <v>0</v>
      </c>
      <c r="AU296" s="219">
        <f t="shared" si="128"/>
        <v>0</v>
      </c>
      <c r="AV296" s="31">
        <f t="shared" si="129"/>
        <v>0</v>
      </c>
      <c r="AW296" s="31">
        <f t="shared" si="130"/>
        <v>0</v>
      </c>
      <c r="AX296" s="31">
        <f t="shared" si="131"/>
        <v>7.75</v>
      </c>
      <c r="AY296" s="219">
        <f t="shared" si="132"/>
        <v>6.5874999999999995</v>
      </c>
      <c r="AZ296" s="196">
        <f t="shared" si="133"/>
        <v>0</v>
      </c>
      <c r="BA296" s="219">
        <f t="shared" si="134"/>
        <v>0</v>
      </c>
      <c r="BB296" s="31">
        <f t="shared" si="135"/>
        <v>0</v>
      </c>
      <c r="BC296" s="219">
        <f t="shared" si="136"/>
        <v>0</v>
      </c>
      <c r="BD296" s="31">
        <f t="shared" si="137"/>
        <v>0</v>
      </c>
      <c r="BE296" s="219">
        <f t="shared" si="138"/>
        <v>0</v>
      </c>
      <c r="BF296" s="31">
        <f t="shared" si="139"/>
        <v>0</v>
      </c>
      <c r="BG296" s="219">
        <f t="shared" si="140"/>
        <v>0</v>
      </c>
      <c r="BH296" s="31">
        <f t="shared" si="141"/>
        <v>0</v>
      </c>
      <c r="BI296" s="219">
        <f t="shared" si="142"/>
        <v>0</v>
      </c>
      <c r="BJ296" s="31">
        <f t="shared" si="143"/>
        <v>0</v>
      </c>
      <c r="BK296" s="219">
        <f t="shared" si="144"/>
        <v>0</v>
      </c>
      <c r="BL296" s="31">
        <f t="shared" si="145"/>
        <v>0</v>
      </c>
      <c r="BM296" s="219">
        <f t="shared" si="146"/>
        <v>0</v>
      </c>
      <c r="BN296" s="31">
        <f t="shared" si="147"/>
        <v>0</v>
      </c>
      <c r="BO296" s="219">
        <f t="shared" si="148"/>
        <v>0</v>
      </c>
    </row>
    <row r="297" spans="1:67" x14ac:dyDescent="0.25">
      <c r="A297" s="283" t="s">
        <v>2150</v>
      </c>
      <c r="B297" s="362" t="str">
        <f>VLOOKUP(A297,kurspris!$A$1:$B$992,2,FALSE)</f>
        <v>Skolans uppdrag (UVK)</v>
      </c>
      <c r="C297" s="244"/>
      <c r="D297" s="538" t="s">
        <v>2155</v>
      </c>
      <c r="E297" s="538" t="s">
        <v>2203</v>
      </c>
      <c r="F297" s="244" t="s">
        <v>2273</v>
      </c>
      <c r="G297" s="244"/>
      <c r="H297" s="244">
        <v>2480</v>
      </c>
      <c r="I297" s="244"/>
      <c r="J297" s="244"/>
      <c r="K297" s="244"/>
      <c r="L297" s="518">
        <v>1</v>
      </c>
      <c r="M297" s="325">
        <v>15</v>
      </c>
      <c r="P297" s="574">
        <v>61</v>
      </c>
      <c r="Q297" s="196">
        <f t="shared" si="150"/>
        <v>15.25</v>
      </c>
      <c r="R297" s="38">
        <v>0.85</v>
      </c>
      <c r="S297" s="280">
        <f t="shared" si="121"/>
        <v>12.9625</v>
      </c>
      <c r="T297" s="31">
        <f>VLOOKUP(A297,'Ansvar kurs'!$A$1:$C$1123,2,FALSE)</f>
        <v>1630</v>
      </c>
      <c r="U297" s="31" t="str">
        <f>VLOOKUP(T297,Orgenheter!$A$1:$C$166,2,FALSE)</f>
        <v>Inst för ide- o samhällsstudier</v>
      </c>
      <c r="V297" s="31" t="str">
        <f>VLOOKUP(T297,Orgenheter!$A$1:$C$166,3,FALSE)</f>
        <v>Hum</v>
      </c>
      <c r="W297" s="35" t="str">
        <f>VLOOKUP(D297,Program!$A$1:$B$36,2,FALSE)</f>
        <v>KPU - åk 7-9 och Gy</v>
      </c>
      <c r="X297" s="40">
        <f>VLOOKUP(A297,kurspris!$A$1:$Q$913,15,FALSE)</f>
        <v>26554</v>
      </c>
      <c r="Y297" s="40">
        <f>VLOOKUP(A297,kurspris!$A$1:$Q$913,16,FALSE)</f>
        <v>33465</v>
      </c>
      <c r="Z297" s="40">
        <f t="shared" si="122"/>
        <v>838738.5625</v>
      </c>
      <c r="AA297" s="40">
        <f>VLOOKUP(A297,kurspris!$A$1:$Q$913,17,FALSE)</f>
        <v>6000</v>
      </c>
      <c r="AB297" s="40">
        <f t="shared" si="123"/>
        <v>91500</v>
      </c>
      <c r="AC297" s="40">
        <f t="shared" si="124"/>
        <v>930238.5625</v>
      </c>
      <c r="AD297" s="31">
        <f>VLOOKUP($A297,kurspris!$A$1:$Q$950,3,FALSE)</f>
        <v>0</v>
      </c>
      <c r="AE297" s="31">
        <f>VLOOKUP($A297,kurspris!$A$1:$Q$950,4,FALSE)</f>
        <v>0</v>
      </c>
      <c r="AF297" s="31">
        <f>VLOOKUP($A297,kurspris!$A$1:$Q$950,5,FALSE)</f>
        <v>0</v>
      </c>
      <c r="AG297" s="31">
        <f>VLOOKUP($A297,kurspris!$A$1:$Q$950,6,FALSE)</f>
        <v>1</v>
      </c>
      <c r="AH297" s="31">
        <f>VLOOKUP($A297,kurspris!$A$1:$Q$950,7,FALSE)</f>
        <v>0</v>
      </c>
      <c r="AI297" s="31">
        <f>VLOOKUP($A297,kurspris!$A$1:$Q$950,8,FALSE)</f>
        <v>0</v>
      </c>
      <c r="AJ297" s="31">
        <f>VLOOKUP($A297,kurspris!$A$1:$Q$950,9,FALSE)</f>
        <v>0</v>
      </c>
      <c r="AK297" s="31">
        <f>VLOOKUP($A297,kurspris!$A$1:$Q$950,10,FALSE)</f>
        <v>0</v>
      </c>
      <c r="AL297" s="31">
        <f>VLOOKUP($A297,kurspris!$A$1:$Q$950,11,FALSE)</f>
        <v>0</v>
      </c>
      <c r="AM297" s="31">
        <f>VLOOKUP($A297,kurspris!$A$1:$Q$950,12,FALSE)</f>
        <v>0</v>
      </c>
      <c r="AN297" s="31">
        <f>VLOOKUP($A297,kurspris!$A$1:$Q$950,13,FALSE)</f>
        <v>0</v>
      </c>
      <c r="AO297" s="31">
        <f>VLOOKUP($A297,kurspris!$A$1:$Q$950,14,FALSE)</f>
        <v>0</v>
      </c>
      <c r="AP297" s="57" t="s">
        <v>2499</v>
      </c>
      <c r="AQ297" t="s">
        <v>2377</v>
      </c>
      <c r="AR297" s="31">
        <f t="shared" si="125"/>
        <v>0</v>
      </c>
      <c r="AS297" s="219">
        <f t="shared" si="126"/>
        <v>0</v>
      </c>
      <c r="AT297" s="31">
        <f t="shared" si="127"/>
        <v>0</v>
      </c>
      <c r="AU297" s="219">
        <f t="shared" si="128"/>
        <v>0</v>
      </c>
      <c r="AV297" s="31">
        <f t="shared" si="129"/>
        <v>0</v>
      </c>
      <c r="AW297" s="31">
        <f t="shared" si="130"/>
        <v>0</v>
      </c>
      <c r="AX297" s="31">
        <f t="shared" si="131"/>
        <v>15.25</v>
      </c>
      <c r="AY297" s="219">
        <f t="shared" si="132"/>
        <v>12.9625</v>
      </c>
      <c r="AZ297" s="196">
        <f t="shared" si="133"/>
        <v>0</v>
      </c>
      <c r="BA297" s="219">
        <f t="shared" si="134"/>
        <v>0</v>
      </c>
      <c r="BB297" s="31">
        <f t="shared" si="135"/>
        <v>0</v>
      </c>
      <c r="BC297" s="219">
        <f t="shared" si="136"/>
        <v>0</v>
      </c>
      <c r="BD297" s="31">
        <f t="shared" si="137"/>
        <v>0</v>
      </c>
      <c r="BE297" s="219">
        <f t="shared" si="138"/>
        <v>0</v>
      </c>
      <c r="BF297" s="31">
        <f t="shared" si="139"/>
        <v>0</v>
      </c>
      <c r="BG297" s="219">
        <f t="shared" si="140"/>
        <v>0</v>
      </c>
      <c r="BH297" s="31">
        <f t="shared" si="141"/>
        <v>0</v>
      </c>
      <c r="BI297" s="219">
        <f t="shared" si="142"/>
        <v>0</v>
      </c>
      <c r="BJ297" s="31">
        <f t="shared" si="143"/>
        <v>0</v>
      </c>
      <c r="BK297" s="219">
        <f t="shared" si="144"/>
        <v>0</v>
      </c>
      <c r="BL297" s="31">
        <f t="shared" si="145"/>
        <v>0</v>
      </c>
      <c r="BM297" s="219">
        <f t="shared" si="146"/>
        <v>0</v>
      </c>
      <c r="BN297" s="31">
        <f t="shared" si="147"/>
        <v>0</v>
      </c>
      <c r="BO297" s="219">
        <f t="shared" si="148"/>
        <v>0</v>
      </c>
    </row>
    <row r="298" spans="1:67" x14ac:dyDescent="0.25">
      <c r="A298" s="31" t="s">
        <v>2253</v>
      </c>
      <c r="B298" s="176" t="str">
        <f>VLOOKUP(A298,kurspris!$A$1:$B$992,2,FALSE)</f>
        <v>Bedömning för och av lärande (UVK)</v>
      </c>
      <c r="C298" s="31">
        <v>69707</v>
      </c>
      <c r="D298" s="60" t="s">
        <v>2155</v>
      </c>
      <c r="E298" s="60"/>
      <c r="F298" s="57" t="s">
        <v>2274</v>
      </c>
      <c r="H298" s="31" t="s">
        <v>2335</v>
      </c>
      <c r="I298" s="31" t="s">
        <v>2275</v>
      </c>
      <c r="L298" s="38"/>
      <c r="M298">
        <v>15</v>
      </c>
      <c r="P298" s="31">
        <v>46</v>
      </c>
      <c r="Q298" s="539">
        <v>11.5</v>
      </c>
      <c r="R298" s="38">
        <v>0.85</v>
      </c>
      <c r="S298" s="280">
        <f t="shared" si="121"/>
        <v>9.7750000000000004</v>
      </c>
      <c r="T298" s="31">
        <f>VLOOKUP(A298,'Ansvar kurs'!$A$1:$C$1123,2,FALSE)</f>
        <v>5740</v>
      </c>
      <c r="U298" s="31" t="str">
        <f>VLOOKUP(T298,Orgenheter!$A$1:$C$166,2,FALSE)</f>
        <v>NMD</v>
      </c>
      <c r="V298" s="31" t="str">
        <f>VLOOKUP(T298,Orgenheter!$A$1:$C$166,3,FALSE)</f>
        <v>TekNat</v>
      </c>
      <c r="W298" s="35" t="str">
        <f>VLOOKUP(D298,Program!$A$1:$B$36,2,FALSE)</f>
        <v>KPU - åk 7-9 och Gy</v>
      </c>
      <c r="X298" s="40">
        <f>VLOOKUP(A298,kurspris!$A$1:$Q$913,15,FALSE)</f>
        <v>26554</v>
      </c>
      <c r="Y298" s="40">
        <f>VLOOKUP(A298,kurspris!$A$1:$Q$913,16,FALSE)</f>
        <v>33465</v>
      </c>
      <c r="Z298" s="40">
        <f t="shared" si="122"/>
        <v>632491.375</v>
      </c>
      <c r="AA298" s="40">
        <f>VLOOKUP(A298,kurspris!$A$1:$Q$913,17,FALSE)</f>
        <v>6000</v>
      </c>
      <c r="AB298" s="40">
        <f t="shared" si="123"/>
        <v>69000</v>
      </c>
      <c r="AC298" s="40">
        <f t="shared" si="124"/>
        <v>701491.375</v>
      </c>
      <c r="AD298" s="31">
        <f>VLOOKUP($A298,kurspris!$A$1:$Q$950,3,FALSE)</f>
        <v>0</v>
      </c>
      <c r="AE298" s="31">
        <f>VLOOKUP($A298,kurspris!$A$1:$Q$950,4,FALSE)</f>
        <v>0</v>
      </c>
      <c r="AF298" s="31">
        <f>VLOOKUP($A298,kurspris!$A$1:$Q$950,5,FALSE)</f>
        <v>0</v>
      </c>
      <c r="AG298" s="31">
        <f>VLOOKUP($A298,kurspris!$A$1:$Q$950,6,FALSE)</f>
        <v>1</v>
      </c>
      <c r="AH298" s="31">
        <f>VLOOKUP($A298,kurspris!$A$1:$Q$950,7,FALSE)</f>
        <v>0</v>
      </c>
      <c r="AI298" s="31">
        <f>VLOOKUP($A298,kurspris!$A$1:$Q$950,8,FALSE)</f>
        <v>0</v>
      </c>
      <c r="AJ298" s="31">
        <f>VLOOKUP($A298,kurspris!$A$1:$Q$950,9,FALSE)</f>
        <v>0</v>
      </c>
      <c r="AK298" s="31">
        <f>VLOOKUP($A298,kurspris!$A$1:$Q$950,10,FALSE)</f>
        <v>0</v>
      </c>
      <c r="AL298" s="31">
        <f>VLOOKUP($A298,kurspris!$A$1:$Q$950,11,FALSE)</f>
        <v>0</v>
      </c>
      <c r="AM298" s="31">
        <f>VLOOKUP($A298,kurspris!$A$1:$Q$950,12,FALSE)</f>
        <v>0</v>
      </c>
      <c r="AN298" s="31">
        <f>VLOOKUP($A298,kurspris!$A$1:$Q$950,13,FALSE)</f>
        <v>0</v>
      </c>
      <c r="AO298" s="31">
        <f>VLOOKUP($A298,kurspris!$A$1:$Q$950,14,FALSE)</f>
        <v>0</v>
      </c>
      <c r="AP298" s="57" t="s">
        <v>2402</v>
      </c>
      <c r="AQ298"/>
      <c r="AR298" s="31">
        <f t="shared" si="125"/>
        <v>0</v>
      </c>
      <c r="AS298" s="219">
        <f t="shared" si="126"/>
        <v>0</v>
      </c>
      <c r="AT298" s="31">
        <f t="shared" si="127"/>
        <v>0</v>
      </c>
      <c r="AU298" s="219">
        <f t="shared" si="128"/>
        <v>0</v>
      </c>
      <c r="AV298" s="31">
        <f t="shared" si="129"/>
        <v>0</v>
      </c>
      <c r="AW298" s="31">
        <f t="shared" si="130"/>
        <v>0</v>
      </c>
      <c r="AX298" s="31">
        <f t="shared" si="131"/>
        <v>11.5</v>
      </c>
      <c r="AY298" s="219">
        <f t="shared" si="132"/>
        <v>9.7750000000000004</v>
      </c>
      <c r="AZ298" s="196">
        <f t="shared" si="133"/>
        <v>0</v>
      </c>
      <c r="BA298" s="219">
        <f t="shared" si="134"/>
        <v>0</v>
      </c>
      <c r="BB298" s="31">
        <f t="shared" si="135"/>
        <v>0</v>
      </c>
      <c r="BC298" s="219">
        <f t="shared" si="136"/>
        <v>0</v>
      </c>
      <c r="BD298" s="31">
        <f t="shared" si="137"/>
        <v>0</v>
      </c>
      <c r="BE298" s="219">
        <f t="shared" si="138"/>
        <v>0</v>
      </c>
      <c r="BF298" s="31">
        <f t="shared" si="139"/>
        <v>0</v>
      </c>
      <c r="BG298" s="219">
        <f t="shared" si="140"/>
        <v>0</v>
      </c>
      <c r="BH298" s="31">
        <f t="shared" si="141"/>
        <v>0</v>
      </c>
      <c r="BI298" s="219">
        <f t="shared" si="142"/>
        <v>0</v>
      </c>
      <c r="BJ298" s="31">
        <f t="shared" si="143"/>
        <v>0</v>
      </c>
      <c r="BK298" s="219">
        <f t="shared" si="144"/>
        <v>0</v>
      </c>
      <c r="BL298" s="31">
        <f t="shared" si="145"/>
        <v>0</v>
      </c>
      <c r="BM298" s="219">
        <f t="shared" si="146"/>
        <v>0</v>
      </c>
      <c r="BN298" s="31">
        <f t="shared" si="147"/>
        <v>0</v>
      </c>
      <c r="BO298" s="219">
        <f t="shared" si="148"/>
        <v>0</v>
      </c>
    </row>
    <row r="299" spans="1:67" x14ac:dyDescent="0.25">
      <c r="A299" s="31" t="s">
        <v>2254</v>
      </c>
      <c r="B299" s="176" t="str">
        <f>VLOOKUP(A299,kurspris!$A$1:$B$992,2,FALSE)</f>
        <v>Verksamhetsförlagd utbildning 1 (VFU)</v>
      </c>
      <c r="D299" s="60" t="s">
        <v>625</v>
      </c>
      <c r="E299" s="576" t="s">
        <v>2432</v>
      </c>
      <c r="F299" s="31" t="s">
        <v>2273</v>
      </c>
      <c r="G299" s="31" t="s">
        <v>2458</v>
      </c>
      <c r="H299" s="31" t="s">
        <v>2335</v>
      </c>
      <c r="I299" s="31" t="s">
        <v>2276</v>
      </c>
      <c r="J299" s="31" t="s">
        <v>2251</v>
      </c>
      <c r="L299" s="38">
        <v>0.5</v>
      </c>
      <c r="M299" s="325">
        <v>15</v>
      </c>
      <c r="P299" s="31">
        <v>1</v>
      </c>
      <c r="Q299" s="196">
        <f>(M299/60)*P299</f>
        <v>0.25</v>
      </c>
      <c r="R299" s="38">
        <v>0.85</v>
      </c>
      <c r="S299" s="280">
        <f t="shared" si="121"/>
        <v>0.21249999999999999</v>
      </c>
      <c r="T299" s="31">
        <f>VLOOKUP(A299,'Ansvar kurs'!$A$1:$C$1123,2,FALSE)</f>
        <v>1650</v>
      </c>
      <c r="U299" s="31" t="str">
        <f>VLOOKUP(T299,Orgenheter!$A$1:$C$166,2,FALSE)</f>
        <v xml:space="preserve">Estetiska ämnen               </v>
      </c>
      <c r="V299" s="31" t="str">
        <f>VLOOKUP(T299,Orgenheter!$A$1:$C$166,3,FALSE)</f>
        <v>Hum</v>
      </c>
      <c r="W299" s="35" t="str">
        <f>VLOOKUP(D299,Program!$A$1:$B$36,2,FALSE)</f>
        <v>KPU - åk 7-9</v>
      </c>
      <c r="X299" s="40">
        <f>VLOOKUP(A299,kurspris!$A$1:$Q$913,15,FALSE)</f>
        <v>25235</v>
      </c>
      <c r="Y299" s="40">
        <f>VLOOKUP(A299,kurspris!$A$1:$Q$913,16,FALSE)</f>
        <v>27976</v>
      </c>
      <c r="Z299" s="40">
        <f t="shared" si="122"/>
        <v>12253.65</v>
      </c>
      <c r="AA299" s="40">
        <f>VLOOKUP(A299,kurspris!$A$1:$Q$913,17,FALSE)</f>
        <v>3600</v>
      </c>
      <c r="AB299" s="40">
        <f t="shared" si="123"/>
        <v>900</v>
      </c>
      <c r="AC299" s="40">
        <f t="shared" si="124"/>
        <v>13153.65</v>
      </c>
      <c r="AD299" s="31">
        <f>VLOOKUP($A299,kurspris!$A$1:$Q$950,3,FALSE)</f>
        <v>0</v>
      </c>
      <c r="AE299" s="31">
        <f>VLOOKUP($A299,kurspris!$A$1:$Q$950,4,FALSE)</f>
        <v>0</v>
      </c>
      <c r="AF299" s="31">
        <f>VLOOKUP($A299,kurspris!$A$1:$Q$950,5,FALSE)</f>
        <v>0</v>
      </c>
      <c r="AG299" s="31">
        <f>VLOOKUP($A299,kurspris!$A$1:$Q$950,6,FALSE)</f>
        <v>0</v>
      </c>
      <c r="AH299" s="31">
        <f>VLOOKUP($A299,kurspris!$A$1:$Q$950,7,FALSE)</f>
        <v>0</v>
      </c>
      <c r="AI299" s="31">
        <f>VLOOKUP($A299,kurspris!$A$1:$Q$950,8,FALSE)</f>
        <v>0</v>
      </c>
      <c r="AJ299" s="31">
        <f>VLOOKUP($A299,kurspris!$A$1:$Q$950,9,FALSE)</f>
        <v>0</v>
      </c>
      <c r="AK299" s="31">
        <f>VLOOKUP($A299,kurspris!$A$1:$Q$950,10,FALSE)</f>
        <v>0</v>
      </c>
      <c r="AL299" s="31">
        <f>VLOOKUP($A299,kurspris!$A$1:$Q$950,11,FALSE)</f>
        <v>1</v>
      </c>
      <c r="AM299" s="31">
        <f>VLOOKUP($A299,kurspris!$A$1:$Q$950,12,FALSE)</f>
        <v>0</v>
      </c>
      <c r="AN299" s="31">
        <f>VLOOKUP($A299,kurspris!$A$1:$Q$950,13,FALSE)</f>
        <v>0</v>
      </c>
      <c r="AO299" s="31">
        <f>VLOOKUP($A299,kurspris!$A$1:$Q$950,14,FALSE)</f>
        <v>0</v>
      </c>
      <c r="AP299" s="57" t="s">
        <v>2502</v>
      </c>
      <c r="AQ299"/>
      <c r="AR299" s="31">
        <f t="shared" si="125"/>
        <v>0</v>
      </c>
      <c r="AS299" s="219">
        <f t="shared" si="126"/>
        <v>0</v>
      </c>
      <c r="AT299" s="31">
        <f t="shared" si="127"/>
        <v>0</v>
      </c>
      <c r="AU299" s="219">
        <f t="shared" si="128"/>
        <v>0</v>
      </c>
      <c r="AV299" s="31">
        <f t="shared" si="129"/>
        <v>0</v>
      </c>
      <c r="AW299" s="31">
        <f t="shared" si="130"/>
        <v>0</v>
      </c>
      <c r="AX299" s="31">
        <f t="shared" si="131"/>
        <v>0</v>
      </c>
      <c r="AY299" s="219">
        <f t="shared" si="132"/>
        <v>0</v>
      </c>
      <c r="AZ299" s="196">
        <f t="shared" si="133"/>
        <v>0</v>
      </c>
      <c r="BA299" s="219">
        <f t="shared" si="134"/>
        <v>0</v>
      </c>
      <c r="BB299" s="31">
        <f t="shared" si="135"/>
        <v>0</v>
      </c>
      <c r="BC299" s="219">
        <f t="shared" si="136"/>
        <v>0</v>
      </c>
      <c r="BD299" s="31">
        <f t="shared" si="137"/>
        <v>0</v>
      </c>
      <c r="BE299" s="219">
        <f t="shared" si="138"/>
        <v>0</v>
      </c>
      <c r="BF299" s="31">
        <f t="shared" si="139"/>
        <v>0</v>
      </c>
      <c r="BG299" s="219">
        <f t="shared" si="140"/>
        <v>0</v>
      </c>
      <c r="BH299" s="31">
        <f t="shared" si="141"/>
        <v>0.25</v>
      </c>
      <c r="BI299" s="219">
        <f t="shared" si="142"/>
        <v>0.21249999999999999</v>
      </c>
      <c r="BJ299" s="31">
        <f t="shared" si="143"/>
        <v>0</v>
      </c>
      <c r="BK299" s="219">
        <f t="shared" si="144"/>
        <v>0</v>
      </c>
      <c r="BL299" s="31">
        <f t="shared" si="145"/>
        <v>0</v>
      </c>
      <c r="BM299" s="219">
        <f t="shared" si="146"/>
        <v>0</v>
      </c>
      <c r="BN299" s="31">
        <f t="shared" si="147"/>
        <v>0</v>
      </c>
      <c r="BO299" s="219">
        <f t="shared" si="148"/>
        <v>0</v>
      </c>
    </row>
    <row r="300" spans="1:67" x14ac:dyDescent="0.25">
      <c r="A300" s="31" t="s">
        <v>2254</v>
      </c>
      <c r="B300" s="176" t="str">
        <f>VLOOKUP(A300,kurspris!$A$1:$B$992,2,FALSE)</f>
        <v>Verksamhetsförlagd utbildning 1 (VFU)</v>
      </c>
      <c r="D300" s="60" t="s">
        <v>2155</v>
      </c>
      <c r="E300" s="576" t="s">
        <v>2432</v>
      </c>
      <c r="F300" s="31" t="s">
        <v>2273</v>
      </c>
      <c r="G300" s="31" t="s">
        <v>2458</v>
      </c>
      <c r="H300" s="31" t="s">
        <v>2335</v>
      </c>
      <c r="I300" s="31" t="s">
        <v>2276</v>
      </c>
      <c r="L300" s="38">
        <v>0.5</v>
      </c>
      <c r="M300" s="325">
        <v>15</v>
      </c>
      <c r="P300" s="31">
        <v>20</v>
      </c>
      <c r="Q300" s="196">
        <f>(M300/60)*P300</f>
        <v>5</v>
      </c>
      <c r="R300" s="38">
        <v>0.85</v>
      </c>
      <c r="S300" s="280">
        <f t="shared" si="121"/>
        <v>4.25</v>
      </c>
      <c r="T300" s="31">
        <f>VLOOKUP(A300,'Ansvar kurs'!$A$1:$C$1123,2,FALSE)</f>
        <v>1650</v>
      </c>
      <c r="U300" s="31" t="str">
        <f>VLOOKUP(T300,Orgenheter!$A$1:$C$166,2,FALSE)</f>
        <v xml:space="preserve">Estetiska ämnen               </v>
      </c>
      <c r="V300" s="31" t="str">
        <f>VLOOKUP(T300,Orgenheter!$A$1:$C$166,3,FALSE)</f>
        <v>Hum</v>
      </c>
      <c r="W300" s="35" t="str">
        <f>VLOOKUP(D300,Program!$A$1:$B$36,2,FALSE)</f>
        <v>KPU - åk 7-9 och Gy</v>
      </c>
      <c r="X300" s="40">
        <f>VLOOKUP(A300,kurspris!$A$1:$Q$913,15,FALSE)</f>
        <v>25235</v>
      </c>
      <c r="Y300" s="40">
        <f>VLOOKUP(A300,kurspris!$A$1:$Q$913,16,FALSE)</f>
        <v>27976</v>
      </c>
      <c r="Z300" s="40">
        <f t="shared" si="122"/>
        <v>245073</v>
      </c>
      <c r="AA300" s="40">
        <f>VLOOKUP(A300,kurspris!$A$1:$Q$913,17,FALSE)</f>
        <v>3600</v>
      </c>
      <c r="AB300" s="40">
        <f t="shared" si="123"/>
        <v>18000</v>
      </c>
      <c r="AC300" s="40">
        <f t="shared" si="124"/>
        <v>263073</v>
      </c>
      <c r="AD300" s="31">
        <f>VLOOKUP($A300,kurspris!$A$1:$Q$950,3,FALSE)</f>
        <v>0</v>
      </c>
      <c r="AE300" s="31">
        <f>VLOOKUP($A300,kurspris!$A$1:$Q$950,4,FALSE)</f>
        <v>0</v>
      </c>
      <c r="AF300" s="31">
        <f>VLOOKUP($A300,kurspris!$A$1:$Q$950,5,FALSE)</f>
        <v>0</v>
      </c>
      <c r="AG300" s="31">
        <f>VLOOKUP($A300,kurspris!$A$1:$Q$950,6,FALSE)</f>
        <v>0</v>
      </c>
      <c r="AH300" s="31">
        <f>VLOOKUP($A300,kurspris!$A$1:$Q$950,7,FALSE)</f>
        <v>0</v>
      </c>
      <c r="AI300" s="31">
        <f>VLOOKUP($A300,kurspris!$A$1:$Q$950,8,FALSE)</f>
        <v>0</v>
      </c>
      <c r="AJ300" s="31">
        <f>VLOOKUP($A300,kurspris!$A$1:$Q$950,9,FALSE)</f>
        <v>0</v>
      </c>
      <c r="AK300" s="31">
        <f>VLOOKUP($A300,kurspris!$A$1:$Q$950,10,FALSE)</f>
        <v>0</v>
      </c>
      <c r="AL300" s="31">
        <f>VLOOKUP($A300,kurspris!$A$1:$Q$950,11,FALSE)</f>
        <v>1</v>
      </c>
      <c r="AM300" s="31">
        <f>VLOOKUP($A300,kurspris!$A$1:$Q$950,12,FALSE)</f>
        <v>0</v>
      </c>
      <c r="AN300" s="31">
        <f>VLOOKUP($A300,kurspris!$A$1:$Q$950,13,FALSE)</f>
        <v>0</v>
      </c>
      <c r="AO300" s="31">
        <f>VLOOKUP($A300,kurspris!$A$1:$Q$950,14,FALSE)</f>
        <v>0</v>
      </c>
      <c r="AP300" s="57" t="s">
        <v>2503</v>
      </c>
      <c r="AQ300"/>
      <c r="AR300" s="31">
        <f t="shared" si="125"/>
        <v>0</v>
      </c>
      <c r="AS300" s="219">
        <f t="shared" si="126"/>
        <v>0</v>
      </c>
      <c r="AT300" s="31">
        <f t="shared" si="127"/>
        <v>0</v>
      </c>
      <c r="AU300" s="219">
        <f t="shared" si="128"/>
        <v>0</v>
      </c>
      <c r="AV300" s="31">
        <f t="shared" si="129"/>
        <v>0</v>
      </c>
      <c r="AW300" s="31">
        <f t="shared" si="130"/>
        <v>0</v>
      </c>
      <c r="AX300" s="31">
        <f t="shared" si="131"/>
        <v>0</v>
      </c>
      <c r="AY300" s="219">
        <f t="shared" si="132"/>
        <v>0</v>
      </c>
      <c r="AZ300" s="196">
        <f t="shared" si="133"/>
        <v>0</v>
      </c>
      <c r="BA300" s="219">
        <f t="shared" si="134"/>
        <v>0</v>
      </c>
      <c r="BB300" s="31">
        <f t="shared" si="135"/>
        <v>0</v>
      </c>
      <c r="BC300" s="219">
        <f t="shared" si="136"/>
        <v>0</v>
      </c>
      <c r="BD300" s="31">
        <f t="shared" si="137"/>
        <v>0</v>
      </c>
      <c r="BE300" s="219">
        <f t="shared" si="138"/>
        <v>0</v>
      </c>
      <c r="BF300" s="31">
        <f t="shared" si="139"/>
        <v>0</v>
      </c>
      <c r="BG300" s="219">
        <f t="shared" si="140"/>
        <v>0</v>
      </c>
      <c r="BH300" s="31">
        <f t="shared" si="141"/>
        <v>5</v>
      </c>
      <c r="BI300" s="219">
        <f t="shared" si="142"/>
        <v>4.25</v>
      </c>
      <c r="BJ300" s="31">
        <f t="shared" si="143"/>
        <v>0</v>
      </c>
      <c r="BK300" s="219">
        <f t="shared" si="144"/>
        <v>0</v>
      </c>
      <c r="BL300" s="31">
        <f t="shared" si="145"/>
        <v>0</v>
      </c>
      <c r="BM300" s="219">
        <f t="shared" si="146"/>
        <v>0</v>
      </c>
      <c r="BN300" s="31">
        <f t="shared" si="147"/>
        <v>0</v>
      </c>
      <c r="BO300" s="219">
        <f t="shared" si="148"/>
        <v>0</v>
      </c>
    </row>
    <row r="301" spans="1:67" x14ac:dyDescent="0.25">
      <c r="A301" s="31" t="s">
        <v>2254</v>
      </c>
      <c r="B301" s="176" t="str">
        <f>VLOOKUP(A301,kurspris!$A$1:$B$992,2,FALSE)</f>
        <v>Verksamhetsförlagd utbildning 1 (VFU)</v>
      </c>
      <c r="C301" s="31">
        <v>65501</v>
      </c>
      <c r="D301" s="60" t="s">
        <v>2155</v>
      </c>
      <c r="E301" s="60"/>
      <c r="F301" s="57" t="s">
        <v>2274</v>
      </c>
      <c r="H301" s="31" t="s">
        <v>2335</v>
      </c>
      <c r="I301" s="31" t="s">
        <v>2275</v>
      </c>
      <c r="L301" s="38"/>
      <c r="M301">
        <v>15</v>
      </c>
      <c r="P301" s="31">
        <v>46</v>
      </c>
      <c r="Q301" s="539">
        <v>11.5</v>
      </c>
      <c r="R301" s="38">
        <v>0.85</v>
      </c>
      <c r="S301" s="280">
        <f t="shared" si="121"/>
        <v>9.7750000000000004</v>
      </c>
      <c r="T301" s="31">
        <f>VLOOKUP(A301,'Ansvar kurs'!$A$1:$C$1123,2,FALSE)</f>
        <v>1650</v>
      </c>
      <c r="U301" s="31" t="str">
        <f>VLOOKUP(T301,Orgenheter!$A$1:$C$166,2,FALSE)</f>
        <v xml:space="preserve">Estetiska ämnen               </v>
      </c>
      <c r="V301" s="31" t="str">
        <f>VLOOKUP(T301,Orgenheter!$A$1:$C$166,3,FALSE)</f>
        <v>Hum</v>
      </c>
      <c r="W301" s="35" t="str">
        <f>VLOOKUP(D301,Program!$A$1:$B$36,2,FALSE)</f>
        <v>KPU - åk 7-9 och Gy</v>
      </c>
      <c r="X301" s="40">
        <f>VLOOKUP(A301,kurspris!$A$1:$Q$913,15,FALSE)</f>
        <v>25235</v>
      </c>
      <c r="Y301" s="40">
        <f>VLOOKUP(A301,kurspris!$A$1:$Q$913,16,FALSE)</f>
        <v>27976</v>
      </c>
      <c r="Z301" s="40">
        <f t="shared" si="122"/>
        <v>563667.9</v>
      </c>
      <c r="AA301" s="40">
        <f>VLOOKUP(A301,kurspris!$A$1:$Q$913,17,FALSE)</f>
        <v>3600</v>
      </c>
      <c r="AB301" s="40">
        <f t="shared" si="123"/>
        <v>41400</v>
      </c>
      <c r="AC301" s="40">
        <f t="shared" si="124"/>
        <v>605067.9</v>
      </c>
      <c r="AD301" s="31">
        <f>VLOOKUP($A301,kurspris!$A$1:$Q$950,3,FALSE)</f>
        <v>0</v>
      </c>
      <c r="AE301" s="31">
        <f>VLOOKUP($A301,kurspris!$A$1:$Q$950,4,FALSE)</f>
        <v>0</v>
      </c>
      <c r="AF301" s="31">
        <f>VLOOKUP($A301,kurspris!$A$1:$Q$950,5,FALSE)</f>
        <v>0</v>
      </c>
      <c r="AG301" s="31">
        <f>VLOOKUP($A301,kurspris!$A$1:$Q$950,6,FALSE)</f>
        <v>0</v>
      </c>
      <c r="AH301" s="31">
        <f>VLOOKUP($A301,kurspris!$A$1:$Q$950,7,FALSE)</f>
        <v>0</v>
      </c>
      <c r="AI301" s="31">
        <f>VLOOKUP($A301,kurspris!$A$1:$Q$950,8,FALSE)</f>
        <v>0</v>
      </c>
      <c r="AJ301" s="31">
        <f>VLOOKUP($A301,kurspris!$A$1:$Q$950,9,FALSE)</f>
        <v>0</v>
      </c>
      <c r="AK301" s="31">
        <f>VLOOKUP($A301,kurspris!$A$1:$Q$950,10,FALSE)</f>
        <v>0</v>
      </c>
      <c r="AL301" s="31">
        <f>VLOOKUP($A301,kurspris!$A$1:$Q$950,11,FALSE)</f>
        <v>1</v>
      </c>
      <c r="AM301" s="31">
        <f>VLOOKUP($A301,kurspris!$A$1:$Q$950,12,FALSE)</f>
        <v>0</v>
      </c>
      <c r="AN301" s="31">
        <f>VLOOKUP($A301,kurspris!$A$1:$Q$950,13,FALSE)</f>
        <v>0</v>
      </c>
      <c r="AO301" s="31">
        <f>VLOOKUP($A301,kurspris!$A$1:$Q$950,14,FALSE)</f>
        <v>0</v>
      </c>
      <c r="AP301" s="57" t="s">
        <v>2402</v>
      </c>
      <c r="AQ301"/>
      <c r="AR301" s="31">
        <f t="shared" si="125"/>
        <v>0</v>
      </c>
      <c r="AS301" s="219">
        <f t="shared" si="126"/>
        <v>0</v>
      </c>
      <c r="AT301" s="31">
        <f t="shared" si="127"/>
        <v>0</v>
      </c>
      <c r="AU301" s="219">
        <f t="shared" si="128"/>
        <v>0</v>
      </c>
      <c r="AV301" s="31">
        <f t="shared" si="129"/>
        <v>0</v>
      </c>
      <c r="AW301" s="31">
        <f t="shared" si="130"/>
        <v>0</v>
      </c>
      <c r="AX301" s="31">
        <f t="shared" si="131"/>
        <v>0</v>
      </c>
      <c r="AY301" s="219">
        <f t="shared" si="132"/>
        <v>0</v>
      </c>
      <c r="AZ301" s="196">
        <f t="shared" si="133"/>
        <v>0</v>
      </c>
      <c r="BA301" s="219">
        <f t="shared" si="134"/>
        <v>0</v>
      </c>
      <c r="BB301" s="31">
        <f t="shared" si="135"/>
        <v>0</v>
      </c>
      <c r="BC301" s="219">
        <f t="shared" si="136"/>
        <v>0</v>
      </c>
      <c r="BD301" s="31">
        <f t="shared" si="137"/>
        <v>0</v>
      </c>
      <c r="BE301" s="219">
        <f t="shared" si="138"/>
        <v>0</v>
      </c>
      <c r="BF301" s="31">
        <f t="shared" si="139"/>
        <v>0</v>
      </c>
      <c r="BG301" s="219">
        <f t="shared" si="140"/>
        <v>0</v>
      </c>
      <c r="BH301" s="31">
        <f t="shared" si="141"/>
        <v>11.5</v>
      </c>
      <c r="BI301" s="219">
        <f t="shared" si="142"/>
        <v>9.7750000000000004</v>
      </c>
      <c r="BJ301" s="31">
        <f t="shared" si="143"/>
        <v>0</v>
      </c>
      <c r="BK301" s="219">
        <f t="shared" si="144"/>
        <v>0</v>
      </c>
      <c r="BL301" s="31">
        <f t="shared" si="145"/>
        <v>0</v>
      </c>
      <c r="BM301" s="219">
        <f t="shared" si="146"/>
        <v>0</v>
      </c>
      <c r="BN301" s="31">
        <f t="shared" si="147"/>
        <v>0</v>
      </c>
      <c r="BO301" s="219">
        <f t="shared" si="148"/>
        <v>0</v>
      </c>
    </row>
    <row r="302" spans="1:67" x14ac:dyDescent="0.25">
      <c r="A302" s="31" t="s">
        <v>2414</v>
      </c>
      <c r="B302" s="176" t="str">
        <f>VLOOKUP(A302,kurspris!$A$1:$B$992,2,FALSE)</f>
        <v>Examensarbete med ämnesdidaktisk inriktning för ämneslärarexamen (UVK) - grundnivå</v>
      </c>
      <c r="D302" s="60" t="s">
        <v>626</v>
      </c>
      <c r="E302" s="576" t="s">
        <v>2227</v>
      </c>
      <c r="F302" s="31" t="s">
        <v>2273</v>
      </c>
      <c r="G302" s="31" t="s">
        <v>2458</v>
      </c>
      <c r="H302" s="31" t="s">
        <v>2335</v>
      </c>
      <c r="I302" s="31" t="s">
        <v>2276</v>
      </c>
      <c r="J302" s="31" t="s">
        <v>2459</v>
      </c>
      <c r="L302" s="38">
        <v>1</v>
      </c>
      <c r="M302" s="325">
        <v>15</v>
      </c>
      <c r="P302" s="31">
        <v>1</v>
      </c>
      <c r="Q302" s="196">
        <f t="shared" ref="Q302:Q314" si="151">(M302/60)*P302</f>
        <v>0.25</v>
      </c>
      <c r="R302" s="38">
        <v>0.85</v>
      </c>
      <c r="S302" s="280">
        <f t="shared" si="121"/>
        <v>0.21249999999999999</v>
      </c>
      <c r="T302" s="31">
        <f>VLOOKUP(A302,'Ansvar kurs'!$A$1:$C$1123,2,FALSE)</f>
        <v>5740</v>
      </c>
      <c r="U302" s="31" t="str">
        <f>VLOOKUP(T302,Orgenheter!$A$1:$C$166,2,FALSE)</f>
        <v>NMD</v>
      </c>
      <c r="V302" s="31" t="str">
        <f>VLOOKUP(T302,Orgenheter!$A$1:$C$166,3,FALSE)</f>
        <v>TekNat</v>
      </c>
      <c r="W302" s="35" t="str">
        <f>VLOOKUP(D302,Program!$A$1:$B$36,2,FALSE)</f>
        <v>KPU - Gy</v>
      </c>
      <c r="X302" s="40">
        <f>VLOOKUP(A302,kurspris!$A$1:$Q$913,15,FALSE)</f>
        <v>26554</v>
      </c>
      <c r="Y302" s="40">
        <f>VLOOKUP(A302,kurspris!$A$1:$Q$913,16,FALSE)</f>
        <v>33465</v>
      </c>
      <c r="Z302" s="40">
        <f t="shared" si="122"/>
        <v>13749.8125</v>
      </c>
      <c r="AA302" s="40">
        <f>VLOOKUP(A302,kurspris!$A$1:$Q$913,17,FALSE)</f>
        <v>6000</v>
      </c>
      <c r="AB302" s="40">
        <f t="shared" si="123"/>
        <v>1500</v>
      </c>
      <c r="AC302" s="40">
        <f t="shared" si="124"/>
        <v>15249.8125</v>
      </c>
      <c r="AD302" s="31">
        <f>VLOOKUP($A302,kurspris!$A$1:$Q$950,3,FALSE)</f>
        <v>0</v>
      </c>
      <c r="AE302" s="31">
        <f>VLOOKUP($A302,kurspris!$A$1:$Q$950,4,FALSE)</f>
        <v>0</v>
      </c>
      <c r="AF302" s="31">
        <f>VLOOKUP($A302,kurspris!$A$1:$Q$950,5,FALSE)</f>
        <v>0</v>
      </c>
      <c r="AG302" s="31">
        <f>VLOOKUP($A302,kurspris!$A$1:$Q$950,6,FALSE)</f>
        <v>1</v>
      </c>
      <c r="AH302" s="31">
        <f>VLOOKUP($A302,kurspris!$A$1:$Q$950,7,FALSE)</f>
        <v>0</v>
      </c>
      <c r="AI302" s="31">
        <f>VLOOKUP($A302,kurspris!$A$1:$Q$950,8,FALSE)</f>
        <v>0</v>
      </c>
      <c r="AJ302" s="31">
        <f>VLOOKUP($A302,kurspris!$A$1:$Q$950,9,FALSE)</f>
        <v>0</v>
      </c>
      <c r="AK302" s="31">
        <f>VLOOKUP($A302,kurspris!$A$1:$Q$950,10,FALSE)</f>
        <v>0</v>
      </c>
      <c r="AL302" s="31">
        <f>VLOOKUP($A302,kurspris!$A$1:$Q$950,11,FALSE)</f>
        <v>0</v>
      </c>
      <c r="AM302" s="31">
        <f>VLOOKUP($A302,kurspris!$A$1:$Q$950,12,FALSE)</f>
        <v>0</v>
      </c>
      <c r="AN302" s="31">
        <f>VLOOKUP($A302,kurspris!$A$1:$Q$950,13,FALSE)</f>
        <v>0</v>
      </c>
      <c r="AO302" s="31">
        <f>VLOOKUP($A302,kurspris!$A$1:$Q$950,14,FALSE)</f>
        <v>0</v>
      </c>
      <c r="AP302" s="57" t="s">
        <v>2502</v>
      </c>
      <c r="AQ302"/>
      <c r="AR302" s="31">
        <f t="shared" si="125"/>
        <v>0</v>
      </c>
      <c r="AS302" s="219">
        <f t="shared" si="126"/>
        <v>0</v>
      </c>
      <c r="AT302" s="31">
        <f t="shared" si="127"/>
        <v>0</v>
      </c>
      <c r="AU302" s="219">
        <f t="shared" si="128"/>
        <v>0</v>
      </c>
      <c r="AV302" s="31">
        <f t="shared" si="129"/>
        <v>0</v>
      </c>
      <c r="AW302" s="31">
        <f t="shared" si="130"/>
        <v>0</v>
      </c>
      <c r="AX302" s="31">
        <f t="shared" si="131"/>
        <v>0.25</v>
      </c>
      <c r="AY302" s="219">
        <f t="shared" si="132"/>
        <v>0.21249999999999999</v>
      </c>
      <c r="AZ302" s="196">
        <f t="shared" si="133"/>
        <v>0</v>
      </c>
      <c r="BA302" s="219">
        <f t="shared" si="134"/>
        <v>0</v>
      </c>
      <c r="BB302" s="31">
        <f t="shared" si="135"/>
        <v>0</v>
      </c>
      <c r="BC302" s="219">
        <f t="shared" si="136"/>
        <v>0</v>
      </c>
      <c r="BD302" s="31">
        <f t="shared" si="137"/>
        <v>0</v>
      </c>
      <c r="BE302" s="219">
        <f t="shared" si="138"/>
        <v>0</v>
      </c>
      <c r="BF302" s="31">
        <f t="shared" si="139"/>
        <v>0</v>
      </c>
      <c r="BG302" s="219">
        <f t="shared" si="140"/>
        <v>0</v>
      </c>
      <c r="BH302" s="31">
        <f t="shared" si="141"/>
        <v>0</v>
      </c>
      <c r="BI302" s="219">
        <f t="shared" si="142"/>
        <v>0</v>
      </c>
      <c r="BJ302" s="31">
        <f t="shared" si="143"/>
        <v>0</v>
      </c>
      <c r="BK302" s="219">
        <f t="shared" si="144"/>
        <v>0</v>
      </c>
      <c r="BL302" s="31">
        <f t="shared" si="145"/>
        <v>0</v>
      </c>
      <c r="BM302" s="219">
        <f t="shared" si="146"/>
        <v>0</v>
      </c>
      <c r="BN302" s="31">
        <f t="shared" si="147"/>
        <v>0</v>
      </c>
      <c r="BO302" s="219">
        <f t="shared" si="148"/>
        <v>0</v>
      </c>
    </row>
    <row r="303" spans="1:67" x14ac:dyDescent="0.25">
      <c r="A303" s="31" t="s">
        <v>2414</v>
      </c>
      <c r="B303" s="176" t="str">
        <f>VLOOKUP(A303,kurspris!$A$1:$B$992,2,FALSE)</f>
        <v>Examensarbete med ämnesdidaktisk inriktning för ämneslärarexamen (UVK) - grundnivå</v>
      </c>
      <c r="D303" s="60" t="s">
        <v>2155</v>
      </c>
      <c r="E303" s="576" t="s">
        <v>2432</v>
      </c>
      <c r="F303" s="31" t="s">
        <v>2273</v>
      </c>
      <c r="G303" s="31" t="s">
        <v>2458</v>
      </c>
      <c r="H303" s="31" t="s">
        <v>2335</v>
      </c>
      <c r="I303" s="31" t="s">
        <v>2276</v>
      </c>
      <c r="L303" s="38">
        <v>1</v>
      </c>
      <c r="M303" s="325">
        <v>15</v>
      </c>
      <c r="P303" s="31">
        <v>5</v>
      </c>
      <c r="Q303" s="196">
        <f t="shared" si="151"/>
        <v>1.25</v>
      </c>
      <c r="R303" s="38">
        <v>0.85</v>
      </c>
      <c r="S303" s="280">
        <f t="shared" si="121"/>
        <v>1.0625</v>
      </c>
      <c r="T303" s="31">
        <f>VLOOKUP(A303,'Ansvar kurs'!$A$1:$C$1123,2,FALSE)</f>
        <v>5740</v>
      </c>
      <c r="U303" s="31" t="str">
        <f>VLOOKUP(T303,Orgenheter!$A$1:$C$166,2,FALSE)</f>
        <v>NMD</v>
      </c>
      <c r="V303" s="31" t="str">
        <f>VLOOKUP(T303,Orgenheter!$A$1:$C$166,3,FALSE)</f>
        <v>TekNat</v>
      </c>
      <c r="W303" s="35" t="str">
        <f>VLOOKUP(D303,Program!$A$1:$B$36,2,FALSE)</f>
        <v>KPU - åk 7-9 och Gy</v>
      </c>
      <c r="X303" s="40">
        <f>VLOOKUP(A303,kurspris!$A$1:$Q$913,15,FALSE)</f>
        <v>26554</v>
      </c>
      <c r="Y303" s="40">
        <f>VLOOKUP(A303,kurspris!$A$1:$Q$913,16,FALSE)</f>
        <v>33465</v>
      </c>
      <c r="Z303" s="40">
        <f t="shared" si="122"/>
        <v>68749.0625</v>
      </c>
      <c r="AA303" s="40">
        <f>VLOOKUP(A303,kurspris!$A$1:$Q$913,17,FALSE)</f>
        <v>6000</v>
      </c>
      <c r="AB303" s="40">
        <f t="shared" si="123"/>
        <v>7500</v>
      </c>
      <c r="AC303" s="40">
        <f t="shared" si="124"/>
        <v>76249.0625</v>
      </c>
      <c r="AD303" s="31">
        <f>VLOOKUP($A303,kurspris!$A$1:$Q$950,3,FALSE)</f>
        <v>0</v>
      </c>
      <c r="AE303" s="31">
        <f>VLOOKUP($A303,kurspris!$A$1:$Q$950,4,FALSE)</f>
        <v>0</v>
      </c>
      <c r="AF303" s="31">
        <f>VLOOKUP($A303,kurspris!$A$1:$Q$950,5,FALSE)</f>
        <v>0</v>
      </c>
      <c r="AG303" s="31">
        <f>VLOOKUP($A303,kurspris!$A$1:$Q$950,6,FALSE)</f>
        <v>1</v>
      </c>
      <c r="AH303" s="31">
        <f>VLOOKUP($A303,kurspris!$A$1:$Q$950,7,FALSE)</f>
        <v>0</v>
      </c>
      <c r="AI303" s="31">
        <f>VLOOKUP($A303,kurspris!$A$1:$Q$950,8,FALSE)</f>
        <v>0</v>
      </c>
      <c r="AJ303" s="31">
        <f>VLOOKUP($A303,kurspris!$A$1:$Q$950,9,FALSE)</f>
        <v>0</v>
      </c>
      <c r="AK303" s="31">
        <f>VLOOKUP($A303,kurspris!$A$1:$Q$950,10,FALSE)</f>
        <v>0</v>
      </c>
      <c r="AL303" s="31">
        <f>VLOOKUP($A303,kurspris!$A$1:$Q$950,11,FALSE)</f>
        <v>0</v>
      </c>
      <c r="AM303" s="31">
        <f>VLOOKUP($A303,kurspris!$A$1:$Q$950,12,FALSE)</f>
        <v>0</v>
      </c>
      <c r="AN303" s="31">
        <f>VLOOKUP($A303,kurspris!$A$1:$Q$950,13,FALSE)</f>
        <v>0</v>
      </c>
      <c r="AO303" s="31">
        <f>VLOOKUP($A303,kurspris!$A$1:$Q$950,14,FALSE)</f>
        <v>0</v>
      </c>
      <c r="AP303" s="57" t="s">
        <v>2503</v>
      </c>
      <c r="AQ303"/>
      <c r="AR303" s="31">
        <f t="shared" si="125"/>
        <v>0</v>
      </c>
      <c r="AS303" s="219">
        <f t="shared" si="126"/>
        <v>0</v>
      </c>
      <c r="AT303" s="31">
        <f t="shared" si="127"/>
        <v>0</v>
      </c>
      <c r="AU303" s="219">
        <f t="shared" si="128"/>
        <v>0</v>
      </c>
      <c r="AV303" s="31">
        <f t="shared" si="129"/>
        <v>0</v>
      </c>
      <c r="AW303" s="31">
        <f t="shared" si="130"/>
        <v>0</v>
      </c>
      <c r="AX303" s="31">
        <f t="shared" si="131"/>
        <v>1.25</v>
      </c>
      <c r="AY303" s="219">
        <f t="shared" si="132"/>
        <v>1.0625</v>
      </c>
      <c r="AZ303" s="196">
        <f t="shared" si="133"/>
        <v>0</v>
      </c>
      <c r="BA303" s="219">
        <f t="shared" si="134"/>
        <v>0</v>
      </c>
      <c r="BB303" s="31">
        <f t="shared" si="135"/>
        <v>0</v>
      </c>
      <c r="BC303" s="219">
        <f t="shared" si="136"/>
        <v>0</v>
      </c>
      <c r="BD303" s="31">
        <f t="shared" si="137"/>
        <v>0</v>
      </c>
      <c r="BE303" s="219">
        <f t="shared" si="138"/>
        <v>0</v>
      </c>
      <c r="BF303" s="31">
        <f t="shared" si="139"/>
        <v>0</v>
      </c>
      <c r="BG303" s="219">
        <f t="shared" si="140"/>
        <v>0</v>
      </c>
      <c r="BH303" s="31">
        <f t="shared" si="141"/>
        <v>0</v>
      </c>
      <c r="BI303" s="219">
        <f t="shared" si="142"/>
        <v>0</v>
      </c>
      <c r="BJ303" s="31">
        <f t="shared" si="143"/>
        <v>0</v>
      </c>
      <c r="BK303" s="219">
        <f t="shared" si="144"/>
        <v>0</v>
      </c>
      <c r="BL303" s="31">
        <f t="shared" si="145"/>
        <v>0</v>
      </c>
      <c r="BM303" s="219">
        <f t="shared" si="146"/>
        <v>0</v>
      </c>
      <c r="BN303" s="31">
        <f t="shared" si="147"/>
        <v>0</v>
      </c>
      <c r="BO303" s="219">
        <f t="shared" si="148"/>
        <v>0</v>
      </c>
    </row>
    <row r="304" spans="1:67" x14ac:dyDescent="0.25">
      <c r="A304" s="31" t="s">
        <v>2415</v>
      </c>
      <c r="B304" s="176" t="str">
        <f>VLOOKUP(A304,kurspris!$A$1:$B$992,2,FALSE)</f>
        <v>Examensarbete med ämnesdidaktisk inriktning för ämneslärarexamen (UVK) - avancerad nivå</v>
      </c>
      <c r="D304" s="60" t="s">
        <v>2155</v>
      </c>
      <c r="E304" s="576" t="s">
        <v>2432</v>
      </c>
      <c r="F304" s="31" t="s">
        <v>2273</v>
      </c>
      <c r="G304" s="31" t="s">
        <v>2458</v>
      </c>
      <c r="H304" s="31" t="s">
        <v>2335</v>
      </c>
      <c r="I304" s="31" t="s">
        <v>2276</v>
      </c>
      <c r="L304" s="38">
        <v>1</v>
      </c>
      <c r="M304" s="325">
        <v>15</v>
      </c>
      <c r="P304" s="31">
        <v>3</v>
      </c>
      <c r="Q304" s="196">
        <f t="shared" si="151"/>
        <v>0.75</v>
      </c>
      <c r="R304" s="38">
        <v>0.85</v>
      </c>
      <c r="S304" s="280">
        <f t="shared" si="121"/>
        <v>0.63749999999999996</v>
      </c>
      <c r="T304" s="31">
        <f>VLOOKUP(A304,'Ansvar kurs'!$A$1:$C$1123,2,FALSE)</f>
        <v>5740</v>
      </c>
      <c r="U304" s="31" t="str">
        <f>VLOOKUP(T304,Orgenheter!$A$1:$C$166,2,FALSE)</f>
        <v>NMD</v>
      </c>
      <c r="V304" s="31" t="str">
        <f>VLOOKUP(T304,Orgenheter!$A$1:$C$166,3,FALSE)</f>
        <v>TekNat</v>
      </c>
      <c r="W304" s="35" t="str">
        <f>VLOOKUP(D304,Program!$A$1:$B$36,2,FALSE)</f>
        <v>KPU - åk 7-9 och Gy</v>
      </c>
      <c r="X304" s="40">
        <f>VLOOKUP(A304,kurspris!$A$1:$Q$913,15,FALSE)</f>
        <v>26554</v>
      </c>
      <c r="Y304" s="40">
        <f>VLOOKUP(A304,kurspris!$A$1:$Q$913,16,FALSE)</f>
        <v>33465</v>
      </c>
      <c r="Z304" s="40">
        <f t="shared" si="122"/>
        <v>41249.4375</v>
      </c>
      <c r="AA304" s="40">
        <f>VLOOKUP(A304,kurspris!$A$1:$Q$913,17,FALSE)</f>
        <v>6000</v>
      </c>
      <c r="AB304" s="40">
        <f t="shared" si="123"/>
        <v>4500</v>
      </c>
      <c r="AC304" s="40">
        <f t="shared" si="124"/>
        <v>45749.4375</v>
      </c>
      <c r="AD304" s="31">
        <f>VLOOKUP($A304,kurspris!$A$1:$Q$950,3,FALSE)</f>
        <v>0</v>
      </c>
      <c r="AE304" s="31">
        <f>VLOOKUP($A304,kurspris!$A$1:$Q$950,4,FALSE)</f>
        <v>0</v>
      </c>
      <c r="AF304" s="31">
        <f>VLOOKUP($A304,kurspris!$A$1:$Q$950,5,FALSE)</f>
        <v>0</v>
      </c>
      <c r="AG304" s="31">
        <f>VLOOKUP($A304,kurspris!$A$1:$Q$950,6,FALSE)</f>
        <v>1</v>
      </c>
      <c r="AH304" s="31">
        <f>VLOOKUP($A304,kurspris!$A$1:$Q$950,7,FALSE)</f>
        <v>0</v>
      </c>
      <c r="AI304" s="31">
        <f>VLOOKUP($A304,kurspris!$A$1:$Q$950,8,FALSE)</f>
        <v>0</v>
      </c>
      <c r="AJ304" s="31">
        <f>VLOOKUP($A304,kurspris!$A$1:$Q$950,9,FALSE)</f>
        <v>0</v>
      </c>
      <c r="AK304" s="31">
        <f>VLOOKUP($A304,kurspris!$A$1:$Q$950,10,FALSE)</f>
        <v>0</v>
      </c>
      <c r="AL304" s="31">
        <f>VLOOKUP($A304,kurspris!$A$1:$Q$950,11,FALSE)</f>
        <v>0</v>
      </c>
      <c r="AM304" s="31">
        <f>VLOOKUP($A304,kurspris!$A$1:$Q$950,12,FALSE)</f>
        <v>0</v>
      </c>
      <c r="AN304" s="31">
        <f>VLOOKUP($A304,kurspris!$A$1:$Q$950,13,FALSE)</f>
        <v>0</v>
      </c>
      <c r="AO304" s="31">
        <f>VLOOKUP($A304,kurspris!$A$1:$Q$950,14,FALSE)</f>
        <v>0</v>
      </c>
      <c r="AP304" s="57" t="s">
        <v>2503</v>
      </c>
      <c r="AQ304"/>
      <c r="AR304" s="31">
        <f t="shared" si="125"/>
        <v>0</v>
      </c>
      <c r="AS304" s="219">
        <f t="shared" si="126"/>
        <v>0</v>
      </c>
      <c r="AT304" s="31">
        <f t="shared" si="127"/>
        <v>0</v>
      </c>
      <c r="AU304" s="219">
        <f t="shared" si="128"/>
        <v>0</v>
      </c>
      <c r="AV304" s="31">
        <f t="shared" si="129"/>
        <v>0</v>
      </c>
      <c r="AW304" s="31">
        <f t="shared" si="130"/>
        <v>0</v>
      </c>
      <c r="AX304" s="31">
        <f t="shared" si="131"/>
        <v>0.75</v>
      </c>
      <c r="AY304" s="219">
        <f t="shared" si="132"/>
        <v>0.63749999999999996</v>
      </c>
      <c r="AZ304" s="196">
        <f t="shared" si="133"/>
        <v>0</v>
      </c>
      <c r="BA304" s="219">
        <f t="shared" si="134"/>
        <v>0</v>
      </c>
      <c r="BB304" s="31">
        <f t="shared" si="135"/>
        <v>0</v>
      </c>
      <c r="BC304" s="219">
        <f t="shared" si="136"/>
        <v>0</v>
      </c>
      <c r="BD304" s="31">
        <f t="shared" si="137"/>
        <v>0</v>
      </c>
      <c r="BE304" s="219">
        <f t="shared" si="138"/>
        <v>0</v>
      </c>
      <c r="BF304" s="31">
        <f t="shared" si="139"/>
        <v>0</v>
      </c>
      <c r="BG304" s="219">
        <f t="shared" si="140"/>
        <v>0</v>
      </c>
      <c r="BH304" s="31">
        <f t="shared" si="141"/>
        <v>0</v>
      </c>
      <c r="BI304" s="219">
        <f t="shared" si="142"/>
        <v>0</v>
      </c>
      <c r="BJ304" s="31">
        <f t="shared" si="143"/>
        <v>0</v>
      </c>
      <c r="BK304" s="219">
        <f t="shared" si="144"/>
        <v>0</v>
      </c>
      <c r="BL304" s="31">
        <f t="shared" si="145"/>
        <v>0</v>
      </c>
      <c r="BM304" s="219">
        <f t="shared" si="146"/>
        <v>0</v>
      </c>
      <c r="BN304" s="31">
        <f t="shared" si="147"/>
        <v>0</v>
      </c>
      <c r="BO304" s="219">
        <f t="shared" si="148"/>
        <v>0</v>
      </c>
    </row>
    <row r="305" spans="1:67" x14ac:dyDescent="0.25">
      <c r="A305" s="31" t="s">
        <v>2417</v>
      </c>
      <c r="B305" s="176" t="str">
        <f>VLOOKUP(A305,kurspris!$A$1:$B$992,2,FALSE)</f>
        <v>Examensarbete med ämnesdidaktisk inriktning för ämneslärarexamen - grundnivå (UVK)</v>
      </c>
      <c r="D305" s="60" t="s">
        <v>2155</v>
      </c>
      <c r="E305" s="576" t="s">
        <v>2432</v>
      </c>
      <c r="F305" s="31" t="s">
        <v>2273</v>
      </c>
      <c r="G305" s="31" t="s">
        <v>2458</v>
      </c>
      <c r="H305" s="31" t="s">
        <v>2335</v>
      </c>
      <c r="I305" s="31" t="s">
        <v>2276</v>
      </c>
      <c r="L305" s="38">
        <v>0.5</v>
      </c>
      <c r="M305" s="325">
        <v>15</v>
      </c>
      <c r="P305" s="31">
        <v>3</v>
      </c>
      <c r="Q305" s="196">
        <f t="shared" si="151"/>
        <v>0.75</v>
      </c>
      <c r="R305" s="38">
        <v>0.85</v>
      </c>
      <c r="S305" s="280">
        <f t="shared" si="121"/>
        <v>0.63749999999999996</v>
      </c>
      <c r="T305" s="31">
        <f>VLOOKUP(A305,'Ansvar kurs'!$A$1:$C$1123,2,FALSE)</f>
        <v>2180</v>
      </c>
      <c r="U305" s="31" t="str">
        <f>VLOOKUP(T305,Orgenheter!$A$1:$C$166,2,FALSE)</f>
        <v xml:space="preserve">Pedagogik                     </v>
      </c>
      <c r="V305" s="31" t="str">
        <f>VLOOKUP(T305,Orgenheter!$A$1:$C$166,3,FALSE)</f>
        <v>Sam</v>
      </c>
      <c r="W305" s="35" t="str">
        <f>VLOOKUP(D305,Program!$A$1:$B$36,2,FALSE)</f>
        <v>KPU - åk 7-9 och Gy</v>
      </c>
      <c r="X305" s="40">
        <f>VLOOKUP(A305,kurspris!$A$1:$Q$913,15,FALSE)</f>
        <v>26554</v>
      </c>
      <c r="Y305" s="40">
        <f>VLOOKUP(A305,kurspris!$A$1:$Q$913,16,FALSE)</f>
        <v>33465</v>
      </c>
      <c r="Z305" s="40">
        <f t="shared" si="122"/>
        <v>41249.4375</v>
      </c>
      <c r="AA305" s="40">
        <f>VLOOKUP(A305,kurspris!$A$1:$Q$913,17,FALSE)</f>
        <v>6000</v>
      </c>
      <c r="AB305" s="40">
        <f t="shared" si="123"/>
        <v>4500</v>
      </c>
      <c r="AC305" s="40">
        <f t="shared" si="124"/>
        <v>45749.4375</v>
      </c>
      <c r="AD305" s="31">
        <f>VLOOKUP($A305,kurspris!$A$1:$Q$950,3,FALSE)</f>
        <v>0</v>
      </c>
      <c r="AE305" s="31">
        <f>VLOOKUP($A305,kurspris!$A$1:$Q$950,4,FALSE)</f>
        <v>0</v>
      </c>
      <c r="AF305" s="31">
        <f>VLOOKUP($A305,kurspris!$A$1:$Q$950,5,FALSE)</f>
        <v>0</v>
      </c>
      <c r="AG305" s="31">
        <f>VLOOKUP($A305,kurspris!$A$1:$Q$950,6,FALSE)</f>
        <v>1</v>
      </c>
      <c r="AH305" s="31">
        <f>VLOOKUP($A305,kurspris!$A$1:$Q$950,7,FALSE)</f>
        <v>0</v>
      </c>
      <c r="AI305" s="31">
        <f>VLOOKUP($A305,kurspris!$A$1:$Q$950,8,FALSE)</f>
        <v>0</v>
      </c>
      <c r="AJ305" s="31">
        <f>VLOOKUP($A305,kurspris!$A$1:$Q$950,9,FALSE)</f>
        <v>0</v>
      </c>
      <c r="AK305" s="31">
        <f>VLOOKUP($A305,kurspris!$A$1:$Q$950,10,FALSE)</f>
        <v>0</v>
      </c>
      <c r="AL305" s="31">
        <f>VLOOKUP($A305,kurspris!$A$1:$Q$950,11,FALSE)</f>
        <v>0</v>
      </c>
      <c r="AM305" s="31">
        <f>VLOOKUP($A305,kurspris!$A$1:$Q$950,12,FALSE)</f>
        <v>0</v>
      </c>
      <c r="AN305" s="31">
        <f>VLOOKUP($A305,kurspris!$A$1:$Q$950,13,FALSE)</f>
        <v>0</v>
      </c>
      <c r="AO305" s="31">
        <f>VLOOKUP($A305,kurspris!$A$1:$Q$950,14,FALSE)</f>
        <v>0</v>
      </c>
      <c r="AP305" s="57" t="s">
        <v>2503</v>
      </c>
      <c r="AQ305"/>
      <c r="AR305" s="31">
        <f t="shared" si="125"/>
        <v>0</v>
      </c>
      <c r="AS305" s="219">
        <f t="shared" si="126"/>
        <v>0</v>
      </c>
      <c r="AT305" s="31">
        <f t="shared" si="127"/>
        <v>0</v>
      </c>
      <c r="AU305" s="219">
        <f t="shared" si="128"/>
        <v>0</v>
      </c>
      <c r="AV305" s="31">
        <f t="shared" si="129"/>
        <v>0</v>
      </c>
      <c r="AW305" s="31">
        <f t="shared" si="130"/>
        <v>0</v>
      </c>
      <c r="AX305" s="31">
        <f t="shared" si="131"/>
        <v>0.75</v>
      </c>
      <c r="AY305" s="219">
        <f t="shared" si="132"/>
        <v>0.63749999999999996</v>
      </c>
      <c r="AZ305" s="196">
        <f t="shared" si="133"/>
        <v>0</v>
      </c>
      <c r="BA305" s="219">
        <f t="shared" si="134"/>
        <v>0</v>
      </c>
      <c r="BB305" s="31">
        <f t="shared" si="135"/>
        <v>0</v>
      </c>
      <c r="BC305" s="219">
        <f t="shared" si="136"/>
        <v>0</v>
      </c>
      <c r="BD305" s="31">
        <f t="shared" si="137"/>
        <v>0</v>
      </c>
      <c r="BE305" s="219">
        <f t="shared" si="138"/>
        <v>0</v>
      </c>
      <c r="BF305" s="31">
        <f t="shared" si="139"/>
        <v>0</v>
      </c>
      <c r="BG305" s="219">
        <f t="shared" si="140"/>
        <v>0</v>
      </c>
      <c r="BH305" s="31">
        <f t="shared" si="141"/>
        <v>0</v>
      </c>
      <c r="BI305" s="219">
        <f t="shared" si="142"/>
        <v>0</v>
      </c>
      <c r="BJ305" s="31">
        <f t="shared" si="143"/>
        <v>0</v>
      </c>
      <c r="BK305" s="219">
        <f t="shared" si="144"/>
        <v>0</v>
      </c>
      <c r="BL305" s="31">
        <f t="shared" si="145"/>
        <v>0</v>
      </c>
      <c r="BM305" s="219">
        <f t="shared" si="146"/>
        <v>0</v>
      </c>
      <c r="BN305" s="31">
        <f t="shared" si="147"/>
        <v>0</v>
      </c>
      <c r="BO305" s="219">
        <f t="shared" si="148"/>
        <v>0</v>
      </c>
    </row>
    <row r="306" spans="1:67" x14ac:dyDescent="0.25">
      <c r="A306" s="31" t="s">
        <v>2419</v>
      </c>
      <c r="B306" s="176" t="str">
        <f>VLOOKUP(A306,kurspris!$A$1:$B$992,2,FALSE)</f>
        <v>Verksamhetsförlagd utbildning 2 inom KPU - avancerad nivå (VFU)</v>
      </c>
      <c r="D306" s="60" t="s">
        <v>2155</v>
      </c>
      <c r="E306" s="576" t="s">
        <v>2432</v>
      </c>
      <c r="F306" s="31" t="s">
        <v>2273</v>
      </c>
      <c r="G306" s="31" t="s">
        <v>2458</v>
      </c>
      <c r="H306" s="31" t="s">
        <v>2335</v>
      </c>
      <c r="I306" s="31" t="s">
        <v>2276</v>
      </c>
      <c r="L306" s="38">
        <v>1</v>
      </c>
      <c r="M306" s="325">
        <v>15</v>
      </c>
      <c r="P306" s="31">
        <v>7</v>
      </c>
      <c r="Q306" s="196">
        <f t="shared" si="151"/>
        <v>1.75</v>
      </c>
      <c r="R306" s="38">
        <v>0.85</v>
      </c>
      <c r="S306" s="280">
        <f t="shared" si="121"/>
        <v>1.4875</v>
      </c>
      <c r="T306" s="31">
        <f>VLOOKUP(A306,'Ansvar kurs'!$A$1:$C$1123,2,FALSE)</f>
        <v>1650</v>
      </c>
      <c r="U306" s="31" t="str">
        <f>VLOOKUP(T306,Orgenheter!$A$1:$C$166,2,FALSE)</f>
        <v xml:space="preserve">Estetiska ämnen               </v>
      </c>
      <c r="V306" s="31" t="str">
        <f>VLOOKUP(T306,Orgenheter!$A$1:$C$166,3,FALSE)</f>
        <v>Hum</v>
      </c>
      <c r="W306" s="35" t="str">
        <f>VLOOKUP(D306,Program!$A$1:$B$36,2,FALSE)</f>
        <v>KPU - åk 7-9 och Gy</v>
      </c>
      <c r="X306" s="40">
        <f>VLOOKUP(A306,kurspris!$A$1:$Q$913,15,FALSE)</f>
        <v>25235</v>
      </c>
      <c r="Y306" s="40">
        <f>VLOOKUP(A306,kurspris!$A$1:$Q$913,16,FALSE)</f>
        <v>27976</v>
      </c>
      <c r="Z306" s="40">
        <f t="shared" si="122"/>
        <v>85775.55</v>
      </c>
      <c r="AA306" s="40">
        <f>VLOOKUP(A306,kurspris!$A$1:$Q$913,17,FALSE)</f>
        <v>3600</v>
      </c>
      <c r="AB306" s="40">
        <f t="shared" si="123"/>
        <v>6300</v>
      </c>
      <c r="AC306" s="40">
        <f t="shared" si="124"/>
        <v>92075.55</v>
      </c>
      <c r="AD306" s="31">
        <f>VLOOKUP($A306,kurspris!$A$1:$Q$950,3,FALSE)</f>
        <v>0</v>
      </c>
      <c r="AE306" s="31">
        <f>VLOOKUP($A306,kurspris!$A$1:$Q$950,4,FALSE)</f>
        <v>0</v>
      </c>
      <c r="AF306" s="31">
        <f>VLOOKUP($A306,kurspris!$A$1:$Q$950,5,FALSE)</f>
        <v>0</v>
      </c>
      <c r="AG306" s="31">
        <f>VLOOKUP($A306,kurspris!$A$1:$Q$950,6,FALSE)</f>
        <v>0</v>
      </c>
      <c r="AH306" s="31">
        <f>VLOOKUP($A306,kurspris!$A$1:$Q$950,7,FALSE)</f>
        <v>0</v>
      </c>
      <c r="AI306" s="31">
        <f>VLOOKUP($A306,kurspris!$A$1:$Q$950,8,FALSE)</f>
        <v>0</v>
      </c>
      <c r="AJ306" s="31">
        <f>VLOOKUP($A306,kurspris!$A$1:$Q$950,9,FALSE)</f>
        <v>0</v>
      </c>
      <c r="AK306" s="31">
        <f>VLOOKUP($A306,kurspris!$A$1:$Q$950,10,FALSE)</f>
        <v>0</v>
      </c>
      <c r="AL306" s="31">
        <f>VLOOKUP($A306,kurspris!$A$1:$Q$950,11,FALSE)</f>
        <v>1</v>
      </c>
      <c r="AM306" s="31">
        <f>VLOOKUP($A306,kurspris!$A$1:$Q$950,12,FALSE)</f>
        <v>0</v>
      </c>
      <c r="AN306" s="31">
        <f>VLOOKUP($A306,kurspris!$A$1:$Q$950,13,FALSE)</f>
        <v>0</v>
      </c>
      <c r="AO306" s="31">
        <f>VLOOKUP($A306,kurspris!$A$1:$Q$950,14,FALSE)</f>
        <v>0</v>
      </c>
      <c r="AP306" s="57" t="s">
        <v>2503</v>
      </c>
      <c r="AQ306"/>
      <c r="AR306" s="31">
        <f t="shared" si="125"/>
        <v>0</v>
      </c>
      <c r="AS306" s="219">
        <f t="shared" si="126"/>
        <v>0</v>
      </c>
      <c r="AT306" s="31">
        <f t="shared" si="127"/>
        <v>0</v>
      </c>
      <c r="AU306" s="219">
        <f t="shared" si="128"/>
        <v>0</v>
      </c>
      <c r="AV306" s="31">
        <f t="shared" si="129"/>
        <v>0</v>
      </c>
      <c r="AW306" s="31">
        <f t="shared" si="130"/>
        <v>0</v>
      </c>
      <c r="AX306" s="31">
        <f t="shared" si="131"/>
        <v>0</v>
      </c>
      <c r="AY306" s="219">
        <f t="shared" si="132"/>
        <v>0</v>
      </c>
      <c r="AZ306" s="196">
        <f t="shared" si="133"/>
        <v>0</v>
      </c>
      <c r="BA306" s="219">
        <f t="shared" si="134"/>
        <v>0</v>
      </c>
      <c r="BB306" s="31">
        <f t="shared" si="135"/>
        <v>0</v>
      </c>
      <c r="BC306" s="219">
        <f t="shared" si="136"/>
        <v>0</v>
      </c>
      <c r="BD306" s="31">
        <f t="shared" si="137"/>
        <v>0</v>
      </c>
      <c r="BE306" s="219">
        <f t="shared" si="138"/>
        <v>0</v>
      </c>
      <c r="BF306" s="31">
        <f t="shared" si="139"/>
        <v>0</v>
      </c>
      <c r="BG306" s="219">
        <f t="shared" si="140"/>
        <v>0</v>
      </c>
      <c r="BH306" s="31">
        <f t="shared" si="141"/>
        <v>1.75</v>
      </c>
      <c r="BI306" s="219">
        <f t="shared" si="142"/>
        <v>1.4875</v>
      </c>
      <c r="BJ306" s="31">
        <f t="shared" si="143"/>
        <v>0</v>
      </c>
      <c r="BK306" s="219">
        <f t="shared" si="144"/>
        <v>0</v>
      </c>
      <c r="BL306" s="31">
        <f t="shared" si="145"/>
        <v>0</v>
      </c>
      <c r="BM306" s="219">
        <f t="shared" si="146"/>
        <v>0</v>
      </c>
      <c r="BN306" s="31">
        <f t="shared" si="147"/>
        <v>0</v>
      </c>
      <c r="BO306" s="219">
        <f t="shared" si="148"/>
        <v>0</v>
      </c>
    </row>
    <row r="307" spans="1:67" x14ac:dyDescent="0.25">
      <c r="A307" s="31" t="s">
        <v>2420</v>
      </c>
      <c r="B307" s="176" t="str">
        <f>VLOOKUP(A307,kurspris!$A$1:$B$992,2,FALSE)</f>
        <v>Examensarbete med ämnesdidaktisk inriktning för ämneslärarexamen - avancerad nivå (UVK)</v>
      </c>
      <c r="D307" s="60" t="s">
        <v>2155</v>
      </c>
      <c r="E307" s="576" t="s">
        <v>2432</v>
      </c>
      <c r="F307" s="31" t="s">
        <v>2273</v>
      </c>
      <c r="G307" s="31" t="s">
        <v>2458</v>
      </c>
      <c r="H307" s="31" t="s">
        <v>2335</v>
      </c>
      <c r="I307" s="31" t="s">
        <v>2276</v>
      </c>
      <c r="L307" s="38">
        <v>1</v>
      </c>
      <c r="M307" s="325">
        <v>15</v>
      </c>
      <c r="P307" s="31">
        <v>3</v>
      </c>
      <c r="Q307" s="196">
        <f t="shared" si="151"/>
        <v>0.75</v>
      </c>
      <c r="R307" s="38">
        <v>0.85</v>
      </c>
      <c r="S307" s="280">
        <f t="shared" si="121"/>
        <v>0.63749999999999996</v>
      </c>
      <c r="T307" s="31">
        <f>VLOOKUP(A307,'Ansvar kurs'!$A$1:$C$1123,2,FALSE)</f>
        <v>1620</v>
      </c>
      <c r="U307" s="31" t="str">
        <f>VLOOKUP(T307,Orgenheter!$A$1:$C$166,2,FALSE)</f>
        <v>Inst för språkstudier</v>
      </c>
      <c r="V307" s="31" t="str">
        <f>VLOOKUP(T307,Orgenheter!$A$1:$C$166,3,FALSE)</f>
        <v>Hum</v>
      </c>
      <c r="W307" s="35" t="str">
        <f>VLOOKUP(D307,Program!$A$1:$B$36,2,FALSE)</f>
        <v>KPU - åk 7-9 och Gy</v>
      </c>
      <c r="X307" s="40">
        <f>VLOOKUP(A307,kurspris!$A$1:$Q$913,15,FALSE)</f>
        <v>26554</v>
      </c>
      <c r="Y307" s="40">
        <f>VLOOKUP(A307,kurspris!$A$1:$Q$913,16,FALSE)</f>
        <v>33465</v>
      </c>
      <c r="Z307" s="40">
        <f t="shared" si="122"/>
        <v>41249.4375</v>
      </c>
      <c r="AA307" s="40">
        <f>VLOOKUP(A307,kurspris!$A$1:$Q$913,17,FALSE)</f>
        <v>6000</v>
      </c>
      <c r="AB307" s="40">
        <f t="shared" si="123"/>
        <v>4500</v>
      </c>
      <c r="AC307" s="40">
        <f t="shared" si="124"/>
        <v>45749.4375</v>
      </c>
      <c r="AD307" s="31">
        <f>VLOOKUP($A307,kurspris!$A$1:$Q$950,3,FALSE)</f>
        <v>0</v>
      </c>
      <c r="AE307" s="31">
        <f>VLOOKUP($A307,kurspris!$A$1:$Q$950,4,FALSE)</f>
        <v>0</v>
      </c>
      <c r="AF307" s="31">
        <f>VLOOKUP($A307,kurspris!$A$1:$Q$950,5,FALSE)</f>
        <v>0</v>
      </c>
      <c r="AG307" s="31">
        <f>VLOOKUP($A307,kurspris!$A$1:$Q$950,6,FALSE)</f>
        <v>1</v>
      </c>
      <c r="AH307" s="31">
        <f>VLOOKUP($A307,kurspris!$A$1:$Q$950,7,FALSE)</f>
        <v>0</v>
      </c>
      <c r="AI307" s="31">
        <f>VLOOKUP($A307,kurspris!$A$1:$Q$950,8,FALSE)</f>
        <v>0</v>
      </c>
      <c r="AJ307" s="31">
        <f>VLOOKUP($A307,kurspris!$A$1:$Q$950,9,FALSE)</f>
        <v>0</v>
      </c>
      <c r="AK307" s="31">
        <f>VLOOKUP($A307,kurspris!$A$1:$Q$950,10,FALSE)</f>
        <v>0</v>
      </c>
      <c r="AL307" s="31">
        <f>VLOOKUP($A307,kurspris!$A$1:$Q$950,11,FALSE)</f>
        <v>0</v>
      </c>
      <c r="AM307" s="31">
        <f>VLOOKUP($A307,kurspris!$A$1:$Q$950,12,FALSE)</f>
        <v>0</v>
      </c>
      <c r="AN307" s="31">
        <f>VLOOKUP($A307,kurspris!$A$1:$Q$950,13,FALSE)</f>
        <v>0</v>
      </c>
      <c r="AO307" s="31">
        <f>VLOOKUP($A307,kurspris!$A$1:$Q$950,14,FALSE)</f>
        <v>0</v>
      </c>
      <c r="AP307" s="57" t="s">
        <v>2503</v>
      </c>
      <c r="AQ307"/>
      <c r="AR307" s="31">
        <f t="shared" si="125"/>
        <v>0</v>
      </c>
      <c r="AS307" s="219">
        <f t="shared" si="126"/>
        <v>0</v>
      </c>
      <c r="AT307" s="31">
        <f t="shared" si="127"/>
        <v>0</v>
      </c>
      <c r="AU307" s="219">
        <f t="shared" si="128"/>
        <v>0</v>
      </c>
      <c r="AV307" s="31">
        <f t="shared" si="129"/>
        <v>0</v>
      </c>
      <c r="AW307" s="31">
        <f t="shared" si="130"/>
        <v>0</v>
      </c>
      <c r="AX307" s="31">
        <f t="shared" si="131"/>
        <v>0.75</v>
      </c>
      <c r="AY307" s="219">
        <f t="shared" si="132"/>
        <v>0.63749999999999996</v>
      </c>
      <c r="AZ307" s="196">
        <f t="shared" si="133"/>
        <v>0</v>
      </c>
      <c r="BA307" s="219">
        <f t="shared" si="134"/>
        <v>0</v>
      </c>
      <c r="BB307" s="31">
        <f t="shared" si="135"/>
        <v>0</v>
      </c>
      <c r="BC307" s="219">
        <f t="shared" si="136"/>
        <v>0</v>
      </c>
      <c r="BD307" s="31">
        <f t="shared" si="137"/>
        <v>0</v>
      </c>
      <c r="BE307" s="219">
        <f t="shared" si="138"/>
        <v>0</v>
      </c>
      <c r="BF307" s="31">
        <f t="shared" si="139"/>
        <v>0</v>
      </c>
      <c r="BG307" s="219">
        <f t="shared" si="140"/>
        <v>0</v>
      </c>
      <c r="BH307" s="31">
        <f t="shared" si="141"/>
        <v>0</v>
      </c>
      <c r="BI307" s="219">
        <f t="shared" si="142"/>
        <v>0</v>
      </c>
      <c r="BJ307" s="31">
        <f t="shared" si="143"/>
        <v>0</v>
      </c>
      <c r="BK307" s="219">
        <f t="shared" si="144"/>
        <v>0</v>
      </c>
      <c r="BL307" s="31">
        <f t="shared" si="145"/>
        <v>0</v>
      </c>
      <c r="BM307" s="219">
        <f t="shared" si="146"/>
        <v>0</v>
      </c>
      <c r="BN307" s="31">
        <f t="shared" si="147"/>
        <v>0</v>
      </c>
      <c r="BO307" s="219">
        <f t="shared" si="148"/>
        <v>0</v>
      </c>
    </row>
    <row r="308" spans="1:67" x14ac:dyDescent="0.25">
      <c r="A308" s="31" t="s">
        <v>2421</v>
      </c>
      <c r="B308" s="176" t="str">
        <f>VLOOKUP(A308,kurspris!$A$1:$B$992,2,FALSE)</f>
        <v>Examensarbete med ämnesdidaktisk inriktning för ämneslärarexamen (UVK) - grundnivå</v>
      </c>
      <c r="D308" s="60" t="s">
        <v>2155</v>
      </c>
      <c r="E308" s="576" t="s">
        <v>2432</v>
      </c>
      <c r="F308" s="31" t="s">
        <v>2273</v>
      </c>
      <c r="G308" s="31" t="s">
        <v>2458</v>
      </c>
      <c r="H308" s="31" t="s">
        <v>2335</v>
      </c>
      <c r="I308" s="31" t="s">
        <v>2276</v>
      </c>
      <c r="L308" s="38">
        <v>1</v>
      </c>
      <c r="M308" s="325">
        <v>15</v>
      </c>
      <c r="P308" s="31">
        <v>3</v>
      </c>
      <c r="Q308" s="196">
        <f t="shared" si="151"/>
        <v>0.75</v>
      </c>
      <c r="R308" s="38">
        <v>0.85</v>
      </c>
      <c r="S308" s="280">
        <f t="shared" si="121"/>
        <v>0.63749999999999996</v>
      </c>
      <c r="T308" s="31">
        <f>VLOOKUP(A308,'Ansvar kurs'!$A$1:$C$1123,2,FALSE)</f>
        <v>1620</v>
      </c>
      <c r="U308" s="31" t="str">
        <f>VLOOKUP(T308,Orgenheter!$A$1:$C$166,2,FALSE)</f>
        <v>Inst för språkstudier</v>
      </c>
      <c r="V308" s="31" t="str">
        <f>VLOOKUP(T308,Orgenheter!$A$1:$C$166,3,FALSE)</f>
        <v>Hum</v>
      </c>
      <c r="W308" s="35" t="str">
        <f>VLOOKUP(D308,Program!$A$1:$B$36,2,FALSE)</f>
        <v>KPU - åk 7-9 och Gy</v>
      </c>
      <c r="X308" s="40">
        <f>VLOOKUP(A308,kurspris!$A$1:$Q$913,15,FALSE)</f>
        <v>26554</v>
      </c>
      <c r="Y308" s="40">
        <f>VLOOKUP(A308,kurspris!$A$1:$Q$913,16,FALSE)</f>
        <v>33465</v>
      </c>
      <c r="Z308" s="40">
        <f t="shared" si="122"/>
        <v>41249.4375</v>
      </c>
      <c r="AA308" s="40">
        <f>VLOOKUP(A308,kurspris!$A$1:$Q$913,17,FALSE)</f>
        <v>6000</v>
      </c>
      <c r="AB308" s="40">
        <f t="shared" si="123"/>
        <v>4500</v>
      </c>
      <c r="AC308" s="40">
        <f t="shared" si="124"/>
        <v>45749.4375</v>
      </c>
      <c r="AD308" s="31">
        <f>VLOOKUP($A308,kurspris!$A$1:$Q$950,3,FALSE)</f>
        <v>0</v>
      </c>
      <c r="AE308" s="31">
        <f>VLOOKUP($A308,kurspris!$A$1:$Q$950,4,FALSE)</f>
        <v>0</v>
      </c>
      <c r="AF308" s="31">
        <f>VLOOKUP($A308,kurspris!$A$1:$Q$950,5,FALSE)</f>
        <v>0</v>
      </c>
      <c r="AG308" s="31">
        <f>VLOOKUP($A308,kurspris!$A$1:$Q$950,6,FALSE)</f>
        <v>1</v>
      </c>
      <c r="AH308" s="31">
        <f>VLOOKUP($A308,kurspris!$A$1:$Q$950,7,FALSE)</f>
        <v>0</v>
      </c>
      <c r="AI308" s="31">
        <f>VLOOKUP($A308,kurspris!$A$1:$Q$950,8,FALSE)</f>
        <v>0</v>
      </c>
      <c r="AJ308" s="31">
        <f>VLOOKUP($A308,kurspris!$A$1:$Q$950,9,FALSE)</f>
        <v>0</v>
      </c>
      <c r="AK308" s="31">
        <f>VLOOKUP($A308,kurspris!$A$1:$Q$950,10,FALSE)</f>
        <v>0</v>
      </c>
      <c r="AL308" s="31">
        <f>VLOOKUP($A308,kurspris!$A$1:$Q$950,11,FALSE)</f>
        <v>0</v>
      </c>
      <c r="AM308" s="31">
        <f>VLOOKUP($A308,kurspris!$A$1:$Q$950,12,FALSE)</f>
        <v>0</v>
      </c>
      <c r="AN308" s="31">
        <f>VLOOKUP($A308,kurspris!$A$1:$Q$950,13,FALSE)</f>
        <v>0</v>
      </c>
      <c r="AO308" s="31">
        <f>VLOOKUP($A308,kurspris!$A$1:$Q$950,14,FALSE)</f>
        <v>0</v>
      </c>
      <c r="AP308" s="57" t="s">
        <v>2503</v>
      </c>
      <c r="AQ308"/>
      <c r="AR308" s="31">
        <f t="shared" si="125"/>
        <v>0</v>
      </c>
      <c r="AS308" s="219">
        <f t="shared" si="126"/>
        <v>0</v>
      </c>
      <c r="AT308" s="31">
        <f t="shared" si="127"/>
        <v>0</v>
      </c>
      <c r="AU308" s="219">
        <f t="shared" si="128"/>
        <v>0</v>
      </c>
      <c r="AV308" s="31">
        <f t="shared" si="129"/>
        <v>0</v>
      </c>
      <c r="AW308" s="31">
        <f t="shared" si="130"/>
        <v>0</v>
      </c>
      <c r="AX308" s="31">
        <f t="shared" si="131"/>
        <v>0.75</v>
      </c>
      <c r="AY308" s="219">
        <f t="shared" si="132"/>
        <v>0.63749999999999996</v>
      </c>
      <c r="AZ308" s="196">
        <f t="shared" si="133"/>
        <v>0</v>
      </c>
      <c r="BA308" s="219">
        <f t="shared" si="134"/>
        <v>0</v>
      </c>
      <c r="BB308" s="31">
        <f t="shared" si="135"/>
        <v>0</v>
      </c>
      <c r="BC308" s="219">
        <f t="shared" si="136"/>
        <v>0</v>
      </c>
      <c r="BD308" s="31">
        <f t="shared" si="137"/>
        <v>0</v>
      </c>
      <c r="BE308" s="219">
        <f t="shared" si="138"/>
        <v>0</v>
      </c>
      <c r="BF308" s="31">
        <f t="shared" si="139"/>
        <v>0</v>
      </c>
      <c r="BG308" s="219">
        <f t="shared" si="140"/>
        <v>0</v>
      </c>
      <c r="BH308" s="31">
        <f t="shared" si="141"/>
        <v>0</v>
      </c>
      <c r="BI308" s="219">
        <f t="shared" si="142"/>
        <v>0</v>
      </c>
      <c r="BJ308" s="31">
        <f t="shared" si="143"/>
        <v>0</v>
      </c>
      <c r="BK308" s="219">
        <f t="shared" si="144"/>
        <v>0</v>
      </c>
      <c r="BL308" s="31">
        <f t="shared" si="145"/>
        <v>0</v>
      </c>
      <c r="BM308" s="219">
        <f t="shared" si="146"/>
        <v>0</v>
      </c>
      <c r="BN308" s="31">
        <f t="shared" si="147"/>
        <v>0</v>
      </c>
      <c r="BO308" s="219">
        <f t="shared" si="148"/>
        <v>0</v>
      </c>
    </row>
    <row r="309" spans="1:67" x14ac:dyDescent="0.25">
      <c r="A309" s="31" t="s">
        <v>2422</v>
      </c>
      <c r="B309" s="176" t="str">
        <f>VLOOKUP(A309,kurspris!$A$1:$B$992,2,FALSE)</f>
        <v>Examensarbete med ämnesdidaktisk inriktning för ämneslärarexamen (UVK) - grundnivå</v>
      </c>
      <c r="D309" s="60" t="s">
        <v>2155</v>
      </c>
      <c r="E309" s="576" t="s">
        <v>2432</v>
      </c>
      <c r="F309" s="31" t="s">
        <v>2273</v>
      </c>
      <c r="G309" s="31" t="s">
        <v>2458</v>
      </c>
      <c r="H309" s="31" t="s">
        <v>2335</v>
      </c>
      <c r="I309" s="31" t="s">
        <v>2276</v>
      </c>
      <c r="L309" s="38">
        <v>1</v>
      </c>
      <c r="M309" s="325">
        <v>15</v>
      </c>
      <c r="P309" s="31">
        <v>10</v>
      </c>
      <c r="Q309" s="196">
        <f t="shared" si="151"/>
        <v>2.5</v>
      </c>
      <c r="R309" s="38">
        <v>0.85</v>
      </c>
      <c r="S309" s="280">
        <f t="shared" si="121"/>
        <v>2.125</v>
      </c>
      <c r="T309" s="31">
        <f>VLOOKUP(A309,'Ansvar kurs'!$A$1:$C$1123,2,FALSE)</f>
        <v>2650</v>
      </c>
      <c r="U309" s="31" t="str">
        <f>VLOOKUP(T309,Orgenheter!$A$1:$C$166,2,FALSE)</f>
        <v>Inst för kost- och måltidsvetenskap</v>
      </c>
      <c r="V309" s="31" t="str">
        <f>VLOOKUP(T309,Orgenheter!$A$1:$C$166,3,FALSE)</f>
        <v>Sam</v>
      </c>
      <c r="W309" s="35" t="str">
        <f>VLOOKUP(D309,Program!$A$1:$B$36,2,FALSE)</f>
        <v>KPU - åk 7-9 och Gy</v>
      </c>
      <c r="X309" s="40">
        <f>VLOOKUP(A309,kurspris!$A$1:$Q$913,15,FALSE)</f>
        <v>26554</v>
      </c>
      <c r="Y309" s="40">
        <f>VLOOKUP(A309,kurspris!$A$1:$Q$913,16,FALSE)</f>
        <v>33465</v>
      </c>
      <c r="Z309" s="40">
        <f t="shared" si="122"/>
        <v>137498.125</v>
      </c>
      <c r="AA309" s="40">
        <f>VLOOKUP(A309,kurspris!$A$1:$Q$913,17,FALSE)</f>
        <v>6000</v>
      </c>
      <c r="AB309" s="40">
        <f t="shared" si="123"/>
        <v>15000</v>
      </c>
      <c r="AC309" s="40">
        <f t="shared" si="124"/>
        <v>152498.125</v>
      </c>
      <c r="AD309" s="31">
        <f>VLOOKUP($A309,kurspris!$A$1:$Q$950,3,FALSE)</f>
        <v>0</v>
      </c>
      <c r="AE309" s="31">
        <f>VLOOKUP($A309,kurspris!$A$1:$Q$950,4,FALSE)</f>
        <v>0</v>
      </c>
      <c r="AF309" s="31">
        <f>VLOOKUP($A309,kurspris!$A$1:$Q$950,5,FALSE)</f>
        <v>0</v>
      </c>
      <c r="AG309" s="31">
        <f>VLOOKUP($A309,kurspris!$A$1:$Q$950,6,FALSE)</f>
        <v>1</v>
      </c>
      <c r="AH309" s="31">
        <f>VLOOKUP($A309,kurspris!$A$1:$Q$950,7,FALSE)</f>
        <v>0</v>
      </c>
      <c r="AI309" s="31">
        <f>VLOOKUP($A309,kurspris!$A$1:$Q$950,8,FALSE)</f>
        <v>0</v>
      </c>
      <c r="AJ309" s="31">
        <f>VLOOKUP($A309,kurspris!$A$1:$Q$950,9,FALSE)</f>
        <v>0</v>
      </c>
      <c r="AK309" s="31">
        <f>VLOOKUP($A309,kurspris!$A$1:$Q$950,10,FALSE)</f>
        <v>0</v>
      </c>
      <c r="AL309" s="31">
        <f>VLOOKUP($A309,kurspris!$A$1:$Q$950,11,FALSE)</f>
        <v>0</v>
      </c>
      <c r="AM309" s="31">
        <f>VLOOKUP($A309,kurspris!$A$1:$Q$950,12,FALSE)</f>
        <v>0</v>
      </c>
      <c r="AN309" s="31">
        <f>VLOOKUP($A309,kurspris!$A$1:$Q$950,13,FALSE)</f>
        <v>0</v>
      </c>
      <c r="AO309" s="31">
        <f>VLOOKUP($A309,kurspris!$A$1:$Q$950,14,FALSE)</f>
        <v>0</v>
      </c>
      <c r="AP309" s="57" t="s">
        <v>2503</v>
      </c>
      <c r="AQ309"/>
      <c r="AR309" s="31">
        <f t="shared" si="125"/>
        <v>0</v>
      </c>
      <c r="AS309" s="219">
        <f t="shared" si="126"/>
        <v>0</v>
      </c>
      <c r="AT309" s="31">
        <f t="shared" si="127"/>
        <v>0</v>
      </c>
      <c r="AU309" s="219">
        <f t="shared" si="128"/>
        <v>0</v>
      </c>
      <c r="AV309" s="31">
        <f t="shared" si="129"/>
        <v>0</v>
      </c>
      <c r="AW309" s="31">
        <f t="shared" si="130"/>
        <v>0</v>
      </c>
      <c r="AX309" s="31">
        <f t="shared" si="131"/>
        <v>2.5</v>
      </c>
      <c r="AY309" s="219">
        <f t="shared" si="132"/>
        <v>2.125</v>
      </c>
      <c r="AZ309" s="196">
        <f t="shared" si="133"/>
        <v>0</v>
      </c>
      <c r="BA309" s="219">
        <f t="shared" si="134"/>
        <v>0</v>
      </c>
      <c r="BB309" s="31">
        <f t="shared" si="135"/>
        <v>0</v>
      </c>
      <c r="BC309" s="219">
        <f t="shared" si="136"/>
        <v>0</v>
      </c>
      <c r="BD309" s="31">
        <f t="shared" si="137"/>
        <v>0</v>
      </c>
      <c r="BE309" s="219">
        <f t="shared" si="138"/>
        <v>0</v>
      </c>
      <c r="BF309" s="31">
        <f t="shared" si="139"/>
        <v>0</v>
      </c>
      <c r="BG309" s="219">
        <f t="shared" si="140"/>
        <v>0</v>
      </c>
      <c r="BH309" s="31">
        <f t="shared" si="141"/>
        <v>0</v>
      </c>
      <c r="BI309" s="219">
        <f t="shared" si="142"/>
        <v>0</v>
      </c>
      <c r="BJ309" s="31">
        <f t="shared" si="143"/>
        <v>0</v>
      </c>
      <c r="BK309" s="219">
        <f t="shared" si="144"/>
        <v>0</v>
      </c>
      <c r="BL309" s="31">
        <f t="shared" si="145"/>
        <v>0</v>
      </c>
      <c r="BM309" s="219">
        <f t="shared" si="146"/>
        <v>0</v>
      </c>
      <c r="BN309" s="31">
        <f t="shared" si="147"/>
        <v>0</v>
      </c>
      <c r="BO309" s="219">
        <f t="shared" si="148"/>
        <v>0</v>
      </c>
    </row>
    <row r="310" spans="1:67" x14ac:dyDescent="0.25">
      <c r="A310" s="31" t="s">
        <v>2423</v>
      </c>
      <c r="B310" s="176" t="str">
        <f>VLOOKUP(A310,kurspris!$A$1:$B$992,2,FALSE)</f>
        <v>Verksamhetsförlagd utbildning 2 inom KPU - grundnivå (VFU)</v>
      </c>
      <c r="D310" s="60" t="s">
        <v>2155</v>
      </c>
      <c r="E310" s="576" t="s">
        <v>2432</v>
      </c>
      <c r="F310" s="31" t="s">
        <v>2273</v>
      </c>
      <c r="G310" s="31" t="s">
        <v>2458</v>
      </c>
      <c r="H310" s="31" t="s">
        <v>2335</v>
      </c>
      <c r="I310" s="31" t="s">
        <v>2276</v>
      </c>
      <c r="L310" s="38">
        <v>0.5</v>
      </c>
      <c r="M310" s="325">
        <v>15</v>
      </c>
      <c r="P310" s="31">
        <v>4</v>
      </c>
      <c r="Q310" s="196">
        <f t="shared" si="151"/>
        <v>1</v>
      </c>
      <c r="R310" s="38">
        <v>0.85</v>
      </c>
      <c r="S310" s="280">
        <f t="shared" si="121"/>
        <v>0.85</v>
      </c>
      <c r="T310" s="31">
        <f>VLOOKUP(A310,'Ansvar kurs'!$A$1:$C$1123,2,FALSE)</f>
        <v>1650</v>
      </c>
      <c r="U310" s="31" t="str">
        <f>VLOOKUP(T310,Orgenheter!$A$1:$C$166,2,FALSE)</f>
        <v xml:space="preserve">Estetiska ämnen               </v>
      </c>
      <c r="V310" s="31" t="str">
        <f>VLOOKUP(T310,Orgenheter!$A$1:$C$166,3,FALSE)</f>
        <v>Hum</v>
      </c>
      <c r="W310" s="35" t="str">
        <f>VLOOKUP(D310,Program!$A$1:$B$36,2,FALSE)</f>
        <v>KPU - åk 7-9 och Gy</v>
      </c>
      <c r="X310" s="40">
        <f>VLOOKUP(A310,kurspris!$A$1:$Q$913,15,FALSE)</f>
        <v>25235</v>
      </c>
      <c r="Y310" s="40">
        <f>VLOOKUP(A310,kurspris!$A$1:$Q$913,16,FALSE)</f>
        <v>27976</v>
      </c>
      <c r="Z310" s="40">
        <f t="shared" si="122"/>
        <v>49014.6</v>
      </c>
      <c r="AA310" s="40">
        <f>VLOOKUP(A310,kurspris!$A$1:$Q$913,17,FALSE)</f>
        <v>3600</v>
      </c>
      <c r="AB310" s="40">
        <f t="shared" si="123"/>
        <v>3600</v>
      </c>
      <c r="AC310" s="40">
        <f t="shared" si="124"/>
        <v>52614.6</v>
      </c>
      <c r="AD310" s="31">
        <f>VLOOKUP($A310,kurspris!$A$1:$Q$950,3,FALSE)</f>
        <v>0</v>
      </c>
      <c r="AE310" s="31">
        <f>VLOOKUP($A310,kurspris!$A$1:$Q$950,4,FALSE)</f>
        <v>0</v>
      </c>
      <c r="AF310" s="31">
        <f>VLOOKUP($A310,kurspris!$A$1:$Q$950,5,FALSE)</f>
        <v>0</v>
      </c>
      <c r="AG310" s="31">
        <f>VLOOKUP($A310,kurspris!$A$1:$Q$950,6,FALSE)</f>
        <v>0</v>
      </c>
      <c r="AH310" s="31">
        <f>VLOOKUP($A310,kurspris!$A$1:$Q$950,7,FALSE)</f>
        <v>0</v>
      </c>
      <c r="AI310" s="31">
        <f>VLOOKUP($A310,kurspris!$A$1:$Q$950,8,FALSE)</f>
        <v>0</v>
      </c>
      <c r="AJ310" s="31">
        <f>VLOOKUP($A310,kurspris!$A$1:$Q$950,9,FALSE)</f>
        <v>0</v>
      </c>
      <c r="AK310" s="31">
        <f>VLOOKUP($A310,kurspris!$A$1:$Q$950,10,FALSE)</f>
        <v>0</v>
      </c>
      <c r="AL310" s="31">
        <f>VLOOKUP($A310,kurspris!$A$1:$Q$950,11,FALSE)</f>
        <v>1</v>
      </c>
      <c r="AM310" s="31">
        <f>VLOOKUP($A310,kurspris!$A$1:$Q$950,12,FALSE)</f>
        <v>0</v>
      </c>
      <c r="AN310" s="31">
        <f>VLOOKUP($A310,kurspris!$A$1:$Q$950,13,FALSE)</f>
        <v>0</v>
      </c>
      <c r="AO310" s="31">
        <f>VLOOKUP($A310,kurspris!$A$1:$Q$950,14,FALSE)</f>
        <v>0</v>
      </c>
      <c r="AP310" s="57" t="s">
        <v>2503</v>
      </c>
      <c r="AQ310"/>
      <c r="AR310" s="31">
        <f t="shared" si="125"/>
        <v>0</v>
      </c>
      <c r="AS310" s="219">
        <f t="shared" si="126"/>
        <v>0</v>
      </c>
      <c r="AT310" s="31">
        <f t="shared" si="127"/>
        <v>0</v>
      </c>
      <c r="AU310" s="219">
        <f t="shared" si="128"/>
        <v>0</v>
      </c>
      <c r="AV310" s="31">
        <f t="shared" si="129"/>
        <v>0</v>
      </c>
      <c r="AW310" s="31">
        <f t="shared" si="130"/>
        <v>0</v>
      </c>
      <c r="AX310" s="31">
        <f t="shared" si="131"/>
        <v>0</v>
      </c>
      <c r="AY310" s="219">
        <f t="shared" si="132"/>
        <v>0</v>
      </c>
      <c r="AZ310" s="196">
        <f t="shared" si="133"/>
        <v>0</v>
      </c>
      <c r="BA310" s="219">
        <f t="shared" si="134"/>
        <v>0</v>
      </c>
      <c r="BB310" s="31">
        <f t="shared" si="135"/>
        <v>0</v>
      </c>
      <c r="BC310" s="219">
        <f t="shared" si="136"/>
        <v>0</v>
      </c>
      <c r="BD310" s="31">
        <f t="shared" si="137"/>
        <v>0</v>
      </c>
      <c r="BE310" s="219">
        <f t="shared" si="138"/>
        <v>0</v>
      </c>
      <c r="BF310" s="31">
        <f t="shared" si="139"/>
        <v>0</v>
      </c>
      <c r="BG310" s="219">
        <f t="shared" si="140"/>
        <v>0</v>
      </c>
      <c r="BH310" s="31">
        <f t="shared" si="141"/>
        <v>1</v>
      </c>
      <c r="BI310" s="219">
        <f t="shared" si="142"/>
        <v>0.85</v>
      </c>
      <c r="BJ310" s="31">
        <f t="shared" si="143"/>
        <v>0</v>
      </c>
      <c r="BK310" s="219">
        <f t="shared" si="144"/>
        <v>0</v>
      </c>
      <c r="BL310" s="31">
        <f t="shared" si="145"/>
        <v>0</v>
      </c>
      <c r="BM310" s="219">
        <f t="shared" si="146"/>
        <v>0</v>
      </c>
      <c r="BN310" s="31">
        <f t="shared" si="147"/>
        <v>0</v>
      </c>
      <c r="BO310" s="219">
        <f t="shared" si="148"/>
        <v>0</v>
      </c>
    </row>
    <row r="311" spans="1:67" x14ac:dyDescent="0.25">
      <c r="A311" s="31" t="s">
        <v>2423</v>
      </c>
      <c r="B311" s="176" t="str">
        <f>VLOOKUP(A311,kurspris!$A$1:$B$992,2,FALSE)</f>
        <v>Verksamhetsförlagd utbildning 2 inom KPU - grundnivå (VFU)</v>
      </c>
      <c r="D311" s="60" t="s">
        <v>2155</v>
      </c>
      <c r="E311" s="576" t="s">
        <v>2432</v>
      </c>
      <c r="F311" s="31" t="s">
        <v>2273</v>
      </c>
      <c r="G311" s="31" t="s">
        <v>2458</v>
      </c>
      <c r="H311" s="31" t="s">
        <v>2335</v>
      </c>
      <c r="I311" s="31" t="s">
        <v>2276</v>
      </c>
      <c r="L311" s="38">
        <v>1</v>
      </c>
      <c r="M311" s="325">
        <v>15</v>
      </c>
      <c r="P311" s="31">
        <v>30</v>
      </c>
      <c r="Q311" s="196">
        <f t="shared" si="151"/>
        <v>7.5</v>
      </c>
      <c r="R311" s="38">
        <v>0.85</v>
      </c>
      <c r="S311" s="280">
        <f t="shared" si="121"/>
        <v>6.375</v>
      </c>
      <c r="T311" s="31">
        <f>VLOOKUP(A311,'Ansvar kurs'!$A$1:$C$1123,2,FALSE)</f>
        <v>1650</v>
      </c>
      <c r="U311" s="31" t="str">
        <f>VLOOKUP(T311,Orgenheter!$A$1:$C$166,2,FALSE)</f>
        <v xml:space="preserve">Estetiska ämnen               </v>
      </c>
      <c r="V311" s="31" t="str">
        <f>VLOOKUP(T311,Orgenheter!$A$1:$C$166,3,FALSE)</f>
        <v>Hum</v>
      </c>
      <c r="W311" s="35" t="str">
        <f>VLOOKUP(D311,Program!$A$1:$B$36,2,FALSE)</f>
        <v>KPU - åk 7-9 och Gy</v>
      </c>
      <c r="X311" s="40">
        <f>VLOOKUP(A311,kurspris!$A$1:$Q$913,15,FALSE)</f>
        <v>25235</v>
      </c>
      <c r="Y311" s="40">
        <f>VLOOKUP(A311,kurspris!$A$1:$Q$913,16,FALSE)</f>
        <v>27976</v>
      </c>
      <c r="Z311" s="40">
        <f t="shared" si="122"/>
        <v>367609.5</v>
      </c>
      <c r="AA311" s="40">
        <f>VLOOKUP(A311,kurspris!$A$1:$Q$913,17,FALSE)</f>
        <v>3600</v>
      </c>
      <c r="AB311" s="40">
        <f t="shared" si="123"/>
        <v>27000</v>
      </c>
      <c r="AC311" s="40">
        <f t="shared" si="124"/>
        <v>394609.5</v>
      </c>
      <c r="AD311" s="31">
        <f>VLOOKUP($A311,kurspris!$A$1:$Q$950,3,FALSE)</f>
        <v>0</v>
      </c>
      <c r="AE311" s="31">
        <f>VLOOKUP($A311,kurspris!$A$1:$Q$950,4,FALSE)</f>
        <v>0</v>
      </c>
      <c r="AF311" s="31">
        <f>VLOOKUP($A311,kurspris!$A$1:$Q$950,5,FALSE)</f>
        <v>0</v>
      </c>
      <c r="AG311" s="31">
        <f>VLOOKUP($A311,kurspris!$A$1:$Q$950,6,FALSE)</f>
        <v>0</v>
      </c>
      <c r="AH311" s="31">
        <f>VLOOKUP($A311,kurspris!$A$1:$Q$950,7,FALSE)</f>
        <v>0</v>
      </c>
      <c r="AI311" s="31">
        <f>VLOOKUP($A311,kurspris!$A$1:$Q$950,8,FALSE)</f>
        <v>0</v>
      </c>
      <c r="AJ311" s="31">
        <f>VLOOKUP($A311,kurspris!$A$1:$Q$950,9,FALSE)</f>
        <v>0</v>
      </c>
      <c r="AK311" s="31">
        <f>VLOOKUP($A311,kurspris!$A$1:$Q$950,10,FALSE)</f>
        <v>0</v>
      </c>
      <c r="AL311" s="31">
        <f>VLOOKUP($A311,kurspris!$A$1:$Q$950,11,FALSE)</f>
        <v>1</v>
      </c>
      <c r="AM311" s="31">
        <f>VLOOKUP($A311,kurspris!$A$1:$Q$950,12,FALSE)</f>
        <v>0</v>
      </c>
      <c r="AN311" s="31">
        <f>VLOOKUP($A311,kurspris!$A$1:$Q$950,13,FALSE)</f>
        <v>0</v>
      </c>
      <c r="AO311" s="31">
        <f>VLOOKUP($A311,kurspris!$A$1:$Q$950,14,FALSE)</f>
        <v>0</v>
      </c>
      <c r="AP311" s="57" t="s">
        <v>2503</v>
      </c>
      <c r="AQ311"/>
      <c r="AR311" s="31">
        <f t="shared" si="125"/>
        <v>0</v>
      </c>
      <c r="AS311" s="219">
        <f t="shared" si="126"/>
        <v>0</v>
      </c>
      <c r="AT311" s="31">
        <f t="shared" si="127"/>
        <v>0</v>
      </c>
      <c r="AU311" s="219">
        <f t="shared" si="128"/>
        <v>0</v>
      </c>
      <c r="AV311" s="31">
        <f t="shared" si="129"/>
        <v>0</v>
      </c>
      <c r="AW311" s="31">
        <f t="shared" si="130"/>
        <v>0</v>
      </c>
      <c r="AX311" s="31">
        <f t="shared" si="131"/>
        <v>0</v>
      </c>
      <c r="AY311" s="219">
        <f t="shared" si="132"/>
        <v>0</v>
      </c>
      <c r="AZ311" s="196">
        <f t="shared" si="133"/>
        <v>0</v>
      </c>
      <c r="BA311" s="219">
        <f t="shared" si="134"/>
        <v>0</v>
      </c>
      <c r="BB311" s="31">
        <f t="shared" si="135"/>
        <v>0</v>
      </c>
      <c r="BC311" s="219">
        <f t="shared" si="136"/>
        <v>0</v>
      </c>
      <c r="BD311" s="31">
        <f t="shared" si="137"/>
        <v>0</v>
      </c>
      <c r="BE311" s="219">
        <f t="shared" si="138"/>
        <v>0</v>
      </c>
      <c r="BF311" s="31">
        <f t="shared" si="139"/>
        <v>0</v>
      </c>
      <c r="BG311" s="219">
        <f t="shared" si="140"/>
        <v>0</v>
      </c>
      <c r="BH311" s="31">
        <f t="shared" si="141"/>
        <v>7.5</v>
      </c>
      <c r="BI311" s="219">
        <f t="shared" si="142"/>
        <v>6.375</v>
      </c>
      <c r="BJ311" s="31">
        <f t="shared" si="143"/>
        <v>0</v>
      </c>
      <c r="BK311" s="219">
        <f t="shared" si="144"/>
        <v>0</v>
      </c>
      <c r="BL311" s="31">
        <f t="shared" si="145"/>
        <v>0</v>
      </c>
      <c r="BM311" s="219">
        <f t="shared" si="146"/>
        <v>0</v>
      </c>
      <c r="BN311" s="31">
        <f t="shared" si="147"/>
        <v>0</v>
      </c>
      <c r="BO311" s="219">
        <f t="shared" si="148"/>
        <v>0</v>
      </c>
    </row>
    <row r="312" spans="1:67" x14ac:dyDescent="0.25">
      <c r="A312" s="31" t="s">
        <v>2424</v>
      </c>
      <c r="B312" s="176" t="str">
        <f>VLOOKUP(A312,kurspris!$A$1:$B$992,2,FALSE)</f>
        <v>Examensarbete med ämnesdidaktisk inriktning för ämneslärarexamen - avancerad nivå (UVK)</v>
      </c>
      <c r="D312" s="60" t="s">
        <v>2155</v>
      </c>
      <c r="E312" s="576" t="s">
        <v>2432</v>
      </c>
      <c r="F312" s="31" t="s">
        <v>2273</v>
      </c>
      <c r="G312" s="31" t="s">
        <v>2458</v>
      </c>
      <c r="H312" s="31" t="s">
        <v>2335</v>
      </c>
      <c r="I312" s="31" t="s">
        <v>2276</v>
      </c>
      <c r="L312" s="38">
        <v>1</v>
      </c>
      <c r="M312" s="325">
        <v>15</v>
      </c>
      <c r="P312" s="31">
        <v>1</v>
      </c>
      <c r="Q312" s="196">
        <f t="shared" si="151"/>
        <v>0.25</v>
      </c>
      <c r="R312" s="38">
        <v>0.85</v>
      </c>
      <c r="S312" s="280">
        <f t="shared" si="121"/>
        <v>0.21249999999999999</v>
      </c>
      <c r="T312" s="31">
        <f>VLOOKUP(A312,'Ansvar kurs'!$A$1:$C$1123,2,FALSE)</f>
        <v>1650</v>
      </c>
      <c r="U312" s="31" t="str">
        <f>VLOOKUP(T312,Orgenheter!$A$1:$C$166,2,FALSE)</f>
        <v xml:space="preserve">Estetiska ämnen               </v>
      </c>
      <c r="V312" s="31" t="str">
        <f>VLOOKUP(T312,Orgenheter!$A$1:$C$166,3,FALSE)</f>
        <v>Hum</v>
      </c>
      <c r="W312" s="35" t="str">
        <f>VLOOKUP(D312,Program!$A$1:$B$36,2,FALSE)</f>
        <v>KPU - åk 7-9 och Gy</v>
      </c>
      <c r="X312" s="40">
        <f>VLOOKUP(A312,kurspris!$A$1:$Q$913,15,FALSE)</f>
        <v>26554</v>
      </c>
      <c r="Y312" s="40">
        <f>VLOOKUP(A312,kurspris!$A$1:$Q$913,16,FALSE)</f>
        <v>33465</v>
      </c>
      <c r="Z312" s="40">
        <f t="shared" si="122"/>
        <v>13749.8125</v>
      </c>
      <c r="AA312" s="40">
        <f>VLOOKUP(A312,kurspris!$A$1:$Q$913,17,FALSE)</f>
        <v>6000</v>
      </c>
      <c r="AB312" s="40">
        <f t="shared" si="123"/>
        <v>1500</v>
      </c>
      <c r="AC312" s="40">
        <f t="shared" si="124"/>
        <v>15249.8125</v>
      </c>
      <c r="AD312" s="31">
        <f>VLOOKUP($A312,kurspris!$A$1:$Q$950,3,FALSE)</f>
        <v>0</v>
      </c>
      <c r="AE312" s="31">
        <f>VLOOKUP($A312,kurspris!$A$1:$Q$950,4,FALSE)</f>
        <v>0</v>
      </c>
      <c r="AF312" s="31">
        <f>VLOOKUP($A312,kurspris!$A$1:$Q$950,5,FALSE)</f>
        <v>0</v>
      </c>
      <c r="AG312" s="31">
        <f>VLOOKUP($A312,kurspris!$A$1:$Q$950,6,FALSE)</f>
        <v>1</v>
      </c>
      <c r="AH312" s="31">
        <f>VLOOKUP($A312,kurspris!$A$1:$Q$950,7,FALSE)</f>
        <v>0</v>
      </c>
      <c r="AI312" s="31">
        <f>VLOOKUP($A312,kurspris!$A$1:$Q$950,8,FALSE)</f>
        <v>0</v>
      </c>
      <c r="AJ312" s="31">
        <f>VLOOKUP($A312,kurspris!$A$1:$Q$950,9,FALSE)</f>
        <v>0</v>
      </c>
      <c r="AK312" s="31">
        <f>VLOOKUP($A312,kurspris!$A$1:$Q$950,10,FALSE)</f>
        <v>0</v>
      </c>
      <c r="AL312" s="31">
        <f>VLOOKUP($A312,kurspris!$A$1:$Q$950,11,FALSE)</f>
        <v>0</v>
      </c>
      <c r="AM312" s="31">
        <f>VLOOKUP($A312,kurspris!$A$1:$Q$950,12,FALSE)</f>
        <v>0</v>
      </c>
      <c r="AN312" s="31">
        <f>VLOOKUP($A312,kurspris!$A$1:$Q$950,13,FALSE)</f>
        <v>0</v>
      </c>
      <c r="AO312" s="31">
        <f>VLOOKUP($A312,kurspris!$A$1:$Q$950,14,FALSE)</f>
        <v>0</v>
      </c>
      <c r="AP312" s="57" t="s">
        <v>2503</v>
      </c>
      <c r="AQ312"/>
      <c r="AR312" s="31">
        <f t="shared" si="125"/>
        <v>0</v>
      </c>
      <c r="AS312" s="219">
        <f t="shared" si="126"/>
        <v>0</v>
      </c>
      <c r="AT312" s="31">
        <f t="shared" si="127"/>
        <v>0</v>
      </c>
      <c r="AU312" s="219">
        <f t="shared" si="128"/>
        <v>0</v>
      </c>
      <c r="AV312" s="31">
        <f t="shared" si="129"/>
        <v>0</v>
      </c>
      <c r="AW312" s="31">
        <f t="shared" si="130"/>
        <v>0</v>
      </c>
      <c r="AX312" s="31">
        <f t="shared" si="131"/>
        <v>0.25</v>
      </c>
      <c r="AY312" s="219">
        <f t="shared" si="132"/>
        <v>0.21249999999999999</v>
      </c>
      <c r="AZ312" s="196">
        <f t="shared" si="133"/>
        <v>0</v>
      </c>
      <c r="BA312" s="219">
        <f t="shared" si="134"/>
        <v>0</v>
      </c>
      <c r="BB312" s="31">
        <f t="shared" si="135"/>
        <v>0</v>
      </c>
      <c r="BC312" s="219">
        <f t="shared" si="136"/>
        <v>0</v>
      </c>
      <c r="BD312" s="31">
        <f t="shared" si="137"/>
        <v>0</v>
      </c>
      <c r="BE312" s="219">
        <f t="shared" si="138"/>
        <v>0</v>
      </c>
      <c r="BF312" s="31">
        <f t="shared" si="139"/>
        <v>0</v>
      </c>
      <c r="BG312" s="219">
        <f t="shared" si="140"/>
        <v>0</v>
      </c>
      <c r="BH312" s="31">
        <f t="shared" si="141"/>
        <v>0</v>
      </c>
      <c r="BI312" s="219">
        <f t="shared" si="142"/>
        <v>0</v>
      </c>
      <c r="BJ312" s="31">
        <f t="shared" si="143"/>
        <v>0</v>
      </c>
      <c r="BK312" s="219">
        <f t="shared" si="144"/>
        <v>0</v>
      </c>
      <c r="BL312" s="31">
        <f t="shared" si="145"/>
        <v>0</v>
      </c>
      <c r="BM312" s="219">
        <f t="shared" si="146"/>
        <v>0</v>
      </c>
      <c r="BN312" s="31">
        <f t="shared" si="147"/>
        <v>0</v>
      </c>
      <c r="BO312" s="219">
        <f t="shared" si="148"/>
        <v>0</v>
      </c>
    </row>
    <row r="313" spans="1:67" x14ac:dyDescent="0.25">
      <c r="A313" s="31" t="s">
        <v>2425</v>
      </c>
      <c r="B313" s="176" t="str">
        <f>VLOOKUP(A313,kurspris!$A$1:$B$992,2,FALSE)</f>
        <v>Examensarbete med ämnesdidaktisk inriktning för ämneslärarexamen - grundnivå (UVK)</v>
      </c>
      <c r="D313" s="60" t="s">
        <v>2155</v>
      </c>
      <c r="E313" s="576" t="s">
        <v>2432</v>
      </c>
      <c r="F313" s="31" t="s">
        <v>2273</v>
      </c>
      <c r="G313" s="31" t="s">
        <v>2458</v>
      </c>
      <c r="H313" s="31" t="s">
        <v>2335</v>
      </c>
      <c r="I313" s="31" t="s">
        <v>2276</v>
      </c>
      <c r="L313" s="38">
        <v>0.5</v>
      </c>
      <c r="M313" s="325">
        <v>15</v>
      </c>
      <c r="P313" s="31">
        <v>3</v>
      </c>
      <c r="Q313" s="196">
        <f t="shared" si="151"/>
        <v>0.75</v>
      </c>
      <c r="R313" s="38">
        <v>0.85</v>
      </c>
      <c r="S313" s="280">
        <f t="shared" si="121"/>
        <v>0.63749999999999996</v>
      </c>
      <c r="T313" s="31">
        <f>VLOOKUP(A313,'Ansvar kurs'!$A$1:$C$1123,2,FALSE)</f>
        <v>1650</v>
      </c>
      <c r="U313" s="31" t="str">
        <f>VLOOKUP(T313,Orgenheter!$A$1:$C$166,2,FALSE)</f>
        <v xml:space="preserve">Estetiska ämnen               </v>
      </c>
      <c r="V313" s="31" t="str">
        <f>VLOOKUP(T313,Orgenheter!$A$1:$C$166,3,FALSE)</f>
        <v>Hum</v>
      </c>
      <c r="W313" s="35" t="str">
        <f>VLOOKUP(D313,Program!$A$1:$B$36,2,FALSE)</f>
        <v>KPU - åk 7-9 och Gy</v>
      </c>
      <c r="X313" s="40">
        <f>VLOOKUP(A313,kurspris!$A$1:$Q$913,15,FALSE)</f>
        <v>26554</v>
      </c>
      <c r="Y313" s="40">
        <f>VLOOKUP(A313,kurspris!$A$1:$Q$913,16,FALSE)</f>
        <v>33465</v>
      </c>
      <c r="Z313" s="40">
        <f t="shared" si="122"/>
        <v>41249.4375</v>
      </c>
      <c r="AA313" s="40">
        <f>VLOOKUP(A313,kurspris!$A$1:$Q$913,17,FALSE)</f>
        <v>6000</v>
      </c>
      <c r="AB313" s="40">
        <f t="shared" si="123"/>
        <v>4500</v>
      </c>
      <c r="AC313" s="40">
        <f t="shared" si="124"/>
        <v>45749.4375</v>
      </c>
      <c r="AD313" s="31">
        <f>VLOOKUP($A313,kurspris!$A$1:$Q$950,3,FALSE)</f>
        <v>0</v>
      </c>
      <c r="AE313" s="31">
        <f>VLOOKUP($A313,kurspris!$A$1:$Q$950,4,FALSE)</f>
        <v>0</v>
      </c>
      <c r="AF313" s="31">
        <f>VLOOKUP($A313,kurspris!$A$1:$Q$950,5,FALSE)</f>
        <v>0</v>
      </c>
      <c r="AG313" s="31">
        <f>VLOOKUP($A313,kurspris!$A$1:$Q$950,6,FALSE)</f>
        <v>1</v>
      </c>
      <c r="AH313" s="31">
        <f>VLOOKUP($A313,kurspris!$A$1:$Q$950,7,FALSE)</f>
        <v>0</v>
      </c>
      <c r="AI313" s="31">
        <f>VLOOKUP($A313,kurspris!$A$1:$Q$950,8,FALSE)</f>
        <v>0</v>
      </c>
      <c r="AJ313" s="31">
        <f>VLOOKUP($A313,kurspris!$A$1:$Q$950,9,FALSE)</f>
        <v>0</v>
      </c>
      <c r="AK313" s="31">
        <f>VLOOKUP($A313,kurspris!$A$1:$Q$950,10,FALSE)</f>
        <v>0</v>
      </c>
      <c r="AL313" s="31">
        <f>VLOOKUP($A313,kurspris!$A$1:$Q$950,11,FALSE)</f>
        <v>0</v>
      </c>
      <c r="AM313" s="31">
        <f>VLOOKUP($A313,kurspris!$A$1:$Q$950,12,FALSE)</f>
        <v>0</v>
      </c>
      <c r="AN313" s="31">
        <f>VLOOKUP($A313,kurspris!$A$1:$Q$950,13,FALSE)</f>
        <v>0</v>
      </c>
      <c r="AO313" s="31">
        <f>VLOOKUP($A313,kurspris!$A$1:$Q$950,14,FALSE)</f>
        <v>0</v>
      </c>
      <c r="AP313" s="57" t="s">
        <v>2503</v>
      </c>
      <c r="AQ313"/>
      <c r="AR313" s="31">
        <f t="shared" si="125"/>
        <v>0</v>
      </c>
      <c r="AS313" s="219">
        <f t="shared" si="126"/>
        <v>0</v>
      </c>
      <c r="AT313" s="31">
        <f t="shared" si="127"/>
        <v>0</v>
      </c>
      <c r="AU313" s="219">
        <f t="shared" si="128"/>
        <v>0</v>
      </c>
      <c r="AV313" s="31">
        <f t="shared" si="129"/>
        <v>0</v>
      </c>
      <c r="AW313" s="31">
        <f t="shared" si="130"/>
        <v>0</v>
      </c>
      <c r="AX313" s="31">
        <f t="shared" si="131"/>
        <v>0.75</v>
      </c>
      <c r="AY313" s="219">
        <f t="shared" si="132"/>
        <v>0.63749999999999996</v>
      </c>
      <c r="AZ313" s="196">
        <f t="shared" si="133"/>
        <v>0</v>
      </c>
      <c r="BA313" s="219">
        <f t="shared" si="134"/>
        <v>0</v>
      </c>
      <c r="BB313" s="31">
        <f t="shared" si="135"/>
        <v>0</v>
      </c>
      <c r="BC313" s="219">
        <f t="shared" si="136"/>
        <v>0</v>
      </c>
      <c r="BD313" s="31">
        <f t="shared" si="137"/>
        <v>0</v>
      </c>
      <c r="BE313" s="219">
        <f t="shared" si="138"/>
        <v>0</v>
      </c>
      <c r="BF313" s="31">
        <f t="shared" si="139"/>
        <v>0</v>
      </c>
      <c r="BG313" s="219">
        <f t="shared" si="140"/>
        <v>0</v>
      </c>
      <c r="BH313" s="31">
        <f t="shared" si="141"/>
        <v>0</v>
      </c>
      <c r="BI313" s="219">
        <f t="shared" si="142"/>
        <v>0</v>
      </c>
      <c r="BJ313" s="31">
        <f t="shared" si="143"/>
        <v>0</v>
      </c>
      <c r="BK313" s="219">
        <f t="shared" si="144"/>
        <v>0</v>
      </c>
      <c r="BL313" s="31">
        <f t="shared" si="145"/>
        <v>0</v>
      </c>
      <c r="BM313" s="219">
        <f t="shared" si="146"/>
        <v>0</v>
      </c>
      <c r="BN313" s="31">
        <f t="shared" si="147"/>
        <v>0</v>
      </c>
      <c r="BO313" s="219">
        <f t="shared" si="148"/>
        <v>0</v>
      </c>
    </row>
    <row r="314" spans="1:67" x14ac:dyDescent="0.25">
      <c r="A314" s="31" t="s">
        <v>2425</v>
      </c>
      <c r="B314" s="176" t="str">
        <f>VLOOKUP(A314,kurspris!$A$1:$B$992,2,FALSE)</f>
        <v>Examensarbete med ämnesdidaktisk inriktning för ämneslärarexamen - grundnivå (UVK)</v>
      </c>
      <c r="D314" s="60" t="s">
        <v>2155</v>
      </c>
      <c r="E314" s="576" t="s">
        <v>2432</v>
      </c>
      <c r="F314" s="31" t="s">
        <v>2273</v>
      </c>
      <c r="G314" s="31" t="s">
        <v>2458</v>
      </c>
      <c r="H314" s="31" t="s">
        <v>2335</v>
      </c>
      <c r="I314" s="31" t="s">
        <v>2276</v>
      </c>
      <c r="L314" s="38">
        <v>1</v>
      </c>
      <c r="M314" s="325">
        <v>15</v>
      </c>
      <c r="P314" s="31">
        <v>10</v>
      </c>
      <c r="Q314" s="196">
        <f t="shared" si="151"/>
        <v>2.5</v>
      </c>
      <c r="R314" s="38">
        <v>0.85</v>
      </c>
      <c r="S314" s="280">
        <f t="shared" si="121"/>
        <v>2.125</v>
      </c>
      <c r="T314" s="31">
        <f>VLOOKUP(A314,'Ansvar kurs'!$A$1:$C$1123,2,FALSE)</f>
        <v>1650</v>
      </c>
      <c r="U314" s="31" t="str">
        <f>VLOOKUP(T314,Orgenheter!$A$1:$C$166,2,FALSE)</f>
        <v xml:space="preserve">Estetiska ämnen               </v>
      </c>
      <c r="V314" s="31" t="str">
        <f>VLOOKUP(T314,Orgenheter!$A$1:$C$166,3,FALSE)</f>
        <v>Hum</v>
      </c>
      <c r="W314" s="35" t="str">
        <f>VLOOKUP(D314,Program!$A$1:$B$36,2,FALSE)</f>
        <v>KPU - åk 7-9 och Gy</v>
      </c>
      <c r="X314" s="40">
        <f>VLOOKUP(A314,kurspris!$A$1:$Q$913,15,FALSE)</f>
        <v>26554</v>
      </c>
      <c r="Y314" s="40">
        <f>VLOOKUP(A314,kurspris!$A$1:$Q$913,16,FALSE)</f>
        <v>33465</v>
      </c>
      <c r="Z314" s="40">
        <f t="shared" si="122"/>
        <v>137498.125</v>
      </c>
      <c r="AA314" s="40">
        <f>VLOOKUP(A314,kurspris!$A$1:$Q$913,17,FALSE)</f>
        <v>6000</v>
      </c>
      <c r="AB314" s="40">
        <f t="shared" si="123"/>
        <v>15000</v>
      </c>
      <c r="AC314" s="40">
        <f t="shared" si="124"/>
        <v>152498.125</v>
      </c>
      <c r="AD314" s="31">
        <f>VLOOKUP($A314,kurspris!$A$1:$Q$950,3,FALSE)</f>
        <v>0</v>
      </c>
      <c r="AE314" s="31">
        <f>VLOOKUP($A314,kurspris!$A$1:$Q$950,4,FALSE)</f>
        <v>0</v>
      </c>
      <c r="AF314" s="31">
        <f>VLOOKUP($A314,kurspris!$A$1:$Q$950,5,FALSE)</f>
        <v>0</v>
      </c>
      <c r="AG314" s="31">
        <f>VLOOKUP($A314,kurspris!$A$1:$Q$950,6,FALSE)</f>
        <v>1</v>
      </c>
      <c r="AH314" s="31">
        <f>VLOOKUP($A314,kurspris!$A$1:$Q$950,7,FALSE)</f>
        <v>0</v>
      </c>
      <c r="AI314" s="31">
        <f>VLOOKUP($A314,kurspris!$A$1:$Q$950,8,FALSE)</f>
        <v>0</v>
      </c>
      <c r="AJ314" s="31">
        <f>VLOOKUP($A314,kurspris!$A$1:$Q$950,9,FALSE)</f>
        <v>0</v>
      </c>
      <c r="AK314" s="31">
        <f>VLOOKUP($A314,kurspris!$A$1:$Q$950,10,FALSE)</f>
        <v>0</v>
      </c>
      <c r="AL314" s="31">
        <f>VLOOKUP($A314,kurspris!$A$1:$Q$950,11,FALSE)</f>
        <v>0</v>
      </c>
      <c r="AM314" s="31">
        <f>VLOOKUP($A314,kurspris!$A$1:$Q$950,12,FALSE)</f>
        <v>0</v>
      </c>
      <c r="AN314" s="31">
        <f>VLOOKUP($A314,kurspris!$A$1:$Q$950,13,FALSE)</f>
        <v>0</v>
      </c>
      <c r="AO314" s="31">
        <f>VLOOKUP($A314,kurspris!$A$1:$Q$950,14,FALSE)</f>
        <v>0</v>
      </c>
      <c r="AP314" s="57" t="s">
        <v>2503</v>
      </c>
      <c r="AR314" s="31">
        <f t="shared" si="125"/>
        <v>0</v>
      </c>
      <c r="AS314" s="219">
        <f t="shared" si="126"/>
        <v>0</v>
      </c>
      <c r="AT314" s="31">
        <f t="shared" si="127"/>
        <v>0</v>
      </c>
      <c r="AU314" s="219">
        <f t="shared" si="128"/>
        <v>0</v>
      </c>
      <c r="AV314" s="31">
        <f t="shared" si="129"/>
        <v>0</v>
      </c>
      <c r="AW314" s="31">
        <f t="shared" si="130"/>
        <v>0</v>
      </c>
      <c r="AX314" s="31">
        <f t="shared" si="131"/>
        <v>2.5</v>
      </c>
      <c r="AY314" s="219">
        <f t="shared" si="132"/>
        <v>2.125</v>
      </c>
      <c r="AZ314" s="196">
        <f t="shared" si="133"/>
        <v>0</v>
      </c>
      <c r="BA314" s="219">
        <f t="shared" si="134"/>
        <v>0</v>
      </c>
      <c r="BB314" s="31">
        <f t="shared" si="135"/>
        <v>0</v>
      </c>
      <c r="BC314" s="219">
        <f t="shared" si="136"/>
        <v>0</v>
      </c>
      <c r="BD314" s="31">
        <f t="shared" si="137"/>
        <v>0</v>
      </c>
      <c r="BE314" s="219">
        <f t="shared" si="138"/>
        <v>0</v>
      </c>
      <c r="BF314" s="31">
        <f t="shared" si="139"/>
        <v>0</v>
      </c>
      <c r="BG314" s="219">
        <f t="shared" si="140"/>
        <v>0</v>
      </c>
      <c r="BH314" s="31">
        <f t="shared" si="141"/>
        <v>0</v>
      </c>
      <c r="BI314" s="219">
        <f t="shared" si="142"/>
        <v>0</v>
      </c>
      <c r="BJ314" s="31">
        <f t="shared" si="143"/>
        <v>0</v>
      </c>
      <c r="BK314" s="219">
        <f t="shared" si="144"/>
        <v>0</v>
      </c>
      <c r="BL314" s="31">
        <f t="shared" si="145"/>
        <v>0</v>
      </c>
      <c r="BM314" s="219">
        <f t="shared" si="146"/>
        <v>0</v>
      </c>
      <c r="BN314" s="31">
        <f t="shared" si="147"/>
        <v>0</v>
      </c>
      <c r="BO314" s="219">
        <f t="shared" si="148"/>
        <v>0</v>
      </c>
    </row>
    <row r="315" spans="1:67" x14ac:dyDescent="0.25">
      <c r="A315" s="31" t="s">
        <v>1772</v>
      </c>
      <c r="B315" s="176" t="str">
        <f>VLOOKUP(A315,kurspris!$A$1:$B$992,2,FALSE)</f>
        <v>Människans språk: Lingvistik för lärare</v>
      </c>
      <c r="C315" s="31">
        <v>71705</v>
      </c>
      <c r="D315" s="60" t="s">
        <v>117</v>
      </c>
      <c r="E315" s="60"/>
      <c r="F315" s="57" t="s">
        <v>2274</v>
      </c>
      <c r="H315" s="31" t="s">
        <v>2395</v>
      </c>
      <c r="I315" s="31" t="s">
        <v>2275</v>
      </c>
      <c r="L315" s="38"/>
      <c r="M315">
        <v>30</v>
      </c>
      <c r="P315" s="31">
        <v>6</v>
      </c>
      <c r="Q315" s="539">
        <v>1.5</v>
      </c>
      <c r="R315" s="38">
        <v>0.8</v>
      </c>
      <c r="S315" s="280">
        <f t="shared" si="121"/>
        <v>1.2000000000000002</v>
      </c>
      <c r="T315" s="31">
        <f>VLOOKUP(A315,'Ansvar kurs'!$A$1:$C$1123,2,FALSE)</f>
        <v>1620</v>
      </c>
      <c r="U315" s="31" t="str">
        <f>VLOOKUP(T315,Orgenheter!$A$1:$C$166,2,FALSE)</f>
        <v>Inst för språkstudier</v>
      </c>
      <c r="V315" s="31" t="str">
        <f>VLOOKUP(T315,Orgenheter!$A$1:$C$166,3,FALSE)</f>
        <v>Hum</v>
      </c>
      <c r="W315" s="35" t="str">
        <f>VLOOKUP(D315,Program!$A$1:$B$36,2,FALSE)</f>
        <v>Fristående och övriga kurser</v>
      </c>
      <c r="X315" s="40">
        <f>VLOOKUP(A315,kurspris!$A$1:$Q$913,15,FALSE)</f>
        <v>20766</v>
      </c>
      <c r="Y315" s="40">
        <f>VLOOKUP(A315,kurspris!$A$1:$Q$913,16,FALSE)</f>
        <v>17442</v>
      </c>
      <c r="Z315" s="40">
        <f t="shared" si="122"/>
        <v>52079.4</v>
      </c>
      <c r="AA315" s="40">
        <f>VLOOKUP(A315,kurspris!$A$1:$Q$913,17,FALSE)</f>
        <v>6000</v>
      </c>
      <c r="AB315" s="40">
        <f t="shared" si="123"/>
        <v>9000</v>
      </c>
      <c r="AC315" s="40">
        <f t="shared" si="124"/>
        <v>61079.4</v>
      </c>
      <c r="AD315" s="31">
        <f>VLOOKUP($A315,kurspris!$A$1:$Q$950,3,FALSE)</f>
        <v>0</v>
      </c>
      <c r="AE315" s="31">
        <f>VLOOKUP($A315,kurspris!$A$1:$Q$950,4,FALSE)</f>
        <v>1</v>
      </c>
      <c r="AF315" s="31">
        <f>VLOOKUP($A315,kurspris!$A$1:$Q$950,5,FALSE)</f>
        <v>0</v>
      </c>
      <c r="AG315" s="31">
        <f>VLOOKUP($A315,kurspris!$A$1:$Q$950,6,FALSE)</f>
        <v>0</v>
      </c>
      <c r="AH315" s="31">
        <f>VLOOKUP($A315,kurspris!$A$1:$Q$950,7,FALSE)</f>
        <v>0</v>
      </c>
      <c r="AI315" s="31">
        <f>VLOOKUP($A315,kurspris!$A$1:$Q$950,8,FALSE)</f>
        <v>0</v>
      </c>
      <c r="AJ315" s="31">
        <f>VLOOKUP($A315,kurspris!$A$1:$Q$950,9,FALSE)</f>
        <v>0</v>
      </c>
      <c r="AK315" s="31">
        <f>VLOOKUP($A315,kurspris!$A$1:$Q$950,10,FALSE)</f>
        <v>0</v>
      </c>
      <c r="AL315" s="31">
        <f>VLOOKUP($A315,kurspris!$A$1:$Q$950,11,FALSE)</f>
        <v>0</v>
      </c>
      <c r="AM315" s="31">
        <f>VLOOKUP($A315,kurspris!$A$1:$Q$950,12,FALSE)</f>
        <v>0</v>
      </c>
      <c r="AN315" s="31">
        <f>VLOOKUP($A315,kurspris!$A$1:$Q$950,13,FALSE)</f>
        <v>0</v>
      </c>
      <c r="AO315" s="31">
        <f>VLOOKUP($A315,kurspris!$A$1:$Q$950,14,FALSE)</f>
        <v>0</v>
      </c>
      <c r="AP315" s="57" t="s">
        <v>2402</v>
      </c>
      <c r="AQ315"/>
      <c r="AR315" s="31">
        <f t="shared" si="125"/>
        <v>0</v>
      </c>
      <c r="AS315" s="219">
        <f t="shared" si="126"/>
        <v>0</v>
      </c>
      <c r="AT315" s="31">
        <f t="shared" si="127"/>
        <v>1.5</v>
      </c>
      <c r="AU315" s="219">
        <f t="shared" si="128"/>
        <v>1.2000000000000002</v>
      </c>
      <c r="AV315" s="31">
        <f t="shared" si="129"/>
        <v>0</v>
      </c>
      <c r="AW315" s="31">
        <f t="shared" si="130"/>
        <v>0</v>
      </c>
      <c r="AX315" s="31">
        <f t="shared" si="131"/>
        <v>0</v>
      </c>
      <c r="AY315" s="219">
        <f t="shared" si="132"/>
        <v>0</v>
      </c>
      <c r="AZ315" s="196">
        <f t="shared" si="133"/>
        <v>0</v>
      </c>
      <c r="BA315" s="219">
        <f t="shared" si="134"/>
        <v>0</v>
      </c>
      <c r="BB315" s="31">
        <f t="shared" si="135"/>
        <v>0</v>
      </c>
      <c r="BC315" s="219">
        <f t="shared" si="136"/>
        <v>0</v>
      </c>
      <c r="BD315" s="31">
        <f t="shared" si="137"/>
        <v>0</v>
      </c>
      <c r="BE315" s="219">
        <f t="shared" si="138"/>
        <v>0</v>
      </c>
      <c r="BF315" s="31">
        <f t="shared" si="139"/>
        <v>0</v>
      </c>
      <c r="BG315" s="219">
        <f t="shared" si="140"/>
        <v>0</v>
      </c>
      <c r="BH315" s="31">
        <f t="shared" si="141"/>
        <v>0</v>
      </c>
      <c r="BI315" s="219">
        <f t="shared" si="142"/>
        <v>0</v>
      </c>
      <c r="BJ315" s="31">
        <f t="shared" si="143"/>
        <v>0</v>
      </c>
      <c r="BK315" s="219">
        <f t="shared" si="144"/>
        <v>0</v>
      </c>
      <c r="BL315" s="31">
        <f t="shared" si="145"/>
        <v>0</v>
      </c>
      <c r="BM315" s="219">
        <f t="shared" si="146"/>
        <v>0</v>
      </c>
      <c r="BN315" s="31">
        <f t="shared" si="147"/>
        <v>0</v>
      </c>
      <c r="BO315" s="219">
        <f t="shared" si="148"/>
        <v>0</v>
      </c>
    </row>
    <row r="316" spans="1:67" x14ac:dyDescent="0.25">
      <c r="A316" s="157" t="s">
        <v>1772</v>
      </c>
      <c r="B316" s="176" t="str">
        <f>VLOOKUP(A316,kurspris!$A$1:$B$992,2,FALSE)</f>
        <v>Människans språk: Lingvistik för lärare</v>
      </c>
      <c r="C316" s="35"/>
      <c r="D316" s="31" t="s">
        <v>117</v>
      </c>
      <c r="F316" s="31" t="s">
        <v>2273</v>
      </c>
      <c r="I316" s="31" t="s">
        <v>2275</v>
      </c>
      <c r="L316" s="38">
        <v>0.5</v>
      </c>
      <c r="M316" s="325">
        <v>15</v>
      </c>
      <c r="P316" s="31">
        <v>5</v>
      </c>
      <c r="Q316" s="196">
        <f>(M316/60)*P316</f>
        <v>1.25</v>
      </c>
      <c r="R316" s="38">
        <v>0.8</v>
      </c>
      <c r="S316" s="280">
        <f t="shared" si="121"/>
        <v>1</v>
      </c>
      <c r="T316" s="31">
        <f>VLOOKUP(A316,'Ansvar kurs'!$A$1:$C$1123,2,FALSE)</f>
        <v>1620</v>
      </c>
      <c r="U316" s="31" t="str">
        <f>VLOOKUP(T316,Orgenheter!$A$1:$C$166,2,FALSE)</f>
        <v>Inst för språkstudier</v>
      </c>
      <c r="V316" s="31" t="str">
        <f>VLOOKUP(T316,Orgenheter!$A$1:$C$166,3,FALSE)</f>
        <v>Hum</v>
      </c>
      <c r="W316" s="35" t="str">
        <f>VLOOKUP(D316,Program!$A$1:$B$36,2,FALSE)</f>
        <v>Fristående och övriga kurser</v>
      </c>
      <c r="X316" s="40">
        <f>VLOOKUP(A316,kurspris!$A$1:$Q$913,15,FALSE)</f>
        <v>20766</v>
      </c>
      <c r="Y316" s="40">
        <f>VLOOKUP(A316,kurspris!$A$1:$Q$913,16,FALSE)</f>
        <v>17442</v>
      </c>
      <c r="Z316" s="40">
        <f t="shared" si="122"/>
        <v>43399.5</v>
      </c>
      <c r="AA316" s="40">
        <f>VLOOKUP(A316,kurspris!$A$1:$Q$913,17,FALSE)</f>
        <v>6000</v>
      </c>
      <c r="AB316" s="40">
        <f t="shared" si="123"/>
        <v>7500</v>
      </c>
      <c r="AC316" s="40">
        <f t="shared" si="124"/>
        <v>50899.5</v>
      </c>
      <c r="AD316" s="31">
        <f>VLOOKUP($A316,kurspris!$A$1:$Q$950,3,FALSE)</f>
        <v>0</v>
      </c>
      <c r="AE316" s="31">
        <f>VLOOKUP($A316,kurspris!$A$1:$Q$950,4,FALSE)</f>
        <v>1</v>
      </c>
      <c r="AF316" s="31">
        <f>VLOOKUP($A316,kurspris!$A$1:$Q$950,5,FALSE)</f>
        <v>0</v>
      </c>
      <c r="AG316" s="31">
        <f>VLOOKUP($A316,kurspris!$A$1:$Q$950,6,FALSE)</f>
        <v>0</v>
      </c>
      <c r="AH316" s="31">
        <f>VLOOKUP($A316,kurspris!$A$1:$Q$950,7,FALSE)</f>
        <v>0</v>
      </c>
      <c r="AI316" s="31">
        <f>VLOOKUP($A316,kurspris!$A$1:$Q$950,8,FALSE)</f>
        <v>0</v>
      </c>
      <c r="AJ316" s="31">
        <f>VLOOKUP($A316,kurspris!$A$1:$Q$950,9,FALSE)</f>
        <v>0</v>
      </c>
      <c r="AK316" s="31">
        <f>VLOOKUP($A316,kurspris!$A$1:$Q$950,10,FALSE)</f>
        <v>0</v>
      </c>
      <c r="AL316" s="31">
        <f>VLOOKUP($A316,kurspris!$A$1:$Q$950,11,FALSE)</f>
        <v>0</v>
      </c>
      <c r="AM316" s="31">
        <f>VLOOKUP($A316,kurspris!$A$1:$Q$950,12,FALSE)</f>
        <v>0</v>
      </c>
      <c r="AN316" s="31">
        <f>VLOOKUP($A316,kurspris!$A$1:$Q$950,13,FALSE)</f>
        <v>0</v>
      </c>
      <c r="AO316" s="31">
        <f>VLOOKUP($A316,kurspris!$A$1:$Q$950,14,FALSE)</f>
        <v>0</v>
      </c>
      <c r="AP316" s="57" t="s">
        <v>2267</v>
      </c>
      <c r="AQ316" s="37"/>
      <c r="AR316" s="31">
        <f t="shared" si="125"/>
        <v>0</v>
      </c>
      <c r="AS316" s="219">
        <f t="shared" si="126"/>
        <v>0</v>
      </c>
      <c r="AT316" s="31">
        <f t="shared" si="127"/>
        <v>1.25</v>
      </c>
      <c r="AU316" s="219">
        <f t="shared" si="128"/>
        <v>1</v>
      </c>
      <c r="AV316" s="31">
        <f t="shared" si="129"/>
        <v>0</v>
      </c>
      <c r="AW316" s="31">
        <f t="shared" si="130"/>
        <v>0</v>
      </c>
      <c r="AX316" s="31">
        <f t="shared" si="131"/>
        <v>0</v>
      </c>
      <c r="AY316" s="219">
        <f t="shared" si="132"/>
        <v>0</v>
      </c>
      <c r="AZ316" s="196">
        <f t="shared" si="133"/>
        <v>0</v>
      </c>
      <c r="BA316" s="219">
        <f t="shared" si="134"/>
        <v>0</v>
      </c>
      <c r="BB316" s="31">
        <f t="shared" si="135"/>
        <v>0</v>
      </c>
      <c r="BC316" s="219">
        <f t="shared" si="136"/>
        <v>0</v>
      </c>
      <c r="BD316" s="31">
        <f t="shared" si="137"/>
        <v>0</v>
      </c>
      <c r="BE316" s="219">
        <f t="shared" si="138"/>
        <v>0</v>
      </c>
      <c r="BF316" s="31">
        <f t="shared" si="139"/>
        <v>0</v>
      </c>
      <c r="BG316" s="219">
        <f t="shared" si="140"/>
        <v>0</v>
      </c>
      <c r="BH316" s="31">
        <f t="shared" si="141"/>
        <v>0</v>
      </c>
      <c r="BI316" s="219">
        <f t="shared" si="142"/>
        <v>0</v>
      </c>
      <c r="BJ316" s="31">
        <f t="shared" si="143"/>
        <v>0</v>
      </c>
      <c r="BK316" s="219">
        <f t="shared" si="144"/>
        <v>0</v>
      </c>
      <c r="BL316" s="31">
        <f t="shared" si="145"/>
        <v>0</v>
      </c>
      <c r="BM316" s="219">
        <f t="shared" si="146"/>
        <v>0</v>
      </c>
      <c r="BN316" s="31">
        <f t="shared" si="147"/>
        <v>0</v>
      </c>
      <c r="BO316" s="219">
        <f t="shared" si="148"/>
        <v>0</v>
      </c>
    </row>
    <row r="317" spans="1:67" x14ac:dyDescent="0.25">
      <c r="A317" s="31" t="s">
        <v>1891</v>
      </c>
      <c r="B317" s="176" t="str">
        <f>VLOOKUP(A317,kurspris!$A$1:$B$992,2,FALSE)</f>
        <v>Specialpedagogik med fokus på svenska och matematik för F-3</v>
      </c>
      <c r="D317" s="60" t="s">
        <v>485</v>
      </c>
      <c r="E317" s="576" t="s">
        <v>2225</v>
      </c>
      <c r="F317" s="31" t="s">
        <v>2273</v>
      </c>
      <c r="G317" t="s">
        <v>2440</v>
      </c>
      <c r="H317" t="s">
        <v>2335</v>
      </c>
      <c r="I317" s="31" t="s">
        <v>2276</v>
      </c>
      <c r="L317" s="38">
        <v>1</v>
      </c>
      <c r="M317">
        <v>15</v>
      </c>
      <c r="P317" s="31">
        <v>3</v>
      </c>
      <c r="Q317" s="196">
        <f>(M317/60)*P317</f>
        <v>0.75</v>
      </c>
      <c r="R317" s="38">
        <v>0.85</v>
      </c>
      <c r="S317" s="280">
        <f t="shared" si="121"/>
        <v>0.63749999999999996</v>
      </c>
      <c r="T317" s="31">
        <f>VLOOKUP(A317,'Ansvar kurs'!$A$1:$C$1123,2,FALSE)</f>
        <v>1620</v>
      </c>
      <c r="U317" s="31" t="str">
        <f>VLOOKUP(T317,Orgenheter!$A$1:$C$166,2,FALSE)</f>
        <v>Inst för språkstudier</v>
      </c>
      <c r="V317" s="31" t="str">
        <f>VLOOKUP(T317,Orgenheter!$A$1:$C$166,3,FALSE)</f>
        <v>Hum</v>
      </c>
      <c r="W317" s="35" t="str">
        <f>VLOOKUP(D317,Program!$A$1:$B$36,2,FALSE)</f>
        <v>Grundlärarprogrammet - förskoleklass och åk 1-3</v>
      </c>
      <c r="X317" s="40">
        <f>VLOOKUP(A317,kurspris!$A$1:$Q$913,15,FALSE)</f>
        <v>20766</v>
      </c>
      <c r="Y317" s="40">
        <f>VLOOKUP(A317,kurspris!$A$1:$Q$913,16,FALSE)</f>
        <v>17442</v>
      </c>
      <c r="Z317" s="40">
        <f t="shared" si="122"/>
        <v>26693.775000000001</v>
      </c>
      <c r="AA317" s="40">
        <f>VLOOKUP(A317,kurspris!$A$1:$Q$913,17,FALSE)</f>
        <v>6000</v>
      </c>
      <c r="AB317" s="40">
        <f t="shared" si="123"/>
        <v>4500</v>
      </c>
      <c r="AC317" s="40">
        <f t="shared" si="124"/>
        <v>31193.775000000001</v>
      </c>
      <c r="AD317" s="31">
        <f>VLOOKUP($A317,kurspris!$A$1:$Q$950,3,FALSE)</f>
        <v>0</v>
      </c>
      <c r="AE317" s="31">
        <f>VLOOKUP($A317,kurspris!$A$1:$Q$950,4,FALSE)</f>
        <v>1</v>
      </c>
      <c r="AF317" s="31">
        <f>VLOOKUP($A317,kurspris!$A$1:$Q$950,5,FALSE)</f>
        <v>0</v>
      </c>
      <c r="AG317" s="31">
        <f>VLOOKUP($A317,kurspris!$A$1:$Q$950,6,FALSE)</f>
        <v>0</v>
      </c>
      <c r="AH317" s="31">
        <f>VLOOKUP($A317,kurspris!$A$1:$Q$950,7,FALSE)</f>
        <v>0</v>
      </c>
      <c r="AI317" s="31">
        <f>VLOOKUP($A317,kurspris!$A$1:$Q$950,8,FALSE)</f>
        <v>0</v>
      </c>
      <c r="AJ317" s="31">
        <f>VLOOKUP($A317,kurspris!$A$1:$Q$950,9,FALSE)</f>
        <v>0</v>
      </c>
      <c r="AK317" s="31">
        <f>VLOOKUP($A317,kurspris!$A$1:$Q$950,10,FALSE)</f>
        <v>0</v>
      </c>
      <c r="AL317" s="31">
        <f>VLOOKUP($A317,kurspris!$A$1:$Q$950,11,FALSE)</f>
        <v>0</v>
      </c>
      <c r="AM317" s="31">
        <f>VLOOKUP($A317,kurspris!$A$1:$Q$950,12,FALSE)</f>
        <v>0</v>
      </c>
      <c r="AN317" s="31">
        <f>VLOOKUP($A317,kurspris!$A$1:$Q$950,13,FALSE)</f>
        <v>0</v>
      </c>
      <c r="AO317" s="31">
        <f>VLOOKUP($A317,kurspris!$A$1:$Q$950,14,FALSE)</f>
        <v>0</v>
      </c>
      <c r="AP317" s="57" t="s">
        <v>2504</v>
      </c>
      <c r="AQ317"/>
      <c r="AR317" s="31">
        <f t="shared" si="125"/>
        <v>0</v>
      </c>
      <c r="AS317" s="219">
        <f t="shared" si="126"/>
        <v>0</v>
      </c>
      <c r="AT317" s="31">
        <f t="shared" si="127"/>
        <v>0.75</v>
      </c>
      <c r="AU317" s="219">
        <f t="shared" si="128"/>
        <v>0.63749999999999996</v>
      </c>
      <c r="AV317" s="31">
        <f t="shared" si="129"/>
        <v>0</v>
      </c>
      <c r="AW317" s="31">
        <f t="shared" si="130"/>
        <v>0</v>
      </c>
      <c r="AX317" s="31">
        <f t="shared" si="131"/>
        <v>0</v>
      </c>
      <c r="AY317" s="219">
        <f t="shared" si="132"/>
        <v>0</v>
      </c>
      <c r="AZ317" s="196">
        <f t="shared" si="133"/>
        <v>0</v>
      </c>
      <c r="BA317" s="219">
        <f t="shared" si="134"/>
        <v>0</v>
      </c>
      <c r="BB317" s="31">
        <f t="shared" si="135"/>
        <v>0</v>
      </c>
      <c r="BC317" s="219">
        <f t="shared" si="136"/>
        <v>0</v>
      </c>
      <c r="BD317" s="31">
        <f t="shared" si="137"/>
        <v>0</v>
      </c>
      <c r="BE317" s="219">
        <f t="shared" si="138"/>
        <v>0</v>
      </c>
      <c r="BF317" s="31">
        <f t="shared" si="139"/>
        <v>0</v>
      </c>
      <c r="BG317" s="219">
        <f t="shared" si="140"/>
        <v>0</v>
      </c>
      <c r="BH317" s="31">
        <f t="shared" si="141"/>
        <v>0</v>
      </c>
      <c r="BI317" s="219">
        <f t="shared" si="142"/>
        <v>0</v>
      </c>
      <c r="BJ317" s="31">
        <f t="shared" si="143"/>
        <v>0</v>
      </c>
      <c r="BK317" s="219">
        <f t="shared" si="144"/>
        <v>0</v>
      </c>
      <c r="BL317" s="31">
        <f t="shared" si="145"/>
        <v>0</v>
      </c>
      <c r="BM317" s="219">
        <f t="shared" si="146"/>
        <v>0</v>
      </c>
      <c r="BN317" s="31">
        <f t="shared" si="147"/>
        <v>0</v>
      </c>
      <c r="BO317" s="219">
        <f t="shared" si="148"/>
        <v>0</v>
      </c>
    </row>
    <row r="318" spans="1:67" x14ac:dyDescent="0.25">
      <c r="A318" s="31" t="s">
        <v>1891</v>
      </c>
      <c r="B318" s="176" t="str">
        <f>VLOOKUP(A318,kurspris!$A$1:$B$992,2,FALSE)</f>
        <v>Specialpedagogik med fokus på svenska och matematik för F-3</v>
      </c>
      <c r="D318" s="60" t="s">
        <v>485</v>
      </c>
      <c r="E318" s="576" t="s">
        <v>2434</v>
      </c>
      <c r="F318" s="31" t="s">
        <v>2273</v>
      </c>
      <c r="G318" t="s">
        <v>2440</v>
      </c>
      <c r="H318" t="s">
        <v>2335</v>
      </c>
      <c r="I318" s="31" t="s">
        <v>2276</v>
      </c>
      <c r="L318" s="38">
        <v>1</v>
      </c>
      <c r="M318">
        <v>15</v>
      </c>
      <c r="P318" s="31">
        <v>31</v>
      </c>
      <c r="Q318" s="196">
        <f>(M318/60)*P318</f>
        <v>7.75</v>
      </c>
      <c r="R318" s="38">
        <v>0.85</v>
      </c>
      <c r="S318" s="280">
        <f t="shared" si="121"/>
        <v>6.5874999999999995</v>
      </c>
      <c r="T318" s="31">
        <f>VLOOKUP(A318,'Ansvar kurs'!$A$1:$C$1123,2,FALSE)</f>
        <v>1620</v>
      </c>
      <c r="U318" s="31" t="str">
        <f>VLOOKUP(T318,Orgenheter!$A$1:$C$166,2,FALSE)</f>
        <v>Inst för språkstudier</v>
      </c>
      <c r="V318" s="31" t="str">
        <f>VLOOKUP(T318,Orgenheter!$A$1:$C$166,3,FALSE)</f>
        <v>Hum</v>
      </c>
      <c r="W318" s="35" t="str">
        <f>VLOOKUP(D318,Program!$A$1:$B$36,2,FALSE)</f>
        <v>Grundlärarprogrammet - förskoleklass och åk 1-3</v>
      </c>
      <c r="X318" s="40">
        <f>VLOOKUP(A318,kurspris!$A$1:$Q$913,15,FALSE)</f>
        <v>20766</v>
      </c>
      <c r="Y318" s="40">
        <f>VLOOKUP(A318,kurspris!$A$1:$Q$913,16,FALSE)</f>
        <v>17442</v>
      </c>
      <c r="Z318" s="40">
        <f t="shared" si="122"/>
        <v>275835.67499999999</v>
      </c>
      <c r="AA318" s="40">
        <f>VLOOKUP(A318,kurspris!$A$1:$Q$913,17,FALSE)</f>
        <v>6000</v>
      </c>
      <c r="AB318" s="40">
        <f t="shared" si="123"/>
        <v>46500</v>
      </c>
      <c r="AC318" s="40">
        <f t="shared" si="124"/>
        <v>322335.67499999999</v>
      </c>
      <c r="AD318" s="31">
        <f>VLOOKUP($A318,kurspris!$A$1:$Q$950,3,FALSE)</f>
        <v>0</v>
      </c>
      <c r="AE318" s="31">
        <f>VLOOKUP($A318,kurspris!$A$1:$Q$950,4,FALSE)</f>
        <v>1</v>
      </c>
      <c r="AF318" s="31">
        <f>VLOOKUP($A318,kurspris!$A$1:$Q$950,5,FALSE)</f>
        <v>0</v>
      </c>
      <c r="AG318" s="31">
        <f>VLOOKUP($A318,kurspris!$A$1:$Q$950,6,FALSE)</f>
        <v>0</v>
      </c>
      <c r="AH318" s="31">
        <f>VLOOKUP($A318,kurspris!$A$1:$Q$950,7,FALSE)</f>
        <v>0</v>
      </c>
      <c r="AI318" s="31">
        <f>VLOOKUP($A318,kurspris!$A$1:$Q$950,8,FALSE)</f>
        <v>0</v>
      </c>
      <c r="AJ318" s="31">
        <f>VLOOKUP($A318,kurspris!$A$1:$Q$950,9,FALSE)</f>
        <v>0</v>
      </c>
      <c r="AK318" s="31">
        <f>VLOOKUP($A318,kurspris!$A$1:$Q$950,10,FALSE)</f>
        <v>0</v>
      </c>
      <c r="AL318" s="31">
        <f>VLOOKUP($A318,kurspris!$A$1:$Q$950,11,FALSE)</f>
        <v>0</v>
      </c>
      <c r="AM318" s="31">
        <f>VLOOKUP($A318,kurspris!$A$1:$Q$950,12,FALSE)</f>
        <v>0</v>
      </c>
      <c r="AN318" s="31">
        <f>VLOOKUP($A318,kurspris!$A$1:$Q$950,13,FALSE)</f>
        <v>0</v>
      </c>
      <c r="AO318" s="31">
        <f>VLOOKUP($A318,kurspris!$A$1:$Q$950,14,FALSE)</f>
        <v>0</v>
      </c>
      <c r="AP318" s="57" t="s">
        <v>2504</v>
      </c>
      <c r="AQ318"/>
      <c r="AR318" s="31">
        <f t="shared" si="125"/>
        <v>0</v>
      </c>
      <c r="AS318" s="219">
        <f t="shared" si="126"/>
        <v>0</v>
      </c>
      <c r="AT318" s="31">
        <f t="shared" si="127"/>
        <v>7.75</v>
      </c>
      <c r="AU318" s="219">
        <f t="shared" si="128"/>
        <v>6.5874999999999995</v>
      </c>
      <c r="AV318" s="31">
        <f t="shared" si="129"/>
        <v>0</v>
      </c>
      <c r="AW318" s="31">
        <f t="shared" si="130"/>
        <v>0</v>
      </c>
      <c r="AX318" s="31">
        <f t="shared" si="131"/>
        <v>0</v>
      </c>
      <c r="AY318" s="219">
        <f t="shared" si="132"/>
        <v>0</v>
      </c>
      <c r="AZ318" s="196">
        <f t="shared" si="133"/>
        <v>0</v>
      </c>
      <c r="BA318" s="219">
        <f t="shared" si="134"/>
        <v>0</v>
      </c>
      <c r="BB318" s="31">
        <f t="shared" si="135"/>
        <v>0</v>
      </c>
      <c r="BC318" s="219">
        <f t="shared" si="136"/>
        <v>0</v>
      </c>
      <c r="BD318" s="31">
        <f t="shared" si="137"/>
        <v>0</v>
      </c>
      <c r="BE318" s="219">
        <f t="shared" si="138"/>
        <v>0</v>
      </c>
      <c r="BF318" s="31">
        <f t="shared" si="139"/>
        <v>0</v>
      </c>
      <c r="BG318" s="219">
        <f t="shared" si="140"/>
        <v>0</v>
      </c>
      <c r="BH318" s="31">
        <f t="shared" si="141"/>
        <v>0</v>
      </c>
      <c r="BI318" s="219">
        <f t="shared" si="142"/>
        <v>0</v>
      </c>
      <c r="BJ318" s="31">
        <f t="shared" si="143"/>
        <v>0</v>
      </c>
      <c r="BK318" s="219">
        <f t="shared" si="144"/>
        <v>0</v>
      </c>
      <c r="BL318" s="31">
        <f t="shared" si="145"/>
        <v>0</v>
      </c>
      <c r="BM318" s="219">
        <f t="shared" si="146"/>
        <v>0</v>
      </c>
      <c r="BN318" s="31">
        <f t="shared" si="147"/>
        <v>0</v>
      </c>
      <c r="BO318" s="219">
        <f t="shared" si="148"/>
        <v>0</v>
      </c>
    </row>
    <row r="319" spans="1:67" x14ac:dyDescent="0.25">
      <c r="A319" s="31" t="s">
        <v>849</v>
      </c>
      <c r="B319" s="176" t="str">
        <f>VLOOKUP(A319,kurspris!$A$1:$B$992,2,FALSE)</f>
        <v>Samhällsorientering åk 4-6</v>
      </c>
      <c r="C319" s="31">
        <v>71922</v>
      </c>
      <c r="D319" s="60" t="s">
        <v>117</v>
      </c>
      <c r="E319" s="60"/>
      <c r="F319" s="57" t="s">
        <v>2274</v>
      </c>
      <c r="H319" s="31" t="s">
        <v>2335</v>
      </c>
      <c r="I319" s="31" t="s">
        <v>2399</v>
      </c>
      <c r="L319" s="38"/>
      <c r="M319">
        <v>30</v>
      </c>
      <c r="P319" s="31">
        <v>2</v>
      </c>
      <c r="Q319" s="539">
        <v>1</v>
      </c>
      <c r="R319" s="38">
        <v>0.8</v>
      </c>
      <c r="S319" s="280">
        <f t="shared" si="121"/>
        <v>0.8</v>
      </c>
      <c r="T319" s="31">
        <f>VLOOKUP(A319,'Ansvar kurs'!$A$1:$C$1123,2,FALSE)</f>
        <v>1630</v>
      </c>
      <c r="U319" s="31" t="str">
        <f>VLOOKUP(T319,Orgenheter!$A$1:$C$166,2,FALSE)</f>
        <v>Inst för ide- o samhällsstudier</v>
      </c>
      <c r="V319" s="31" t="str">
        <f>VLOOKUP(T319,Orgenheter!$A$1:$C$166,3,FALSE)</f>
        <v>Hum</v>
      </c>
      <c r="W319" s="35" t="str">
        <f>VLOOKUP(D319,Program!$A$1:$B$36,2,FALSE)</f>
        <v>Fristående och övriga kurser</v>
      </c>
      <c r="X319" s="40">
        <f>VLOOKUP(A319,kurspris!$A$1:$Q$913,15,FALSE)</f>
        <v>20766</v>
      </c>
      <c r="Y319" s="40">
        <f>VLOOKUP(A319,kurspris!$A$1:$Q$913,16,FALSE)</f>
        <v>17442</v>
      </c>
      <c r="Z319" s="40">
        <f t="shared" si="122"/>
        <v>34719.599999999999</v>
      </c>
      <c r="AA319" s="40">
        <f>VLOOKUP(A319,kurspris!$A$1:$Q$913,17,FALSE)</f>
        <v>6000</v>
      </c>
      <c r="AB319" s="40">
        <f t="shared" si="123"/>
        <v>6000</v>
      </c>
      <c r="AC319" s="40">
        <f t="shared" si="124"/>
        <v>40719.599999999999</v>
      </c>
      <c r="AD319" s="31">
        <f>VLOOKUP($A319,kurspris!$A$1:$Q$950,3,FALSE)</f>
        <v>0</v>
      </c>
      <c r="AE319" s="31">
        <f>VLOOKUP($A319,kurspris!$A$1:$Q$950,4,FALSE)</f>
        <v>1</v>
      </c>
      <c r="AF319" s="31">
        <f>VLOOKUP($A319,kurspris!$A$1:$Q$950,5,FALSE)</f>
        <v>0</v>
      </c>
      <c r="AG319" s="31">
        <f>VLOOKUP($A319,kurspris!$A$1:$Q$950,6,FALSE)</f>
        <v>0</v>
      </c>
      <c r="AH319" s="31">
        <f>VLOOKUP($A319,kurspris!$A$1:$Q$950,7,FALSE)</f>
        <v>0</v>
      </c>
      <c r="AI319" s="31">
        <f>VLOOKUP($A319,kurspris!$A$1:$Q$950,8,FALSE)</f>
        <v>0</v>
      </c>
      <c r="AJ319" s="31">
        <f>VLOOKUP($A319,kurspris!$A$1:$Q$950,9,FALSE)</f>
        <v>0</v>
      </c>
      <c r="AK319" s="31">
        <f>VLOOKUP($A319,kurspris!$A$1:$Q$950,10,FALSE)</f>
        <v>0</v>
      </c>
      <c r="AL319" s="31">
        <f>VLOOKUP($A319,kurspris!$A$1:$Q$950,11,FALSE)</f>
        <v>0</v>
      </c>
      <c r="AM319" s="31">
        <f>VLOOKUP($A319,kurspris!$A$1:$Q$950,12,FALSE)</f>
        <v>0</v>
      </c>
      <c r="AN319" s="31">
        <f>VLOOKUP($A319,kurspris!$A$1:$Q$950,13,FALSE)</f>
        <v>0</v>
      </c>
      <c r="AO319" s="31">
        <f>VLOOKUP($A319,kurspris!$A$1:$Q$950,14,FALSE)</f>
        <v>0</v>
      </c>
      <c r="AP319" s="57" t="s">
        <v>2402</v>
      </c>
      <c r="AQ319"/>
      <c r="AR319" s="31">
        <f t="shared" si="125"/>
        <v>0</v>
      </c>
      <c r="AS319" s="219">
        <f t="shared" si="126"/>
        <v>0</v>
      </c>
      <c r="AT319" s="31">
        <f t="shared" si="127"/>
        <v>1</v>
      </c>
      <c r="AU319" s="219">
        <f t="shared" si="128"/>
        <v>0.8</v>
      </c>
      <c r="AV319" s="31">
        <f t="shared" si="129"/>
        <v>0</v>
      </c>
      <c r="AW319" s="31">
        <f t="shared" si="130"/>
        <v>0</v>
      </c>
      <c r="AX319" s="31">
        <f t="shared" si="131"/>
        <v>0</v>
      </c>
      <c r="AY319" s="219">
        <f t="shared" si="132"/>
        <v>0</v>
      </c>
      <c r="AZ319" s="196">
        <f t="shared" si="133"/>
        <v>0</v>
      </c>
      <c r="BA319" s="219">
        <f t="shared" si="134"/>
        <v>0</v>
      </c>
      <c r="BB319" s="31">
        <f t="shared" si="135"/>
        <v>0</v>
      </c>
      <c r="BC319" s="219">
        <f t="shared" si="136"/>
        <v>0</v>
      </c>
      <c r="BD319" s="31">
        <f t="shared" si="137"/>
        <v>0</v>
      </c>
      <c r="BE319" s="219">
        <f t="shared" si="138"/>
        <v>0</v>
      </c>
      <c r="BF319" s="31">
        <f t="shared" si="139"/>
        <v>0</v>
      </c>
      <c r="BG319" s="219">
        <f t="shared" si="140"/>
        <v>0</v>
      </c>
      <c r="BH319" s="31">
        <f t="shared" si="141"/>
        <v>0</v>
      </c>
      <c r="BI319" s="219">
        <f t="shared" si="142"/>
        <v>0</v>
      </c>
      <c r="BJ319" s="31">
        <f t="shared" si="143"/>
        <v>0</v>
      </c>
      <c r="BK319" s="219">
        <f t="shared" si="144"/>
        <v>0</v>
      </c>
      <c r="BL319" s="31">
        <f t="shared" si="145"/>
        <v>0</v>
      </c>
      <c r="BM319" s="219">
        <f t="shared" si="146"/>
        <v>0</v>
      </c>
      <c r="BN319" s="31">
        <f t="shared" si="147"/>
        <v>0</v>
      </c>
      <c r="BO319" s="219">
        <f t="shared" si="148"/>
        <v>0</v>
      </c>
    </row>
    <row r="320" spans="1:67" x14ac:dyDescent="0.25">
      <c r="A320" s="31" t="s">
        <v>849</v>
      </c>
      <c r="B320" s="176" t="str">
        <f>VLOOKUP(A320,kurspris!$A$1:$B$992,2,FALSE)</f>
        <v>Samhällsorientering åk 4-6</v>
      </c>
      <c r="C320" s="31">
        <v>71908</v>
      </c>
      <c r="D320" s="60" t="s">
        <v>523</v>
      </c>
      <c r="E320" s="60"/>
      <c r="F320" s="57" t="s">
        <v>2274</v>
      </c>
      <c r="H320" s="31" t="s">
        <v>2335</v>
      </c>
      <c r="I320" s="31" t="s">
        <v>2399</v>
      </c>
      <c r="L320" s="38"/>
      <c r="M320">
        <v>30</v>
      </c>
      <c r="P320" s="31">
        <v>11</v>
      </c>
      <c r="Q320" s="539">
        <v>5.5</v>
      </c>
      <c r="R320" s="38">
        <v>0.85</v>
      </c>
      <c r="S320" s="280">
        <f t="shared" si="121"/>
        <v>4.6749999999999998</v>
      </c>
      <c r="T320" s="31">
        <f>VLOOKUP(A320,'Ansvar kurs'!$A$1:$C$1123,2,FALSE)</f>
        <v>1630</v>
      </c>
      <c r="U320" s="31" t="str">
        <f>VLOOKUP(T320,Orgenheter!$A$1:$C$166,2,FALSE)</f>
        <v>Inst för ide- o samhällsstudier</v>
      </c>
      <c r="V320" s="31" t="str">
        <f>VLOOKUP(T320,Orgenheter!$A$1:$C$166,3,FALSE)</f>
        <v>Hum</v>
      </c>
      <c r="W320" s="35" t="str">
        <f>VLOOKUP(D320,Program!$A$1:$B$36,2,FALSE)</f>
        <v>Grundlärarprogrammet - grundskolans åk 4-6</v>
      </c>
      <c r="X320" s="40">
        <f>VLOOKUP(A320,kurspris!$A$1:$Q$913,15,FALSE)</f>
        <v>20766</v>
      </c>
      <c r="Y320" s="40">
        <f>VLOOKUP(A320,kurspris!$A$1:$Q$913,16,FALSE)</f>
        <v>17442</v>
      </c>
      <c r="Z320" s="40">
        <f t="shared" si="122"/>
        <v>195754.34999999998</v>
      </c>
      <c r="AA320" s="40">
        <f>VLOOKUP(A320,kurspris!$A$1:$Q$913,17,FALSE)</f>
        <v>6000</v>
      </c>
      <c r="AB320" s="40">
        <f t="shared" si="123"/>
        <v>33000</v>
      </c>
      <c r="AC320" s="40">
        <f t="shared" si="124"/>
        <v>228754.34999999998</v>
      </c>
      <c r="AD320" s="31">
        <f>VLOOKUP($A320,kurspris!$A$1:$Q$950,3,FALSE)</f>
        <v>0</v>
      </c>
      <c r="AE320" s="31">
        <f>VLOOKUP($A320,kurspris!$A$1:$Q$950,4,FALSE)</f>
        <v>1</v>
      </c>
      <c r="AF320" s="31">
        <f>VLOOKUP($A320,kurspris!$A$1:$Q$950,5,FALSE)</f>
        <v>0</v>
      </c>
      <c r="AG320" s="31">
        <f>VLOOKUP($A320,kurspris!$A$1:$Q$950,6,FALSE)</f>
        <v>0</v>
      </c>
      <c r="AH320" s="31">
        <f>VLOOKUP($A320,kurspris!$A$1:$Q$950,7,FALSE)</f>
        <v>0</v>
      </c>
      <c r="AI320" s="31">
        <f>VLOOKUP($A320,kurspris!$A$1:$Q$950,8,FALSE)</f>
        <v>0</v>
      </c>
      <c r="AJ320" s="31">
        <f>VLOOKUP($A320,kurspris!$A$1:$Q$950,9,FALSE)</f>
        <v>0</v>
      </c>
      <c r="AK320" s="31">
        <f>VLOOKUP($A320,kurspris!$A$1:$Q$950,10,FALSE)</f>
        <v>0</v>
      </c>
      <c r="AL320" s="31">
        <f>VLOOKUP($A320,kurspris!$A$1:$Q$950,11,FALSE)</f>
        <v>0</v>
      </c>
      <c r="AM320" s="31">
        <f>VLOOKUP($A320,kurspris!$A$1:$Q$950,12,FALSE)</f>
        <v>0</v>
      </c>
      <c r="AN320" s="31">
        <f>VLOOKUP($A320,kurspris!$A$1:$Q$950,13,FALSE)</f>
        <v>0</v>
      </c>
      <c r="AO320" s="31">
        <f>VLOOKUP($A320,kurspris!$A$1:$Q$950,14,FALSE)</f>
        <v>0</v>
      </c>
      <c r="AP320" s="57" t="s">
        <v>2402</v>
      </c>
      <c r="AQ320"/>
      <c r="AR320" s="31">
        <f t="shared" si="125"/>
        <v>0</v>
      </c>
      <c r="AS320" s="219">
        <f t="shared" si="126"/>
        <v>0</v>
      </c>
      <c r="AT320" s="31">
        <f t="shared" si="127"/>
        <v>5.5</v>
      </c>
      <c r="AU320" s="219">
        <f t="shared" si="128"/>
        <v>4.6749999999999998</v>
      </c>
      <c r="AV320" s="31">
        <f t="shared" si="129"/>
        <v>0</v>
      </c>
      <c r="AW320" s="31">
        <f t="shared" si="130"/>
        <v>0</v>
      </c>
      <c r="AX320" s="31">
        <f t="shared" si="131"/>
        <v>0</v>
      </c>
      <c r="AY320" s="219">
        <f t="shared" si="132"/>
        <v>0</v>
      </c>
      <c r="AZ320" s="196">
        <f t="shared" si="133"/>
        <v>0</v>
      </c>
      <c r="BA320" s="219">
        <f t="shared" si="134"/>
        <v>0</v>
      </c>
      <c r="BB320" s="31">
        <f t="shared" si="135"/>
        <v>0</v>
      </c>
      <c r="BC320" s="219">
        <f t="shared" si="136"/>
        <v>0</v>
      </c>
      <c r="BD320" s="31">
        <f t="shared" si="137"/>
        <v>0</v>
      </c>
      <c r="BE320" s="219">
        <f t="shared" si="138"/>
        <v>0</v>
      </c>
      <c r="BF320" s="31">
        <f t="shared" si="139"/>
        <v>0</v>
      </c>
      <c r="BG320" s="219">
        <f t="shared" si="140"/>
        <v>0</v>
      </c>
      <c r="BH320" s="31">
        <f t="shared" si="141"/>
        <v>0</v>
      </c>
      <c r="BI320" s="219">
        <f t="shared" si="142"/>
        <v>0</v>
      </c>
      <c r="BJ320" s="31">
        <f t="shared" si="143"/>
        <v>0</v>
      </c>
      <c r="BK320" s="219">
        <f t="shared" si="144"/>
        <v>0</v>
      </c>
      <c r="BL320" s="31">
        <f t="shared" si="145"/>
        <v>0</v>
      </c>
      <c r="BM320" s="219">
        <f t="shared" si="146"/>
        <v>0</v>
      </c>
      <c r="BN320" s="31">
        <f t="shared" si="147"/>
        <v>0</v>
      </c>
      <c r="BO320" s="219">
        <f t="shared" si="148"/>
        <v>0</v>
      </c>
    </row>
    <row r="321" spans="1:67" x14ac:dyDescent="0.25">
      <c r="A321" s="244" t="s">
        <v>1124</v>
      </c>
      <c r="B321" s="362" t="str">
        <f>VLOOKUP(A321,kurspris!$A$1:$B$992,2,FALSE)</f>
        <v>Kunskap, vetenskap och forskningsmetodik, 7,5 hp</v>
      </c>
      <c r="C321" s="244"/>
      <c r="D321" s="538" t="s">
        <v>2330</v>
      </c>
      <c r="E321" s="538" t="s">
        <v>2203</v>
      </c>
      <c r="F321" s="244" t="s">
        <v>2273</v>
      </c>
      <c r="G321" s="244"/>
      <c r="H321" s="244">
        <v>2480</v>
      </c>
      <c r="I321" s="244"/>
      <c r="J321" s="244"/>
      <c r="K321" s="244"/>
      <c r="L321" s="518"/>
      <c r="M321" s="325">
        <v>7.5</v>
      </c>
      <c r="P321" s="31">
        <v>145</v>
      </c>
      <c r="Q321" s="196">
        <f>(M321/60)*P321</f>
        <v>18.125</v>
      </c>
      <c r="R321" s="38">
        <v>0.85</v>
      </c>
      <c r="S321" s="280">
        <f t="shared" si="121"/>
        <v>15.40625</v>
      </c>
      <c r="T321" s="31">
        <f>VLOOKUP(A321,'Ansvar kurs'!$A$1:$C$1123,2,FALSE)</f>
        <v>1630</v>
      </c>
      <c r="U321" s="31" t="str">
        <f>VLOOKUP(T321,Orgenheter!$A$1:$C$166,2,FALSE)</f>
        <v>Inst för ide- o samhällsstudier</v>
      </c>
      <c r="V321" s="31" t="str">
        <f>VLOOKUP(T321,Orgenheter!$A$1:$C$166,3,FALSE)</f>
        <v>Hum</v>
      </c>
      <c r="W321" s="35" t="str">
        <f>VLOOKUP(D321,Program!$A$1:$B$36,2,FALSE)</f>
        <v>Ämneslärarprogrammet - Gy</v>
      </c>
      <c r="X321" s="40">
        <f>VLOOKUP(A321,kurspris!$A$1:$Q$913,15,FALSE)</f>
        <v>26554</v>
      </c>
      <c r="Y321" s="40">
        <f>VLOOKUP(A321,kurspris!$A$1:$Q$913,16,FALSE)</f>
        <v>33465</v>
      </c>
      <c r="Z321" s="40">
        <f t="shared" si="122"/>
        <v>996861.40625</v>
      </c>
      <c r="AA321" s="40">
        <f>VLOOKUP(A321,kurspris!$A$1:$Q$913,17,FALSE)</f>
        <v>6000</v>
      </c>
      <c r="AB321" s="40">
        <f t="shared" si="123"/>
        <v>108750</v>
      </c>
      <c r="AC321" s="40">
        <f t="shared" si="124"/>
        <v>1105611.40625</v>
      </c>
      <c r="AD321" s="31">
        <f>VLOOKUP($A321,kurspris!$A$1:$Q$950,3,FALSE)</f>
        <v>0</v>
      </c>
      <c r="AE321" s="31">
        <f>VLOOKUP($A321,kurspris!$A$1:$Q$950,4,FALSE)</f>
        <v>0</v>
      </c>
      <c r="AF321" s="31">
        <f>VLOOKUP($A321,kurspris!$A$1:$Q$950,5,FALSE)</f>
        <v>0</v>
      </c>
      <c r="AG321" s="31">
        <f>VLOOKUP($A321,kurspris!$A$1:$Q$950,6,FALSE)</f>
        <v>1</v>
      </c>
      <c r="AH321" s="31">
        <f>VLOOKUP($A321,kurspris!$A$1:$Q$950,7,FALSE)</f>
        <v>0</v>
      </c>
      <c r="AI321" s="31">
        <f>VLOOKUP($A321,kurspris!$A$1:$Q$950,8,FALSE)</f>
        <v>0</v>
      </c>
      <c r="AJ321" s="31">
        <f>VLOOKUP($A321,kurspris!$A$1:$Q$950,9,FALSE)</f>
        <v>0</v>
      </c>
      <c r="AK321" s="31">
        <f>VLOOKUP($A321,kurspris!$A$1:$Q$950,10,FALSE)</f>
        <v>0</v>
      </c>
      <c r="AL321" s="31">
        <f>VLOOKUP($A321,kurspris!$A$1:$Q$950,11,FALSE)</f>
        <v>0</v>
      </c>
      <c r="AM321" s="31">
        <f>VLOOKUP($A321,kurspris!$A$1:$Q$950,12,FALSE)</f>
        <v>0</v>
      </c>
      <c r="AN321" s="31">
        <f>VLOOKUP($A321,kurspris!$A$1:$Q$950,13,FALSE)</f>
        <v>0</v>
      </c>
      <c r="AO321" s="31">
        <f>VLOOKUP($A321,kurspris!$A$1:$Q$950,14,FALSE)</f>
        <v>0</v>
      </c>
      <c r="AP321" s="57" t="s">
        <v>2222</v>
      </c>
      <c r="AQ321" s="37"/>
      <c r="AR321" s="31">
        <f t="shared" si="125"/>
        <v>0</v>
      </c>
      <c r="AS321" s="219">
        <f t="shared" si="126"/>
        <v>0</v>
      </c>
      <c r="AT321" s="31">
        <f t="shared" si="127"/>
        <v>0</v>
      </c>
      <c r="AU321" s="219">
        <f t="shared" si="128"/>
        <v>0</v>
      </c>
      <c r="AV321" s="31">
        <f t="shared" si="129"/>
        <v>0</v>
      </c>
      <c r="AW321" s="31">
        <f t="shared" si="130"/>
        <v>0</v>
      </c>
      <c r="AX321" s="31">
        <f t="shared" si="131"/>
        <v>18.125</v>
      </c>
      <c r="AY321" s="219">
        <f t="shared" si="132"/>
        <v>15.40625</v>
      </c>
      <c r="AZ321" s="196">
        <f t="shared" si="133"/>
        <v>0</v>
      </c>
      <c r="BA321" s="219">
        <f t="shared" si="134"/>
        <v>0</v>
      </c>
      <c r="BB321" s="31">
        <f t="shared" si="135"/>
        <v>0</v>
      </c>
      <c r="BC321" s="219">
        <f t="shared" si="136"/>
        <v>0</v>
      </c>
      <c r="BD321" s="31">
        <f t="shared" si="137"/>
        <v>0</v>
      </c>
      <c r="BE321" s="219">
        <f t="shared" si="138"/>
        <v>0</v>
      </c>
      <c r="BF321" s="31">
        <f t="shared" si="139"/>
        <v>0</v>
      </c>
      <c r="BG321" s="219">
        <f t="shared" si="140"/>
        <v>0</v>
      </c>
      <c r="BH321" s="31">
        <f t="shared" si="141"/>
        <v>0</v>
      </c>
      <c r="BI321" s="219">
        <f t="shared" si="142"/>
        <v>0</v>
      </c>
      <c r="BJ321" s="31">
        <f t="shared" si="143"/>
        <v>0</v>
      </c>
      <c r="BK321" s="219">
        <f t="shared" si="144"/>
        <v>0</v>
      </c>
      <c r="BL321" s="31">
        <f t="shared" si="145"/>
        <v>0</v>
      </c>
      <c r="BM321" s="219">
        <f t="shared" si="146"/>
        <v>0</v>
      </c>
      <c r="BN321" s="31">
        <f t="shared" si="147"/>
        <v>0</v>
      </c>
      <c r="BO321" s="219">
        <f t="shared" si="148"/>
        <v>0</v>
      </c>
    </row>
    <row r="322" spans="1:67" x14ac:dyDescent="0.25">
      <c r="A322" s="31" t="s">
        <v>1124</v>
      </c>
      <c r="B322" s="176" t="str">
        <f>VLOOKUP(A322,kurspris!$A$1:$B$992,2,FALSE)</f>
        <v>Kunskap, vetenskap och forskningsmetodik, 7,5 hp</v>
      </c>
      <c r="D322" s="60" t="s">
        <v>482</v>
      </c>
      <c r="E322" s="576" t="s">
        <v>2434</v>
      </c>
      <c r="F322" s="31" t="s">
        <v>2273</v>
      </c>
      <c r="G322" t="s">
        <v>2439</v>
      </c>
      <c r="H322" t="s">
        <v>2335</v>
      </c>
      <c r="J322" s="31" t="s">
        <v>2240</v>
      </c>
      <c r="L322" s="38">
        <v>1</v>
      </c>
      <c r="M322">
        <v>7.5</v>
      </c>
      <c r="P322" s="31">
        <v>1</v>
      </c>
      <c r="Q322" s="196">
        <f>(M322/60)*P322</f>
        <v>0.125</v>
      </c>
      <c r="R322" s="38">
        <v>0.85</v>
      </c>
      <c r="S322" s="280">
        <f t="shared" ref="S322:S385" si="152">Q322*R322</f>
        <v>0.10625</v>
      </c>
      <c r="T322" s="31">
        <f>VLOOKUP(A322,'Ansvar kurs'!$A$1:$C$1123,2,FALSE)</f>
        <v>1630</v>
      </c>
      <c r="U322" s="31" t="str">
        <f>VLOOKUP(T322,Orgenheter!$A$1:$C$166,2,FALSE)</f>
        <v>Inst för ide- o samhällsstudier</v>
      </c>
      <c r="V322" s="31" t="str">
        <f>VLOOKUP(T322,Orgenheter!$A$1:$C$166,3,FALSE)</f>
        <v>Hum</v>
      </c>
      <c r="W322" s="35" t="str">
        <f>VLOOKUP(D322,Program!$A$1:$B$36,2,FALSE)</f>
        <v>Ämneslärarprogrammet - Gy</v>
      </c>
      <c r="X322" s="40">
        <f>VLOOKUP(A322,kurspris!$A$1:$Q$913,15,FALSE)</f>
        <v>26554</v>
      </c>
      <c r="Y322" s="40">
        <f>VLOOKUP(A322,kurspris!$A$1:$Q$913,16,FALSE)</f>
        <v>33465</v>
      </c>
      <c r="Z322" s="40">
        <f t="shared" ref="Z322:Z385" si="153">X322*Q322+S322*Y322</f>
        <v>6874.90625</v>
      </c>
      <c r="AA322" s="40">
        <f>VLOOKUP(A322,kurspris!$A$1:$Q$913,17,FALSE)</f>
        <v>6000</v>
      </c>
      <c r="AB322" s="40">
        <f t="shared" ref="AB322:AB385" si="154">AA322*Q322</f>
        <v>750</v>
      </c>
      <c r="AC322" s="40">
        <f t="shared" ref="AC322:AC385" si="155">Z322+AB322</f>
        <v>7624.90625</v>
      </c>
      <c r="AD322" s="31">
        <f>VLOOKUP($A322,kurspris!$A$1:$Q$950,3,FALSE)</f>
        <v>0</v>
      </c>
      <c r="AE322" s="31">
        <f>VLOOKUP($A322,kurspris!$A$1:$Q$950,4,FALSE)</f>
        <v>0</v>
      </c>
      <c r="AF322" s="31">
        <f>VLOOKUP($A322,kurspris!$A$1:$Q$950,5,FALSE)</f>
        <v>0</v>
      </c>
      <c r="AG322" s="31">
        <f>VLOOKUP($A322,kurspris!$A$1:$Q$950,6,FALSE)</f>
        <v>1</v>
      </c>
      <c r="AH322" s="31">
        <f>VLOOKUP($A322,kurspris!$A$1:$Q$950,7,FALSE)</f>
        <v>0</v>
      </c>
      <c r="AI322" s="31">
        <f>VLOOKUP($A322,kurspris!$A$1:$Q$950,8,FALSE)</f>
        <v>0</v>
      </c>
      <c r="AJ322" s="31">
        <f>VLOOKUP($A322,kurspris!$A$1:$Q$950,9,FALSE)</f>
        <v>0</v>
      </c>
      <c r="AK322" s="31">
        <f>VLOOKUP($A322,kurspris!$A$1:$Q$950,10,FALSE)</f>
        <v>0</v>
      </c>
      <c r="AL322" s="31">
        <f>VLOOKUP($A322,kurspris!$A$1:$Q$950,11,FALSE)</f>
        <v>0</v>
      </c>
      <c r="AM322" s="31">
        <f>VLOOKUP($A322,kurspris!$A$1:$Q$950,12,FALSE)</f>
        <v>0</v>
      </c>
      <c r="AN322" s="31">
        <f>VLOOKUP($A322,kurspris!$A$1:$Q$950,13,FALSE)</f>
        <v>0</v>
      </c>
      <c r="AO322" s="31">
        <f>VLOOKUP($A322,kurspris!$A$1:$Q$950,14,FALSE)</f>
        <v>0</v>
      </c>
      <c r="AP322" s="57" t="s">
        <v>2506</v>
      </c>
      <c r="AQ322"/>
      <c r="AR322" s="31">
        <f t="shared" ref="AR322:AR385" si="156">$Q322*AD322</f>
        <v>0</v>
      </c>
      <c r="AS322" s="219">
        <f t="shared" ref="AS322:AS385" si="157">$S322*AD322</f>
        <v>0</v>
      </c>
      <c r="AT322" s="31">
        <f t="shared" ref="AT322:AT385" si="158">$Q322*AE322</f>
        <v>0</v>
      </c>
      <c r="AU322" s="219">
        <f t="shared" ref="AU322:AU385" si="159">$S322*AE322</f>
        <v>0</v>
      </c>
      <c r="AV322" s="31">
        <f t="shared" ref="AV322:AV385" si="160">$Q322*AF322</f>
        <v>0</v>
      </c>
      <c r="AW322" s="31">
        <f t="shared" ref="AW322:AW385" si="161">$S322*AF322</f>
        <v>0</v>
      </c>
      <c r="AX322" s="31">
        <f t="shared" ref="AX322:AX385" si="162">$Q322*AG322</f>
        <v>0.125</v>
      </c>
      <c r="AY322" s="219">
        <f t="shared" ref="AY322:AY385" si="163">$S322*AG322</f>
        <v>0.10625</v>
      </c>
      <c r="AZ322" s="196">
        <f t="shared" ref="AZ322:AZ385" si="164">$Q322*AH322</f>
        <v>0</v>
      </c>
      <c r="BA322" s="219">
        <f t="shared" ref="BA322:BA385" si="165">$S322*AH322</f>
        <v>0</v>
      </c>
      <c r="BB322" s="31">
        <f t="shared" ref="BB322:BB385" si="166">$Q322*AI322</f>
        <v>0</v>
      </c>
      <c r="BC322" s="219">
        <f t="shared" ref="BC322:BC385" si="167">$S322*AI322</f>
        <v>0</v>
      </c>
      <c r="BD322" s="31">
        <f t="shared" ref="BD322:BD385" si="168">$Q322*AJ322</f>
        <v>0</v>
      </c>
      <c r="BE322" s="219">
        <f t="shared" ref="BE322:BE385" si="169">$S322*AJ322</f>
        <v>0</v>
      </c>
      <c r="BF322" s="31">
        <f t="shared" ref="BF322:BF385" si="170">$Q322*AK322</f>
        <v>0</v>
      </c>
      <c r="BG322" s="219">
        <f t="shared" ref="BG322:BG385" si="171">$S322*AK322</f>
        <v>0</v>
      </c>
      <c r="BH322" s="31">
        <f t="shared" ref="BH322:BH385" si="172">$Q322*AL322</f>
        <v>0</v>
      </c>
      <c r="BI322" s="219">
        <f t="shared" ref="BI322:BI385" si="173">$S322*AL322</f>
        <v>0</v>
      </c>
      <c r="BJ322" s="31">
        <f t="shared" ref="BJ322:BJ385" si="174">$Q322*AM322</f>
        <v>0</v>
      </c>
      <c r="BK322" s="219">
        <f t="shared" ref="BK322:BK385" si="175">$S322*AM322</f>
        <v>0</v>
      </c>
      <c r="BL322" s="31">
        <f t="shared" ref="BL322:BL385" si="176">$Q322*AN322</f>
        <v>0</v>
      </c>
      <c r="BM322" s="219">
        <f t="shared" ref="BM322:BM385" si="177">$S322*AN322</f>
        <v>0</v>
      </c>
      <c r="BN322" s="31">
        <f t="shared" ref="BN322:BN385" si="178">$Q322*AO322</f>
        <v>0</v>
      </c>
      <c r="BO322" s="219">
        <f t="shared" ref="BO322:BO385" si="179">$S322*AO322</f>
        <v>0</v>
      </c>
    </row>
    <row r="323" spans="1:67" x14ac:dyDescent="0.25">
      <c r="A323" s="283" t="s">
        <v>1124</v>
      </c>
      <c r="B323" s="362" t="str">
        <f>VLOOKUP(A323,kurspris!$A$1:$B$992,2,FALSE)</f>
        <v>Kunskap, vetenskap och forskningsmetodik, 7,5 hp</v>
      </c>
      <c r="C323" s="244"/>
      <c r="D323" s="538" t="s">
        <v>483</v>
      </c>
      <c r="E323" s="538" t="s">
        <v>2203</v>
      </c>
      <c r="F323" s="244" t="s">
        <v>2273</v>
      </c>
      <c r="G323" s="244"/>
      <c r="H323" s="244">
        <v>2480</v>
      </c>
      <c r="I323" s="244"/>
      <c r="J323" s="244"/>
      <c r="K323" s="244"/>
      <c r="L323" s="518"/>
      <c r="M323" s="325">
        <v>7.5</v>
      </c>
      <c r="N323" s="38">
        <v>-0.1</v>
      </c>
      <c r="O323" s="31">
        <v>53</v>
      </c>
      <c r="P323" s="31">
        <f>O323+(O323*N323)</f>
        <v>47.7</v>
      </c>
      <c r="Q323" s="196">
        <f>(M323/60)*P323</f>
        <v>5.9625000000000004</v>
      </c>
      <c r="R323" s="38">
        <v>0.85</v>
      </c>
      <c r="S323" s="280">
        <f t="shared" si="152"/>
        <v>5.0681250000000002</v>
      </c>
      <c r="T323" s="31">
        <f>VLOOKUP(A323,'Ansvar kurs'!$A$1:$C$1123,2,FALSE)</f>
        <v>1630</v>
      </c>
      <c r="U323" s="31" t="str">
        <f>VLOOKUP(T323,Orgenheter!$A$1:$C$166,2,FALSE)</f>
        <v>Inst för ide- o samhällsstudier</v>
      </c>
      <c r="V323" s="31" t="str">
        <f>VLOOKUP(T323,Orgenheter!$A$1:$C$166,3,FALSE)</f>
        <v>Hum</v>
      </c>
      <c r="W323" s="35" t="str">
        <f>VLOOKUP(D323,Program!$A$1:$B$36,2,FALSE)</f>
        <v>Förskollärarprogrammet</v>
      </c>
      <c r="X323" s="40">
        <f>VLOOKUP(A323,kurspris!$A$1:$Q$913,15,FALSE)</f>
        <v>26554</v>
      </c>
      <c r="Y323" s="40">
        <f>VLOOKUP(A323,kurspris!$A$1:$Q$913,16,FALSE)</f>
        <v>33465</v>
      </c>
      <c r="Z323" s="40">
        <f t="shared" si="153"/>
        <v>327933.02812500001</v>
      </c>
      <c r="AA323" s="40">
        <f>VLOOKUP(A323,kurspris!$A$1:$Q$913,17,FALSE)</f>
        <v>6000</v>
      </c>
      <c r="AB323" s="40">
        <f t="shared" si="154"/>
        <v>35775</v>
      </c>
      <c r="AC323" s="40">
        <f t="shared" si="155"/>
        <v>363708.02812500001</v>
      </c>
      <c r="AD323" s="31">
        <f>VLOOKUP($A323,kurspris!$A$1:$Q$950,3,FALSE)</f>
        <v>0</v>
      </c>
      <c r="AE323" s="31">
        <f>VLOOKUP($A323,kurspris!$A$1:$Q$950,4,FALSE)</f>
        <v>0</v>
      </c>
      <c r="AF323" s="31">
        <f>VLOOKUP($A323,kurspris!$A$1:$Q$950,5,FALSE)</f>
        <v>0</v>
      </c>
      <c r="AG323" s="31">
        <f>VLOOKUP($A323,kurspris!$A$1:$Q$950,6,FALSE)</f>
        <v>1</v>
      </c>
      <c r="AH323" s="31">
        <f>VLOOKUP($A323,kurspris!$A$1:$Q$950,7,FALSE)</f>
        <v>0</v>
      </c>
      <c r="AI323" s="31">
        <f>VLOOKUP($A323,kurspris!$A$1:$Q$950,8,FALSE)</f>
        <v>0</v>
      </c>
      <c r="AJ323" s="31">
        <f>VLOOKUP($A323,kurspris!$A$1:$Q$950,9,FALSE)</f>
        <v>0</v>
      </c>
      <c r="AK323" s="31">
        <f>VLOOKUP($A323,kurspris!$A$1:$Q$950,10,FALSE)</f>
        <v>0</v>
      </c>
      <c r="AL323" s="31">
        <f>VLOOKUP($A323,kurspris!$A$1:$Q$950,11,FALSE)</f>
        <v>0</v>
      </c>
      <c r="AM323" s="31">
        <f>VLOOKUP($A323,kurspris!$A$1:$Q$950,12,FALSE)</f>
        <v>0</v>
      </c>
      <c r="AN323" s="31">
        <f>VLOOKUP($A323,kurspris!$A$1:$Q$950,13,FALSE)</f>
        <v>0</v>
      </c>
      <c r="AO323" s="31">
        <f>VLOOKUP($A323,kurspris!$A$1:$Q$950,14,FALSE)</f>
        <v>0</v>
      </c>
      <c r="AP323" s="57" t="s">
        <v>2222</v>
      </c>
      <c r="AQ323"/>
      <c r="AR323" s="31">
        <f t="shared" si="156"/>
        <v>0</v>
      </c>
      <c r="AS323" s="219">
        <f t="shared" si="157"/>
        <v>0</v>
      </c>
      <c r="AT323" s="31">
        <f t="shared" si="158"/>
        <v>0</v>
      </c>
      <c r="AU323" s="219">
        <f t="shared" si="159"/>
        <v>0</v>
      </c>
      <c r="AV323" s="31">
        <f t="shared" si="160"/>
        <v>0</v>
      </c>
      <c r="AW323" s="31">
        <f t="shared" si="161"/>
        <v>0</v>
      </c>
      <c r="AX323" s="31">
        <f t="shared" si="162"/>
        <v>5.9625000000000004</v>
      </c>
      <c r="AY323" s="219">
        <f t="shared" si="163"/>
        <v>5.0681250000000002</v>
      </c>
      <c r="AZ323" s="196">
        <f t="shared" si="164"/>
        <v>0</v>
      </c>
      <c r="BA323" s="219">
        <f t="shared" si="165"/>
        <v>0</v>
      </c>
      <c r="BB323" s="31">
        <f t="shared" si="166"/>
        <v>0</v>
      </c>
      <c r="BC323" s="219">
        <f t="shared" si="167"/>
        <v>0</v>
      </c>
      <c r="BD323" s="31">
        <f t="shared" si="168"/>
        <v>0</v>
      </c>
      <c r="BE323" s="219">
        <f t="shared" si="169"/>
        <v>0</v>
      </c>
      <c r="BF323" s="31">
        <f t="shared" si="170"/>
        <v>0</v>
      </c>
      <c r="BG323" s="219">
        <f t="shared" si="171"/>
        <v>0</v>
      </c>
      <c r="BH323" s="31">
        <f t="shared" si="172"/>
        <v>0</v>
      </c>
      <c r="BI323" s="219">
        <f t="shared" si="173"/>
        <v>0</v>
      </c>
      <c r="BJ323" s="31">
        <f t="shared" si="174"/>
        <v>0</v>
      </c>
      <c r="BK323" s="219">
        <f t="shared" si="175"/>
        <v>0</v>
      </c>
      <c r="BL323" s="31">
        <f t="shared" si="176"/>
        <v>0</v>
      </c>
      <c r="BM323" s="219">
        <f t="shared" si="177"/>
        <v>0</v>
      </c>
      <c r="BN323" s="31">
        <f t="shared" si="178"/>
        <v>0</v>
      </c>
      <c r="BO323" s="219">
        <f t="shared" si="179"/>
        <v>0</v>
      </c>
    </row>
    <row r="324" spans="1:67" x14ac:dyDescent="0.25">
      <c r="A324" s="31" t="s">
        <v>1124</v>
      </c>
      <c r="B324" s="176" t="str">
        <f>VLOOKUP(A324,kurspris!$A$1:$B$992,2,FALSE)</f>
        <v>Kunskap, vetenskap och forskningsmetodik, 7,5 hp</v>
      </c>
      <c r="D324" s="60" t="s">
        <v>483</v>
      </c>
      <c r="E324" s="576" t="s">
        <v>2433</v>
      </c>
      <c r="F324" s="31" t="s">
        <v>2273</v>
      </c>
      <c r="G324" t="s">
        <v>2439</v>
      </c>
      <c r="H324" t="s">
        <v>2335</v>
      </c>
      <c r="I324" s="31" t="s">
        <v>2276</v>
      </c>
      <c r="L324" s="38">
        <v>1</v>
      </c>
      <c r="M324">
        <v>7.5</v>
      </c>
      <c r="P324" s="31">
        <v>2</v>
      </c>
      <c r="Q324" s="196">
        <f>(M324/60)*P324</f>
        <v>0.25</v>
      </c>
      <c r="R324" s="38">
        <v>0.85</v>
      </c>
      <c r="S324" s="280">
        <f t="shared" si="152"/>
        <v>0.21249999999999999</v>
      </c>
      <c r="T324" s="31">
        <f>VLOOKUP(A324,'Ansvar kurs'!$A$1:$C$1123,2,FALSE)</f>
        <v>1630</v>
      </c>
      <c r="U324" s="31" t="str">
        <f>VLOOKUP(T324,Orgenheter!$A$1:$C$166,2,FALSE)</f>
        <v>Inst för ide- o samhällsstudier</v>
      </c>
      <c r="V324" s="31" t="str">
        <f>VLOOKUP(T324,Orgenheter!$A$1:$C$166,3,FALSE)</f>
        <v>Hum</v>
      </c>
      <c r="W324" s="35" t="str">
        <f>VLOOKUP(D324,Program!$A$1:$B$36,2,FALSE)</f>
        <v>Förskollärarprogrammet</v>
      </c>
      <c r="X324" s="40">
        <f>VLOOKUP(A324,kurspris!$A$1:$Q$913,15,FALSE)</f>
        <v>26554</v>
      </c>
      <c r="Y324" s="40">
        <f>VLOOKUP(A324,kurspris!$A$1:$Q$913,16,FALSE)</f>
        <v>33465</v>
      </c>
      <c r="Z324" s="40">
        <f t="shared" si="153"/>
        <v>13749.8125</v>
      </c>
      <c r="AA324" s="40">
        <f>VLOOKUP(A324,kurspris!$A$1:$Q$913,17,FALSE)</f>
        <v>6000</v>
      </c>
      <c r="AB324" s="40">
        <f t="shared" si="154"/>
        <v>1500</v>
      </c>
      <c r="AC324" s="40">
        <f t="shared" si="155"/>
        <v>15249.8125</v>
      </c>
      <c r="AD324" s="31">
        <f>VLOOKUP($A324,kurspris!$A$1:$Q$950,3,FALSE)</f>
        <v>0</v>
      </c>
      <c r="AE324" s="31">
        <f>VLOOKUP($A324,kurspris!$A$1:$Q$950,4,FALSE)</f>
        <v>0</v>
      </c>
      <c r="AF324" s="31">
        <f>VLOOKUP($A324,kurspris!$A$1:$Q$950,5,FALSE)</f>
        <v>0</v>
      </c>
      <c r="AG324" s="31">
        <f>VLOOKUP($A324,kurspris!$A$1:$Q$950,6,FALSE)</f>
        <v>1</v>
      </c>
      <c r="AH324" s="31">
        <f>VLOOKUP($A324,kurspris!$A$1:$Q$950,7,FALSE)</f>
        <v>0</v>
      </c>
      <c r="AI324" s="31">
        <f>VLOOKUP($A324,kurspris!$A$1:$Q$950,8,FALSE)</f>
        <v>0</v>
      </c>
      <c r="AJ324" s="31">
        <f>VLOOKUP($A324,kurspris!$A$1:$Q$950,9,FALSE)</f>
        <v>0</v>
      </c>
      <c r="AK324" s="31">
        <f>VLOOKUP($A324,kurspris!$A$1:$Q$950,10,FALSE)</f>
        <v>0</v>
      </c>
      <c r="AL324" s="31">
        <f>VLOOKUP($A324,kurspris!$A$1:$Q$950,11,FALSE)</f>
        <v>0</v>
      </c>
      <c r="AM324" s="31">
        <f>VLOOKUP($A324,kurspris!$A$1:$Q$950,12,FALSE)</f>
        <v>0</v>
      </c>
      <c r="AN324" s="31">
        <f>VLOOKUP($A324,kurspris!$A$1:$Q$950,13,FALSE)</f>
        <v>0</v>
      </c>
      <c r="AO324" s="31">
        <f>VLOOKUP($A324,kurspris!$A$1:$Q$950,14,FALSE)</f>
        <v>0</v>
      </c>
      <c r="AP324" s="57" t="s">
        <v>2506</v>
      </c>
      <c r="AQ324"/>
      <c r="AR324" s="31">
        <f t="shared" si="156"/>
        <v>0</v>
      </c>
      <c r="AS324" s="219">
        <f t="shared" si="157"/>
        <v>0</v>
      </c>
      <c r="AT324" s="31">
        <f t="shared" si="158"/>
        <v>0</v>
      </c>
      <c r="AU324" s="219">
        <f t="shared" si="159"/>
        <v>0</v>
      </c>
      <c r="AV324" s="31">
        <f t="shared" si="160"/>
        <v>0</v>
      </c>
      <c r="AW324" s="31">
        <f t="shared" si="161"/>
        <v>0</v>
      </c>
      <c r="AX324" s="31">
        <f t="shared" si="162"/>
        <v>0.25</v>
      </c>
      <c r="AY324" s="219">
        <f t="shared" si="163"/>
        <v>0.21249999999999999</v>
      </c>
      <c r="AZ324" s="196">
        <f t="shared" si="164"/>
        <v>0</v>
      </c>
      <c r="BA324" s="219">
        <f t="shared" si="165"/>
        <v>0</v>
      </c>
      <c r="BB324" s="31">
        <f t="shared" si="166"/>
        <v>0</v>
      </c>
      <c r="BC324" s="219">
        <f t="shared" si="167"/>
        <v>0</v>
      </c>
      <c r="BD324" s="31">
        <f t="shared" si="168"/>
        <v>0</v>
      </c>
      <c r="BE324" s="219">
        <f t="shared" si="169"/>
        <v>0</v>
      </c>
      <c r="BF324" s="31">
        <f t="shared" si="170"/>
        <v>0</v>
      </c>
      <c r="BG324" s="219">
        <f t="shared" si="171"/>
        <v>0</v>
      </c>
      <c r="BH324" s="31">
        <f t="shared" si="172"/>
        <v>0</v>
      </c>
      <c r="BI324" s="219">
        <f t="shared" si="173"/>
        <v>0</v>
      </c>
      <c r="BJ324" s="31">
        <f t="shared" si="174"/>
        <v>0</v>
      </c>
      <c r="BK324" s="219">
        <f t="shared" si="175"/>
        <v>0</v>
      </c>
      <c r="BL324" s="31">
        <f t="shared" si="176"/>
        <v>0</v>
      </c>
      <c r="BM324" s="219">
        <f t="shared" si="177"/>
        <v>0</v>
      </c>
      <c r="BN324" s="31">
        <f t="shared" si="178"/>
        <v>0</v>
      </c>
      <c r="BO324" s="219">
        <f t="shared" si="179"/>
        <v>0</v>
      </c>
    </row>
    <row r="325" spans="1:67" x14ac:dyDescent="0.25">
      <c r="A325" s="31" t="s">
        <v>1124</v>
      </c>
      <c r="B325" s="176" t="str">
        <f>VLOOKUP(A325,kurspris!$A$1:$B$992,2,FALSE)</f>
        <v>Kunskap, vetenskap och forskningsmetodik, 7,5 hp</v>
      </c>
      <c r="C325" s="31">
        <v>71904</v>
      </c>
      <c r="D325" s="60" t="s">
        <v>483</v>
      </c>
      <c r="E325" s="60"/>
      <c r="F325" s="57" t="s">
        <v>2274</v>
      </c>
      <c r="H325" s="31" t="s">
        <v>2335</v>
      </c>
      <c r="I325" s="31" t="s">
        <v>2399</v>
      </c>
      <c r="L325" s="38"/>
      <c r="M325">
        <v>7.5</v>
      </c>
      <c r="P325" s="31">
        <v>29</v>
      </c>
      <c r="Q325" s="539">
        <v>3.625</v>
      </c>
      <c r="R325" s="38">
        <v>0.85</v>
      </c>
      <c r="S325" s="280">
        <f t="shared" si="152"/>
        <v>3.0812499999999998</v>
      </c>
      <c r="T325" s="31">
        <f>VLOOKUP(A325,'Ansvar kurs'!$A$1:$C$1123,2,FALSE)</f>
        <v>1630</v>
      </c>
      <c r="U325" s="31" t="str">
        <f>VLOOKUP(T325,Orgenheter!$A$1:$C$166,2,FALSE)</f>
        <v>Inst för ide- o samhällsstudier</v>
      </c>
      <c r="V325" s="31" t="str">
        <f>VLOOKUP(T325,Orgenheter!$A$1:$C$166,3,FALSE)</f>
        <v>Hum</v>
      </c>
      <c r="W325" s="35" t="str">
        <f>VLOOKUP(D325,Program!$A$1:$B$36,2,FALSE)</f>
        <v>Förskollärarprogrammet</v>
      </c>
      <c r="X325" s="40">
        <f>VLOOKUP(A325,kurspris!$A$1:$Q$913,15,FALSE)</f>
        <v>26554</v>
      </c>
      <c r="Y325" s="40">
        <f>VLOOKUP(A325,kurspris!$A$1:$Q$913,16,FALSE)</f>
        <v>33465</v>
      </c>
      <c r="Z325" s="40">
        <f t="shared" si="153"/>
        <v>199372.28125</v>
      </c>
      <c r="AA325" s="40">
        <f>VLOOKUP(A325,kurspris!$A$1:$Q$913,17,FALSE)</f>
        <v>6000</v>
      </c>
      <c r="AB325" s="40">
        <f t="shared" si="154"/>
        <v>21750</v>
      </c>
      <c r="AC325" s="40">
        <f t="shared" si="155"/>
        <v>221122.28125</v>
      </c>
      <c r="AD325" s="31">
        <f>VLOOKUP($A325,kurspris!$A$1:$Q$950,3,FALSE)</f>
        <v>0</v>
      </c>
      <c r="AE325" s="31">
        <f>VLOOKUP($A325,kurspris!$A$1:$Q$950,4,FALSE)</f>
        <v>0</v>
      </c>
      <c r="AF325" s="31">
        <f>VLOOKUP($A325,kurspris!$A$1:$Q$950,5,FALSE)</f>
        <v>0</v>
      </c>
      <c r="AG325" s="31">
        <f>VLOOKUP($A325,kurspris!$A$1:$Q$950,6,FALSE)</f>
        <v>1</v>
      </c>
      <c r="AH325" s="31">
        <f>VLOOKUP($A325,kurspris!$A$1:$Q$950,7,FALSE)</f>
        <v>0</v>
      </c>
      <c r="AI325" s="31">
        <f>VLOOKUP($A325,kurspris!$A$1:$Q$950,8,FALSE)</f>
        <v>0</v>
      </c>
      <c r="AJ325" s="31">
        <f>VLOOKUP($A325,kurspris!$A$1:$Q$950,9,FALSE)</f>
        <v>0</v>
      </c>
      <c r="AK325" s="31">
        <f>VLOOKUP($A325,kurspris!$A$1:$Q$950,10,FALSE)</f>
        <v>0</v>
      </c>
      <c r="AL325" s="31">
        <f>VLOOKUP($A325,kurspris!$A$1:$Q$950,11,FALSE)</f>
        <v>0</v>
      </c>
      <c r="AM325" s="31">
        <f>VLOOKUP($A325,kurspris!$A$1:$Q$950,12,FALSE)</f>
        <v>0</v>
      </c>
      <c r="AN325" s="31">
        <f>VLOOKUP($A325,kurspris!$A$1:$Q$950,13,FALSE)</f>
        <v>0</v>
      </c>
      <c r="AO325" s="31">
        <f>VLOOKUP($A325,kurspris!$A$1:$Q$950,14,FALSE)</f>
        <v>0</v>
      </c>
      <c r="AP325" s="57" t="s">
        <v>2402</v>
      </c>
      <c r="AQ325"/>
      <c r="AR325" s="31">
        <f t="shared" si="156"/>
        <v>0</v>
      </c>
      <c r="AS325" s="219">
        <f t="shared" si="157"/>
        <v>0</v>
      </c>
      <c r="AT325" s="31">
        <f t="shared" si="158"/>
        <v>0</v>
      </c>
      <c r="AU325" s="219">
        <f t="shared" si="159"/>
        <v>0</v>
      </c>
      <c r="AV325" s="31">
        <f t="shared" si="160"/>
        <v>0</v>
      </c>
      <c r="AW325" s="31">
        <f t="shared" si="161"/>
        <v>0</v>
      </c>
      <c r="AX325" s="31">
        <f t="shared" si="162"/>
        <v>3.625</v>
      </c>
      <c r="AY325" s="219">
        <f t="shared" si="163"/>
        <v>3.0812499999999998</v>
      </c>
      <c r="AZ325" s="196">
        <f t="shared" si="164"/>
        <v>0</v>
      </c>
      <c r="BA325" s="219">
        <f t="shared" si="165"/>
        <v>0</v>
      </c>
      <c r="BB325" s="31">
        <f t="shared" si="166"/>
        <v>0</v>
      </c>
      <c r="BC325" s="219">
        <f t="shared" si="167"/>
        <v>0</v>
      </c>
      <c r="BD325" s="31">
        <f t="shared" si="168"/>
        <v>0</v>
      </c>
      <c r="BE325" s="219">
        <f t="shared" si="169"/>
        <v>0</v>
      </c>
      <c r="BF325" s="31">
        <f t="shared" si="170"/>
        <v>0</v>
      </c>
      <c r="BG325" s="219">
        <f t="shared" si="171"/>
        <v>0</v>
      </c>
      <c r="BH325" s="31">
        <f t="shared" si="172"/>
        <v>0</v>
      </c>
      <c r="BI325" s="219">
        <f t="shared" si="173"/>
        <v>0</v>
      </c>
      <c r="BJ325" s="31">
        <f t="shared" si="174"/>
        <v>0</v>
      </c>
      <c r="BK325" s="219">
        <f t="shared" si="175"/>
        <v>0</v>
      </c>
      <c r="BL325" s="31">
        <f t="shared" si="176"/>
        <v>0</v>
      </c>
      <c r="BM325" s="219">
        <f t="shared" si="177"/>
        <v>0</v>
      </c>
      <c r="BN325" s="31">
        <f t="shared" si="178"/>
        <v>0</v>
      </c>
      <c r="BO325" s="219">
        <f t="shared" si="179"/>
        <v>0</v>
      </c>
    </row>
    <row r="326" spans="1:67" x14ac:dyDescent="0.25">
      <c r="A326" s="283" t="s">
        <v>1124</v>
      </c>
      <c r="B326" s="362" t="str">
        <f>VLOOKUP(A326,kurspris!$A$1:$B$992,2,FALSE)</f>
        <v>Kunskap, vetenskap och forskningsmetodik, 7,5 hp</v>
      </c>
      <c r="C326" s="244"/>
      <c r="D326" s="538" t="s">
        <v>484</v>
      </c>
      <c r="E326" s="538" t="s">
        <v>2203</v>
      </c>
      <c r="F326" s="244" t="s">
        <v>2273</v>
      </c>
      <c r="G326" s="244"/>
      <c r="H326" s="244">
        <v>2480</v>
      </c>
      <c r="I326" s="244"/>
      <c r="J326" s="244"/>
      <c r="K326" s="244"/>
      <c r="L326" s="518"/>
      <c r="M326" s="325">
        <v>7.5</v>
      </c>
      <c r="N326" s="38">
        <v>-0.1</v>
      </c>
      <c r="O326" s="31">
        <v>24</v>
      </c>
      <c r="P326" s="31">
        <f>O326+(O326*N326)</f>
        <v>21.6</v>
      </c>
      <c r="Q326" s="196">
        <f t="shared" ref="Q326:Q334" si="180">(M326/60)*P326</f>
        <v>2.7</v>
      </c>
      <c r="R326" s="38">
        <v>0.85</v>
      </c>
      <c r="S326" s="280">
        <f t="shared" si="152"/>
        <v>2.2949999999999999</v>
      </c>
      <c r="T326" s="31">
        <f>VLOOKUP(A326,'Ansvar kurs'!$A$1:$C$1123,2,FALSE)</f>
        <v>1630</v>
      </c>
      <c r="U326" s="31" t="str">
        <f>VLOOKUP(T326,Orgenheter!$A$1:$C$166,2,FALSE)</f>
        <v>Inst för ide- o samhällsstudier</v>
      </c>
      <c r="V326" s="31" t="str">
        <f>VLOOKUP(T326,Orgenheter!$A$1:$C$166,3,FALSE)</f>
        <v>Hum</v>
      </c>
      <c r="W326" s="35" t="str">
        <f>VLOOKUP(D326,Program!$A$1:$B$36,2,FALSE)</f>
        <v>Grundlärarprogrammet - fritidshem</v>
      </c>
      <c r="X326" s="40">
        <f>VLOOKUP(A326,kurspris!$A$1:$Q$913,15,FALSE)</f>
        <v>26554</v>
      </c>
      <c r="Y326" s="40">
        <f>VLOOKUP(A326,kurspris!$A$1:$Q$913,16,FALSE)</f>
        <v>33465</v>
      </c>
      <c r="Z326" s="40">
        <f t="shared" si="153"/>
        <v>148497.97500000001</v>
      </c>
      <c r="AA326" s="40">
        <f>VLOOKUP(A326,kurspris!$A$1:$Q$913,17,FALSE)</f>
        <v>6000</v>
      </c>
      <c r="AB326" s="40">
        <f t="shared" si="154"/>
        <v>16200.000000000002</v>
      </c>
      <c r="AC326" s="40">
        <f t="shared" si="155"/>
        <v>164697.97500000001</v>
      </c>
      <c r="AD326" s="31">
        <f>VLOOKUP($A326,kurspris!$A$1:$Q$950,3,FALSE)</f>
        <v>0</v>
      </c>
      <c r="AE326" s="31">
        <f>VLOOKUP($A326,kurspris!$A$1:$Q$950,4,FALSE)</f>
        <v>0</v>
      </c>
      <c r="AF326" s="31">
        <f>VLOOKUP($A326,kurspris!$A$1:$Q$950,5,FALSE)</f>
        <v>0</v>
      </c>
      <c r="AG326" s="31">
        <f>VLOOKUP($A326,kurspris!$A$1:$Q$950,6,FALSE)</f>
        <v>1</v>
      </c>
      <c r="AH326" s="31">
        <f>VLOOKUP($A326,kurspris!$A$1:$Q$950,7,FALSE)</f>
        <v>0</v>
      </c>
      <c r="AI326" s="31">
        <f>VLOOKUP($A326,kurspris!$A$1:$Q$950,8,FALSE)</f>
        <v>0</v>
      </c>
      <c r="AJ326" s="31">
        <f>VLOOKUP($A326,kurspris!$A$1:$Q$950,9,FALSE)</f>
        <v>0</v>
      </c>
      <c r="AK326" s="31">
        <f>VLOOKUP($A326,kurspris!$A$1:$Q$950,10,FALSE)</f>
        <v>0</v>
      </c>
      <c r="AL326" s="31">
        <f>VLOOKUP($A326,kurspris!$A$1:$Q$950,11,FALSE)</f>
        <v>0</v>
      </c>
      <c r="AM326" s="31">
        <f>VLOOKUP($A326,kurspris!$A$1:$Q$950,12,FALSE)</f>
        <v>0</v>
      </c>
      <c r="AN326" s="31">
        <f>VLOOKUP($A326,kurspris!$A$1:$Q$950,13,FALSE)</f>
        <v>0</v>
      </c>
      <c r="AO326" s="31">
        <f>VLOOKUP($A326,kurspris!$A$1:$Q$950,14,FALSE)</f>
        <v>0</v>
      </c>
      <c r="AP326" s="57" t="s">
        <v>2222</v>
      </c>
      <c r="AQ326"/>
      <c r="AR326" s="31">
        <f t="shared" si="156"/>
        <v>0</v>
      </c>
      <c r="AS326" s="219">
        <f t="shared" si="157"/>
        <v>0</v>
      </c>
      <c r="AT326" s="31">
        <f t="shared" si="158"/>
        <v>0</v>
      </c>
      <c r="AU326" s="219">
        <f t="shared" si="159"/>
        <v>0</v>
      </c>
      <c r="AV326" s="31">
        <f t="shared" si="160"/>
        <v>0</v>
      </c>
      <c r="AW326" s="31">
        <f t="shared" si="161"/>
        <v>0</v>
      </c>
      <c r="AX326" s="31">
        <f t="shared" si="162"/>
        <v>2.7</v>
      </c>
      <c r="AY326" s="219">
        <f t="shared" si="163"/>
        <v>2.2949999999999999</v>
      </c>
      <c r="AZ326" s="196">
        <f t="shared" si="164"/>
        <v>0</v>
      </c>
      <c r="BA326" s="219">
        <f t="shared" si="165"/>
        <v>0</v>
      </c>
      <c r="BB326" s="31">
        <f t="shared" si="166"/>
        <v>0</v>
      </c>
      <c r="BC326" s="219">
        <f t="shared" si="167"/>
        <v>0</v>
      </c>
      <c r="BD326" s="31">
        <f t="shared" si="168"/>
        <v>0</v>
      </c>
      <c r="BE326" s="219">
        <f t="shared" si="169"/>
        <v>0</v>
      </c>
      <c r="BF326" s="31">
        <f t="shared" si="170"/>
        <v>0</v>
      </c>
      <c r="BG326" s="219">
        <f t="shared" si="171"/>
        <v>0</v>
      </c>
      <c r="BH326" s="31">
        <f t="shared" si="172"/>
        <v>0</v>
      </c>
      <c r="BI326" s="219">
        <f t="shared" si="173"/>
        <v>0</v>
      </c>
      <c r="BJ326" s="31">
        <f t="shared" si="174"/>
        <v>0</v>
      </c>
      <c r="BK326" s="219">
        <f t="shared" si="175"/>
        <v>0</v>
      </c>
      <c r="BL326" s="31">
        <f t="shared" si="176"/>
        <v>0</v>
      </c>
      <c r="BM326" s="219">
        <f t="shared" si="177"/>
        <v>0</v>
      </c>
      <c r="BN326" s="31">
        <f t="shared" si="178"/>
        <v>0</v>
      </c>
      <c r="BO326" s="219">
        <f t="shared" si="179"/>
        <v>0</v>
      </c>
    </row>
    <row r="327" spans="1:67" x14ac:dyDescent="0.25">
      <c r="A327" s="283" t="s">
        <v>1124</v>
      </c>
      <c r="B327" s="362" t="str">
        <f>VLOOKUP(A327,kurspris!$A$1:$B$992,2,FALSE)</f>
        <v>Kunskap, vetenskap och forskningsmetodik, 7,5 hp</v>
      </c>
      <c r="C327" s="244"/>
      <c r="D327" s="538" t="s">
        <v>485</v>
      </c>
      <c r="E327" s="538" t="s">
        <v>2203</v>
      </c>
      <c r="F327" s="244" t="s">
        <v>2273</v>
      </c>
      <c r="G327" s="244"/>
      <c r="H327" s="244">
        <v>2480</v>
      </c>
      <c r="I327" s="244"/>
      <c r="J327" s="244"/>
      <c r="K327" s="244"/>
      <c r="L327" s="518"/>
      <c r="M327" s="325">
        <v>7.5</v>
      </c>
      <c r="N327" s="38">
        <v>-0.08</v>
      </c>
      <c r="O327" s="31">
        <v>41</v>
      </c>
      <c r="P327" s="31">
        <f>O327+(O327*N327)</f>
        <v>37.72</v>
      </c>
      <c r="Q327" s="196">
        <f t="shared" si="180"/>
        <v>4.7149999999999999</v>
      </c>
      <c r="R327" s="38">
        <v>0.85</v>
      </c>
      <c r="S327" s="280">
        <f t="shared" si="152"/>
        <v>4.0077499999999997</v>
      </c>
      <c r="T327" s="31">
        <f>VLOOKUP(A327,'Ansvar kurs'!$A$1:$C$1123,2,FALSE)</f>
        <v>1630</v>
      </c>
      <c r="U327" s="31" t="str">
        <f>VLOOKUP(T327,Orgenheter!$A$1:$C$166,2,FALSE)</f>
        <v>Inst för ide- o samhällsstudier</v>
      </c>
      <c r="V327" s="31" t="str">
        <f>VLOOKUP(T327,Orgenheter!$A$1:$C$166,3,FALSE)</f>
        <v>Hum</v>
      </c>
      <c r="W327" s="35" t="str">
        <f>VLOOKUP(D327,Program!$A$1:$B$36,2,FALSE)</f>
        <v>Grundlärarprogrammet - förskoleklass och åk 1-3</v>
      </c>
      <c r="X327" s="40">
        <f>VLOOKUP(A327,kurspris!$A$1:$Q$913,15,FALSE)</f>
        <v>26554</v>
      </c>
      <c r="Y327" s="40">
        <f>VLOOKUP(A327,kurspris!$A$1:$Q$913,16,FALSE)</f>
        <v>33465</v>
      </c>
      <c r="Z327" s="40">
        <f t="shared" si="153"/>
        <v>259321.46375</v>
      </c>
      <c r="AA327" s="40">
        <f>VLOOKUP(A327,kurspris!$A$1:$Q$913,17,FALSE)</f>
        <v>6000</v>
      </c>
      <c r="AB327" s="40">
        <f t="shared" si="154"/>
        <v>28290</v>
      </c>
      <c r="AC327" s="40">
        <f t="shared" si="155"/>
        <v>287611.46375</v>
      </c>
      <c r="AD327" s="31">
        <f>VLOOKUP($A327,kurspris!$A$1:$Q$950,3,FALSE)</f>
        <v>0</v>
      </c>
      <c r="AE327" s="31">
        <f>VLOOKUP($A327,kurspris!$A$1:$Q$950,4,FALSE)</f>
        <v>0</v>
      </c>
      <c r="AF327" s="31">
        <f>VLOOKUP($A327,kurspris!$A$1:$Q$950,5,FALSE)</f>
        <v>0</v>
      </c>
      <c r="AG327" s="31">
        <f>VLOOKUP($A327,kurspris!$A$1:$Q$950,6,FALSE)</f>
        <v>1</v>
      </c>
      <c r="AH327" s="31">
        <f>VLOOKUP($A327,kurspris!$A$1:$Q$950,7,FALSE)</f>
        <v>0</v>
      </c>
      <c r="AI327" s="31">
        <f>VLOOKUP($A327,kurspris!$A$1:$Q$950,8,FALSE)</f>
        <v>0</v>
      </c>
      <c r="AJ327" s="31">
        <f>VLOOKUP($A327,kurspris!$A$1:$Q$950,9,FALSE)</f>
        <v>0</v>
      </c>
      <c r="AK327" s="31">
        <f>VLOOKUP($A327,kurspris!$A$1:$Q$950,10,FALSE)</f>
        <v>0</v>
      </c>
      <c r="AL327" s="31">
        <f>VLOOKUP($A327,kurspris!$A$1:$Q$950,11,FALSE)</f>
        <v>0</v>
      </c>
      <c r="AM327" s="31">
        <f>VLOOKUP($A327,kurspris!$A$1:$Q$950,12,FALSE)</f>
        <v>0</v>
      </c>
      <c r="AN327" s="31">
        <f>VLOOKUP($A327,kurspris!$A$1:$Q$950,13,FALSE)</f>
        <v>0</v>
      </c>
      <c r="AO327" s="31">
        <f>VLOOKUP($A327,kurspris!$A$1:$Q$950,14,FALSE)</f>
        <v>0</v>
      </c>
      <c r="AP327" s="57" t="s">
        <v>2222</v>
      </c>
      <c r="AQ327"/>
      <c r="AR327" s="31">
        <f t="shared" si="156"/>
        <v>0</v>
      </c>
      <c r="AS327" s="219">
        <f t="shared" si="157"/>
        <v>0</v>
      </c>
      <c r="AT327" s="31">
        <f t="shared" si="158"/>
        <v>0</v>
      </c>
      <c r="AU327" s="219">
        <f t="shared" si="159"/>
        <v>0</v>
      </c>
      <c r="AV327" s="31">
        <f t="shared" si="160"/>
        <v>0</v>
      </c>
      <c r="AW327" s="31">
        <f t="shared" si="161"/>
        <v>0</v>
      </c>
      <c r="AX327" s="31">
        <f t="shared" si="162"/>
        <v>4.7149999999999999</v>
      </c>
      <c r="AY327" s="219">
        <f t="shared" si="163"/>
        <v>4.0077499999999997</v>
      </c>
      <c r="AZ327" s="196">
        <f t="shared" si="164"/>
        <v>0</v>
      </c>
      <c r="BA327" s="219">
        <f t="shared" si="165"/>
        <v>0</v>
      </c>
      <c r="BB327" s="31">
        <f t="shared" si="166"/>
        <v>0</v>
      </c>
      <c r="BC327" s="219">
        <f t="shared" si="167"/>
        <v>0</v>
      </c>
      <c r="BD327" s="31">
        <f t="shared" si="168"/>
        <v>0</v>
      </c>
      <c r="BE327" s="219">
        <f t="shared" si="169"/>
        <v>0</v>
      </c>
      <c r="BF327" s="31">
        <f t="shared" si="170"/>
        <v>0</v>
      </c>
      <c r="BG327" s="219">
        <f t="shared" si="171"/>
        <v>0</v>
      </c>
      <c r="BH327" s="31">
        <f t="shared" si="172"/>
        <v>0</v>
      </c>
      <c r="BI327" s="219">
        <f t="shared" si="173"/>
        <v>0</v>
      </c>
      <c r="BJ327" s="31">
        <f t="shared" si="174"/>
        <v>0</v>
      </c>
      <c r="BK327" s="219">
        <f t="shared" si="175"/>
        <v>0</v>
      </c>
      <c r="BL327" s="31">
        <f t="shared" si="176"/>
        <v>0</v>
      </c>
      <c r="BM327" s="219">
        <f t="shared" si="177"/>
        <v>0</v>
      </c>
      <c r="BN327" s="31">
        <f t="shared" si="178"/>
        <v>0</v>
      </c>
      <c r="BO327" s="219">
        <f t="shared" si="179"/>
        <v>0</v>
      </c>
    </row>
    <row r="328" spans="1:67" x14ac:dyDescent="0.25">
      <c r="A328" s="31" t="s">
        <v>1124</v>
      </c>
      <c r="B328" s="176" t="str">
        <f>VLOOKUP(A328,kurspris!$A$1:$B$992,2,FALSE)</f>
        <v>Kunskap, vetenskap och forskningsmetodik, 7,5 hp</v>
      </c>
      <c r="D328" s="60" t="s">
        <v>523</v>
      </c>
      <c r="E328" s="576" t="s">
        <v>2432</v>
      </c>
      <c r="F328" s="31" t="s">
        <v>2273</v>
      </c>
      <c r="G328" t="s">
        <v>2439</v>
      </c>
      <c r="H328" t="s">
        <v>2335</v>
      </c>
      <c r="I328" s="31" t="s">
        <v>2276</v>
      </c>
      <c r="L328" s="38">
        <v>1</v>
      </c>
      <c r="M328">
        <v>7.5</v>
      </c>
      <c r="P328" s="31">
        <v>1</v>
      </c>
      <c r="Q328" s="196">
        <f t="shared" si="180"/>
        <v>0.125</v>
      </c>
      <c r="R328" s="38">
        <v>0.85</v>
      </c>
      <c r="S328" s="280">
        <f t="shared" si="152"/>
        <v>0.10625</v>
      </c>
      <c r="T328" s="31">
        <f>VLOOKUP(A328,'Ansvar kurs'!$A$1:$C$1123,2,FALSE)</f>
        <v>1630</v>
      </c>
      <c r="U328" s="31" t="str">
        <f>VLOOKUP(T328,Orgenheter!$A$1:$C$166,2,FALSE)</f>
        <v>Inst för ide- o samhällsstudier</v>
      </c>
      <c r="V328" s="31" t="str">
        <f>VLOOKUP(T328,Orgenheter!$A$1:$C$166,3,FALSE)</f>
        <v>Hum</v>
      </c>
      <c r="W328" s="35" t="str">
        <f>VLOOKUP(D328,Program!$A$1:$B$36,2,FALSE)</f>
        <v>Grundlärarprogrammet - grundskolans åk 4-6</v>
      </c>
      <c r="X328" s="40">
        <f>VLOOKUP(A328,kurspris!$A$1:$Q$913,15,FALSE)</f>
        <v>26554</v>
      </c>
      <c r="Y328" s="40">
        <f>VLOOKUP(A328,kurspris!$A$1:$Q$913,16,FALSE)</f>
        <v>33465</v>
      </c>
      <c r="Z328" s="40">
        <f t="shared" si="153"/>
        <v>6874.90625</v>
      </c>
      <c r="AA328" s="40">
        <f>VLOOKUP(A328,kurspris!$A$1:$Q$913,17,FALSE)</f>
        <v>6000</v>
      </c>
      <c r="AB328" s="40">
        <f t="shared" si="154"/>
        <v>750</v>
      </c>
      <c r="AC328" s="40">
        <f t="shared" si="155"/>
        <v>7624.90625</v>
      </c>
      <c r="AD328" s="31">
        <f>VLOOKUP($A328,kurspris!$A$1:$Q$950,3,FALSE)</f>
        <v>0</v>
      </c>
      <c r="AE328" s="31">
        <f>VLOOKUP($A328,kurspris!$A$1:$Q$950,4,FALSE)</f>
        <v>0</v>
      </c>
      <c r="AF328" s="31">
        <f>VLOOKUP($A328,kurspris!$A$1:$Q$950,5,FALSE)</f>
        <v>0</v>
      </c>
      <c r="AG328" s="31">
        <f>VLOOKUP($A328,kurspris!$A$1:$Q$950,6,FALSE)</f>
        <v>1</v>
      </c>
      <c r="AH328" s="31">
        <f>VLOOKUP($A328,kurspris!$A$1:$Q$950,7,FALSE)</f>
        <v>0</v>
      </c>
      <c r="AI328" s="31">
        <f>VLOOKUP($A328,kurspris!$A$1:$Q$950,8,FALSE)</f>
        <v>0</v>
      </c>
      <c r="AJ328" s="31">
        <f>VLOOKUP($A328,kurspris!$A$1:$Q$950,9,FALSE)</f>
        <v>0</v>
      </c>
      <c r="AK328" s="31">
        <f>VLOOKUP($A328,kurspris!$A$1:$Q$950,10,FALSE)</f>
        <v>0</v>
      </c>
      <c r="AL328" s="31">
        <f>VLOOKUP($A328,kurspris!$A$1:$Q$950,11,FALSE)</f>
        <v>0</v>
      </c>
      <c r="AM328" s="31">
        <f>VLOOKUP($A328,kurspris!$A$1:$Q$950,12,FALSE)</f>
        <v>0</v>
      </c>
      <c r="AN328" s="31">
        <f>VLOOKUP($A328,kurspris!$A$1:$Q$950,13,FALSE)</f>
        <v>0</v>
      </c>
      <c r="AO328" s="31">
        <f>VLOOKUP($A328,kurspris!$A$1:$Q$950,14,FALSE)</f>
        <v>0</v>
      </c>
      <c r="AP328" s="57" t="s">
        <v>2504</v>
      </c>
      <c r="AQ328"/>
      <c r="AR328" s="31">
        <f t="shared" si="156"/>
        <v>0</v>
      </c>
      <c r="AS328" s="219">
        <f t="shared" si="157"/>
        <v>0</v>
      </c>
      <c r="AT328" s="31">
        <f t="shared" si="158"/>
        <v>0</v>
      </c>
      <c r="AU328" s="219">
        <f t="shared" si="159"/>
        <v>0</v>
      </c>
      <c r="AV328" s="31">
        <f t="shared" si="160"/>
        <v>0</v>
      </c>
      <c r="AW328" s="31">
        <f t="shared" si="161"/>
        <v>0</v>
      </c>
      <c r="AX328" s="31">
        <f t="shared" si="162"/>
        <v>0.125</v>
      </c>
      <c r="AY328" s="219">
        <f t="shared" si="163"/>
        <v>0.10625</v>
      </c>
      <c r="AZ328" s="196">
        <f t="shared" si="164"/>
        <v>0</v>
      </c>
      <c r="BA328" s="219">
        <f t="shared" si="165"/>
        <v>0</v>
      </c>
      <c r="BB328" s="31">
        <f t="shared" si="166"/>
        <v>0</v>
      </c>
      <c r="BC328" s="219">
        <f t="shared" si="167"/>
        <v>0</v>
      </c>
      <c r="BD328" s="31">
        <f t="shared" si="168"/>
        <v>0</v>
      </c>
      <c r="BE328" s="219">
        <f t="shared" si="169"/>
        <v>0</v>
      </c>
      <c r="BF328" s="31">
        <f t="shared" si="170"/>
        <v>0</v>
      </c>
      <c r="BG328" s="219">
        <f t="shared" si="171"/>
        <v>0</v>
      </c>
      <c r="BH328" s="31">
        <f t="shared" si="172"/>
        <v>0</v>
      </c>
      <c r="BI328" s="219">
        <f t="shared" si="173"/>
        <v>0</v>
      </c>
      <c r="BJ328" s="31">
        <f t="shared" si="174"/>
        <v>0</v>
      </c>
      <c r="BK328" s="219">
        <f t="shared" si="175"/>
        <v>0</v>
      </c>
      <c r="BL328" s="31">
        <f t="shared" si="176"/>
        <v>0</v>
      </c>
      <c r="BM328" s="219">
        <f t="shared" si="177"/>
        <v>0</v>
      </c>
      <c r="BN328" s="31">
        <f t="shared" si="178"/>
        <v>0</v>
      </c>
      <c r="BO328" s="219">
        <f t="shared" si="179"/>
        <v>0</v>
      </c>
    </row>
    <row r="329" spans="1:67" x14ac:dyDescent="0.25">
      <c r="A329" s="283" t="s">
        <v>1124</v>
      </c>
      <c r="B329" s="362" t="str">
        <f>VLOOKUP(A329,kurspris!$A$1:$B$992,2,FALSE)</f>
        <v>Kunskap, vetenskap och forskningsmetodik, 7,5 hp</v>
      </c>
      <c r="C329" s="244"/>
      <c r="D329" s="538" t="s">
        <v>523</v>
      </c>
      <c r="E329" s="538" t="s">
        <v>2203</v>
      </c>
      <c r="F329" s="244" t="s">
        <v>2273</v>
      </c>
      <c r="G329" s="244"/>
      <c r="H329" s="244">
        <v>2480</v>
      </c>
      <c r="I329" s="244"/>
      <c r="J329" s="244" t="s">
        <v>2332</v>
      </c>
      <c r="K329" s="244"/>
      <c r="L329" s="518"/>
      <c r="M329" s="325">
        <v>7.5</v>
      </c>
      <c r="N329" s="38">
        <v>-0.08</v>
      </c>
      <c r="O329" s="31">
        <v>23</v>
      </c>
      <c r="P329" s="31">
        <f>O329+(O329*N329)</f>
        <v>21.16</v>
      </c>
      <c r="Q329" s="196">
        <f t="shared" si="180"/>
        <v>2.645</v>
      </c>
      <c r="R329" s="38">
        <v>0.85</v>
      </c>
      <c r="S329" s="280">
        <f t="shared" si="152"/>
        <v>2.2482500000000001</v>
      </c>
      <c r="T329" s="31">
        <f>VLOOKUP(A329,'Ansvar kurs'!$A$1:$C$1123,2,FALSE)</f>
        <v>1630</v>
      </c>
      <c r="U329" s="31" t="str">
        <f>VLOOKUP(T329,Orgenheter!$A$1:$C$166,2,FALSE)</f>
        <v>Inst för ide- o samhällsstudier</v>
      </c>
      <c r="V329" s="31" t="str">
        <f>VLOOKUP(T329,Orgenheter!$A$1:$C$166,3,FALSE)</f>
        <v>Hum</v>
      </c>
      <c r="W329" s="35" t="str">
        <f>VLOOKUP(D329,Program!$A$1:$B$36,2,FALSE)</f>
        <v>Grundlärarprogrammet - grundskolans åk 4-6</v>
      </c>
      <c r="X329" s="40">
        <f>VLOOKUP(A329,kurspris!$A$1:$Q$913,15,FALSE)</f>
        <v>26554</v>
      </c>
      <c r="Y329" s="40">
        <f>VLOOKUP(A329,kurspris!$A$1:$Q$913,16,FALSE)</f>
        <v>33465</v>
      </c>
      <c r="Z329" s="40">
        <f t="shared" si="153"/>
        <v>145473.01624999999</v>
      </c>
      <c r="AA329" s="40">
        <f>VLOOKUP(A329,kurspris!$A$1:$Q$913,17,FALSE)</f>
        <v>6000</v>
      </c>
      <c r="AB329" s="40">
        <f t="shared" si="154"/>
        <v>15870</v>
      </c>
      <c r="AC329" s="40">
        <f t="shared" si="155"/>
        <v>161343.01624999999</v>
      </c>
      <c r="AD329" s="31">
        <f>VLOOKUP($A329,kurspris!$A$1:$Q$950,3,FALSE)</f>
        <v>0</v>
      </c>
      <c r="AE329" s="31">
        <f>VLOOKUP($A329,kurspris!$A$1:$Q$950,4,FALSE)</f>
        <v>0</v>
      </c>
      <c r="AF329" s="31">
        <f>VLOOKUP($A329,kurspris!$A$1:$Q$950,5,FALSE)</f>
        <v>0</v>
      </c>
      <c r="AG329" s="31">
        <f>VLOOKUP($A329,kurspris!$A$1:$Q$950,6,FALSE)</f>
        <v>1</v>
      </c>
      <c r="AH329" s="31">
        <f>VLOOKUP($A329,kurspris!$A$1:$Q$950,7,FALSE)</f>
        <v>0</v>
      </c>
      <c r="AI329" s="31">
        <f>VLOOKUP($A329,kurspris!$A$1:$Q$950,8,FALSE)</f>
        <v>0</v>
      </c>
      <c r="AJ329" s="31">
        <f>VLOOKUP($A329,kurspris!$A$1:$Q$950,9,FALSE)</f>
        <v>0</v>
      </c>
      <c r="AK329" s="31">
        <f>VLOOKUP($A329,kurspris!$A$1:$Q$950,10,FALSE)</f>
        <v>0</v>
      </c>
      <c r="AL329" s="31">
        <f>VLOOKUP($A329,kurspris!$A$1:$Q$950,11,FALSE)</f>
        <v>0</v>
      </c>
      <c r="AM329" s="31">
        <f>VLOOKUP($A329,kurspris!$A$1:$Q$950,12,FALSE)</f>
        <v>0</v>
      </c>
      <c r="AN329" s="31">
        <f>VLOOKUP($A329,kurspris!$A$1:$Q$950,13,FALSE)</f>
        <v>0</v>
      </c>
      <c r="AO329" s="31">
        <f>VLOOKUP($A329,kurspris!$A$1:$Q$950,14,FALSE)</f>
        <v>0</v>
      </c>
      <c r="AP329" s="57" t="s">
        <v>2222</v>
      </c>
      <c r="AQ329" s="37"/>
      <c r="AR329" s="31">
        <f t="shared" si="156"/>
        <v>0</v>
      </c>
      <c r="AS329" s="219">
        <f t="shared" si="157"/>
        <v>0</v>
      </c>
      <c r="AT329" s="31">
        <f t="shared" si="158"/>
        <v>0</v>
      </c>
      <c r="AU329" s="219">
        <f t="shared" si="159"/>
        <v>0</v>
      </c>
      <c r="AV329" s="31">
        <f t="shared" si="160"/>
        <v>0</v>
      </c>
      <c r="AW329" s="31">
        <f t="shared" si="161"/>
        <v>0</v>
      </c>
      <c r="AX329" s="31">
        <f t="shared" si="162"/>
        <v>2.645</v>
      </c>
      <c r="AY329" s="219">
        <f t="shared" si="163"/>
        <v>2.2482500000000001</v>
      </c>
      <c r="AZ329" s="196">
        <f t="shared" si="164"/>
        <v>0</v>
      </c>
      <c r="BA329" s="219">
        <f t="shared" si="165"/>
        <v>0</v>
      </c>
      <c r="BB329" s="31">
        <f t="shared" si="166"/>
        <v>0</v>
      </c>
      <c r="BC329" s="219">
        <f t="shared" si="167"/>
        <v>0</v>
      </c>
      <c r="BD329" s="31">
        <f t="shared" si="168"/>
        <v>0</v>
      </c>
      <c r="BE329" s="219">
        <f t="shared" si="169"/>
        <v>0</v>
      </c>
      <c r="BF329" s="31">
        <f t="shared" si="170"/>
        <v>0</v>
      </c>
      <c r="BG329" s="219">
        <f t="shared" si="171"/>
        <v>0</v>
      </c>
      <c r="BH329" s="31">
        <f t="shared" si="172"/>
        <v>0</v>
      </c>
      <c r="BI329" s="219">
        <f t="shared" si="173"/>
        <v>0</v>
      </c>
      <c r="BJ329" s="31">
        <f t="shared" si="174"/>
        <v>0</v>
      </c>
      <c r="BK329" s="219">
        <f t="shared" si="175"/>
        <v>0</v>
      </c>
      <c r="BL329" s="31">
        <f t="shared" si="176"/>
        <v>0</v>
      </c>
      <c r="BM329" s="219">
        <f t="shared" si="177"/>
        <v>0</v>
      </c>
      <c r="BN329" s="31">
        <f t="shared" si="178"/>
        <v>0</v>
      </c>
      <c r="BO329" s="219">
        <f t="shared" si="179"/>
        <v>0</v>
      </c>
    </row>
    <row r="330" spans="1:67" x14ac:dyDescent="0.25">
      <c r="A330" s="283" t="s">
        <v>1124</v>
      </c>
      <c r="B330" s="362" t="str">
        <f>VLOOKUP(A330,kurspris!$A$1:$B$992,2,FALSE)</f>
        <v>Kunskap, vetenskap och forskningsmetodik, 7,5 hp</v>
      </c>
      <c r="C330" s="244"/>
      <c r="D330" s="538" t="s">
        <v>523</v>
      </c>
      <c r="E330" s="538" t="s">
        <v>2203</v>
      </c>
      <c r="F330" s="244" t="s">
        <v>2273</v>
      </c>
      <c r="G330" s="244"/>
      <c r="H330" s="244">
        <v>2480</v>
      </c>
      <c r="I330" s="244"/>
      <c r="J330" s="244"/>
      <c r="K330" s="244"/>
      <c r="L330" s="518"/>
      <c r="M330" s="325">
        <v>7.5</v>
      </c>
      <c r="N330" s="38">
        <v>-0.1</v>
      </c>
      <c r="O330" s="31">
        <v>43</v>
      </c>
      <c r="P330" s="31">
        <f>O330+(O330*N330)</f>
        <v>38.700000000000003</v>
      </c>
      <c r="Q330" s="196">
        <f t="shared" si="180"/>
        <v>4.8375000000000004</v>
      </c>
      <c r="R330" s="38">
        <v>0.85</v>
      </c>
      <c r="S330" s="280">
        <f t="shared" si="152"/>
        <v>4.1118750000000004</v>
      </c>
      <c r="T330" s="31">
        <f>VLOOKUP(A330,'Ansvar kurs'!$A$1:$C$1123,2,FALSE)</f>
        <v>1630</v>
      </c>
      <c r="U330" s="31" t="str">
        <f>VLOOKUP(T330,Orgenheter!$A$1:$C$166,2,FALSE)</f>
        <v>Inst för ide- o samhällsstudier</v>
      </c>
      <c r="V330" s="31" t="str">
        <f>VLOOKUP(T330,Orgenheter!$A$1:$C$166,3,FALSE)</f>
        <v>Hum</v>
      </c>
      <c r="W330" s="35" t="str">
        <f>VLOOKUP(D330,Program!$A$1:$B$36,2,FALSE)</f>
        <v>Grundlärarprogrammet - grundskolans åk 4-6</v>
      </c>
      <c r="X330" s="40">
        <f>VLOOKUP(A330,kurspris!$A$1:$Q$913,15,FALSE)</f>
        <v>26554</v>
      </c>
      <c r="Y330" s="40">
        <f>VLOOKUP(A330,kurspris!$A$1:$Q$913,16,FALSE)</f>
        <v>33465</v>
      </c>
      <c r="Z330" s="40">
        <f t="shared" si="153"/>
        <v>266058.87187500001</v>
      </c>
      <c r="AA330" s="40">
        <f>VLOOKUP(A330,kurspris!$A$1:$Q$913,17,FALSE)</f>
        <v>6000</v>
      </c>
      <c r="AB330" s="40">
        <f t="shared" si="154"/>
        <v>29025.000000000004</v>
      </c>
      <c r="AC330" s="40">
        <f t="shared" si="155"/>
        <v>295083.87187500001</v>
      </c>
      <c r="AD330" s="31">
        <f>VLOOKUP($A330,kurspris!$A$1:$Q$950,3,FALSE)</f>
        <v>0</v>
      </c>
      <c r="AE330" s="31">
        <f>VLOOKUP($A330,kurspris!$A$1:$Q$950,4,FALSE)</f>
        <v>0</v>
      </c>
      <c r="AF330" s="31">
        <f>VLOOKUP($A330,kurspris!$A$1:$Q$950,5,FALSE)</f>
        <v>0</v>
      </c>
      <c r="AG330" s="31">
        <f>VLOOKUP($A330,kurspris!$A$1:$Q$950,6,FALSE)</f>
        <v>1</v>
      </c>
      <c r="AH330" s="31">
        <f>VLOOKUP($A330,kurspris!$A$1:$Q$950,7,FALSE)</f>
        <v>0</v>
      </c>
      <c r="AI330" s="31">
        <f>VLOOKUP($A330,kurspris!$A$1:$Q$950,8,FALSE)</f>
        <v>0</v>
      </c>
      <c r="AJ330" s="31">
        <f>VLOOKUP($A330,kurspris!$A$1:$Q$950,9,FALSE)</f>
        <v>0</v>
      </c>
      <c r="AK330" s="31">
        <f>VLOOKUP($A330,kurspris!$A$1:$Q$950,10,FALSE)</f>
        <v>0</v>
      </c>
      <c r="AL330" s="31">
        <f>VLOOKUP($A330,kurspris!$A$1:$Q$950,11,FALSE)</f>
        <v>0</v>
      </c>
      <c r="AM330" s="31">
        <f>VLOOKUP($A330,kurspris!$A$1:$Q$950,12,FALSE)</f>
        <v>0</v>
      </c>
      <c r="AN330" s="31">
        <f>VLOOKUP($A330,kurspris!$A$1:$Q$950,13,FALSE)</f>
        <v>0</v>
      </c>
      <c r="AO330" s="31">
        <f>VLOOKUP($A330,kurspris!$A$1:$Q$950,14,FALSE)</f>
        <v>0</v>
      </c>
      <c r="AP330" s="57" t="s">
        <v>2222</v>
      </c>
      <c r="AQ330" s="37"/>
      <c r="AR330" s="31">
        <f t="shared" si="156"/>
        <v>0</v>
      </c>
      <c r="AS330" s="219">
        <f t="shared" si="157"/>
        <v>0</v>
      </c>
      <c r="AT330" s="31">
        <f t="shared" si="158"/>
        <v>0</v>
      </c>
      <c r="AU330" s="219">
        <f t="shared" si="159"/>
        <v>0</v>
      </c>
      <c r="AV330" s="31">
        <f t="shared" si="160"/>
        <v>0</v>
      </c>
      <c r="AW330" s="31">
        <f t="shared" si="161"/>
        <v>0</v>
      </c>
      <c r="AX330" s="31">
        <f t="shared" si="162"/>
        <v>4.8375000000000004</v>
      </c>
      <c r="AY330" s="219">
        <f t="shared" si="163"/>
        <v>4.1118750000000004</v>
      </c>
      <c r="AZ330" s="196">
        <f t="shared" si="164"/>
        <v>0</v>
      </c>
      <c r="BA330" s="219">
        <f t="shared" si="165"/>
        <v>0</v>
      </c>
      <c r="BB330" s="31">
        <f t="shared" si="166"/>
        <v>0</v>
      </c>
      <c r="BC330" s="219">
        <f t="shared" si="167"/>
        <v>0</v>
      </c>
      <c r="BD330" s="31">
        <f t="shared" si="168"/>
        <v>0</v>
      </c>
      <c r="BE330" s="219">
        <f t="shared" si="169"/>
        <v>0</v>
      </c>
      <c r="BF330" s="31">
        <f t="shared" si="170"/>
        <v>0</v>
      </c>
      <c r="BG330" s="219">
        <f t="shared" si="171"/>
        <v>0</v>
      </c>
      <c r="BH330" s="31">
        <f t="shared" si="172"/>
        <v>0</v>
      </c>
      <c r="BI330" s="219">
        <f t="shared" si="173"/>
        <v>0</v>
      </c>
      <c r="BJ330" s="31">
        <f t="shared" si="174"/>
        <v>0</v>
      </c>
      <c r="BK330" s="219">
        <f t="shared" si="175"/>
        <v>0</v>
      </c>
      <c r="BL330" s="31">
        <f t="shared" si="176"/>
        <v>0</v>
      </c>
      <c r="BM330" s="219">
        <f t="shared" si="177"/>
        <v>0</v>
      </c>
      <c r="BN330" s="31">
        <f t="shared" si="178"/>
        <v>0</v>
      </c>
      <c r="BO330" s="219">
        <f t="shared" si="179"/>
        <v>0</v>
      </c>
    </row>
    <row r="331" spans="1:67" x14ac:dyDescent="0.25">
      <c r="A331" s="244" t="s">
        <v>1126</v>
      </c>
      <c r="B331" s="362" t="str">
        <f>VLOOKUP(A331,kurspris!$A$1:$B$992,2,FALSE)</f>
        <v>Etik, demokrati och det heterogena klassrummet, 7,5 hp</v>
      </c>
      <c r="C331" s="244"/>
      <c r="D331" s="538" t="s">
        <v>2330</v>
      </c>
      <c r="E331" s="538" t="s">
        <v>2203</v>
      </c>
      <c r="F331" s="244" t="s">
        <v>2273</v>
      </c>
      <c r="G331" s="244"/>
      <c r="H331" s="244">
        <v>2480</v>
      </c>
      <c r="I331" s="244"/>
      <c r="J331" s="244"/>
      <c r="K331" s="244"/>
      <c r="L331" s="518"/>
      <c r="M331" s="325">
        <v>7.5</v>
      </c>
      <c r="P331" s="31">
        <v>145</v>
      </c>
      <c r="Q331" s="196">
        <f t="shared" si="180"/>
        <v>18.125</v>
      </c>
      <c r="R331" s="38">
        <v>0.85</v>
      </c>
      <c r="S331" s="280">
        <f t="shared" si="152"/>
        <v>15.40625</v>
      </c>
      <c r="T331" s="31">
        <f>VLOOKUP(A331,'Ansvar kurs'!$A$1:$C$1123,2,FALSE)</f>
        <v>1630</v>
      </c>
      <c r="U331" s="31" t="str">
        <f>VLOOKUP(T331,Orgenheter!$A$1:$C$166,2,FALSE)</f>
        <v>Inst för ide- o samhällsstudier</v>
      </c>
      <c r="V331" s="31" t="str">
        <f>VLOOKUP(T331,Orgenheter!$A$1:$C$166,3,FALSE)</f>
        <v>Hum</v>
      </c>
      <c r="W331" s="35" t="str">
        <f>VLOOKUP(D331,Program!$A$1:$B$36,2,FALSE)</f>
        <v>Ämneslärarprogrammet - Gy</v>
      </c>
      <c r="X331" s="40">
        <f>VLOOKUP(A331,kurspris!$A$1:$Q$913,15,FALSE)</f>
        <v>26554</v>
      </c>
      <c r="Y331" s="40">
        <f>VLOOKUP(A331,kurspris!$A$1:$Q$913,16,FALSE)</f>
        <v>33465</v>
      </c>
      <c r="Z331" s="40">
        <f t="shared" si="153"/>
        <v>996861.40625</v>
      </c>
      <c r="AA331" s="40">
        <f>VLOOKUP(A331,kurspris!$A$1:$Q$913,17,FALSE)</f>
        <v>6000</v>
      </c>
      <c r="AB331" s="40">
        <f t="shared" si="154"/>
        <v>108750</v>
      </c>
      <c r="AC331" s="40">
        <f t="shared" si="155"/>
        <v>1105611.40625</v>
      </c>
      <c r="AD331" s="31">
        <f>VLOOKUP($A331,kurspris!$A$1:$Q$950,3,FALSE)</f>
        <v>0</v>
      </c>
      <c r="AE331" s="31">
        <f>VLOOKUP($A331,kurspris!$A$1:$Q$950,4,FALSE)</f>
        <v>0</v>
      </c>
      <c r="AF331" s="31">
        <f>VLOOKUP($A331,kurspris!$A$1:$Q$950,5,FALSE)</f>
        <v>0</v>
      </c>
      <c r="AG331" s="31">
        <f>VLOOKUP($A331,kurspris!$A$1:$Q$950,6,FALSE)</f>
        <v>1</v>
      </c>
      <c r="AH331" s="31">
        <f>VLOOKUP($A331,kurspris!$A$1:$Q$950,7,FALSE)</f>
        <v>0</v>
      </c>
      <c r="AI331" s="31">
        <f>VLOOKUP($A331,kurspris!$A$1:$Q$950,8,FALSE)</f>
        <v>0</v>
      </c>
      <c r="AJ331" s="31">
        <f>VLOOKUP($A331,kurspris!$A$1:$Q$950,9,FALSE)</f>
        <v>0</v>
      </c>
      <c r="AK331" s="31">
        <f>VLOOKUP($A331,kurspris!$A$1:$Q$950,10,FALSE)</f>
        <v>0</v>
      </c>
      <c r="AL331" s="31">
        <f>VLOOKUP($A331,kurspris!$A$1:$Q$950,11,FALSE)</f>
        <v>0</v>
      </c>
      <c r="AM331" s="31">
        <f>VLOOKUP($A331,kurspris!$A$1:$Q$950,12,FALSE)</f>
        <v>0</v>
      </c>
      <c r="AN331" s="31">
        <f>VLOOKUP($A331,kurspris!$A$1:$Q$950,13,FALSE)</f>
        <v>0</v>
      </c>
      <c r="AO331" s="31">
        <f>VLOOKUP($A331,kurspris!$A$1:$Q$950,14,FALSE)</f>
        <v>0</v>
      </c>
      <c r="AP331" s="57" t="s">
        <v>2222</v>
      </c>
      <c r="AQ331" s="37"/>
      <c r="AR331" s="31">
        <f t="shared" si="156"/>
        <v>0</v>
      </c>
      <c r="AS331" s="219">
        <f t="shared" si="157"/>
        <v>0</v>
      </c>
      <c r="AT331" s="31">
        <f t="shared" si="158"/>
        <v>0</v>
      </c>
      <c r="AU331" s="219">
        <f t="shared" si="159"/>
        <v>0</v>
      </c>
      <c r="AV331" s="31">
        <f t="shared" si="160"/>
        <v>0</v>
      </c>
      <c r="AW331" s="31">
        <f t="shared" si="161"/>
        <v>0</v>
      </c>
      <c r="AX331" s="31">
        <f t="shared" si="162"/>
        <v>18.125</v>
      </c>
      <c r="AY331" s="219">
        <f t="shared" si="163"/>
        <v>15.40625</v>
      </c>
      <c r="AZ331" s="196">
        <f t="shared" si="164"/>
        <v>0</v>
      </c>
      <c r="BA331" s="219">
        <f t="shared" si="165"/>
        <v>0</v>
      </c>
      <c r="BB331" s="31">
        <f t="shared" si="166"/>
        <v>0</v>
      </c>
      <c r="BC331" s="219">
        <f t="shared" si="167"/>
        <v>0</v>
      </c>
      <c r="BD331" s="31">
        <f t="shared" si="168"/>
        <v>0</v>
      </c>
      <c r="BE331" s="219">
        <f t="shared" si="169"/>
        <v>0</v>
      </c>
      <c r="BF331" s="31">
        <f t="shared" si="170"/>
        <v>0</v>
      </c>
      <c r="BG331" s="219">
        <f t="shared" si="171"/>
        <v>0</v>
      </c>
      <c r="BH331" s="31">
        <f t="shared" si="172"/>
        <v>0</v>
      </c>
      <c r="BI331" s="219">
        <f t="shared" si="173"/>
        <v>0</v>
      </c>
      <c r="BJ331" s="31">
        <f t="shared" si="174"/>
        <v>0</v>
      </c>
      <c r="BK331" s="219">
        <f t="shared" si="175"/>
        <v>0</v>
      </c>
      <c r="BL331" s="31">
        <f t="shared" si="176"/>
        <v>0</v>
      </c>
      <c r="BM331" s="219">
        <f t="shared" si="177"/>
        <v>0</v>
      </c>
      <c r="BN331" s="31">
        <f t="shared" si="178"/>
        <v>0</v>
      </c>
      <c r="BO331" s="219">
        <f t="shared" si="179"/>
        <v>0</v>
      </c>
    </row>
    <row r="332" spans="1:67" x14ac:dyDescent="0.25">
      <c r="A332" s="31" t="s">
        <v>1126</v>
      </c>
      <c r="B332" s="176" t="str">
        <f>VLOOKUP(A332,kurspris!$A$1:$B$992,2,FALSE)</f>
        <v>Etik, demokrati och det heterogena klassrummet, 7,5 hp</v>
      </c>
      <c r="D332" s="60" t="s">
        <v>482</v>
      </c>
      <c r="E332" s="576" t="s">
        <v>2434</v>
      </c>
      <c r="F332" s="31" t="s">
        <v>2273</v>
      </c>
      <c r="G332" t="s">
        <v>2438</v>
      </c>
      <c r="H332" t="s">
        <v>2335</v>
      </c>
      <c r="J332" s="31" t="s">
        <v>2240</v>
      </c>
      <c r="L332" s="38">
        <v>1</v>
      </c>
      <c r="M332">
        <v>7.5</v>
      </c>
      <c r="P332" s="31">
        <v>1</v>
      </c>
      <c r="Q332" s="196">
        <f t="shared" si="180"/>
        <v>0.125</v>
      </c>
      <c r="R332" s="38">
        <v>0.85</v>
      </c>
      <c r="S332" s="280">
        <f t="shared" si="152"/>
        <v>0.10625</v>
      </c>
      <c r="T332" s="31">
        <f>VLOOKUP(A332,'Ansvar kurs'!$A$1:$C$1123,2,FALSE)</f>
        <v>1630</v>
      </c>
      <c r="U332" s="31" t="str">
        <f>VLOOKUP(T332,Orgenheter!$A$1:$C$166,2,FALSE)</f>
        <v>Inst för ide- o samhällsstudier</v>
      </c>
      <c r="V332" s="31" t="str">
        <f>VLOOKUP(T332,Orgenheter!$A$1:$C$166,3,FALSE)</f>
        <v>Hum</v>
      </c>
      <c r="W332" s="35" t="str">
        <f>VLOOKUP(D332,Program!$A$1:$B$36,2,FALSE)</f>
        <v>Ämneslärarprogrammet - Gy</v>
      </c>
      <c r="X332" s="40">
        <f>VLOOKUP(A332,kurspris!$A$1:$Q$913,15,FALSE)</f>
        <v>26554</v>
      </c>
      <c r="Y332" s="40">
        <f>VLOOKUP(A332,kurspris!$A$1:$Q$913,16,FALSE)</f>
        <v>33465</v>
      </c>
      <c r="Z332" s="40">
        <f t="shared" si="153"/>
        <v>6874.90625</v>
      </c>
      <c r="AA332" s="40">
        <f>VLOOKUP(A332,kurspris!$A$1:$Q$913,17,FALSE)</f>
        <v>6000</v>
      </c>
      <c r="AB332" s="40">
        <f t="shared" si="154"/>
        <v>750</v>
      </c>
      <c r="AC332" s="40">
        <f t="shared" si="155"/>
        <v>7624.90625</v>
      </c>
      <c r="AD332" s="31">
        <f>VLOOKUP($A332,kurspris!$A$1:$Q$950,3,FALSE)</f>
        <v>0</v>
      </c>
      <c r="AE332" s="31">
        <f>VLOOKUP($A332,kurspris!$A$1:$Q$950,4,FALSE)</f>
        <v>0</v>
      </c>
      <c r="AF332" s="31">
        <f>VLOOKUP($A332,kurspris!$A$1:$Q$950,5,FALSE)</f>
        <v>0</v>
      </c>
      <c r="AG332" s="31">
        <f>VLOOKUP($A332,kurspris!$A$1:$Q$950,6,FALSE)</f>
        <v>1</v>
      </c>
      <c r="AH332" s="31">
        <f>VLOOKUP($A332,kurspris!$A$1:$Q$950,7,FALSE)</f>
        <v>0</v>
      </c>
      <c r="AI332" s="31">
        <f>VLOOKUP($A332,kurspris!$A$1:$Q$950,8,FALSE)</f>
        <v>0</v>
      </c>
      <c r="AJ332" s="31">
        <f>VLOOKUP($A332,kurspris!$A$1:$Q$950,9,FALSE)</f>
        <v>0</v>
      </c>
      <c r="AK332" s="31">
        <f>VLOOKUP($A332,kurspris!$A$1:$Q$950,10,FALSE)</f>
        <v>0</v>
      </c>
      <c r="AL332" s="31">
        <f>VLOOKUP($A332,kurspris!$A$1:$Q$950,11,FALSE)</f>
        <v>0</v>
      </c>
      <c r="AM332" s="31">
        <f>VLOOKUP($A332,kurspris!$A$1:$Q$950,12,FALSE)</f>
        <v>0</v>
      </c>
      <c r="AN332" s="31">
        <f>VLOOKUP($A332,kurspris!$A$1:$Q$950,13,FALSE)</f>
        <v>0</v>
      </c>
      <c r="AO332" s="31">
        <f>VLOOKUP($A332,kurspris!$A$1:$Q$950,14,FALSE)</f>
        <v>0</v>
      </c>
      <c r="AP332" s="57" t="s">
        <v>2506</v>
      </c>
      <c r="AQ332"/>
      <c r="AR332" s="31">
        <f t="shared" si="156"/>
        <v>0</v>
      </c>
      <c r="AS332" s="219">
        <f t="shared" si="157"/>
        <v>0</v>
      </c>
      <c r="AT332" s="31">
        <f t="shared" si="158"/>
        <v>0</v>
      </c>
      <c r="AU332" s="219">
        <f t="shared" si="159"/>
        <v>0</v>
      </c>
      <c r="AV332" s="31">
        <f t="shared" si="160"/>
        <v>0</v>
      </c>
      <c r="AW332" s="31">
        <f t="shared" si="161"/>
        <v>0</v>
      </c>
      <c r="AX332" s="31">
        <f t="shared" si="162"/>
        <v>0.125</v>
      </c>
      <c r="AY332" s="219">
        <f t="shared" si="163"/>
        <v>0.10625</v>
      </c>
      <c r="AZ332" s="196">
        <f t="shared" si="164"/>
        <v>0</v>
      </c>
      <c r="BA332" s="219">
        <f t="shared" si="165"/>
        <v>0</v>
      </c>
      <c r="BB332" s="31">
        <f t="shared" si="166"/>
        <v>0</v>
      </c>
      <c r="BC332" s="219">
        <f t="shared" si="167"/>
        <v>0</v>
      </c>
      <c r="BD332" s="31">
        <f t="shared" si="168"/>
        <v>0</v>
      </c>
      <c r="BE332" s="219">
        <f t="shared" si="169"/>
        <v>0</v>
      </c>
      <c r="BF332" s="31">
        <f t="shared" si="170"/>
        <v>0</v>
      </c>
      <c r="BG332" s="219">
        <f t="shared" si="171"/>
        <v>0</v>
      </c>
      <c r="BH332" s="31">
        <f t="shared" si="172"/>
        <v>0</v>
      </c>
      <c r="BI332" s="219">
        <f t="shared" si="173"/>
        <v>0</v>
      </c>
      <c r="BJ332" s="31">
        <f t="shared" si="174"/>
        <v>0</v>
      </c>
      <c r="BK332" s="219">
        <f t="shared" si="175"/>
        <v>0</v>
      </c>
      <c r="BL332" s="31">
        <f t="shared" si="176"/>
        <v>0</v>
      </c>
      <c r="BM332" s="219">
        <f t="shared" si="177"/>
        <v>0</v>
      </c>
      <c r="BN332" s="31">
        <f t="shared" si="178"/>
        <v>0</v>
      </c>
      <c r="BO332" s="219">
        <f t="shared" si="179"/>
        <v>0</v>
      </c>
    </row>
    <row r="333" spans="1:67" x14ac:dyDescent="0.25">
      <c r="A333" s="244" t="s">
        <v>1126</v>
      </c>
      <c r="B333" s="362" t="str">
        <f>VLOOKUP(A333,kurspris!$A$1:$B$992,2,FALSE)</f>
        <v>Etik, demokrati och det heterogena klassrummet, 7,5 hp</v>
      </c>
      <c r="C333" s="244"/>
      <c r="D333" s="538" t="s">
        <v>483</v>
      </c>
      <c r="E333" s="538" t="s">
        <v>2203</v>
      </c>
      <c r="F333" s="244" t="s">
        <v>2273</v>
      </c>
      <c r="G333" s="244"/>
      <c r="H333" s="244">
        <v>2480</v>
      </c>
      <c r="I333" s="244"/>
      <c r="J333" s="244"/>
      <c r="K333" s="244"/>
      <c r="L333" s="518"/>
      <c r="M333" s="325">
        <v>7.5</v>
      </c>
      <c r="N333" s="38">
        <v>-0.1</v>
      </c>
      <c r="O333" s="31">
        <v>53</v>
      </c>
      <c r="P333" s="31">
        <f>O333+(O333*N333)</f>
        <v>47.7</v>
      </c>
      <c r="Q333" s="196">
        <f t="shared" si="180"/>
        <v>5.9625000000000004</v>
      </c>
      <c r="R333" s="38">
        <v>0.85</v>
      </c>
      <c r="S333" s="280">
        <f t="shared" si="152"/>
        <v>5.0681250000000002</v>
      </c>
      <c r="T333" s="31">
        <f>VLOOKUP(A333,'Ansvar kurs'!$A$1:$C$1123,2,FALSE)</f>
        <v>1630</v>
      </c>
      <c r="U333" s="31" t="str">
        <f>VLOOKUP(T333,Orgenheter!$A$1:$C$166,2,FALSE)</f>
        <v>Inst för ide- o samhällsstudier</v>
      </c>
      <c r="V333" s="31" t="str">
        <f>VLOOKUP(T333,Orgenheter!$A$1:$C$166,3,FALSE)</f>
        <v>Hum</v>
      </c>
      <c r="W333" s="35" t="str">
        <f>VLOOKUP(D333,Program!$A$1:$B$36,2,FALSE)</f>
        <v>Förskollärarprogrammet</v>
      </c>
      <c r="X333" s="40">
        <f>VLOOKUP(A333,kurspris!$A$1:$Q$913,15,FALSE)</f>
        <v>26554</v>
      </c>
      <c r="Y333" s="40">
        <f>VLOOKUP(A333,kurspris!$A$1:$Q$913,16,FALSE)</f>
        <v>33465</v>
      </c>
      <c r="Z333" s="40">
        <f t="shared" si="153"/>
        <v>327933.02812500001</v>
      </c>
      <c r="AA333" s="40">
        <f>VLOOKUP(A333,kurspris!$A$1:$Q$913,17,FALSE)</f>
        <v>6000</v>
      </c>
      <c r="AB333" s="40">
        <f t="shared" si="154"/>
        <v>35775</v>
      </c>
      <c r="AC333" s="40">
        <f t="shared" si="155"/>
        <v>363708.02812500001</v>
      </c>
      <c r="AD333" s="31">
        <f>VLOOKUP($A333,kurspris!$A$1:$Q$950,3,FALSE)</f>
        <v>0</v>
      </c>
      <c r="AE333" s="31">
        <f>VLOOKUP($A333,kurspris!$A$1:$Q$950,4,FALSE)</f>
        <v>0</v>
      </c>
      <c r="AF333" s="31">
        <f>VLOOKUP($A333,kurspris!$A$1:$Q$950,5,FALSE)</f>
        <v>0</v>
      </c>
      <c r="AG333" s="31">
        <f>VLOOKUP($A333,kurspris!$A$1:$Q$950,6,FALSE)</f>
        <v>1</v>
      </c>
      <c r="AH333" s="31">
        <f>VLOOKUP($A333,kurspris!$A$1:$Q$950,7,FALSE)</f>
        <v>0</v>
      </c>
      <c r="AI333" s="31">
        <f>VLOOKUP($A333,kurspris!$A$1:$Q$950,8,FALSE)</f>
        <v>0</v>
      </c>
      <c r="AJ333" s="31">
        <f>VLOOKUP($A333,kurspris!$A$1:$Q$950,9,FALSE)</f>
        <v>0</v>
      </c>
      <c r="AK333" s="31">
        <f>VLOOKUP($A333,kurspris!$A$1:$Q$950,10,FALSE)</f>
        <v>0</v>
      </c>
      <c r="AL333" s="31">
        <f>VLOOKUP($A333,kurspris!$A$1:$Q$950,11,FALSE)</f>
        <v>0</v>
      </c>
      <c r="AM333" s="31">
        <f>VLOOKUP($A333,kurspris!$A$1:$Q$950,12,FALSE)</f>
        <v>0</v>
      </c>
      <c r="AN333" s="31">
        <f>VLOOKUP($A333,kurspris!$A$1:$Q$950,13,FALSE)</f>
        <v>0</v>
      </c>
      <c r="AO333" s="31">
        <f>VLOOKUP($A333,kurspris!$A$1:$Q$950,14,FALSE)</f>
        <v>0</v>
      </c>
      <c r="AP333" s="57" t="s">
        <v>2222</v>
      </c>
      <c r="AQ333" s="37"/>
      <c r="AR333" s="31">
        <f t="shared" si="156"/>
        <v>0</v>
      </c>
      <c r="AS333" s="219">
        <f t="shared" si="157"/>
        <v>0</v>
      </c>
      <c r="AT333" s="31">
        <f t="shared" si="158"/>
        <v>0</v>
      </c>
      <c r="AU333" s="219">
        <f t="shared" si="159"/>
        <v>0</v>
      </c>
      <c r="AV333" s="31">
        <f t="shared" si="160"/>
        <v>0</v>
      </c>
      <c r="AW333" s="31">
        <f t="shared" si="161"/>
        <v>0</v>
      </c>
      <c r="AX333" s="31">
        <f t="shared" si="162"/>
        <v>5.9625000000000004</v>
      </c>
      <c r="AY333" s="219">
        <f t="shared" si="163"/>
        <v>5.0681250000000002</v>
      </c>
      <c r="AZ333" s="196">
        <f t="shared" si="164"/>
        <v>0</v>
      </c>
      <c r="BA333" s="219">
        <f t="shared" si="165"/>
        <v>0</v>
      </c>
      <c r="BB333" s="31">
        <f t="shared" si="166"/>
        <v>0</v>
      </c>
      <c r="BC333" s="219">
        <f t="shared" si="167"/>
        <v>0</v>
      </c>
      <c r="BD333" s="31">
        <f t="shared" si="168"/>
        <v>0</v>
      </c>
      <c r="BE333" s="219">
        <f t="shared" si="169"/>
        <v>0</v>
      </c>
      <c r="BF333" s="31">
        <f t="shared" si="170"/>
        <v>0</v>
      </c>
      <c r="BG333" s="219">
        <f t="shared" si="171"/>
        <v>0</v>
      </c>
      <c r="BH333" s="31">
        <f t="shared" si="172"/>
        <v>0</v>
      </c>
      <c r="BI333" s="219">
        <f t="shared" si="173"/>
        <v>0</v>
      </c>
      <c r="BJ333" s="31">
        <f t="shared" si="174"/>
        <v>0</v>
      </c>
      <c r="BK333" s="219">
        <f t="shared" si="175"/>
        <v>0</v>
      </c>
      <c r="BL333" s="31">
        <f t="shared" si="176"/>
        <v>0</v>
      </c>
      <c r="BM333" s="219">
        <f t="shared" si="177"/>
        <v>0</v>
      </c>
      <c r="BN333" s="31">
        <f t="shared" si="178"/>
        <v>0</v>
      </c>
      <c r="BO333" s="219">
        <f t="shared" si="179"/>
        <v>0</v>
      </c>
    </row>
    <row r="334" spans="1:67" x14ac:dyDescent="0.25">
      <c r="A334" s="31" t="s">
        <v>1126</v>
      </c>
      <c r="B334" s="176" t="str">
        <f>VLOOKUP(A334,kurspris!$A$1:$B$992,2,FALSE)</f>
        <v>Etik, demokrati och det heterogena klassrummet, 7,5 hp</v>
      </c>
      <c r="D334" s="60" t="s">
        <v>483</v>
      </c>
      <c r="E334" s="576" t="s">
        <v>2433</v>
      </c>
      <c r="F334" s="31" t="s">
        <v>2273</v>
      </c>
      <c r="G334" t="s">
        <v>2438</v>
      </c>
      <c r="H334" t="s">
        <v>2335</v>
      </c>
      <c r="I334" s="31" t="s">
        <v>2276</v>
      </c>
      <c r="L334" s="38">
        <v>1</v>
      </c>
      <c r="M334">
        <v>7.5</v>
      </c>
      <c r="P334" s="31">
        <v>3</v>
      </c>
      <c r="Q334" s="196">
        <f t="shared" si="180"/>
        <v>0.375</v>
      </c>
      <c r="R334" s="38">
        <v>0.85</v>
      </c>
      <c r="S334" s="280">
        <f t="shared" si="152"/>
        <v>0.31874999999999998</v>
      </c>
      <c r="T334" s="31">
        <f>VLOOKUP(A334,'Ansvar kurs'!$A$1:$C$1123,2,FALSE)</f>
        <v>1630</v>
      </c>
      <c r="U334" s="31" t="str">
        <f>VLOOKUP(T334,Orgenheter!$A$1:$C$166,2,FALSE)</f>
        <v>Inst för ide- o samhällsstudier</v>
      </c>
      <c r="V334" s="31" t="str">
        <f>VLOOKUP(T334,Orgenheter!$A$1:$C$166,3,FALSE)</f>
        <v>Hum</v>
      </c>
      <c r="W334" s="35" t="str">
        <f>VLOOKUP(D334,Program!$A$1:$B$36,2,FALSE)</f>
        <v>Förskollärarprogrammet</v>
      </c>
      <c r="X334" s="40">
        <f>VLOOKUP(A334,kurspris!$A$1:$Q$913,15,FALSE)</f>
        <v>26554</v>
      </c>
      <c r="Y334" s="40">
        <f>VLOOKUP(A334,kurspris!$A$1:$Q$913,16,FALSE)</f>
        <v>33465</v>
      </c>
      <c r="Z334" s="40">
        <f t="shared" si="153"/>
        <v>20624.71875</v>
      </c>
      <c r="AA334" s="40">
        <f>VLOOKUP(A334,kurspris!$A$1:$Q$913,17,FALSE)</f>
        <v>6000</v>
      </c>
      <c r="AB334" s="40">
        <f t="shared" si="154"/>
        <v>2250</v>
      </c>
      <c r="AC334" s="40">
        <f t="shared" si="155"/>
        <v>22874.71875</v>
      </c>
      <c r="AD334" s="31">
        <f>VLOOKUP($A334,kurspris!$A$1:$Q$950,3,FALSE)</f>
        <v>0</v>
      </c>
      <c r="AE334" s="31">
        <f>VLOOKUP($A334,kurspris!$A$1:$Q$950,4,FALSE)</f>
        <v>0</v>
      </c>
      <c r="AF334" s="31">
        <f>VLOOKUP($A334,kurspris!$A$1:$Q$950,5,FALSE)</f>
        <v>0</v>
      </c>
      <c r="AG334" s="31">
        <f>VLOOKUP($A334,kurspris!$A$1:$Q$950,6,FALSE)</f>
        <v>1</v>
      </c>
      <c r="AH334" s="31">
        <f>VLOOKUP($A334,kurspris!$A$1:$Q$950,7,FALSE)</f>
        <v>0</v>
      </c>
      <c r="AI334" s="31">
        <f>VLOOKUP($A334,kurspris!$A$1:$Q$950,8,FALSE)</f>
        <v>0</v>
      </c>
      <c r="AJ334" s="31">
        <f>VLOOKUP($A334,kurspris!$A$1:$Q$950,9,FALSE)</f>
        <v>0</v>
      </c>
      <c r="AK334" s="31">
        <f>VLOOKUP($A334,kurspris!$A$1:$Q$950,10,FALSE)</f>
        <v>0</v>
      </c>
      <c r="AL334" s="31">
        <f>VLOOKUP($A334,kurspris!$A$1:$Q$950,11,FALSE)</f>
        <v>0</v>
      </c>
      <c r="AM334" s="31">
        <f>VLOOKUP($A334,kurspris!$A$1:$Q$950,12,FALSE)</f>
        <v>0</v>
      </c>
      <c r="AN334" s="31">
        <f>VLOOKUP($A334,kurspris!$A$1:$Q$950,13,FALSE)</f>
        <v>0</v>
      </c>
      <c r="AO334" s="31">
        <f>VLOOKUP($A334,kurspris!$A$1:$Q$950,14,FALSE)</f>
        <v>0</v>
      </c>
      <c r="AP334" s="57" t="s">
        <v>2506</v>
      </c>
      <c r="AQ334"/>
      <c r="AR334" s="31">
        <f t="shared" si="156"/>
        <v>0</v>
      </c>
      <c r="AS334" s="219">
        <f t="shared" si="157"/>
        <v>0</v>
      </c>
      <c r="AT334" s="31">
        <f t="shared" si="158"/>
        <v>0</v>
      </c>
      <c r="AU334" s="219">
        <f t="shared" si="159"/>
        <v>0</v>
      </c>
      <c r="AV334" s="31">
        <f t="shared" si="160"/>
        <v>0</v>
      </c>
      <c r="AW334" s="31">
        <f t="shared" si="161"/>
        <v>0</v>
      </c>
      <c r="AX334" s="31">
        <f t="shared" si="162"/>
        <v>0.375</v>
      </c>
      <c r="AY334" s="219">
        <f t="shared" si="163"/>
        <v>0.31874999999999998</v>
      </c>
      <c r="AZ334" s="196">
        <f t="shared" si="164"/>
        <v>0</v>
      </c>
      <c r="BA334" s="219">
        <f t="shared" si="165"/>
        <v>0</v>
      </c>
      <c r="BB334" s="31">
        <f t="shared" si="166"/>
        <v>0</v>
      </c>
      <c r="BC334" s="219">
        <f t="shared" si="167"/>
        <v>0</v>
      </c>
      <c r="BD334" s="31">
        <f t="shared" si="168"/>
        <v>0</v>
      </c>
      <c r="BE334" s="219">
        <f t="shared" si="169"/>
        <v>0</v>
      </c>
      <c r="BF334" s="31">
        <f t="shared" si="170"/>
        <v>0</v>
      </c>
      <c r="BG334" s="219">
        <f t="shared" si="171"/>
        <v>0</v>
      </c>
      <c r="BH334" s="31">
        <f t="shared" si="172"/>
        <v>0</v>
      </c>
      <c r="BI334" s="219">
        <f t="shared" si="173"/>
        <v>0</v>
      </c>
      <c r="BJ334" s="31">
        <f t="shared" si="174"/>
        <v>0</v>
      </c>
      <c r="BK334" s="219">
        <f t="shared" si="175"/>
        <v>0</v>
      </c>
      <c r="BL334" s="31">
        <f t="shared" si="176"/>
        <v>0</v>
      </c>
      <c r="BM334" s="219">
        <f t="shared" si="177"/>
        <v>0</v>
      </c>
      <c r="BN334" s="31">
        <f t="shared" si="178"/>
        <v>0</v>
      </c>
      <c r="BO334" s="219">
        <f t="shared" si="179"/>
        <v>0</v>
      </c>
    </row>
    <row r="335" spans="1:67" x14ac:dyDescent="0.25">
      <c r="A335" s="31" t="s">
        <v>1126</v>
      </c>
      <c r="B335" s="176" t="str">
        <f>VLOOKUP(A335,kurspris!$A$1:$B$992,2,FALSE)</f>
        <v>Etik, demokrati och det heterogena klassrummet, 7,5 hp</v>
      </c>
      <c r="C335" s="31">
        <v>71907</v>
      </c>
      <c r="D335" s="60" t="s">
        <v>483</v>
      </c>
      <c r="E335" s="60"/>
      <c r="F335" s="57" t="s">
        <v>2274</v>
      </c>
      <c r="H335" s="31" t="s">
        <v>2335</v>
      </c>
      <c r="I335" s="31" t="s">
        <v>2399</v>
      </c>
      <c r="L335" s="38"/>
      <c r="M335">
        <v>7.5</v>
      </c>
      <c r="P335" s="31">
        <v>28</v>
      </c>
      <c r="Q335" s="539">
        <v>3.5</v>
      </c>
      <c r="R335" s="38">
        <v>0.85</v>
      </c>
      <c r="S335" s="280">
        <f t="shared" si="152"/>
        <v>2.9750000000000001</v>
      </c>
      <c r="T335" s="31">
        <f>VLOOKUP(A335,'Ansvar kurs'!$A$1:$C$1123,2,FALSE)</f>
        <v>1630</v>
      </c>
      <c r="U335" s="31" t="str">
        <f>VLOOKUP(T335,Orgenheter!$A$1:$C$166,2,FALSE)</f>
        <v>Inst för ide- o samhällsstudier</v>
      </c>
      <c r="V335" s="31" t="str">
        <f>VLOOKUP(T335,Orgenheter!$A$1:$C$166,3,FALSE)</f>
        <v>Hum</v>
      </c>
      <c r="W335" s="35" t="str">
        <f>VLOOKUP(D335,Program!$A$1:$B$36,2,FALSE)</f>
        <v>Förskollärarprogrammet</v>
      </c>
      <c r="X335" s="40">
        <f>VLOOKUP(A335,kurspris!$A$1:$Q$913,15,FALSE)</f>
        <v>26554</v>
      </c>
      <c r="Y335" s="40">
        <f>VLOOKUP(A335,kurspris!$A$1:$Q$913,16,FALSE)</f>
        <v>33465</v>
      </c>
      <c r="Z335" s="40">
        <f t="shared" si="153"/>
        <v>192497.375</v>
      </c>
      <c r="AA335" s="40">
        <f>VLOOKUP(A335,kurspris!$A$1:$Q$913,17,FALSE)</f>
        <v>6000</v>
      </c>
      <c r="AB335" s="40">
        <f t="shared" si="154"/>
        <v>21000</v>
      </c>
      <c r="AC335" s="40">
        <f t="shared" si="155"/>
        <v>213497.375</v>
      </c>
      <c r="AD335" s="31">
        <f>VLOOKUP($A335,kurspris!$A$1:$Q$950,3,FALSE)</f>
        <v>0</v>
      </c>
      <c r="AE335" s="31">
        <f>VLOOKUP($A335,kurspris!$A$1:$Q$950,4,FALSE)</f>
        <v>0</v>
      </c>
      <c r="AF335" s="31">
        <f>VLOOKUP($A335,kurspris!$A$1:$Q$950,5,FALSE)</f>
        <v>0</v>
      </c>
      <c r="AG335" s="31">
        <f>VLOOKUP($A335,kurspris!$A$1:$Q$950,6,FALSE)</f>
        <v>1</v>
      </c>
      <c r="AH335" s="31">
        <f>VLOOKUP($A335,kurspris!$A$1:$Q$950,7,FALSE)</f>
        <v>0</v>
      </c>
      <c r="AI335" s="31">
        <f>VLOOKUP($A335,kurspris!$A$1:$Q$950,8,FALSE)</f>
        <v>0</v>
      </c>
      <c r="AJ335" s="31">
        <f>VLOOKUP($A335,kurspris!$A$1:$Q$950,9,FALSE)</f>
        <v>0</v>
      </c>
      <c r="AK335" s="31">
        <f>VLOOKUP($A335,kurspris!$A$1:$Q$950,10,FALSE)</f>
        <v>0</v>
      </c>
      <c r="AL335" s="31">
        <f>VLOOKUP($A335,kurspris!$A$1:$Q$950,11,FALSE)</f>
        <v>0</v>
      </c>
      <c r="AM335" s="31">
        <f>VLOOKUP($A335,kurspris!$A$1:$Q$950,12,FALSE)</f>
        <v>0</v>
      </c>
      <c r="AN335" s="31">
        <f>VLOOKUP($A335,kurspris!$A$1:$Q$950,13,FALSE)</f>
        <v>0</v>
      </c>
      <c r="AO335" s="31">
        <f>VLOOKUP($A335,kurspris!$A$1:$Q$950,14,FALSE)</f>
        <v>0</v>
      </c>
      <c r="AP335" s="57" t="s">
        <v>2402</v>
      </c>
      <c r="AQ335"/>
      <c r="AR335" s="31">
        <f t="shared" si="156"/>
        <v>0</v>
      </c>
      <c r="AS335" s="219">
        <f t="shared" si="157"/>
        <v>0</v>
      </c>
      <c r="AT335" s="31">
        <f t="shared" si="158"/>
        <v>0</v>
      </c>
      <c r="AU335" s="219">
        <f t="shared" si="159"/>
        <v>0</v>
      </c>
      <c r="AV335" s="31">
        <f t="shared" si="160"/>
        <v>0</v>
      </c>
      <c r="AW335" s="31">
        <f t="shared" si="161"/>
        <v>0</v>
      </c>
      <c r="AX335" s="31">
        <f t="shared" si="162"/>
        <v>3.5</v>
      </c>
      <c r="AY335" s="219">
        <f t="shared" si="163"/>
        <v>2.9750000000000001</v>
      </c>
      <c r="AZ335" s="196">
        <f t="shared" si="164"/>
        <v>0</v>
      </c>
      <c r="BA335" s="219">
        <f t="shared" si="165"/>
        <v>0</v>
      </c>
      <c r="BB335" s="31">
        <f t="shared" si="166"/>
        <v>0</v>
      </c>
      <c r="BC335" s="219">
        <f t="shared" si="167"/>
        <v>0</v>
      </c>
      <c r="BD335" s="31">
        <f t="shared" si="168"/>
        <v>0</v>
      </c>
      <c r="BE335" s="219">
        <f t="shared" si="169"/>
        <v>0</v>
      </c>
      <c r="BF335" s="31">
        <f t="shared" si="170"/>
        <v>0</v>
      </c>
      <c r="BG335" s="219">
        <f t="shared" si="171"/>
        <v>0</v>
      </c>
      <c r="BH335" s="31">
        <f t="shared" si="172"/>
        <v>0</v>
      </c>
      <c r="BI335" s="219">
        <f t="shared" si="173"/>
        <v>0</v>
      </c>
      <c r="BJ335" s="31">
        <f t="shared" si="174"/>
        <v>0</v>
      </c>
      <c r="BK335" s="219">
        <f t="shared" si="175"/>
        <v>0</v>
      </c>
      <c r="BL335" s="31">
        <f t="shared" si="176"/>
        <v>0</v>
      </c>
      <c r="BM335" s="219">
        <f t="shared" si="177"/>
        <v>0</v>
      </c>
      <c r="BN335" s="31">
        <f t="shared" si="178"/>
        <v>0</v>
      </c>
      <c r="BO335" s="219">
        <f t="shared" si="179"/>
        <v>0</v>
      </c>
    </row>
    <row r="336" spans="1:67" x14ac:dyDescent="0.25">
      <c r="A336" s="283" t="s">
        <v>1126</v>
      </c>
      <c r="B336" s="362" t="str">
        <f>VLOOKUP(A336,kurspris!$A$1:$B$992,2,FALSE)</f>
        <v>Etik, demokrati och det heterogena klassrummet, 7,5 hp</v>
      </c>
      <c r="C336" s="244"/>
      <c r="D336" s="538" t="s">
        <v>484</v>
      </c>
      <c r="E336" s="538" t="s">
        <v>2203</v>
      </c>
      <c r="F336" s="244" t="s">
        <v>2273</v>
      </c>
      <c r="G336" s="244"/>
      <c r="H336" s="244">
        <v>2480</v>
      </c>
      <c r="I336" s="244"/>
      <c r="J336" s="244"/>
      <c r="K336" s="244"/>
      <c r="L336" s="518"/>
      <c r="M336" s="325">
        <v>7.5</v>
      </c>
      <c r="N336" s="38">
        <v>-0.1</v>
      </c>
      <c r="O336" s="31">
        <v>24</v>
      </c>
      <c r="P336" s="31">
        <f>O336+(O336*N336)</f>
        <v>21.6</v>
      </c>
      <c r="Q336" s="196">
        <f>(M336/60)*P336</f>
        <v>2.7</v>
      </c>
      <c r="R336" s="38">
        <v>0.85</v>
      </c>
      <c r="S336" s="280">
        <f t="shared" si="152"/>
        <v>2.2949999999999999</v>
      </c>
      <c r="T336" s="31">
        <f>VLOOKUP(A336,'Ansvar kurs'!$A$1:$C$1123,2,FALSE)</f>
        <v>1630</v>
      </c>
      <c r="U336" s="31" t="str">
        <f>VLOOKUP(T336,Orgenheter!$A$1:$C$166,2,FALSE)</f>
        <v>Inst för ide- o samhällsstudier</v>
      </c>
      <c r="V336" s="31" t="str">
        <f>VLOOKUP(T336,Orgenheter!$A$1:$C$166,3,FALSE)</f>
        <v>Hum</v>
      </c>
      <c r="W336" s="35" t="str">
        <f>VLOOKUP(D336,Program!$A$1:$B$36,2,FALSE)</f>
        <v>Grundlärarprogrammet - fritidshem</v>
      </c>
      <c r="X336" s="40">
        <f>VLOOKUP(A336,kurspris!$A$1:$Q$913,15,FALSE)</f>
        <v>26554</v>
      </c>
      <c r="Y336" s="40">
        <f>VLOOKUP(A336,kurspris!$A$1:$Q$913,16,FALSE)</f>
        <v>33465</v>
      </c>
      <c r="Z336" s="40">
        <f t="shared" si="153"/>
        <v>148497.97500000001</v>
      </c>
      <c r="AA336" s="40">
        <f>VLOOKUP(A336,kurspris!$A$1:$Q$913,17,FALSE)</f>
        <v>6000</v>
      </c>
      <c r="AB336" s="40">
        <f t="shared" si="154"/>
        <v>16200.000000000002</v>
      </c>
      <c r="AC336" s="40">
        <f t="shared" si="155"/>
        <v>164697.97500000001</v>
      </c>
      <c r="AD336" s="31">
        <f>VLOOKUP($A336,kurspris!$A$1:$Q$950,3,FALSE)</f>
        <v>0</v>
      </c>
      <c r="AE336" s="31">
        <f>VLOOKUP($A336,kurspris!$A$1:$Q$950,4,FALSE)</f>
        <v>0</v>
      </c>
      <c r="AF336" s="31">
        <f>VLOOKUP($A336,kurspris!$A$1:$Q$950,5,FALSE)</f>
        <v>0</v>
      </c>
      <c r="AG336" s="31">
        <f>VLOOKUP($A336,kurspris!$A$1:$Q$950,6,FALSE)</f>
        <v>1</v>
      </c>
      <c r="AH336" s="31">
        <f>VLOOKUP($A336,kurspris!$A$1:$Q$950,7,FALSE)</f>
        <v>0</v>
      </c>
      <c r="AI336" s="31">
        <f>VLOOKUP($A336,kurspris!$A$1:$Q$950,8,FALSE)</f>
        <v>0</v>
      </c>
      <c r="AJ336" s="31">
        <f>VLOOKUP($A336,kurspris!$A$1:$Q$950,9,FALSE)</f>
        <v>0</v>
      </c>
      <c r="AK336" s="31">
        <f>VLOOKUP($A336,kurspris!$A$1:$Q$950,10,FALSE)</f>
        <v>0</v>
      </c>
      <c r="AL336" s="31">
        <f>VLOOKUP($A336,kurspris!$A$1:$Q$950,11,FALSE)</f>
        <v>0</v>
      </c>
      <c r="AM336" s="31">
        <f>VLOOKUP($A336,kurspris!$A$1:$Q$950,12,FALSE)</f>
        <v>0</v>
      </c>
      <c r="AN336" s="31">
        <f>VLOOKUP($A336,kurspris!$A$1:$Q$950,13,FALSE)</f>
        <v>0</v>
      </c>
      <c r="AO336" s="31">
        <f>VLOOKUP($A336,kurspris!$A$1:$Q$950,14,FALSE)</f>
        <v>0</v>
      </c>
      <c r="AP336" s="57" t="s">
        <v>2222</v>
      </c>
      <c r="AQ336"/>
      <c r="AR336" s="31">
        <f t="shared" si="156"/>
        <v>0</v>
      </c>
      <c r="AS336" s="219">
        <f t="shared" si="157"/>
        <v>0</v>
      </c>
      <c r="AT336" s="31">
        <f t="shared" si="158"/>
        <v>0</v>
      </c>
      <c r="AU336" s="219">
        <f t="shared" si="159"/>
        <v>0</v>
      </c>
      <c r="AV336" s="31">
        <f t="shared" si="160"/>
        <v>0</v>
      </c>
      <c r="AW336" s="31">
        <f t="shared" si="161"/>
        <v>0</v>
      </c>
      <c r="AX336" s="31">
        <f t="shared" si="162"/>
        <v>2.7</v>
      </c>
      <c r="AY336" s="219">
        <f t="shared" si="163"/>
        <v>2.2949999999999999</v>
      </c>
      <c r="AZ336" s="196">
        <f t="shared" si="164"/>
        <v>0</v>
      </c>
      <c r="BA336" s="219">
        <f t="shared" si="165"/>
        <v>0</v>
      </c>
      <c r="BB336" s="31">
        <f t="shared" si="166"/>
        <v>0</v>
      </c>
      <c r="BC336" s="219">
        <f t="shared" si="167"/>
        <v>0</v>
      </c>
      <c r="BD336" s="31">
        <f t="shared" si="168"/>
        <v>0</v>
      </c>
      <c r="BE336" s="219">
        <f t="shared" si="169"/>
        <v>0</v>
      </c>
      <c r="BF336" s="31">
        <f t="shared" si="170"/>
        <v>0</v>
      </c>
      <c r="BG336" s="219">
        <f t="shared" si="171"/>
        <v>0</v>
      </c>
      <c r="BH336" s="31">
        <f t="shared" si="172"/>
        <v>0</v>
      </c>
      <c r="BI336" s="219">
        <f t="shared" si="173"/>
        <v>0</v>
      </c>
      <c r="BJ336" s="31">
        <f t="shared" si="174"/>
        <v>0</v>
      </c>
      <c r="BK336" s="219">
        <f t="shared" si="175"/>
        <v>0</v>
      </c>
      <c r="BL336" s="31">
        <f t="shared" si="176"/>
        <v>0</v>
      </c>
      <c r="BM336" s="219">
        <f t="shared" si="177"/>
        <v>0</v>
      </c>
      <c r="BN336" s="31">
        <f t="shared" si="178"/>
        <v>0</v>
      </c>
      <c r="BO336" s="219">
        <f t="shared" si="179"/>
        <v>0</v>
      </c>
    </row>
    <row r="337" spans="1:67" x14ac:dyDescent="0.25">
      <c r="A337" s="283" t="s">
        <v>1126</v>
      </c>
      <c r="B337" s="362" t="str">
        <f>VLOOKUP(A337,kurspris!$A$1:$B$992,2,FALSE)</f>
        <v>Etik, demokrati och det heterogena klassrummet, 7,5 hp</v>
      </c>
      <c r="C337" s="244"/>
      <c r="D337" s="538" t="s">
        <v>485</v>
      </c>
      <c r="E337" s="538" t="s">
        <v>2203</v>
      </c>
      <c r="F337" s="244" t="s">
        <v>2273</v>
      </c>
      <c r="G337" s="244"/>
      <c r="H337" s="244">
        <v>2480</v>
      </c>
      <c r="I337" s="244"/>
      <c r="J337" s="244"/>
      <c r="K337" s="244"/>
      <c r="L337" s="518"/>
      <c r="M337" s="325">
        <v>7.5</v>
      </c>
      <c r="N337" s="38">
        <v>-0.08</v>
      </c>
      <c r="O337" s="31">
        <v>41</v>
      </c>
      <c r="P337" s="31">
        <f>O337+(O337*N337)</f>
        <v>37.72</v>
      </c>
      <c r="Q337" s="196">
        <f>(M337/60)*P337</f>
        <v>4.7149999999999999</v>
      </c>
      <c r="R337" s="38">
        <v>0.85</v>
      </c>
      <c r="S337" s="280">
        <f t="shared" si="152"/>
        <v>4.0077499999999997</v>
      </c>
      <c r="T337" s="31">
        <f>VLOOKUP(A337,'Ansvar kurs'!$A$1:$C$1123,2,FALSE)</f>
        <v>1630</v>
      </c>
      <c r="U337" s="31" t="str">
        <f>VLOOKUP(T337,Orgenheter!$A$1:$C$166,2,FALSE)</f>
        <v>Inst för ide- o samhällsstudier</v>
      </c>
      <c r="V337" s="31" t="str">
        <f>VLOOKUP(T337,Orgenheter!$A$1:$C$166,3,FALSE)</f>
        <v>Hum</v>
      </c>
      <c r="W337" s="35" t="str">
        <f>VLOOKUP(D337,Program!$A$1:$B$36,2,FALSE)</f>
        <v>Grundlärarprogrammet - förskoleklass och åk 1-3</v>
      </c>
      <c r="X337" s="40">
        <f>VLOOKUP(A337,kurspris!$A$1:$Q$913,15,FALSE)</f>
        <v>26554</v>
      </c>
      <c r="Y337" s="40">
        <f>VLOOKUP(A337,kurspris!$A$1:$Q$913,16,FALSE)</f>
        <v>33465</v>
      </c>
      <c r="Z337" s="40">
        <f t="shared" si="153"/>
        <v>259321.46375</v>
      </c>
      <c r="AA337" s="40">
        <f>VLOOKUP(A337,kurspris!$A$1:$Q$913,17,FALSE)</f>
        <v>6000</v>
      </c>
      <c r="AB337" s="40">
        <f t="shared" si="154"/>
        <v>28290</v>
      </c>
      <c r="AC337" s="40">
        <f t="shared" si="155"/>
        <v>287611.46375</v>
      </c>
      <c r="AD337" s="31">
        <f>VLOOKUP($A337,kurspris!$A$1:$Q$950,3,FALSE)</f>
        <v>0</v>
      </c>
      <c r="AE337" s="31">
        <f>VLOOKUP($A337,kurspris!$A$1:$Q$950,4,FALSE)</f>
        <v>0</v>
      </c>
      <c r="AF337" s="31">
        <f>VLOOKUP($A337,kurspris!$A$1:$Q$950,5,FALSE)</f>
        <v>0</v>
      </c>
      <c r="AG337" s="31">
        <f>VLOOKUP($A337,kurspris!$A$1:$Q$950,6,FALSE)</f>
        <v>1</v>
      </c>
      <c r="AH337" s="31">
        <f>VLOOKUP($A337,kurspris!$A$1:$Q$950,7,FALSE)</f>
        <v>0</v>
      </c>
      <c r="AI337" s="31">
        <f>VLOOKUP($A337,kurspris!$A$1:$Q$950,8,FALSE)</f>
        <v>0</v>
      </c>
      <c r="AJ337" s="31">
        <f>VLOOKUP($A337,kurspris!$A$1:$Q$950,9,FALSE)</f>
        <v>0</v>
      </c>
      <c r="AK337" s="31">
        <f>VLOOKUP($A337,kurspris!$A$1:$Q$950,10,FALSE)</f>
        <v>0</v>
      </c>
      <c r="AL337" s="31">
        <f>VLOOKUP($A337,kurspris!$A$1:$Q$950,11,FALSE)</f>
        <v>0</v>
      </c>
      <c r="AM337" s="31">
        <f>VLOOKUP($A337,kurspris!$A$1:$Q$950,12,FALSE)</f>
        <v>0</v>
      </c>
      <c r="AN337" s="31">
        <f>VLOOKUP($A337,kurspris!$A$1:$Q$950,13,FALSE)</f>
        <v>0</v>
      </c>
      <c r="AO337" s="31">
        <f>VLOOKUP($A337,kurspris!$A$1:$Q$950,14,FALSE)</f>
        <v>0</v>
      </c>
      <c r="AP337" s="57" t="s">
        <v>2222</v>
      </c>
      <c r="AQ337"/>
      <c r="AR337" s="31">
        <f t="shared" si="156"/>
        <v>0</v>
      </c>
      <c r="AS337" s="219">
        <f t="shared" si="157"/>
        <v>0</v>
      </c>
      <c r="AT337" s="31">
        <f t="shared" si="158"/>
        <v>0</v>
      </c>
      <c r="AU337" s="219">
        <f t="shared" si="159"/>
        <v>0</v>
      </c>
      <c r="AV337" s="31">
        <f t="shared" si="160"/>
        <v>0</v>
      </c>
      <c r="AW337" s="31">
        <f t="shared" si="161"/>
        <v>0</v>
      </c>
      <c r="AX337" s="31">
        <f t="shared" si="162"/>
        <v>4.7149999999999999</v>
      </c>
      <c r="AY337" s="219">
        <f t="shared" si="163"/>
        <v>4.0077499999999997</v>
      </c>
      <c r="AZ337" s="196">
        <f t="shared" si="164"/>
        <v>0</v>
      </c>
      <c r="BA337" s="219">
        <f t="shared" si="165"/>
        <v>0</v>
      </c>
      <c r="BB337" s="31">
        <f t="shared" si="166"/>
        <v>0</v>
      </c>
      <c r="BC337" s="219">
        <f t="shared" si="167"/>
        <v>0</v>
      </c>
      <c r="BD337" s="31">
        <f t="shared" si="168"/>
        <v>0</v>
      </c>
      <c r="BE337" s="219">
        <f t="shared" si="169"/>
        <v>0</v>
      </c>
      <c r="BF337" s="31">
        <f t="shared" si="170"/>
        <v>0</v>
      </c>
      <c r="BG337" s="219">
        <f t="shared" si="171"/>
        <v>0</v>
      </c>
      <c r="BH337" s="31">
        <f t="shared" si="172"/>
        <v>0</v>
      </c>
      <c r="BI337" s="219">
        <f t="shared" si="173"/>
        <v>0</v>
      </c>
      <c r="BJ337" s="31">
        <f t="shared" si="174"/>
        <v>0</v>
      </c>
      <c r="BK337" s="219">
        <f t="shared" si="175"/>
        <v>0</v>
      </c>
      <c r="BL337" s="31">
        <f t="shared" si="176"/>
        <v>0</v>
      </c>
      <c r="BM337" s="219">
        <f t="shared" si="177"/>
        <v>0</v>
      </c>
      <c r="BN337" s="31">
        <f t="shared" si="178"/>
        <v>0</v>
      </c>
      <c r="BO337" s="219">
        <f t="shared" si="179"/>
        <v>0</v>
      </c>
    </row>
    <row r="338" spans="1:67" x14ac:dyDescent="0.25">
      <c r="A338" s="283" t="s">
        <v>1126</v>
      </c>
      <c r="B338" s="362" t="str">
        <f>VLOOKUP(A338,kurspris!$A$1:$B$992,2,FALSE)</f>
        <v>Etik, demokrati och det heterogena klassrummet, 7,5 hp</v>
      </c>
      <c r="C338" s="244"/>
      <c r="D338" s="538" t="s">
        <v>523</v>
      </c>
      <c r="E338" s="538" t="s">
        <v>2203</v>
      </c>
      <c r="F338" s="244" t="s">
        <v>2273</v>
      </c>
      <c r="G338" s="244"/>
      <c r="H338" s="244">
        <v>2480</v>
      </c>
      <c r="I338" s="244"/>
      <c r="J338" s="244"/>
      <c r="K338" s="244"/>
      <c r="L338" s="518"/>
      <c r="M338" s="325">
        <v>7.5</v>
      </c>
      <c r="N338" s="38">
        <v>-0.12</v>
      </c>
      <c r="O338" s="31">
        <v>43</v>
      </c>
      <c r="P338" s="31">
        <f>O338+(O338*N338)</f>
        <v>37.840000000000003</v>
      </c>
      <c r="Q338" s="196">
        <f>(M338/60)*P338</f>
        <v>4.7300000000000004</v>
      </c>
      <c r="R338" s="38">
        <v>0.85</v>
      </c>
      <c r="S338" s="280">
        <f t="shared" si="152"/>
        <v>4.0205000000000002</v>
      </c>
      <c r="T338" s="31">
        <f>VLOOKUP(A338,'Ansvar kurs'!$A$1:$C$1123,2,FALSE)</f>
        <v>1630</v>
      </c>
      <c r="U338" s="31" t="str">
        <f>VLOOKUP(T338,Orgenheter!$A$1:$C$166,2,FALSE)</f>
        <v>Inst för ide- o samhällsstudier</v>
      </c>
      <c r="V338" s="31" t="str">
        <f>VLOOKUP(T338,Orgenheter!$A$1:$C$166,3,FALSE)</f>
        <v>Hum</v>
      </c>
      <c r="W338" s="35" t="str">
        <f>VLOOKUP(D338,Program!$A$1:$B$36,2,FALSE)</f>
        <v>Grundlärarprogrammet - grundskolans åk 4-6</v>
      </c>
      <c r="X338" s="40">
        <f>VLOOKUP(A338,kurspris!$A$1:$Q$913,15,FALSE)</f>
        <v>26554</v>
      </c>
      <c r="Y338" s="40">
        <f>VLOOKUP(A338,kurspris!$A$1:$Q$913,16,FALSE)</f>
        <v>33465</v>
      </c>
      <c r="Z338" s="40">
        <f t="shared" si="153"/>
        <v>260146.45250000001</v>
      </c>
      <c r="AA338" s="40">
        <f>VLOOKUP(A338,kurspris!$A$1:$Q$913,17,FALSE)</f>
        <v>6000</v>
      </c>
      <c r="AB338" s="40">
        <f t="shared" si="154"/>
        <v>28380.000000000004</v>
      </c>
      <c r="AC338" s="40">
        <f t="shared" si="155"/>
        <v>288526.45250000001</v>
      </c>
      <c r="AD338" s="31">
        <f>VLOOKUP($A338,kurspris!$A$1:$Q$950,3,FALSE)</f>
        <v>0</v>
      </c>
      <c r="AE338" s="31">
        <f>VLOOKUP($A338,kurspris!$A$1:$Q$950,4,FALSE)</f>
        <v>0</v>
      </c>
      <c r="AF338" s="31">
        <f>VLOOKUP($A338,kurspris!$A$1:$Q$950,5,FALSE)</f>
        <v>0</v>
      </c>
      <c r="AG338" s="31">
        <f>VLOOKUP($A338,kurspris!$A$1:$Q$950,6,FALSE)</f>
        <v>1</v>
      </c>
      <c r="AH338" s="31">
        <f>VLOOKUP($A338,kurspris!$A$1:$Q$950,7,FALSE)</f>
        <v>0</v>
      </c>
      <c r="AI338" s="31">
        <f>VLOOKUP($A338,kurspris!$A$1:$Q$950,8,FALSE)</f>
        <v>0</v>
      </c>
      <c r="AJ338" s="31">
        <f>VLOOKUP($A338,kurspris!$A$1:$Q$950,9,FALSE)</f>
        <v>0</v>
      </c>
      <c r="AK338" s="31">
        <f>VLOOKUP($A338,kurspris!$A$1:$Q$950,10,FALSE)</f>
        <v>0</v>
      </c>
      <c r="AL338" s="31">
        <f>VLOOKUP($A338,kurspris!$A$1:$Q$950,11,FALSE)</f>
        <v>0</v>
      </c>
      <c r="AM338" s="31">
        <f>VLOOKUP($A338,kurspris!$A$1:$Q$950,12,FALSE)</f>
        <v>0</v>
      </c>
      <c r="AN338" s="31">
        <f>VLOOKUP($A338,kurspris!$A$1:$Q$950,13,FALSE)</f>
        <v>0</v>
      </c>
      <c r="AO338" s="31">
        <f>VLOOKUP($A338,kurspris!$A$1:$Q$950,14,FALSE)</f>
        <v>0</v>
      </c>
      <c r="AP338" s="57" t="s">
        <v>2222</v>
      </c>
      <c r="AQ338" s="37"/>
      <c r="AR338" s="31">
        <f t="shared" si="156"/>
        <v>0</v>
      </c>
      <c r="AS338" s="219">
        <f t="shared" si="157"/>
        <v>0</v>
      </c>
      <c r="AT338" s="31">
        <f t="shared" si="158"/>
        <v>0</v>
      </c>
      <c r="AU338" s="219">
        <f t="shared" si="159"/>
        <v>0</v>
      </c>
      <c r="AV338" s="31">
        <f t="shared" si="160"/>
        <v>0</v>
      </c>
      <c r="AW338" s="31">
        <f t="shared" si="161"/>
        <v>0</v>
      </c>
      <c r="AX338" s="31">
        <f t="shared" si="162"/>
        <v>4.7300000000000004</v>
      </c>
      <c r="AY338" s="219">
        <f t="shared" si="163"/>
        <v>4.0205000000000002</v>
      </c>
      <c r="AZ338" s="196">
        <f t="shared" si="164"/>
        <v>0</v>
      </c>
      <c r="BA338" s="219">
        <f t="shared" si="165"/>
        <v>0</v>
      </c>
      <c r="BB338" s="31">
        <f t="shared" si="166"/>
        <v>0</v>
      </c>
      <c r="BC338" s="219">
        <f t="shared" si="167"/>
        <v>0</v>
      </c>
      <c r="BD338" s="31">
        <f t="shared" si="168"/>
        <v>0</v>
      </c>
      <c r="BE338" s="219">
        <f t="shared" si="169"/>
        <v>0</v>
      </c>
      <c r="BF338" s="31">
        <f t="shared" si="170"/>
        <v>0</v>
      </c>
      <c r="BG338" s="219">
        <f t="shared" si="171"/>
        <v>0</v>
      </c>
      <c r="BH338" s="31">
        <f t="shared" si="172"/>
        <v>0</v>
      </c>
      <c r="BI338" s="219">
        <f t="shared" si="173"/>
        <v>0</v>
      </c>
      <c r="BJ338" s="31">
        <f t="shared" si="174"/>
        <v>0</v>
      </c>
      <c r="BK338" s="219">
        <f t="shared" si="175"/>
        <v>0</v>
      </c>
      <c r="BL338" s="31">
        <f t="shared" si="176"/>
        <v>0</v>
      </c>
      <c r="BM338" s="219">
        <f t="shared" si="177"/>
        <v>0</v>
      </c>
      <c r="BN338" s="31">
        <f t="shared" si="178"/>
        <v>0</v>
      </c>
      <c r="BO338" s="219">
        <f t="shared" si="179"/>
        <v>0</v>
      </c>
    </row>
    <row r="339" spans="1:67" x14ac:dyDescent="0.25">
      <c r="A339" s="283" t="s">
        <v>2180</v>
      </c>
      <c r="B339" s="362" t="str">
        <f>VLOOKUP(A339,kurspris!$A$1:$B$992,2,FALSE)</f>
        <v>Värdegrund, etik och mångfald (UVK)</v>
      </c>
      <c r="C339" s="244"/>
      <c r="D339" s="538" t="s">
        <v>623</v>
      </c>
      <c r="E339" s="538" t="s">
        <v>2203</v>
      </c>
      <c r="F339" s="244" t="s">
        <v>2273</v>
      </c>
      <c r="G339" s="244"/>
      <c r="H339" s="244">
        <v>2480</v>
      </c>
      <c r="I339" s="244"/>
      <c r="J339" s="244"/>
      <c r="K339" s="244"/>
      <c r="L339" s="518">
        <v>0.5</v>
      </c>
      <c r="M339" s="511">
        <v>5</v>
      </c>
      <c r="N339" s="38">
        <v>-0.1</v>
      </c>
      <c r="O339" s="31">
        <v>45</v>
      </c>
      <c r="P339" s="31">
        <f>O339+(O339*N339)</f>
        <v>40.5</v>
      </c>
      <c r="Q339" s="196">
        <f>(M339/60)*P339</f>
        <v>3.375</v>
      </c>
      <c r="R339" s="38">
        <v>0.85</v>
      </c>
      <c r="S339" s="280">
        <f t="shared" si="152"/>
        <v>2.8687499999999999</v>
      </c>
      <c r="T339" s="31">
        <f>VLOOKUP(A339,'Ansvar kurs'!$A$1:$C$1123,2,FALSE)</f>
        <v>1630</v>
      </c>
      <c r="U339" s="31" t="str">
        <f>VLOOKUP(T339,Orgenheter!$A$1:$C$166,2,FALSE)</f>
        <v>Inst för ide- o samhällsstudier</v>
      </c>
      <c r="V339" s="31" t="str">
        <f>VLOOKUP(T339,Orgenheter!$A$1:$C$166,3,FALSE)</f>
        <v>Hum</v>
      </c>
      <c r="W339" s="35" t="str">
        <f>VLOOKUP(D339,Program!$A$1:$B$36,2,FALSE)</f>
        <v>Yrkeslärarprogrammet</v>
      </c>
      <c r="X339" s="40">
        <f>VLOOKUP(A339,kurspris!$A$1:$Q$913,15,FALSE)</f>
        <v>26554</v>
      </c>
      <c r="Y339" s="40">
        <f>VLOOKUP(A339,kurspris!$A$1:$Q$913,16,FALSE)</f>
        <v>33465</v>
      </c>
      <c r="Z339" s="40">
        <f t="shared" si="153"/>
        <v>185622.46875</v>
      </c>
      <c r="AA339" s="40">
        <f>VLOOKUP(A339,kurspris!$A$1:$Q$913,17,FALSE)</f>
        <v>6000</v>
      </c>
      <c r="AB339" s="40">
        <f t="shared" si="154"/>
        <v>20250</v>
      </c>
      <c r="AC339" s="40">
        <f t="shared" si="155"/>
        <v>205872.46875</v>
      </c>
      <c r="AD339" s="31">
        <f>VLOOKUP($A339,kurspris!$A$1:$Q$950,3,FALSE)</f>
        <v>0</v>
      </c>
      <c r="AE339" s="31">
        <f>VLOOKUP($A339,kurspris!$A$1:$Q$950,4,FALSE)</f>
        <v>0</v>
      </c>
      <c r="AF339" s="31">
        <f>VLOOKUP($A339,kurspris!$A$1:$Q$950,5,FALSE)</f>
        <v>0</v>
      </c>
      <c r="AG339" s="31">
        <f>VLOOKUP($A339,kurspris!$A$1:$Q$950,6,FALSE)</f>
        <v>1</v>
      </c>
      <c r="AH339" s="31">
        <f>VLOOKUP($A339,kurspris!$A$1:$Q$950,7,FALSE)</f>
        <v>0</v>
      </c>
      <c r="AI339" s="31">
        <f>VLOOKUP($A339,kurspris!$A$1:$Q$950,8,FALSE)</f>
        <v>0</v>
      </c>
      <c r="AJ339" s="31">
        <f>VLOOKUP($A339,kurspris!$A$1:$Q$950,9,FALSE)</f>
        <v>0</v>
      </c>
      <c r="AK339" s="31">
        <f>VLOOKUP($A339,kurspris!$A$1:$Q$950,10,FALSE)</f>
        <v>0</v>
      </c>
      <c r="AL339" s="31">
        <f>VLOOKUP($A339,kurspris!$A$1:$Q$950,11,FALSE)</f>
        <v>0</v>
      </c>
      <c r="AM339" s="31">
        <f>VLOOKUP($A339,kurspris!$A$1:$Q$950,12,FALSE)</f>
        <v>0</v>
      </c>
      <c r="AN339" s="31">
        <f>VLOOKUP($A339,kurspris!$A$1:$Q$950,13,FALSE)</f>
        <v>0</v>
      </c>
      <c r="AO339" s="31">
        <f>VLOOKUP($A339,kurspris!$A$1:$Q$950,14,FALSE)</f>
        <v>0</v>
      </c>
      <c r="AP339" s="57" t="s">
        <v>2222</v>
      </c>
      <c r="AQ339" s="37" t="s">
        <v>2208</v>
      </c>
      <c r="AR339" s="31">
        <f t="shared" si="156"/>
        <v>0</v>
      </c>
      <c r="AS339" s="219">
        <f t="shared" si="157"/>
        <v>0</v>
      </c>
      <c r="AT339" s="31">
        <f t="shared" si="158"/>
        <v>0</v>
      </c>
      <c r="AU339" s="219">
        <f t="shared" si="159"/>
        <v>0</v>
      </c>
      <c r="AV339" s="31">
        <f t="shared" si="160"/>
        <v>0</v>
      </c>
      <c r="AW339" s="31">
        <f t="shared" si="161"/>
        <v>0</v>
      </c>
      <c r="AX339" s="31">
        <f t="shared" si="162"/>
        <v>3.375</v>
      </c>
      <c r="AY339" s="219">
        <f t="shared" si="163"/>
        <v>2.8687499999999999</v>
      </c>
      <c r="AZ339" s="196">
        <f t="shared" si="164"/>
        <v>0</v>
      </c>
      <c r="BA339" s="219">
        <f t="shared" si="165"/>
        <v>0</v>
      </c>
      <c r="BB339" s="31">
        <f t="shared" si="166"/>
        <v>0</v>
      </c>
      <c r="BC339" s="219">
        <f t="shared" si="167"/>
        <v>0</v>
      </c>
      <c r="BD339" s="31">
        <f t="shared" si="168"/>
        <v>0</v>
      </c>
      <c r="BE339" s="219">
        <f t="shared" si="169"/>
        <v>0</v>
      </c>
      <c r="BF339" s="31">
        <f t="shared" si="170"/>
        <v>0</v>
      </c>
      <c r="BG339" s="219">
        <f t="shared" si="171"/>
        <v>0</v>
      </c>
      <c r="BH339" s="31">
        <f t="shared" si="172"/>
        <v>0</v>
      </c>
      <c r="BI339" s="219">
        <f t="shared" si="173"/>
        <v>0</v>
      </c>
      <c r="BJ339" s="31">
        <f t="shared" si="174"/>
        <v>0</v>
      </c>
      <c r="BK339" s="219">
        <f t="shared" si="175"/>
        <v>0</v>
      </c>
      <c r="BL339" s="31">
        <f t="shared" si="176"/>
        <v>0</v>
      </c>
      <c r="BM339" s="219">
        <f t="shared" si="177"/>
        <v>0</v>
      </c>
      <c r="BN339" s="31">
        <f t="shared" si="178"/>
        <v>0</v>
      </c>
      <c r="BO339" s="219">
        <f t="shared" si="179"/>
        <v>0</v>
      </c>
    </row>
    <row r="340" spans="1:67" x14ac:dyDescent="0.25">
      <c r="A340" s="31" t="s">
        <v>2180</v>
      </c>
      <c r="B340" s="176" t="str">
        <f>VLOOKUP(A340,kurspris!$A$1:$B$992,2,FALSE)</f>
        <v>Värdegrund, etik och mångfald (UVK)</v>
      </c>
      <c r="C340" s="31">
        <v>71911</v>
      </c>
      <c r="D340" s="60" t="s">
        <v>623</v>
      </c>
      <c r="E340" s="60"/>
      <c r="F340" s="57" t="s">
        <v>2274</v>
      </c>
      <c r="H340" s="31" t="s">
        <v>2335</v>
      </c>
      <c r="I340" s="31" t="s">
        <v>2275</v>
      </c>
      <c r="L340" s="38"/>
      <c r="M340" s="244">
        <v>5</v>
      </c>
      <c r="P340" s="31">
        <v>44</v>
      </c>
      <c r="Q340" s="539">
        <v>3.6669999999999998</v>
      </c>
      <c r="R340" s="38">
        <v>0.85</v>
      </c>
      <c r="S340" s="280">
        <f t="shared" si="152"/>
        <v>3.1169499999999997</v>
      </c>
      <c r="T340" s="31">
        <f>VLOOKUP(A340,'Ansvar kurs'!$A$1:$C$1123,2,FALSE)</f>
        <v>1630</v>
      </c>
      <c r="U340" s="31" t="str">
        <f>VLOOKUP(T340,Orgenheter!$A$1:$C$166,2,FALSE)</f>
        <v>Inst för ide- o samhällsstudier</v>
      </c>
      <c r="V340" s="31" t="str">
        <f>VLOOKUP(T340,Orgenheter!$A$1:$C$166,3,FALSE)</f>
        <v>Hum</v>
      </c>
      <c r="W340" s="35" t="str">
        <f>VLOOKUP(D340,Program!$A$1:$B$36,2,FALSE)</f>
        <v>Yrkeslärarprogrammet</v>
      </c>
      <c r="X340" s="40">
        <f>VLOOKUP(A340,kurspris!$A$1:$Q$913,15,FALSE)</f>
        <v>26554</v>
      </c>
      <c r="Y340" s="40">
        <f>VLOOKUP(A340,kurspris!$A$1:$Q$913,16,FALSE)</f>
        <v>33465</v>
      </c>
      <c r="Z340" s="40">
        <f t="shared" si="153"/>
        <v>201682.24974999999</v>
      </c>
      <c r="AA340" s="40">
        <f>VLOOKUP(A340,kurspris!$A$1:$Q$913,17,FALSE)</f>
        <v>6000</v>
      </c>
      <c r="AB340" s="40">
        <f t="shared" si="154"/>
        <v>22002</v>
      </c>
      <c r="AC340" s="40">
        <f t="shared" si="155"/>
        <v>223684.24974999999</v>
      </c>
      <c r="AD340" s="31">
        <f>VLOOKUP($A340,kurspris!$A$1:$Q$950,3,FALSE)</f>
        <v>0</v>
      </c>
      <c r="AE340" s="31">
        <f>VLOOKUP($A340,kurspris!$A$1:$Q$950,4,FALSE)</f>
        <v>0</v>
      </c>
      <c r="AF340" s="31">
        <f>VLOOKUP($A340,kurspris!$A$1:$Q$950,5,FALSE)</f>
        <v>0</v>
      </c>
      <c r="AG340" s="31">
        <f>VLOOKUP($A340,kurspris!$A$1:$Q$950,6,FALSE)</f>
        <v>1</v>
      </c>
      <c r="AH340" s="31">
        <f>VLOOKUP($A340,kurspris!$A$1:$Q$950,7,FALSE)</f>
        <v>0</v>
      </c>
      <c r="AI340" s="31">
        <f>VLOOKUP($A340,kurspris!$A$1:$Q$950,8,FALSE)</f>
        <v>0</v>
      </c>
      <c r="AJ340" s="31">
        <f>VLOOKUP($A340,kurspris!$A$1:$Q$950,9,FALSE)</f>
        <v>0</v>
      </c>
      <c r="AK340" s="31">
        <f>VLOOKUP($A340,kurspris!$A$1:$Q$950,10,FALSE)</f>
        <v>0</v>
      </c>
      <c r="AL340" s="31">
        <f>VLOOKUP($A340,kurspris!$A$1:$Q$950,11,FALSE)</f>
        <v>0</v>
      </c>
      <c r="AM340" s="31">
        <f>VLOOKUP($A340,kurspris!$A$1:$Q$950,12,FALSE)</f>
        <v>0</v>
      </c>
      <c r="AN340" s="31">
        <f>VLOOKUP($A340,kurspris!$A$1:$Q$950,13,FALSE)</f>
        <v>0</v>
      </c>
      <c r="AO340" s="31">
        <f>VLOOKUP($A340,kurspris!$A$1:$Q$950,14,FALSE)</f>
        <v>0</v>
      </c>
      <c r="AP340" s="57" t="s">
        <v>2402</v>
      </c>
      <c r="AQ340" t="s">
        <v>2208</v>
      </c>
      <c r="AR340" s="31">
        <f t="shared" si="156"/>
        <v>0</v>
      </c>
      <c r="AS340" s="219">
        <f t="shared" si="157"/>
        <v>0</v>
      </c>
      <c r="AT340" s="31">
        <f t="shared" si="158"/>
        <v>0</v>
      </c>
      <c r="AU340" s="219">
        <f t="shared" si="159"/>
        <v>0</v>
      </c>
      <c r="AV340" s="31">
        <f t="shared" si="160"/>
        <v>0</v>
      </c>
      <c r="AW340" s="31">
        <f t="shared" si="161"/>
        <v>0</v>
      </c>
      <c r="AX340" s="31">
        <f t="shared" si="162"/>
        <v>3.6669999999999998</v>
      </c>
      <c r="AY340" s="219">
        <f t="shared" si="163"/>
        <v>3.1169499999999997</v>
      </c>
      <c r="AZ340" s="196">
        <f t="shared" si="164"/>
        <v>0</v>
      </c>
      <c r="BA340" s="219">
        <f t="shared" si="165"/>
        <v>0</v>
      </c>
      <c r="BB340" s="31">
        <f t="shared" si="166"/>
        <v>0</v>
      </c>
      <c r="BC340" s="219">
        <f t="shared" si="167"/>
        <v>0</v>
      </c>
      <c r="BD340" s="31">
        <f t="shared" si="168"/>
        <v>0</v>
      </c>
      <c r="BE340" s="219">
        <f t="shared" si="169"/>
        <v>0</v>
      </c>
      <c r="BF340" s="31">
        <f t="shared" si="170"/>
        <v>0</v>
      </c>
      <c r="BG340" s="219">
        <f t="shared" si="171"/>
        <v>0</v>
      </c>
      <c r="BH340" s="31">
        <f t="shared" si="172"/>
        <v>0</v>
      </c>
      <c r="BI340" s="219">
        <f t="shared" si="173"/>
        <v>0</v>
      </c>
      <c r="BJ340" s="31">
        <f t="shared" si="174"/>
        <v>0</v>
      </c>
      <c r="BK340" s="219">
        <f t="shared" si="175"/>
        <v>0</v>
      </c>
      <c r="BL340" s="31">
        <f t="shared" si="176"/>
        <v>0</v>
      </c>
      <c r="BM340" s="219">
        <f t="shared" si="177"/>
        <v>0</v>
      </c>
      <c r="BN340" s="31">
        <f t="shared" si="178"/>
        <v>0</v>
      </c>
      <c r="BO340" s="219">
        <f t="shared" si="179"/>
        <v>0</v>
      </c>
    </row>
    <row r="341" spans="1:67" x14ac:dyDescent="0.25">
      <c r="A341" s="244" t="s">
        <v>2210</v>
      </c>
      <c r="B341" s="362" t="str">
        <f>VLOOKUP(A341,kurspris!$A$1:$B$992,2,FALSE)</f>
        <v>Kunskap, undervisning och lärande 1 (UVK)</v>
      </c>
      <c r="C341" s="244"/>
      <c r="D341" s="538" t="s">
        <v>623</v>
      </c>
      <c r="E341" s="538" t="s">
        <v>2203</v>
      </c>
      <c r="F341" s="244" t="s">
        <v>2273</v>
      </c>
      <c r="G341" s="244"/>
      <c r="H341" s="244">
        <v>2480</v>
      </c>
      <c r="I341" s="244"/>
      <c r="J341" s="244"/>
      <c r="K341" s="244"/>
      <c r="L341" s="518">
        <v>0.5</v>
      </c>
      <c r="M341" s="325">
        <v>10</v>
      </c>
      <c r="P341" s="574">
        <v>45</v>
      </c>
      <c r="Q341" s="196">
        <f>(M341/60)*P341</f>
        <v>7.5</v>
      </c>
      <c r="R341" s="38">
        <v>0.85</v>
      </c>
      <c r="S341" s="280">
        <f t="shared" si="152"/>
        <v>6.375</v>
      </c>
      <c r="T341" s="31">
        <f>VLOOKUP(A341,'Ansvar kurs'!$A$1:$C$1123,2,FALSE)</f>
        <v>1630</v>
      </c>
      <c r="U341" s="31" t="str">
        <f>VLOOKUP(T341,Orgenheter!$A$1:$C$166,2,FALSE)</f>
        <v>Inst för ide- o samhällsstudier</v>
      </c>
      <c r="V341" s="31" t="str">
        <f>VLOOKUP(T341,Orgenheter!$A$1:$C$166,3,FALSE)</f>
        <v>Hum</v>
      </c>
      <c r="W341" s="35" t="str">
        <f>VLOOKUP(D341,Program!$A$1:$B$36,2,FALSE)</f>
        <v>Yrkeslärarprogrammet</v>
      </c>
      <c r="X341" s="40">
        <f>VLOOKUP(A341,kurspris!$A$1:$Q$913,15,FALSE)</f>
        <v>26554</v>
      </c>
      <c r="Y341" s="40">
        <f>VLOOKUP(A341,kurspris!$A$1:$Q$913,16,FALSE)</f>
        <v>33465</v>
      </c>
      <c r="Z341" s="40">
        <f t="shared" si="153"/>
        <v>412494.375</v>
      </c>
      <c r="AA341" s="40">
        <f>VLOOKUP(A341,kurspris!$A$1:$Q$913,17,FALSE)</f>
        <v>6000</v>
      </c>
      <c r="AB341" s="40">
        <f t="shared" si="154"/>
        <v>45000</v>
      </c>
      <c r="AC341" s="40">
        <f t="shared" si="155"/>
        <v>457494.375</v>
      </c>
      <c r="AD341" s="31">
        <f>VLOOKUP($A341,kurspris!$A$1:$Q$950,3,FALSE)</f>
        <v>0</v>
      </c>
      <c r="AE341" s="31">
        <f>VLOOKUP($A341,kurspris!$A$1:$Q$950,4,FALSE)</f>
        <v>0</v>
      </c>
      <c r="AF341" s="31">
        <f>VLOOKUP($A341,kurspris!$A$1:$Q$950,5,FALSE)</f>
        <v>0</v>
      </c>
      <c r="AG341" s="31">
        <f>VLOOKUP($A341,kurspris!$A$1:$Q$950,6,FALSE)</f>
        <v>1</v>
      </c>
      <c r="AH341" s="31">
        <f>VLOOKUP($A341,kurspris!$A$1:$Q$950,7,FALSE)</f>
        <v>0</v>
      </c>
      <c r="AI341" s="31">
        <f>VLOOKUP($A341,kurspris!$A$1:$Q$950,8,FALSE)</f>
        <v>0</v>
      </c>
      <c r="AJ341" s="31">
        <f>VLOOKUP($A341,kurspris!$A$1:$Q$950,9,FALSE)</f>
        <v>0</v>
      </c>
      <c r="AK341" s="31">
        <f>VLOOKUP($A341,kurspris!$A$1:$Q$950,10,FALSE)</f>
        <v>0</v>
      </c>
      <c r="AL341" s="31">
        <f>VLOOKUP($A341,kurspris!$A$1:$Q$950,11,FALSE)</f>
        <v>0</v>
      </c>
      <c r="AM341" s="31">
        <f>VLOOKUP($A341,kurspris!$A$1:$Q$950,12,FALSE)</f>
        <v>0</v>
      </c>
      <c r="AN341" s="31">
        <f>VLOOKUP($A341,kurspris!$A$1:$Q$950,13,FALSE)</f>
        <v>0</v>
      </c>
      <c r="AO341" s="31">
        <f>VLOOKUP($A341,kurspris!$A$1:$Q$950,14,FALSE)</f>
        <v>0</v>
      </c>
      <c r="AP341" s="57" t="s">
        <v>2499</v>
      </c>
      <c r="AQ341"/>
      <c r="AR341" s="31">
        <f t="shared" si="156"/>
        <v>0</v>
      </c>
      <c r="AS341" s="219">
        <f t="shared" si="157"/>
        <v>0</v>
      </c>
      <c r="AT341" s="31">
        <f t="shared" si="158"/>
        <v>0</v>
      </c>
      <c r="AU341" s="219">
        <f t="shared" si="159"/>
        <v>0</v>
      </c>
      <c r="AV341" s="31">
        <f t="shared" si="160"/>
        <v>0</v>
      </c>
      <c r="AW341" s="31">
        <f t="shared" si="161"/>
        <v>0</v>
      </c>
      <c r="AX341" s="31">
        <f t="shared" si="162"/>
        <v>7.5</v>
      </c>
      <c r="AY341" s="219">
        <f t="shared" si="163"/>
        <v>6.375</v>
      </c>
      <c r="AZ341" s="196">
        <f t="shared" si="164"/>
        <v>0</v>
      </c>
      <c r="BA341" s="219">
        <f t="shared" si="165"/>
        <v>0</v>
      </c>
      <c r="BB341" s="31">
        <f t="shared" si="166"/>
        <v>0</v>
      </c>
      <c r="BC341" s="219">
        <f t="shared" si="167"/>
        <v>0</v>
      </c>
      <c r="BD341" s="31">
        <f t="shared" si="168"/>
        <v>0</v>
      </c>
      <c r="BE341" s="219">
        <f t="shared" si="169"/>
        <v>0</v>
      </c>
      <c r="BF341" s="31">
        <f t="shared" si="170"/>
        <v>0</v>
      </c>
      <c r="BG341" s="219">
        <f t="shared" si="171"/>
        <v>0</v>
      </c>
      <c r="BH341" s="31">
        <f t="shared" si="172"/>
        <v>0</v>
      </c>
      <c r="BI341" s="219">
        <f t="shared" si="173"/>
        <v>0</v>
      </c>
      <c r="BJ341" s="31">
        <f t="shared" si="174"/>
        <v>0</v>
      </c>
      <c r="BK341" s="219">
        <f t="shared" si="175"/>
        <v>0</v>
      </c>
      <c r="BL341" s="31">
        <f t="shared" si="176"/>
        <v>0</v>
      </c>
      <c r="BM341" s="219">
        <f t="shared" si="177"/>
        <v>0</v>
      </c>
      <c r="BN341" s="31">
        <f t="shared" si="178"/>
        <v>0</v>
      </c>
      <c r="BO341" s="219">
        <f t="shared" si="179"/>
        <v>0</v>
      </c>
    </row>
    <row r="342" spans="1:67" x14ac:dyDescent="0.25">
      <c r="A342" s="31" t="s">
        <v>815</v>
      </c>
      <c r="B342" s="176" t="str">
        <f>VLOOKUP(A342,kurspris!$A$1:$B$992,2,FALSE)</f>
        <v>Att undervisa i åk 4-6</v>
      </c>
      <c r="C342" s="31">
        <v>71920</v>
      </c>
      <c r="D342" s="31" t="s">
        <v>523</v>
      </c>
      <c r="F342" s="57" t="s">
        <v>2274</v>
      </c>
      <c r="H342" s="31" t="s">
        <v>2335</v>
      </c>
      <c r="I342" s="31" t="s">
        <v>2399</v>
      </c>
      <c r="L342" s="38"/>
      <c r="M342">
        <v>6</v>
      </c>
      <c r="P342" s="31">
        <v>19</v>
      </c>
      <c r="Q342" s="539">
        <v>1.9</v>
      </c>
      <c r="R342" s="38">
        <v>0.85</v>
      </c>
      <c r="S342" s="280">
        <f t="shared" si="152"/>
        <v>1.615</v>
      </c>
      <c r="T342" s="31">
        <f>VLOOKUP(A342,'Ansvar kurs'!$A$1:$C$1123,2,FALSE)</f>
        <v>1620</v>
      </c>
      <c r="U342" s="31" t="str">
        <f>VLOOKUP(T342,Orgenheter!$A$1:$C$166,2,FALSE)</f>
        <v>Inst för språkstudier</v>
      </c>
      <c r="V342" s="31" t="str">
        <f>VLOOKUP(T342,Orgenheter!$A$1:$C$166,3,FALSE)</f>
        <v>Hum</v>
      </c>
      <c r="W342" s="35" t="str">
        <f>VLOOKUP(D342,Program!$A$1:$B$36,2,FALSE)</f>
        <v>Grundlärarprogrammet - grundskolans åk 4-6</v>
      </c>
      <c r="X342" s="40">
        <f>VLOOKUP(A342,kurspris!$A$1:$Q$913,15,FALSE)</f>
        <v>25235</v>
      </c>
      <c r="Y342" s="40">
        <f>VLOOKUP(A342,kurspris!$A$1:$Q$913,16,FALSE)</f>
        <v>27976</v>
      </c>
      <c r="Z342" s="40">
        <f t="shared" si="153"/>
        <v>93127.739999999991</v>
      </c>
      <c r="AA342" s="40">
        <f>VLOOKUP(A342,kurspris!$A$1:$Q$913,17,FALSE)</f>
        <v>3600</v>
      </c>
      <c r="AB342" s="40">
        <f t="shared" si="154"/>
        <v>6840</v>
      </c>
      <c r="AC342" s="40">
        <f t="shared" si="155"/>
        <v>99967.739999999991</v>
      </c>
      <c r="AD342" s="31">
        <f>VLOOKUP($A342,kurspris!$A$1:$Q$950,3,FALSE)</f>
        <v>0</v>
      </c>
      <c r="AE342" s="31">
        <f>VLOOKUP($A342,kurspris!$A$1:$Q$950,4,FALSE)</f>
        <v>0</v>
      </c>
      <c r="AF342" s="31">
        <f>VLOOKUP($A342,kurspris!$A$1:$Q$950,5,FALSE)</f>
        <v>0</v>
      </c>
      <c r="AG342" s="31">
        <f>VLOOKUP($A342,kurspris!$A$1:$Q$950,6,FALSE)</f>
        <v>0</v>
      </c>
      <c r="AH342" s="31">
        <f>VLOOKUP($A342,kurspris!$A$1:$Q$950,7,FALSE)</f>
        <v>0</v>
      </c>
      <c r="AI342" s="31">
        <f>VLOOKUP($A342,kurspris!$A$1:$Q$950,8,FALSE)</f>
        <v>0</v>
      </c>
      <c r="AJ342" s="31">
        <f>VLOOKUP($A342,kurspris!$A$1:$Q$950,9,FALSE)</f>
        <v>0</v>
      </c>
      <c r="AK342" s="31">
        <f>VLOOKUP($A342,kurspris!$A$1:$Q$950,10,FALSE)</f>
        <v>0</v>
      </c>
      <c r="AL342" s="31">
        <f>VLOOKUP($A342,kurspris!$A$1:$Q$950,11,FALSE)</f>
        <v>1</v>
      </c>
      <c r="AM342" s="31">
        <f>VLOOKUP($A342,kurspris!$A$1:$Q$950,12,FALSE)</f>
        <v>0</v>
      </c>
      <c r="AN342" s="31">
        <f>VLOOKUP($A342,kurspris!$A$1:$Q$950,13,FALSE)</f>
        <v>0</v>
      </c>
      <c r="AO342" s="31">
        <f>VLOOKUP($A342,kurspris!$A$1:$Q$950,14,FALSE)</f>
        <v>0</v>
      </c>
      <c r="AP342" s="57" t="s">
        <v>2402</v>
      </c>
      <c r="AQ342"/>
      <c r="AR342" s="31">
        <f t="shared" si="156"/>
        <v>0</v>
      </c>
      <c r="AS342" s="219">
        <f t="shared" si="157"/>
        <v>0</v>
      </c>
      <c r="AT342" s="31">
        <f t="shared" si="158"/>
        <v>0</v>
      </c>
      <c r="AU342" s="219">
        <f t="shared" si="159"/>
        <v>0</v>
      </c>
      <c r="AV342" s="31">
        <f t="shared" si="160"/>
        <v>0</v>
      </c>
      <c r="AW342" s="31">
        <f t="shared" si="161"/>
        <v>0</v>
      </c>
      <c r="AX342" s="31">
        <f t="shared" si="162"/>
        <v>0</v>
      </c>
      <c r="AY342" s="219">
        <f t="shared" si="163"/>
        <v>0</v>
      </c>
      <c r="AZ342" s="196">
        <f t="shared" si="164"/>
        <v>0</v>
      </c>
      <c r="BA342" s="219">
        <f t="shared" si="165"/>
        <v>0</v>
      </c>
      <c r="BB342" s="31">
        <f t="shared" si="166"/>
        <v>0</v>
      </c>
      <c r="BC342" s="219">
        <f t="shared" si="167"/>
        <v>0</v>
      </c>
      <c r="BD342" s="31">
        <f t="shared" si="168"/>
        <v>0</v>
      </c>
      <c r="BE342" s="219">
        <f t="shared" si="169"/>
        <v>0</v>
      </c>
      <c r="BF342" s="31">
        <f t="shared" si="170"/>
        <v>0</v>
      </c>
      <c r="BG342" s="219">
        <f t="shared" si="171"/>
        <v>0</v>
      </c>
      <c r="BH342" s="31">
        <f t="shared" si="172"/>
        <v>1.9</v>
      </c>
      <c r="BI342" s="219">
        <f t="shared" si="173"/>
        <v>1.615</v>
      </c>
      <c r="BJ342" s="31">
        <f t="shared" si="174"/>
        <v>0</v>
      </c>
      <c r="BK342" s="219">
        <f t="shared" si="175"/>
        <v>0</v>
      </c>
      <c r="BL342" s="31">
        <f t="shared" si="176"/>
        <v>0</v>
      </c>
      <c r="BM342" s="219">
        <f t="shared" si="177"/>
        <v>0</v>
      </c>
      <c r="BN342" s="31">
        <f t="shared" si="178"/>
        <v>0</v>
      </c>
      <c r="BO342" s="219">
        <f t="shared" si="179"/>
        <v>0</v>
      </c>
    </row>
    <row r="343" spans="1:67" x14ac:dyDescent="0.25">
      <c r="A343" s="31" t="s">
        <v>814</v>
      </c>
      <c r="B343" s="176" t="str">
        <f>VLOOKUP(A343,kurspris!$A$1:$B$992,2,FALSE)</f>
        <v>Att undervisa i F-3</v>
      </c>
      <c r="C343" s="31">
        <v>71919</v>
      </c>
      <c r="D343" s="60" t="s">
        <v>485</v>
      </c>
      <c r="E343" s="60"/>
      <c r="F343" s="57" t="s">
        <v>2274</v>
      </c>
      <c r="H343" s="31" t="s">
        <v>2335</v>
      </c>
      <c r="I343" s="31" t="s">
        <v>2399</v>
      </c>
      <c r="L343" s="38"/>
      <c r="M343">
        <v>6</v>
      </c>
      <c r="P343" s="31">
        <v>38</v>
      </c>
      <c r="Q343" s="539">
        <v>3.8</v>
      </c>
      <c r="R343" s="38">
        <v>0.85</v>
      </c>
      <c r="S343" s="280">
        <f t="shared" si="152"/>
        <v>3.23</v>
      </c>
      <c r="T343" s="31">
        <f>VLOOKUP(A343,'Ansvar kurs'!$A$1:$C$1123,2,FALSE)</f>
        <v>1620</v>
      </c>
      <c r="U343" s="31" t="str">
        <f>VLOOKUP(T343,Orgenheter!$A$1:$C$166,2,FALSE)</f>
        <v>Inst för språkstudier</v>
      </c>
      <c r="V343" s="31" t="str">
        <f>VLOOKUP(T343,Orgenheter!$A$1:$C$166,3,FALSE)</f>
        <v>Hum</v>
      </c>
      <c r="W343" s="35" t="str">
        <f>VLOOKUP(D343,Program!$A$1:$B$36,2,FALSE)</f>
        <v>Grundlärarprogrammet - förskoleklass och åk 1-3</v>
      </c>
      <c r="X343" s="40">
        <f>VLOOKUP(A343,kurspris!$A$1:$Q$913,15,FALSE)</f>
        <v>25235</v>
      </c>
      <c r="Y343" s="40">
        <f>VLOOKUP(A343,kurspris!$A$1:$Q$913,16,FALSE)</f>
        <v>27976</v>
      </c>
      <c r="Z343" s="40">
        <f t="shared" si="153"/>
        <v>186255.47999999998</v>
      </c>
      <c r="AA343" s="40">
        <f>VLOOKUP(A343,kurspris!$A$1:$Q$913,17,FALSE)</f>
        <v>3600</v>
      </c>
      <c r="AB343" s="40">
        <f t="shared" si="154"/>
        <v>13680</v>
      </c>
      <c r="AC343" s="40">
        <f t="shared" si="155"/>
        <v>199935.47999999998</v>
      </c>
      <c r="AD343" s="31">
        <f>VLOOKUP($A343,kurspris!$A$1:$Q$950,3,FALSE)</f>
        <v>0</v>
      </c>
      <c r="AE343" s="31">
        <f>VLOOKUP($A343,kurspris!$A$1:$Q$950,4,FALSE)</f>
        <v>0</v>
      </c>
      <c r="AF343" s="31">
        <f>VLOOKUP($A343,kurspris!$A$1:$Q$950,5,FALSE)</f>
        <v>0</v>
      </c>
      <c r="AG343" s="31">
        <f>VLOOKUP($A343,kurspris!$A$1:$Q$950,6,FALSE)</f>
        <v>0</v>
      </c>
      <c r="AH343" s="31">
        <f>VLOOKUP($A343,kurspris!$A$1:$Q$950,7,FALSE)</f>
        <v>0</v>
      </c>
      <c r="AI343" s="31">
        <f>VLOOKUP($A343,kurspris!$A$1:$Q$950,8,FALSE)</f>
        <v>0</v>
      </c>
      <c r="AJ343" s="31">
        <f>VLOOKUP($A343,kurspris!$A$1:$Q$950,9,FALSE)</f>
        <v>0</v>
      </c>
      <c r="AK343" s="31">
        <f>VLOOKUP($A343,kurspris!$A$1:$Q$950,10,FALSE)</f>
        <v>0</v>
      </c>
      <c r="AL343" s="31">
        <f>VLOOKUP($A343,kurspris!$A$1:$Q$950,11,FALSE)</f>
        <v>1</v>
      </c>
      <c r="AM343" s="31">
        <f>VLOOKUP($A343,kurspris!$A$1:$Q$950,12,FALSE)</f>
        <v>0</v>
      </c>
      <c r="AN343" s="31">
        <f>VLOOKUP($A343,kurspris!$A$1:$Q$950,13,FALSE)</f>
        <v>0</v>
      </c>
      <c r="AO343" s="31">
        <f>VLOOKUP($A343,kurspris!$A$1:$Q$950,14,FALSE)</f>
        <v>0</v>
      </c>
      <c r="AP343" s="57" t="s">
        <v>2402</v>
      </c>
      <c r="AQ343"/>
      <c r="AR343" s="31">
        <f t="shared" si="156"/>
        <v>0</v>
      </c>
      <c r="AS343" s="219">
        <f t="shared" si="157"/>
        <v>0</v>
      </c>
      <c r="AT343" s="31">
        <f t="shared" si="158"/>
        <v>0</v>
      </c>
      <c r="AU343" s="219">
        <f t="shared" si="159"/>
        <v>0</v>
      </c>
      <c r="AV343" s="31">
        <f t="shared" si="160"/>
        <v>0</v>
      </c>
      <c r="AW343" s="31">
        <f t="shared" si="161"/>
        <v>0</v>
      </c>
      <c r="AX343" s="31">
        <f t="shared" si="162"/>
        <v>0</v>
      </c>
      <c r="AY343" s="219">
        <f t="shared" si="163"/>
        <v>0</v>
      </c>
      <c r="AZ343" s="196">
        <f t="shared" si="164"/>
        <v>0</v>
      </c>
      <c r="BA343" s="219">
        <f t="shared" si="165"/>
        <v>0</v>
      </c>
      <c r="BB343" s="31">
        <f t="shared" si="166"/>
        <v>0</v>
      </c>
      <c r="BC343" s="219">
        <f t="shared" si="167"/>
        <v>0</v>
      </c>
      <c r="BD343" s="31">
        <f t="shared" si="168"/>
        <v>0</v>
      </c>
      <c r="BE343" s="219">
        <f t="shared" si="169"/>
        <v>0</v>
      </c>
      <c r="BF343" s="31">
        <f t="shared" si="170"/>
        <v>0</v>
      </c>
      <c r="BG343" s="219">
        <f t="shared" si="171"/>
        <v>0</v>
      </c>
      <c r="BH343" s="31">
        <f t="shared" si="172"/>
        <v>3.8</v>
      </c>
      <c r="BI343" s="219">
        <f t="shared" si="173"/>
        <v>3.23</v>
      </c>
      <c r="BJ343" s="31">
        <f t="shared" si="174"/>
        <v>0</v>
      </c>
      <c r="BK343" s="219">
        <f t="shared" si="175"/>
        <v>0</v>
      </c>
      <c r="BL343" s="31">
        <f t="shared" si="176"/>
        <v>0</v>
      </c>
      <c r="BM343" s="219">
        <f t="shared" si="177"/>
        <v>0</v>
      </c>
      <c r="BN343" s="31">
        <f t="shared" si="178"/>
        <v>0</v>
      </c>
      <c r="BO343" s="219">
        <f t="shared" si="179"/>
        <v>0</v>
      </c>
    </row>
    <row r="344" spans="1:67" x14ac:dyDescent="0.25">
      <c r="A344" s="31" t="s">
        <v>1272</v>
      </c>
      <c r="B344" s="176" t="str">
        <f>VLOOKUP(A344,kurspris!$A$1:$B$992,2,FALSE)</f>
        <v>Läraryrkets dimensioner - ingångsämne engelska</v>
      </c>
      <c r="D344" s="60" t="s">
        <v>482</v>
      </c>
      <c r="E344" s="576" t="s">
        <v>2227</v>
      </c>
      <c r="F344" s="31" t="s">
        <v>2273</v>
      </c>
      <c r="G344" t="s">
        <v>2456</v>
      </c>
      <c r="H344" t="s">
        <v>2335</v>
      </c>
      <c r="J344" s="31" t="s">
        <v>2231</v>
      </c>
      <c r="L344" s="38">
        <v>1</v>
      </c>
      <c r="M344">
        <v>22.5</v>
      </c>
      <c r="P344" s="31">
        <v>3</v>
      </c>
      <c r="Q344" s="196">
        <f>(M344/60)*P344</f>
        <v>1.125</v>
      </c>
      <c r="R344" s="38">
        <v>0.85</v>
      </c>
      <c r="S344" s="280">
        <f t="shared" si="152"/>
        <v>0.95624999999999993</v>
      </c>
      <c r="T344" s="31">
        <f>VLOOKUP(A344,'Ansvar kurs'!$A$1:$C$1123,2,FALSE)</f>
        <v>1620</v>
      </c>
      <c r="U344" s="31" t="str">
        <f>VLOOKUP(T344,Orgenheter!$A$1:$C$166,2,FALSE)</f>
        <v>Inst för språkstudier</v>
      </c>
      <c r="V344" s="31" t="str">
        <f>VLOOKUP(T344,Orgenheter!$A$1:$C$166,3,FALSE)</f>
        <v>Hum</v>
      </c>
      <c r="W344" s="35" t="str">
        <f>VLOOKUP(D344,Program!$A$1:$B$36,2,FALSE)</f>
        <v>Ämneslärarprogrammet - Gy</v>
      </c>
      <c r="X344" s="40">
        <f>VLOOKUP(A344,kurspris!$A$1:$Q$913,15,FALSE)</f>
        <v>25235</v>
      </c>
      <c r="Y344" s="40">
        <f>VLOOKUP(A344,kurspris!$A$1:$Q$913,16,FALSE)</f>
        <v>27976</v>
      </c>
      <c r="Z344" s="40">
        <f t="shared" si="153"/>
        <v>55141.425000000003</v>
      </c>
      <c r="AA344" s="40">
        <f>VLOOKUP(A344,kurspris!$A$1:$Q$913,17,FALSE)</f>
        <v>3600</v>
      </c>
      <c r="AB344" s="40">
        <f t="shared" si="154"/>
        <v>4050</v>
      </c>
      <c r="AC344" s="40">
        <f t="shared" si="155"/>
        <v>59191.425000000003</v>
      </c>
      <c r="AD344" s="31">
        <f>VLOOKUP($A344,kurspris!$A$1:$Q$950,3,FALSE)</f>
        <v>0</v>
      </c>
      <c r="AE344" s="31">
        <f>VLOOKUP($A344,kurspris!$A$1:$Q$950,4,FALSE)</f>
        <v>0</v>
      </c>
      <c r="AF344" s="31">
        <f>VLOOKUP($A344,kurspris!$A$1:$Q$950,5,FALSE)</f>
        <v>0</v>
      </c>
      <c r="AG344" s="31">
        <f>VLOOKUP($A344,kurspris!$A$1:$Q$950,6,FALSE)</f>
        <v>0</v>
      </c>
      <c r="AH344" s="31">
        <f>VLOOKUP($A344,kurspris!$A$1:$Q$950,7,FALSE)</f>
        <v>0</v>
      </c>
      <c r="AI344" s="31">
        <f>VLOOKUP($A344,kurspris!$A$1:$Q$950,8,FALSE)</f>
        <v>0</v>
      </c>
      <c r="AJ344" s="31">
        <f>VLOOKUP($A344,kurspris!$A$1:$Q$950,9,FALSE)</f>
        <v>0</v>
      </c>
      <c r="AK344" s="31">
        <f>VLOOKUP($A344,kurspris!$A$1:$Q$950,10,FALSE)</f>
        <v>0</v>
      </c>
      <c r="AL344" s="31">
        <f>VLOOKUP($A344,kurspris!$A$1:$Q$950,11,FALSE)</f>
        <v>1</v>
      </c>
      <c r="AM344" s="31">
        <f>VLOOKUP($A344,kurspris!$A$1:$Q$950,12,FALSE)</f>
        <v>0</v>
      </c>
      <c r="AN344" s="31">
        <f>VLOOKUP($A344,kurspris!$A$1:$Q$950,13,FALSE)</f>
        <v>0</v>
      </c>
      <c r="AO344" s="31">
        <f>VLOOKUP($A344,kurspris!$A$1:$Q$950,14,FALSE)</f>
        <v>0</v>
      </c>
      <c r="AP344" s="57" t="s">
        <v>2506</v>
      </c>
      <c r="AQ344"/>
      <c r="AR344" s="31">
        <f t="shared" si="156"/>
        <v>0</v>
      </c>
      <c r="AS344" s="219">
        <f t="shared" si="157"/>
        <v>0</v>
      </c>
      <c r="AT344" s="31">
        <f t="shared" si="158"/>
        <v>0</v>
      </c>
      <c r="AU344" s="219">
        <f t="shared" si="159"/>
        <v>0</v>
      </c>
      <c r="AV344" s="31">
        <f t="shared" si="160"/>
        <v>0</v>
      </c>
      <c r="AW344" s="31">
        <f t="shared" si="161"/>
        <v>0</v>
      </c>
      <c r="AX344" s="31">
        <f t="shared" si="162"/>
        <v>0</v>
      </c>
      <c r="AY344" s="219">
        <f t="shared" si="163"/>
        <v>0</v>
      </c>
      <c r="AZ344" s="196">
        <f t="shared" si="164"/>
        <v>0</v>
      </c>
      <c r="BA344" s="219">
        <f t="shared" si="165"/>
        <v>0</v>
      </c>
      <c r="BB344" s="31">
        <f t="shared" si="166"/>
        <v>0</v>
      </c>
      <c r="BC344" s="219">
        <f t="shared" si="167"/>
        <v>0</v>
      </c>
      <c r="BD344" s="31">
        <f t="shared" si="168"/>
        <v>0</v>
      </c>
      <c r="BE344" s="219">
        <f t="shared" si="169"/>
        <v>0</v>
      </c>
      <c r="BF344" s="31">
        <f t="shared" si="170"/>
        <v>0</v>
      </c>
      <c r="BG344" s="219">
        <f t="shared" si="171"/>
        <v>0</v>
      </c>
      <c r="BH344" s="31">
        <f t="shared" si="172"/>
        <v>1.125</v>
      </c>
      <c r="BI344" s="219">
        <f t="shared" si="173"/>
        <v>0.95624999999999993</v>
      </c>
      <c r="BJ344" s="31">
        <f t="shared" si="174"/>
        <v>0</v>
      </c>
      <c r="BK344" s="219">
        <f t="shared" si="175"/>
        <v>0</v>
      </c>
      <c r="BL344" s="31">
        <f t="shared" si="176"/>
        <v>0</v>
      </c>
      <c r="BM344" s="219">
        <f t="shared" si="177"/>
        <v>0</v>
      </c>
      <c r="BN344" s="31">
        <f t="shared" si="178"/>
        <v>0</v>
      </c>
      <c r="BO344" s="219">
        <f t="shared" si="179"/>
        <v>0</v>
      </c>
    </row>
    <row r="345" spans="1:67" x14ac:dyDescent="0.25">
      <c r="A345" s="31" t="s">
        <v>1272</v>
      </c>
      <c r="B345" s="176" t="str">
        <f>VLOOKUP(A345,kurspris!$A$1:$B$992,2,FALSE)</f>
        <v>Läraryrkets dimensioner - ingångsämne engelska</v>
      </c>
      <c r="D345" s="60" t="s">
        <v>482</v>
      </c>
      <c r="E345" s="576" t="s">
        <v>2226</v>
      </c>
      <c r="F345" s="31" t="s">
        <v>2273</v>
      </c>
      <c r="G345" t="s">
        <v>2456</v>
      </c>
      <c r="H345" t="s">
        <v>2335</v>
      </c>
      <c r="J345" s="31" t="s">
        <v>2231</v>
      </c>
      <c r="L345" s="38">
        <v>1</v>
      </c>
      <c r="M345">
        <v>22.5</v>
      </c>
      <c r="P345" s="31">
        <v>15</v>
      </c>
      <c r="Q345" s="196">
        <f>(M345/60)*P345</f>
        <v>5.625</v>
      </c>
      <c r="R345" s="38">
        <v>0.85</v>
      </c>
      <c r="S345" s="280">
        <f t="shared" si="152"/>
        <v>4.78125</v>
      </c>
      <c r="T345" s="31">
        <f>VLOOKUP(A345,'Ansvar kurs'!$A$1:$C$1123,2,FALSE)</f>
        <v>1620</v>
      </c>
      <c r="U345" s="31" t="str">
        <f>VLOOKUP(T345,Orgenheter!$A$1:$C$166,2,FALSE)</f>
        <v>Inst för språkstudier</v>
      </c>
      <c r="V345" s="31" t="str">
        <f>VLOOKUP(T345,Orgenheter!$A$1:$C$166,3,FALSE)</f>
        <v>Hum</v>
      </c>
      <c r="W345" s="35" t="str">
        <f>VLOOKUP(D345,Program!$A$1:$B$36,2,FALSE)</f>
        <v>Ämneslärarprogrammet - Gy</v>
      </c>
      <c r="X345" s="40">
        <f>VLOOKUP(A345,kurspris!$A$1:$Q$913,15,FALSE)</f>
        <v>25235</v>
      </c>
      <c r="Y345" s="40">
        <f>VLOOKUP(A345,kurspris!$A$1:$Q$913,16,FALSE)</f>
        <v>27976</v>
      </c>
      <c r="Z345" s="40">
        <f t="shared" si="153"/>
        <v>275707.125</v>
      </c>
      <c r="AA345" s="40">
        <f>VLOOKUP(A345,kurspris!$A$1:$Q$913,17,FALSE)</f>
        <v>3600</v>
      </c>
      <c r="AB345" s="40">
        <f t="shared" si="154"/>
        <v>20250</v>
      </c>
      <c r="AC345" s="40">
        <f t="shared" si="155"/>
        <v>295957.125</v>
      </c>
      <c r="AD345" s="31">
        <f>VLOOKUP($A345,kurspris!$A$1:$Q$950,3,FALSE)</f>
        <v>0</v>
      </c>
      <c r="AE345" s="31">
        <f>VLOOKUP($A345,kurspris!$A$1:$Q$950,4,FALSE)</f>
        <v>0</v>
      </c>
      <c r="AF345" s="31">
        <f>VLOOKUP($A345,kurspris!$A$1:$Q$950,5,FALSE)</f>
        <v>0</v>
      </c>
      <c r="AG345" s="31">
        <f>VLOOKUP($A345,kurspris!$A$1:$Q$950,6,FALSE)</f>
        <v>0</v>
      </c>
      <c r="AH345" s="31">
        <f>VLOOKUP($A345,kurspris!$A$1:$Q$950,7,FALSE)</f>
        <v>0</v>
      </c>
      <c r="AI345" s="31">
        <f>VLOOKUP($A345,kurspris!$A$1:$Q$950,8,FALSE)</f>
        <v>0</v>
      </c>
      <c r="AJ345" s="31">
        <f>VLOOKUP($A345,kurspris!$A$1:$Q$950,9,FALSE)</f>
        <v>0</v>
      </c>
      <c r="AK345" s="31">
        <f>VLOOKUP($A345,kurspris!$A$1:$Q$950,10,FALSE)</f>
        <v>0</v>
      </c>
      <c r="AL345" s="31">
        <f>VLOOKUP($A345,kurspris!$A$1:$Q$950,11,FALSE)</f>
        <v>1</v>
      </c>
      <c r="AM345" s="31">
        <f>VLOOKUP($A345,kurspris!$A$1:$Q$950,12,FALSE)</f>
        <v>0</v>
      </c>
      <c r="AN345" s="31">
        <f>VLOOKUP($A345,kurspris!$A$1:$Q$950,13,FALSE)</f>
        <v>0</v>
      </c>
      <c r="AO345" s="31">
        <f>VLOOKUP($A345,kurspris!$A$1:$Q$950,14,FALSE)</f>
        <v>0</v>
      </c>
      <c r="AP345" s="57" t="s">
        <v>2506</v>
      </c>
      <c r="AQ345"/>
      <c r="AR345" s="31">
        <f t="shared" si="156"/>
        <v>0</v>
      </c>
      <c r="AS345" s="219">
        <f t="shared" si="157"/>
        <v>0</v>
      </c>
      <c r="AT345" s="31">
        <f t="shared" si="158"/>
        <v>0</v>
      </c>
      <c r="AU345" s="219">
        <f t="shared" si="159"/>
        <v>0</v>
      </c>
      <c r="AV345" s="31">
        <f t="shared" si="160"/>
        <v>0</v>
      </c>
      <c r="AW345" s="31">
        <f t="shared" si="161"/>
        <v>0</v>
      </c>
      <c r="AX345" s="31">
        <f t="shared" si="162"/>
        <v>0</v>
      </c>
      <c r="AY345" s="219">
        <f t="shared" si="163"/>
        <v>0</v>
      </c>
      <c r="AZ345" s="196">
        <f t="shared" si="164"/>
        <v>0</v>
      </c>
      <c r="BA345" s="219">
        <f t="shared" si="165"/>
        <v>0</v>
      </c>
      <c r="BB345" s="31">
        <f t="shared" si="166"/>
        <v>0</v>
      </c>
      <c r="BC345" s="219">
        <f t="shared" si="167"/>
        <v>0</v>
      </c>
      <c r="BD345" s="31">
        <f t="shared" si="168"/>
        <v>0</v>
      </c>
      <c r="BE345" s="219">
        <f t="shared" si="169"/>
        <v>0</v>
      </c>
      <c r="BF345" s="31">
        <f t="shared" si="170"/>
        <v>0</v>
      </c>
      <c r="BG345" s="219">
        <f t="shared" si="171"/>
        <v>0</v>
      </c>
      <c r="BH345" s="31">
        <f t="shared" si="172"/>
        <v>5.625</v>
      </c>
      <c r="BI345" s="219">
        <f t="shared" si="173"/>
        <v>4.78125</v>
      </c>
      <c r="BJ345" s="31">
        <f t="shared" si="174"/>
        <v>0</v>
      </c>
      <c r="BK345" s="219">
        <f t="shared" si="175"/>
        <v>0</v>
      </c>
      <c r="BL345" s="31">
        <f t="shared" si="176"/>
        <v>0</v>
      </c>
      <c r="BM345" s="219">
        <f t="shared" si="177"/>
        <v>0</v>
      </c>
      <c r="BN345" s="31">
        <f t="shared" si="178"/>
        <v>0</v>
      </c>
      <c r="BO345" s="219">
        <f t="shared" si="179"/>
        <v>0</v>
      </c>
    </row>
    <row r="346" spans="1:67" x14ac:dyDescent="0.25">
      <c r="A346" s="31" t="s">
        <v>1272</v>
      </c>
      <c r="B346" s="176" t="str">
        <f>VLOOKUP(A346,kurspris!$A$1:$B$992,2,FALSE)</f>
        <v>Läraryrkets dimensioner - ingångsämne engelska</v>
      </c>
      <c r="D346" s="60" t="s">
        <v>482</v>
      </c>
      <c r="E346" s="576" t="s">
        <v>2225</v>
      </c>
      <c r="F346" s="31" t="s">
        <v>2273</v>
      </c>
      <c r="G346" t="s">
        <v>2456</v>
      </c>
      <c r="H346" t="s">
        <v>2335</v>
      </c>
      <c r="J346" s="31" t="s">
        <v>2231</v>
      </c>
      <c r="L346" s="38">
        <v>1</v>
      </c>
      <c r="M346">
        <v>22.5</v>
      </c>
      <c r="P346" s="31">
        <v>1</v>
      </c>
      <c r="Q346" s="196">
        <f>(M346/60)*P346</f>
        <v>0.375</v>
      </c>
      <c r="R346" s="38">
        <v>0.85</v>
      </c>
      <c r="S346" s="280">
        <f t="shared" si="152"/>
        <v>0.31874999999999998</v>
      </c>
      <c r="T346" s="31">
        <f>VLOOKUP(A346,'Ansvar kurs'!$A$1:$C$1123,2,FALSE)</f>
        <v>1620</v>
      </c>
      <c r="U346" s="31" t="str">
        <f>VLOOKUP(T346,Orgenheter!$A$1:$C$166,2,FALSE)</f>
        <v>Inst för språkstudier</v>
      </c>
      <c r="V346" s="31" t="str">
        <f>VLOOKUP(T346,Orgenheter!$A$1:$C$166,3,FALSE)</f>
        <v>Hum</v>
      </c>
      <c r="W346" s="35" t="str">
        <f>VLOOKUP(D346,Program!$A$1:$B$36,2,FALSE)</f>
        <v>Ämneslärarprogrammet - Gy</v>
      </c>
      <c r="X346" s="40">
        <f>VLOOKUP(A346,kurspris!$A$1:$Q$913,15,FALSE)</f>
        <v>25235</v>
      </c>
      <c r="Y346" s="40">
        <f>VLOOKUP(A346,kurspris!$A$1:$Q$913,16,FALSE)</f>
        <v>27976</v>
      </c>
      <c r="Z346" s="40">
        <f t="shared" si="153"/>
        <v>18380.474999999999</v>
      </c>
      <c r="AA346" s="40">
        <f>VLOOKUP(A346,kurspris!$A$1:$Q$913,17,FALSE)</f>
        <v>3600</v>
      </c>
      <c r="AB346" s="40">
        <f t="shared" si="154"/>
        <v>1350</v>
      </c>
      <c r="AC346" s="40">
        <f t="shared" si="155"/>
        <v>19730.474999999999</v>
      </c>
      <c r="AD346" s="31">
        <f>VLOOKUP($A346,kurspris!$A$1:$Q$950,3,FALSE)</f>
        <v>0</v>
      </c>
      <c r="AE346" s="31">
        <f>VLOOKUP($A346,kurspris!$A$1:$Q$950,4,FALSE)</f>
        <v>0</v>
      </c>
      <c r="AF346" s="31">
        <f>VLOOKUP($A346,kurspris!$A$1:$Q$950,5,FALSE)</f>
        <v>0</v>
      </c>
      <c r="AG346" s="31">
        <f>VLOOKUP($A346,kurspris!$A$1:$Q$950,6,FALSE)</f>
        <v>0</v>
      </c>
      <c r="AH346" s="31">
        <f>VLOOKUP($A346,kurspris!$A$1:$Q$950,7,FALSE)</f>
        <v>0</v>
      </c>
      <c r="AI346" s="31">
        <f>VLOOKUP($A346,kurspris!$A$1:$Q$950,8,FALSE)</f>
        <v>0</v>
      </c>
      <c r="AJ346" s="31">
        <f>VLOOKUP($A346,kurspris!$A$1:$Q$950,9,FALSE)</f>
        <v>0</v>
      </c>
      <c r="AK346" s="31">
        <f>VLOOKUP($A346,kurspris!$A$1:$Q$950,10,FALSE)</f>
        <v>0</v>
      </c>
      <c r="AL346" s="31">
        <f>VLOOKUP($A346,kurspris!$A$1:$Q$950,11,FALSE)</f>
        <v>1</v>
      </c>
      <c r="AM346" s="31">
        <f>VLOOKUP($A346,kurspris!$A$1:$Q$950,12,FALSE)</f>
        <v>0</v>
      </c>
      <c r="AN346" s="31">
        <f>VLOOKUP($A346,kurspris!$A$1:$Q$950,13,FALSE)</f>
        <v>0</v>
      </c>
      <c r="AO346" s="31">
        <f>VLOOKUP($A346,kurspris!$A$1:$Q$950,14,FALSE)</f>
        <v>0</v>
      </c>
      <c r="AP346" s="57" t="s">
        <v>2506</v>
      </c>
      <c r="AQ346"/>
      <c r="AR346" s="31">
        <f t="shared" si="156"/>
        <v>0</v>
      </c>
      <c r="AS346" s="219">
        <f t="shared" si="157"/>
        <v>0</v>
      </c>
      <c r="AT346" s="31">
        <f t="shared" si="158"/>
        <v>0</v>
      </c>
      <c r="AU346" s="219">
        <f t="shared" si="159"/>
        <v>0</v>
      </c>
      <c r="AV346" s="31">
        <f t="shared" si="160"/>
        <v>0</v>
      </c>
      <c r="AW346" s="31">
        <f t="shared" si="161"/>
        <v>0</v>
      </c>
      <c r="AX346" s="31">
        <f t="shared" si="162"/>
        <v>0</v>
      </c>
      <c r="AY346" s="219">
        <f t="shared" si="163"/>
        <v>0</v>
      </c>
      <c r="AZ346" s="196">
        <f t="shared" si="164"/>
        <v>0</v>
      </c>
      <c r="BA346" s="219">
        <f t="shared" si="165"/>
        <v>0</v>
      </c>
      <c r="BB346" s="31">
        <f t="shared" si="166"/>
        <v>0</v>
      </c>
      <c r="BC346" s="219">
        <f t="shared" si="167"/>
        <v>0</v>
      </c>
      <c r="BD346" s="31">
        <f t="shared" si="168"/>
        <v>0</v>
      </c>
      <c r="BE346" s="219">
        <f t="shared" si="169"/>
        <v>0</v>
      </c>
      <c r="BF346" s="31">
        <f t="shared" si="170"/>
        <v>0</v>
      </c>
      <c r="BG346" s="219">
        <f t="shared" si="171"/>
        <v>0</v>
      </c>
      <c r="BH346" s="31">
        <f t="shared" si="172"/>
        <v>0.375</v>
      </c>
      <c r="BI346" s="219">
        <f t="shared" si="173"/>
        <v>0.31874999999999998</v>
      </c>
      <c r="BJ346" s="31">
        <f t="shared" si="174"/>
        <v>0</v>
      </c>
      <c r="BK346" s="219">
        <f t="shared" si="175"/>
        <v>0</v>
      </c>
      <c r="BL346" s="31">
        <f t="shared" si="176"/>
        <v>0</v>
      </c>
      <c r="BM346" s="219">
        <f t="shared" si="177"/>
        <v>0</v>
      </c>
      <c r="BN346" s="31">
        <f t="shared" si="178"/>
        <v>0</v>
      </c>
      <c r="BO346" s="219">
        <f t="shared" si="179"/>
        <v>0</v>
      </c>
    </row>
    <row r="347" spans="1:67" x14ac:dyDescent="0.25">
      <c r="A347" s="31" t="s">
        <v>1272</v>
      </c>
      <c r="B347" s="176" t="str">
        <f>VLOOKUP(A347,kurspris!$A$1:$B$992,2,FALSE)</f>
        <v>Läraryrkets dimensioner - ingångsämne engelska</v>
      </c>
      <c r="C347" s="31">
        <v>71925</v>
      </c>
      <c r="D347" s="60" t="s">
        <v>482</v>
      </c>
      <c r="E347" s="60"/>
      <c r="F347" s="57" t="s">
        <v>2274</v>
      </c>
      <c r="H347" s="31" t="s">
        <v>2335</v>
      </c>
      <c r="I347" s="31" t="s">
        <v>2399</v>
      </c>
      <c r="J347" s="31" t="s">
        <v>2231</v>
      </c>
      <c r="L347" s="38"/>
      <c r="M347">
        <v>22.5</v>
      </c>
      <c r="P347" s="31">
        <v>17</v>
      </c>
      <c r="Q347" s="539">
        <v>6.375</v>
      </c>
      <c r="R347" s="38">
        <v>0.85</v>
      </c>
      <c r="S347" s="280">
        <f t="shared" si="152"/>
        <v>5.4187500000000002</v>
      </c>
      <c r="T347" s="31">
        <f>VLOOKUP(A347,'Ansvar kurs'!$A$1:$C$1123,2,FALSE)</f>
        <v>1620</v>
      </c>
      <c r="U347" s="31" t="str">
        <f>VLOOKUP(T347,Orgenheter!$A$1:$C$166,2,FALSE)</f>
        <v>Inst för språkstudier</v>
      </c>
      <c r="V347" s="31" t="str">
        <f>VLOOKUP(T347,Orgenheter!$A$1:$C$166,3,FALSE)</f>
        <v>Hum</v>
      </c>
      <c r="W347" s="35" t="str">
        <f>VLOOKUP(D347,Program!$A$1:$B$36,2,FALSE)</f>
        <v>Ämneslärarprogrammet - Gy</v>
      </c>
      <c r="X347" s="40">
        <f>VLOOKUP(A347,kurspris!$A$1:$Q$913,15,FALSE)</f>
        <v>25235</v>
      </c>
      <c r="Y347" s="40">
        <f>VLOOKUP(A347,kurspris!$A$1:$Q$913,16,FALSE)</f>
        <v>27976</v>
      </c>
      <c r="Z347" s="40">
        <f t="shared" si="153"/>
        <v>312468.07500000001</v>
      </c>
      <c r="AA347" s="40">
        <f>VLOOKUP(A347,kurspris!$A$1:$Q$913,17,FALSE)</f>
        <v>3600</v>
      </c>
      <c r="AB347" s="40">
        <f t="shared" si="154"/>
        <v>22950</v>
      </c>
      <c r="AC347" s="40">
        <f t="shared" si="155"/>
        <v>335418.07500000001</v>
      </c>
      <c r="AD347" s="31">
        <f>VLOOKUP($A347,kurspris!$A$1:$Q$950,3,FALSE)</f>
        <v>0</v>
      </c>
      <c r="AE347" s="31">
        <f>VLOOKUP($A347,kurspris!$A$1:$Q$950,4,FALSE)</f>
        <v>0</v>
      </c>
      <c r="AF347" s="31">
        <f>VLOOKUP($A347,kurspris!$A$1:$Q$950,5,FALSE)</f>
        <v>0</v>
      </c>
      <c r="AG347" s="31">
        <f>VLOOKUP($A347,kurspris!$A$1:$Q$950,6,FALSE)</f>
        <v>0</v>
      </c>
      <c r="AH347" s="31">
        <f>VLOOKUP($A347,kurspris!$A$1:$Q$950,7,FALSE)</f>
        <v>0</v>
      </c>
      <c r="AI347" s="31">
        <f>VLOOKUP($A347,kurspris!$A$1:$Q$950,8,FALSE)</f>
        <v>0</v>
      </c>
      <c r="AJ347" s="31">
        <f>VLOOKUP($A347,kurspris!$A$1:$Q$950,9,FALSE)</f>
        <v>0</v>
      </c>
      <c r="AK347" s="31">
        <f>VLOOKUP($A347,kurspris!$A$1:$Q$950,10,FALSE)</f>
        <v>0</v>
      </c>
      <c r="AL347" s="31">
        <f>VLOOKUP($A347,kurspris!$A$1:$Q$950,11,FALSE)</f>
        <v>1</v>
      </c>
      <c r="AM347" s="31">
        <f>VLOOKUP($A347,kurspris!$A$1:$Q$950,12,FALSE)</f>
        <v>0</v>
      </c>
      <c r="AN347" s="31">
        <f>VLOOKUP($A347,kurspris!$A$1:$Q$950,13,FALSE)</f>
        <v>0</v>
      </c>
      <c r="AO347" s="31">
        <f>VLOOKUP($A347,kurspris!$A$1:$Q$950,14,FALSE)</f>
        <v>0</v>
      </c>
      <c r="AP347" s="57" t="s">
        <v>2402</v>
      </c>
      <c r="AQ347"/>
      <c r="AR347" s="31">
        <f t="shared" si="156"/>
        <v>0</v>
      </c>
      <c r="AS347" s="219">
        <f t="shared" si="157"/>
        <v>0</v>
      </c>
      <c r="AT347" s="31">
        <f t="shared" si="158"/>
        <v>0</v>
      </c>
      <c r="AU347" s="219">
        <f t="shared" si="159"/>
        <v>0</v>
      </c>
      <c r="AV347" s="31">
        <f t="shared" si="160"/>
        <v>0</v>
      </c>
      <c r="AW347" s="31">
        <f t="shared" si="161"/>
        <v>0</v>
      </c>
      <c r="AX347" s="31">
        <f t="shared" si="162"/>
        <v>0</v>
      </c>
      <c r="AY347" s="219">
        <f t="shared" si="163"/>
        <v>0</v>
      </c>
      <c r="AZ347" s="196">
        <f t="shared" si="164"/>
        <v>0</v>
      </c>
      <c r="BA347" s="219">
        <f t="shared" si="165"/>
        <v>0</v>
      </c>
      <c r="BB347" s="31">
        <f t="shared" si="166"/>
        <v>0</v>
      </c>
      <c r="BC347" s="219">
        <f t="shared" si="167"/>
        <v>0</v>
      </c>
      <c r="BD347" s="31">
        <f t="shared" si="168"/>
        <v>0</v>
      </c>
      <c r="BE347" s="219">
        <f t="shared" si="169"/>
        <v>0</v>
      </c>
      <c r="BF347" s="31">
        <f t="shared" si="170"/>
        <v>0</v>
      </c>
      <c r="BG347" s="219">
        <f t="shared" si="171"/>
        <v>0</v>
      </c>
      <c r="BH347" s="31">
        <f t="shared" si="172"/>
        <v>6.375</v>
      </c>
      <c r="BI347" s="219">
        <f t="shared" si="173"/>
        <v>5.4187500000000002</v>
      </c>
      <c r="BJ347" s="31">
        <f t="shared" si="174"/>
        <v>0</v>
      </c>
      <c r="BK347" s="219">
        <f t="shared" si="175"/>
        <v>0</v>
      </c>
      <c r="BL347" s="31">
        <f t="shared" si="176"/>
        <v>0</v>
      </c>
      <c r="BM347" s="219">
        <f t="shared" si="177"/>
        <v>0</v>
      </c>
      <c r="BN347" s="31">
        <f t="shared" si="178"/>
        <v>0</v>
      </c>
      <c r="BO347" s="219">
        <f t="shared" si="179"/>
        <v>0</v>
      </c>
    </row>
    <row r="348" spans="1:67" x14ac:dyDescent="0.25">
      <c r="A348" s="31" t="s">
        <v>1273</v>
      </c>
      <c r="B348" s="176" t="str">
        <f>VLOOKUP(A348,kurspris!$A$1:$B$992,2,FALSE)</f>
        <v>Läraryrkets dimensioner - ingångsämne svenska</v>
      </c>
      <c r="D348" s="60" t="s">
        <v>482</v>
      </c>
      <c r="E348" s="576" t="s">
        <v>2227</v>
      </c>
      <c r="F348" s="31" t="s">
        <v>2273</v>
      </c>
      <c r="G348" t="s">
        <v>2456</v>
      </c>
      <c r="H348" t="s">
        <v>2335</v>
      </c>
      <c r="J348" s="31" t="s">
        <v>2240</v>
      </c>
      <c r="L348" s="38">
        <v>1</v>
      </c>
      <c r="M348">
        <v>22.5</v>
      </c>
      <c r="P348" s="31">
        <v>2</v>
      </c>
      <c r="Q348" s="196">
        <f>(M348/60)*P348</f>
        <v>0.75</v>
      </c>
      <c r="R348" s="38">
        <v>0.85</v>
      </c>
      <c r="S348" s="280">
        <f t="shared" si="152"/>
        <v>0.63749999999999996</v>
      </c>
      <c r="T348" s="31">
        <f>VLOOKUP(A348,'Ansvar kurs'!$A$1:$C$1123,2,FALSE)</f>
        <v>1620</v>
      </c>
      <c r="U348" s="31" t="str">
        <f>VLOOKUP(T348,Orgenheter!$A$1:$C$166,2,FALSE)</f>
        <v>Inst för språkstudier</v>
      </c>
      <c r="V348" s="31" t="str">
        <f>VLOOKUP(T348,Orgenheter!$A$1:$C$166,3,FALSE)</f>
        <v>Hum</v>
      </c>
      <c r="W348" s="35" t="str">
        <f>VLOOKUP(D348,Program!$A$1:$B$36,2,FALSE)</f>
        <v>Ämneslärarprogrammet - Gy</v>
      </c>
      <c r="X348" s="40">
        <f>VLOOKUP(A348,kurspris!$A$1:$Q$913,15,FALSE)</f>
        <v>25235</v>
      </c>
      <c r="Y348" s="40">
        <f>VLOOKUP(A348,kurspris!$A$1:$Q$913,16,FALSE)</f>
        <v>27976</v>
      </c>
      <c r="Z348" s="40">
        <f t="shared" si="153"/>
        <v>36760.949999999997</v>
      </c>
      <c r="AA348" s="40">
        <f>VLOOKUP(A348,kurspris!$A$1:$Q$913,17,FALSE)</f>
        <v>3600</v>
      </c>
      <c r="AB348" s="40">
        <f t="shared" si="154"/>
        <v>2700</v>
      </c>
      <c r="AC348" s="40">
        <f t="shared" si="155"/>
        <v>39460.949999999997</v>
      </c>
      <c r="AD348" s="31">
        <f>VLOOKUP($A348,kurspris!$A$1:$Q$950,3,FALSE)</f>
        <v>0</v>
      </c>
      <c r="AE348" s="31">
        <f>VLOOKUP($A348,kurspris!$A$1:$Q$950,4,FALSE)</f>
        <v>0</v>
      </c>
      <c r="AF348" s="31">
        <f>VLOOKUP($A348,kurspris!$A$1:$Q$950,5,FALSE)</f>
        <v>0</v>
      </c>
      <c r="AG348" s="31">
        <f>VLOOKUP($A348,kurspris!$A$1:$Q$950,6,FALSE)</f>
        <v>0</v>
      </c>
      <c r="AH348" s="31">
        <f>VLOOKUP($A348,kurspris!$A$1:$Q$950,7,FALSE)</f>
        <v>0</v>
      </c>
      <c r="AI348" s="31">
        <f>VLOOKUP($A348,kurspris!$A$1:$Q$950,8,FALSE)</f>
        <v>0</v>
      </c>
      <c r="AJ348" s="31">
        <f>VLOOKUP($A348,kurspris!$A$1:$Q$950,9,FALSE)</f>
        <v>0</v>
      </c>
      <c r="AK348" s="31">
        <f>VLOOKUP($A348,kurspris!$A$1:$Q$950,10,FALSE)</f>
        <v>0</v>
      </c>
      <c r="AL348" s="31">
        <f>VLOOKUP($A348,kurspris!$A$1:$Q$950,11,FALSE)</f>
        <v>1</v>
      </c>
      <c r="AM348" s="31">
        <f>VLOOKUP($A348,kurspris!$A$1:$Q$950,12,FALSE)</f>
        <v>0</v>
      </c>
      <c r="AN348" s="31">
        <f>VLOOKUP($A348,kurspris!$A$1:$Q$950,13,FALSE)</f>
        <v>0</v>
      </c>
      <c r="AO348" s="31">
        <f>VLOOKUP($A348,kurspris!$A$1:$Q$950,14,FALSE)</f>
        <v>0</v>
      </c>
      <c r="AP348" s="57" t="s">
        <v>2506</v>
      </c>
      <c r="AQ348"/>
      <c r="AR348" s="31">
        <f t="shared" si="156"/>
        <v>0</v>
      </c>
      <c r="AS348" s="219">
        <f t="shared" si="157"/>
        <v>0</v>
      </c>
      <c r="AT348" s="31">
        <f t="shared" si="158"/>
        <v>0</v>
      </c>
      <c r="AU348" s="219">
        <f t="shared" si="159"/>
        <v>0</v>
      </c>
      <c r="AV348" s="31">
        <f t="shared" si="160"/>
        <v>0</v>
      </c>
      <c r="AW348" s="31">
        <f t="shared" si="161"/>
        <v>0</v>
      </c>
      <c r="AX348" s="31">
        <f t="shared" si="162"/>
        <v>0</v>
      </c>
      <c r="AY348" s="219">
        <f t="shared" si="163"/>
        <v>0</v>
      </c>
      <c r="AZ348" s="196">
        <f t="shared" si="164"/>
        <v>0</v>
      </c>
      <c r="BA348" s="219">
        <f t="shared" si="165"/>
        <v>0</v>
      </c>
      <c r="BB348" s="31">
        <f t="shared" si="166"/>
        <v>0</v>
      </c>
      <c r="BC348" s="219">
        <f t="shared" si="167"/>
        <v>0</v>
      </c>
      <c r="BD348" s="31">
        <f t="shared" si="168"/>
        <v>0</v>
      </c>
      <c r="BE348" s="219">
        <f t="shared" si="169"/>
        <v>0</v>
      </c>
      <c r="BF348" s="31">
        <f t="shared" si="170"/>
        <v>0</v>
      </c>
      <c r="BG348" s="219">
        <f t="shared" si="171"/>
        <v>0</v>
      </c>
      <c r="BH348" s="31">
        <f t="shared" si="172"/>
        <v>0.75</v>
      </c>
      <c r="BI348" s="219">
        <f t="shared" si="173"/>
        <v>0.63749999999999996</v>
      </c>
      <c r="BJ348" s="31">
        <f t="shared" si="174"/>
        <v>0</v>
      </c>
      <c r="BK348" s="219">
        <f t="shared" si="175"/>
        <v>0</v>
      </c>
      <c r="BL348" s="31">
        <f t="shared" si="176"/>
        <v>0</v>
      </c>
      <c r="BM348" s="219">
        <f t="shared" si="177"/>
        <v>0</v>
      </c>
      <c r="BN348" s="31">
        <f t="shared" si="178"/>
        <v>0</v>
      </c>
      <c r="BO348" s="219">
        <f t="shared" si="179"/>
        <v>0</v>
      </c>
    </row>
    <row r="349" spans="1:67" x14ac:dyDescent="0.25">
      <c r="A349" s="31" t="s">
        <v>1273</v>
      </c>
      <c r="B349" s="176" t="str">
        <f>VLOOKUP(A349,kurspris!$A$1:$B$992,2,FALSE)</f>
        <v>Läraryrkets dimensioner - ingångsämne svenska</v>
      </c>
      <c r="D349" s="60" t="s">
        <v>482</v>
      </c>
      <c r="E349" s="576" t="s">
        <v>2226</v>
      </c>
      <c r="F349" s="31" t="s">
        <v>2273</v>
      </c>
      <c r="G349" t="s">
        <v>2456</v>
      </c>
      <c r="H349" t="s">
        <v>2335</v>
      </c>
      <c r="J349" s="31" t="s">
        <v>2240</v>
      </c>
      <c r="L349" s="38">
        <v>1</v>
      </c>
      <c r="M349">
        <v>22.5</v>
      </c>
      <c r="P349" s="31">
        <v>7</v>
      </c>
      <c r="Q349" s="196">
        <f>(M349/60)*P349</f>
        <v>2.625</v>
      </c>
      <c r="R349" s="38">
        <v>0.85</v>
      </c>
      <c r="S349" s="280">
        <f t="shared" si="152"/>
        <v>2.2312499999999997</v>
      </c>
      <c r="T349" s="31">
        <f>VLOOKUP(A349,'Ansvar kurs'!$A$1:$C$1123,2,FALSE)</f>
        <v>1620</v>
      </c>
      <c r="U349" s="31" t="str">
        <f>VLOOKUP(T349,Orgenheter!$A$1:$C$166,2,FALSE)</f>
        <v>Inst för språkstudier</v>
      </c>
      <c r="V349" s="31" t="str">
        <f>VLOOKUP(T349,Orgenheter!$A$1:$C$166,3,FALSE)</f>
        <v>Hum</v>
      </c>
      <c r="W349" s="35" t="str">
        <f>VLOOKUP(D349,Program!$A$1:$B$36,2,FALSE)</f>
        <v>Ämneslärarprogrammet - Gy</v>
      </c>
      <c r="X349" s="40">
        <f>VLOOKUP(A349,kurspris!$A$1:$Q$913,15,FALSE)</f>
        <v>25235</v>
      </c>
      <c r="Y349" s="40">
        <f>VLOOKUP(A349,kurspris!$A$1:$Q$913,16,FALSE)</f>
        <v>27976</v>
      </c>
      <c r="Z349" s="40">
        <f t="shared" si="153"/>
        <v>128663.32499999998</v>
      </c>
      <c r="AA349" s="40">
        <f>VLOOKUP(A349,kurspris!$A$1:$Q$913,17,FALSE)</f>
        <v>3600</v>
      </c>
      <c r="AB349" s="40">
        <f t="shared" si="154"/>
        <v>9450</v>
      </c>
      <c r="AC349" s="40">
        <f t="shared" si="155"/>
        <v>138113.32499999998</v>
      </c>
      <c r="AD349" s="31">
        <f>VLOOKUP($A349,kurspris!$A$1:$Q$950,3,FALSE)</f>
        <v>0</v>
      </c>
      <c r="AE349" s="31">
        <f>VLOOKUP($A349,kurspris!$A$1:$Q$950,4,FALSE)</f>
        <v>0</v>
      </c>
      <c r="AF349" s="31">
        <f>VLOOKUP($A349,kurspris!$A$1:$Q$950,5,FALSE)</f>
        <v>0</v>
      </c>
      <c r="AG349" s="31">
        <f>VLOOKUP($A349,kurspris!$A$1:$Q$950,6,FALSE)</f>
        <v>0</v>
      </c>
      <c r="AH349" s="31">
        <f>VLOOKUP($A349,kurspris!$A$1:$Q$950,7,FALSE)</f>
        <v>0</v>
      </c>
      <c r="AI349" s="31">
        <f>VLOOKUP($A349,kurspris!$A$1:$Q$950,8,FALSE)</f>
        <v>0</v>
      </c>
      <c r="AJ349" s="31">
        <f>VLOOKUP($A349,kurspris!$A$1:$Q$950,9,FALSE)</f>
        <v>0</v>
      </c>
      <c r="AK349" s="31">
        <f>VLOOKUP($A349,kurspris!$A$1:$Q$950,10,FALSE)</f>
        <v>0</v>
      </c>
      <c r="AL349" s="31">
        <f>VLOOKUP($A349,kurspris!$A$1:$Q$950,11,FALSE)</f>
        <v>1</v>
      </c>
      <c r="AM349" s="31">
        <f>VLOOKUP($A349,kurspris!$A$1:$Q$950,12,FALSE)</f>
        <v>0</v>
      </c>
      <c r="AN349" s="31">
        <f>VLOOKUP($A349,kurspris!$A$1:$Q$950,13,FALSE)</f>
        <v>0</v>
      </c>
      <c r="AO349" s="31">
        <f>VLOOKUP($A349,kurspris!$A$1:$Q$950,14,FALSE)</f>
        <v>0</v>
      </c>
      <c r="AP349" s="57" t="s">
        <v>2506</v>
      </c>
      <c r="AQ349"/>
      <c r="AR349" s="31">
        <f t="shared" si="156"/>
        <v>0</v>
      </c>
      <c r="AS349" s="219">
        <f t="shared" si="157"/>
        <v>0</v>
      </c>
      <c r="AT349" s="31">
        <f t="shared" si="158"/>
        <v>0</v>
      </c>
      <c r="AU349" s="219">
        <f t="shared" si="159"/>
        <v>0</v>
      </c>
      <c r="AV349" s="31">
        <f t="shared" si="160"/>
        <v>0</v>
      </c>
      <c r="AW349" s="31">
        <f t="shared" si="161"/>
        <v>0</v>
      </c>
      <c r="AX349" s="31">
        <f t="shared" si="162"/>
        <v>0</v>
      </c>
      <c r="AY349" s="219">
        <f t="shared" si="163"/>
        <v>0</v>
      </c>
      <c r="AZ349" s="196">
        <f t="shared" si="164"/>
        <v>0</v>
      </c>
      <c r="BA349" s="219">
        <f t="shared" si="165"/>
        <v>0</v>
      </c>
      <c r="BB349" s="31">
        <f t="shared" si="166"/>
        <v>0</v>
      </c>
      <c r="BC349" s="219">
        <f t="shared" si="167"/>
        <v>0</v>
      </c>
      <c r="BD349" s="31">
        <f t="shared" si="168"/>
        <v>0</v>
      </c>
      <c r="BE349" s="219">
        <f t="shared" si="169"/>
        <v>0</v>
      </c>
      <c r="BF349" s="31">
        <f t="shared" si="170"/>
        <v>0</v>
      </c>
      <c r="BG349" s="219">
        <f t="shared" si="171"/>
        <v>0</v>
      </c>
      <c r="BH349" s="31">
        <f t="shared" si="172"/>
        <v>2.625</v>
      </c>
      <c r="BI349" s="219">
        <f t="shared" si="173"/>
        <v>2.2312499999999997</v>
      </c>
      <c r="BJ349" s="31">
        <f t="shared" si="174"/>
        <v>0</v>
      </c>
      <c r="BK349" s="219">
        <f t="shared" si="175"/>
        <v>0</v>
      </c>
      <c r="BL349" s="31">
        <f t="shared" si="176"/>
        <v>0</v>
      </c>
      <c r="BM349" s="219">
        <f t="shared" si="177"/>
        <v>0</v>
      </c>
      <c r="BN349" s="31">
        <f t="shared" si="178"/>
        <v>0</v>
      </c>
      <c r="BO349" s="219">
        <f t="shared" si="179"/>
        <v>0</v>
      </c>
    </row>
    <row r="350" spans="1:67" x14ac:dyDescent="0.25">
      <c r="A350" s="31" t="s">
        <v>1273</v>
      </c>
      <c r="B350" s="176" t="str">
        <f>VLOOKUP(A350,kurspris!$A$1:$B$992,2,FALSE)</f>
        <v>Läraryrkets dimensioner - ingångsämne svenska</v>
      </c>
      <c r="D350" s="60" t="s">
        <v>482</v>
      </c>
      <c r="E350" s="576" t="s">
        <v>2432</v>
      </c>
      <c r="F350" s="31" t="s">
        <v>2273</v>
      </c>
      <c r="G350" t="s">
        <v>2456</v>
      </c>
      <c r="H350" t="s">
        <v>2335</v>
      </c>
      <c r="J350" s="31" t="s">
        <v>2240</v>
      </c>
      <c r="L350" s="38">
        <v>1</v>
      </c>
      <c r="M350">
        <v>22.5</v>
      </c>
      <c r="P350" s="31">
        <v>1</v>
      </c>
      <c r="Q350" s="196">
        <f>(M350/60)*P350</f>
        <v>0.375</v>
      </c>
      <c r="R350" s="38">
        <v>0.85</v>
      </c>
      <c r="S350" s="280">
        <f t="shared" si="152"/>
        <v>0.31874999999999998</v>
      </c>
      <c r="T350" s="31">
        <f>VLOOKUP(A350,'Ansvar kurs'!$A$1:$C$1123,2,FALSE)</f>
        <v>1620</v>
      </c>
      <c r="U350" s="31" t="str">
        <f>VLOOKUP(T350,Orgenheter!$A$1:$C$166,2,FALSE)</f>
        <v>Inst för språkstudier</v>
      </c>
      <c r="V350" s="31" t="str">
        <f>VLOOKUP(T350,Orgenheter!$A$1:$C$166,3,FALSE)</f>
        <v>Hum</v>
      </c>
      <c r="W350" s="35" t="str">
        <f>VLOOKUP(D350,Program!$A$1:$B$36,2,FALSE)</f>
        <v>Ämneslärarprogrammet - Gy</v>
      </c>
      <c r="X350" s="40">
        <f>VLOOKUP(A350,kurspris!$A$1:$Q$913,15,FALSE)</f>
        <v>25235</v>
      </c>
      <c r="Y350" s="40">
        <f>VLOOKUP(A350,kurspris!$A$1:$Q$913,16,FALSE)</f>
        <v>27976</v>
      </c>
      <c r="Z350" s="40">
        <f t="shared" si="153"/>
        <v>18380.474999999999</v>
      </c>
      <c r="AA350" s="40">
        <f>VLOOKUP(A350,kurspris!$A$1:$Q$913,17,FALSE)</f>
        <v>3600</v>
      </c>
      <c r="AB350" s="40">
        <f t="shared" si="154"/>
        <v>1350</v>
      </c>
      <c r="AC350" s="40">
        <f t="shared" si="155"/>
        <v>19730.474999999999</v>
      </c>
      <c r="AD350" s="31">
        <f>VLOOKUP($A350,kurspris!$A$1:$Q$950,3,FALSE)</f>
        <v>0</v>
      </c>
      <c r="AE350" s="31">
        <f>VLOOKUP($A350,kurspris!$A$1:$Q$950,4,FALSE)</f>
        <v>0</v>
      </c>
      <c r="AF350" s="31">
        <f>VLOOKUP($A350,kurspris!$A$1:$Q$950,5,FALSE)</f>
        <v>0</v>
      </c>
      <c r="AG350" s="31">
        <f>VLOOKUP($A350,kurspris!$A$1:$Q$950,6,FALSE)</f>
        <v>0</v>
      </c>
      <c r="AH350" s="31">
        <f>VLOOKUP($A350,kurspris!$A$1:$Q$950,7,FALSE)</f>
        <v>0</v>
      </c>
      <c r="AI350" s="31">
        <f>VLOOKUP($A350,kurspris!$A$1:$Q$950,8,FALSE)</f>
        <v>0</v>
      </c>
      <c r="AJ350" s="31">
        <f>VLOOKUP($A350,kurspris!$A$1:$Q$950,9,FALSE)</f>
        <v>0</v>
      </c>
      <c r="AK350" s="31">
        <f>VLOOKUP($A350,kurspris!$A$1:$Q$950,10,FALSE)</f>
        <v>0</v>
      </c>
      <c r="AL350" s="31">
        <f>VLOOKUP($A350,kurspris!$A$1:$Q$950,11,FALSE)</f>
        <v>1</v>
      </c>
      <c r="AM350" s="31">
        <f>VLOOKUP($A350,kurspris!$A$1:$Q$950,12,FALSE)</f>
        <v>0</v>
      </c>
      <c r="AN350" s="31">
        <f>VLOOKUP($A350,kurspris!$A$1:$Q$950,13,FALSE)</f>
        <v>0</v>
      </c>
      <c r="AO350" s="31">
        <f>VLOOKUP($A350,kurspris!$A$1:$Q$950,14,FALSE)</f>
        <v>0</v>
      </c>
      <c r="AP350" s="57" t="s">
        <v>2506</v>
      </c>
      <c r="AQ350"/>
      <c r="AR350" s="31">
        <f t="shared" si="156"/>
        <v>0</v>
      </c>
      <c r="AS350" s="219">
        <f t="shared" si="157"/>
        <v>0</v>
      </c>
      <c r="AT350" s="31">
        <f t="shared" si="158"/>
        <v>0</v>
      </c>
      <c r="AU350" s="219">
        <f t="shared" si="159"/>
        <v>0</v>
      </c>
      <c r="AV350" s="31">
        <f t="shared" si="160"/>
        <v>0</v>
      </c>
      <c r="AW350" s="31">
        <f t="shared" si="161"/>
        <v>0</v>
      </c>
      <c r="AX350" s="31">
        <f t="shared" si="162"/>
        <v>0</v>
      </c>
      <c r="AY350" s="219">
        <f t="shared" si="163"/>
        <v>0</v>
      </c>
      <c r="AZ350" s="196">
        <f t="shared" si="164"/>
        <v>0</v>
      </c>
      <c r="BA350" s="219">
        <f t="shared" si="165"/>
        <v>0</v>
      </c>
      <c r="BB350" s="31">
        <f t="shared" si="166"/>
        <v>0</v>
      </c>
      <c r="BC350" s="219">
        <f t="shared" si="167"/>
        <v>0</v>
      </c>
      <c r="BD350" s="31">
        <f t="shared" si="168"/>
        <v>0</v>
      </c>
      <c r="BE350" s="219">
        <f t="shared" si="169"/>
        <v>0</v>
      </c>
      <c r="BF350" s="31">
        <f t="shared" si="170"/>
        <v>0</v>
      </c>
      <c r="BG350" s="219">
        <f t="shared" si="171"/>
        <v>0</v>
      </c>
      <c r="BH350" s="31">
        <f t="shared" si="172"/>
        <v>0.375</v>
      </c>
      <c r="BI350" s="219">
        <f t="shared" si="173"/>
        <v>0.31874999999999998</v>
      </c>
      <c r="BJ350" s="31">
        <f t="shared" si="174"/>
        <v>0</v>
      </c>
      <c r="BK350" s="219">
        <f t="shared" si="175"/>
        <v>0</v>
      </c>
      <c r="BL350" s="31">
        <f t="shared" si="176"/>
        <v>0</v>
      </c>
      <c r="BM350" s="219">
        <f t="shared" si="177"/>
        <v>0</v>
      </c>
      <c r="BN350" s="31">
        <f t="shared" si="178"/>
        <v>0</v>
      </c>
      <c r="BO350" s="219">
        <f t="shared" si="179"/>
        <v>0</v>
      </c>
    </row>
    <row r="351" spans="1:67" x14ac:dyDescent="0.25">
      <c r="A351" s="31" t="s">
        <v>1273</v>
      </c>
      <c r="B351" s="176" t="str">
        <f>VLOOKUP(A351,kurspris!$A$1:$B$992,2,FALSE)</f>
        <v>Läraryrkets dimensioner - ingångsämne svenska</v>
      </c>
      <c r="C351" s="31">
        <v>71901</v>
      </c>
      <c r="D351" s="60" t="s">
        <v>482</v>
      </c>
      <c r="E351" s="60"/>
      <c r="F351" s="57" t="s">
        <v>2274</v>
      </c>
      <c r="H351" s="31" t="s">
        <v>2335</v>
      </c>
      <c r="I351" s="31" t="s">
        <v>2399</v>
      </c>
      <c r="J351" s="31" t="s">
        <v>2240</v>
      </c>
      <c r="L351" s="38"/>
      <c r="M351">
        <v>22.5</v>
      </c>
      <c r="P351" s="31">
        <v>9</v>
      </c>
      <c r="Q351" s="539">
        <v>3.375</v>
      </c>
      <c r="R351" s="38">
        <v>0.85</v>
      </c>
      <c r="S351" s="280">
        <f t="shared" si="152"/>
        <v>2.8687499999999999</v>
      </c>
      <c r="T351" s="31">
        <f>VLOOKUP(A351,'Ansvar kurs'!$A$1:$C$1123,2,FALSE)</f>
        <v>1620</v>
      </c>
      <c r="U351" s="31" t="str">
        <f>VLOOKUP(T351,Orgenheter!$A$1:$C$166,2,FALSE)</f>
        <v>Inst för språkstudier</v>
      </c>
      <c r="V351" s="31" t="str">
        <f>VLOOKUP(T351,Orgenheter!$A$1:$C$166,3,FALSE)</f>
        <v>Hum</v>
      </c>
      <c r="W351" s="35" t="str">
        <f>VLOOKUP(D351,Program!$A$1:$B$36,2,FALSE)</f>
        <v>Ämneslärarprogrammet - Gy</v>
      </c>
      <c r="X351" s="40">
        <f>VLOOKUP(A351,kurspris!$A$1:$Q$913,15,FALSE)</f>
        <v>25235</v>
      </c>
      <c r="Y351" s="40">
        <f>VLOOKUP(A351,kurspris!$A$1:$Q$913,16,FALSE)</f>
        <v>27976</v>
      </c>
      <c r="Z351" s="40">
        <f t="shared" si="153"/>
        <v>165424.27499999999</v>
      </c>
      <c r="AA351" s="40">
        <f>VLOOKUP(A351,kurspris!$A$1:$Q$913,17,FALSE)</f>
        <v>3600</v>
      </c>
      <c r="AB351" s="40">
        <f t="shared" si="154"/>
        <v>12150</v>
      </c>
      <c r="AC351" s="40">
        <f t="shared" si="155"/>
        <v>177574.27499999999</v>
      </c>
      <c r="AD351" s="31">
        <f>VLOOKUP($A351,kurspris!$A$1:$Q$950,3,FALSE)</f>
        <v>0</v>
      </c>
      <c r="AE351" s="31">
        <f>VLOOKUP($A351,kurspris!$A$1:$Q$950,4,FALSE)</f>
        <v>0</v>
      </c>
      <c r="AF351" s="31">
        <f>VLOOKUP($A351,kurspris!$A$1:$Q$950,5,FALSE)</f>
        <v>0</v>
      </c>
      <c r="AG351" s="31">
        <f>VLOOKUP($A351,kurspris!$A$1:$Q$950,6,FALSE)</f>
        <v>0</v>
      </c>
      <c r="AH351" s="31">
        <f>VLOOKUP($A351,kurspris!$A$1:$Q$950,7,FALSE)</f>
        <v>0</v>
      </c>
      <c r="AI351" s="31">
        <f>VLOOKUP($A351,kurspris!$A$1:$Q$950,8,FALSE)</f>
        <v>0</v>
      </c>
      <c r="AJ351" s="31">
        <f>VLOOKUP($A351,kurspris!$A$1:$Q$950,9,FALSE)</f>
        <v>0</v>
      </c>
      <c r="AK351" s="31">
        <f>VLOOKUP($A351,kurspris!$A$1:$Q$950,10,FALSE)</f>
        <v>0</v>
      </c>
      <c r="AL351" s="31">
        <f>VLOOKUP($A351,kurspris!$A$1:$Q$950,11,FALSE)</f>
        <v>1</v>
      </c>
      <c r="AM351" s="31">
        <f>VLOOKUP($A351,kurspris!$A$1:$Q$950,12,FALSE)</f>
        <v>0</v>
      </c>
      <c r="AN351" s="31">
        <f>VLOOKUP($A351,kurspris!$A$1:$Q$950,13,FALSE)</f>
        <v>0</v>
      </c>
      <c r="AO351" s="31">
        <f>VLOOKUP($A351,kurspris!$A$1:$Q$950,14,FALSE)</f>
        <v>0</v>
      </c>
      <c r="AP351" s="57" t="s">
        <v>2402</v>
      </c>
      <c r="AQ351"/>
      <c r="AR351" s="31">
        <f t="shared" si="156"/>
        <v>0</v>
      </c>
      <c r="AS351" s="219">
        <f t="shared" si="157"/>
        <v>0</v>
      </c>
      <c r="AT351" s="31">
        <f t="shared" si="158"/>
        <v>0</v>
      </c>
      <c r="AU351" s="219">
        <f t="shared" si="159"/>
        <v>0</v>
      </c>
      <c r="AV351" s="31">
        <f t="shared" si="160"/>
        <v>0</v>
      </c>
      <c r="AW351" s="31">
        <f t="shared" si="161"/>
        <v>0</v>
      </c>
      <c r="AX351" s="31">
        <f t="shared" si="162"/>
        <v>0</v>
      </c>
      <c r="AY351" s="219">
        <f t="shared" si="163"/>
        <v>0</v>
      </c>
      <c r="AZ351" s="196">
        <f t="shared" si="164"/>
        <v>0</v>
      </c>
      <c r="BA351" s="219">
        <f t="shared" si="165"/>
        <v>0</v>
      </c>
      <c r="BB351" s="31">
        <f t="shared" si="166"/>
        <v>0</v>
      </c>
      <c r="BC351" s="219">
        <f t="shared" si="167"/>
        <v>0</v>
      </c>
      <c r="BD351" s="31">
        <f t="shared" si="168"/>
        <v>0</v>
      </c>
      <c r="BE351" s="219">
        <f t="shared" si="169"/>
        <v>0</v>
      </c>
      <c r="BF351" s="31">
        <f t="shared" si="170"/>
        <v>0</v>
      </c>
      <c r="BG351" s="219">
        <f t="shared" si="171"/>
        <v>0</v>
      </c>
      <c r="BH351" s="31">
        <f t="shared" si="172"/>
        <v>3.375</v>
      </c>
      <c r="BI351" s="219">
        <f t="shared" si="173"/>
        <v>2.8687499999999999</v>
      </c>
      <c r="BJ351" s="31">
        <f t="shared" si="174"/>
        <v>0</v>
      </c>
      <c r="BK351" s="219">
        <f t="shared" si="175"/>
        <v>0</v>
      </c>
      <c r="BL351" s="31">
        <f t="shared" si="176"/>
        <v>0</v>
      </c>
      <c r="BM351" s="219">
        <f t="shared" si="177"/>
        <v>0</v>
      </c>
      <c r="BN351" s="31">
        <f t="shared" si="178"/>
        <v>0</v>
      </c>
      <c r="BO351" s="219">
        <f t="shared" si="179"/>
        <v>0</v>
      </c>
    </row>
    <row r="352" spans="1:67" x14ac:dyDescent="0.25">
      <c r="A352" s="31" t="s">
        <v>1634</v>
      </c>
      <c r="B352" s="176" t="str">
        <f>VLOOKUP(A352,kurspris!$A$1:$B$992,2,FALSE)</f>
        <v>Kommunikation och språkutveckling för fritidshem</v>
      </c>
      <c r="C352" s="31">
        <v>71921</v>
      </c>
      <c r="D352" s="60" t="s">
        <v>484</v>
      </c>
      <c r="E352" s="60"/>
      <c r="F352" s="57" t="s">
        <v>2274</v>
      </c>
      <c r="H352" s="31" t="s">
        <v>2335</v>
      </c>
      <c r="I352" s="31" t="s">
        <v>2399</v>
      </c>
      <c r="L352" s="38"/>
      <c r="M352">
        <v>7.5</v>
      </c>
      <c r="P352" s="31">
        <v>21</v>
      </c>
      <c r="Q352" s="539">
        <v>2.625</v>
      </c>
      <c r="R352" s="38">
        <v>0.85</v>
      </c>
      <c r="S352" s="280">
        <f t="shared" si="152"/>
        <v>2.2312499999999997</v>
      </c>
      <c r="T352" s="31">
        <f>VLOOKUP(A352,'Ansvar kurs'!$A$1:$C$1123,2,FALSE)</f>
        <v>1620</v>
      </c>
      <c r="U352" s="31" t="str">
        <f>VLOOKUP(T352,Orgenheter!$A$1:$C$166,2,FALSE)</f>
        <v>Inst för språkstudier</v>
      </c>
      <c r="V352" s="31" t="str">
        <f>VLOOKUP(T352,Orgenheter!$A$1:$C$166,3,FALSE)</f>
        <v>Hum</v>
      </c>
      <c r="W352" s="35" t="str">
        <f>VLOOKUP(D352,Program!$A$1:$B$36,2,FALSE)</f>
        <v>Grundlärarprogrammet - fritidshem</v>
      </c>
      <c r="X352" s="40">
        <f>VLOOKUP(A352,kurspris!$A$1:$Q$913,15,FALSE)</f>
        <v>20766</v>
      </c>
      <c r="Y352" s="40">
        <f>VLOOKUP(A352,kurspris!$A$1:$Q$913,16,FALSE)</f>
        <v>17442</v>
      </c>
      <c r="Z352" s="40">
        <f t="shared" si="153"/>
        <v>93428.212499999994</v>
      </c>
      <c r="AA352" s="40">
        <f>VLOOKUP(A352,kurspris!$A$1:$Q$913,17,FALSE)</f>
        <v>6000</v>
      </c>
      <c r="AB352" s="40">
        <f t="shared" si="154"/>
        <v>15750</v>
      </c>
      <c r="AC352" s="40">
        <f t="shared" si="155"/>
        <v>109178.21249999999</v>
      </c>
      <c r="AD352" s="31">
        <f>VLOOKUP($A352,kurspris!$A$1:$Q$950,3,FALSE)</f>
        <v>0</v>
      </c>
      <c r="AE352" s="31">
        <f>VLOOKUP($A352,kurspris!$A$1:$Q$950,4,FALSE)</f>
        <v>1</v>
      </c>
      <c r="AF352" s="31">
        <f>VLOOKUP($A352,kurspris!$A$1:$Q$950,5,FALSE)</f>
        <v>0</v>
      </c>
      <c r="AG352" s="31">
        <f>VLOOKUP($A352,kurspris!$A$1:$Q$950,6,FALSE)</f>
        <v>0</v>
      </c>
      <c r="AH352" s="31">
        <f>VLOOKUP($A352,kurspris!$A$1:$Q$950,7,FALSE)</f>
        <v>0</v>
      </c>
      <c r="AI352" s="31">
        <f>VLOOKUP($A352,kurspris!$A$1:$Q$950,8,FALSE)</f>
        <v>0</v>
      </c>
      <c r="AJ352" s="31">
        <f>VLOOKUP($A352,kurspris!$A$1:$Q$950,9,FALSE)</f>
        <v>0</v>
      </c>
      <c r="AK352" s="31">
        <f>VLOOKUP($A352,kurspris!$A$1:$Q$950,10,FALSE)</f>
        <v>0</v>
      </c>
      <c r="AL352" s="31">
        <f>VLOOKUP($A352,kurspris!$A$1:$Q$950,11,FALSE)</f>
        <v>0</v>
      </c>
      <c r="AM352" s="31">
        <f>VLOOKUP($A352,kurspris!$A$1:$Q$950,12,FALSE)</f>
        <v>0</v>
      </c>
      <c r="AN352" s="31">
        <f>VLOOKUP($A352,kurspris!$A$1:$Q$950,13,FALSE)</f>
        <v>0</v>
      </c>
      <c r="AO352" s="31">
        <f>VLOOKUP($A352,kurspris!$A$1:$Q$950,14,FALSE)</f>
        <v>0</v>
      </c>
      <c r="AP352" s="57" t="s">
        <v>2402</v>
      </c>
      <c r="AQ352"/>
      <c r="AR352" s="31">
        <f t="shared" si="156"/>
        <v>0</v>
      </c>
      <c r="AS352" s="219">
        <f t="shared" si="157"/>
        <v>0</v>
      </c>
      <c r="AT352" s="31">
        <f t="shared" si="158"/>
        <v>2.625</v>
      </c>
      <c r="AU352" s="219">
        <f t="shared" si="159"/>
        <v>2.2312499999999997</v>
      </c>
      <c r="AV352" s="31">
        <f t="shared" si="160"/>
        <v>0</v>
      </c>
      <c r="AW352" s="31">
        <f t="shared" si="161"/>
        <v>0</v>
      </c>
      <c r="AX352" s="31">
        <f t="shared" si="162"/>
        <v>0</v>
      </c>
      <c r="AY352" s="219">
        <f t="shared" si="163"/>
        <v>0</v>
      </c>
      <c r="AZ352" s="196">
        <f t="shared" si="164"/>
        <v>0</v>
      </c>
      <c r="BA352" s="219">
        <f t="shared" si="165"/>
        <v>0</v>
      </c>
      <c r="BB352" s="31">
        <f t="shared" si="166"/>
        <v>0</v>
      </c>
      <c r="BC352" s="219">
        <f t="shared" si="167"/>
        <v>0</v>
      </c>
      <c r="BD352" s="31">
        <f t="shared" si="168"/>
        <v>0</v>
      </c>
      <c r="BE352" s="219">
        <f t="shared" si="169"/>
        <v>0</v>
      </c>
      <c r="BF352" s="31">
        <f t="shared" si="170"/>
        <v>0</v>
      </c>
      <c r="BG352" s="219">
        <f t="shared" si="171"/>
        <v>0</v>
      </c>
      <c r="BH352" s="31">
        <f t="shared" si="172"/>
        <v>0</v>
      </c>
      <c r="BI352" s="219">
        <f t="shared" si="173"/>
        <v>0</v>
      </c>
      <c r="BJ352" s="31">
        <f t="shared" si="174"/>
        <v>0</v>
      </c>
      <c r="BK352" s="219">
        <f t="shared" si="175"/>
        <v>0</v>
      </c>
      <c r="BL352" s="31">
        <f t="shared" si="176"/>
        <v>0</v>
      </c>
      <c r="BM352" s="219">
        <f t="shared" si="177"/>
        <v>0</v>
      </c>
      <c r="BN352" s="31">
        <f t="shared" si="178"/>
        <v>0</v>
      </c>
      <c r="BO352" s="219">
        <f t="shared" si="179"/>
        <v>0</v>
      </c>
    </row>
    <row r="353" spans="1:67" x14ac:dyDescent="0.25">
      <c r="A353" s="31" t="s">
        <v>2199</v>
      </c>
      <c r="B353" s="176" t="str">
        <f>VLOOKUP(A353,kurspris!$A$1:$B$992,2,FALSE)</f>
        <v>Läraryrkets dimensioner - ingångsämne spanska</v>
      </c>
      <c r="C353" s="31">
        <v>71929</v>
      </c>
      <c r="D353" s="60" t="s">
        <v>482</v>
      </c>
      <c r="E353" s="60"/>
      <c r="F353" s="57" t="s">
        <v>2274</v>
      </c>
      <c r="H353" s="31" t="s">
        <v>2335</v>
      </c>
      <c r="I353" s="31" t="s">
        <v>2399</v>
      </c>
      <c r="J353" s="31" t="s">
        <v>2243</v>
      </c>
      <c r="L353" s="38"/>
      <c r="M353">
        <v>22.5</v>
      </c>
      <c r="P353" s="31">
        <v>1</v>
      </c>
      <c r="Q353" s="539">
        <v>0.375</v>
      </c>
      <c r="R353" s="38">
        <v>0.85</v>
      </c>
      <c r="S353" s="280">
        <f t="shared" si="152"/>
        <v>0.31874999999999998</v>
      </c>
      <c r="T353" s="31">
        <f>VLOOKUP(A353,'Ansvar kurs'!$A$1:$C$1123,2,FALSE)</f>
        <v>1620</v>
      </c>
      <c r="U353" s="31" t="str">
        <f>VLOOKUP(T353,Orgenheter!$A$1:$C$166,2,FALSE)</f>
        <v>Inst för språkstudier</v>
      </c>
      <c r="V353" s="31" t="str">
        <f>VLOOKUP(T353,Orgenheter!$A$1:$C$166,3,FALSE)</f>
        <v>Hum</v>
      </c>
      <c r="W353" s="35" t="str">
        <f>VLOOKUP(D353,Program!$A$1:$B$36,2,FALSE)</f>
        <v>Ämneslärarprogrammet - Gy</v>
      </c>
      <c r="X353" s="40">
        <f>VLOOKUP(A353,kurspris!$A$1:$Q$913,15,FALSE)</f>
        <v>25235</v>
      </c>
      <c r="Y353" s="40">
        <f>VLOOKUP(A353,kurspris!$A$1:$Q$913,16,FALSE)</f>
        <v>27976</v>
      </c>
      <c r="Z353" s="40">
        <f t="shared" si="153"/>
        <v>18380.474999999999</v>
      </c>
      <c r="AA353" s="40">
        <f>VLOOKUP(A353,kurspris!$A$1:$Q$913,17,FALSE)</f>
        <v>3600</v>
      </c>
      <c r="AB353" s="40">
        <f t="shared" si="154"/>
        <v>1350</v>
      </c>
      <c r="AC353" s="40">
        <f t="shared" si="155"/>
        <v>19730.474999999999</v>
      </c>
      <c r="AD353" s="31">
        <f>VLOOKUP($A353,kurspris!$A$1:$Q$950,3,FALSE)</f>
        <v>0</v>
      </c>
      <c r="AE353" s="31">
        <f>VLOOKUP($A353,kurspris!$A$1:$Q$950,4,FALSE)</f>
        <v>0</v>
      </c>
      <c r="AF353" s="31">
        <f>VLOOKUP($A353,kurspris!$A$1:$Q$950,5,FALSE)</f>
        <v>0</v>
      </c>
      <c r="AG353" s="31">
        <f>VLOOKUP($A353,kurspris!$A$1:$Q$950,6,FALSE)</f>
        <v>0</v>
      </c>
      <c r="AH353" s="31">
        <f>VLOOKUP($A353,kurspris!$A$1:$Q$950,7,FALSE)</f>
        <v>0</v>
      </c>
      <c r="AI353" s="31">
        <f>VLOOKUP($A353,kurspris!$A$1:$Q$950,8,FALSE)</f>
        <v>0</v>
      </c>
      <c r="AJ353" s="31">
        <f>VLOOKUP($A353,kurspris!$A$1:$Q$950,9,FALSE)</f>
        <v>0</v>
      </c>
      <c r="AK353" s="31">
        <f>VLOOKUP($A353,kurspris!$A$1:$Q$950,10,FALSE)</f>
        <v>0</v>
      </c>
      <c r="AL353" s="31">
        <f>VLOOKUP($A353,kurspris!$A$1:$Q$950,11,FALSE)</f>
        <v>1</v>
      </c>
      <c r="AM353" s="31">
        <f>VLOOKUP($A353,kurspris!$A$1:$Q$950,12,FALSE)</f>
        <v>0</v>
      </c>
      <c r="AN353" s="31">
        <f>VLOOKUP($A353,kurspris!$A$1:$Q$950,13,FALSE)</f>
        <v>0</v>
      </c>
      <c r="AO353" s="31">
        <f>VLOOKUP($A353,kurspris!$A$1:$Q$950,14,FALSE)</f>
        <v>0</v>
      </c>
      <c r="AP353" s="57" t="s">
        <v>2402</v>
      </c>
      <c r="AQ353"/>
      <c r="AR353" s="31">
        <f t="shared" si="156"/>
        <v>0</v>
      </c>
      <c r="AS353" s="219">
        <f t="shared" si="157"/>
        <v>0</v>
      </c>
      <c r="AT353" s="31">
        <f t="shared" si="158"/>
        <v>0</v>
      </c>
      <c r="AU353" s="219">
        <f t="shared" si="159"/>
        <v>0</v>
      </c>
      <c r="AV353" s="31">
        <f t="shared" si="160"/>
        <v>0</v>
      </c>
      <c r="AW353" s="31">
        <f t="shared" si="161"/>
        <v>0</v>
      </c>
      <c r="AX353" s="31">
        <f t="shared" si="162"/>
        <v>0</v>
      </c>
      <c r="AY353" s="219">
        <f t="shared" si="163"/>
        <v>0</v>
      </c>
      <c r="AZ353" s="196">
        <f t="shared" si="164"/>
        <v>0</v>
      </c>
      <c r="BA353" s="219">
        <f t="shared" si="165"/>
        <v>0</v>
      </c>
      <c r="BB353" s="31">
        <f t="shared" si="166"/>
        <v>0</v>
      </c>
      <c r="BC353" s="219">
        <f t="shared" si="167"/>
        <v>0</v>
      </c>
      <c r="BD353" s="31">
        <f t="shared" si="168"/>
        <v>0</v>
      </c>
      <c r="BE353" s="219">
        <f t="shared" si="169"/>
        <v>0</v>
      </c>
      <c r="BF353" s="31">
        <f t="shared" si="170"/>
        <v>0</v>
      </c>
      <c r="BG353" s="219">
        <f t="shared" si="171"/>
        <v>0</v>
      </c>
      <c r="BH353" s="31">
        <f t="shared" si="172"/>
        <v>0.375</v>
      </c>
      <c r="BI353" s="219">
        <f t="shared" si="173"/>
        <v>0.31874999999999998</v>
      </c>
      <c r="BJ353" s="31">
        <f t="shared" si="174"/>
        <v>0</v>
      </c>
      <c r="BK353" s="219">
        <f t="shared" si="175"/>
        <v>0</v>
      </c>
      <c r="BL353" s="31">
        <f t="shared" si="176"/>
        <v>0</v>
      </c>
      <c r="BM353" s="219">
        <f t="shared" si="177"/>
        <v>0</v>
      </c>
      <c r="BN353" s="31">
        <f t="shared" si="178"/>
        <v>0</v>
      </c>
      <c r="BO353" s="219">
        <f t="shared" si="179"/>
        <v>0</v>
      </c>
    </row>
    <row r="354" spans="1:67" x14ac:dyDescent="0.25">
      <c r="A354" s="31" t="s">
        <v>2200</v>
      </c>
      <c r="B354" s="176" t="str">
        <f>VLOOKUP(A354,kurspris!$A$1:$B$992,2,FALSE)</f>
        <v>Läraryrkets dimensioner - ingångsämne tyska (VFU)</v>
      </c>
      <c r="D354" s="60" t="s">
        <v>482</v>
      </c>
      <c r="E354" s="576" t="s">
        <v>2226</v>
      </c>
      <c r="F354" s="31" t="s">
        <v>2273</v>
      </c>
      <c r="G354" t="s">
        <v>2456</v>
      </c>
      <c r="H354" t="s">
        <v>2335</v>
      </c>
      <c r="J354" s="31" t="s">
        <v>2246</v>
      </c>
      <c r="L354" s="38">
        <v>1</v>
      </c>
      <c r="M354">
        <v>22.5</v>
      </c>
      <c r="P354" s="31">
        <v>1</v>
      </c>
      <c r="Q354" s="196">
        <f>(M354/60)*P354</f>
        <v>0.375</v>
      </c>
      <c r="R354" s="38">
        <v>0.85</v>
      </c>
      <c r="S354" s="280">
        <f t="shared" si="152"/>
        <v>0.31874999999999998</v>
      </c>
      <c r="T354" s="31">
        <f>VLOOKUP(A354,'Ansvar kurs'!$A$1:$C$1123,2,FALSE)</f>
        <v>1620</v>
      </c>
      <c r="U354" s="31" t="str">
        <f>VLOOKUP(T354,Orgenheter!$A$1:$C$166,2,FALSE)</f>
        <v>Inst för språkstudier</v>
      </c>
      <c r="V354" s="31" t="str">
        <f>VLOOKUP(T354,Orgenheter!$A$1:$C$166,3,FALSE)</f>
        <v>Hum</v>
      </c>
      <c r="W354" s="35" t="str">
        <f>VLOOKUP(D354,Program!$A$1:$B$36,2,FALSE)</f>
        <v>Ämneslärarprogrammet - Gy</v>
      </c>
      <c r="X354" s="40">
        <f>VLOOKUP(A354,kurspris!$A$1:$Q$913,15,FALSE)</f>
        <v>25235</v>
      </c>
      <c r="Y354" s="40">
        <f>VLOOKUP(A354,kurspris!$A$1:$Q$913,16,FALSE)</f>
        <v>27976</v>
      </c>
      <c r="Z354" s="40">
        <f t="shared" si="153"/>
        <v>18380.474999999999</v>
      </c>
      <c r="AA354" s="40">
        <f>VLOOKUP(A354,kurspris!$A$1:$Q$913,17,FALSE)</f>
        <v>3600</v>
      </c>
      <c r="AB354" s="40">
        <f t="shared" si="154"/>
        <v>1350</v>
      </c>
      <c r="AC354" s="40">
        <f t="shared" si="155"/>
        <v>19730.474999999999</v>
      </c>
      <c r="AD354" s="31">
        <f>VLOOKUP($A354,kurspris!$A$1:$Q$950,3,FALSE)</f>
        <v>0</v>
      </c>
      <c r="AE354" s="31">
        <f>VLOOKUP($A354,kurspris!$A$1:$Q$950,4,FALSE)</f>
        <v>0</v>
      </c>
      <c r="AF354" s="31">
        <f>VLOOKUP($A354,kurspris!$A$1:$Q$950,5,FALSE)</f>
        <v>0</v>
      </c>
      <c r="AG354" s="31">
        <f>VLOOKUP($A354,kurspris!$A$1:$Q$950,6,FALSE)</f>
        <v>0</v>
      </c>
      <c r="AH354" s="31">
        <f>VLOOKUP($A354,kurspris!$A$1:$Q$950,7,FALSE)</f>
        <v>0</v>
      </c>
      <c r="AI354" s="31">
        <f>VLOOKUP($A354,kurspris!$A$1:$Q$950,8,FALSE)</f>
        <v>0</v>
      </c>
      <c r="AJ354" s="31">
        <f>VLOOKUP($A354,kurspris!$A$1:$Q$950,9,FALSE)</f>
        <v>0</v>
      </c>
      <c r="AK354" s="31">
        <f>VLOOKUP($A354,kurspris!$A$1:$Q$950,10,FALSE)</f>
        <v>0</v>
      </c>
      <c r="AL354" s="31">
        <f>VLOOKUP($A354,kurspris!$A$1:$Q$950,11,FALSE)</f>
        <v>1</v>
      </c>
      <c r="AM354" s="31">
        <f>VLOOKUP($A354,kurspris!$A$1:$Q$950,12,FALSE)</f>
        <v>0</v>
      </c>
      <c r="AN354" s="31">
        <f>VLOOKUP($A354,kurspris!$A$1:$Q$950,13,FALSE)</f>
        <v>0</v>
      </c>
      <c r="AO354" s="31">
        <f>VLOOKUP($A354,kurspris!$A$1:$Q$950,14,FALSE)</f>
        <v>0</v>
      </c>
      <c r="AP354" s="57" t="s">
        <v>2506</v>
      </c>
      <c r="AQ354"/>
      <c r="AR354" s="31">
        <f t="shared" si="156"/>
        <v>0</v>
      </c>
      <c r="AS354" s="219">
        <f t="shared" si="157"/>
        <v>0</v>
      </c>
      <c r="AT354" s="31">
        <f t="shared" si="158"/>
        <v>0</v>
      </c>
      <c r="AU354" s="219">
        <f t="shared" si="159"/>
        <v>0</v>
      </c>
      <c r="AV354" s="31">
        <f t="shared" si="160"/>
        <v>0</v>
      </c>
      <c r="AW354" s="31">
        <f t="shared" si="161"/>
        <v>0</v>
      </c>
      <c r="AX354" s="31">
        <f t="shared" si="162"/>
        <v>0</v>
      </c>
      <c r="AY354" s="219">
        <f t="shared" si="163"/>
        <v>0</v>
      </c>
      <c r="AZ354" s="196">
        <f t="shared" si="164"/>
        <v>0</v>
      </c>
      <c r="BA354" s="219">
        <f t="shared" si="165"/>
        <v>0</v>
      </c>
      <c r="BB354" s="31">
        <f t="shared" si="166"/>
        <v>0</v>
      </c>
      <c r="BC354" s="219">
        <f t="shared" si="167"/>
        <v>0</v>
      </c>
      <c r="BD354" s="31">
        <f t="shared" si="168"/>
        <v>0</v>
      </c>
      <c r="BE354" s="219">
        <f t="shared" si="169"/>
        <v>0</v>
      </c>
      <c r="BF354" s="31">
        <f t="shared" si="170"/>
        <v>0</v>
      </c>
      <c r="BG354" s="219">
        <f t="shared" si="171"/>
        <v>0</v>
      </c>
      <c r="BH354" s="31">
        <f t="shared" si="172"/>
        <v>0.375</v>
      </c>
      <c r="BI354" s="219">
        <f t="shared" si="173"/>
        <v>0.31874999999999998</v>
      </c>
      <c r="BJ354" s="31">
        <f t="shared" si="174"/>
        <v>0</v>
      </c>
      <c r="BK354" s="219">
        <f t="shared" si="175"/>
        <v>0</v>
      </c>
      <c r="BL354" s="31">
        <f t="shared" si="176"/>
        <v>0</v>
      </c>
      <c r="BM354" s="219">
        <f t="shared" si="177"/>
        <v>0</v>
      </c>
      <c r="BN354" s="31">
        <f t="shared" si="178"/>
        <v>0</v>
      </c>
      <c r="BO354" s="219">
        <f t="shared" si="179"/>
        <v>0</v>
      </c>
    </row>
    <row r="355" spans="1:67" x14ac:dyDescent="0.25">
      <c r="A355" s="31" t="s">
        <v>2200</v>
      </c>
      <c r="B355" s="176" t="str">
        <f>VLOOKUP(A355,kurspris!$A$1:$B$992,2,FALSE)</f>
        <v>Läraryrkets dimensioner - ingångsämne tyska (VFU)</v>
      </c>
      <c r="C355" s="31">
        <v>71928</v>
      </c>
      <c r="D355" s="60" t="s">
        <v>482</v>
      </c>
      <c r="E355" s="60"/>
      <c r="F355" s="57" t="s">
        <v>2274</v>
      </c>
      <c r="H355" s="31" t="s">
        <v>2335</v>
      </c>
      <c r="I355" s="31" t="s">
        <v>2399</v>
      </c>
      <c r="J355" s="31" t="s">
        <v>2246</v>
      </c>
      <c r="L355" s="38"/>
      <c r="M355">
        <v>22.5</v>
      </c>
      <c r="P355" s="31">
        <v>1</v>
      </c>
      <c r="Q355" s="539">
        <v>0.375</v>
      </c>
      <c r="R355" s="38">
        <v>0.85</v>
      </c>
      <c r="S355" s="280">
        <f t="shared" si="152"/>
        <v>0.31874999999999998</v>
      </c>
      <c r="T355" s="31">
        <f>VLOOKUP(A355,'Ansvar kurs'!$A$1:$C$1123,2,FALSE)</f>
        <v>1620</v>
      </c>
      <c r="U355" s="31" t="str">
        <f>VLOOKUP(T355,Orgenheter!$A$1:$C$166,2,FALSE)</f>
        <v>Inst för språkstudier</v>
      </c>
      <c r="V355" s="31" t="str">
        <f>VLOOKUP(T355,Orgenheter!$A$1:$C$166,3,FALSE)</f>
        <v>Hum</v>
      </c>
      <c r="W355" s="35" t="str">
        <f>VLOOKUP(D355,Program!$A$1:$B$36,2,FALSE)</f>
        <v>Ämneslärarprogrammet - Gy</v>
      </c>
      <c r="X355" s="40">
        <f>VLOOKUP(A355,kurspris!$A$1:$Q$913,15,FALSE)</f>
        <v>25235</v>
      </c>
      <c r="Y355" s="40">
        <f>VLOOKUP(A355,kurspris!$A$1:$Q$913,16,FALSE)</f>
        <v>27976</v>
      </c>
      <c r="Z355" s="40">
        <f t="shared" si="153"/>
        <v>18380.474999999999</v>
      </c>
      <c r="AA355" s="40">
        <f>VLOOKUP(A355,kurspris!$A$1:$Q$913,17,FALSE)</f>
        <v>3600</v>
      </c>
      <c r="AB355" s="40">
        <f t="shared" si="154"/>
        <v>1350</v>
      </c>
      <c r="AC355" s="40">
        <f t="shared" si="155"/>
        <v>19730.474999999999</v>
      </c>
      <c r="AD355" s="31">
        <f>VLOOKUP($A355,kurspris!$A$1:$Q$950,3,FALSE)</f>
        <v>0</v>
      </c>
      <c r="AE355" s="31">
        <f>VLOOKUP($A355,kurspris!$A$1:$Q$950,4,FALSE)</f>
        <v>0</v>
      </c>
      <c r="AF355" s="31">
        <f>VLOOKUP($A355,kurspris!$A$1:$Q$950,5,FALSE)</f>
        <v>0</v>
      </c>
      <c r="AG355" s="31">
        <f>VLOOKUP($A355,kurspris!$A$1:$Q$950,6,FALSE)</f>
        <v>0</v>
      </c>
      <c r="AH355" s="31">
        <f>VLOOKUP($A355,kurspris!$A$1:$Q$950,7,FALSE)</f>
        <v>0</v>
      </c>
      <c r="AI355" s="31">
        <f>VLOOKUP($A355,kurspris!$A$1:$Q$950,8,FALSE)</f>
        <v>0</v>
      </c>
      <c r="AJ355" s="31">
        <f>VLOOKUP($A355,kurspris!$A$1:$Q$950,9,FALSE)</f>
        <v>0</v>
      </c>
      <c r="AK355" s="31">
        <f>VLOOKUP($A355,kurspris!$A$1:$Q$950,10,FALSE)</f>
        <v>0</v>
      </c>
      <c r="AL355" s="31">
        <f>VLOOKUP($A355,kurspris!$A$1:$Q$950,11,FALSE)</f>
        <v>1</v>
      </c>
      <c r="AM355" s="31">
        <f>VLOOKUP($A355,kurspris!$A$1:$Q$950,12,FALSE)</f>
        <v>0</v>
      </c>
      <c r="AN355" s="31">
        <f>VLOOKUP($A355,kurspris!$A$1:$Q$950,13,FALSE)</f>
        <v>0</v>
      </c>
      <c r="AO355" s="31">
        <f>VLOOKUP($A355,kurspris!$A$1:$Q$950,14,FALSE)</f>
        <v>0</v>
      </c>
      <c r="AP355" s="57" t="s">
        <v>2402</v>
      </c>
      <c r="AQ355"/>
      <c r="AR355" s="31">
        <f t="shared" si="156"/>
        <v>0</v>
      </c>
      <c r="AS355" s="219">
        <f t="shared" si="157"/>
        <v>0</v>
      </c>
      <c r="AT355" s="31">
        <f t="shared" si="158"/>
        <v>0</v>
      </c>
      <c r="AU355" s="219">
        <f t="shared" si="159"/>
        <v>0</v>
      </c>
      <c r="AV355" s="31">
        <f t="shared" si="160"/>
        <v>0</v>
      </c>
      <c r="AW355" s="31">
        <f t="shared" si="161"/>
        <v>0</v>
      </c>
      <c r="AX355" s="31">
        <f t="shared" si="162"/>
        <v>0</v>
      </c>
      <c r="AY355" s="219">
        <f t="shared" si="163"/>
        <v>0</v>
      </c>
      <c r="AZ355" s="196">
        <f t="shared" si="164"/>
        <v>0</v>
      </c>
      <c r="BA355" s="219">
        <f t="shared" si="165"/>
        <v>0</v>
      </c>
      <c r="BB355" s="31">
        <f t="shared" si="166"/>
        <v>0</v>
      </c>
      <c r="BC355" s="219">
        <f t="shared" si="167"/>
        <v>0</v>
      </c>
      <c r="BD355" s="31">
        <f t="shared" si="168"/>
        <v>0</v>
      </c>
      <c r="BE355" s="219">
        <f t="shared" si="169"/>
        <v>0</v>
      </c>
      <c r="BF355" s="31">
        <f t="shared" si="170"/>
        <v>0</v>
      </c>
      <c r="BG355" s="219">
        <f t="shared" si="171"/>
        <v>0</v>
      </c>
      <c r="BH355" s="31">
        <f t="shared" si="172"/>
        <v>0.375</v>
      </c>
      <c r="BI355" s="219">
        <f t="shared" si="173"/>
        <v>0.31874999999999998</v>
      </c>
      <c r="BJ355" s="31">
        <f t="shared" si="174"/>
        <v>0</v>
      </c>
      <c r="BK355" s="219">
        <f t="shared" si="175"/>
        <v>0</v>
      </c>
      <c r="BL355" s="31">
        <f t="shared" si="176"/>
        <v>0</v>
      </c>
      <c r="BM355" s="219">
        <f t="shared" si="177"/>
        <v>0</v>
      </c>
      <c r="BN355" s="31">
        <f t="shared" si="178"/>
        <v>0</v>
      </c>
      <c r="BO355" s="219">
        <f t="shared" si="179"/>
        <v>0</v>
      </c>
    </row>
    <row r="356" spans="1:67" x14ac:dyDescent="0.25">
      <c r="A356" s="31" t="s">
        <v>2201</v>
      </c>
      <c r="B356" s="176" t="str">
        <f>VLOOKUP(A356,kurspris!$A$1:$B$992,2,FALSE)</f>
        <v>Läraryrkets dimensioner - ingångsämne svenska som andraspråk (VFU)</v>
      </c>
      <c r="C356" s="31">
        <v>71914</v>
      </c>
      <c r="D356" s="60" t="s">
        <v>482</v>
      </c>
      <c r="E356" s="60"/>
      <c r="F356" s="57" t="s">
        <v>2274</v>
      </c>
      <c r="H356" s="31" t="s">
        <v>2335</v>
      </c>
      <c r="I356" s="31" t="s">
        <v>2399</v>
      </c>
      <c r="J356" s="31" t="s">
        <v>2248</v>
      </c>
      <c r="L356" s="38"/>
      <c r="M356">
        <v>22.5</v>
      </c>
      <c r="P356" s="31">
        <v>2</v>
      </c>
      <c r="Q356" s="539">
        <v>0.75</v>
      </c>
      <c r="R356" s="38">
        <v>0.85</v>
      </c>
      <c r="S356" s="280">
        <f t="shared" si="152"/>
        <v>0.63749999999999996</v>
      </c>
      <c r="T356" s="31">
        <f>VLOOKUP(A356,'Ansvar kurs'!$A$1:$C$1123,2,FALSE)</f>
        <v>1620</v>
      </c>
      <c r="U356" s="31" t="str">
        <f>VLOOKUP(T356,Orgenheter!$A$1:$C$166,2,FALSE)</f>
        <v>Inst för språkstudier</v>
      </c>
      <c r="V356" s="31" t="str">
        <f>VLOOKUP(T356,Orgenheter!$A$1:$C$166,3,FALSE)</f>
        <v>Hum</v>
      </c>
      <c r="W356" s="35" t="str">
        <f>VLOOKUP(D356,Program!$A$1:$B$36,2,FALSE)</f>
        <v>Ämneslärarprogrammet - Gy</v>
      </c>
      <c r="X356" s="40">
        <f>VLOOKUP(A356,kurspris!$A$1:$Q$913,15,FALSE)</f>
        <v>25235</v>
      </c>
      <c r="Y356" s="40">
        <f>VLOOKUP(A356,kurspris!$A$1:$Q$913,16,FALSE)</f>
        <v>27976</v>
      </c>
      <c r="Z356" s="40">
        <f t="shared" si="153"/>
        <v>36760.949999999997</v>
      </c>
      <c r="AA356" s="40">
        <f>VLOOKUP(A356,kurspris!$A$1:$Q$913,17,FALSE)</f>
        <v>3600</v>
      </c>
      <c r="AB356" s="40">
        <f t="shared" si="154"/>
        <v>2700</v>
      </c>
      <c r="AC356" s="40">
        <f t="shared" si="155"/>
        <v>39460.949999999997</v>
      </c>
      <c r="AD356" s="31">
        <f>VLOOKUP($A356,kurspris!$A$1:$Q$950,3,FALSE)</f>
        <v>0</v>
      </c>
      <c r="AE356" s="31">
        <f>VLOOKUP($A356,kurspris!$A$1:$Q$950,4,FALSE)</f>
        <v>0</v>
      </c>
      <c r="AF356" s="31">
        <f>VLOOKUP($A356,kurspris!$A$1:$Q$950,5,FALSE)</f>
        <v>0</v>
      </c>
      <c r="AG356" s="31">
        <f>VLOOKUP($A356,kurspris!$A$1:$Q$950,6,FALSE)</f>
        <v>0</v>
      </c>
      <c r="AH356" s="31">
        <f>VLOOKUP($A356,kurspris!$A$1:$Q$950,7,FALSE)</f>
        <v>0</v>
      </c>
      <c r="AI356" s="31">
        <f>VLOOKUP($A356,kurspris!$A$1:$Q$950,8,FALSE)</f>
        <v>0</v>
      </c>
      <c r="AJ356" s="31">
        <f>VLOOKUP($A356,kurspris!$A$1:$Q$950,9,FALSE)</f>
        <v>0</v>
      </c>
      <c r="AK356" s="31">
        <f>VLOOKUP($A356,kurspris!$A$1:$Q$950,10,FALSE)</f>
        <v>0</v>
      </c>
      <c r="AL356" s="31">
        <f>VLOOKUP($A356,kurspris!$A$1:$Q$950,11,FALSE)</f>
        <v>1</v>
      </c>
      <c r="AM356" s="31">
        <f>VLOOKUP($A356,kurspris!$A$1:$Q$950,12,FALSE)</f>
        <v>0</v>
      </c>
      <c r="AN356" s="31">
        <f>VLOOKUP($A356,kurspris!$A$1:$Q$950,13,FALSE)</f>
        <v>0</v>
      </c>
      <c r="AO356" s="31">
        <f>VLOOKUP($A356,kurspris!$A$1:$Q$950,14,FALSE)</f>
        <v>0</v>
      </c>
      <c r="AP356" s="57" t="s">
        <v>2402</v>
      </c>
      <c r="AQ356"/>
      <c r="AR356" s="31">
        <f t="shared" si="156"/>
        <v>0</v>
      </c>
      <c r="AS356" s="219">
        <f t="shared" si="157"/>
        <v>0</v>
      </c>
      <c r="AT356" s="31">
        <f t="shared" si="158"/>
        <v>0</v>
      </c>
      <c r="AU356" s="219">
        <f t="shared" si="159"/>
        <v>0</v>
      </c>
      <c r="AV356" s="31">
        <f t="shared" si="160"/>
        <v>0</v>
      </c>
      <c r="AW356" s="31">
        <f t="shared" si="161"/>
        <v>0</v>
      </c>
      <c r="AX356" s="31">
        <f t="shared" si="162"/>
        <v>0</v>
      </c>
      <c r="AY356" s="219">
        <f t="shared" si="163"/>
        <v>0</v>
      </c>
      <c r="AZ356" s="196">
        <f t="shared" si="164"/>
        <v>0</v>
      </c>
      <c r="BA356" s="219">
        <f t="shared" si="165"/>
        <v>0</v>
      </c>
      <c r="BB356" s="31">
        <f t="shared" si="166"/>
        <v>0</v>
      </c>
      <c r="BC356" s="219">
        <f t="shared" si="167"/>
        <v>0</v>
      </c>
      <c r="BD356" s="31">
        <f t="shared" si="168"/>
        <v>0</v>
      </c>
      <c r="BE356" s="219">
        <f t="shared" si="169"/>
        <v>0</v>
      </c>
      <c r="BF356" s="31">
        <f t="shared" si="170"/>
        <v>0</v>
      </c>
      <c r="BG356" s="219">
        <f t="shared" si="171"/>
        <v>0</v>
      </c>
      <c r="BH356" s="31">
        <f t="shared" si="172"/>
        <v>0.75</v>
      </c>
      <c r="BI356" s="219">
        <f t="shared" si="173"/>
        <v>0.63749999999999996</v>
      </c>
      <c r="BJ356" s="31">
        <f t="shared" si="174"/>
        <v>0</v>
      </c>
      <c r="BK356" s="219">
        <f t="shared" si="175"/>
        <v>0</v>
      </c>
      <c r="BL356" s="31">
        <f t="shared" si="176"/>
        <v>0</v>
      </c>
      <c r="BM356" s="219">
        <f t="shared" si="177"/>
        <v>0</v>
      </c>
      <c r="BN356" s="31">
        <f t="shared" si="178"/>
        <v>0</v>
      </c>
      <c r="BO356" s="219">
        <f t="shared" si="179"/>
        <v>0</v>
      </c>
    </row>
    <row r="357" spans="1:67" x14ac:dyDescent="0.25">
      <c r="A357" s="60" t="s">
        <v>2134</v>
      </c>
      <c r="B357" s="176" t="str">
        <f>VLOOKUP(A357,kurspris!$A$1:$B$992,2,FALSE)</f>
        <v>Språkutveckling, litteracitet och barnlitteratur i förskolan och förskoleklassen</v>
      </c>
      <c r="D357" s="60" t="s">
        <v>483</v>
      </c>
      <c r="E357" s="577" t="s">
        <v>2434</v>
      </c>
      <c r="F357" s="60" t="s">
        <v>2273</v>
      </c>
      <c r="G357" t="s">
        <v>2440</v>
      </c>
      <c r="H357" s="60" t="s">
        <v>2335</v>
      </c>
      <c r="I357" s="60" t="s">
        <v>2276</v>
      </c>
      <c r="L357" s="38">
        <v>1</v>
      </c>
      <c r="M357" s="325">
        <v>15</v>
      </c>
      <c r="P357" s="31">
        <v>1</v>
      </c>
      <c r="Q357" s="196">
        <f>(M357/60)*P357</f>
        <v>0.25</v>
      </c>
      <c r="R357" s="38">
        <v>0.85</v>
      </c>
      <c r="S357" s="280">
        <f t="shared" si="152"/>
        <v>0.21249999999999999</v>
      </c>
      <c r="T357" s="31">
        <f>VLOOKUP(A357,'Ansvar kurs'!$A$1:$C$1123,2,FALSE)</f>
        <v>1620</v>
      </c>
      <c r="U357" s="31" t="str">
        <f>VLOOKUP(T357,Orgenheter!$A$1:$C$166,2,FALSE)</f>
        <v>Inst för språkstudier</v>
      </c>
      <c r="V357" s="31" t="str">
        <f>VLOOKUP(T357,Orgenheter!$A$1:$C$166,3,FALSE)</f>
        <v>Hum</v>
      </c>
      <c r="W357" s="35" t="str">
        <f>VLOOKUP(D357,Program!$A$1:$B$36,2,FALSE)</f>
        <v>Förskollärarprogrammet</v>
      </c>
      <c r="X357" s="40">
        <f>VLOOKUP(A357,kurspris!$A$1:$Q$913,15,FALSE)</f>
        <v>20766</v>
      </c>
      <c r="Y357" s="40">
        <f>VLOOKUP(A357,kurspris!$A$1:$Q$913,16,FALSE)</f>
        <v>17442</v>
      </c>
      <c r="Z357" s="40">
        <f t="shared" si="153"/>
        <v>8897.9249999999993</v>
      </c>
      <c r="AA357" s="40">
        <f>VLOOKUP(A357,kurspris!$A$1:$Q$913,17,FALSE)</f>
        <v>6000</v>
      </c>
      <c r="AB357" s="40">
        <f t="shared" si="154"/>
        <v>1500</v>
      </c>
      <c r="AC357" s="40">
        <f t="shared" si="155"/>
        <v>10397.924999999999</v>
      </c>
      <c r="AD357" s="31">
        <f>VLOOKUP($A357,kurspris!$A$1:$Q$950,3,FALSE)</f>
        <v>0</v>
      </c>
      <c r="AE357" s="31">
        <f>VLOOKUP($A357,kurspris!$A$1:$Q$950,4,FALSE)</f>
        <v>1</v>
      </c>
      <c r="AF357" s="31">
        <f>VLOOKUP($A357,kurspris!$A$1:$Q$950,5,FALSE)</f>
        <v>0</v>
      </c>
      <c r="AG357" s="31">
        <f>VLOOKUP($A357,kurspris!$A$1:$Q$950,6,FALSE)</f>
        <v>0</v>
      </c>
      <c r="AH357" s="31">
        <f>VLOOKUP($A357,kurspris!$A$1:$Q$950,7,FALSE)</f>
        <v>0</v>
      </c>
      <c r="AI357" s="31">
        <f>VLOOKUP($A357,kurspris!$A$1:$Q$950,8,FALSE)</f>
        <v>0</v>
      </c>
      <c r="AJ357" s="31">
        <f>VLOOKUP($A357,kurspris!$A$1:$Q$950,9,FALSE)</f>
        <v>0</v>
      </c>
      <c r="AK357" s="31">
        <f>VLOOKUP($A357,kurspris!$A$1:$Q$950,10,FALSE)</f>
        <v>0</v>
      </c>
      <c r="AL357" s="31">
        <f>VLOOKUP($A357,kurspris!$A$1:$Q$950,11,FALSE)</f>
        <v>0</v>
      </c>
      <c r="AM357" s="31">
        <f>VLOOKUP($A357,kurspris!$A$1:$Q$950,12,FALSE)</f>
        <v>0</v>
      </c>
      <c r="AN357" s="31">
        <f>VLOOKUP($A357,kurspris!$A$1:$Q$950,13,FALSE)</f>
        <v>0</v>
      </c>
      <c r="AO357" s="31">
        <f>VLOOKUP($A357,kurspris!$A$1:$Q$950,14,FALSE)</f>
        <v>0</v>
      </c>
      <c r="AP357" s="57" t="s">
        <v>2506</v>
      </c>
      <c r="AQ357"/>
      <c r="AR357" s="31">
        <f t="shared" si="156"/>
        <v>0</v>
      </c>
      <c r="AS357" s="219">
        <f t="shared" si="157"/>
        <v>0</v>
      </c>
      <c r="AT357" s="31">
        <f t="shared" si="158"/>
        <v>0.25</v>
      </c>
      <c r="AU357" s="219">
        <f t="shared" si="159"/>
        <v>0.21249999999999999</v>
      </c>
      <c r="AV357" s="31">
        <f t="shared" si="160"/>
        <v>0</v>
      </c>
      <c r="AW357" s="31">
        <f t="shared" si="161"/>
        <v>0</v>
      </c>
      <c r="AX357" s="31">
        <f t="shared" si="162"/>
        <v>0</v>
      </c>
      <c r="AY357" s="219">
        <f t="shared" si="163"/>
        <v>0</v>
      </c>
      <c r="AZ357" s="196">
        <f t="shared" si="164"/>
        <v>0</v>
      </c>
      <c r="BA357" s="219">
        <f t="shared" si="165"/>
        <v>0</v>
      </c>
      <c r="BB357" s="31">
        <f t="shared" si="166"/>
        <v>0</v>
      </c>
      <c r="BC357" s="219">
        <f t="shared" si="167"/>
        <v>0</v>
      </c>
      <c r="BD357" s="31">
        <f t="shared" si="168"/>
        <v>0</v>
      </c>
      <c r="BE357" s="219">
        <f t="shared" si="169"/>
        <v>0</v>
      </c>
      <c r="BF357" s="31">
        <f t="shared" si="170"/>
        <v>0</v>
      </c>
      <c r="BG357" s="219">
        <f t="shared" si="171"/>
        <v>0</v>
      </c>
      <c r="BH357" s="31">
        <f t="shared" si="172"/>
        <v>0</v>
      </c>
      <c r="BI357" s="219">
        <f t="shared" si="173"/>
        <v>0</v>
      </c>
      <c r="BJ357" s="31">
        <f t="shared" si="174"/>
        <v>0</v>
      </c>
      <c r="BK357" s="219">
        <f t="shared" si="175"/>
        <v>0</v>
      </c>
      <c r="BL357" s="31">
        <f t="shared" si="176"/>
        <v>0</v>
      </c>
      <c r="BM357" s="219">
        <f t="shared" si="177"/>
        <v>0</v>
      </c>
      <c r="BN357" s="31">
        <f t="shared" si="178"/>
        <v>0</v>
      </c>
      <c r="BO357" s="219">
        <f t="shared" si="179"/>
        <v>0</v>
      </c>
    </row>
    <row r="358" spans="1:67" x14ac:dyDescent="0.25">
      <c r="A358" s="31" t="s">
        <v>2134</v>
      </c>
      <c r="B358" s="176" t="str">
        <f>VLOOKUP(A358,kurspris!$A$1:$B$992,2,FALSE)</f>
        <v>Språkutveckling, litteracitet och barnlitteratur i förskolan och förskoleklassen</v>
      </c>
      <c r="D358" s="60" t="s">
        <v>483</v>
      </c>
      <c r="E358" s="576" t="s">
        <v>2432</v>
      </c>
      <c r="F358" s="31" t="s">
        <v>2273</v>
      </c>
      <c r="G358" t="s">
        <v>2440</v>
      </c>
      <c r="H358" t="s">
        <v>2335</v>
      </c>
      <c r="I358" s="31" t="s">
        <v>2276</v>
      </c>
      <c r="L358" s="38">
        <v>1</v>
      </c>
      <c r="M358">
        <v>15</v>
      </c>
      <c r="P358" s="31">
        <v>38</v>
      </c>
      <c r="Q358" s="196">
        <f>(M358/60)*P358</f>
        <v>9.5</v>
      </c>
      <c r="R358" s="38">
        <v>0.85</v>
      </c>
      <c r="S358" s="280">
        <f t="shared" si="152"/>
        <v>8.0749999999999993</v>
      </c>
      <c r="T358" s="31">
        <f>VLOOKUP(A358,'Ansvar kurs'!$A$1:$C$1123,2,FALSE)</f>
        <v>1620</v>
      </c>
      <c r="U358" s="31" t="str">
        <f>VLOOKUP(T358,Orgenheter!$A$1:$C$166,2,FALSE)</f>
        <v>Inst för språkstudier</v>
      </c>
      <c r="V358" s="31" t="str">
        <f>VLOOKUP(T358,Orgenheter!$A$1:$C$166,3,FALSE)</f>
        <v>Hum</v>
      </c>
      <c r="W358" s="35" t="str">
        <f>VLOOKUP(D358,Program!$A$1:$B$36,2,FALSE)</f>
        <v>Förskollärarprogrammet</v>
      </c>
      <c r="X358" s="40">
        <f>VLOOKUP(A358,kurspris!$A$1:$Q$913,15,FALSE)</f>
        <v>20766</v>
      </c>
      <c r="Y358" s="40">
        <f>VLOOKUP(A358,kurspris!$A$1:$Q$913,16,FALSE)</f>
        <v>17442</v>
      </c>
      <c r="Z358" s="40">
        <f t="shared" si="153"/>
        <v>338121.15</v>
      </c>
      <c r="AA358" s="40">
        <f>VLOOKUP(A358,kurspris!$A$1:$Q$913,17,FALSE)</f>
        <v>6000</v>
      </c>
      <c r="AB358" s="40">
        <f t="shared" si="154"/>
        <v>57000</v>
      </c>
      <c r="AC358" s="40">
        <f t="shared" si="155"/>
        <v>395121.15</v>
      </c>
      <c r="AD358" s="31">
        <f>VLOOKUP($A358,kurspris!$A$1:$Q$950,3,FALSE)</f>
        <v>0</v>
      </c>
      <c r="AE358" s="31">
        <f>VLOOKUP($A358,kurspris!$A$1:$Q$950,4,FALSE)</f>
        <v>1</v>
      </c>
      <c r="AF358" s="31">
        <f>VLOOKUP($A358,kurspris!$A$1:$Q$950,5,FALSE)</f>
        <v>0</v>
      </c>
      <c r="AG358" s="31">
        <f>VLOOKUP($A358,kurspris!$A$1:$Q$950,6,FALSE)</f>
        <v>0</v>
      </c>
      <c r="AH358" s="31">
        <f>VLOOKUP($A358,kurspris!$A$1:$Q$950,7,FALSE)</f>
        <v>0</v>
      </c>
      <c r="AI358" s="31">
        <f>VLOOKUP($A358,kurspris!$A$1:$Q$950,8,FALSE)</f>
        <v>0</v>
      </c>
      <c r="AJ358" s="31">
        <f>VLOOKUP($A358,kurspris!$A$1:$Q$950,9,FALSE)</f>
        <v>0</v>
      </c>
      <c r="AK358" s="31">
        <f>VLOOKUP($A358,kurspris!$A$1:$Q$950,10,FALSE)</f>
        <v>0</v>
      </c>
      <c r="AL358" s="31">
        <f>VLOOKUP($A358,kurspris!$A$1:$Q$950,11,FALSE)</f>
        <v>0</v>
      </c>
      <c r="AM358" s="31">
        <f>VLOOKUP($A358,kurspris!$A$1:$Q$950,12,FALSE)</f>
        <v>0</v>
      </c>
      <c r="AN358" s="31">
        <f>VLOOKUP($A358,kurspris!$A$1:$Q$950,13,FALSE)</f>
        <v>0</v>
      </c>
      <c r="AO358" s="31">
        <f>VLOOKUP($A358,kurspris!$A$1:$Q$950,14,FALSE)</f>
        <v>0</v>
      </c>
      <c r="AP358" s="57" t="s">
        <v>2506</v>
      </c>
      <c r="AQ358"/>
      <c r="AR358" s="31">
        <f t="shared" si="156"/>
        <v>0</v>
      </c>
      <c r="AS358" s="219">
        <f t="shared" si="157"/>
        <v>0</v>
      </c>
      <c r="AT358" s="31">
        <f t="shared" si="158"/>
        <v>9.5</v>
      </c>
      <c r="AU358" s="219">
        <f t="shared" si="159"/>
        <v>8.0749999999999993</v>
      </c>
      <c r="AV358" s="31">
        <f t="shared" si="160"/>
        <v>0</v>
      </c>
      <c r="AW358" s="31">
        <f t="shared" si="161"/>
        <v>0</v>
      </c>
      <c r="AX358" s="31">
        <f t="shared" si="162"/>
        <v>0</v>
      </c>
      <c r="AY358" s="219">
        <f t="shared" si="163"/>
        <v>0</v>
      </c>
      <c r="AZ358" s="196">
        <f t="shared" si="164"/>
        <v>0</v>
      </c>
      <c r="BA358" s="219">
        <f t="shared" si="165"/>
        <v>0</v>
      </c>
      <c r="BB358" s="31">
        <f t="shared" si="166"/>
        <v>0</v>
      </c>
      <c r="BC358" s="219">
        <f t="shared" si="167"/>
        <v>0</v>
      </c>
      <c r="BD358" s="31">
        <f t="shared" si="168"/>
        <v>0</v>
      </c>
      <c r="BE358" s="219">
        <f t="shared" si="169"/>
        <v>0</v>
      </c>
      <c r="BF358" s="31">
        <f t="shared" si="170"/>
        <v>0</v>
      </c>
      <c r="BG358" s="219">
        <f t="shared" si="171"/>
        <v>0</v>
      </c>
      <c r="BH358" s="31">
        <f t="shared" si="172"/>
        <v>0</v>
      </c>
      <c r="BI358" s="219">
        <f t="shared" si="173"/>
        <v>0</v>
      </c>
      <c r="BJ358" s="31">
        <f t="shared" si="174"/>
        <v>0</v>
      </c>
      <c r="BK358" s="219">
        <f t="shared" si="175"/>
        <v>0</v>
      </c>
      <c r="BL358" s="31">
        <f t="shared" si="176"/>
        <v>0</v>
      </c>
      <c r="BM358" s="219">
        <f t="shared" si="177"/>
        <v>0</v>
      </c>
      <c r="BN358" s="31">
        <f t="shared" si="178"/>
        <v>0</v>
      </c>
      <c r="BO358" s="219">
        <f t="shared" si="179"/>
        <v>0</v>
      </c>
    </row>
    <row r="359" spans="1:67" x14ac:dyDescent="0.25">
      <c r="A359" s="31" t="s">
        <v>2134</v>
      </c>
      <c r="B359" s="176" t="str">
        <f>VLOOKUP(A359,kurspris!$A$1:$B$992,2,FALSE)</f>
        <v>Språkutveckling, litteracitet och barnlitteratur i förskolan och förskoleklassen</v>
      </c>
      <c r="C359" s="31">
        <v>71913</v>
      </c>
      <c r="D359" s="60" t="s">
        <v>483</v>
      </c>
      <c r="E359" s="60"/>
      <c r="F359" s="57" t="s">
        <v>2274</v>
      </c>
      <c r="H359" s="31" t="s">
        <v>2335</v>
      </c>
      <c r="I359" s="31" t="s">
        <v>2399</v>
      </c>
      <c r="L359" s="38"/>
      <c r="M359">
        <v>15</v>
      </c>
      <c r="P359" s="31">
        <v>23</v>
      </c>
      <c r="Q359" s="539">
        <v>5.75</v>
      </c>
      <c r="R359" s="38">
        <v>0.85</v>
      </c>
      <c r="S359" s="280">
        <f t="shared" si="152"/>
        <v>4.8875000000000002</v>
      </c>
      <c r="T359" s="31">
        <f>VLOOKUP(A359,'Ansvar kurs'!$A$1:$C$1123,2,FALSE)</f>
        <v>1620</v>
      </c>
      <c r="U359" s="31" t="str">
        <f>VLOOKUP(T359,Orgenheter!$A$1:$C$166,2,FALSE)</f>
        <v>Inst för språkstudier</v>
      </c>
      <c r="V359" s="31" t="str">
        <f>VLOOKUP(T359,Orgenheter!$A$1:$C$166,3,FALSE)</f>
        <v>Hum</v>
      </c>
      <c r="W359" s="35" t="str">
        <f>VLOOKUP(D359,Program!$A$1:$B$36,2,FALSE)</f>
        <v>Förskollärarprogrammet</v>
      </c>
      <c r="X359" s="40">
        <f>VLOOKUP(A359,kurspris!$A$1:$Q$913,15,FALSE)</f>
        <v>20766</v>
      </c>
      <c r="Y359" s="40">
        <f>VLOOKUP(A359,kurspris!$A$1:$Q$913,16,FALSE)</f>
        <v>17442</v>
      </c>
      <c r="Z359" s="40">
        <f t="shared" si="153"/>
        <v>204652.27500000002</v>
      </c>
      <c r="AA359" s="40">
        <f>VLOOKUP(A359,kurspris!$A$1:$Q$913,17,FALSE)</f>
        <v>6000</v>
      </c>
      <c r="AB359" s="40">
        <f t="shared" si="154"/>
        <v>34500</v>
      </c>
      <c r="AC359" s="40">
        <f t="shared" si="155"/>
        <v>239152.27500000002</v>
      </c>
      <c r="AD359" s="31">
        <f>VLOOKUP($A359,kurspris!$A$1:$Q$950,3,FALSE)</f>
        <v>0</v>
      </c>
      <c r="AE359" s="31">
        <f>VLOOKUP($A359,kurspris!$A$1:$Q$950,4,FALSE)</f>
        <v>1</v>
      </c>
      <c r="AF359" s="31">
        <f>VLOOKUP($A359,kurspris!$A$1:$Q$950,5,FALSE)</f>
        <v>0</v>
      </c>
      <c r="AG359" s="31">
        <f>VLOOKUP($A359,kurspris!$A$1:$Q$950,6,FALSE)</f>
        <v>0</v>
      </c>
      <c r="AH359" s="31">
        <f>VLOOKUP($A359,kurspris!$A$1:$Q$950,7,FALSE)</f>
        <v>0</v>
      </c>
      <c r="AI359" s="31">
        <f>VLOOKUP($A359,kurspris!$A$1:$Q$950,8,FALSE)</f>
        <v>0</v>
      </c>
      <c r="AJ359" s="31">
        <f>VLOOKUP($A359,kurspris!$A$1:$Q$950,9,FALSE)</f>
        <v>0</v>
      </c>
      <c r="AK359" s="31">
        <f>VLOOKUP($A359,kurspris!$A$1:$Q$950,10,FALSE)</f>
        <v>0</v>
      </c>
      <c r="AL359" s="31">
        <f>VLOOKUP($A359,kurspris!$A$1:$Q$950,11,FALSE)</f>
        <v>0</v>
      </c>
      <c r="AM359" s="31">
        <f>VLOOKUP($A359,kurspris!$A$1:$Q$950,12,FALSE)</f>
        <v>0</v>
      </c>
      <c r="AN359" s="31">
        <f>VLOOKUP($A359,kurspris!$A$1:$Q$950,13,FALSE)</f>
        <v>0</v>
      </c>
      <c r="AO359" s="31">
        <f>VLOOKUP($A359,kurspris!$A$1:$Q$950,14,FALSE)</f>
        <v>0</v>
      </c>
      <c r="AP359" s="57" t="s">
        <v>2402</v>
      </c>
      <c r="AQ359"/>
      <c r="AR359" s="31">
        <f t="shared" si="156"/>
        <v>0</v>
      </c>
      <c r="AS359" s="219">
        <f t="shared" si="157"/>
        <v>0</v>
      </c>
      <c r="AT359" s="31">
        <f t="shared" si="158"/>
        <v>5.75</v>
      </c>
      <c r="AU359" s="219">
        <f t="shared" si="159"/>
        <v>4.8875000000000002</v>
      </c>
      <c r="AV359" s="31">
        <f t="shared" si="160"/>
        <v>0</v>
      </c>
      <c r="AW359" s="31">
        <f t="shared" si="161"/>
        <v>0</v>
      </c>
      <c r="AX359" s="31">
        <f t="shared" si="162"/>
        <v>0</v>
      </c>
      <c r="AY359" s="219">
        <f t="shared" si="163"/>
        <v>0</v>
      </c>
      <c r="AZ359" s="196">
        <f t="shared" si="164"/>
        <v>0</v>
      </c>
      <c r="BA359" s="219">
        <f t="shared" si="165"/>
        <v>0</v>
      </c>
      <c r="BB359" s="31">
        <f t="shared" si="166"/>
        <v>0</v>
      </c>
      <c r="BC359" s="219">
        <f t="shared" si="167"/>
        <v>0</v>
      </c>
      <c r="BD359" s="31">
        <f t="shared" si="168"/>
        <v>0</v>
      </c>
      <c r="BE359" s="219">
        <f t="shared" si="169"/>
        <v>0</v>
      </c>
      <c r="BF359" s="31">
        <f t="shared" si="170"/>
        <v>0</v>
      </c>
      <c r="BG359" s="219">
        <f t="shared" si="171"/>
        <v>0</v>
      </c>
      <c r="BH359" s="31">
        <f t="shared" si="172"/>
        <v>0</v>
      </c>
      <c r="BI359" s="219">
        <f t="shared" si="173"/>
        <v>0</v>
      </c>
      <c r="BJ359" s="31">
        <f t="shared" si="174"/>
        <v>0</v>
      </c>
      <c r="BK359" s="219">
        <f t="shared" si="175"/>
        <v>0</v>
      </c>
      <c r="BL359" s="31">
        <f t="shared" si="176"/>
        <v>0</v>
      </c>
      <c r="BM359" s="219">
        <f t="shared" si="177"/>
        <v>0</v>
      </c>
      <c r="BN359" s="31">
        <f t="shared" si="178"/>
        <v>0</v>
      </c>
      <c r="BO359" s="219">
        <f t="shared" si="179"/>
        <v>0</v>
      </c>
    </row>
    <row r="360" spans="1:67" x14ac:dyDescent="0.25">
      <c r="A360" s="157" t="s">
        <v>2290</v>
      </c>
      <c r="B360" s="176" t="str">
        <f>VLOOKUP(A360,kurspris!$A$1:$B$992,2,FALSE)</f>
        <v>Barns språkutveckling</v>
      </c>
      <c r="C360" s="35"/>
      <c r="D360" s="31" t="s">
        <v>117</v>
      </c>
      <c r="F360" s="31" t="s">
        <v>2273</v>
      </c>
      <c r="I360" s="31" t="s">
        <v>2275</v>
      </c>
      <c r="L360" s="38">
        <v>0.25</v>
      </c>
      <c r="M360" s="325">
        <v>7.5</v>
      </c>
      <c r="P360" s="31">
        <v>50</v>
      </c>
      <c r="Q360" s="196">
        <f>(M360/60)*P360</f>
        <v>6.25</v>
      </c>
      <c r="R360" s="38">
        <v>0.8</v>
      </c>
      <c r="S360" s="280">
        <f t="shared" si="152"/>
        <v>5</v>
      </c>
      <c r="T360" s="31">
        <f>VLOOKUP(A360,'Ansvar kurs'!$A$1:$C$1123,2,FALSE)</f>
        <v>1620</v>
      </c>
      <c r="U360" s="31" t="str">
        <f>VLOOKUP(T360,Orgenheter!$A$1:$C$166,2,FALSE)</f>
        <v>Inst för språkstudier</v>
      </c>
      <c r="V360" s="31" t="str">
        <f>VLOOKUP(T360,Orgenheter!$A$1:$C$166,3,FALSE)</f>
        <v>Hum</v>
      </c>
      <c r="W360" s="35" t="str">
        <f>VLOOKUP(D360,Program!$A$1:$B$36,2,FALSE)</f>
        <v>Fristående och övriga kurser</v>
      </c>
      <c r="X360" s="40">
        <f>VLOOKUP(A360,kurspris!$A$1:$Q$913,15,FALSE)</f>
        <v>20766</v>
      </c>
      <c r="Y360" s="40">
        <f>VLOOKUP(A360,kurspris!$A$1:$Q$913,16,FALSE)</f>
        <v>17442</v>
      </c>
      <c r="Z360" s="40">
        <f t="shared" si="153"/>
        <v>216997.5</v>
      </c>
      <c r="AA360" s="40">
        <f>VLOOKUP(A360,kurspris!$A$1:$Q$913,17,FALSE)</f>
        <v>6000</v>
      </c>
      <c r="AB360" s="40">
        <f t="shared" si="154"/>
        <v>37500</v>
      </c>
      <c r="AC360" s="40">
        <f t="shared" si="155"/>
        <v>254497.5</v>
      </c>
      <c r="AD360" s="31">
        <f>VLOOKUP($A360,kurspris!$A$1:$Q$950,3,FALSE)</f>
        <v>0</v>
      </c>
      <c r="AE360" s="31">
        <f>VLOOKUP($A360,kurspris!$A$1:$Q$950,4,FALSE)</f>
        <v>1</v>
      </c>
      <c r="AF360" s="31">
        <f>VLOOKUP($A360,kurspris!$A$1:$Q$950,5,FALSE)</f>
        <v>0</v>
      </c>
      <c r="AG360" s="31">
        <f>VLOOKUP($A360,kurspris!$A$1:$Q$950,6,FALSE)</f>
        <v>0</v>
      </c>
      <c r="AH360" s="31">
        <f>VLOOKUP($A360,kurspris!$A$1:$Q$950,7,FALSE)</f>
        <v>0</v>
      </c>
      <c r="AI360" s="31">
        <f>VLOOKUP($A360,kurspris!$A$1:$Q$950,8,FALSE)</f>
        <v>0</v>
      </c>
      <c r="AJ360" s="31">
        <f>VLOOKUP($A360,kurspris!$A$1:$Q$950,9,FALSE)</f>
        <v>0</v>
      </c>
      <c r="AK360" s="31">
        <f>VLOOKUP($A360,kurspris!$A$1:$Q$950,10,FALSE)</f>
        <v>0</v>
      </c>
      <c r="AL360" s="31">
        <f>VLOOKUP($A360,kurspris!$A$1:$Q$950,11,FALSE)</f>
        <v>0</v>
      </c>
      <c r="AM360" s="31">
        <f>VLOOKUP($A360,kurspris!$A$1:$Q$950,12,FALSE)</f>
        <v>0</v>
      </c>
      <c r="AN360" s="31">
        <f>VLOOKUP($A360,kurspris!$A$1:$Q$950,13,FALSE)</f>
        <v>0</v>
      </c>
      <c r="AO360" s="31">
        <f>VLOOKUP($A360,kurspris!$A$1:$Q$950,14,FALSE)</f>
        <v>0</v>
      </c>
      <c r="AP360" s="57" t="s">
        <v>2267</v>
      </c>
      <c r="AQ360"/>
      <c r="AR360" s="31">
        <f t="shared" si="156"/>
        <v>0</v>
      </c>
      <c r="AS360" s="219">
        <f t="shared" si="157"/>
        <v>0</v>
      </c>
      <c r="AT360" s="31">
        <f t="shared" si="158"/>
        <v>6.25</v>
      </c>
      <c r="AU360" s="219">
        <f t="shared" si="159"/>
        <v>5</v>
      </c>
      <c r="AV360" s="31">
        <f t="shared" si="160"/>
        <v>0</v>
      </c>
      <c r="AW360" s="31">
        <f t="shared" si="161"/>
        <v>0</v>
      </c>
      <c r="AX360" s="31">
        <f t="shared" si="162"/>
        <v>0</v>
      </c>
      <c r="AY360" s="219">
        <f t="shared" si="163"/>
        <v>0</v>
      </c>
      <c r="AZ360" s="196">
        <f t="shared" si="164"/>
        <v>0</v>
      </c>
      <c r="BA360" s="219">
        <f t="shared" si="165"/>
        <v>0</v>
      </c>
      <c r="BB360" s="31">
        <f t="shared" si="166"/>
        <v>0</v>
      </c>
      <c r="BC360" s="219">
        <f t="shared" si="167"/>
        <v>0</v>
      </c>
      <c r="BD360" s="31">
        <f t="shared" si="168"/>
        <v>0</v>
      </c>
      <c r="BE360" s="219">
        <f t="shared" si="169"/>
        <v>0</v>
      </c>
      <c r="BF360" s="31">
        <f t="shared" si="170"/>
        <v>0</v>
      </c>
      <c r="BG360" s="219">
        <f t="shared" si="171"/>
        <v>0</v>
      </c>
      <c r="BH360" s="31">
        <f t="shared" si="172"/>
        <v>0</v>
      </c>
      <c r="BI360" s="219">
        <f t="shared" si="173"/>
        <v>0</v>
      </c>
      <c r="BJ360" s="31">
        <f t="shared" si="174"/>
        <v>0</v>
      </c>
      <c r="BK360" s="219">
        <f t="shared" si="175"/>
        <v>0</v>
      </c>
      <c r="BL360" s="31">
        <f t="shared" si="176"/>
        <v>0</v>
      </c>
      <c r="BM360" s="219">
        <f t="shared" si="177"/>
        <v>0</v>
      </c>
      <c r="BN360" s="31">
        <f t="shared" si="178"/>
        <v>0</v>
      </c>
      <c r="BO360" s="219">
        <f t="shared" si="179"/>
        <v>0</v>
      </c>
    </row>
    <row r="361" spans="1:67" x14ac:dyDescent="0.25">
      <c r="A361" s="157" t="s">
        <v>2291</v>
      </c>
      <c r="B361" s="176" t="str">
        <f>VLOOKUP(A361,kurspris!$A$1:$B$992,2,FALSE)</f>
        <v>Läs- och skrivinlärning</v>
      </c>
      <c r="C361" s="35"/>
      <c r="D361" s="31" t="s">
        <v>117</v>
      </c>
      <c r="F361" s="31" t="s">
        <v>2273</v>
      </c>
      <c r="I361" s="31" t="s">
        <v>2275</v>
      </c>
      <c r="L361" s="38">
        <v>0.25</v>
      </c>
      <c r="M361" s="325">
        <v>7.5</v>
      </c>
      <c r="P361" s="31">
        <v>40</v>
      </c>
      <c r="Q361" s="196">
        <f>(M361/60)*P361</f>
        <v>5</v>
      </c>
      <c r="R361" s="38">
        <v>0.8</v>
      </c>
      <c r="S361" s="280">
        <f t="shared" si="152"/>
        <v>4</v>
      </c>
      <c r="T361" s="31">
        <f>VLOOKUP(A361,'Ansvar kurs'!$A$1:$C$1123,2,FALSE)</f>
        <v>1620</v>
      </c>
      <c r="U361" s="31" t="str">
        <f>VLOOKUP(T361,Orgenheter!$A$1:$C$166,2,FALSE)</f>
        <v>Inst för språkstudier</v>
      </c>
      <c r="V361" s="31" t="str">
        <f>VLOOKUP(T361,Orgenheter!$A$1:$C$166,3,FALSE)</f>
        <v>Hum</v>
      </c>
      <c r="W361" s="35" t="str">
        <f>VLOOKUP(D361,Program!$A$1:$B$36,2,FALSE)</f>
        <v>Fristående och övriga kurser</v>
      </c>
      <c r="X361" s="40">
        <f>VLOOKUP(A361,kurspris!$A$1:$Q$913,15,FALSE)</f>
        <v>20766</v>
      </c>
      <c r="Y361" s="40">
        <f>VLOOKUP(A361,kurspris!$A$1:$Q$913,16,FALSE)</f>
        <v>17442</v>
      </c>
      <c r="Z361" s="40">
        <f t="shared" si="153"/>
        <v>173598</v>
      </c>
      <c r="AA361" s="40">
        <f>VLOOKUP(A361,kurspris!$A$1:$Q$913,17,FALSE)</f>
        <v>6000</v>
      </c>
      <c r="AB361" s="40">
        <f t="shared" si="154"/>
        <v>30000</v>
      </c>
      <c r="AC361" s="40">
        <f t="shared" si="155"/>
        <v>203598</v>
      </c>
      <c r="AD361" s="31">
        <f>VLOOKUP($A361,kurspris!$A$1:$Q$950,3,FALSE)</f>
        <v>0</v>
      </c>
      <c r="AE361" s="31">
        <f>VLOOKUP($A361,kurspris!$A$1:$Q$950,4,FALSE)</f>
        <v>1</v>
      </c>
      <c r="AF361" s="31">
        <f>VLOOKUP($A361,kurspris!$A$1:$Q$950,5,FALSE)</f>
        <v>0</v>
      </c>
      <c r="AG361" s="31">
        <f>VLOOKUP($A361,kurspris!$A$1:$Q$950,6,FALSE)</f>
        <v>0</v>
      </c>
      <c r="AH361" s="31">
        <f>VLOOKUP($A361,kurspris!$A$1:$Q$950,7,FALSE)</f>
        <v>0</v>
      </c>
      <c r="AI361" s="31">
        <f>VLOOKUP($A361,kurspris!$A$1:$Q$950,8,FALSE)</f>
        <v>0</v>
      </c>
      <c r="AJ361" s="31">
        <f>VLOOKUP($A361,kurspris!$A$1:$Q$950,9,FALSE)</f>
        <v>0</v>
      </c>
      <c r="AK361" s="31">
        <f>VLOOKUP($A361,kurspris!$A$1:$Q$950,10,FALSE)</f>
        <v>0</v>
      </c>
      <c r="AL361" s="31">
        <f>VLOOKUP($A361,kurspris!$A$1:$Q$950,11,FALSE)</f>
        <v>0</v>
      </c>
      <c r="AM361" s="31">
        <f>VLOOKUP($A361,kurspris!$A$1:$Q$950,12,FALSE)</f>
        <v>0</v>
      </c>
      <c r="AN361" s="31">
        <f>VLOOKUP($A361,kurspris!$A$1:$Q$950,13,FALSE)</f>
        <v>0</v>
      </c>
      <c r="AO361" s="31">
        <f>VLOOKUP($A361,kurspris!$A$1:$Q$950,14,FALSE)</f>
        <v>0</v>
      </c>
      <c r="AP361" s="57" t="s">
        <v>2267</v>
      </c>
      <c r="AQ361"/>
      <c r="AR361" s="31">
        <f t="shared" si="156"/>
        <v>0</v>
      </c>
      <c r="AS361" s="219">
        <f t="shared" si="157"/>
        <v>0</v>
      </c>
      <c r="AT361" s="31">
        <f t="shared" si="158"/>
        <v>5</v>
      </c>
      <c r="AU361" s="219">
        <f t="shared" si="159"/>
        <v>4</v>
      </c>
      <c r="AV361" s="31">
        <f t="shared" si="160"/>
        <v>0</v>
      </c>
      <c r="AW361" s="31">
        <f t="shared" si="161"/>
        <v>0</v>
      </c>
      <c r="AX361" s="31">
        <f t="shared" si="162"/>
        <v>0</v>
      </c>
      <c r="AY361" s="219">
        <f t="shared" si="163"/>
        <v>0</v>
      </c>
      <c r="AZ361" s="196">
        <f t="shared" si="164"/>
        <v>0</v>
      </c>
      <c r="BA361" s="219">
        <f t="shared" si="165"/>
        <v>0</v>
      </c>
      <c r="BB361" s="31">
        <f t="shared" si="166"/>
        <v>0</v>
      </c>
      <c r="BC361" s="219">
        <f t="shared" si="167"/>
        <v>0</v>
      </c>
      <c r="BD361" s="31">
        <f t="shared" si="168"/>
        <v>0</v>
      </c>
      <c r="BE361" s="219">
        <f t="shared" si="169"/>
        <v>0</v>
      </c>
      <c r="BF361" s="31">
        <f t="shared" si="170"/>
        <v>0</v>
      </c>
      <c r="BG361" s="219">
        <f t="shared" si="171"/>
        <v>0</v>
      </c>
      <c r="BH361" s="31">
        <f t="shared" si="172"/>
        <v>0</v>
      </c>
      <c r="BI361" s="219">
        <f t="shared" si="173"/>
        <v>0</v>
      </c>
      <c r="BJ361" s="31">
        <f t="shared" si="174"/>
        <v>0</v>
      </c>
      <c r="BK361" s="219">
        <f t="shared" si="175"/>
        <v>0</v>
      </c>
      <c r="BL361" s="31">
        <f t="shared" si="176"/>
        <v>0</v>
      </c>
      <c r="BM361" s="219">
        <f t="shared" si="177"/>
        <v>0</v>
      </c>
      <c r="BN361" s="31">
        <f t="shared" si="178"/>
        <v>0</v>
      </c>
      <c r="BO361" s="219">
        <f t="shared" si="179"/>
        <v>0</v>
      </c>
    </row>
    <row r="362" spans="1:67" x14ac:dyDescent="0.25">
      <c r="A362" s="176" t="s">
        <v>2405</v>
      </c>
      <c r="B362" s="176" t="str">
        <f>VLOOKUP(A362,kurspris!$A$1:$B$992,2,FALSE)</f>
        <v>Läsa och skriva i alla ämnen. För lärare i åk 4-6</v>
      </c>
      <c r="C362" s="35"/>
      <c r="D362" s="31" t="s">
        <v>117</v>
      </c>
      <c r="F362" s="31" t="s">
        <v>2273</v>
      </c>
      <c r="I362" s="31" t="s">
        <v>2275</v>
      </c>
      <c r="L362" s="38">
        <v>0.25</v>
      </c>
      <c r="M362" s="325">
        <v>7.5</v>
      </c>
      <c r="P362" s="31">
        <v>20</v>
      </c>
      <c r="Q362" s="196">
        <f>(M362/60)*P362</f>
        <v>2.5</v>
      </c>
      <c r="R362" s="38">
        <v>0.8</v>
      </c>
      <c r="S362" s="280">
        <f t="shared" si="152"/>
        <v>2</v>
      </c>
      <c r="T362" s="31">
        <f>VLOOKUP(A362,'Ansvar kurs'!$A$1:$C$1123,2,FALSE)</f>
        <v>1620</v>
      </c>
      <c r="U362" s="31" t="str">
        <f>VLOOKUP(T362,Orgenheter!$A$1:$C$166,2,FALSE)</f>
        <v>Inst för språkstudier</v>
      </c>
      <c r="V362" s="31" t="str">
        <f>VLOOKUP(T362,Orgenheter!$A$1:$C$166,3,FALSE)</f>
        <v>Hum</v>
      </c>
      <c r="W362" s="35" t="str">
        <f>VLOOKUP(D362,Program!$A$1:$B$36,2,FALSE)</f>
        <v>Fristående och övriga kurser</v>
      </c>
      <c r="X362" s="40">
        <f>VLOOKUP(A362,kurspris!$A$1:$Q$913,15,FALSE)</f>
        <v>20766</v>
      </c>
      <c r="Y362" s="40">
        <f>VLOOKUP(A362,kurspris!$A$1:$Q$913,16,FALSE)</f>
        <v>17442</v>
      </c>
      <c r="Z362" s="40">
        <f t="shared" si="153"/>
        <v>86799</v>
      </c>
      <c r="AA362" s="40">
        <f>VLOOKUP(A362,kurspris!$A$1:$Q$913,17,FALSE)</f>
        <v>6000</v>
      </c>
      <c r="AB362" s="40">
        <f t="shared" si="154"/>
        <v>15000</v>
      </c>
      <c r="AC362" s="40">
        <f t="shared" si="155"/>
        <v>101799</v>
      </c>
      <c r="AD362" s="31">
        <f>VLOOKUP($A362,kurspris!$A$1:$Q$950,3,FALSE)</f>
        <v>0</v>
      </c>
      <c r="AE362" s="31">
        <f>VLOOKUP($A362,kurspris!$A$1:$Q$950,4,FALSE)</f>
        <v>1</v>
      </c>
      <c r="AF362" s="31">
        <f>VLOOKUP($A362,kurspris!$A$1:$Q$950,5,FALSE)</f>
        <v>0</v>
      </c>
      <c r="AG362" s="31">
        <f>VLOOKUP($A362,kurspris!$A$1:$Q$950,6,FALSE)</f>
        <v>0</v>
      </c>
      <c r="AH362" s="31">
        <f>VLOOKUP($A362,kurspris!$A$1:$Q$950,7,FALSE)</f>
        <v>0</v>
      </c>
      <c r="AI362" s="31">
        <f>VLOOKUP($A362,kurspris!$A$1:$Q$950,8,FALSE)</f>
        <v>0</v>
      </c>
      <c r="AJ362" s="31">
        <f>VLOOKUP($A362,kurspris!$A$1:$Q$950,9,FALSE)</f>
        <v>0</v>
      </c>
      <c r="AK362" s="31">
        <f>VLOOKUP($A362,kurspris!$A$1:$Q$950,10,FALSE)</f>
        <v>0</v>
      </c>
      <c r="AL362" s="31">
        <f>VLOOKUP($A362,kurspris!$A$1:$Q$950,11,FALSE)</f>
        <v>0</v>
      </c>
      <c r="AM362" s="31">
        <f>VLOOKUP($A362,kurspris!$A$1:$Q$950,12,FALSE)</f>
        <v>0</v>
      </c>
      <c r="AN362" s="31">
        <f>VLOOKUP($A362,kurspris!$A$1:$Q$950,13,FALSE)</f>
        <v>0</v>
      </c>
      <c r="AO362" s="31">
        <f>VLOOKUP($A362,kurspris!$A$1:$Q$950,14,FALSE)</f>
        <v>0</v>
      </c>
      <c r="AP362" s="57" t="s">
        <v>2267</v>
      </c>
      <c r="AQ362" s="37"/>
      <c r="AR362" s="31">
        <f t="shared" si="156"/>
        <v>0</v>
      </c>
      <c r="AS362" s="219">
        <f t="shared" si="157"/>
        <v>0</v>
      </c>
      <c r="AT362" s="31">
        <f t="shared" si="158"/>
        <v>2.5</v>
      </c>
      <c r="AU362" s="219">
        <f t="shared" si="159"/>
        <v>2</v>
      </c>
      <c r="AV362" s="31">
        <f t="shared" si="160"/>
        <v>0</v>
      </c>
      <c r="AW362" s="31">
        <f t="shared" si="161"/>
        <v>0</v>
      </c>
      <c r="AX362" s="31">
        <f t="shared" si="162"/>
        <v>0</v>
      </c>
      <c r="AY362" s="219">
        <f t="shared" si="163"/>
        <v>0</v>
      </c>
      <c r="AZ362" s="196">
        <f t="shared" si="164"/>
        <v>0</v>
      </c>
      <c r="BA362" s="219">
        <f t="shared" si="165"/>
        <v>0</v>
      </c>
      <c r="BB362" s="31">
        <f t="shared" si="166"/>
        <v>0</v>
      </c>
      <c r="BC362" s="219">
        <f t="shared" si="167"/>
        <v>0</v>
      </c>
      <c r="BD362" s="31">
        <f t="shared" si="168"/>
        <v>0</v>
      </c>
      <c r="BE362" s="219">
        <f t="shared" si="169"/>
        <v>0</v>
      </c>
      <c r="BF362" s="31">
        <f t="shared" si="170"/>
        <v>0</v>
      </c>
      <c r="BG362" s="219">
        <f t="shared" si="171"/>
        <v>0</v>
      </c>
      <c r="BH362" s="31">
        <f t="shared" si="172"/>
        <v>0</v>
      </c>
      <c r="BI362" s="219">
        <f t="shared" si="173"/>
        <v>0</v>
      </c>
      <c r="BJ362" s="31">
        <f t="shared" si="174"/>
        <v>0</v>
      </c>
      <c r="BK362" s="219">
        <f t="shared" si="175"/>
        <v>0</v>
      </c>
      <c r="BL362" s="31">
        <f t="shared" si="176"/>
        <v>0</v>
      </c>
      <c r="BM362" s="219">
        <f t="shared" si="177"/>
        <v>0</v>
      </c>
      <c r="BN362" s="31">
        <f t="shared" si="178"/>
        <v>0</v>
      </c>
      <c r="BO362" s="219">
        <f t="shared" si="179"/>
        <v>0</v>
      </c>
    </row>
    <row r="363" spans="1:67" x14ac:dyDescent="0.25">
      <c r="A363" s="31" t="s">
        <v>1277</v>
      </c>
      <c r="B363" s="176" t="str">
        <f>VLOOKUP(A363,kurspris!$A$1:$B$992,2,FALSE)</f>
        <v>Läraryrkets dimensioner - ingångsämne matematik</v>
      </c>
      <c r="D363" s="60" t="s">
        <v>482</v>
      </c>
      <c r="E363" s="576" t="s">
        <v>2227</v>
      </c>
      <c r="F363" s="31" t="s">
        <v>2273</v>
      </c>
      <c r="G363" t="s">
        <v>2456</v>
      </c>
      <c r="H363" t="s">
        <v>2335</v>
      </c>
      <c r="J363" s="31" t="s">
        <v>2233</v>
      </c>
      <c r="L363" s="38">
        <v>1</v>
      </c>
      <c r="M363">
        <v>22.5</v>
      </c>
      <c r="P363" s="31">
        <v>1</v>
      </c>
      <c r="Q363" s="196">
        <f>(M363/60)*P363</f>
        <v>0.375</v>
      </c>
      <c r="R363" s="38">
        <v>0.85</v>
      </c>
      <c r="S363" s="280">
        <f t="shared" si="152"/>
        <v>0.31874999999999998</v>
      </c>
      <c r="T363" s="31">
        <f>VLOOKUP(A363,'Ansvar kurs'!$A$1:$C$1123,2,FALSE)</f>
        <v>5730</v>
      </c>
      <c r="U363" s="31" t="str">
        <f>VLOOKUP(T363,Orgenheter!$A$1:$C$166,2,FALSE)</f>
        <v>Inst för MA och MA statistik</v>
      </c>
      <c r="V363" s="31" t="str">
        <f>VLOOKUP(T363,Orgenheter!$A$1:$C$166,3,FALSE)</f>
        <v>TekNat</v>
      </c>
      <c r="W363" s="35" t="str">
        <f>VLOOKUP(D363,Program!$A$1:$B$36,2,FALSE)</f>
        <v>Ämneslärarprogrammet - Gy</v>
      </c>
      <c r="X363" s="40">
        <f>VLOOKUP(A363,kurspris!$A$1:$Q$913,15,FALSE)</f>
        <v>25235</v>
      </c>
      <c r="Y363" s="40">
        <f>VLOOKUP(A363,kurspris!$A$1:$Q$913,16,FALSE)</f>
        <v>27976</v>
      </c>
      <c r="Z363" s="40">
        <f t="shared" si="153"/>
        <v>18380.474999999999</v>
      </c>
      <c r="AA363" s="40">
        <f>VLOOKUP(A363,kurspris!$A$1:$Q$913,17,FALSE)</f>
        <v>3600</v>
      </c>
      <c r="AB363" s="40">
        <f t="shared" si="154"/>
        <v>1350</v>
      </c>
      <c r="AC363" s="40">
        <f t="shared" si="155"/>
        <v>19730.474999999999</v>
      </c>
      <c r="AD363" s="31">
        <f>VLOOKUP($A363,kurspris!$A$1:$Q$950,3,FALSE)</f>
        <v>0</v>
      </c>
      <c r="AE363" s="31">
        <f>VLOOKUP($A363,kurspris!$A$1:$Q$950,4,FALSE)</f>
        <v>0</v>
      </c>
      <c r="AF363" s="31">
        <f>VLOOKUP($A363,kurspris!$A$1:$Q$950,5,FALSE)</f>
        <v>0</v>
      </c>
      <c r="AG363" s="31">
        <f>VLOOKUP($A363,kurspris!$A$1:$Q$950,6,FALSE)</f>
        <v>0</v>
      </c>
      <c r="AH363" s="31">
        <f>VLOOKUP($A363,kurspris!$A$1:$Q$950,7,FALSE)</f>
        <v>0</v>
      </c>
      <c r="AI363" s="31">
        <f>VLOOKUP($A363,kurspris!$A$1:$Q$950,8,FALSE)</f>
        <v>0</v>
      </c>
      <c r="AJ363" s="31">
        <f>VLOOKUP($A363,kurspris!$A$1:$Q$950,9,FALSE)</f>
        <v>0</v>
      </c>
      <c r="AK363" s="31">
        <f>VLOOKUP($A363,kurspris!$A$1:$Q$950,10,FALSE)</f>
        <v>0</v>
      </c>
      <c r="AL363" s="31">
        <f>VLOOKUP($A363,kurspris!$A$1:$Q$950,11,FALSE)</f>
        <v>1</v>
      </c>
      <c r="AM363" s="31">
        <f>VLOOKUP($A363,kurspris!$A$1:$Q$950,12,FALSE)</f>
        <v>0</v>
      </c>
      <c r="AN363" s="31">
        <f>VLOOKUP($A363,kurspris!$A$1:$Q$950,13,FALSE)</f>
        <v>0</v>
      </c>
      <c r="AO363" s="31">
        <f>VLOOKUP($A363,kurspris!$A$1:$Q$950,14,FALSE)</f>
        <v>0</v>
      </c>
      <c r="AP363" s="57" t="s">
        <v>2506</v>
      </c>
      <c r="AQ363"/>
      <c r="AR363" s="31">
        <f t="shared" si="156"/>
        <v>0</v>
      </c>
      <c r="AS363" s="219">
        <f t="shared" si="157"/>
        <v>0</v>
      </c>
      <c r="AT363" s="31">
        <f t="shared" si="158"/>
        <v>0</v>
      </c>
      <c r="AU363" s="219">
        <f t="shared" si="159"/>
        <v>0</v>
      </c>
      <c r="AV363" s="31">
        <f t="shared" si="160"/>
        <v>0</v>
      </c>
      <c r="AW363" s="31">
        <f t="shared" si="161"/>
        <v>0</v>
      </c>
      <c r="AX363" s="31">
        <f t="shared" si="162"/>
        <v>0</v>
      </c>
      <c r="AY363" s="219">
        <f t="shared" si="163"/>
        <v>0</v>
      </c>
      <c r="AZ363" s="196">
        <f t="shared" si="164"/>
        <v>0</v>
      </c>
      <c r="BA363" s="219">
        <f t="shared" si="165"/>
        <v>0</v>
      </c>
      <c r="BB363" s="31">
        <f t="shared" si="166"/>
        <v>0</v>
      </c>
      <c r="BC363" s="219">
        <f t="shared" si="167"/>
        <v>0</v>
      </c>
      <c r="BD363" s="31">
        <f t="shared" si="168"/>
        <v>0</v>
      </c>
      <c r="BE363" s="219">
        <f t="shared" si="169"/>
        <v>0</v>
      </c>
      <c r="BF363" s="31">
        <f t="shared" si="170"/>
        <v>0</v>
      </c>
      <c r="BG363" s="219">
        <f t="shared" si="171"/>
        <v>0</v>
      </c>
      <c r="BH363" s="31">
        <f t="shared" si="172"/>
        <v>0.375</v>
      </c>
      <c r="BI363" s="219">
        <f t="shared" si="173"/>
        <v>0.31874999999999998</v>
      </c>
      <c r="BJ363" s="31">
        <f t="shared" si="174"/>
        <v>0</v>
      </c>
      <c r="BK363" s="219">
        <f t="shared" si="175"/>
        <v>0</v>
      </c>
      <c r="BL363" s="31">
        <f t="shared" si="176"/>
        <v>0</v>
      </c>
      <c r="BM363" s="219">
        <f t="shared" si="177"/>
        <v>0</v>
      </c>
      <c r="BN363" s="31">
        <f t="shared" si="178"/>
        <v>0</v>
      </c>
      <c r="BO363" s="219">
        <f t="shared" si="179"/>
        <v>0</v>
      </c>
    </row>
    <row r="364" spans="1:67" x14ac:dyDescent="0.25">
      <c r="A364" s="31" t="s">
        <v>1277</v>
      </c>
      <c r="B364" s="176" t="str">
        <f>VLOOKUP(A364,kurspris!$A$1:$B$992,2,FALSE)</f>
        <v>Läraryrkets dimensioner - ingångsämne matematik</v>
      </c>
      <c r="D364" s="60" t="s">
        <v>482</v>
      </c>
      <c r="E364" s="576" t="s">
        <v>2226</v>
      </c>
      <c r="F364" s="31" t="s">
        <v>2273</v>
      </c>
      <c r="G364" t="s">
        <v>2456</v>
      </c>
      <c r="H364" t="s">
        <v>2335</v>
      </c>
      <c r="J364" s="31" t="s">
        <v>2233</v>
      </c>
      <c r="L364" s="38">
        <v>1</v>
      </c>
      <c r="M364">
        <v>22.5</v>
      </c>
      <c r="P364" s="31">
        <v>11</v>
      </c>
      <c r="Q364" s="196">
        <f>(M364/60)*P364</f>
        <v>4.125</v>
      </c>
      <c r="R364" s="38">
        <v>0.85</v>
      </c>
      <c r="S364" s="280">
        <f t="shared" si="152"/>
        <v>3.5062500000000001</v>
      </c>
      <c r="T364" s="31">
        <f>VLOOKUP(A364,'Ansvar kurs'!$A$1:$C$1123,2,FALSE)</f>
        <v>5730</v>
      </c>
      <c r="U364" s="31" t="str">
        <f>VLOOKUP(T364,Orgenheter!$A$1:$C$166,2,FALSE)</f>
        <v>Inst för MA och MA statistik</v>
      </c>
      <c r="V364" s="31" t="str">
        <f>VLOOKUP(T364,Orgenheter!$A$1:$C$166,3,FALSE)</f>
        <v>TekNat</v>
      </c>
      <c r="W364" s="35" t="str">
        <f>VLOOKUP(D364,Program!$A$1:$B$36,2,FALSE)</f>
        <v>Ämneslärarprogrammet - Gy</v>
      </c>
      <c r="X364" s="40">
        <f>VLOOKUP(A364,kurspris!$A$1:$Q$913,15,FALSE)</f>
        <v>25235</v>
      </c>
      <c r="Y364" s="40">
        <f>VLOOKUP(A364,kurspris!$A$1:$Q$913,16,FALSE)</f>
        <v>27976</v>
      </c>
      <c r="Z364" s="40">
        <f t="shared" si="153"/>
        <v>202185.22500000001</v>
      </c>
      <c r="AA364" s="40">
        <f>VLOOKUP(A364,kurspris!$A$1:$Q$913,17,FALSE)</f>
        <v>3600</v>
      </c>
      <c r="AB364" s="40">
        <f t="shared" si="154"/>
        <v>14850</v>
      </c>
      <c r="AC364" s="40">
        <f t="shared" si="155"/>
        <v>217035.22500000001</v>
      </c>
      <c r="AD364" s="31">
        <f>VLOOKUP($A364,kurspris!$A$1:$Q$950,3,FALSE)</f>
        <v>0</v>
      </c>
      <c r="AE364" s="31">
        <f>VLOOKUP($A364,kurspris!$A$1:$Q$950,4,FALSE)</f>
        <v>0</v>
      </c>
      <c r="AF364" s="31">
        <f>VLOOKUP($A364,kurspris!$A$1:$Q$950,5,FALSE)</f>
        <v>0</v>
      </c>
      <c r="AG364" s="31">
        <f>VLOOKUP($A364,kurspris!$A$1:$Q$950,6,FALSE)</f>
        <v>0</v>
      </c>
      <c r="AH364" s="31">
        <f>VLOOKUP($A364,kurspris!$A$1:$Q$950,7,FALSE)</f>
        <v>0</v>
      </c>
      <c r="AI364" s="31">
        <f>VLOOKUP($A364,kurspris!$A$1:$Q$950,8,FALSE)</f>
        <v>0</v>
      </c>
      <c r="AJ364" s="31">
        <f>VLOOKUP($A364,kurspris!$A$1:$Q$950,9,FALSE)</f>
        <v>0</v>
      </c>
      <c r="AK364" s="31">
        <f>VLOOKUP($A364,kurspris!$A$1:$Q$950,10,FALSE)</f>
        <v>0</v>
      </c>
      <c r="AL364" s="31">
        <f>VLOOKUP($A364,kurspris!$A$1:$Q$950,11,FALSE)</f>
        <v>1</v>
      </c>
      <c r="AM364" s="31">
        <f>VLOOKUP($A364,kurspris!$A$1:$Q$950,12,FALSE)</f>
        <v>0</v>
      </c>
      <c r="AN364" s="31">
        <f>VLOOKUP($A364,kurspris!$A$1:$Q$950,13,FALSE)</f>
        <v>0</v>
      </c>
      <c r="AO364" s="31">
        <f>VLOOKUP($A364,kurspris!$A$1:$Q$950,14,FALSE)</f>
        <v>0</v>
      </c>
      <c r="AP364" s="57" t="s">
        <v>2506</v>
      </c>
      <c r="AQ364"/>
      <c r="AR364" s="31">
        <f t="shared" si="156"/>
        <v>0</v>
      </c>
      <c r="AS364" s="219">
        <f t="shared" si="157"/>
        <v>0</v>
      </c>
      <c r="AT364" s="31">
        <f t="shared" si="158"/>
        <v>0</v>
      </c>
      <c r="AU364" s="219">
        <f t="shared" si="159"/>
        <v>0</v>
      </c>
      <c r="AV364" s="31">
        <f t="shared" si="160"/>
        <v>0</v>
      </c>
      <c r="AW364" s="31">
        <f t="shared" si="161"/>
        <v>0</v>
      </c>
      <c r="AX364" s="31">
        <f t="shared" si="162"/>
        <v>0</v>
      </c>
      <c r="AY364" s="219">
        <f t="shared" si="163"/>
        <v>0</v>
      </c>
      <c r="AZ364" s="196">
        <f t="shared" si="164"/>
        <v>0</v>
      </c>
      <c r="BA364" s="219">
        <f t="shared" si="165"/>
        <v>0</v>
      </c>
      <c r="BB364" s="31">
        <f t="shared" si="166"/>
        <v>0</v>
      </c>
      <c r="BC364" s="219">
        <f t="shared" si="167"/>
        <v>0</v>
      </c>
      <c r="BD364" s="31">
        <f t="shared" si="168"/>
        <v>0</v>
      </c>
      <c r="BE364" s="219">
        <f t="shared" si="169"/>
        <v>0</v>
      </c>
      <c r="BF364" s="31">
        <f t="shared" si="170"/>
        <v>0</v>
      </c>
      <c r="BG364" s="219">
        <f t="shared" si="171"/>
        <v>0</v>
      </c>
      <c r="BH364" s="31">
        <f t="shared" si="172"/>
        <v>4.125</v>
      </c>
      <c r="BI364" s="219">
        <f t="shared" si="173"/>
        <v>3.5062500000000001</v>
      </c>
      <c r="BJ364" s="31">
        <f t="shared" si="174"/>
        <v>0</v>
      </c>
      <c r="BK364" s="219">
        <f t="shared" si="175"/>
        <v>0</v>
      </c>
      <c r="BL364" s="31">
        <f t="shared" si="176"/>
        <v>0</v>
      </c>
      <c r="BM364" s="219">
        <f t="shared" si="177"/>
        <v>0</v>
      </c>
      <c r="BN364" s="31">
        <f t="shared" si="178"/>
        <v>0</v>
      </c>
      <c r="BO364" s="219">
        <f t="shared" si="179"/>
        <v>0</v>
      </c>
    </row>
    <row r="365" spans="1:67" x14ac:dyDescent="0.25">
      <c r="A365" s="31" t="s">
        <v>1277</v>
      </c>
      <c r="B365" s="176" t="str">
        <f>VLOOKUP(A365,kurspris!$A$1:$B$992,2,FALSE)</f>
        <v>Läraryrkets dimensioner - ingångsämne matematik</v>
      </c>
      <c r="C365" s="31">
        <v>75812</v>
      </c>
      <c r="D365" s="31" t="s">
        <v>482</v>
      </c>
      <c r="E365" s="60"/>
      <c r="F365" s="57" t="s">
        <v>2274</v>
      </c>
      <c r="H365" s="31" t="s">
        <v>2335</v>
      </c>
      <c r="I365" s="31" t="s">
        <v>2399</v>
      </c>
      <c r="J365" s="31" t="s">
        <v>2249</v>
      </c>
      <c r="L365" s="38"/>
      <c r="M365">
        <v>22.5</v>
      </c>
      <c r="P365" s="31">
        <v>1</v>
      </c>
      <c r="Q365" s="539">
        <v>0.375</v>
      </c>
      <c r="R365" s="38">
        <v>0.85</v>
      </c>
      <c r="S365" s="280">
        <f t="shared" si="152"/>
        <v>0.31874999999999998</v>
      </c>
      <c r="T365" s="31">
        <f>VLOOKUP(A365,'Ansvar kurs'!$A$1:$C$1123,2,FALSE)</f>
        <v>5730</v>
      </c>
      <c r="U365" s="31" t="str">
        <f>VLOOKUP(T365,Orgenheter!$A$1:$C$166,2,FALSE)</f>
        <v>Inst för MA och MA statistik</v>
      </c>
      <c r="V365" s="31" t="str">
        <f>VLOOKUP(T365,Orgenheter!$A$1:$C$166,3,FALSE)</f>
        <v>TekNat</v>
      </c>
      <c r="W365" s="35" t="str">
        <f>VLOOKUP(D365,Program!$A$1:$B$36,2,FALSE)</f>
        <v>Ämneslärarprogrammet - Gy</v>
      </c>
      <c r="X365" s="40">
        <f>VLOOKUP(A365,kurspris!$A$1:$Q$913,15,FALSE)</f>
        <v>25235</v>
      </c>
      <c r="Y365" s="40">
        <f>VLOOKUP(A365,kurspris!$A$1:$Q$913,16,FALSE)</f>
        <v>27976</v>
      </c>
      <c r="Z365" s="40">
        <f t="shared" si="153"/>
        <v>18380.474999999999</v>
      </c>
      <c r="AA365" s="40">
        <f>VLOOKUP(A365,kurspris!$A$1:$Q$913,17,FALSE)</f>
        <v>3600</v>
      </c>
      <c r="AB365" s="40">
        <f t="shared" si="154"/>
        <v>1350</v>
      </c>
      <c r="AC365" s="40">
        <f t="shared" si="155"/>
        <v>19730.474999999999</v>
      </c>
      <c r="AD365" s="31">
        <f>VLOOKUP($A365,kurspris!$A$1:$Q$950,3,FALSE)</f>
        <v>0</v>
      </c>
      <c r="AE365" s="31">
        <f>VLOOKUP($A365,kurspris!$A$1:$Q$950,4,FALSE)</f>
        <v>0</v>
      </c>
      <c r="AF365" s="31">
        <f>VLOOKUP($A365,kurspris!$A$1:$Q$950,5,FALSE)</f>
        <v>0</v>
      </c>
      <c r="AG365" s="31">
        <f>VLOOKUP($A365,kurspris!$A$1:$Q$950,6,FALSE)</f>
        <v>0</v>
      </c>
      <c r="AH365" s="31">
        <f>VLOOKUP($A365,kurspris!$A$1:$Q$950,7,FALSE)</f>
        <v>0</v>
      </c>
      <c r="AI365" s="31">
        <f>VLOOKUP($A365,kurspris!$A$1:$Q$950,8,FALSE)</f>
        <v>0</v>
      </c>
      <c r="AJ365" s="31">
        <f>VLOOKUP($A365,kurspris!$A$1:$Q$950,9,FALSE)</f>
        <v>0</v>
      </c>
      <c r="AK365" s="31">
        <f>VLOOKUP($A365,kurspris!$A$1:$Q$950,10,FALSE)</f>
        <v>0</v>
      </c>
      <c r="AL365" s="31">
        <f>VLOOKUP($A365,kurspris!$A$1:$Q$950,11,FALSE)</f>
        <v>1</v>
      </c>
      <c r="AM365" s="31">
        <f>VLOOKUP($A365,kurspris!$A$1:$Q$950,12,FALSE)</f>
        <v>0</v>
      </c>
      <c r="AN365" s="31">
        <f>VLOOKUP($A365,kurspris!$A$1:$Q$950,13,FALSE)</f>
        <v>0</v>
      </c>
      <c r="AO365" s="31">
        <f>VLOOKUP($A365,kurspris!$A$1:$Q$950,14,FALSE)</f>
        <v>0</v>
      </c>
      <c r="AP365" s="57" t="s">
        <v>2402</v>
      </c>
      <c r="AQ365" s="37"/>
      <c r="AR365" s="31">
        <f t="shared" si="156"/>
        <v>0</v>
      </c>
      <c r="AS365" s="219">
        <f t="shared" si="157"/>
        <v>0</v>
      </c>
      <c r="AT365" s="31">
        <f t="shared" si="158"/>
        <v>0</v>
      </c>
      <c r="AU365" s="219">
        <f t="shared" si="159"/>
        <v>0</v>
      </c>
      <c r="AV365" s="31">
        <f t="shared" si="160"/>
        <v>0</v>
      </c>
      <c r="AW365" s="31">
        <f t="shared" si="161"/>
        <v>0</v>
      </c>
      <c r="AX365" s="31">
        <f t="shared" si="162"/>
        <v>0</v>
      </c>
      <c r="AY365" s="219">
        <f t="shared" si="163"/>
        <v>0</v>
      </c>
      <c r="AZ365" s="196">
        <f t="shared" si="164"/>
        <v>0</v>
      </c>
      <c r="BA365" s="219">
        <f t="shared" si="165"/>
        <v>0</v>
      </c>
      <c r="BB365" s="31">
        <f t="shared" si="166"/>
        <v>0</v>
      </c>
      <c r="BC365" s="219">
        <f t="shared" si="167"/>
        <v>0</v>
      </c>
      <c r="BD365" s="31">
        <f t="shared" si="168"/>
        <v>0</v>
      </c>
      <c r="BE365" s="219">
        <f t="shared" si="169"/>
        <v>0</v>
      </c>
      <c r="BF365" s="31">
        <f t="shared" si="170"/>
        <v>0</v>
      </c>
      <c r="BG365" s="219">
        <f t="shared" si="171"/>
        <v>0</v>
      </c>
      <c r="BH365" s="31">
        <f t="shared" si="172"/>
        <v>0.375</v>
      </c>
      <c r="BI365" s="219">
        <f t="shared" si="173"/>
        <v>0.31874999999999998</v>
      </c>
      <c r="BJ365" s="31">
        <f t="shared" si="174"/>
        <v>0</v>
      </c>
      <c r="BK365" s="219">
        <f t="shared" si="175"/>
        <v>0</v>
      </c>
      <c r="BL365" s="31">
        <f t="shared" si="176"/>
        <v>0</v>
      </c>
      <c r="BM365" s="219">
        <f t="shared" si="177"/>
        <v>0</v>
      </c>
      <c r="BN365" s="31">
        <f t="shared" si="178"/>
        <v>0</v>
      </c>
      <c r="BO365" s="219">
        <f t="shared" si="179"/>
        <v>0</v>
      </c>
    </row>
    <row r="366" spans="1:67" x14ac:dyDescent="0.25">
      <c r="A366" s="31" t="s">
        <v>1277</v>
      </c>
      <c r="B366" s="176" t="str">
        <f>VLOOKUP(A366,kurspris!$A$1:$B$992,2,FALSE)</f>
        <v>Läraryrkets dimensioner - ingångsämne matematik</v>
      </c>
      <c r="C366" s="31">
        <v>75812</v>
      </c>
      <c r="D366" s="60" t="s">
        <v>482</v>
      </c>
      <c r="E366" s="60"/>
      <c r="F366" s="57" t="s">
        <v>2274</v>
      </c>
      <c r="H366" s="31" t="s">
        <v>2335</v>
      </c>
      <c r="I366" s="31" t="s">
        <v>2399</v>
      </c>
      <c r="J366" s="31" t="s">
        <v>2233</v>
      </c>
      <c r="L366" s="38"/>
      <c r="M366">
        <v>22.5</v>
      </c>
      <c r="P366" s="31">
        <v>8</v>
      </c>
      <c r="Q366" s="539">
        <v>3</v>
      </c>
      <c r="R366" s="38">
        <v>0.85</v>
      </c>
      <c r="S366" s="280">
        <f t="shared" si="152"/>
        <v>2.5499999999999998</v>
      </c>
      <c r="T366" s="31">
        <f>VLOOKUP(A366,'Ansvar kurs'!$A$1:$C$1123,2,FALSE)</f>
        <v>5730</v>
      </c>
      <c r="U366" s="31" t="str">
        <f>VLOOKUP(T366,Orgenheter!$A$1:$C$166,2,FALSE)</f>
        <v>Inst för MA och MA statistik</v>
      </c>
      <c r="V366" s="31" t="str">
        <f>VLOOKUP(T366,Orgenheter!$A$1:$C$166,3,FALSE)</f>
        <v>TekNat</v>
      </c>
      <c r="W366" s="35" t="str">
        <f>VLOOKUP(D366,Program!$A$1:$B$36,2,FALSE)</f>
        <v>Ämneslärarprogrammet - Gy</v>
      </c>
      <c r="X366" s="40">
        <f>VLOOKUP(A366,kurspris!$A$1:$Q$913,15,FALSE)</f>
        <v>25235</v>
      </c>
      <c r="Y366" s="40">
        <f>VLOOKUP(A366,kurspris!$A$1:$Q$913,16,FALSE)</f>
        <v>27976</v>
      </c>
      <c r="Z366" s="40">
        <f t="shared" si="153"/>
        <v>147043.79999999999</v>
      </c>
      <c r="AA366" s="40">
        <f>VLOOKUP(A366,kurspris!$A$1:$Q$913,17,FALSE)</f>
        <v>3600</v>
      </c>
      <c r="AB366" s="40">
        <f t="shared" si="154"/>
        <v>10800</v>
      </c>
      <c r="AC366" s="40">
        <f t="shared" si="155"/>
        <v>157843.79999999999</v>
      </c>
      <c r="AD366" s="31">
        <f>VLOOKUP($A366,kurspris!$A$1:$Q$950,3,FALSE)</f>
        <v>0</v>
      </c>
      <c r="AE366" s="31">
        <f>VLOOKUP($A366,kurspris!$A$1:$Q$950,4,FALSE)</f>
        <v>0</v>
      </c>
      <c r="AF366" s="31">
        <f>VLOOKUP($A366,kurspris!$A$1:$Q$950,5,FALSE)</f>
        <v>0</v>
      </c>
      <c r="AG366" s="31">
        <f>VLOOKUP($A366,kurspris!$A$1:$Q$950,6,FALSE)</f>
        <v>0</v>
      </c>
      <c r="AH366" s="31">
        <f>VLOOKUP($A366,kurspris!$A$1:$Q$950,7,FALSE)</f>
        <v>0</v>
      </c>
      <c r="AI366" s="31">
        <f>VLOOKUP($A366,kurspris!$A$1:$Q$950,8,FALSE)</f>
        <v>0</v>
      </c>
      <c r="AJ366" s="31">
        <f>VLOOKUP($A366,kurspris!$A$1:$Q$950,9,FALSE)</f>
        <v>0</v>
      </c>
      <c r="AK366" s="31">
        <f>VLOOKUP($A366,kurspris!$A$1:$Q$950,10,FALSE)</f>
        <v>0</v>
      </c>
      <c r="AL366" s="31">
        <f>VLOOKUP($A366,kurspris!$A$1:$Q$950,11,FALSE)</f>
        <v>1</v>
      </c>
      <c r="AM366" s="31">
        <f>VLOOKUP($A366,kurspris!$A$1:$Q$950,12,FALSE)</f>
        <v>0</v>
      </c>
      <c r="AN366" s="31">
        <f>VLOOKUP($A366,kurspris!$A$1:$Q$950,13,FALSE)</f>
        <v>0</v>
      </c>
      <c r="AO366" s="31">
        <f>VLOOKUP($A366,kurspris!$A$1:$Q$950,14,FALSE)</f>
        <v>0</v>
      </c>
      <c r="AP366" s="57" t="s">
        <v>2402</v>
      </c>
      <c r="AQ366"/>
      <c r="AR366" s="31">
        <f t="shared" si="156"/>
        <v>0</v>
      </c>
      <c r="AS366" s="219">
        <f t="shared" si="157"/>
        <v>0</v>
      </c>
      <c r="AT366" s="31">
        <f t="shared" si="158"/>
        <v>0</v>
      </c>
      <c r="AU366" s="219">
        <f t="shared" si="159"/>
        <v>0</v>
      </c>
      <c r="AV366" s="31">
        <f t="shared" si="160"/>
        <v>0</v>
      </c>
      <c r="AW366" s="31">
        <f t="shared" si="161"/>
        <v>0</v>
      </c>
      <c r="AX366" s="31">
        <f t="shared" si="162"/>
        <v>0</v>
      </c>
      <c r="AY366" s="219">
        <f t="shared" si="163"/>
        <v>0</v>
      </c>
      <c r="AZ366" s="196">
        <f t="shared" si="164"/>
        <v>0</v>
      </c>
      <c r="BA366" s="219">
        <f t="shared" si="165"/>
        <v>0</v>
      </c>
      <c r="BB366" s="31">
        <f t="shared" si="166"/>
        <v>0</v>
      </c>
      <c r="BC366" s="219">
        <f t="shared" si="167"/>
        <v>0</v>
      </c>
      <c r="BD366" s="31">
        <f t="shared" si="168"/>
        <v>0</v>
      </c>
      <c r="BE366" s="219">
        <f t="shared" si="169"/>
        <v>0</v>
      </c>
      <c r="BF366" s="31">
        <f t="shared" si="170"/>
        <v>0</v>
      </c>
      <c r="BG366" s="219">
        <f t="shared" si="171"/>
        <v>0</v>
      </c>
      <c r="BH366" s="31">
        <f t="shared" si="172"/>
        <v>3</v>
      </c>
      <c r="BI366" s="219">
        <f t="shared" si="173"/>
        <v>2.5499999999999998</v>
      </c>
      <c r="BJ366" s="31">
        <f t="shared" si="174"/>
        <v>0</v>
      </c>
      <c r="BK366" s="219">
        <f t="shared" si="175"/>
        <v>0</v>
      </c>
      <c r="BL366" s="31">
        <f t="shared" si="176"/>
        <v>0</v>
      </c>
      <c r="BM366" s="219">
        <f t="shared" si="177"/>
        <v>0</v>
      </c>
      <c r="BN366" s="31">
        <f t="shared" si="178"/>
        <v>0</v>
      </c>
      <c r="BO366" s="219">
        <f t="shared" si="179"/>
        <v>0</v>
      </c>
    </row>
    <row r="367" spans="1:67" x14ac:dyDescent="0.25">
      <c r="A367" s="31" t="s">
        <v>1262</v>
      </c>
      <c r="B367" s="176" t="str">
        <f>VLOOKUP(A367,kurspris!$A$1:$B$992,2,FALSE)</f>
        <v>Linjär algebra</v>
      </c>
      <c r="C367" s="31">
        <v>75803</v>
      </c>
      <c r="D367" s="60" t="s">
        <v>117</v>
      </c>
      <c r="E367" s="60"/>
      <c r="F367" s="57" t="s">
        <v>2274</v>
      </c>
      <c r="H367" s="31" t="s">
        <v>2335</v>
      </c>
      <c r="I367" s="31" t="s">
        <v>2399</v>
      </c>
      <c r="L367" s="38"/>
      <c r="M367">
        <v>7.5</v>
      </c>
      <c r="P367" s="31">
        <v>9</v>
      </c>
      <c r="Q367" s="539">
        <v>1.125</v>
      </c>
      <c r="R367" s="38">
        <v>0.8</v>
      </c>
      <c r="S367" s="280">
        <f t="shared" si="152"/>
        <v>0.9</v>
      </c>
      <c r="T367" s="31">
        <f>VLOOKUP(A367,'Ansvar kurs'!$A$1:$C$1123,2,FALSE)</f>
        <v>5730</v>
      </c>
      <c r="U367" s="31" t="str">
        <f>VLOOKUP(T367,Orgenheter!$A$1:$C$166,2,FALSE)</f>
        <v>Inst för MA och MA statistik</v>
      </c>
      <c r="V367" s="31" t="str">
        <f>VLOOKUP(T367,Orgenheter!$A$1:$C$166,3,FALSE)</f>
        <v>TekNat</v>
      </c>
      <c r="W367" s="35" t="str">
        <f>VLOOKUP(D367,Program!$A$1:$B$36,2,FALSE)</f>
        <v>Fristående och övriga kurser</v>
      </c>
      <c r="X367" s="40">
        <f>VLOOKUP(A367,kurspris!$A$1:$Q$913,15,FALSE)</f>
        <v>20757</v>
      </c>
      <c r="Y367" s="40">
        <f>VLOOKUP(A367,kurspris!$A$1:$Q$913,16,FALSE)</f>
        <v>36082</v>
      </c>
      <c r="Z367" s="40">
        <f t="shared" si="153"/>
        <v>55825.425000000003</v>
      </c>
      <c r="AA367" s="40">
        <f>VLOOKUP(A367,kurspris!$A$1:$Q$913,17,FALSE)</f>
        <v>22600</v>
      </c>
      <c r="AB367" s="40">
        <f t="shared" si="154"/>
        <v>25425</v>
      </c>
      <c r="AC367" s="40">
        <f t="shared" si="155"/>
        <v>81250.425000000003</v>
      </c>
      <c r="AD367" s="31">
        <f>VLOOKUP($A367,kurspris!$A$1:$Q$950,3,FALSE)</f>
        <v>0</v>
      </c>
      <c r="AE367" s="31">
        <f>VLOOKUP($A367,kurspris!$A$1:$Q$950,4,FALSE)</f>
        <v>0</v>
      </c>
      <c r="AF367" s="31">
        <f>VLOOKUP($A367,kurspris!$A$1:$Q$950,5,FALSE)</f>
        <v>0</v>
      </c>
      <c r="AG367" s="31">
        <f>VLOOKUP($A367,kurspris!$A$1:$Q$950,6,FALSE)</f>
        <v>0</v>
      </c>
      <c r="AH367" s="31">
        <f>VLOOKUP($A367,kurspris!$A$1:$Q$950,7,FALSE)</f>
        <v>0</v>
      </c>
      <c r="AI367" s="31">
        <f>VLOOKUP($A367,kurspris!$A$1:$Q$950,8,FALSE)</f>
        <v>1</v>
      </c>
      <c r="AJ367" s="31">
        <f>VLOOKUP($A367,kurspris!$A$1:$Q$950,9,FALSE)</f>
        <v>0</v>
      </c>
      <c r="AK367" s="31">
        <f>VLOOKUP($A367,kurspris!$A$1:$Q$950,10,FALSE)</f>
        <v>0</v>
      </c>
      <c r="AL367" s="31">
        <f>VLOOKUP($A367,kurspris!$A$1:$Q$950,11,FALSE)</f>
        <v>0</v>
      </c>
      <c r="AM367" s="31">
        <f>VLOOKUP($A367,kurspris!$A$1:$Q$950,12,FALSE)</f>
        <v>0</v>
      </c>
      <c r="AN367" s="31">
        <f>VLOOKUP($A367,kurspris!$A$1:$Q$950,13,FALSE)</f>
        <v>0</v>
      </c>
      <c r="AO367" s="31">
        <f>VLOOKUP($A367,kurspris!$A$1:$Q$950,14,FALSE)</f>
        <v>0</v>
      </c>
      <c r="AP367" s="57" t="s">
        <v>2402</v>
      </c>
      <c r="AQ367"/>
      <c r="AR367" s="31">
        <f t="shared" si="156"/>
        <v>0</v>
      </c>
      <c r="AS367" s="219">
        <f t="shared" si="157"/>
        <v>0</v>
      </c>
      <c r="AT367" s="31">
        <f t="shared" si="158"/>
        <v>0</v>
      </c>
      <c r="AU367" s="219">
        <f t="shared" si="159"/>
        <v>0</v>
      </c>
      <c r="AV367" s="31">
        <f t="shared" si="160"/>
        <v>0</v>
      </c>
      <c r="AW367" s="31">
        <f t="shared" si="161"/>
        <v>0</v>
      </c>
      <c r="AX367" s="31">
        <f t="shared" si="162"/>
        <v>0</v>
      </c>
      <c r="AY367" s="219">
        <f t="shared" si="163"/>
        <v>0</v>
      </c>
      <c r="AZ367" s="196">
        <f t="shared" si="164"/>
        <v>0</v>
      </c>
      <c r="BA367" s="219">
        <f t="shared" si="165"/>
        <v>0</v>
      </c>
      <c r="BB367" s="31">
        <f t="shared" si="166"/>
        <v>1.125</v>
      </c>
      <c r="BC367" s="219">
        <f t="shared" si="167"/>
        <v>0.9</v>
      </c>
      <c r="BD367" s="31">
        <f t="shared" si="168"/>
        <v>0</v>
      </c>
      <c r="BE367" s="219">
        <f t="shared" si="169"/>
        <v>0</v>
      </c>
      <c r="BF367" s="31">
        <f t="shared" si="170"/>
        <v>0</v>
      </c>
      <c r="BG367" s="219">
        <f t="shared" si="171"/>
        <v>0</v>
      </c>
      <c r="BH367" s="31">
        <f t="shared" si="172"/>
        <v>0</v>
      </c>
      <c r="BI367" s="219">
        <f t="shared" si="173"/>
        <v>0</v>
      </c>
      <c r="BJ367" s="31">
        <f t="shared" si="174"/>
        <v>0</v>
      </c>
      <c r="BK367" s="219">
        <f t="shared" si="175"/>
        <v>0</v>
      </c>
      <c r="BL367" s="31">
        <f t="shared" si="176"/>
        <v>0</v>
      </c>
      <c r="BM367" s="219">
        <f t="shared" si="177"/>
        <v>0</v>
      </c>
      <c r="BN367" s="31">
        <f t="shared" si="178"/>
        <v>0</v>
      </c>
      <c r="BO367" s="219">
        <f t="shared" si="179"/>
        <v>0</v>
      </c>
    </row>
    <row r="368" spans="1:67" x14ac:dyDescent="0.25">
      <c r="A368" s="31" t="s">
        <v>1262</v>
      </c>
      <c r="B368" s="176" t="str">
        <f>VLOOKUP(A368,kurspris!$A$1:$B$992,2,FALSE)</f>
        <v>Linjär algebra</v>
      </c>
      <c r="C368" s="31">
        <v>75803</v>
      </c>
      <c r="D368" s="60" t="s">
        <v>481</v>
      </c>
      <c r="E368" s="60"/>
      <c r="F368" s="57" t="s">
        <v>2274</v>
      </c>
      <c r="H368" s="31" t="s">
        <v>2335</v>
      </c>
      <c r="I368" s="31" t="s">
        <v>2399</v>
      </c>
      <c r="J368" s="31" t="s">
        <v>2244</v>
      </c>
      <c r="L368" s="38"/>
      <c r="M368">
        <v>7.5</v>
      </c>
      <c r="P368" s="31">
        <v>1</v>
      </c>
      <c r="Q368" s="539">
        <v>0.125</v>
      </c>
      <c r="R368" s="38">
        <v>0.85</v>
      </c>
      <c r="S368" s="280">
        <f t="shared" si="152"/>
        <v>0.10625</v>
      </c>
      <c r="T368" s="31">
        <f>VLOOKUP(A368,'Ansvar kurs'!$A$1:$C$1123,2,FALSE)</f>
        <v>5730</v>
      </c>
      <c r="U368" s="31" t="str">
        <f>VLOOKUP(T368,Orgenheter!$A$1:$C$166,2,FALSE)</f>
        <v>Inst för MA och MA statistik</v>
      </c>
      <c r="V368" s="31" t="str">
        <f>VLOOKUP(T368,Orgenheter!$A$1:$C$166,3,FALSE)</f>
        <v>TekNat</v>
      </c>
      <c r="W368" s="35" t="str">
        <f>VLOOKUP(D368,Program!$A$1:$B$36,2,FALSE)</f>
        <v>Ämneslärarprogrammet - åk 7-9</v>
      </c>
      <c r="X368" s="40">
        <f>VLOOKUP(A368,kurspris!$A$1:$Q$913,15,FALSE)</f>
        <v>20757</v>
      </c>
      <c r="Y368" s="40">
        <f>VLOOKUP(A368,kurspris!$A$1:$Q$913,16,FALSE)</f>
        <v>36082</v>
      </c>
      <c r="Z368" s="40">
        <f t="shared" si="153"/>
        <v>6428.3374999999996</v>
      </c>
      <c r="AA368" s="40">
        <f>VLOOKUP(A368,kurspris!$A$1:$Q$913,17,FALSE)</f>
        <v>22600</v>
      </c>
      <c r="AB368" s="40">
        <f t="shared" si="154"/>
        <v>2825</v>
      </c>
      <c r="AC368" s="40">
        <f t="shared" si="155"/>
        <v>9253.3374999999996</v>
      </c>
      <c r="AD368" s="31">
        <f>VLOOKUP($A368,kurspris!$A$1:$Q$950,3,FALSE)</f>
        <v>0</v>
      </c>
      <c r="AE368" s="31">
        <f>VLOOKUP($A368,kurspris!$A$1:$Q$950,4,FALSE)</f>
        <v>0</v>
      </c>
      <c r="AF368" s="31">
        <f>VLOOKUP($A368,kurspris!$A$1:$Q$950,5,FALSE)</f>
        <v>0</v>
      </c>
      <c r="AG368" s="31">
        <f>VLOOKUP($A368,kurspris!$A$1:$Q$950,6,FALSE)</f>
        <v>0</v>
      </c>
      <c r="AH368" s="31">
        <f>VLOOKUP($A368,kurspris!$A$1:$Q$950,7,FALSE)</f>
        <v>0</v>
      </c>
      <c r="AI368" s="31">
        <f>VLOOKUP($A368,kurspris!$A$1:$Q$950,8,FALSE)</f>
        <v>1</v>
      </c>
      <c r="AJ368" s="31">
        <f>VLOOKUP($A368,kurspris!$A$1:$Q$950,9,FALSE)</f>
        <v>0</v>
      </c>
      <c r="AK368" s="31">
        <f>VLOOKUP($A368,kurspris!$A$1:$Q$950,10,FALSE)</f>
        <v>0</v>
      </c>
      <c r="AL368" s="31">
        <f>VLOOKUP($A368,kurspris!$A$1:$Q$950,11,FALSE)</f>
        <v>0</v>
      </c>
      <c r="AM368" s="31">
        <f>VLOOKUP($A368,kurspris!$A$1:$Q$950,12,FALSE)</f>
        <v>0</v>
      </c>
      <c r="AN368" s="31">
        <f>VLOOKUP($A368,kurspris!$A$1:$Q$950,13,FALSE)</f>
        <v>0</v>
      </c>
      <c r="AO368" s="31">
        <f>VLOOKUP($A368,kurspris!$A$1:$Q$950,14,FALSE)</f>
        <v>0</v>
      </c>
      <c r="AP368" s="57" t="s">
        <v>2402</v>
      </c>
      <c r="AQ368"/>
      <c r="AR368" s="31">
        <f t="shared" si="156"/>
        <v>0</v>
      </c>
      <c r="AS368" s="219">
        <f t="shared" si="157"/>
        <v>0</v>
      </c>
      <c r="AT368" s="31">
        <f t="shared" si="158"/>
        <v>0</v>
      </c>
      <c r="AU368" s="219">
        <f t="shared" si="159"/>
        <v>0</v>
      </c>
      <c r="AV368" s="31">
        <f t="shared" si="160"/>
        <v>0</v>
      </c>
      <c r="AW368" s="31">
        <f t="shared" si="161"/>
        <v>0</v>
      </c>
      <c r="AX368" s="31">
        <f t="shared" si="162"/>
        <v>0</v>
      </c>
      <c r="AY368" s="219">
        <f t="shared" si="163"/>
        <v>0</v>
      </c>
      <c r="AZ368" s="196">
        <f t="shared" si="164"/>
        <v>0</v>
      </c>
      <c r="BA368" s="219">
        <f t="shared" si="165"/>
        <v>0</v>
      </c>
      <c r="BB368" s="31">
        <f t="shared" si="166"/>
        <v>0.125</v>
      </c>
      <c r="BC368" s="219">
        <f t="shared" si="167"/>
        <v>0.10625</v>
      </c>
      <c r="BD368" s="31">
        <f t="shared" si="168"/>
        <v>0</v>
      </c>
      <c r="BE368" s="219">
        <f t="shared" si="169"/>
        <v>0</v>
      </c>
      <c r="BF368" s="31">
        <f t="shared" si="170"/>
        <v>0</v>
      </c>
      <c r="BG368" s="219">
        <f t="shared" si="171"/>
        <v>0</v>
      </c>
      <c r="BH368" s="31">
        <f t="shared" si="172"/>
        <v>0</v>
      </c>
      <c r="BI368" s="219">
        <f t="shared" si="173"/>
        <v>0</v>
      </c>
      <c r="BJ368" s="31">
        <f t="shared" si="174"/>
        <v>0</v>
      </c>
      <c r="BK368" s="219">
        <f t="shared" si="175"/>
        <v>0</v>
      </c>
      <c r="BL368" s="31">
        <f t="shared" si="176"/>
        <v>0</v>
      </c>
      <c r="BM368" s="219">
        <f t="shared" si="177"/>
        <v>0</v>
      </c>
      <c r="BN368" s="31">
        <f t="shared" si="178"/>
        <v>0</v>
      </c>
      <c r="BO368" s="219">
        <f t="shared" si="179"/>
        <v>0</v>
      </c>
    </row>
    <row r="369" spans="1:67" x14ac:dyDescent="0.25">
      <c r="A369" s="31" t="s">
        <v>1262</v>
      </c>
      <c r="B369" s="176" t="str">
        <f>VLOOKUP(A369,kurspris!$A$1:$B$992,2,FALSE)</f>
        <v>Linjär algebra</v>
      </c>
      <c r="C369" s="31">
        <v>75803</v>
      </c>
      <c r="D369" s="60" t="s">
        <v>482</v>
      </c>
      <c r="E369" s="60"/>
      <c r="F369" s="57" t="s">
        <v>2274</v>
      </c>
      <c r="H369" s="31" t="s">
        <v>2335</v>
      </c>
      <c r="I369" s="31" t="s">
        <v>2399</v>
      </c>
      <c r="J369" s="31" t="s">
        <v>2232</v>
      </c>
      <c r="L369" s="38"/>
      <c r="M369">
        <v>7.5</v>
      </c>
      <c r="P369" s="31">
        <v>1</v>
      </c>
      <c r="Q369" s="539">
        <v>0.125</v>
      </c>
      <c r="R369" s="38">
        <v>0.85</v>
      </c>
      <c r="S369" s="280">
        <f t="shared" si="152"/>
        <v>0.10625</v>
      </c>
      <c r="T369" s="31">
        <f>VLOOKUP(A369,'Ansvar kurs'!$A$1:$C$1123,2,FALSE)</f>
        <v>5730</v>
      </c>
      <c r="U369" s="31" t="str">
        <f>VLOOKUP(T369,Orgenheter!$A$1:$C$166,2,FALSE)</f>
        <v>Inst för MA och MA statistik</v>
      </c>
      <c r="V369" s="31" t="str">
        <f>VLOOKUP(T369,Orgenheter!$A$1:$C$166,3,FALSE)</f>
        <v>TekNat</v>
      </c>
      <c r="W369" s="35" t="str">
        <f>VLOOKUP(D369,Program!$A$1:$B$36,2,FALSE)</f>
        <v>Ämneslärarprogrammet - Gy</v>
      </c>
      <c r="X369" s="40">
        <f>VLOOKUP(A369,kurspris!$A$1:$Q$913,15,FALSE)</f>
        <v>20757</v>
      </c>
      <c r="Y369" s="40">
        <f>VLOOKUP(A369,kurspris!$A$1:$Q$913,16,FALSE)</f>
        <v>36082</v>
      </c>
      <c r="Z369" s="40">
        <f t="shared" si="153"/>
        <v>6428.3374999999996</v>
      </c>
      <c r="AA369" s="40">
        <f>VLOOKUP(A369,kurspris!$A$1:$Q$913,17,FALSE)</f>
        <v>22600</v>
      </c>
      <c r="AB369" s="40">
        <f t="shared" si="154"/>
        <v>2825</v>
      </c>
      <c r="AC369" s="40">
        <f t="shared" si="155"/>
        <v>9253.3374999999996</v>
      </c>
      <c r="AD369" s="31">
        <f>VLOOKUP($A369,kurspris!$A$1:$Q$950,3,FALSE)</f>
        <v>0</v>
      </c>
      <c r="AE369" s="31">
        <f>VLOOKUP($A369,kurspris!$A$1:$Q$950,4,FALSE)</f>
        <v>0</v>
      </c>
      <c r="AF369" s="31">
        <f>VLOOKUP($A369,kurspris!$A$1:$Q$950,5,FALSE)</f>
        <v>0</v>
      </c>
      <c r="AG369" s="31">
        <f>VLOOKUP($A369,kurspris!$A$1:$Q$950,6,FALSE)</f>
        <v>0</v>
      </c>
      <c r="AH369" s="31">
        <f>VLOOKUP($A369,kurspris!$A$1:$Q$950,7,FALSE)</f>
        <v>0</v>
      </c>
      <c r="AI369" s="31">
        <f>VLOOKUP($A369,kurspris!$A$1:$Q$950,8,FALSE)</f>
        <v>1</v>
      </c>
      <c r="AJ369" s="31">
        <f>VLOOKUP($A369,kurspris!$A$1:$Q$950,9,FALSE)</f>
        <v>0</v>
      </c>
      <c r="AK369" s="31">
        <f>VLOOKUP($A369,kurspris!$A$1:$Q$950,10,FALSE)</f>
        <v>0</v>
      </c>
      <c r="AL369" s="31">
        <f>VLOOKUP($A369,kurspris!$A$1:$Q$950,11,FALSE)</f>
        <v>0</v>
      </c>
      <c r="AM369" s="31">
        <f>VLOOKUP($A369,kurspris!$A$1:$Q$950,12,FALSE)</f>
        <v>0</v>
      </c>
      <c r="AN369" s="31">
        <f>VLOOKUP($A369,kurspris!$A$1:$Q$950,13,FALSE)</f>
        <v>0</v>
      </c>
      <c r="AO369" s="31">
        <f>VLOOKUP($A369,kurspris!$A$1:$Q$950,14,FALSE)</f>
        <v>0</v>
      </c>
      <c r="AP369" s="57" t="s">
        <v>2402</v>
      </c>
      <c r="AQ369"/>
      <c r="AR369" s="31">
        <f t="shared" si="156"/>
        <v>0</v>
      </c>
      <c r="AS369" s="219">
        <f t="shared" si="157"/>
        <v>0</v>
      </c>
      <c r="AT369" s="31">
        <f t="shared" si="158"/>
        <v>0</v>
      </c>
      <c r="AU369" s="219">
        <f t="shared" si="159"/>
        <v>0</v>
      </c>
      <c r="AV369" s="31">
        <f t="shared" si="160"/>
        <v>0</v>
      </c>
      <c r="AW369" s="31">
        <f t="shared" si="161"/>
        <v>0</v>
      </c>
      <c r="AX369" s="31">
        <f t="shared" si="162"/>
        <v>0</v>
      </c>
      <c r="AY369" s="219">
        <f t="shared" si="163"/>
        <v>0</v>
      </c>
      <c r="AZ369" s="196">
        <f t="shared" si="164"/>
        <v>0</v>
      </c>
      <c r="BA369" s="219">
        <f t="shared" si="165"/>
        <v>0</v>
      </c>
      <c r="BB369" s="31">
        <f t="shared" si="166"/>
        <v>0.125</v>
      </c>
      <c r="BC369" s="219">
        <f t="shared" si="167"/>
        <v>0.10625</v>
      </c>
      <c r="BD369" s="31">
        <f t="shared" si="168"/>
        <v>0</v>
      </c>
      <c r="BE369" s="219">
        <f t="shared" si="169"/>
        <v>0</v>
      </c>
      <c r="BF369" s="31">
        <f t="shared" si="170"/>
        <v>0</v>
      </c>
      <c r="BG369" s="219">
        <f t="shared" si="171"/>
        <v>0</v>
      </c>
      <c r="BH369" s="31">
        <f t="shared" si="172"/>
        <v>0</v>
      </c>
      <c r="BI369" s="219">
        <f t="shared" si="173"/>
        <v>0</v>
      </c>
      <c r="BJ369" s="31">
        <f t="shared" si="174"/>
        <v>0</v>
      </c>
      <c r="BK369" s="219">
        <f t="shared" si="175"/>
        <v>0</v>
      </c>
      <c r="BL369" s="31">
        <f t="shared" si="176"/>
        <v>0</v>
      </c>
      <c r="BM369" s="219">
        <f t="shared" si="177"/>
        <v>0</v>
      </c>
      <c r="BN369" s="31">
        <f t="shared" si="178"/>
        <v>0</v>
      </c>
      <c r="BO369" s="219">
        <f t="shared" si="179"/>
        <v>0</v>
      </c>
    </row>
    <row r="370" spans="1:67" x14ac:dyDescent="0.25">
      <c r="A370" s="31" t="s">
        <v>1262</v>
      </c>
      <c r="B370" s="176" t="str">
        <f>VLOOKUP(A370,kurspris!$A$1:$B$992,2,FALSE)</f>
        <v>Linjär algebra</v>
      </c>
      <c r="C370" s="31">
        <v>75803</v>
      </c>
      <c r="D370" s="60" t="s">
        <v>482</v>
      </c>
      <c r="E370" s="60"/>
      <c r="F370" s="57" t="s">
        <v>2274</v>
      </c>
      <c r="H370" s="31" t="s">
        <v>2335</v>
      </c>
      <c r="I370" s="31" t="s">
        <v>2399</v>
      </c>
      <c r="J370" s="31" t="s">
        <v>2233</v>
      </c>
      <c r="L370" s="38"/>
      <c r="M370">
        <v>7.5</v>
      </c>
      <c r="P370" s="31">
        <v>12</v>
      </c>
      <c r="Q370" s="539">
        <v>1.5</v>
      </c>
      <c r="R370" s="38">
        <v>0.85</v>
      </c>
      <c r="S370" s="280">
        <f t="shared" si="152"/>
        <v>1.2749999999999999</v>
      </c>
      <c r="T370" s="31">
        <f>VLOOKUP(A370,'Ansvar kurs'!$A$1:$C$1123,2,FALSE)</f>
        <v>5730</v>
      </c>
      <c r="U370" s="31" t="str">
        <f>VLOOKUP(T370,Orgenheter!$A$1:$C$166,2,FALSE)</f>
        <v>Inst för MA och MA statistik</v>
      </c>
      <c r="V370" s="31" t="str">
        <f>VLOOKUP(T370,Orgenheter!$A$1:$C$166,3,FALSE)</f>
        <v>TekNat</v>
      </c>
      <c r="W370" s="35" t="str">
        <f>VLOOKUP(D370,Program!$A$1:$B$36,2,FALSE)</f>
        <v>Ämneslärarprogrammet - Gy</v>
      </c>
      <c r="X370" s="40">
        <f>VLOOKUP(A370,kurspris!$A$1:$Q$913,15,FALSE)</f>
        <v>20757</v>
      </c>
      <c r="Y370" s="40">
        <f>VLOOKUP(A370,kurspris!$A$1:$Q$913,16,FALSE)</f>
        <v>36082</v>
      </c>
      <c r="Z370" s="40">
        <f t="shared" si="153"/>
        <v>77140.049999999988</v>
      </c>
      <c r="AA370" s="40">
        <f>VLOOKUP(A370,kurspris!$A$1:$Q$913,17,FALSE)</f>
        <v>22600</v>
      </c>
      <c r="AB370" s="40">
        <f t="shared" si="154"/>
        <v>33900</v>
      </c>
      <c r="AC370" s="40">
        <f t="shared" si="155"/>
        <v>111040.04999999999</v>
      </c>
      <c r="AD370" s="31">
        <f>VLOOKUP($A370,kurspris!$A$1:$Q$950,3,FALSE)</f>
        <v>0</v>
      </c>
      <c r="AE370" s="31">
        <f>VLOOKUP($A370,kurspris!$A$1:$Q$950,4,FALSE)</f>
        <v>0</v>
      </c>
      <c r="AF370" s="31">
        <f>VLOOKUP($A370,kurspris!$A$1:$Q$950,5,FALSE)</f>
        <v>0</v>
      </c>
      <c r="AG370" s="31">
        <f>VLOOKUP($A370,kurspris!$A$1:$Q$950,6,FALSE)</f>
        <v>0</v>
      </c>
      <c r="AH370" s="31">
        <f>VLOOKUP($A370,kurspris!$A$1:$Q$950,7,FALSE)</f>
        <v>0</v>
      </c>
      <c r="AI370" s="31">
        <f>VLOOKUP($A370,kurspris!$A$1:$Q$950,8,FALSE)</f>
        <v>1</v>
      </c>
      <c r="AJ370" s="31">
        <f>VLOOKUP($A370,kurspris!$A$1:$Q$950,9,FALSE)</f>
        <v>0</v>
      </c>
      <c r="AK370" s="31">
        <f>VLOOKUP($A370,kurspris!$A$1:$Q$950,10,FALSE)</f>
        <v>0</v>
      </c>
      <c r="AL370" s="31">
        <f>VLOOKUP($A370,kurspris!$A$1:$Q$950,11,FALSE)</f>
        <v>0</v>
      </c>
      <c r="AM370" s="31">
        <f>VLOOKUP($A370,kurspris!$A$1:$Q$950,12,FALSE)</f>
        <v>0</v>
      </c>
      <c r="AN370" s="31">
        <f>VLOOKUP($A370,kurspris!$A$1:$Q$950,13,FALSE)</f>
        <v>0</v>
      </c>
      <c r="AO370" s="31">
        <f>VLOOKUP($A370,kurspris!$A$1:$Q$950,14,FALSE)</f>
        <v>0</v>
      </c>
      <c r="AP370" s="57" t="s">
        <v>2402</v>
      </c>
      <c r="AQ370"/>
      <c r="AR370" s="31">
        <f t="shared" si="156"/>
        <v>0</v>
      </c>
      <c r="AS370" s="219">
        <f t="shared" si="157"/>
        <v>0</v>
      </c>
      <c r="AT370" s="31">
        <f t="shared" si="158"/>
        <v>0</v>
      </c>
      <c r="AU370" s="219">
        <f t="shared" si="159"/>
        <v>0</v>
      </c>
      <c r="AV370" s="31">
        <f t="shared" si="160"/>
        <v>0</v>
      </c>
      <c r="AW370" s="31">
        <f t="shared" si="161"/>
        <v>0</v>
      </c>
      <c r="AX370" s="31">
        <f t="shared" si="162"/>
        <v>0</v>
      </c>
      <c r="AY370" s="219">
        <f t="shared" si="163"/>
        <v>0</v>
      </c>
      <c r="AZ370" s="196">
        <f t="shared" si="164"/>
        <v>0</v>
      </c>
      <c r="BA370" s="219">
        <f t="shared" si="165"/>
        <v>0</v>
      </c>
      <c r="BB370" s="31">
        <f t="shared" si="166"/>
        <v>1.5</v>
      </c>
      <c r="BC370" s="219">
        <f t="shared" si="167"/>
        <v>1.2749999999999999</v>
      </c>
      <c r="BD370" s="31">
        <f t="shared" si="168"/>
        <v>0</v>
      </c>
      <c r="BE370" s="219">
        <f t="shared" si="169"/>
        <v>0</v>
      </c>
      <c r="BF370" s="31">
        <f t="shared" si="170"/>
        <v>0</v>
      </c>
      <c r="BG370" s="219">
        <f t="shared" si="171"/>
        <v>0</v>
      </c>
      <c r="BH370" s="31">
        <f t="shared" si="172"/>
        <v>0</v>
      </c>
      <c r="BI370" s="219">
        <f t="shared" si="173"/>
        <v>0</v>
      </c>
      <c r="BJ370" s="31">
        <f t="shared" si="174"/>
        <v>0</v>
      </c>
      <c r="BK370" s="219">
        <f t="shared" si="175"/>
        <v>0</v>
      </c>
      <c r="BL370" s="31">
        <f t="shared" si="176"/>
        <v>0</v>
      </c>
      <c r="BM370" s="219">
        <f t="shared" si="177"/>
        <v>0</v>
      </c>
      <c r="BN370" s="31">
        <f t="shared" si="178"/>
        <v>0</v>
      </c>
      <c r="BO370" s="219">
        <f t="shared" si="179"/>
        <v>0</v>
      </c>
    </row>
    <row r="371" spans="1:67" x14ac:dyDescent="0.25">
      <c r="A371" s="31" t="s">
        <v>1318</v>
      </c>
      <c r="B371" s="176" t="str">
        <f>VLOOKUP(A371,kurspris!$A$1:$B$992,2,FALSE)</f>
        <v>Matematik 1 för grundskolans årskurs 4-6</v>
      </c>
      <c r="C371" s="31">
        <v>75804</v>
      </c>
      <c r="D371" s="60" t="s">
        <v>523</v>
      </c>
      <c r="E371" s="60"/>
      <c r="F371" s="57" t="s">
        <v>2274</v>
      </c>
      <c r="H371" s="31" t="s">
        <v>2335</v>
      </c>
      <c r="I371" s="31" t="s">
        <v>2399</v>
      </c>
      <c r="L371" s="38"/>
      <c r="M371">
        <v>7.5</v>
      </c>
      <c r="P371" s="31">
        <v>46</v>
      </c>
      <c r="Q371" s="539">
        <v>5.75</v>
      </c>
      <c r="R371" s="38">
        <v>0.85</v>
      </c>
      <c r="S371" s="280">
        <f t="shared" si="152"/>
        <v>4.8875000000000002</v>
      </c>
      <c r="T371" s="31">
        <f>VLOOKUP(A371,'Ansvar kurs'!$A$1:$C$1123,2,FALSE)</f>
        <v>5730</v>
      </c>
      <c r="U371" s="31" t="str">
        <f>VLOOKUP(T371,Orgenheter!$A$1:$C$166,2,FALSE)</f>
        <v>Inst för MA och MA statistik</v>
      </c>
      <c r="V371" s="31" t="str">
        <f>VLOOKUP(T371,Orgenheter!$A$1:$C$166,3,FALSE)</f>
        <v>TekNat</v>
      </c>
      <c r="W371" s="35" t="str">
        <f>VLOOKUP(D371,Program!$A$1:$B$36,2,FALSE)</f>
        <v>Grundlärarprogrammet - grundskolans åk 4-6</v>
      </c>
      <c r="X371" s="40">
        <f>VLOOKUP(A371,kurspris!$A$1:$Q$913,15,FALSE)</f>
        <v>20757</v>
      </c>
      <c r="Y371" s="40">
        <f>VLOOKUP(A371,kurspris!$A$1:$Q$913,16,FALSE)</f>
        <v>36082</v>
      </c>
      <c r="Z371" s="40">
        <f t="shared" si="153"/>
        <v>295703.52500000002</v>
      </c>
      <c r="AA371" s="40">
        <f>VLOOKUP(A371,kurspris!$A$1:$Q$913,17,FALSE)</f>
        <v>22600</v>
      </c>
      <c r="AB371" s="40">
        <f t="shared" si="154"/>
        <v>129950</v>
      </c>
      <c r="AC371" s="40">
        <f t="shared" si="155"/>
        <v>425653.52500000002</v>
      </c>
      <c r="AD371" s="31">
        <f>VLOOKUP($A371,kurspris!$A$1:$Q$950,3,FALSE)</f>
        <v>0</v>
      </c>
      <c r="AE371" s="31">
        <f>VLOOKUP($A371,kurspris!$A$1:$Q$950,4,FALSE)</f>
        <v>0</v>
      </c>
      <c r="AF371" s="31">
        <f>VLOOKUP($A371,kurspris!$A$1:$Q$950,5,FALSE)</f>
        <v>0</v>
      </c>
      <c r="AG371" s="31">
        <f>VLOOKUP($A371,kurspris!$A$1:$Q$950,6,FALSE)</f>
        <v>0</v>
      </c>
      <c r="AH371" s="31">
        <f>VLOOKUP($A371,kurspris!$A$1:$Q$950,7,FALSE)</f>
        <v>0</v>
      </c>
      <c r="AI371" s="31">
        <f>VLOOKUP($A371,kurspris!$A$1:$Q$950,8,FALSE)</f>
        <v>1</v>
      </c>
      <c r="AJ371" s="31">
        <f>VLOOKUP($A371,kurspris!$A$1:$Q$950,9,FALSE)</f>
        <v>0</v>
      </c>
      <c r="AK371" s="31">
        <f>VLOOKUP($A371,kurspris!$A$1:$Q$950,10,FALSE)</f>
        <v>0</v>
      </c>
      <c r="AL371" s="31">
        <f>VLOOKUP($A371,kurspris!$A$1:$Q$950,11,FALSE)</f>
        <v>0</v>
      </c>
      <c r="AM371" s="31">
        <f>VLOOKUP($A371,kurspris!$A$1:$Q$950,12,FALSE)</f>
        <v>0</v>
      </c>
      <c r="AN371" s="31">
        <f>VLOOKUP($A371,kurspris!$A$1:$Q$950,13,FALSE)</f>
        <v>0</v>
      </c>
      <c r="AO371" s="31">
        <f>VLOOKUP($A371,kurspris!$A$1:$Q$950,14,FALSE)</f>
        <v>0</v>
      </c>
      <c r="AP371" s="57" t="s">
        <v>2402</v>
      </c>
      <c r="AQ371"/>
      <c r="AR371" s="31">
        <f t="shared" si="156"/>
        <v>0</v>
      </c>
      <c r="AS371" s="219">
        <f t="shared" si="157"/>
        <v>0</v>
      </c>
      <c r="AT371" s="31">
        <f t="shared" si="158"/>
        <v>0</v>
      </c>
      <c r="AU371" s="219">
        <f t="shared" si="159"/>
        <v>0</v>
      </c>
      <c r="AV371" s="31">
        <f t="shared" si="160"/>
        <v>0</v>
      </c>
      <c r="AW371" s="31">
        <f t="shared" si="161"/>
        <v>0</v>
      </c>
      <c r="AX371" s="31">
        <f t="shared" si="162"/>
        <v>0</v>
      </c>
      <c r="AY371" s="219">
        <f t="shared" si="163"/>
        <v>0</v>
      </c>
      <c r="AZ371" s="196">
        <f t="shared" si="164"/>
        <v>0</v>
      </c>
      <c r="BA371" s="219">
        <f t="shared" si="165"/>
        <v>0</v>
      </c>
      <c r="BB371" s="31">
        <f t="shared" si="166"/>
        <v>5.75</v>
      </c>
      <c r="BC371" s="219">
        <f t="shared" si="167"/>
        <v>4.8875000000000002</v>
      </c>
      <c r="BD371" s="31">
        <f t="shared" si="168"/>
        <v>0</v>
      </c>
      <c r="BE371" s="219">
        <f t="shared" si="169"/>
        <v>0</v>
      </c>
      <c r="BF371" s="31">
        <f t="shared" si="170"/>
        <v>0</v>
      </c>
      <c r="BG371" s="219">
        <f t="shared" si="171"/>
        <v>0</v>
      </c>
      <c r="BH371" s="31">
        <f t="shared" si="172"/>
        <v>0</v>
      </c>
      <c r="BI371" s="219">
        <f t="shared" si="173"/>
        <v>0</v>
      </c>
      <c r="BJ371" s="31">
        <f t="shared" si="174"/>
        <v>0</v>
      </c>
      <c r="BK371" s="219">
        <f t="shared" si="175"/>
        <v>0</v>
      </c>
      <c r="BL371" s="31">
        <f t="shared" si="176"/>
        <v>0</v>
      </c>
      <c r="BM371" s="219">
        <f t="shared" si="177"/>
        <v>0</v>
      </c>
      <c r="BN371" s="31">
        <f t="shared" si="178"/>
        <v>0</v>
      </c>
      <c r="BO371" s="219">
        <f t="shared" si="179"/>
        <v>0</v>
      </c>
    </row>
    <row r="372" spans="1:67" x14ac:dyDescent="0.25">
      <c r="A372" s="31" t="s">
        <v>1802</v>
      </c>
      <c r="B372" s="176" t="str">
        <f>VLOOKUP(A372,kurspris!$A$1:$B$992,2,FALSE)</f>
        <v>Algebra</v>
      </c>
      <c r="C372" s="31">
        <v>75813</v>
      </c>
      <c r="D372" s="60" t="s">
        <v>117</v>
      </c>
      <c r="E372" s="60"/>
      <c r="F372" s="57" t="s">
        <v>2274</v>
      </c>
      <c r="H372" s="31" t="s">
        <v>2335</v>
      </c>
      <c r="I372" s="31" t="s">
        <v>2399</v>
      </c>
      <c r="L372" s="38"/>
      <c r="M372">
        <v>7.5</v>
      </c>
      <c r="P372" s="31">
        <v>20</v>
      </c>
      <c r="Q372" s="539">
        <v>2.5</v>
      </c>
      <c r="R372" s="38">
        <v>0.8</v>
      </c>
      <c r="S372" s="280">
        <f t="shared" si="152"/>
        <v>2</v>
      </c>
      <c r="T372" s="31">
        <f>VLOOKUP(A372,'Ansvar kurs'!$A$1:$C$1123,2,FALSE)</f>
        <v>5730</v>
      </c>
      <c r="U372" s="31" t="str">
        <f>VLOOKUP(T372,Orgenheter!$A$1:$C$166,2,FALSE)</f>
        <v>Inst för MA och MA statistik</v>
      </c>
      <c r="V372" s="31" t="str">
        <f>VLOOKUP(T372,Orgenheter!$A$1:$C$166,3,FALSE)</f>
        <v>TekNat</v>
      </c>
      <c r="W372" s="35" t="str">
        <f>VLOOKUP(D372,Program!$A$1:$B$36,2,FALSE)</f>
        <v>Fristående och övriga kurser</v>
      </c>
      <c r="X372" s="40">
        <f>VLOOKUP(A372,kurspris!$A$1:$Q$913,15,FALSE)</f>
        <v>20757</v>
      </c>
      <c r="Y372" s="40">
        <f>VLOOKUP(A372,kurspris!$A$1:$Q$913,16,FALSE)</f>
        <v>36082</v>
      </c>
      <c r="Z372" s="40">
        <f t="shared" si="153"/>
        <v>124056.5</v>
      </c>
      <c r="AA372" s="40">
        <f>VLOOKUP(A372,kurspris!$A$1:$Q$913,17,FALSE)</f>
        <v>22600</v>
      </c>
      <c r="AB372" s="40">
        <f t="shared" si="154"/>
        <v>56500</v>
      </c>
      <c r="AC372" s="40">
        <f t="shared" si="155"/>
        <v>180556.5</v>
      </c>
      <c r="AD372" s="31">
        <f>VLOOKUP($A372,kurspris!$A$1:$Q$950,3,FALSE)</f>
        <v>0</v>
      </c>
      <c r="AE372" s="31">
        <f>VLOOKUP($A372,kurspris!$A$1:$Q$950,4,FALSE)</f>
        <v>0</v>
      </c>
      <c r="AF372" s="31">
        <f>VLOOKUP($A372,kurspris!$A$1:$Q$950,5,FALSE)</f>
        <v>0</v>
      </c>
      <c r="AG372" s="31">
        <f>VLOOKUP($A372,kurspris!$A$1:$Q$950,6,FALSE)</f>
        <v>0</v>
      </c>
      <c r="AH372" s="31">
        <f>VLOOKUP($A372,kurspris!$A$1:$Q$950,7,FALSE)</f>
        <v>0</v>
      </c>
      <c r="AI372" s="31">
        <f>VLOOKUP($A372,kurspris!$A$1:$Q$950,8,FALSE)</f>
        <v>1</v>
      </c>
      <c r="AJ372" s="31">
        <f>VLOOKUP($A372,kurspris!$A$1:$Q$950,9,FALSE)</f>
        <v>0</v>
      </c>
      <c r="AK372" s="31">
        <f>VLOOKUP($A372,kurspris!$A$1:$Q$950,10,FALSE)</f>
        <v>0</v>
      </c>
      <c r="AL372" s="31">
        <f>VLOOKUP($A372,kurspris!$A$1:$Q$950,11,FALSE)</f>
        <v>0</v>
      </c>
      <c r="AM372" s="31">
        <f>VLOOKUP($A372,kurspris!$A$1:$Q$950,12,FALSE)</f>
        <v>0</v>
      </c>
      <c r="AN372" s="31">
        <f>VLOOKUP($A372,kurspris!$A$1:$Q$950,13,FALSE)</f>
        <v>0</v>
      </c>
      <c r="AO372" s="31">
        <f>VLOOKUP($A372,kurspris!$A$1:$Q$950,14,FALSE)</f>
        <v>0</v>
      </c>
      <c r="AP372" s="57" t="s">
        <v>2402</v>
      </c>
      <c r="AQ372"/>
      <c r="AR372" s="31">
        <f t="shared" si="156"/>
        <v>0</v>
      </c>
      <c r="AS372" s="219">
        <f t="shared" si="157"/>
        <v>0</v>
      </c>
      <c r="AT372" s="31">
        <f t="shared" si="158"/>
        <v>0</v>
      </c>
      <c r="AU372" s="219">
        <f t="shared" si="159"/>
        <v>0</v>
      </c>
      <c r="AV372" s="31">
        <f t="shared" si="160"/>
        <v>0</v>
      </c>
      <c r="AW372" s="31">
        <f t="shared" si="161"/>
        <v>0</v>
      </c>
      <c r="AX372" s="31">
        <f t="shared" si="162"/>
        <v>0</v>
      </c>
      <c r="AY372" s="219">
        <f t="shared" si="163"/>
        <v>0</v>
      </c>
      <c r="AZ372" s="196">
        <f t="shared" si="164"/>
        <v>0</v>
      </c>
      <c r="BA372" s="219">
        <f t="shared" si="165"/>
        <v>0</v>
      </c>
      <c r="BB372" s="31">
        <f t="shared" si="166"/>
        <v>2.5</v>
      </c>
      <c r="BC372" s="219">
        <f t="shared" si="167"/>
        <v>2</v>
      </c>
      <c r="BD372" s="31">
        <f t="shared" si="168"/>
        <v>0</v>
      </c>
      <c r="BE372" s="219">
        <f t="shared" si="169"/>
        <v>0</v>
      </c>
      <c r="BF372" s="31">
        <f t="shared" si="170"/>
        <v>0</v>
      </c>
      <c r="BG372" s="219">
        <f t="shared" si="171"/>
        <v>0</v>
      </c>
      <c r="BH372" s="31">
        <f t="shared" si="172"/>
        <v>0</v>
      </c>
      <c r="BI372" s="219">
        <f t="shared" si="173"/>
        <v>0</v>
      </c>
      <c r="BJ372" s="31">
        <f t="shared" si="174"/>
        <v>0</v>
      </c>
      <c r="BK372" s="219">
        <f t="shared" si="175"/>
        <v>0</v>
      </c>
      <c r="BL372" s="31">
        <f t="shared" si="176"/>
        <v>0</v>
      </c>
      <c r="BM372" s="219">
        <f t="shared" si="177"/>
        <v>0</v>
      </c>
      <c r="BN372" s="31">
        <f t="shared" si="178"/>
        <v>0</v>
      </c>
      <c r="BO372" s="219">
        <f t="shared" si="179"/>
        <v>0</v>
      </c>
    </row>
    <row r="373" spans="1:67" x14ac:dyDescent="0.25">
      <c r="A373" s="31" t="s">
        <v>1802</v>
      </c>
      <c r="B373" s="176" t="str">
        <f>VLOOKUP(A373,kurspris!$A$1:$B$992,2,FALSE)</f>
        <v>Algebra</v>
      </c>
      <c r="C373" s="31">
        <v>75813</v>
      </c>
      <c r="D373" s="60" t="s">
        <v>482</v>
      </c>
      <c r="E373" s="60"/>
      <c r="F373" s="57" t="s">
        <v>2274</v>
      </c>
      <c r="H373" s="31" t="s">
        <v>2335</v>
      </c>
      <c r="I373" s="31" t="s">
        <v>2399</v>
      </c>
      <c r="J373" s="31" t="s">
        <v>2234</v>
      </c>
      <c r="L373" s="38"/>
      <c r="M373">
        <v>7.5</v>
      </c>
      <c r="P373" s="31">
        <v>1</v>
      </c>
      <c r="Q373" s="539">
        <v>0.125</v>
      </c>
      <c r="R373" s="38">
        <v>0.85</v>
      </c>
      <c r="S373" s="280">
        <f t="shared" si="152"/>
        <v>0.10625</v>
      </c>
      <c r="T373" s="31">
        <f>VLOOKUP(A373,'Ansvar kurs'!$A$1:$C$1123,2,FALSE)</f>
        <v>5730</v>
      </c>
      <c r="U373" s="31" t="str">
        <f>VLOOKUP(T373,Orgenheter!$A$1:$C$166,2,FALSE)</f>
        <v>Inst för MA och MA statistik</v>
      </c>
      <c r="V373" s="31" t="str">
        <f>VLOOKUP(T373,Orgenheter!$A$1:$C$166,3,FALSE)</f>
        <v>TekNat</v>
      </c>
      <c r="W373" s="35" t="str">
        <f>VLOOKUP(D373,Program!$A$1:$B$36,2,FALSE)</f>
        <v>Ämneslärarprogrammet - Gy</v>
      </c>
      <c r="X373" s="40">
        <f>VLOOKUP(A373,kurspris!$A$1:$Q$913,15,FALSE)</f>
        <v>20757</v>
      </c>
      <c r="Y373" s="40">
        <f>VLOOKUP(A373,kurspris!$A$1:$Q$913,16,FALSE)</f>
        <v>36082</v>
      </c>
      <c r="Z373" s="40">
        <f t="shared" si="153"/>
        <v>6428.3374999999996</v>
      </c>
      <c r="AA373" s="40">
        <f>VLOOKUP(A373,kurspris!$A$1:$Q$913,17,FALSE)</f>
        <v>22600</v>
      </c>
      <c r="AB373" s="40">
        <f t="shared" si="154"/>
        <v>2825</v>
      </c>
      <c r="AC373" s="40">
        <f t="shared" si="155"/>
        <v>9253.3374999999996</v>
      </c>
      <c r="AD373" s="31">
        <f>VLOOKUP($A373,kurspris!$A$1:$Q$950,3,FALSE)</f>
        <v>0</v>
      </c>
      <c r="AE373" s="31">
        <f>VLOOKUP($A373,kurspris!$A$1:$Q$950,4,FALSE)</f>
        <v>0</v>
      </c>
      <c r="AF373" s="31">
        <f>VLOOKUP($A373,kurspris!$A$1:$Q$950,5,FALSE)</f>
        <v>0</v>
      </c>
      <c r="AG373" s="31">
        <f>VLOOKUP($A373,kurspris!$A$1:$Q$950,6,FALSE)</f>
        <v>0</v>
      </c>
      <c r="AH373" s="31">
        <f>VLOOKUP($A373,kurspris!$A$1:$Q$950,7,FALSE)</f>
        <v>0</v>
      </c>
      <c r="AI373" s="31">
        <f>VLOOKUP($A373,kurspris!$A$1:$Q$950,8,FALSE)</f>
        <v>1</v>
      </c>
      <c r="AJ373" s="31">
        <f>VLOOKUP($A373,kurspris!$A$1:$Q$950,9,FALSE)</f>
        <v>0</v>
      </c>
      <c r="AK373" s="31">
        <f>VLOOKUP($A373,kurspris!$A$1:$Q$950,10,FALSE)</f>
        <v>0</v>
      </c>
      <c r="AL373" s="31">
        <f>VLOOKUP($A373,kurspris!$A$1:$Q$950,11,FALSE)</f>
        <v>0</v>
      </c>
      <c r="AM373" s="31">
        <f>VLOOKUP($A373,kurspris!$A$1:$Q$950,12,FALSE)</f>
        <v>0</v>
      </c>
      <c r="AN373" s="31">
        <f>VLOOKUP($A373,kurspris!$A$1:$Q$950,13,FALSE)</f>
        <v>0</v>
      </c>
      <c r="AO373" s="31">
        <f>VLOOKUP($A373,kurspris!$A$1:$Q$950,14,FALSE)</f>
        <v>0</v>
      </c>
      <c r="AP373" s="57" t="s">
        <v>2402</v>
      </c>
      <c r="AQ373"/>
      <c r="AR373" s="31">
        <f t="shared" si="156"/>
        <v>0</v>
      </c>
      <c r="AS373" s="219">
        <f t="shared" si="157"/>
        <v>0</v>
      </c>
      <c r="AT373" s="31">
        <f t="shared" si="158"/>
        <v>0</v>
      </c>
      <c r="AU373" s="219">
        <f t="shared" si="159"/>
        <v>0</v>
      </c>
      <c r="AV373" s="31">
        <f t="shared" si="160"/>
        <v>0</v>
      </c>
      <c r="AW373" s="31">
        <f t="shared" si="161"/>
        <v>0</v>
      </c>
      <c r="AX373" s="31">
        <f t="shared" si="162"/>
        <v>0</v>
      </c>
      <c r="AY373" s="219">
        <f t="shared" si="163"/>
        <v>0</v>
      </c>
      <c r="AZ373" s="196">
        <f t="shared" si="164"/>
        <v>0</v>
      </c>
      <c r="BA373" s="219">
        <f t="shared" si="165"/>
        <v>0</v>
      </c>
      <c r="BB373" s="31">
        <f t="shared" si="166"/>
        <v>0.125</v>
      </c>
      <c r="BC373" s="219">
        <f t="shared" si="167"/>
        <v>0.10625</v>
      </c>
      <c r="BD373" s="31">
        <f t="shared" si="168"/>
        <v>0</v>
      </c>
      <c r="BE373" s="219">
        <f t="shared" si="169"/>
        <v>0</v>
      </c>
      <c r="BF373" s="31">
        <f t="shared" si="170"/>
        <v>0</v>
      </c>
      <c r="BG373" s="219">
        <f t="shared" si="171"/>
        <v>0</v>
      </c>
      <c r="BH373" s="31">
        <f t="shared" si="172"/>
        <v>0</v>
      </c>
      <c r="BI373" s="219">
        <f t="shared" si="173"/>
        <v>0</v>
      </c>
      <c r="BJ373" s="31">
        <f t="shared" si="174"/>
        <v>0</v>
      </c>
      <c r="BK373" s="219">
        <f t="shared" si="175"/>
        <v>0</v>
      </c>
      <c r="BL373" s="31">
        <f t="shared" si="176"/>
        <v>0</v>
      </c>
      <c r="BM373" s="219">
        <f t="shared" si="177"/>
        <v>0</v>
      </c>
      <c r="BN373" s="31">
        <f t="shared" si="178"/>
        <v>0</v>
      </c>
      <c r="BO373" s="219">
        <f t="shared" si="179"/>
        <v>0</v>
      </c>
    </row>
    <row r="374" spans="1:67" x14ac:dyDescent="0.25">
      <c r="A374" s="31" t="s">
        <v>1802</v>
      </c>
      <c r="B374" s="176" t="str">
        <f>VLOOKUP(A374,kurspris!$A$1:$B$992,2,FALSE)</f>
        <v>Algebra</v>
      </c>
      <c r="C374" s="31">
        <v>75813</v>
      </c>
      <c r="D374" s="60" t="s">
        <v>482</v>
      </c>
      <c r="E374" s="60"/>
      <c r="F374" s="57" t="s">
        <v>2274</v>
      </c>
      <c r="H374" s="31" t="s">
        <v>2335</v>
      </c>
      <c r="I374" s="31" t="s">
        <v>2399</v>
      </c>
      <c r="J374" s="31" t="s">
        <v>2232</v>
      </c>
      <c r="L374" s="38"/>
      <c r="M374">
        <v>7.5</v>
      </c>
      <c r="P374" s="31">
        <v>2</v>
      </c>
      <c r="Q374" s="539">
        <v>0.25</v>
      </c>
      <c r="R374" s="38">
        <v>0.85</v>
      </c>
      <c r="S374" s="280">
        <f t="shared" si="152"/>
        <v>0.21249999999999999</v>
      </c>
      <c r="T374" s="31">
        <f>VLOOKUP(A374,'Ansvar kurs'!$A$1:$C$1123,2,FALSE)</f>
        <v>5730</v>
      </c>
      <c r="U374" s="31" t="str">
        <f>VLOOKUP(T374,Orgenheter!$A$1:$C$166,2,FALSE)</f>
        <v>Inst för MA och MA statistik</v>
      </c>
      <c r="V374" s="31" t="str">
        <f>VLOOKUP(T374,Orgenheter!$A$1:$C$166,3,FALSE)</f>
        <v>TekNat</v>
      </c>
      <c r="W374" s="35" t="str">
        <f>VLOOKUP(D374,Program!$A$1:$B$36,2,FALSE)</f>
        <v>Ämneslärarprogrammet - Gy</v>
      </c>
      <c r="X374" s="40">
        <f>VLOOKUP(A374,kurspris!$A$1:$Q$913,15,FALSE)</f>
        <v>20757</v>
      </c>
      <c r="Y374" s="40">
        <f>VLOOKUP(A374,kurspris!$A$1:$Q$913,16,FALSE)</f>
        <v>36082</v>
      </c>
      <c r="Z374" s="40">
        <f t="shared" si="153"/>
        <v>12856.674999999999</v>
      </c>
      <c r="AA374" s="40">
        <f>VLOOKUP(A374,kurspris!$A$1:$Q$913,17,FALSE)</f>
        <v>22600</v>
      </c>
      <c r="AB374" s="40">
        <f t="shared" si="154"/>
        <v>5650</v>
      </c>
      <c r="AC374" s="40">
        <f t="shared" si="155"/>
        <v>18506.674999999999</v>
      </c>
      <c r="AD374" s="31">
        <f>VLOOKUP($A374,kurspris!$A$1:$Q$950,3,FALSE)</f>
        <v>0</v>
      </c>
      <c r="AE374" s="31">
        <f>VLOOKUP($A374,kurspris!$A$1:$Q$950,4,FALSE)</f>
        <v>0</v>
      </c>
      <c r="AF374" s="31">
        <f>VLOOKUP($A374,kurspris!$A$1:$Q$950,5,FALSE)</f>
        <v>0</v>
      </c>
      <c r="AG374" s="31">
        <f>VLOOKUP($A374,kurspris!$A$1:$Q$950,6,FALSE)</f>
        <v>0</v>
      </c>
      <c r="AH374" s="31">
        <f>VLOOKUP($A374,kurspris!$A$1:$Q$950,7,FALSE)</f>
        <v>0</v>
      </c>
      <c r="AI374" s="31">
        <f>VLOOKUP($A374,kurspris!$A$1:$Q$950,8,FALSE)</f>
        <v>1</v>
      </c>
      <c r="AJ374" s="31">
        <f>VLOOKUP($A374,kurspris!$A$1:$Q$950,9,FALSE)</f>
        <v>0</v>
      </c>
      <c r="AK374" s="31">
        <f>VLOOKUP($A374,kurspris!$A$1:$Q$950,10,FALSE)</f>
        <v>0</v>
      </c>
      <c r="AL374" s="31">
        <f>VLOOKUP($A374,kurspris!$A$1:$Q$950,11,FALSE)</f>
        <v>0</v>
      </c>
      <c r="AM374" s="31">
        <f>VLOOKUP($A374,kurspris!$A$1:$Q$950,12,FALSE)</f>
        <v>0</v>
      </c>
      <c r="AN374" s="31">
        <f>VLOOKUP($A374,kurspris!$A$1:$Q$950,13,FALSE)</f>
        <v>0</v>
      </c>
      <c r="AO374" s="31">
        <f>VLOOKUP($A374,kurspris!$A$1:$Q$950,14,FALSE)</f>
        <v>0</v>
      </c>
      <c r="AP374" s="57" t="s">
        <v>2402</v>
      </c>
      <c r="AQ374"/>
      <c r="AR374" s="31">
        <f t="shared" si="156"/>
        <v>0</v>
      </c>
      <c r="AS374" s="219">
        <f t="shared" si="157"/>
        <v>0</v>
      </c>
      <c r="AT374" s="31">
        <f t="shared" si="158"/>
        <v>0</v>
      </c>
      <c r="AU374" s="219">
        <f t="shared" si="159"/>
        <v>0</v>
      </c>
      <c r="AV374" s="31">
        <f t="shared" si="160"/>
        <v>0</v>
      </c>
      <c r="AW374" s="31">
        <f t="shared" si="161"/>
        <v>0</v>
      </c>
      <c r="AX374" s="31">
        <f t="shared" si="162"/>
        <v>0</v>
      </c>
      <c r="AY374" s="219">
        <f t="shared" si="163"/>
        <v>0</v>
      </c>
      <c r="AZ374" s="196">
        <f t="shared" si="164"/>
        <v>0</v>
      </c>
      <c r="BA374" s="219">
        <f t="shared" si="165"/>
        <v>0</v>
      </c>
      <c r="BB374" s="31">
        <f t="shared" si="166"/>
        <v>0.25</v>
      </c>
      <c r="BC374" s="219">
        <f t="shared" si="167"/>
        <v>0.21249999999999999</v>
      </c>
      <c r="BD374" s="31">
        <f t="shared" si="168"/>
        <v>0</v>
      </c>
      <c r="BE374" s="219">
        <f t="shared" si="169"/>
        <v>0</v>
      </c>
      <c r="BF374" s="31">
        <f t="shared" si="170"/>
        <v>0</v>
      </c>
      <c r="BG374" s="219">
        <f t="shared" si="171"/>
        <v>0</v>
      </c>
      <c r="BH374" s="31">
        <f t="shared" si="172"/>
        <v>0</v>
      </c>
      <c r="BI374" s="219">
        <f t="shared" si="173"/>
        <v>0</v>
      </c>
      <c r="BJ374" s="31">
        <f t="shared" si="174"/>
        <v>0</v>
      </c>
      <c r="BK374" s="219">
        <f t="shared" si="175"/>
        <v>0</v>
      </c>
      <c r="BL374" s="31">
        <f t="shared" si="176"/>
        <v>0</v>
      </c>
      <c r="BM374" s="219">
        <f t="shared" si="177"/>
        <v>0</v>
      </c>
      <c r="BN374" s="31">
        <f t="shared" si="178"/>
        <v>0</v>
      </c>
      <c r="BO374" s="219">
        <f t="shared" si="179"/>
        <v>0</v>
      </c>
    </row>
    <row r="375" spans="1:67" x14ac:dyDescent="0.25">
      <c r="A375" s="31" t="s">
        <v>1802</v>
      </c>
      <c r="B375" s="176" t="str">
        <f>VLOOKUP(A375,kurspris!$A$1:$B$992,2,FALSE)</f>
        <v>Algebra</v>
      </c>
      <c r="C375" s="31">
        <v>75813</v>
      </c>
      <c r="D375" s="60" t="s">
        <v>482</v>
      </c>
      <c r="E375" s="60"/>
      <c r="F375" s="57" t="s">
        <v>2274</v>
      </c>
      <c r="H375" s="31" t="s">
        <v>2335</v>
      </c>
      <c r="I375" s="31" t="s">
        <v>2399</v>
      </c>
      <c r="J375" s="31" t="s">
        <v>2233</v>
      </c>
      <c r="L375" s="38"/>
      <c r="M375">
        <v>7.5</v>
      </c>
      <c r="P375" s="31">
        <v>23</v>
      </c>
      <c r="Q375" s="539">
        <v>2.875</v>
      </c>
      <c r="R375" s="38">
        <v>0.85</v>
      </c>
      <c r="S375" s="280">
        <f t="shared" si="152"/>
        <v>2.4437500000000001</v>
      </c>
      <c r="T375" s="31">
        <f>VLOOKUP(A375,'Ansvar kurs'!$A$1:$C$1123,2,FALSE)</f>
        <v>5730</v>
      </c>
      <c r="U375" s="31" t="str">
        <f>VLOOKUP(T375,Orgenheter!$A$1:$C$166,2,FALSE)</f>
        <v>Inst för MA och MA statistik</v>
      </c>
      <c r="V375" s="31" t="str">
        <f>VLOOKUP(T375,Orgenheter!$A$1:$C$166,3,FALSE)</f>
        <v>TekNat</v>
      </c>
      <c r="W375" s="35" t="str">
        <f>VLOOKUP(D375,Program!$A$1:$B$36,2,FALSE)</f>
        <v>Ämneslärarprogrammet - Gy</v>
      </c>
      <c r="X375" s="40">
        <f>VLOOKUP(A375,kurspris!$A$1:$Q$913,15,FALSE)</f>
        <v>20757</v>
      </c>
      <c r="Y375" s="40">
        <f>VLOOKUP(A375,kurspris!$A$1:$Q$913,16,FALSE)</f>
        <v>36082</v>
      </c>
      <c r="Z375" s="40">
        <f t="shared" si="153"/>
        <v>147851.76250000001</v>
      </c>
      <c r="AA375" s="40">
        <f>VLOOKUP(A375,kurspris!$A$1:$Q$913,17,FALSE)</f>
        <v>22600</v>
      </c>
      <c r="AB375" s="40">
        <f t="shared" si="154"/>
        <v>64975</v>
      </c>
      <c r="AC375" s="40">
        <f t="shared" si="155"/>
        <v>212826.76250000001</v>
      </c>
      <c r="AD375" s="31">
        <f>VLOOKUP($A375,kurspris!$A$1:$Q$950,3,FALSE)</f>
        <v>0</v>
      </c>
      <c r="AE375" s="31">
        <f>VLOOKUP($A375,kurspris!$A$1:$Q$950,4,FALSE)</f>
        <v>0</v>
      </c>
      <c r="AF375" s="31">
        <f>VLOOKUP($A375,kurspris!$A$1:$Q$950,5,FALSE)</f>
        <v>0</v>
      </c>
      <c r="AG375" s="31">
        <f>VLOOKUP($A375,kurspris!$A$1:$Q$950,6,FALSE)</f>
        <v>0</v>
      </c>
      <c r="AH375" s="31">
        <f>VLOOKUP($A375,kurspris!$A$1:$Q$950,7,FALSE)</f>
        <v>0</v>
      </c>
      <c r="AI375" s="31">
        <f>VLOOKUP($A375,kurspris!$A$1:$Q$950,8,FALSE)</f>
        <v>1</v>
      </c>
      <c r="AJ375" s="31">
        <f>VLOOKUP($A375,kurspris!$A$1:$Q$950,9,FALSE)</f>
        <v>0</v>
      </c>
      <c r="AK375" s="31">
        <f>VLOOKUP($A375,kurspris!$A$1:$Q$950,10,FALSE)</f>
        <v>0</v>
      </c>
      <c r="AL375" s="31">
        <f>VLOOKUP($A375,kurspris!$A$1:$Q$950,11,FALSE)</f>
        <v>0</v>
      </c>
      <c r="AM375" s="31">
        <f>VLOOKUP($A375,kurspris!$A$1:$Q$950,12,FALSE)</f>
        <v>0</v>
      </c>
      <c r="AN375" s="31">
        <f>VLOOKUP($A375,kurspris!$A$1:$Q$950,13,FALSE)</f>
        <v>0</v>
      </c>
      <c r="AO375" s="31">
        <f>VLOOKUP($A375,kurspris!$A$1:$Q$950,14,FALSE)</f>
        <v>0</v>
      </c>
      <c r="AP375" s="57" t="s">
        <v>2402</v>
      </c>
      <c r="AQ375"/>
      <c r="AR375" s="31">
        <f t="shared" si="156"/>
        <v>0</v>
      </c>
      <c r="AS375" s="219">
        <f t="shared" si="157"/>
        <v>0</v>
      </c>
      <c r="AT375" s="31">
        <f t="shared" si="158"/>
        <v>0</v>
      </c>
      <c r="AU375" s="219">
        <f t="shared" si="159"/>
        <v>0</v>
      </c>
      <c r="AV375" s="31">
        <f t="shared" si="160"/>
        <v>0</v>
      </c>
      <c r="AW375" s="31">
        <f t="shared" si="161"/>
        <v>0</v>
      </c>
      <c r="AX375" s="31">
        <f t="shared" si="162"/>
        <v>0</v>
      </c>
      <c r="AY375" s="219">
        <f t="shared" si="163"/>
        <v>0</v>
      </c>
      <c r="AZ375" s="196">
        <f t="shared" si="164"/>
        <v>0</v>
      </c>
      <c r="BA375" s="219">
        <f t="shared" si="165"/>
        <v>0</v>
      </c>
      <c r="BB375" s="31">
        <f t="shared" si="166"/>
        <v>2.875</v>
      </c>
      <c r="BC375" s="219">
        <f t="shared" si="167"/>
        <v>2.4437500000000001</v>
      </c>
      <c r="BD375" s="31">
        <f t="shared" si="168"/>
        <v>0</v>
      </c>
      <c r="BE375" s="219">
        <f t="shared" si="169"/>
        <v>0</v>
      </c>
      <c r="BF375" s="31">
        <f t="shared" si="170"/>
        <v>0</v>
      </c>
      <c r="BG375" s="219">
        <f t="shared" si="171"/>
        <v>0</v>
      </c>
      <c r="BH375" s="31">
        <f t="shared" si="172"/>
        <v>0</v>
      </c>
      <c r="BI375" s="219">
        <f t="shared" si="173"/>
        <v>0</v>
      </c>
      <c r="BJ375" s="31">
        <f t="shared" si="174"/>
        <v>0</v>
      </c>
      <c r="BK375" s="219">
        <f t="shared" si="175"/>
        <v>0</v>
      </c>
      <c r="BL375" s="31">
        <f t="shared" si="176"/>
        <v>0</v>
      </c>
      <c r="BM375" s="219">
        <f t="shared" si="177"/>
        <v>0</v>
      </c>
      <c r="BN375" s="31">
        <f t="shared" si="178"/>
        <v>0</v>
      </c>
      <c r="BO375" s="219">
        <f t="shared" si="179"/>
        <v>0</v>
      </c>
    </row>
    <row r="376" spans="1:67" x14ac:dyDescent="0.25">
      <c r="A376" s="31" t="s">
        <v>1802</v>
      </c>
      <c r="B376" s="176" t="str">
        <f>VLOOKUP(A376,kurspris!$A$1:$B$992,2,FALSE)</f>
        <v>Algebra</v>
      </c>
      <c r="C376" s="31">
        <v>75813</v>
      </c>
      <c r="D376" s="60" t="s">
        <v>482</v>
      </c>
      <c r="E376" s="60"/>
      <c r="F376" s="57" t="s">
        <v>2274</v>
      </c>
      <c r="H376" s="31" t="s">
        <v>2335</v>
      </c>
      <c r="I376" s="31" t="s">
        <v>2399</v>
      </c>
      <c r="J376" s="31" t="s">
        <v>2242</v>
      </c>
      <c r="L376" s="38"/>
      <c r="M376">
        <v>7.5</v>
      </c>
      <c r="P376" s="31">
        <v>1</v>
      </c>
      <c r="Q376" s="539">
        <v>0.125</v>
      </c>
      <c r="R376" s="38">
        <v>0.85</v>
      </c>
      <c r="S376" s="280">
        <f t="shared" si="152"/>
        <v>0.10625</v>
      </c>
      <c r="T376" s="31">
        <f>VLOOKUP(A376,'Ansvar kurs'!$A$1:$C$1123,2,FALSE)</f>
        <v>5730</v>
      </c>
      <c r="U376" s="31" t="str">
        <f>VLOOKUP(T376,Orgenheter!$A$1:$C$166,2,FALSE)</f>
        <v>Inst för MA och MA statistik</v>
      </c>
      <c r="V376" s="31" t="str">
        <f>VLOOKUP(T376,Orgenheter!$A$1:$C$166,3,FALSE)</f>
        <v>TekNat</v>
      </c>
      <c r="W376" s="35" t="str">
        <f>VLOOKUP(D376,Program!$A$1:$B$36,2,FALSE)</f>
        <v>Ämneslärarprogrammet - Gy</v>
      </c>
      <c r="X376" s="40">
        <f>VLOOKUP(A376,kurspris!$A$1:$Q$913,15,FALSE)</f>
        <v>20757</v>
      </c>
      <c r="Y376" s="40">
        <f>VLOOKUP(A376,kurspris!$A$1:$Q$913,16,FALSE)</f>
        <v>36082</v>
      </c>
      <c r="Z376" s="40">
        <f t="shared" si="153"/>
        <v>6428.3374999999996</v>
      </c>
      <c r="AA376" s="40">
        <f>VLOOKUP(A376,kurspris!$A$1:$Q$913,17,FALSE)</f>
        <v>22600</v>
      </c>
      <c r="AB376" s="40">
        <f t="shared" si="154"/>
        <v>2825</v>
      </c>
      <c r="AC376" s="40">
        <f t="shared" si="155"/>
        <v>9253.3374999999996</v>
      </c>
      <c r="AD376" s="31">
        <f>VLOOKUP($A376,kurspris!$A$1:$Q$950,3,FALSE)</f>
        <v>0</v>
      </c>
      <c r="AE376" s="31">
        <f>VLOOKUP($A376,kurspris!$A$1:$Q$950,4,FALSE)</f>
        <v>0</v>
      </c>
      <c r="AF376" s="31">
        <f>VLOOKUP($A376,kurspris!$A$1:$Q$950,5,FALSE)</f>
        <v>0</v>
      </c>
      <c r="AG376" s="31">
        <f>VLOOKUP($A376,kurspris!$A$1:$Q$950,6,FALSE)</f>
        <v>0</v>
      </c>
      <c r="AH376" s="31">
        <f>VLOOKUP($A376,kurspris!$A$1:$Q$950,7,FALSE)</f>
        <v>0</v>
      </c>
      <c r="AI376" s="31">
        <f>VLOOKUP($A376,kurspris!$A$1:$Q$950,8,FALSE)</f>
        <v>1</v>
      </c>
      <c r="AJ376" s="31">
        <f>VLOOKUP($A376,kurspris!$A$1:$Q$950,9,FALSE)</f>
        <v>0</v>
      </c>
      <c r="AK376" s="31">
        <f>VLOOKUP($A376,kurspris!$A$1:$Q$950,10,FALSE)</f>
        <v>0</v>
      </c>
      <c r="AL376" s="31">
        <f>VLOOKUP($A376,kurspris!$A$1:$Q$950,11,FALSE)</f>
        <v>0</v>
      </c>
      <c r="AM376" s="31">
        <f>VLOOKUP($A376,kurspris!$A$1:$Q$950,12,FALSE)</f>
        <v>0</v>
      </c>
      <c r="AN376" s="31">
        <f>VLOOKUP($A376,kurspris!$A$1:$Q$950,13,FALSE)</f>
        <v>0</v>
      </c>
      <c r="AO376" s="31">
        <f>VLOOKUP($A376,kurspris!$A$1:$Q$950,14,FALSE)</f>
        <v>0</v>
      </c>
      <c r="AP376" s="57" t="s">
        <v>2402</v>
      </c>
      <c r="AQ376"/>
      <c r="AR376" s="31">
        <f t="shared" si="156"/>
        <v>0</v>
      </c>
      <c r="AS376" s="219">
        <f t="shared" si="157"/>
        <v>0</v>
      </c>
      <c r="AT376" s="31">
        <f t="shared" si="158"/>
        <v>0</v>
      </c>
      <c r="AU376" s="219">
        <f t="shared" si="159"/>
        <v>0</v>
      </c>
      <c r="AV376" s="31">
        <f t="shared" si="160"/>
        <v>0</v>
      </c>
      <c r="AW376" s="31">
        <f t="shared" si="161"/>
        <v>0</v>
      </c>
      <c r="AX376" s="31">
        <f t="shared" si="162"/>
        <v>0</v>
      </c>
      <c r="AY376" s="219">
        <f t="shared" si="163"/>
        <v>0</v>
      </c>
      <c r="AZ376" s="196">
        <f t="shared" si="164"/>
        <v>0</v>
      </c>
      <c r="BA376" s="219">
        <f t="shared" si="165"/>
        <v>0</v>
      </c>
      <c r="BB376" s="31">
        <f t="shared" si="166"/>
        <v>0.125</v>
      </c>
      <c r="BC376" s="219">
        <f t="shared" si="167"/>
        <v>0.10625</v>
      </c>
      <c r="BD376" s="31">
        <f t="shared" si="168"/>
        <v>0</v>
      </c>
      <c r="BE376" s="219">
        <f t="shared" si="169"/>
        <v>0</v>
      </c>
      <c r="BF376" s="31">
        <f t="shared" si="170"/>
        <v>0</v>
      </c>
      <c r="BG376" s="219">
        <f t="shared" si="171"/>
        <v>0</v>
      </c>
      <c r="BH376" s="31">
        <f t="shared" si="172"/>
        <v>0</v>
      </c>
      <c r="BI376" s="219">
        <f t="shared" si="173"/>
        <v>0</v>
      </c>
      <c r="BJ376" s="31">
        <f t="shared" si="174"/>
        <v>0</v>
      </c>
      <c r="BK376" s="219">
        <f t="shared" si="175"/>
        <v>0</v>
      </c>
      <c r="BL376" s="31">
        <f t="shared" si="176"/>
        <v>0</v>
      </c>
      <c r="BM376" s="219">
        <f t="shared" si="177"/>
        <v>0</v>
      </c>
      <c r="BN376" s="31">
        <f t="shared" si="178"/>
        <v>0</v>
      </c>
      <c r="BO376" s="219">
        <f t="shared" si="179"/>
        <v>0</v>
      </c>
    </row>
    <row r="377" spans="1:67" x14ac:dyDescent="0.25">
      <c r="A377" s="31" t="s">
        <v>1803</v>
      </c>
      <c r="B377" s="176" t="str">
        <f>VLOOKUP(A377,kurspris!$A$1:$B$992,2,FALSE)</f>
        <v>Envariabelanalys 1</v>
      </c>
      <c r="C377" s="31">
        <v>75816</v>
      </c>
      <c r="D377" s="60" t="s">
        <v>117</v>
      </c>
      <c r="E377" s="60"/>
      <c r="F377" s="57" t="s">
        <v>2274</v>
      </c>
      <c r="H377" s="31" t="s">
        <v>2335</v>
      </c>
      <c r="I377" s="31" t="s">
        <v>2399</v>
      </c>
      <c r="L377" s="38"/>
      <c r="M377">
        <v>7.5</v>
      </c>
      <c r="P377" s="31">
        <v>14</v>
      </c>
      <c r="Q377" s="539">
        <v>1.75</v>
      </c>
      <c r="R377" s="38">
        <v>0.8</v>
      </c>
      <c r="S377" s="280">
        <f t="shared" si="152"/>
        <v>1.4000000000000001</v>
      </c>
      <c r="T377" s="31">
        <f>VLOOKUP(A377,'Ansvar kurs'!$A$1:$C$1123,2,FALSE)</f>
        <v>5730</v>
      </c>
      <c r="U377" s="31" t="str">
        <f>VLOOKUP(T377,Orgenheter!$A$1:$C$166,2,FALSE)</f>
        <v>Inst för MA och MA statistik</v>
      </c>
      <c r="V377" s="31" t="str">
        <f>VLOOKUP(T377,Orgenheter!$A$1:$C$166,3,FALSE)</f>
        <v>TekNat</v>
      </c>
      <c r="W377" s="35" t="str">
        <f>VLOOKUP(D377,Program!$A$1:$B$36,2,FALSE)</f>
        <v>Fristående och övriga kurser</v>
      </c>
      <c r="X377" s="40">
        <f>VLOOKUP(A377,kurspris!$A$1:$Q$913,15,FALSE)</f>
        <v>20757</v>
      </c>
      <c r="Y377" s="40">
        <f>VLOOKUP(A377,kurspris!$A$1:$Q$913,16,FALSE)</f>
        <v>36082</v>
      </c>
      <c r="Z377" s="40">
        <f t="shared" si="153"/>
        <v>86839.55</v>
      </c>
      <c r="AA377" s="40">
        <f>VLOOKUP(A377,kurspris!$A$1:$Q$913,17,FALSE)</f>
        <v>22600</v>
      </c>
      <c r="AB377" s="40">
        <f t="shared" si="154"/>
        <v>39550</v>
      </c>
      <c r="AC377" s="40">
        <f t="shared" si="155"/>
        <v>126389.55</v>
      </c>
      <c r="AD377" s="31">
        <f>VLOOKUP($A377,kurspris!$A$1:$Q$950,3,FALSE)</f>
        <v>0</v>
      </c>
      <c r="AE377" s="31">
        <f>VLOOKUP($A377,kurspris!$A$1:$Q$950,4,FALSE)</f>
        <v>0</v>
      </c>
      <c r="AF377" s="31">
        <f>VLOOKUP($A377,kurspris!$A$1:$Q$950,5,FALSE)</f>
        <v>0</v>
      </c>
      <c r="AG377" s="31">
        <f>VLOOKUP($A377,kurspris!$A$1:$Q$950,6,FALSE)</f>
        <v>0</v>
      </c>
      <c r="AH377" s="31">
        <f>VLOOKUP($A377,kurspris!$A$1:$Q$950,7,FALSE)</f>
        <v>0</v>
      </c>
      <c r="AI377" s="31">
        <f>VLOOKUP($A377,kurspris!$A$1:$Q$950,8,FALSE)</f>
        <v>0.5</v>
      </c>
      <c r="AJ377" s="31">
        <f>VLOOKUP($A377,kurspris!$A$1:$Q$950,9,FALSE)</f>
        <v>0</v>
      </c>
      <c r="AK377" s="31">
        <f>VLOOKUP($A377,kurspris!$A$1:$Q$950,10,FALSE)</f>
        <v>0.5</v>
      </c>
      <c r="AL377" s="31">
        <f>VLOOKUP($A377,kurspris!$A$1:$Q$950,11,FALSE)</f>
        <v>0</v>
      </c>
      <c r="AM377" s="31">
        <f>VLOOKUP($A377,kurspris!$A$1:$Q$950,12,FALSE)</f>
        <v>0</v>
      </c>
      <c r="AN377" s="31">
        <f>VLOOKUP($A377,kurspris!$A$1:$Q$950,13,FALSE)</f>
        <v>0</v>
      </c>
      <c r="AO377" s="31">
        <f>VLOOKUP($A377,kurspris!$A$1:$Q$950,14,FALSE)</f>
        <v>0</v>
      </c>
      <c r="AP377" s="57" t="s">
        <v>2402</v>
      </c>
      <c r="AQ377"/>
      <c r="AR377" s="31">
        <f t="shared" si="156"/>
        <v>0</v>
      </c>
      <c r="AS377" s="219">
        <f t="shared" si="157"/>
        <v>0</v>
      </c>
      <c r="AT377" s="31">
        <f t="shared" si="158"/>
        <v>0</v>
      </c>
      <c r="AU377" s="219">
        <f t="shared" si="159"/>
        <v>0</v>
      </c>
      <c r="AV377" s="31">
        <f t="shared" si="160"/>
        <v>0</v>
      </c>
      <c r="AW377" s="31">
        <f t="shared" si="161"/>
        <v>0</v>
      </c>
      <c r="AX377" s="31">
        <f t="shared" si="162"/>
        <v>0</v>
      </c>
      <c r="AY377" s="219">
        <f t="shared" si="163"/>
        <v>0</v>
      </c>
      <c r="AZ377" s="196">
        <f t="shared" si="164"/>
        <v>0</v>
      </c>
      <c r="BA377" s="219">
        <f t="shared" si="165"/>
        <v>0</v>
      </c>
      <c r="BB377" s="31">
        <f t="shared" si="166"/>
        <v>0.875</v>
      </c>
      <c r="BC377" s="219">
        <f t="shared" si="167"/>
        <v>0.70000000000000007</v>
      </c>
      <c r="BD377" s="31">
        <f t="shared" si="168"/>
        <v>0</v>
      </c>
      <c r="BE377" s="219">
        <f t="shared" si="169"/>
        <v>0</v>
      </c>
      <c r="BF377" s="31">
        <f t="shared" si="170"/>
        <v>0.875</v>
      </c>
      <c r="BG377" s="219">
        <f t="shared" si="171"/>
        <v>0.70000000000000007</v>
      </c>
      <c r="BH377" s="31">
        <f t="shared" si="172"/>
        <v>0</v>
      </c>
      <c r="BI377" s="219">
        <f t="shared" si="173"/>
        <v>0</v>
      </c>
      <c r="BJ377" s="31">
        <f t="shared" si="174"/>
        <v>0</v>
      </c>
      <c r="BK377" s="219">
        <f t="shared" si="175"/>
        <v>0</v>
      </c>
      <c r="BL377" s="31">
        <f t="shared" si="176"/>
        <v>0</v>
      </c>
      <c r="BM377" s="219">
        <f t="shared" si="177"/>
        <v>0</v>
      </c>
      <c r="BN377" s="31">
        <f t="shared" si="178"/>
        <v>0</v>
      </c>
      <c r="BO377" s="219">
        <f t="shared" si="179"/>
        <v>0</v>
      </c>
    </row>
    <row r="378" spans="1:67" x14ac:dyDescent="0.25">
      <c r="A378" s="31" t="s">
        <v>1803</v>
      </c>
      <c r="B378" s="176" t="str">
        <f>VLOOKUP(A378,kurspris!$A$1:$B$992,2,FALSE)</f>
        <v>Envariabelanalys 1</v>
      </c>
      <c r="C378" s="31">
        <v>75816</v>
      </c>
      <c r="D378" s="31" t="s">
        <v>482</v>
      </c>
      <c r="F378" s="57" t="s">
        <v>2274</v>
      </c>
      <c r="H378" s="31" t="s">
        <v>2335</v>
      </c>
      <c r="I378" s="31" t="s">
        <v>2399</v>
      </c>
      <c r="J378" s="31" t="s">
        <v>2234</v>
      </c>
      <c r="L378" s="38"/>
      <c r="M378">
        <v>7.5</v>
      </c>
      <c r="P378" s="31">
        <v>1</v>
      </c>
      <c r="Q378" s="539">
        <v>0.125</v>
      </c>
      <c r="R378" s="38">
        <v>0.85</v>
      </c>
      <c r="S378" s="280">
        <f t="shared" si="152"/>
        <v>0.10625</v>
      </c>
      <c r="T378" s="31">
        <f>VLOOKUP(A378,'Ansvar kurs'!$A$1:$C$1123,2,FALSE)</f>
        <v>5730</v>
      </c>
      <c r="U378" s="31" t="str">
        <f>VLOOKUP(T378,Orgenheter!$A$1:$C$166,2,FALSE)</f>
        <v>Inst för MA och MA statistik</v>
      </c>
      <c r="V378" s="31" t="str">
        <f>VLOOKUP(T378,Orgenheter!$A$1:$C$166,3,FALSE)</f>
        <v>TekNat</v>
      </c>
      <c r="W378" s="35" t="str">
        <f>VLOOKUP(D378,Program!$A$1:$B$36,2,FALSE)</f>
        <v>Ämneslärarprogrammet - Gy</v>
      </c>
      <c r="X378" s="40">
        <f>VLOOKUP(A378,kurspris!$A$1:$Q$913,15,FALSE)</f>
        <v>20757</v>
      </c>
      <c r="Y378" s="40">
        <f>VLOOKUP(A378,kurspris!$A$1:$Q$913,16,FALSE)</f>
        <v>36082</v>
      </c>
      <c r="Z378" s="40">
        <f t="shared" si="153"/>
        <v>6428.3374999999996</v>
      </c>
      <c r="AA378" s="40">
        <f>VLOOKUP(A378,kurspris!$A$1:$Q$913,17,FALSE)</f>
        <v>22600</v>
      </c>
      <c r="AB378" s="40">
        <f t="shared" si="154"/>
        <v>2825</v>
      </c>
      <c r="AC378" s="40">
        <f t="shared" si="155"/>
        <v>9253.3374999999996</v>
      </c>
      <c r="AD378" s="31">
        <f>VLOOKUP($A378,kurspris!$A$1:$Q$950,3,FALSE)</f>
        <v>0</v>
      </c>
      <c r="AE378" s="31">
        <f>VLOOKUP($A378,kurspris!$A$1:$Q$950,4,FALSE)</f>
        <v>0</v>
      </c>
      <c r="AF378" s="31">
        <f>VLOOKUP($A378,kurspris!$A$1:$Q$950,5,FALSE)</f>
        <v>0</v>
      </c>
      <c r="AG378" s="31">
        <f>VLOOKUP($A378,kurspris!$A$1:$Q$950,6,FALSE)</f>
        <v>0</v>
      </c>
      <c r="AH378" s="31">
        <f>VLOOKUP($A378,kurspris!$A$1:$Q$950,7,FALSE)</f>
        <v>0</v>
      </c>
      <c r="AI378" s="31">
        <f>VLOOKUP($A378,kurspris!$A$1:$Q$950,8,FALSE)</f>
        <v>0.5</v>
      </c>
      <c r="AJ378" s="31">
        <f>VLOOKUP($A378,kurspris!$A$1:$Q$950,9,FALSE)</f>
        <v>0</v>
      </c>
      <c r="AK378" s="31">
        <f>VLOOKUP($A378,kurspris!$A$1:$Q$950,10,FALSE)</f>
        <v>0.5</v>
      </c>
      <c r="AL378" s="31">
        <f>VLOOKUP($A378,kurspris!$A$1:$Q$950,11,FALSE)</f>
        <v>0</v>
      </c>
      <c r="AM378" s="31">
        <f>VLOOKUP($A378,kurspris!$A$1:$Q$950,12,FALSE)</f>
        <v>0</v>
      </c>
      <c r="AN378" s="31">
        <f>VLOOKUP($A378,kurspris!$A$1:$Q$950,13,FALSE)</f>
        <v>0</v>
      </c>
      <c r="AO378" s="31">
        <f>VLOOKUP($A378,kurspris!$A$1:$Q$950,14,FALSE)</f>
        <v>0</v>
      </c>
      <c r="AP378" s="57" t="s">
        <v>2402</v>
      </c>
      <c r="AQ378" s="37"/>
      <c r="AR378" s="31">
        <f t="shared" si="156"/>
        <v>0</v>
      </c>
      <c r="AS378" s="219">
        <f t="shared" si="157"/>
        <v>0</v>
      </c>
      <c r="AT378" s="31">
        <f t="shared" si="158"/>
        <v>0</v>
      </c>
      <c r="AU378" s="219">
        <f t="shared" si="159"/>
        <v>0</v>
      </c>
      <c r="AV378" s="31">
        <f t="shared" si="160"/>
        <v>0</v>
      </c>
      <c r="AW378" s="31">
        <f t="shared" si="161"/>
        <v>0</v>
      </c>
      <c r="AX378" s="31">
        <f t="shared" si="162"/>
        <v>0</v>
      </c>
      <c r="AY378" s="219">
        <f t="shared" si="163"/>
        <v>0</v>
      </c>
      <c r="AZ378" s="196">
        <f t="shared" si="164"/>
        <v>0</v>
      </c>
      <c r="BA378" s="219">
        <f t="shared" si="165"/>
        <v>0</v>
      </c>
      <c r="BB378" s="31">
        <f t="shared" si="166"/>
        <v>6.25E-2</v>
      </c>
      <c r="BC378" s="219">
        <f t="shared" si="167"/>
        <v>5.3124999999999999E-2</v>
      </c>
      <c r="BD378" s="31">
        <f t="shared" si="168"/>
        <v>0</v>
      </c>
      <c r="BE378" s="219">
        <f t="shared" si="169"/>
        <v>0</v>
      </c>
      <c r="BF378" s="31">
        <f t="shared" si="170"/>
        <v>6.25E-2</v>
      </c>
      <c r="BG378" s="219">
        <f t="shared" si="171"/>
        <v>5.3124999999999999E-2</v>
      </c>
      <c r="BH378" s="31">
        <f t="shared" si="172"/>
        <v>0</v>
      </c>
      <c r="BI378" s="219">
        <f t="shared" si="173"/>
        <v>0</v>
      </c>
      <c r="BJ378" s="31">
        <f t="shared" si="174"/>
        <v>0</v>
      </c>
      <c r="BK378" s="219">
        <f t="shared" si="175"/>
        <v>0</v>
      </c>
      <c r="BL378" s="31">
        <f t="shared" si="176"/>
        <v>0</v>
      </c>
      <c r="BM378" s="219">
        <f t="shared" si="177"/>
        <v>0</v>
      </c>
      <c r="BN378" s="31">
        <f t="shared" si="178"/>
        <v>0</v>
      </c>
      <c r="BO378" s="219">
        <f t="shared" si="179"/>
        <v>0</v>
      </c>
    </row>
    <row r="379" spans="1:67" x14ac:dyDescent="0.25">
      <c r="A379" s="31" t="s">
        <v>1803</v>
      </c>
      <c r="B379" s="176" t="str">
        <f>VLOOKUP(A379,kurspris!$A$1:$B$992,2,FALSE)</f>
        <v>Envariabelanalys 1</v>
      </c>
      <c r="C379" s="31">
        <v>75816</v>
      </c>
      <c r="D379" s="31" t="s">
        <v>482</v>
      </c>
      <c r="F379" s="57" t="s">
        <v>2274</v>
      </c>
      <c r="H379" s="31" t="s">
        <v>2335</v>
      </c>
      <c r="I379" s="31" t="s">
        <v>2399</v>
      </c>
      <c r="J379" s="31" t="s">
        <v>2232</v>
      </c>
      <c r="L379" s="38"/>
      <c r="M379">
        <v>7.5</v>
      </c>
      <c r="P379" s="31">
        <v>2</v>
      </c>
      <c r="Q379" s="539">
        <v>0.25</v>
      </c>
      <c r="R379" s="38">
        <v>0.85</v>
      </c>
      <c r="S379" s="280">
        <f t="shared" si="152"/>
        <v>0.21249999999999999</v>
      </c>
      <c r="T379" s="31">
        <f>VLOOKUP(A379,'Ansvar kurs'!$A$1:$C$1123,2,FALSE)</f>
        <v>5730</v>
      </c>
      <c r="U379" s="31" t="str">
        <f>VLOOKUP(T379,Orgenheter!$A$1:$C$166,2,FALSE)</f>
        <v>Inst för MA och MA statistik</v>
      </c>
      <c r="V379" s="31" t="str">
        <f>VLOOKUP(T379,Orgenheter!$A$1:$C$166,3,FALSE)</f>
        <v>TekNat</v>
      </c>
      <c r="W379" s="35" t="str">
        <f>VLOOKUP(D379,Program!$A$1:$B$36,2,FALSE)</f>
        <v>Ämneslärarprogrammet - Gy</v>
      </c>
      <c r="X379" s="40">
        <f>VLOOKUP(A379,kurspris!$A$1:$Q$913,15,FALSE)</f>
        <v>20757</v>
      </c>
      <c r="Y379" s="40">
        <f>VLOOKUP(A379,kurspris!$A$1:$Q$913,16,FALSE)</f>
        <v>36082</v>
      </c>
      <c r="Z379" s="40">
        <f t="shared" si="153"/>
        <v>12856.674999999999</v>
      </c>
      <c r="AA379" s="40">
        <f>VLOOKUP(A379,kurspris!$A$1:$Q$913,17,FALSE)</f>
        <v>22600</v>
      </c>
      <c r="AB379" s="40">
        <f t="shared" si="154"/>
        <v>5650</v>
      </c>
      <c r="AC379" s="40">
        <f t="shared" si="155"/>
        <v>18506.674999999999</v>
      </c>
      <c r="AD379" s="31">
        <f>VLOOKUP($A379,kurspris!$A$1:$Q$950,3,FALSE)</f>
        <v>0</v>
      </c>
      <c r="AE379" s="31">
        <f>VLOOKUP($A379,kurspris!$A$1:$Q$950,4,FALSE)</f>
        <v>0</v>
      </c>
      <c r="AF379" s="31">
        <f>VLOOKUP($A379,kurspris!$A$1:$Q$950,5,FALSE)</f>
        <v>0</v>
      </c>
      <c r="AG379" s="31">
        <f>VLOOKUP($A379,kurspris!$A$1:$Q$950,6,FALSE)</f>
        <v>0</v>
      </c>
      <c r="AH379" s="31">
        <f>VLOOKUP($A379,kurspris!$A$1:$Q$950,7,FALSE)</f>
        <v>0</v>
      </c>
      <c r="AI379" s="31">
        <f>VLOOKUP($A379,kurspris!$A$1:$Q$950,8,FALSE)</f>
        <v>0.5</v>
      </c>
      <c r="AJ379" s="31">
        <f>VLOOKUP($A379,kurspris!$A$1:$Q$950,9,FALSE)</f>
        <v>0</v>
      </c>
      <c r="AK379" s="31">
        <f>VLOOKUP($A379,kurspris!$A$1:$Q$950,10,FALSE)</f>
        <v>0.5</v>
      </c>
      <c r="AL379" s="31">
        <f>VLOOKUP($A379,kurspris!$A$1:$Q$950,11,FALSE)</f>
        <v>0</v>
      </c>
      <c r="AM379" s="31">
        <f>VLOOKUP($A379,kurspris!$A$1:$Q$950,12,FALSE)</f>
        <v>0</v>
      </c>
      <c r="AN379" s="31">
        <f>VLOOKUP($A379,kurspris!$A$1:$Q$950,13,FALSE)</f>
        <v>0</v>
      </c>
      <c r="AO379" s="31">
        <f>VLOOKUP($A379,kurspris!$A$1:$Q$950,14,FALSE)</f>
        <v>0</v>
      </c>
      <c r="AP379" s="57" t="s">
        <v>2402</v>
      </c>
      <c r="AQ379" s="37"/>
      <c r="AR379" s="31">
        <f t="shared" si="156"/>
        <v>0</v>
      </c>
      <c r="AS379" s="219">
        <f t="shared" si="157"/>
        <v>0</v>
      </c>
      <c r="AT379" s="31">
        <f t="shared" si="158"/>
        <v>0</v>
      </c>
      <c r="AU379" s="219">
        <f t="shared" si="159"/>
        <v>0</v>
      </c>
      <c r="AV379" s="31">
        <f t="shared" si="160"/>
        <v>0</v>
      </c>
      <c r="AW379" s="31">
        <f t="shared" si="161"/>
        <v>0</v>
      </c>
      <c r="AX379" s="31">
        <f t="shared" si="162"/>
        <v>0</v>
      </c>
      <c r="AY379" s="219">
        <f t="shared" si="163"/>
        <v>0</v>
      </c>
      <c r="AZ379" s="196">
        <f t="shared" si="164"/>
        <v>0</v>
      </c>
      <c r="BA379" s="219">
        <f t="shared" si="165"/>
        <v>0</v>
      </c>
      <c r="BB379" s="31">
        <f t="shared" si="166"/>
        <v>0.125</v>
      </c>
      <c r="BC379" s="219">
        <f t="shared" si="167"/>
        <v>0.10625</v>
      </c>
      <c r="BD379" s="31">
        <f t="shared" si="168"/>
        <v>0</v>
      </c>
      <c r="BE379" s="219">
        <f t="shared" si="169"/>
        <v>0</v>
      </c>
      <c r="BF379" s="31">
        <f t="shared" si="170"/>
        <v>0.125</v>
      </c>
      <c r="BG379" s="219">
        <f t="shared" si="171"/>
        <v>0.10625</v>
      </c>
      <c r="BH379" s="31">
        <f t="shared" si="172"/>
        <v>0</v>
      </c>
      <c r="BI379" s="219">
        <f t="shared" si="173"/>
        <v>0</v>
      </c>
      <c r="BJ379" s="31">
        <f t="shared" si="174"/>
        <v>0</v>
      </c>
      <c r="BK379" s="219">
        <f t="shared" si="175"/>
        <v>0</v>
      </c>
      <c r="BL379" s="31">
        <f t="shared" si="176"/>
        <v>0</v>
      </c>
      <c r="BM379" s="219">
        <f t="shared" si="177"/>
        <v>0</v>
      </c>
      <c r="BN379" s="31">
        <f t="shared" si="178"/>
        <v>0</v>
      </c>
      <c r="BO379" s="219">
        <f t="shared" si="179"/>
        <v>0</v>
      </c>
    </row>
    <row r="380" spans="1:67" x14ac:dyDescent="0.25">
      <c r="A380" s="31" t="s">
        <v>1803</v>
      </c>
      <c r="B380" s="176" t="str">
        <f>VLOOKUP(A380,kurspris!$A$1:$B$992,2,FALSE)</f>
        <v>Envariabelanalys 1</v>
      </c>
      <c r="C380" s="31">
        <v>75816</v>
      </c>
      <c r="D380" s="60" t="s">
        <v>482</v>
      </c>
      <c r="E380" s="60"/>
      <c r="F380" s="57" t="s">
        <v>2274</v>
      </c>
      <c r="H380" s="31" t="s">
        <v>2335</v>
      </c>
      <c r="I380" s="31" t="s">
        <v>2399</v>
      </c>
      <c r="J380" s="31" t="s">
        <v>2233</v>
      </c>
      <c r="L380" s="38"/>
      <c r="M380">
        <v>7.5</v>
      </c>
      <c r="P380" s="31">
        <v>20</v>
      </c>
      <c r="Q380" s="539">
        <v>2.5</v>
      </c>
      <c r="R380" s="38">
        <v>0.85</v>
      </c>
      <c r="S380" s="280">
        <f t="shared" si="152"/>
        <v>2.125</v>
      </c>
      <c r="T380" s="31">
        <f>VLOOKUP(A380,'Ansvar kurs'!$A$1:$C$1123,2,FALSE)</f>
        <v>5730</v>
      </c>
      <c r="U380" s="31" t="str">
        <f>VLOOKUP(T380,Orgenheter!$A$1:$C$166,2,FALSE)</f>
        <v>Inst för MA och MA statistik</v>
      </c>
      <c r="V380" s="31" t="str">
        <f>VLOOKUP(T380,Orgenheter!$A$1:$C$166,3,FALSE)</f>
        <v>TekNat</v>
      </c>
      <c r="W380" s="35" t="str">
        <f>VLOOKUP(D380,Program!$A$1:$B$36,2,FALSE)</f>
        <v>Ämneslärarprogrammet - Gy</v>
      </c>
      <c r="X380" s="40">
        <f>VLOOKUP(A380,kurspris!$A$1:$Q$913,15,FALSE)</f>
        <v>20757</v>
      </c>
      <c r="Y380" s="40">
        <f>VLOOKUP(A380,kurspris!$A$1:$Q$913,16,FALSE)</f>
        <v>36082</v>
      </c>
      <c r="Z380" s="40">
        <f t="shared" si="153"/>
        <v>128566.75</v>
      </c>
      <c r="AA380" s="40">
        <f>VLOOKUP(A380,kurspris!$A$1:$Q$913,17,FALSE)</f>
        <v>22600</v>
      </c>
      <c r="AB380" s="40">
        <f t="shared" si="154"/>
        <v>56500</v>
      </c>
      <c r="AC380" s="40">
        <f t="shared" si="155"/>
        <v>185066.75</v>
      </c>
      <c r="AD380" s="31">
        <f>VLOOKUP($A380,kurspris!$A$1:$Q$950,3,FALSE)</f>
        <v>0</v>
      </c>
      <c r="AE380" s="31">
        <f>VLOOKUP($A380,kurspris!$A$1:$Q$950,4,FALSE)</f>
        <v>0</v>
      </c>
      <c r="AF380" s="31">
        <f>VLOOKUP($A380,kurspris!$A$1:$Q$950,5,FALSE)</f>
        <v>0</v>
      </c>
      <c r="AG380" s="31">
        <f>VLOOKUP($A380,kurspris!$A$1:$Q$950,6,FALSE)</f>
        <v>0</v>
      </c>
      <c r="AH380" s="31">
        <f>VLOOKUP($A380,kurspris!$A$1:$Q$950,7,FALSE)</f>
        <v>0</v>
      </c>
      <c r="AI380" s="31">
        <f>VLOOKUP($A380,kurspris!$A$1:$Q$950,8,FALSE)</f>
        <v>0.5</v>
      </c>
      <c r="AJ380" s="31">
        <f>VLOOKUP($A380,kurspris!$A$1:$Q$950,9,FALSE)</f>
        <v>0</v>
      </c>
      <c r="AK380" s="31">
        <f>VLOOKUP($A380,kurspris!$A$1:$Q$950,10,FALSE)</f>
        <v>0.5</v>
      </c>
      <c r="AL380" s="31">
        <f>VLOOKUP($A380,kurspris!$A$1:$Q$950,11,FALSE)</f>
        <v>0</v>
      </c>
      <c r="AM380" s="31">
        <f>VLOOKUP($A380,kurspris!$A$1:$Q$950,12,FALSE)</f>
        <v>0</v>
      </c>
      <c r="AN380" s="31">
        <f>VLOOKUP($A380,kurspris!$A$1:$Q$950,13,FALSE)</f>
        <v>0</v>
      </c>
      <c r="AO380" s="31">
        <f>VLOOKUP($A380,kurspris!$A$1:$Q$950,14,FALSE)</f>
        <v>0</v>
      </c>
      <c r="AP380" s="57" t="s">
        <v>2402</v>
      </c>
      <c r="AQ380"/>
      <c r="AR380" s="31">
        <f t="shared" si="156"/>
        <v>0</v>
      </c>
      <c r="AS380" s="219">
        <f t="shared" si="157"/>
        <v>0</v>
      </c>
      <c r="AT380" s="31">
        <f t="shared" si="158"/>
        <v>0</v>
      </c>
      <c r="AU380" s="219">
        <f t="shared" si="159"/>
        <v>0</v>
      </c>
      <c r="AV380" s="31">
        <f t="shared" si="160"/>
        <v>0</v>
      </c>
      <c r="AW380" s="31">
        <f t="shared" si="161"/>
        <v>0</v>
      </c>
      <c r="AX380" s="31">
        <f t="shared" si="162"/>
        <v>0</v>
      </c>
      <c r="AY380" s="219">
        <f t="shared" si="163"/>
        <v>0</v>
      </c>
      <c r="AZ380" s="196">
        <f t="shared" si="164"/>
        <v>0</v>
      </c>
      <c r="BA380" s="219">
        <f t="shared" si="165"/>
        <v>0</v>
      </c>
      <c r="BB380" s="31">
        <f t="shared" si="166"/>
        <v>1.25</v>
      </c>
      <c r="BC380" s="219">
        <f t="shared" si="167"/>
        <v>1.0625</v>
      </c>
      <c r="BD380" s="31">
        <f t="shared" si="168"/>
        <v>0</v>
      </c>
      <c r="BE380" s="219">
        <f t="shared" si="169"/>
        <v>0</v>
      </c>
      <c r="BF380" s="31">
        <f t="shared" si="170"/>
        <v>1.25</v>
      </c>
      <c r="BG380" s="219">
        <f t="shared" si="171"/>
        <v>1.0625</v>
      </c>
      <c r="BH380" s="31">
        <f t="shared" si="172"/>
        <v>0</v>
      </c>
      <c r="BI380" s="219">
        <f t="shared" si="173"/>
        <v>0</v>
      </c>
      <c r="BJ380" s="31">
        <f t="shared" si="174"/>
        <v>0</v>
      </c>
      <c r="BK380" s="219">
        <f t="shared" si="175"/>
        <v>0</v>
      </c>
      <c r="BL380" s="31">
        <f t="shared" si="176"/>
        <v>0</v>
      </c>
      <c r="BM380" s="219">
        <f t="shared" si="177"/>
        <v>0</v>
      </c>
      <c r="BN380" s="31">
        <f t="shared" si="178"/>
        <v>0</v>
      </c>
      <c r="BO380" s="219">
        <f t="shared" si="179"/>
        <v>0</v>
      </c>
    </row>
    <row r="381" spans="1:67" x14ac:dyDescent="0.25">
      <c r="A381" s="31" t="s">
        <v>1803</v>
      </c>
      <c r="B381" s="176" t="str">
        <f>VLOOKUP(A381,kurspris!$A$1:$B$992,2,FALSE)</f>
        <v>Envariabelanalys 1</v>
      </c>
      <c r="C381" s="31">
        <v>75816</v>
      </c>
      <c r="D381" s="60" t="s">
        <v>482</v>
      </c>
      <c r="E381" s="60"/>
      <c r="F381" s="57" t="s">
        <v>2274</v>
      </c>
      <c r="H381" s="31" t="s">
        <v>2335</v>
      </c>
      <c r="I381" s="31" t="s">
        <v>2399</v>
      </c>
      <c r="J381" s="31" t="s">
        <v>2242</v>
      </c>
      <c r="L381" s="38"/>
      <c r="M381">
        <v>7.5</v>
      </c>
      <c r="P381" s="31">
        <v>1</v>
      </c>
      <c r="Q381" s="539">
        <v>0.125</v>
      </c>
      <c r="R381" s="38">
        <v>0.85</v>
      </c>
      <c r="S381" s="280">
        <f t="shared" si="152"/>
        <v>0.10625</v>
      </c>
      <c r="T381" s="31">
        <f>VLOOKUP(A381,'Ansvar kurs'!$A$1:$C$1123,2,FALSE)</f>
        <v>5730</v>
      </c>
      <c r="U381" s="31" t="str">
        <f>VLOOKUP(T381,Orgenheter!$A$1:$C$166,2,FALSE)</f>
        <v>Inst för MA och MA statistik</v>
      </c>
      <c r="V381" s="31" t="str">
        <f>VLOOKUP(T381,Orgenheter!$A$1:$C$166,3,FALSE)</f>
        <v>TekNat</v>
      </c>
      <c r="W381" s="35" t="str">
        <f>VLOOKUP(D381,Program!$A$1:$B$36,2,FALSE)</f>
        <v>Ämneslärarprogrammet - Gy</v>
      </c>
      <c r="X381" s="40">
        <f>VLOOKUP(A381,kurspris!$A$1:$Q$913,15,FALSE)</f>
        <v>20757</v>
      </c>
      <c r="Y381" s="40">
        <f>VLOOKUP(A381,kurspris!$A$1:$Q$913,16,FALSE)</f>
        <v>36082</v>
      </c>
      <c r="Z381" s="40">
        <f t="shared" si="153"/>
        <v>6428.3374999999996</v>
      </c>
      <c r="AA381" s="40">
        <f>VLOOKUP(A381,kurspris!$A$1:$Q$913,17,FALSE)</f>
        <v>22600</v>
      </c>
      <c r="AB381" s="40">
        <f t="shared" si="154"/>
        <v>2825</v>
      </c>
      <c r="AC381" s="40">
        <f t="shared" si="155"/>
        <v>9253.3374999999996</v>
      </c>
      <c r="AD381" s="31">
        <f>VLOOKUP($A381,kurspris!$A$1:$Q$950,3,FALSE)</f>
        <v>0</v>
      </c>
      <c r="AE381" s="31">
        <f>VLOOKUP($A381,kurspris!$A$1:$Q$950,4,FALSE)</f>
        <v>0</v>
      </c>
      <c r="AF381" s="31">
        <f>VLOOKUP($A381,kurspris!$A$1:$Q$950,5,FALSE)</f>
        <v>0</v>
      </c>
      <c r="AG381" s="31">
        <f>VLOOKUP($A381,kurspris!$A$1:$Q$950,6,FALSE)</f>
        <v>0</v>
      </c>
      <c r="AH381" s="31">
        <f>VLOOKUP($A381,kurspris!$A$1:$Q$950,7,FALSE)</f>
        <v>0</v>
      </c>
      <c r="AI381" s="31">
        <f>VLOOKUP($A381,kurspris!$A$1:$Q$950,8,FALSE)</f>
        <v>0.5</v>
      </c>
      <c r="AJ381" s="31">
        <f>VLOOKUP($A381,kurspris!$A$1:$Q$950,9,FALSE)</f>
        <v>0</v>
      </c>
      <c r="AK381" s="31">
        <f>VLOOKUP($A381,kurspris!$A$1:$Q$950,10,FALSE)</f>
        <v>0.5</v>
      </c>
      <c r="AL381" s="31">
        <f>VLOOKUP($A381,kurspris!$A$1:$Q$950,11,FALSE)</f>
        <v>0</v>
      </c>
      <c r="AM381" s="31">
        <f>VLOOKUP($A381,kurspris!$A$1:$Q$950,12,FALSE)</f>
        <v>0</v>
      </c>
      <c r="AN381" s="31">
        <f>VLOOKUP($A381,kurspris!$A$1:$Q$950,13,FALSE)</f>
        <v>0</v>
      </c>
      <c r="AO381" s="31">
        <f>VLOOKUP($A381,kurspris!$A$1:$Q$950,14,FALSE)</f>
        <v>0</v>
      </c>
      <c r="AP381" s="57" t="s">
        <v>2402</v>
      </c>
      <c r="AQ381"/>
      <c r="AR381" s="31">
        <f t="shared" si="156"/>
        <v>0</v>
      </c>
      <c r="AS381" s="219">
        <f t="shared" si="157"/>
        <v>0</v>
      </c>
      <c r="AT381" s="31">
        <f t="shared" si="158"/>
        <v>0</v>
      </c>
      <c r="AU381" s="219">
        <f t="shared" si="159"/>
        <v>0</v>
      </c>
      <c r="AV381" s="31">
        <f t="shared" si="160"/>
        <v>0</v>
      </c>
      <c r="AW381" s="31">
        <f t="shared" si="161"/>
        <v>0</v>
      </c>
      <c r="AX381" s="31">
        <f t="shared" si="162"/>
        <v>0</v>
      </c>
      <c r="AY381" s="219">
        <f t="shared" si="163"/>
        <v>0</v>
      </c>
      <c r="AZ381" s="196">
        <f t="shared" si="164"/>
        <v>0</v>
      </c>
      <c r="BA381" s="219">
        <f t="shared" si="165"/>
        <v>0</v>
      </c>
      <c r="BB381" s="31">
        <f t="shared" si="166"/>
        <v>6.25E-2</v>
      </c>
      <c r="BC381" s="219">
        <f t="shared" si="167"/>
        <v>5.3124999999999999E-2</v>
      </c>
      <c r="BD381" s="31">
        <f t="shared" si="168"/>
        <v>0</v>
      </c>
      <c r="BE381" s="219">
        <f t="shared" si="169"/>
        <v>0</v>
      </c>
      <c r="BF381" s="31">
        <f t="shared" si="170"/>
        <v>6.25E-2</v>
      </c>
      <c r="BG381" s="219">
        <f t="shared" si="171"/>
        <v>5.3124999999999999E-2</v>
      </c>
      <c r="BH381" s="31">
        <f t="shared" si="172"/>
        <v>0</v>
      </c>
      <c r="BI381" s="219">
        <f t="shared" si="173"/>
        <v>0</v>
      </c>
      <c r="BJ381" s="31">
        <f t="shared" si="174"/>
        <v>0</v>
      </c>
      <c r="BK381" s="219">
        <f t="shared" si="175"/>
        <v>0</v>
      </c>
      <c r="BL381" s="31">
        <f t="shared" si="176"/>
        <v>0</v>
      </c>
      <c r="BM381" s="219">
        <f t="shared" si="177"/>
        <v>0</v>
      </c>
      <c r="BN381" s="31">
        <f t="shared" si="178"/>
        <v>0</v>
      </c>
      <c r="BO381" s="219">
        <f t="shared" si="179"/>
        <v>0</v>
      </c>
    </row>
    <row r="382" spans="1:67" x14ac:dyDescent="0.25">
      <c r="A382" s="31" t="s">
        <v>1804</v>
      </c>
      <c r="B382" s="176" t="str">
        <f>VLOOKUP(A382,kurspris!$A$1:$B$992,2,FALSE)</f>
        <v>Matematiska metoder</v>
      </c>
      <c r="C382" s="31">
        <v>75808</v>
      </c>
      <c r="D382" s="60" t="s">
        <v>117</v>
      </c>
      <c r="E382" s="60"/>
      <c r="F382" s="57" t="s">
        <v>2274</v>
      </c>
      <c r="H382" s="31" t="s">
        <v>2335</v>
      </c>
      <c r="I382" s="31" t="s">
        <v>2399</v>
      </c>
      <c r="L382" s="38"/>
      <c r="M382">
        <v>7.5</v>
      </c>
      <c r="P382" s="31">
        <v>6</v>
      </c>
      <c r="Q382" s="539">
        <v>0.75</v>
      </c>
      <c r="R382" s="38">
        <v>0.8</v>
      </c>
      <c r="S382" s="280">
        <f t="shared" si="152"/>
        <v>0.60000000000000009</v>
      </c>
      <c r="T382" s="31">
        <f>VLOOKUP(A382,'Ansvar kurs'!$A$1:$C$1123,2,FALSE)</f>
        <v>5730</v>
      </c>
      <c r="U382" s="31" t="str">
        <f>VLOOKUP(T382,Orgenheter!$A$1:$C$166,2,FALSE)</f>
        <v>Inst för MA och MA statistik</v>
      </c>
      <c r="V382" s="31" t="str">
        <f>VLOOKUP(T382,Orgenheter!$A$1:$C$166,3,FALSE)</f>
        <v>TekNat</v>
      </c>
      <c r="W382" s="35" t="str">
        <f>VLOOKUP(D382,Program!$A$1:$B$36,2,FALSE)</f>
        <v>Fristående och övriga kurser</v>
      </c>
      <c r="X382" s="40">
        <f>VLOOKUP(A382,kurspris!$A$1:$Q$913,15,FALSE)</f>
        <v>20757</v>
      </c>
      <c r="Y382" s="40">
        <f>VLOOKUP(A382,kurspris!$A$1:$Q$913,16,FALSE)</f>
        <v>36082</v>
      </c>
      <c r="Z382" s="40">
        <f t="shared" si="153"/>
        <v>37216.950000000004</v>
      </c>
      <c r="AA382" s="40">
        <f>VLOOKUP(A382,kurspris!$A$1:$Q$913,17,FALSE)</f>
        <v>22600</v>
      </c>
      <c r="AB382" s="40">
        <f t="shared" si="154"/>
        <v>16950</v>
      </c>
      <c r="AC382" s="40">
        <f t="shared" si="155"/>
        <v>54166.950000000004</v>
      </c>
      <c r="AD382" s="31">
        <f>VLOOKUP($A382,kurspris!$A$1:$Q$950,3,FALSE)</f>
        <v>0</v>
      </c>
      <c r="AE382" s="31">
        <f>VLOOKUP($A382,kurspris!$A$1:$Q$950,4,FALSE)</f>
        <v>0</v>
      </c>
      <c r="AF382" s="31">
        <f>VLOOKUP($A382,kurspris!$A$1:$Q$950,5,FALSE)</f>
        <v>0</v>
      </c>
      <c r="AG382" s="31">
        <f>VLOOKUP($A382,kurspris!$A$1:$Q$950,6,FALSE)</f>
        <v>0</v>
      </c>
      <c r="AH382" s="31">
        <f>VLOOKUP($A382,kurspris!$A$1:$Q$950,7,FALSE)</f>
        <v>0</v>
      </c>
      <c r="AI382" s="31">
        <f>VLOOKUP($A382,kurspris!$A$1:$Q$950,8,FALSE)</f>
        <v>1</v>
      </c>
      <c r="AJ382" s="31">
        <f>VLOOKUP($A382,kurspris!$A$1:$Q$950,9,FALSE)</f>
        <v>0</v>
      </c>
      <c r="AK382" s="31">
        <f>VLOOKUP($A382,kurspris!$A$1:$Q$950,10,FALSE)</f>
        <v>0</v>
      </c>
      <c r="AL382" s="31">
        <f>VLOOKUP($A382,kurspris!$A$1:$Q$950,11,FALSE)</f>
        <v>0</v>
      </c>
      <c r="AM382" s="31">
        <f>VLOOKUP($A382,kurspris!$A$1:$Q$950,12,FALSE)</f>
        <v>0</v>
      </c>
      <c r="AN382" s="31">
        <f>VLOOKUP($A382,kurspris!$A$1:$Q$950,13,FALSE)</f>
        <v>0</v>
      </c>
      <c r="AO382" s="31">
        <f>VLOOKUP($A382,kurspris!$A$1:$Q$950,14,FALSE)</f>
        <v>0</v>
      </c>
      <c r="AP382" s="57" t="s">
        <v>2402</v>
      </c>
      <c r="AQ382"/>
      <c r="AR382" s="31">
        <f t="shared" si="156"/>
        <v>0</v>
      </c>
      <c r="AS382" s="219">
        <f t="shared" si="157"/>
        <v>0</v>
      </c>
      <c r="AT382" s="31">
        <f t="shared" si="158"/>
        <v>0</v>
      </c>
      <c r="AU382" s="219">
        <f t="shared" si="159"/>
        <v>0</v>
      </c>
      <c r="AV382" s="31">
        <f t="shared" si="160"/>
        <v>0</v>
      </c>
      <c r="AW382" s="31">
        <f t="shared" si="161"/>
        <v>0</v>
      </c>
      <c r="AX382" s="31">
        <f t="shared" si="162"/>
        <v>0</v>
      </c>
      <c r="AY382" s="219">
        <f t="shared" si="163"/>
        <v>0</v>
      </c>
      <c r="AZ382" s="196">
        <f t="shared" si="164"/>
        <v>0</v>
      </c>
      <c r="BA382" s="219">
        <f t="shared" si="165"/>
        <v>0</v>
      </c>
      <c r="BB382" s="31">
        <f t="shared" si="166"/>
        <v>0.75</v>
      </c>
      <c r="BC382" s="219">
        <f t="shared" si="167"/>
        <v>0.60000000000000009</v>
      </c>
      <c r="BD382" s="31">
        <f t="shared" si="168"/>
        <v>0</v>
      </c>
      <c r="BE382" s="219">
        <f t="shared" si="169"/>
        <v>0</v>
      </c>
      <c r="BF382" s="31">
        <f t="shared" si="170"/>
        <v>0</v>
      </c>
      <c r="BG382" s="219">
        <f t="shared" si="171"/>
        <v>0</v>
      </c>
      <c r="BH382" s="31">
        <f t="shared" si="172"/>
        <v>0</v>
      </c>
      <c r="BI382" s="219">
        <f t="shared" si="173"/>
        <v>0</v>
      </c>
      <c r="BJ382" s="31">
        <f t="shared" si="174"/>
        <v>0</v>
      </c>
      <c r="BK382" s="219">
        <f t="shared" si="175"/>
        <v>0</v>
      </c>
      <c r="BL382" s="31">
        <f t="shared" si="176"/>
        <v>0</v>
      </c>
      <c r="BM382" s="219">
        <f t="shared" si="177"/>
        <v>0</v>
      </c>
      <c r="BN382" s="31">
        <f t="shared" si="178"/>
        <v>0</v>
      </c>
      <c r="BO382" s="219">
        <f t="shared" si="179"/>
        <v>0</v>
      </c>
    </row>
    <row r="383" spans="1:67" x14ac:dyDescent="0.25">
      <c r="A383" s="31" t="s">
        <v>1804</v>
      </c>
      <c r="B383" s="176" t="str">
        <f>VLOOKUP(A383,kurspris!$A$1:$B$992,2,FALSE)</f>
        <v>Matematiska metoder</v>
      </c>
      <c r="C383" s="31">
        <v>75808</v>
      </c>
      <c r="D383" s="60" t="s">
        <v>482</v>
      </c>
      <c r="E383" s="60"/>
      <c r="F383" s="57" t="s">
        <v>2274</v>
      </c>
      <c r="H383" s="31" t="s">
        <v>2335</v>
      </c>
      <c r="I383" s="31" t="s">
        <v>2399</v>
      </c>
      <c r="J383" s="31" t="s">
        <v>2234</v>
      </c>
      <c r="L383" s="38"/>
      <c r="M383">
        <v>7.5</v>
      </c>
      <c r="P383" s="31">
        <v>1</v>
      </c>
      <c r="Q383" s="539">
        <v>0.125</v>
      </c>
      <c r="R383" s="38">
        <v>0.85</v>
      </c>
      <c r="S383" s="280">
        <f t="shared" si="152"/>
        <v>0.10625</v>
      </c>
      <c r="T383" s="31">
        <f>VLOOKUP(A383,'Ansvar kurs'!$A$1:$C$1123,2,FALSE)</f>
        <v>5730</v>
      </c>
      <c r="U383" s="31" t="str">
        <f>VLOOKUP(T383,Orgenheter!$A$1:$C$166,2,FALSE)</f>
        <v>Inst för MA och MA statistik</v>
      </c>
      <c r="V383" s="31" t="str">
        <f>VLOOKUP(T383,Orgenheter!$A$1:$C$166,3,FALSE)</f>
        <v>TekNat</v>
      </c>
      <c r="W383" s="35" t="str">
        <f>VLOOKUP(D383,Program!$A$1:$B$36,2,FALSE)</f>
        <v>Ämneslärarprogrammet - Gy</v>
      </c>
      <c r="X383" s="40">
        <f>VLOOKUP(A383,kurspris!$A$1:$Q$913,15,FALSE)</f>
        <v>20757</v>
      </c>
      <c r="Y383" s="40">
        <f>VLOOKUP(A383,kurspris!$A$1:$Q$913,16,FALSE)</f>
        <v>36082</v>
      </c>
      <c r="Z383" s="40">
        <f t="shared" si="153"/>
        <v>6428.3374999999996</v>
      </c>
      <c r="AA383" s="40">
        <f>VLOOKUP(A383,kurspris!$A$1:$Q$913,17,FALSE)</f>
        <v>22600</v>
      </c>
      <c r="AB383" s="40">
        <f t="shared" si="154"/>
        <v>2825</v>
      </c>
      <c r="AC383" s="40">
        <f t="shared" si="155"/>
        <v>9253.3374999999996</v>
      </c>
      <c r="AD383" s="31">
        <f>VLOOKUP($A383,kurspris!$A$1:$Q$950,3,FALSE)</f>
        <v>0</v>
      </c>
      <c r="AE383" s="31">
        <f>VLOOKUP($A383,kurspris!$A$1:$Q$950,4,FALSE)</f>
        <v>0</v>
      </c>
      <c r="AF383" s="31">
        <f>VLOOKUP($A383,kurspris!$A$1:$Q$950,5,FALSE)</f>
        <v>0</v>
      </c>
      <c r="AG383" s="31">
        <f>VLOOKUP($A383,kurspris!$A$1:$Q$950,6,FALSE)</f>
        <v>0</v>
      </c>
      <c r="AH383" s="31">
        <f>VLOOKUP($A383,kurspris!$A$1:$Q$950,7,FALSE)</f>
        <v>0</v>
      </c>
      <c r="AI383" s="31">
        <f>VLOOKUP($A383,kurspris!$A$1:$Q$950,8,FALSE)</f>
        <v>1</v>
      </c>
      <c r="AJ383" s="31">
        <f>VLOOKUP($A383,kurspris!$A$1:$Q$950,9,FALSE)</f>
        <v>0</v>
      </c>
      <c r="AK383" s="31">
        <f>VLOOKUP($A383,kurspris!$A$1:$Q$950,10,FALSE)</f>
        <v>0</v>
      </c>
      <c r="AL383" s="31">
        <f>VLOOKUP($A383,kurspris!$A$1:$Q$950,11,FALSE)</f>
        <v>0</v>
      </c>
      <c r="AM383" s="31">
        <f>VLOOKUP($A383,kurspris!$A$1:$Q$950,12,FALSE)</f>
        <v>0</v>
      </c>
      <c r="AN383" s="31">
        <f>VLOOKUP($A383,kurspris!$A$1:$Q$950,13,FALSE)</f>
        <v>0</v>
      </c>
      <c r="AO383" s="31">
        <f>VLOOKUP($A383,kurspris!$A$1:$Q$950,14,FALSE)</f>
        <v>0</v>
      </c>
      <c r="AP383" s="57" t="s">
        <v>2402</v>
      </c>
      <c r="AQ383"/>
      <c r="AR383" s="31">
        <f t="shared" si="156"/>
        <v>0</v>
      </c>
      <c r="AS383" s="219">
        <f t="shared" si="157"/>
        <v>0</v>
      </c>
      <c r="AT383" s="31">
        <f t="shared" si="158"/>
        <v>0</v>
      </c>
      <c r="AU383" s="219">
        <f t="shared" si="159"/>
        <v>0</v>
      </c>
      <c r="AV383" s="31">
        <f t="shared" si="160"/>
        <v>0</v>
      </c>
      <c r="AW383" s="31">
        <f t="shared" si="161"/>
        <v>0</v>
      </c>
      <c r="AX383" s="31">
        <f t="shared" si="162"/>
        <v>0</v>
      </c>
      <c r="AY383" s="219">
        <f t="shared" si="163"/>
        <v>0</v>
      </c>
      <c r="AZ383" s="196">
        <f t="shared" si="164"/>
        <v>0</v>
      </c>
      <c r="BA383" s="219">
        <f t="shared" si="165"/>
        <v>0</v>
      </c>
      <c r="BB383" s="31">
        <f t="shared" si="166"/>
        <v>0.125</v>
      </c>
      <c r="BC383" s="219">
        <f t="shared" si="167"/>
        <v>0.10625</v>
      </c>
      <c r="BD383" s="31">
        <f t="shared" si="168"/>
        <v>0</v>
      </c>
      <c r="BE383" s="219">
        <f t="shared" si="169"/>
        <v>0</v>
      </c>
      <c r="BF383" s="31">
        <f t="shared" si="170"/>
        <v>0</v>
      </c>
      <c r="BG383" s="219">
        <f t="shared" si="171"/>
        <v>0</v>
      </c>
      <c r="BH383" s="31">
        <f t="shared" si="172"/>
        <v>0</v>
      </c>
      <c r="BI383" s="219">
        <f t="shared" si="173"/>
        <v>0</v>
      </c>
      <c r="BJ383" s="31">
        <f t="shared" si="174"/>
        <v>0</v>
      </c>
      <c r="BK383" s="219">
        <f t="shared" si="175"/>
        <v>0</v>
      </c>
      <c r="BL383" s="31">
        <f t="shared" si="176"/>
        <v>0</v>
      </c>
      <c r="BM383" s="219">
        <f t="shared" si="177"/>
        <v>0</v>
      </c>
      <c r="BN383" s="31">
        <f t="shared" si="178"/>
        <v>0</v>
      </c>
      <c r="BO383" s="219">
        <f t="shared" si="179"/>
        <v>0</v>
      </c>
    </row>
    <row r="384" spans="1:67" x14ac:dyDescent="0.25">
      <c r="A384" s="31" t="s">
        <v>1804</v>
      </c>
      <c r="B384" s="176" t="str">
        <f>VLOOKUP(A384,kurspris!$A$1:$B$992,2,FALSE)</f>
        <v>Matematiska metoder</v>
      </c>
      <c r="C384" s="31">
        <v>75808</v>
      </c>
      <c r="D384" s="60" t="s">
        <v>482</v>
      </c>
      <c r="E384" s="60"/>
      <c r="F384" s="57" t="s">
        <v>2274</v>
      </c>
      <c r="H384" s="31" t="s">
        <v>2335</v>
      </c>
      <c r="I384" s="31" t="s">
        <v>2399</v>
      </c>
      <c r="J384" s="31" t="s">
        <v>2232</v>
      </c>
      <c r="L384" s="38"/>
      <c r="M384">
        <v>7.5</v>
      </c>
      <c r="P384" s="31">
        <v>2</v>
      </c>
      <c r="Q384" s="539">
        <v>0.25</v>
      </c>
      <c r="R384" s="38">
        <v>0.85</v>
      </c>
      <c r="S384" s="280">
        <f t="shared" si="152"/>
        <v>0.21249999999999999</v>
      </c>
      <c r="T384" s="31">
        <f>VLOOKUP(A384,'Ansvar kurs'!$A$1:$C$1123,2,FALSE)</f>
        <v>5730</v>
      </c>
      <c r="U384" s="31" t="str">
        <f>VLOOKUP(T384,Orgenheter!$A$1:$C$166,2,FALSE)</f>
        <v>Inst för MA och MA statistik</v>
      </c>
      <c r="V384" s="31" t="str">
        <f>VLOOKUP(T384,Orgenheter!$A$1:$C$166,3,FALSE)</f>
        <v>TekNat</v>
      </c>
      <c r="W384" s="35" t="str">
        <f>VLOOKUP(D384,Program!$A$1:$B$36,2,FALSE)</f>
        <v>Ämneslärarprogrammet - Gy</v>
      </c>
      <c r="X384" s="40">
        <f>VLOOKUP(A384,kurspris!$A$1:$Q$913,15,FALSE)</f>
        <v>20757</v>
      </c>
      <c r="Y384" s="40">
        <f>VLOOKUP(A384,kurspris!$A$1:$Q$913,16,FALSE)</f>
        <v>36082</v>
      </c>
      <c r="Z384" s="40">
        <f t="shared" si="153"/>
        <v>12856.674999999999</v>
      </c>
      <c r="AA384" s="40">
        <f>VLOOKUP(A384,kurspris!$A$1:$Q$913,17,FALSE)</f>
        <v>22600</v>
      </c>
      <c r="AB384" s="40">
        <f t="shared" si="154"/>
        <v>5650</v>
      </c>
      <c r="AC384" s="40">
        <f t="shared" si="155"/>
        <v>18506.674999999999</v>
      </c>
      <c r="AD384" s="31">
        <f>VLOOKUP($A384,kurspris!$A$1:$Q$950,3,FALSE)</f>
        <v>0</v>
      </c>
      <c r="AE384" s="31">
        <f>VLOOKUP($A384,kurspris!$A$1:$Q$950,4,FALSE)</f>
        <v>0</v>
      </c>
      <c r="AF384" s="31">
        <f>VLOOKUP($A384,kurspris!$A$1:$Q$950,5,FALSE)</f>
        <v>0</v>
      </c>
      <c r="AG384" s="31">
        <f>VLOOKUP($A384,kurspris!$A$1:$Q$950,6,FALSE)</f>
        <v>0</v>
      </c>
      <c r="AH384" s="31">
        <f>VLOOKUP($A384,kurspris!$A$1:$Q$950,7,FALSE)</f>
        <v>0</v>
      </c>
      <c r="AI384" s="31">
        <f>VLOOKUP($A384,kurspris!$A$1:$Q$950,8,FALSE)</f>
        <v>1</v>
      </c>
      <c r="AJ384" s="31">
        <f>VLOOKUP($A384,kurspris!$A$1:$Q$950,9,FALSE)</f>
        <v>0</v>
      </c>
      <c r="AK384" s="31">
        <f>VLOOKUP($A384,kurspris!$A$1:$Q$950,10,FALSE)</f>
        <v>0</v>
      </c>
      <c r="AL384" s="31">
        <f>VLOOKUP($A384,kurspris!$A$1:$Q$950,11,FALSE)</f>
        <v>0</v>
      </c>
      <c r="AM384" s="31">
        <f>VLOOKUP($A384,kurspris!$A$1:$Q$950,12,FALSE)</f>
        <v>0</v>
      </c>
      <c r="AN384" s="31">
        <f>VLOOKUP($A384,kurspris!$A$1:$Q$950,13,FALSE)</f>
        <v>0</v>
      </c>
      <c r="AO384" s="31">
        <f>VLOOKUP($A384,kurspris!$A$1:$Q$950,14,FALSE)</f>
        <v>0</v>
      </c>
      <c r="AP384" s="57" t="s">
        <v>2402</v>
      </c>
      <c r="AQ384"/>
      <c r="AR384" s="31">
        <f t="shared" si="156"/>
        <v>0</v>
      </c>
      <c r="AS384" s="219">
        <f t="shared" si="157"/>
        <v>0</v>
      </c>
      <c r="AT384" s="31">
        <f t="shared" si="158"/>
        <v>0</v>
      </c>
      <c r="AU384" s="219">
        <f t="shared" si="159"/>
        <v>0</v>
      </c>
      <c r="AV384" s="31">
        <f t="shared" si="160"/>
        <v>0</v>
      </c>
      <c r="AW384" s="31">
        <f t="shared" si="161"/>
        <v>0</v>
      </c>
      <c r="AX384" s="31">
        <f t="shared" si="162"/>
        <v>0</v>
      </c>
      <c r="AY384" s="219">
        <f t="shared" si="163"/>
        <v>0</v>
      </c>
      <c r="AZ384" s="196">
        <f t="shared" si="164"/>
        <v>0</v>
      </c>
      <c r="BA384" s="219">
        <f t="shared" si="165"/>
        <v>0</v>
      </c>
      <c r="BB384" s="31">
        <f t="shared" si="166"/>
        <v>0.25</v>
      </c>
      <c r="BC384" s="219">
        <f t="shared" si="167"/>
        <v>0.21249999999999999</v>
      </c>
      <c r="BD384" s="31">
        <f t="shared" si="168"/>
        <v>0</v>
      </c>
      <c r="BE384" s="219">
        <f t="shared" si="169"/>
        <v>0</v>
      </c>
      <c r="BF384" s="31">
        <f t="shared" si="170"/>
        <v>0</v>
      </c>
      <c r="BG384" s="219">
        <f t="shared" si="171"/>
        <v>0</v>
      </c>
      <c r="BH384" s="31">
        <f t="shared" si="172"/>
        <v>0</v>
      </c>
      <c r="BI384" s="219">
        <f t="shared" si="173"/>
        <v>0</v>
      </c>
      <c r="BJ384" s="31">
        <f t="shared" si="174"/>
        <v>0</v>
      </c>
      <c r="BK384" s="219">
        <f t="shared" si="175"/>
        <v>0</v>
      </c>
      <c r="BL384" s="31">
        <f t="shared" si="176"/>
        <v>0</v>
      </c>
      <c r="BM384" s="219">
        <f t="shared" si="177"/>
        <v>0</v>
      </c>
      <c r="BN384" s="31">
        <f t="shared" si="178"/>
        <v>0</v>
      </c>
      <c r="BO384" s="219">
        <f t="shared" si="179"/>
        <v>0</v>
      </c>
    </row>
    <row r="385" spans="1:67" x14ac:dyDescent="0.25">
      <c r="A385" s="31" t="s">
        <v>1804</v>
      </c>
      <c r="B385" s="176" t="str">
        <f>VLOOKUP(A385,kurspris!$A$1:$B$992,2,FALSE)</f>
        <v>Matematiska metoder</v>
      </c>
      <c r="C385" s="31">
        <v>75808</v>
      </c>
      <c r="D385" s="60" t="s">
        <v>482</v>
      </c>
      <c r="E385" s="60"/>
      <c r="F385" s="57" t="s">
        <v>2274</v>
      </c>
      <c r="H385" s="31" t="s">
        <v>2335</v>
      </c>
      <c r="I385" s="31" t="s">
        <v>2399</v>
      </c>
      <c r="J385" s="31" t="s">
        <v>2233</v>
      </c>
      <c r="L385" s="38"/>
      <c r="M385">
        <v>7.5</v>
      </c>
      <c r="P385" s="31">
        <v>22</v>
      </c>
      <c r="Q385" s="539">
        <v>2.75</v>
      </c>
      <c r="R385" s="38">
        <v>0.85</v>
      </c>
      <c r="S385" s="280">
        <f t="shared" si="152"/>
        <v>2.3374999999999999</v>
      </c>
      <c r="T385" s="31">
        <f>VLOOKUP(A385,'Ansvar kurs'!$A$1:$C$1123,2,FALSE)</f>
        <v>5730</v>
      </c>
      <c r="U385" s="31" t="str">
        <f>VLOOKUP(T385,Orgenheter!$A$1:$C$166,2,FALSE)</f>
        <v>Inst för MA och MA statistik</v>
      </c>
      <c r="V385" s="31" t="str">
        <f>VLOOKUP(T385,Orgenheter!$A$1:$C$166,3,FALSE)</f>
        <v>TekNat</v>
      </c>
      <c r="W385" s="35" t="str">
        <f>VLOOKUP(D385,Program!$A$1:$B$36,2,FALSE)</f>
        <v>Ämneslärarprogrammet - Gy</v>
      </c>
      <c r="X385" s="40">
        <f>VLOOKUP(A385,kurspris!$A$1:$Q$913,15,FALSE)</f>
        <v>20757</v>
      </c>
      <c r="Y385" s="40">
        <f>VLOOKUP(A385,kurspris!$A$1:$Q$913,16,FALSE)</f>
        <v>36082</v>
      </c>
      <c r="Z385" s="40">
        <f t="shared" si="153"/>
        <v>141423.42499999999</v>
      </c>
      <c r="AA385" s="40">
        <f>VLOOKUP(A385,kurspris!$A$1:$Q$913,17,FALSE)</f>
        <v>22600</v>
      </c>
      <c r="AB385" s="40">
        <f t="shared" si="154"/>
        <v>62150</v>
      </c>
      <c r="AC385" s="40">
        <f t="shared" si="155"/>
        <v>203573.42499999999</v>
      </c>
      <c r="AD385" s="31">
        <f>VLOOKUP($A385,kurspris!$A$1:$Q$950,3,FALSE)</f>
        <v>0</v>
      </c>
      <c r="AE385" s="31">
        <f>VLOOKUP($A385,kurspris!$A$1:$Q$950,4,FALSE)</f>
        <v>0</v>
      </c>
      <c r="AF385" s="31">
        <f>VLOOKUP($A385,kurspris!$A$1:$Q$950,5,FALSE)</f>
        <v>0</v>
      </c>
      <c r="AG385" s="31">
        <f>VLOOKUP($A385,kurspris!$A$1:$Q$950,6,FALSE)</f>
        <v>0</v>
      </c>
      <c r="AH385" s="31">
        <f>VLOOKUP($A385,kurspris!$A$1:$Q$950,7,FALSE)</f>
        <v>0</v>
      </c>
      <c r="AI385" s="31">
        <f>VLOOKUP($A385,kurspris!$A$1:$Q$950,8,FALSE)</f>
        <v>1</v>
      </c>
      <c r="AJ385" s="31">
        <f>VLOOKUP($A385,kurspris!$A$1:$Q$950,9,FALSE)</f>
        <v>0</v>
      </c>
      <c r="AK385" s="31">
        <f>VLOOKUP($A385,kurspris!$A$1:$Q$950,10,FALSE)</f>
        <v>0</v>
      </c>
      <c r="AL385" s="31">
        <f>VLOOKUP($A385,kurspris!$A$1:$Q$950,11,FALSE)</f>
        <v>0</v>
      </c>
      <c r="AM385" s="31">
        <f>VLOOKUP($A385,kurspris!$A$1:$Q$950,12,FALSE)</f>
        <v>0</v>
      </c>
      <c r="AN385" s="31">
        <f>VLOOKUP($A385,kurspris!$A$1:$Q$950,13,FALSE)</f>
        <v>0</v>
      </c>
      <c r="AO385" s="31">
        <f>VLOOKUP($A385,kurspris!$A$1:$Q$950,14,FALSE)</f>
        <v>0</v>
      </c>
      <c r="AP385" s="57" t="s">
        <v>2402</v>
      </c>
      <c r="AQ385"/>
      <c r="AR385" s="31">
        <f t="shared" si="156"/>
        <v>0</v>
      </c>
      <c r="AS385" s="219">
        <f t="shared" si="157"/>
        <v>0</v>
      </c>
      <c r="AT385" s="31">
        <f t="shared" si="158"/>
        <v>0</v>
      </c>
      <c r="AU385" s="219">
        <f t="shared" si="159"/>
        <v>0</v>
      </c>
      <c r="AV385" s="31">
        <f t="shared" si="160"/>
        <v>0</v>
      </c>
      <c r="AW385" s="31">
        <f t="shared" si="161"/>
        <v>0</v>
      </c>
      <c r="AX385" s="31">
        <f t="shared" si="162"/>
        <v>0</v>
      </c>
      <c r="AY385" s="219">
        <f t="shared" si="163"/>
        <v>0</v>
      </c>
      <c r="AZ385" s="196">
        <f t="shared" si="164"/>
        <v>0</v>
      </c>
      <c r="BA385" s="219">
        <f t="shared" si="165"/>
        <v>0</v>
      </c>
      <c r="BB385" s="31">
        <f t="shared" si="166"/>
        <v>2.75</v>
      </c>
      <c r="BC385" s="219">
        <f t="shared" si="167"/>
        <v>2.3374999999999999</v>
      </c>
      <c r="BD385" s="31">
        <f t="shared" si="168"/>
        <v>0</v>
      </c>
      <c r="BE385" s="219">
        <f t="shared" si="169"/>
        <v>0</v>
      </c>
      <c r="BF385" s="31">
        <f t="shared" si="170"/>
        <v>0</v>
      </c>
      <c r="BG385" s="219">
        <f t="shared" si="171"/>
        <v>0</v>
      </c>
      <c r="BH385" s="31">
        <f t="shared" si="172"/>
        <v>0</v>
      </c>
      <c r="BI385" s="219">
        <f t="shared" si="173"/>
        <v>0</v>
      </c>
      <c r="BJ385" s="31">
        <f t="shared" si="174"/>
        <v>0</v>
      </c>
      <c r="BK385" s="219">
        <f t="shared" si="175"/>
        <v>0</v>
      </c>
      <c r="BL385" s="31">
        <f t="shared" si="176"/>
        <v>0</v>
      </c>
      <c r="BM385" s="219">
        <f t="shared" si="177"/>
        <v>0</v>
      </c>
      <c r="BN385" s="31">
        <f t="shared" si="178"/>
        <v>0</v>
      </c>
      <c r="BO385" s="219">
        <f t="shared" si="179"/>
        <v>0</v>
      </c>
    </row>
    <row r="386" spans="1:67" x14ac:dyDescent="0.25">
      <c r="A386" s="31" t="s">
        <v>1804</v>
      </c>
      <c r="B386" s="176" t="str">
        <f>VLOOKUP(A386,kurspris!$A$1:$B$992,2,FALSE)</f>
        <v>Matematiska metoder</v>
      </c>
      <c r="C386" s="31">
        <v>75808</v>
      </c>
      <c r="D386" s="60" t="s">
        <v>482</v>
      </c>
      <c r="E386" s="60"/>
      <c r="F386" s="57" t="s">
        <v>2274</v>
      </c>
      <c r="H386" s="31" t="s">
        <v>2335</v>
      </c>
      <c r="I386" s="31" t="s">
        <v>2399</v>
      </c>
      <c r="J386" s="31" t="s">
        <v>2242</v>
      </c>
      <c r="L386" s="38"/>
      <c r="M386">
        <v>7.5</v>
      </c>
      <c r="P386" s="31">
        <v>1</v>
      </c>
      <c r="Q386" s="539">
        <v>0.125</v>
      </c>
      <c r="R386" s="38">
        <v>0.85</v>
      </c>
      <c r="S386" s="280">
        <f t="shared" ref="S386:S449" si="181">Q386*R386</f>
        <v>0.10625</v>
      </c>
      <c r="T386" s="31">
        <f>VLOOKUP(A386,'Ansvar kurs'!$A$1:$C$1123,2,FALSE)</f>
        <v>5730</v>
      </c>
      <c r="U386" s="31" t="str">
        <f>VLOOKUP(T386,Orgenheter!$A$1:$C$166,2,FALSE)</f>
        <v>Inst för MA och MA statistik</v>
      </c>
      <c r="V386" s="31" t="str">
        <f>VLOOKUP(T386,Orgenheter!$A$1:$C$166,3,FALSE)</f>
        <v>TekNat</v>
      </c>
      <c r="W386" s="35" t="str">
        <f>VLOOKUP(D386,Program!$A$1:$B$36,2,FALSE)</f>
        <v>Ämneslärarprogrammet - Gy</v>
      </c>
      <c r="X386" s="40">
        <f>VLOOKUP(A386,kurspris!$A$1:$Q$913,15,FALSE)</f>
        <v>20757</v>
      </c>
      <c r="Y386" s="40">
        <f>VLOOKUP(A386,kurspris!$A$1:$Q$913,16,FALSE)</f>
        <v>36082</v>
      </c>
      <c r="Z386" s="40">
        <f t="shared" ref="Z386:Z449" si="182">X386*Q386+S386*Y386</f>
        <v>6428.3374999999996</v>
      </c>
      <c r="AA386" s="40">
        <f>VLOOKUP(A386,kurspris!$A$1:$Q$913,17,FALSE)</f>
        <v>22600</v>
      </c>
      <c r="AB386" s="40">
        <f t="shared" ref="AB386:AB449" si="183">AA386*Q386</f>
        <v>2825</v>
      </c>
      <c r="AC386" s="40">
        <f t="shared" ref="AC386:AC449" si="184">Z386+AB386</f>
        <v>9253.3374999999996</v>
      </c>
      <c r="AD386" s="31">
        <f>VLOOKUP($A386,kurspris!$A$1:$Q$950,3,FALSE)</f>
        <v>0</v>
      </c>
      <c r="AE386" s="31">
        <f>VLOOKUP($A386,kurspris!$A$1:$Q$950,4,FALSE)</f>
        <v>0</v>
      </c>
      <c r="AF386" s="31">
        <f>VLOOKUP($A386,kurspris!$A$1:$Q$950,5,FALSE)</f>
        <v>0</v>
      </c>
      <c r="AG386" s="31">
        <f>VLOOKUP($A386,kurspris!$A$1:$Q$950,6,FALSE)</f>
        <v>0</v>
      </c>
      <c r="AH386" s="31">
        <f>VLOOKUP($A386,kurspris!$A$1:$Q$950,7,FALSE)</f>
        <v>0</v>
      </c>
      <c r="AI386" s="31">
        <f>VLOOKUP($A386,kurspris!$A$1:$Q$950,8,FALSE)</f>
        <v>1</v>
      </c>
      <c r="AJ386" s="31">
        <f>VLOOKUP($A386,kurspris!$A$1:$Q$950,9,FALSE)</f>
        <v>0</v>
      </c>
      <c r="AK386" s="31">
        <f>VLOOKUP($A386,kurspris!$A$1:$Q$950,10,FALSE)</f>
        <v>0</v>
      </c>
      <c r="AL386" s="31">
        <f>VLOOKUP($A386,kurspris!$A$1:$Q$950,11,FALSE)</f>
        <v>0</v>
      </c>
      <c r="AM386" s="31">
        <f>VLOOKUP($A386,kurspris!$A$1:$Q$950,12,FALSE)</f>
        <v>0</v>
      </c>
      <c r="AN386" s="31">
        <f>VLOOKUP($A386,kurspris!$A$1:$Q$950,13,FALSE)</f>
        <v>0</v>
      </c>
      <c r="AO386" s="31">
        <f>VLOOKUP($A386,kurspris!$A$1:$Q$950,14,FALSE)</f>
        <v>0</v>
      </c>
      <c r="AP386" s="57" t="s">
        <v>2402</v>
      </c>
      <c r="AQ386"/>
      <c r="AR386" s="31">
        <f t="shared" ref="AR386:AR449" si="185">$Q386*AD386</f>
        <v>0</v>
      </c>
      <c r="AS386" s="219">
        <f t="shared" ref="AS386:AS449" si="186">$S386*AD386</f>
        <v>0</v>
      </c>
      <c r="AT386" s="31">
        <f t="shared" ref="AT386:AT449" si="187">$Q386*AE386</f>
        <v>0</v>
      </c>
      <c r="AU386" s="219">
        <f t="shared" ref="AU386:AU449" si="188">$S386*AE386</f>
        <v>0</v>
      </c>
      <c r="AV386" s="31">
        <f t="shared" ref="AV386:AV449" si="189">$Q386*AF386</f>
        <v>0</v>
      </c>
      <c r="AW386" s="31">
        <f t="shared" ref="AW386:AW449" si="190">$S386*AF386</f>
        <v>0</v>
      </c>
      <c r="AX386" s="31">
        <f t="shared" ref="AX386:AX449" si="191">$Q386*AG386</f>
        <v>0</v>
      </c>
      <c r="AY386" s="219">
        <f t="shared" ref="AY386:AY449" si="192">$S386*AG386</f>
        <v>0</v>
      </c>
      <c r="AZ386" s="196">
        <f t="shared" ref="AZ386:AZ449" si="193">$Q386*AH386</f>
        <v>0</v>
      </c>
      <c r="BA386" s="219">
        <f t="shared" ref="BA386:BA449" si="194">$S386*AH386</f>
        <v>0</v>
      </c>
      <c r="BB386" s="31">
        <f t="shared" ref="BB386:BB449" si="195">$Q386*AI386</f>
        <v>0.125</v>
      </c>
      <c r="BC386" s="219">
        <f t="shared" ref="BC386:BC449" si="196">$S386*AI386</f>
        <v>0.10625</v>
      </c>
      <c r="BD386" s="31">
        <f t="shared" ref="BD386:BD449" si="197">$Q386*AJ386</f>
        <v>0</v>
      </c>
      <c r="BE386" s="219">
        <f t="shared" ref="BE386:BE449" si="198">$S386*AJ386</f>
        <v>0</v>
      </c>
      <c r="BF386" s="31">
        <f t="shared" ref="BF386:BF449" si="199">$Q386*AK386</f>
        <v>0</v>
      </c>
      <c r="BG386" s="219">
        <f t="shared" ref="BG386:BG449" si="200">$S386*AK386</f>
        <v>0</v>
      </c>
      <c r="BH386" s="31">
        <f t="shared" ref="BH386:BH449" si="201">$Q386*AL386</f>
        <v>0</v>
      </c>
      <c r="BI386" s="219">
        <f t="shared" ref="BI386:BI449" si="202">$S386*AL386</f>
        <v>0</v>
      </c>
      <c r="BJ386" s="31">
        <f t="shared" ref="BJ386:BJ449" si="203">$Q386*AM386</f>
        <v>0</v>
      </c>
      <c r="BK386" s="219">
        <f t="shared" ref="BK386:BK449" si="204">$S386*AM386</f>
        <v>0</v>
      </c>
      <c r="BL386" s="31">
        <f t="shared" ref="BL386:BL449" si="205">$Q386*AN386</f>
        <v>0</v>
      </c>
      <c r="BM386" s="219">
        <f t="shared" ref="BM386:BM449" si="206">$S386*AN386</f>
        <v>0</v>
      </c>
      <c r="BN386" s="31">
        <f t="shared" ref="BN386:BN449" si="207">$Q386*AO386</f>
        <v>0</v>
      </c>
      <c r="BO386" s="219">
        <f t="shared" ref="BO386:BO449" si="208">$S386*AO386</f>
        <v>0</v>
      </c>
    </row>
    <row r="387" spans="1:67" x14ac:dyDescent="0.25">
      <c r="A387" s="31" t="s">
        <v>1898</v>
      </c>
      <c r="B387" s="176" t="str">
        <f>VLOOKUP(A387,kurspris!$A$1:$B$992,2,FALSE)</f>
        <v>Diskret matematik</v>
      </c>
      <c r="C387" s="31">
        <v>75806</v>
      </c>
      <c r="D387" s="60" t="s">
        <v>117</v>
      </c>
      <c r="E387" s="60"/>
      <c r="F387" s="57" t="s">
        <v>2274</v>
      </c>
      <c r="H387" s="31" t="s">
        <v>2335</v>
      </c>
      <c r="I387" s="31" t="s">
        <v>2399</v>
      </c>
      <c r="L387" s="38"/>
      <c r="M387">
        <v>7.5</v>
      </c>
      <c r="P387" s="31">
        <v>20</v>
      </c>
      <c r="Q387" s="539">
        <v>2.5</v>
      </c>
      <c r="R387" s="38">
        <v>0.8</v>
      </c>
      <c r="S387" s="280">
        <f t="shared" si="181"/>
        <v>2</v>
      </c>
      <c r="T387" s="31">
        <f>VLOOKUP(A387,'Ansvar kurs'!$A$1:$C$1123,2,FALSE)</f>
        <v>5730</v>
      </c>
      <c r="U387" s="31" t="str">
        <f>VLOOKUP(T387,Orgenheter!$A$1:$C$166,2,FALSE)</f>
        <v>Inst för MA och MA statistik</v>
      </c>
      <c r="V387" s="31" t="str">
        <f>VLOOKUP(T387,Orgenheter!$A$1:$C$166,3,FALSE)</f>
        <v>TekNat</v>
      </c>
      <c r="W387" s="35" t="str">
        <f>VLOOKUP(D387,Program!$A$1:$B$36,2,FALSE)</f>
        <v>Fristående och övriga kurser</v>
      </c>
      <c r="X387" s="40">
        <f>VLOOKUP(A387,kurspris!$A$1:$Q$913,15,FALSE)</f>
        <v>20757</v>
      </c>
      <c r="Y387" s="40">
        <f>VLOOKUP(A387,kurspris!$A$1:$Q$913,16,FALSE)</f>
        <v>36082</v>
      </c>
      <c r="Z387" s="40">
        <f t="shared" si="182"/>
        <v>124056.5</v>
      </c>
      <c r="AA387" s="40">
        <f>VLOOKUP(A387,kurspris!$A$1:$Q$913,17,FALSE)</f>
        <v>22600</v>
      </c>
      <c r="AB387" s="40">
        <f t="shared" si="183"/>
        <v>56500</v>
      </c>
      <c r="AC387" s="40">
        <f t="shared" si="184"/>
        <v>180556.5</v>
      </c>
      <c r="AD387" s="31">
        <f>VLOOKUP($A387,kurspris!$A$1:$Q$950,3,FALSE)</f>
        <v>0</v>
      </c>
      <c r="AE387" s="31">
        <f>VLOOKUP($A387,kurspris!$A$1:$Q$950,4,FALSE)</f>
        <v>0</v>
      </c>
      <c r="AF387" s="31">
        <f>VLOOKUP($A387,kurspris!$A$1:$Q$950,5,FALSE)</f>
        <v>0</v>
      </c>
      <c r="AG387" s="31">
        <f>VLOOKUP($A387,kurspris!$A$1:$Q$950,6,FALSE)</f>
        <v>0</v>
      </c>
      <c r="AH387" s="31">
        <f>VLOOKUP($A387,kurspris!$A$1:$Q$950,7,FALSE)</f>
        <v>0</v>
      </c>
      <c r="AI387" s="31">
        <f>VLOOKUP($A387,kurspris!$A$1:$Q$950,8,FALSE)</f>
        <v>0.5</v>
      </c>
      <c r="AJ387" s="31">
        <f>VLOOKUP($A387,kurspris!$A$1:$Q$950,9,FALSE)</f>
        <v>0</v>
      </c>
      <c r="AK387" s="31">
        <f>VLOOKUP($A387,kurspris!$A$1:$Q$950,10,FALSE)</f>
        <v>0.5</v>
      </c>
      <c r="AL387" s="31">
        <f>VLOOKUP($A387,kurspris!$A$1:$Q$950,11,FALSE)</f>
        <v>0</v>
      </c>
      <c r="AM387" s="31">
        <f>VLOOKUP($A387,kurspris!$A$1:$Q$950,12,FALSE)</f>
        <v>0</v>
      </c>
      <c r="AN387" s="31">
        <f>VLOOKUP($A387,kurspris!$A$1:$Q$950,13,FALSE)</f>
        <v>0</v>
      </c>
      <c r="AO387" s="31">
        <f>VLOOKUP($A387,kurspris!$A$1:$Q$950,14,FALSE)</f>
        <v>0</v>
      </c>
      <c r="AP387" s="57" t="s">
        <v>2402</v>
      </c>
      <c r="AQ387"/>
      <c r="AR387" s="31">
        <f t="shared" si="185"/>
        <v>0</v>
      </c>
      <c r="AS387" s="219">
        <f t="shared" si="186"/>
        <v>0</v>
      </c>
      <c r="AT387" s="31">
        <f t="shared" si="187"/>
        <v>0</v>
      </c>
      <c r="AU387" s="219">
        <f t="shared" si="188"/>
        <v>0</v>
      </c>
      <c r="AV387" s="31">
        <f t="shared" si="189"/>
        <v>0</v>
      </c>
      <c r="AW387" s="31">
        <f t="shared" si="190"/>
        <v>0</v>
      </c>
      <c r="AX387" s="31">
        <f t="shared" si="191"/>
        <v>0</v>
      </c>
      <c r="AY387" s="219">
        <f t="shared" si="192"/>
        <v>0</v>
      </c>
      <c r="AZ387" s="196">
        <f t="shared" si="193"/>
        <v>0</v>
      </c>
      <c r="BA387" s="219">
        <f t="shared" si="194"/>
        <v>0</v>
      </c>
      <c r="BB387" s="31">
        <f t="shared" si="195"/>
        <v>1.25</v>
      </c>
      <c r="BC387" s="219">
        <f t="shared" si="196"/>
        <v>1</v>
      </c>
      <c r="BD387" s="31">
        <f t="shared" si="197"/>
        <v>0</v>
      </c>
      <c r="BE387" s="219">
        <f t="shared" si="198"/>
        <v>0</v>
      </c>
      <c r="BF387" s="31">
        <f t="shared" si="199"/>
        <v>1.25</v>
      </c>
      <c r="BG387" s="219">
        <f t="shared" si="200"/>
        <v>1</v>
      </c>
      <c r="BH387" s="31">
        <f t="shared" si="201"/>
        <v>0</v>
      </c>
      <c r="BI387" s="219">
        <f t="shared" si="202"/>
        <v>0</v>
      </c>
      <c r="BJ387" s="31">
        <f t="shared" si="203"/>
        <v>0</v>
      </c>
      <c r="BK387" s="219">
        <f t="shared" si="204"/>
        <v>0</v>
      </c>
      <c r="BL387" s="31">
        <f t="shared" si="205"/>
        <v>0</v>
      </c>
      <c r="BM387" s="219">
        <f t="shared" si="206"/>
        <v>0</v>
      </c>
      <c r="BN387" s="31">
        <f t="shared" si="207"/>
        <v>0</v>
      </c>
      <c r="BO387" s="219">
        <f t="shared" si="208"/>
        <v>0</v>
      </c>
    </row>
    <row r="388" spans="1:67" x14ac:dyDescent="0.25">
      <c r="A388" s="31" t="s">
        <v>1898</v>
      </c>
      <c r="B388" s="176" t="str">
        <f>VLOOKUP(A388,kurspris!$A$1:$B$992,2,FALSE)</f>
        <v>Diskret matematik</v>
      </c>
      <c r="C388" s="31">
        <v>75806</v>
      </c>
      <c r="D388" s="60" t="s">
        <v>482</v>
      </c>
      <c r="E388" s="60"/>
      <c r="F388" s="57" t="s">
        <v>2274</v>
      </c>
      <c r="H388" s="31" t="s">
        <v>2335</v>
      </c>
      <c r="I388" s="31" t="s">
        <v>2399</v>
      </c>
      <c r="J388" s="31" t="s">
        <v>2232</v>
      </c>
      <c r="L388" s="38"/>
      <c r="M388">
        <v>7.5</v>
      </c>
      <c r="P388" s="31">
        <v>2</v>
      </c>
      <c r="Q388" s="539">
        <v>0.25</v>
      </c>
      <c r="R388" s="38">
        <v>0.85</v>
      </c>
      <c r="S388" s="280">
        <f t="shared" si="181"/>
        <v>0.21249999999999999</v>
      </c>
      <c r="T388" s="31">
        <f>VLOOKUP(A388,'Ansvar kurs'!$A$1:$C$1123,2,FALSE)</f>
        <v>5730</v>
      </c>
      <c r="U388" s="31" t="str">
        <f>VLOOKUP(T388,Orgenheter!$A$1:$C$166,2,FALSE)</f>
        <v>Inst för MA och MA statistik</v>
      </c>
      <c r="V388" s="31" t="str">
        <f>VLOOKUP(T388,Orgenheter!$A$1:$C$166,3,FALSE)</f>
        <v>TekNat</v>
      </c>
      <c r="W388" s="35" t="str">
        <f>VLOOKUP(D388,Program!$A$1:$B$36,2,FALSE)</f>
        <v>Ämneslärarprogrammet - Gy</v>
      </c>
      <c r="X388" s="40">
        <f>VLOOKUP(A388,kurspris!$A$1:$Q$913,15,FALSE)</f>
        <v>20757</v>
      </c>
      <c r="Y388" s="40">
        <f>VLOOKUP(A388,kurspris!$A$1:$Q$913,16,FALSE)</f>
        <v>36082</v>
      </c>
      <c r="Z388" s="40">
        <f t="shared" si="182"/>
        <v>12856.674999999999</v>
      </c>
      <c r="AA388" s="40">
        <f>VLOOKUP(A388,kurspris!$A$1:$Q$913,17,FALSE)</f>
        <v>22600</v>
      </c>
      <c r="AB388" s="40">
        <f t="shared" si="183"/>
        <v>5650</v>
      </c>
      <c r="AC388" s="40">
        <f t="shared" si="184"/>
        <v>18506.674999999999</v>
      </c>
      <c r="AD388" s="31">
        <f>VLOOKUP($A388,kurspris!$A$1:$Q$950,3,FALSE)</f>
        <v>0</v>
      </c>
      <c r="AE388" s="31">
        <f>VLOOKUP($A388,kurspris!$A$1:$Q$950,4,FALSE)</f>
        <v>0</v>
      </c>
      <c r="AF388" s="31">
        <f>VLOOKUP($A388,kurspris!$A$1:$Q$950,5,FALSE)</f>
        <v>0</v>
      </c>
      <c r="AG388" s="31">
        <f>VLOOKUP($A388,kurspris!$A$1:$Q$950,6,FALSE)</f>
        <v>0</v>
      </c>
      <c r="AH388" s="31">
        <f>VLOOKUP($A388,kurspris!$A$1:$Q$950,7,FALSE)</f>
        <v>0</v>
      </c>
      <c r="AI388" s="31">
        <f>VLOOKUP($A388,kurspris!$A$1:$Q$950,8,FALSE)</f>
        <v>0.5</v>
      </c>
      <c r="AJ388" s="31">
        <f>VLOOKUP($A388,kurspris!$A$1:$Q$950,9,FALSE)</f>
        <v>0</v>
      </c>
      <c r="AK388" s="31">
        <f>VLOOKUP($A388,kurspris!$A$1:$Q$950,10,FALSE)</f>
        <v>0.5</v>
      </c>
      <c r="AL388" s="31">
        <f>VLOOKUP($A388,kurspris!$A$1:$Q$950,11,FALSE)</f>
        <v>0</v>
      </c>
      <c r="AM388" s="31">
        <f>VLOOKUP($A388,kurspris!$A$1:$Q$950,12,FALSE)</f>
        <v>0</v>
      </c>
      <c r="AN388" s="31">
        <f>VLOOKUP($A388,kurspris!$A$1:$Q$950,13,FALSE)</f>
        <v>0</v>
      </c>
      <c r="AO388" s="31">
        <f>VLOOKUP($A388,kurspris!$A$1:$Q$950,14,FALSE)</f>
        <v>0</v>
      </c>
      <c r="AP388" s="57" t="s">
        <v>2402</v>
      </c>
      <c r="AQ388"/>
      <c r="AR388" s="31">
        <f t="shared" si="185"/>
        <v>0</v>
      </c>
      <c r="AS388" s="219">
        <f t="shared" si="186"/>
        <v>0</v>
      </c>
      <c r="AT388" s="31">
        <f t="shared" si="187"/>
        <v>0</v>
      </c>
      <c r="AU388" s="219">
        <f t="shared" si="188"/>
        <v>0</v>
      </c>
      <c r="AV388" s="31">
        <f t="shared" si="189"/>
        <v>0</v>
      </c>
      <c r="AW388" s="31">
        <f t="shared" si="190"/>
        <v>0</v>
      </c>
      <c r="AX388" s="31">
        <f t="shared" si="191"/>
        <v>0</v>
      </c>
      <c r="AY388" s="219">
        <f t="shared" si="192"/>
        <v>0</v>
      </c>
      <c r="AZ388" s="196">
        <f t="shared" si="193"/>
        <v>0</v>
      </c>
      <c r="BA388" s="219">
        <f t="shared" si="194"/>
        <v>0</v>
      </c>
      <c r="BB388" s="31">
        <f t="shared" si="195"/>
        <v>0.125</v>
      </c>
      <c r="BC388" s="219">
        <f t="shared" si="196"/>
        <v>0.10625</v>
      </c>
      <c r="BD388" s="31">
        <f t="shared" si="197"/>
        <v>0</v>
      </c>
      <c r="BE388" s="219">
        <f t="shared" si="198"/>
        <v>0</v>
      </c>
      <c r="BF388" s="31">
        <f t="shared" si="199"/>
        <v>0.125</v>
      </c>
      <c r="BG388" s="219">
        <f t="shared" si="200"/>
        <v>0.10625</v>
      </c>
      <c r="BH388" s="31">
        <f t="shared" si="201"/>
        <v>0</v>
      </c>
      <c r="BI388" s="219">
        <f t="shared" si="202"/>
        <v>0</v>
      </c>
      <c r="BJ388" s="31">
        <f t="shared" si="203"/>
        <v>0</v>
      </c>
      <c r="BK388" s="219">
        <f t="shared" si="204"/>
        <v>0</v>
      </c>
      <c r="BL388" s="31">
        <f t="shared" si="205"/>
        <v>0</v>
      </c>
      <c r="BM388" s="219">
        <f t="shared" si="206"/>
        <v>0</v>
      </c>
      <c r="BN388" s="31">
        <f t="shared" si="207"/>
        <v>0</v>
      </c>
      <c r="BO388" s="219">
        <f t="shared" si="208"/>
        <v>0</v>
      </c>
    </row>
    <row r="389" spans="1:67" x14ac:dyDescent="0.25">
      <c r="A389" s="31" t="s">
        <v>1898</v>
      </c>
      <c r="B389" s="176" t="str">
        <f>VLOOKUP(A389,kurspris!$A$1:$B$992,2,FALSE)</f>
        <v>Diskret matematik</v>
      </c>
      <c r="C389" s="31">
        <v>75806</v>
      </c>
      <c r="D389" s="60" t="s">
        <v>482</v>
      </c>
      <c r="E389" s="60"/>
      <c r="F389" s="57" t="s">
        <v>2274</v>
      </c>
      <c r="H389" s="31" t="s">
        <v>2335</v>
      </c>
      <c r="I389" s="31" t="s">
        <v>2399</v>
      </c>
      <c r="J389" s="31" t="s">
        <v>2233</v>
      </c>
      <c r="L389" s="38"/>
      <c r="M389">
        <v>7.5</v>
      </c>
      <c r="P389" s="31">
        <v>11</v>
      </c>
      <c r="Q389" s="539">
        <v>1.375</v>
      </c>
      <c r="R389" s="38">
        <v>0.85</v>
      </c>
      <c r="S389" s="280">
        <f t="shared" si="181"/>
        <v>1.16875</v>
      </c>
      <c r="T389" s="31">
        <f>VLOOKUP(A389,'Ansvar kurs'!$A$1:$C$1123,2,FALSE)</f>
        <v>5730</v>
      </c>
      <c r="U389" s="31" t="str">
        <f>VLOOKUP(T389,Orgenheter!$A$1:$C$166,2,FALSE)</f>
        <v>Inst för MA och MA statistik</v>
      </c>
      <c r="V389" s="31" t="str">
        <f>VLOOKUP(T389,Orgenheter!$A$1:$C$166,3,FALSE)</f>
        <v>TekNat</v>
      </c>
      <c r="W389" s="35" t="str">
        <f>VLOOKUP(D389,Program!$A$1:$B$36,2,FALSE)</f>
        <v>Ämneslärarprogrammet - Gy</v>
      </c>
      <c r="X389" s="40">
        <f>VLOOKUP(A389,kurspris!$A$1:$Q$913,15,FALSE)</f>
        <v>20757</v>
      </c>
      <c r="Y389" s="40">
        <f>VLOOKUP(A389,kurspris!$A$1:$Q$913,16,FALSE)</f>
        <v>36082</v>
      </c>
      <c r="Z389" s="40">
        <f t="shared" si="182"/>
        <v>70711.712499999994</v>
      </c>
      <c r="AA389" s="40">
        <f>VLOOKUP(A389,kurspris!$A$1:$Q$913,17,FALSE)</f>
        <v>22600</v>
      </c>
      <c r="AB389" s="40">
        <f t="shared" si="183"/>
        <v>31075</v>
      </c>
      <c r="AC389" s="40">
        <f t="shared" si="184"/>
        <v>101786.71249999999</v>
      </c>
      <c r="AD389" s="31">
        <f>VLOOKUP($A389,kurspris!$A$1:$Q$950,3,FALSE)</f>
        <v>0</v>
      </c>
      <c r="AE389" s="31">
        <f>VLOOKUP($A389,kurspris!$A$1:$Q$950,4,FALSE)</f>
        <v>0</v>
      </c>
      <c r="AF389" s="31">
        <f>VLOOKUP($A389,kurspris!$A$1:$Q$950,5,FALSE)</f>
        <v>0</v>
      </c>
      <c r="AG389" s="31">
        <f>VLOOKUP($A389,kurspris!$A$1:$Q$950,6,FALSE)</f>
        <v>0</v>
      </c>
      <c r="AH389" s="31">
        <f>VLOOKUP($A389,kurspris!$A$1:$Q$950,7,FALSE)</f>
        <v>0</v>
      </c>
      <c r="AI389" s="31">
        <f>VLOOKUP($A389,kurspris!$A$1:$Q$950,8,FALSE)</f>
        <v>0.5</v>
      </c>
      <c r="AJ389" s="31">
        <f>VLOOKUP($A389,kurspris!$A$1:$Q$950,9,FALSE)</f>
        <v>0</v>
      </c>
      <c r="AK389" s="31">
        <f>VLOOKUP($A389,kurspris!$A$1:$Q$950,10,FALSE)</f>
        <v>0.5</v>
      </c>
      <c r="AL389" s="31">
        <f>VLOOKUP($A389,kurspris!$A$1:$Q$950,11,FALSE)</f>
        <v>0</v>
      </c>
      <c r="AM389" s="31">
        <f>VLOOKUP($A389,kurspris!$A$1:$Q$950,12,FALSE)</f>
        <v>0</v>
      </c>
      <c r="AN389" s="31">
        <f>VLOOKUP($A389,kurspris!$A$1:$Q$950,13,FALSE)</f>
        <v>0</v>
      </c>
      <c r="AO389" s="31">
        <f>VLOOKUP($A389,kurspris!$A$1:$Q$950,14,FALSE)</f>
        <v>0</v>
      </c>
      <c r="AP389" s="57" t="s">
        <v>2402</v>
      </c>
      <c r="AQ389"/>
      <c r="AR389" s="31">
        <f t="shared" si="185"/>
        <v>0</v>
      </c>
      <c r="AS389" s="219">
        <f t="shared" si="186"/>
        <v>0</v>
      </c>
      <c r="AT389" s="31">
        <f t="shared" si="187"/>
        <v>0</v>
      </c>
      <c r="AU389" s="219">
        <f t="shared" si="188"/>
        <v>0</v>
      </c>
      <c r="AV389" s="31">
        <f t="shared" si="189"/>
        <v>0</v>
      </c>
      <c r="AW389" s="31">
        <f t="shared" si="190"/>
        <v>0</v>
      </c>
      <c r="AX389" s="31">
        <f t="shared" si="191"/>
        <v>0</v>
      </c>
      <c r="AY389" s="219">
        <f t="shared" si="192"/>
        <v>0</v>
      </c>
      <c r="AZ389" s="196">
        <f t="shared" si="193"/>
        <v>0</v>
      </c>
      <c r="BA389" s="219">
        <f t="shared" si="194"/>
        <v>0</v>
      </c>
      <c r="BB389" s="31">
        <f t="shared" si="195"/>
        <v>0.6875</v>
      </c>
      <c r="BC389" s="219">
        <f t="shared" si="196"/>
        <v>0.58437499999999998</v>
      </c>
      <c r="BD389" s="31">
        <f t="shared" si="197"/>
        <v>0</v>
      </c>
      <c r="BE389" s="219">
        <f t="shared" si="198"/>
        <v>0</v>
      </c>
      <c r="BF389" s="31">
        <f t="shared" si="199"/>
        <v>0.6875</v>
      </c>
      <c r="BG389" s="219">
        <f t="shared" si="200"/>
        <v>0.58437499999999998</v>
      </c>
      <c r="BH389" s="31">
        <f t="shared" si="201"/>
        <v>0</v>
      </c>
      <c r="BI389" s="219">
        <f t="shared" si="202"/>
        <v>0</v>
      </c>
      <c r="BJ389" s="31">
        <f t="shared" si="203"/>
        <v>0</v>
      </c>
      <c r="BK389" s="219">
        <f t="shared" si="204"/>
        <v>0</v>
      </c>
      <c r="BL389" s="31">
        <f t="shared" si="205"/>
        <v>0</v>
      </c>
      <c r="BM389" s="219">
        <f t="shared" si="206"/>
        <v>0</v>
      </c>
      <c r="BN389" s="31">
        <f t="shared" si="207"/>
        <v>0</v>
      </c>
      <c r="BO389" s="219">
        <f t="shared" si="208"/>
        <v>0</v>
      </c>
    </row>
    <row r="390" spans="1:67" x14ac:dyDescent="0.25">
      <c r="A390" s="31" t="s">
        <v>1899</v>
      </c>
      <c r="B390" s="176" t="str">
        <f>VLOOKUP(A390,kurspris!$A$1:$B$992,2,FALSE)</f>
        <v>Problemlösning och matematiska resonemang</v>
      </c>
      <c r="C390" s="31">
        <v>75809</v>
      </c>
      <c r="D390" s="31" t="s">
        <v>117</v>
      </c>
      <c r="F390" s="57" t="s">
        <v>2274</v>
      </c>
      <c r="H390" s="31" t="s">
        <v>2335</v>
      </c>
      <c r="I390" s="31" t="s">
        <v>2399</v>
      </c>
      <c r="L390" s="38"/>
      <c r="M390">
        <v>7.5</v>
      </c>
      <c r="P390" s="31">
        <v>4</v>
      </c>
      <c r="Q390" s="539">
        <v>0.5</v>
      </c>
      <c r="R390" s="38">
        <v>0.8</v>
      </c>
      <c r="S390" s="280">
        <f t="shared" si="181"/>
        <v>0.4</v>
      </c>
      <c r="T390" s="31">
        <f>VLOOKUP(A390,'Ansvar kurs'!$A$1:$C$1123,2,FALSE)</f>
        <v>5730</v>
      </c>
      <c r="U390" s="31" t="str">
        <f>VLOOKUP(T390,Orgenheter!$A$1:$C$166,2,FALSE)</f>
        <v>Inst för MA och MA statistik</v>
      </c>
      <c r="V390" s="31" t="str">
        <f>VLOOKUP(T390,Orgenheter!$A$1:$C$166,3,FALSE)</f>
        <v>TekNat</v>
      </c>
      <c r="W390" s="35" t="str">
        <f>VLOOKUP(D390,Program!$A$1:$B$36,2,FALSE)</f>
        <v>Fristående och övriga kurser</v>
      </c>
      <c r="X390" s="40">
        <f>VLOOKUP(A390,kurspris!$A$1:$Q$913,15,FALSE)</f>
        <v>20757</v>
      </c>
      <c r="Y390" s="40">
        <f>VLOOKUP(A390,kurspris!$A$1:$Q$913,16,FALSE)</f>
        <v>36082</v>
      </c>
      <c r="Z390" s="40">
        <f t="shared" si="182"/>
        <v>24811.300000000003</v>
      </c>
      <c r="AA390" s="40">
        <f>VLOOKUP(A390,kurspris!$A$1:$Q$913,17,FALSE)</f>
        <v>22600</v>
      </c>
      <c r="AB390" s="40">
        <f t="shared" si="183"/>
        <v>11300</v>
      </c>
      <c r="AC390" s="40">
        <f t="shared" si="184"/>
        <v>36111.300000000003</v>
      </c>
      <c r="AD390" s="31">
        <f>VLOOKUP($A390,kurspris!$A$1:$Q$950,3,FALSE)</f>
        <v>0</v>
      </c>
      <c r="AE390" s="31">
        <f>VLOOKUP($A390,kurspris!$A$1:$Q$950,4,FALSE)</f>
        <v>0</v>
      </c>
      <c r="AF390" s="31">
        <f>VLOOKUP($A390,kurspris!$A$1:$Q$950,5,FALSE)</f>
        <v>0</v>
      </c>
      <c r="AG390" s="31">
        <f>VLOOKUP($A390,kurspris!$A$1:$Q$950,6,FALSE)</f>
        <v>0</v>
      </c>
      <c r="AH390" s="31">
        <f>VLOOKUP($A390,kurspris!$A$1:$Q$950,7,FALSE)</f>
        <v>0</v>
      </c>
      <c r="AI390" s="31">
        <f>VLOOKUP($A390,kurspris!$A$1:$Q$950,8,FALSE)</f>
        <v>0.5</v>
      </c>
      <c r="AJ390" s="31">
        <f>VLOOKUP($A390,kurspris!$A$1:$Q$950,9,FALSE)</f>
        <v>0</v>
      </c>
      <c r="AK390" s="31">
        <f>VLOOKUP($A390,kurspris!$A$1:$Q$950,10,FALSE)</f>
        <v>0.5</v>
      </c>
      <c r="AL390" s="31">
        <f>VLOOKUP($A390,kurspris!$A$1:$Q$950,11,FALSE)</f>
        <v>0</v>
      </c>
      <c r="AM390" s="31">
        <f>VLOOKUP($A390,kurspris!$A$1:$Q$950,12,FALSE)</f>
        <v>0</v>
      </c>
      <c r="AN390" s="31">
        <f>VLOOKUP($A390,kurspris!$A$1:$Q$950,13,FALSE)</f>
        <v>0</v>
      </c>
      <c r="AO390" s="31">
        <f>VLOOKUP($A390,kurspris!$A$1:$Q$950,14,FALSE)</f>
        <v>0</v>
      </c>
      <c r="AP390" s="57" t="s">
        <v>2402</v>
      </c>
      <c r="AQ390" s="37"/>
      <c r="AR390" s="31">
        <f t="shared" si="185"/>
        <v>0</v>
      </c>
      <c r="AS390" s="219">
        <f t="shared" si="186"/>
        <v>0</v>
      </c>
      <c r="AT390" s="31">
        <f t="shared" si="187"/>
        <v>0</v>
      </c>
      <c r="AU390" s="219">
        <f t="shared" si="188"/>
        <v>0</v>
      </c>
      <c r="AV390" s="31">
        <f t="shared" si="189"/>
        <v>0</v>
      </c>
      <c r="AW390" s="31">
        <f t="shared" si="190"/>
        <v>0</v>
      </c>
      <c r="AX390" s="31">
        <f t="shared" si="191"/>
        <v>0</v>
      </c>
      <c r="AY390" s="219">
        <f t="shared" si="192"/>
        <v>0</v>
      </c>
      <c r="AZ390" s="196">
        <f t="shared" si="193"/>
        <v>0</v>
      </c>
      <c r="BA390" s="219">
        <f t="shared" si="194"/>
        <v>0</v>
      </c>
      <c r="BB390" s="31">
        <f t="shared" si="195"/>
        <v>0.25</v>
      </c>
      <c r="BC390" s="219">
        <f t="shared" si="196"/>
        <v>0.2</v>
      </c>
      <c r="BD390" s="31">
        <f t="shared" si="197"/>
        <v>0</v>
      </c>
      <c r="BE390" s="219">
        <f t="shared" si="198"/>
        <v>0</v>
      </c>
      <c r="BF390" s="31">
        <f t="shared" si="199"/>
        <v>0.25</v>
      </c>
      <c r="BG390" s="219">
        <f t="shared" si="200"/>
        <v>0.2</v>
      </c>
      <c r="BH390" s="31">
        <f t="shared" si="201"/>
        <v>0</v>
      </c>
      <c r="BI390" s="219">
        <f t="shared" si="202"/>
        <v>0</v>
      </c>
      <c r="BJ390" s="31">
        <f t="shared" si="203"/>
        <v>0</v>
      </c>
      <c r="BK390" s="219">
        <f t="shared" si="204"/>
        <v>0</v>
      </c>
      <c r="BL390" s="31">
        <f t="shared" si="205"/>
        <v>0</v>
      </c>
      <c r="BM390" s="219">
        <f t="shared" si="206"/>
        <v>0</v>
      </c>
      <c r="BN390" s="31">
        <f t="shared" si="207"/>
        <v>0</v>
      </c>
      <c r="BO390" s="219">
        <f t="shared" si="208"/>
        <v>0</v>
      </c>
    </row>
    <row r="391" spans="1:67" x14ac:dyDescent="0.25">
      <c r="A391" s="31" t="s">
        <v>1899</v>
      </c>
      <c r="B391" s="176" t="str">
        <f>VLOOKUP(A391,kurspris!$A$1:$B$992,2,FALSE)</f>
        <v>Problemlösning och matematiska resonemang</v>
      </c>
      <c r="C391" s="31">
        <v>75809</v>
      </c>
      <c r="D391" s="31" t="s">
        <v>481</v>
      </c>
      <c r="F391" s="57" t="s">
        <v>2274</v>
      </c>
      <c r="H391" s="31" t="s">
        <v>2335</v>
      </c>
      <c r="I391" s="31" t="s">
        <v>2399</v>
      </c>
      <c r="J391" s="31" t="s">
        <v>2244</v>
      </c>
      <c r="L391" s="38"/>
      <c r="M391">
        <v>7.5</v>
      </c>
      <c r="P391" s="31">
        <v>1</v>
      </c>
      <c r="Q391" s="539">
        <v>0.125</v>
      </c>
      <c r="R391" s="38">
        <v>0.85</v>
      </c>
      <c r="S391" s="280">
        <f t="shared" si="181"/>
        <v>0.10625</v>
      </c>
      <c r="T391" s="31">
        <f>VLOOKUP(A391,'Ansvar kurs'!$A$1:$C$1123,2,FALSE)</f>
        <v>5730</v>
      </c>
      <c r="U391" s="31" t="str">
        <f>VLOOKUP(T391,Orgenheter!$A$1:$C$166,2,FALSE)</f>
        <v>Inst för MA och MA statistik</v>
      </c>
      <c r="V391" s="31" t="str">
        <f>VLOOKUP(T391,Orgenheter!$A$1:$C$166,3,FALSE)</f>
        <v>TekNat</v>
      </c>
      <c r="W391" s="35" t="str">
        <f>VLOOKUP(D391,Program!$A$1:$B$36,2,FALSE)</f>
        <v>Ämneslärarprogrammet - åk 7-9</v>
      </c>
      <c r="X391" s="40">
        <f>VLOOKUP(A391,kurspris!$A$1:$Q$913,15,FALSE)</f>
        <v>20757</v>
      </c>
      <c r="Y391" s="40">
        <f>VLOOKUP(A391,kurspris!$A$1:$Q$913,16,FALSE)</f>
        <v>36082</v>
      </c>
      <c r="Z391" s="40">
        <f t="shared" si="182"/>
        <v>6428.3374999999996</v>
      </c>
      <c r="AA391" s="40">
        <f>VLOOKUP(A391,kurspris!$A$1:$Q$913,17,FALSE)</f>
        <v>22600</v>
      </c>
      <c r="AB391" s="40">
        <f t="shared" si="183"/>
        <v>2825</v>
      </c>
      <c r="AC391" s="40">
        <f t="shared" si="184"/>
        <v>9253.3374999999996</v>
      </c>
      <c r="AD391" s="31">
        <f>VLOOKUP($A391,kurspris!$A$1:$Q$950,3,FALSE)</f>
        <v>0</v>
      </c>
      <c r="AE391" s="31">
        <f>VLOOKUP($A391,kurspris!$A$1:$Q$950,4,FALSE)</f>
        <v>0</v>
      </c>
      <c r="AF391" s="31">
        <f>VLOOKUP($A391,kurspris!$A$1:$Q$950,5,FALSE)</f>
        <v>0</v>
      </c>
      <c r="AG391" s="31">
        <f>VLOOKUP($A391,kurspris!$A$1:$Q$950,6,FALSE)</f>
        <v>0</v>
      </c>
      <c r="AH391" s="31">
        <f>VLOOKUP($A391,kurspris!$A$1:$Q$950,7,FALSE)</f>
        <v>0</v>
      </c>
      <c r="AI391" s="31">
        <f>VLOOKUP($A391,kurspris!$A$1:$Q$950,8,FALSE)</f>
        <v>0.5</v>
      </c>
      <c r="AJ391" s="31">
        <f>VLOOKUP($A391,kurspris!$A$1:$Q$950,9,FALSE)</f>
        <v>0</v>
      </c>
      <c r="AK391" s="31">
        <f>VLOOKUP($A391,kurspris!$A$1:$Q$950,10,FALSE)</f>
        <v>0.5</v>
      </c>
      <c r="AL391" s="31">
        <f>VLOOKUP($A391,kurspris!$A$1:$Q$950,11,FALSE)</f>
        <v>0</v>
      </c>
      <c r="AM391" s="31">
        <f>VLOOKUP($A391,kurspris!$A$1:$Q$950,12,FALSE)</f>
        <v>0</v>
      </c>
      <c r="AN391" s="31">
        <f>VLOOKUP($A391,kurspris!$A$1:$Q$950,13,FALSE)</f>
        <v>0</v>
      </c>
      <c r="AO391" s="31">
        <f>VLOOKUP($A391,kurspris!$A$1:$Q$950,14,FALSE)</f>
        <v>0</v>
      </c>
      <c r="AP391" s="57" t="s">
        <v>2402</v>
      </c>
      <c r="AQ391" s="37"/>
      <c r="AR391" s="31">
        <f t="shared" si="185"/>
        <v>0</v>
      </c>
      <c r="AS391" s="219">
        <f t="shared" si="186"/>
        <v>0</v>
      </c>
      <c r="AT391" s="31">
        <f t="shared" si="187"/>
        <v>0</v>
      </c>
      <c r="AU391" s="219">
        <f t="shared" si="188"/>
        <v>0</v>
      </c>
      <c r="AV391" s="31">
        <f t="shared" si="189"/>
        <v>0</v>
      </c>
      <c r="AW391" s="31">
        <f t="shared" si="190"/>
        <v>0</v>
      </c>
      <c r="AX391" s="31">
        <f t="shared" si="191"/>
        <v>0</v>
      </c>
      <c r="AY391" s="219">
        <f t="shared" si="192"/>
        <v>0</v>
      </c>
      <c r="AZ391" s="196">
        <f t="shared" si="193"/>
        <v>0</v>
      </c>
      <c r="BA391" s="219">
        <f t="shared" si="194"/>
        <v>0</v>
      </c>
      <c r="BB391" s="31">
        <f t="shared" si="195"/>
        <v>6.25E-2</v>
      </c>
      <c r="BC391" s="219">
        <f t="shared" si="196"/>
        <v>5.3124999999999999E-2</v>
      </c>
      <c r="BD391" s="31">
        <f t="shared" si="197"/>
        <v>0</v>
      </c>
      <c r="BE391" s="219">
        <f t="shared" si="198"/>
        <v>0</v>
      </c>
      <c r="BF391" s="31">
        <f t="shared" si="199"/>
        <v>6.25E-2</v>
      </c>
      <c r="BG391" s="219">
        <f t="shared" si="200"/>
        <v>5.3124999999999999E-2</v>
      </c>
      <c r="BH391" s="31">
        <f t="shared" si="201"/>
        <v>0</v>
      </c>
      <c r="BI391" s="219">
        <f t="shared" si="202"/>
        <v>0</v>
      </c>
      <c r="BJ391" s="31">
        <f t="shared" si="203"/>
        <v>0</v>
      </c>
      <c r="BK391" s="219">
        <f t="shared" si="204"/>
        <v>0</v>
      </c>
      <c r="BL391" s="31">
        <f t="shared" si="205"/>
        <v>0</v>
      </c>
      <c r="BM391" s="219">
        <f t="shared" si="206"/>
        <v>0</v>
      </c>
      <c r="BN391" s="31">
        <f t="shared" si="207"/>
        <v>0</v>
      </c>
      <c r="BO391" s="219">
        <f t="shared" si="208"/>
        <v>0</v>
      </c>
    </row>
    <row r="392" spans="1:67" x14ac:dyDescent="0.25">
      <c r="A392" s="31" t="s">
        <v>1899</v>
      </c>
      <c r="B392" s="176" t="str">
        <f>VLOOKUP(A392,kurspris!$A$1:$B$992,2,FALSE)</f>
        <v>Problemlösning och matematiska resonemang</v>
      </c>
      <c r="C392" s="31">
        <v>75809</v>
      </c>
      <c r="D392" s="31" t="s">
        <v>482</v>
      </c>
      <c r="F392" s="57" t="s">
        <v>2274</v>
      </c>
      <c r="H392" s="31" t="s">
        <v>2335</v>
      </c>
      <c r="I392" s="31" t="s">
        <v>2399</v>
      </c>
      <c r="J392" s="31" t="s">
        <v>2232</v>
      </c>
      <c r="L392" s="38"/>
      <c r="M392">
        <v>7.5</v>
      </c>
      <c r="P392" s="31">
        <v>2</v>
      </c>
      <c r="Q392" s="539">
        <v>0.25</v>
      </c>
      <c r="R392" s="38">
        <v>0.85</v>
      </c>
      <c r="S392" s="280">
        <f t="shared" si="181"/>
        <v>0.21249999999999999</v>
      </c>
      <c r="T392" s="31">
        <f>VLOOKUP(A392,'Ansvar kurs'!$A$1:$C$1123,2,FALSE)</f>
        <v>5730</v>
      </c>
      <c r="U392" s="31" t="str">
        <f>VLOOKUP(T392,Orgenheter!$A$1:$C$166,2,FALSE)</f>
        <v>Inst för MA och MA statistik</v>
      </c>
      <c r="V392" s="31" t="str">
        <f>VLOOKUP(T392,Orgenheter!$A$1:$C$166,3,FALSE)</f>
        <v>TekNat</v>
      </c>
      <c r="W392" s="35" t="str">
        <f>VLOOKUP(D392,Program!$A$1:$B$36,2,FALSE)</f>
        <v>Ämneslärarprogrammet - Gy</v>
      </c>
      <c r="X392" s="40">
        <f>VLOOKUP(A392,kurspris!$A$1:$Q$913,15,FALSE)</f>
        <v>20757</v>
      </c>
      <c r="Y392" s="40">
        <f>VLOOKUP(A392,kurspris!$A$1:$Q$913,16,FALSE)</f>
        <v>36082</v>
      </c>
      <c r="Z392" s="40">
        <f t="shared" si="182"/>
        <v>12856.674999999999</v>
      </c>
      <c r="AA392" s="40">
        <f>VLOOKUP(A392,kurspris!$A$1:$Q$913,17,FALSE)</f>
        <v>22600</v>
      </c>
      <c r="AB392" s="40">
        <f t="shared" si="183"/>
        <v>5650</v>
      </c>
      <c r="AC392" s="40">
        <f t="shared" si="184"/>
        <v>18506.674999999999</v>
      </c>
      <c r="AD392" s="31">
        <f>VLOOKUP($A392,kurspris!$A$1:$Q$950,3,FALSE)</f>
        <v>0</v>
      </c>
      <c r="AE392" s="31">
        <f>VLOOKUP($A392,kurspris!$A$1:$Q$950,4,FALSE)</f>
        <v>0</v>
      </c>
      <c r="AF392" s="31">
        <f>VLOOKUP($A392,kurspris!$A$1:$Q$950,5,FALSE)</f>
        <v>0</v>
      </c>
      <c r="AG392" s="31">
        <f>VLOOKUP($A392,kurspris!$A$1:$Q$950,6,FALSE)</f>
        <v>0</v>
      </c>
      <c r="AH392" s="31">
        <f>VLOOKUP($A392,kurspris!$A$1:$Q$950,7,FALSE)</f>
        <v>0</v>
      </c>
      <c r="AI392" s="31">
        <f>VLOOKUP($A392,kurspris!$A$1:$Q$950,8,FALSE)</f>
        <v>0.5</v>
      </c>
      <c r="AJ392" s="31">
        <f>VLOOKUP($A392,kurspris!$A$1:$Q$950,9,FALSE)</f>
        <v>0</v>
      </c>
      <c r="AK392" s="31">
        <f>VLOOKUP($A392,kurspris!$A$1:$Q$950,10,FALSE)</f>
        <v>0.5</v>
      </c>
      <c r="AL392" s="31">
        <f>VLOOKUP($A392,kurspris!$A$1:$Q$950,11,FALSE)</f>
        <v>0</v>
      </c>
      <c r="AM392" s="31">
        <f>VLOOKUP($A392,kurspris!$A$1:$Q$950,12,FALSE)</f>
        <v>0</v>
      </c>
      <c r="AN392" s="31">
        <f>VLOOKUP($A392,kurspris!$A$1:$Q$950,13,FALSE)</f>
        <v>0</v>
      </c>
      <c r="AO392" s="31">
        <f>VLOOKUP($A392,kurspris!$A$1:$Q$950,14,FALSE)</f>
        <v>0</v>
      </c>
      <c r="AP392" s="57" t="s">
        <v>2402</v>
      </c>
      <c r="AQ392" s="37"/>
      <c r="AR392" s="31">
        <f t="shared" si="185"/>
        <v>0</v>
      </c>
      <c r="AS392" s="219">
        <f t="shared" si="186"/>
        <v>0</v>
      </c>
      <c r="AT392" s="31">
        <f t="shared" si="187"/>
        <v>0</v>
      </c>
      <c r="AU392" s="219">
        <f t="shared" si="188"/>
        <v>0</v>
      </c>
      <c r="AV392" s="31">
        <f t="shared" si="189"/>
        <v>0</v>
      </c>
      <c r="AW392" s="31">
        <f t="shared" si="190"/>
        <v>0</v>
      </c>
      <c r="AX392" s="31">
        <f t="shared" si="191"/>
        <v>0</v>
      </c>
      <c r="AY392" s="219">
        <f t="shared" si="192"/>
        <v>0</v>
      </c>
      <c r="AZ392" s="196">
        <f t="shared" si="193"/>
        <v>0</v>
      </c>
      <c r="BA392" s="219">
        <f t="shared" si="194"/>
        <v>0</v>
      </c>
      <c r="BB392" s="31">
        <f t="shared" si="195"/>
        <v>0.125</v>
      </c>
      <c r="BC392" s="219">
        <f t="shared" si="196"/>
        <v>0.10625</v>
      </c>
      <c r="BD392" s="31">
        <f t="shared" si="197"/>
        <v>0</v>
      </c>
      <c r="BE392" s="219">
        <f t="shared" si="198"/>
        <v>0</v>
      </c>
      <c r="BF392" s="31">
        <f t="shared" si="199"/>
        <v>0.125</v>
      </c>
      <c r="BG392" s="219">
        <f t="shared" si="200"/>
        <v>0.10625</v>
      </c>
      <c r="BH392" s="31">
        <f t="shared" si="201"/>
        <v>0</v>
      </c>
      <c r="BI392" s="219">
        <f t="shared" si="202"/>
        <v>0</v>
      </c>
      <c r="BJ392" s="31">
        <f t="shared" si="203"/>
        <v>0</v>
      </c>
      <c r="BK392" s="219">
        <f t="shared" si="204"/>
        <v>0</v>
      </c>
      <c r="BL392" s="31">
        <f t="shared" si="205"/>
        <v>0</v>
      </c>
      <c r="BM392" s="219">
        <f t="shared" si="206"/>
        <v>0</v>
      </c>
      <c r="BN392" s="31">
        <f t="shared" si="207"/>
        <v>0</v>
      </c>
      <c r="BO392" s="219">
        <f t="shared" si="208"/>
        <v>0</v>
      </c>
    </row>
    <row r="393" spans="1:67" x14ac:dyDescent="0.25">
      <c r="A393" s="57" t="s">
        <v>1899</v>
      </c>
      <c r="B393" s="176" t="str">
        <f>VLOOKUP(A393,kurspris!$A$1:$B$992,2,FALSE)</f>
        <v>Problemlösning och matematiska resonemang</v>
      </c>
      <c r="C393" s="31">
        <v>75809</v>
      </c>
      <c r="D393" s="31" t="s">
        <v>482</v>
      </c>
      <c r="F393" s="57" t="s">
        <v>2274</v>
      </c>
      <c r="H393" s="31" t="s">
        <v>2335</v>
      </c>
      <c r="I393" s="31" t="s">
        <v>2399</v>
      </c>
      <c r="J393" s="31" t="s">
        <v>2233</v>
      </c>
      <c r="L393" s="38"/>
      <c r="M393">
        <v>7.5</v>
      </c>
      <c r="P393" s="31">
        <v>11</v>
      </c>
      <c r="Q393" s="539">
        <v>1.375</v>
      </c>
      <c r="R393" s="38">
        <v>0.85</v>
      </c>
      <c r="S393" s="280">
        <f t="shared" si="181"/>
        <v>1.16875</v>
      </c>
      <c r="T393" s="31">
        <f>VLOOKUP(A393,'Ansvar kurs'!$A$1:$C$1123,2,FALSE)</f>
        <v>5730</v>
      </c>
      <c r="U393" s="31" t="str">
        <f>VLOOKUP(T393,Orgenheter!$A$1:$C$166,2,FALSE)</f>
        <v>Inst för MA och MA statistik</v>
      </c>
      <c r="V393" s="31" t="str">
        <f>VLOOKUP(T393,Orgenheter!$A$1:$C$166,3,FALSE)</f>
        <v>TekNat</v>
      </c>
      <c r="W393" s="35" t="str">
        <f>VLOOKUP(D393,Program!$A$1:$B$36,2,FALSE)</f>
        <v>Ämneslärarprogrammet - Gy</v>
      </c>
      <c r="X393" s="40">
        <f>VLOOKUP(A393,kurspris!$A$1:$Q$913,15,FALSE)</f>
        <v>20757</v>
      </c>
      <c r="Y393" s="40">
        <f>VLOOKUP(A393,kurspris!$A$1:$Q$913,16,FALSE)</f>
        <v>36082</v>
      </c>
      <c r="Z393" s="40">
        <f t="shared" si="182"/>
        <v>70711.712499999994</v>
      </c>
      <c r="AA393" s="40">
        <f>VLOOKUP(A393,kurspris!$A$1:$Q$913,17,FALSE)</f>
        <v>22600</v>
      </c>
      <c r="AB393" s="40">
        <f t="shared" si="183"/>
        <v>31075</v>
      </c>
      <c r="AC393" s="40">
        <f t="shared" si="184"/>
        <v>101786.71249999999</v>
      </c>
      <c r="AD393" s="31">
        <f>VLOOKUP($A393,kurspris!$A$1:$Q$950,3,FALSE)</f>
        <v>0</v>
      </c>
      <c r="AE393" s="31">
        <f>VLOOKUP($A393,kurspris!$A$1:$Q$950,4,FALSE)</f>
        <v>0</v>
      </c>
      <c r="AF393" s="31">
        <f>VLOOKUP($A393,kurspris!$A$1:$Q$950,5,FALSE)</f>
        <v>0</v>
      </c>
      <c r="AG393" s="31">
        <f>VLOOKUP($A393,kurspris!$A$1:$Q$950,6,FALSE)</f>
        <v>0</v>
      </c>
      <c r="AH393" s="31">
        <f>VLOOKUP($A393,kurspris!$A$1:$Q$950,7,FALSE)</f>
        <v>0</v>
      </c>
      <c r="AI393" s="31">
        <f>VLOOKUP($A393,kurspris!$A$1:$Q$950,8,FALSE)</f>
        <v>0.5</v>
      </c>
      <c r="AJ393" s="31">
        <f>VLOOKUP($A393,kurspris!$A$1:$Q$950,9,FALSE)</f>
        <v>0</v>
      </c>
      <c r="AK393" s="31">
        <f>VLOOKUP($A393,kurspris!$A$1:$Q$950,10,FALSE)</f>
        <v>0.5</v>
      </c>
      <c r="AL393" s="31">
        <f>VLOOKUP($A393,kurspris!$A$1:$Q$950,11,FALSE)</f>
        <v>0</v>
      </c>
      <c r="AM393" s="31">
        <f>VLOOKUP($A393,kurspris!$A$1:$Q$950,12,FALSE)</f>
        <v>0</v>
      </c>
      <c r="AN393" s="31">
        <f>VLOOKUP($A393,kurspris!$A$1:$Q$950,13,FALSE)</f>
        <v>0</v>
      </c>
      <c r="AO393" s="31">
        <f>VLOOKUP($A393,kurspris!$A$1:$Q$950,14,FALSE)</f>
        <v>0</v>
      </c>
      <c r="AP393" s="57" t="s">
        <v>2402</v>
      </c>
      <c r="AQ393" s="37"/>
      <c r="AR393" s="31">
        <f t="shared" si="185"/>
        <v>0</v>
      </c>
      <c r="AS393" s="219">
        <f t="shared" si="186"/>
        <v>0</v>
      </c>
      <c r="AT393" s="31">
        <f t="shared" si="187"/>
        <v>0</v>
      </c>
      <c r="AU393" s="219">
        <f t="shared" si="188"/>
        <v>0</v>
      </c>
      <c r="AV393" s="31">
        <f t="shared" si="189"/>
        <v>0</v>
      </c>
      <c r="AW393" s="31">
        <f t="shared" si="190"/>
        <v>0</v>
      </c>
      <c r="AX393" s="31">
        <f t="shared" si="191"/>
        <v>0</v>
      </c>
      <c r="AY393" s="219">
        <f t="shared" si="192"/>
        <v>0</v>
      </c>
      <c r="AZ393" s="196">
        <f t="shared" si="193"/>
        <v>0</v>
      </c>
      <c r="BA393" s="219">
        <f t="shared" si="194"/>
        <v>0</v>
      </c>
      <c r="BB393" s="31">
        <f t="shared" si="195"/>
        <v>0.6875</v>
      </c>
      <c r="BC393" s="219">
        <f t="shared" si="196"/>
        <v>0.58437499999999998</v>
      </c>
      <c r="BD393" s="31">
        <f t="shared" si="197"/>
        <v>0</v>
      </c>
      <c r="BE393" s="219">
        <f t="shared" si="198"/>
        <v>0</v>
      </c>
      <c r="BF393" s="31">
        <f t="shared" si="199"/>
        <v>0.6875</v>
      </c>
      <c r="BG393" s="219">
        <f t="shared" si="200"/>
        <v>0.58437499999999998</v>
      </c>
      <c r="BH393" s="31">
        <f t="shared" si="201"/>
        <v>0</v>
      </c>
      <c r="BI393" s="219">
        <f t="shared" si="202"/>
        <v>0</v>
      </c>
      <c r="BJ393" s="31">
        <f t="shared" si="203"/>
        <v>0</v>
      </c>
      <c r="BK393" s="219">
        <f t="shared" si="204"/>
        <v>0</v>
      </c>
      <c r="BL393" s="31">
        <f t="shared" si="205"/>
        <v>0</v>
      </c>
      <c r="BM393" s="219">
        <f t="shared" si="206"/>
        <v>0</v>
      </c>
      <c r="BN393" s="31">
        <f t="shared" si="207"/>
        <v>0</v>
      </c>
      <c r="BO393" s="219">
        <f t="shared" si="208"/>
        <v>0</v>
      </c>
    </row>
    <row r="394" spans="1:67" x14ac:dyDescent="0.25">
      <c r="A394" s="57" t="s">
        <v>1900</v>
      </c>
      <c r="B394" s="176" t="str">
        <f>VLOOKUP(A394,kurspris!$A$1:$B$992,2,FALSE)</f>
        <v>Differentialekvationer och flervariabelanalys</v>
      </c>
      <c r="C394" s="31">
        <v>75800</v>
      </c>
      <c r="D394" s="31" t="s">
        <v>117</v>
      </c>
      <c r="F394" s="57" t="s">
        <v>2274</v>
      </c>
      <c r="H394" s="31" t="s">
        <v>2335</v>
      </c>
      <c r="I394" s="31" t="s">
        <v>2399</v>
      </c>
      <c r="L394" s="38"/>
      <c r="M394">
        <v>7.5</v>
      </c>
      <c r="P394" s="31">
        <v>4</v>
      </c>
      <c r="Q394" s="539">
        <v>0.5</v>
      </c>
      <c r="R394" s="38">
        <v>0.8</v>
      </c>
      <c r="S394" s="280">
        <f t="shared" si="181"/>
        <v>0.4</v>
      </c>
      <c r="T394" s="31">
        <f>VLOOKUP(A394,'Ansvar kurs'!$A$1:$C$1123,2,FALSE)</f>
        <v>5730</v>
      </c>
      <c r="U394" s="31" t="str">
        <f>VLOOKUP(T394,Orgenheter!$A$1:$C$166,2,FALSE)</f>
        <v>Inst för MA och MA statistik</v>
      </c>
      <c r="V394" s="31" t="str">
        <f>VLOOKUP(T394,Orgenheter!$A$1:$C$166,3,FALSE)</f>
        <v>TekNat</v>
      </c>
      <c r="W394" s="35" t="str">
        <f>VLOOKUP(D394,Program!$A$1:$B$36,2,FALSE)</f>
        <v>Fristående och övriga kurser</v>
      </c>
      <c r="X394" s="40">
        <f>VLOOKUP(A394,kurspris!$A$1:$Q$913,15,FALSE)</f>
        <v>20757</v>
      </c>
      <c r="Y394" s="40">
        <f>VLOOKUP(A394,kurspris!$A$1:$Q$913,16,FALSE)</f>
        <v>36082</v>
      </c>
      <c r="Z394" s="40">
        <f t="shared" si="182"/>
        <v>24811.300000000003</v>
      </c>
      <c r="AA394" s="40">
        <f>VLOOKUP(A394,kurspris!$A$1:$Q$913,17,FALSE)</f>
        <v>22600</v>
      </c>
      <c r="AB394" s="40">
        <f t="shared" si="183"/>
        <v>11300</v>
      </c>
      <c r="AC394" s="40">
        <f t="shared" si="184"/>
        <v>36111.300000000003</v>
      </c>
      <c r="AD394" s="31">
        <f>VLOOKUP($A394,kurspris!$A$1:$Q$950,3,FALSE)</f>
        <v>0</v>
      </c>
      <c r="AE394" s="31">
        <f>VLOOKUP($A394,kurspris!$A$1:$Q$950,4,FALSE)</f>
        <v>0</v>
      </c>
      <c r="AF394" s="31">
        <f>VLOOKUP($A394,kurspris!$A$1:$Q$950,5,FALSE)</f>
        <v>0</v>
      </c>
      <c r="AG394" s="31">
        <f>VLOOKUP($A394,kurspris!$A$1:$Q$950,6,FALSE)</f>
        <v>0</v>
      </c>
      <c r="AH394" s="31">
        <f>VLOOKUP($A394,kurspris!$A$1:$Q$950,7,FALSE)</f>
        <v>0</v>
      </c>
      <c r="AI394" s="31">
        <f>VLOOKUP($A394,kurspris!$A$1:$Q$950,8,FALSE)</f>
        <v>0.5</v>
      </c>
      <c r="AJ394" s="31">
        <f>VLOOKUP($A394,kurspris!$A$1:$Q$950,9,FALSE)</f>
        <v>0</v>
      </c>
      <c r="AK394" s="31">
        <f>VLOOKUP($A394,kurspris!$A$1:$Q$950,10,FALSE)</f>
        <v>0.5</v>
      </c>
      <c r="AL394" s="31">
        <f>VLOOKUP($A394,kurspris!$A$1:$Q$950,11,FALSE)</f>
        <v>0</v>
      </c>
      <c r="AM394" s="31">
        <f>VLOOKUP($A394,kurspris!$A$1:$Q$950,12,FALSE)</f>
        <v>0</v>
      </c>
      <c r="AN394" s="31">
        <f>VLOOKUP($A394,kurspris!$A$1:$Q$950,13,FALSE)</f>
        <v>0</v>
      </c>
      <c r="AO394" s="31">
        <f>VLOOKUP($A394,kurspris!$A$1:$Q$950,14,FALSE)</f>
        <v>0</v>
      </c>
      <c r="AP394" s="57" t="s">
        <v>2402</v>
      </c>
      <c r="AQ394" s="37"/>
      <c r="AR394" s="31">
        <f t="shared" si="185"/>
        <v>0</v>
      </c>
      <c r="AS394" s="219">
        <f t="shared" si="186"/>
        <v>0</v>
      </c>
      <c r="AT394" s="31">
        <f t="shared" si="187"/>
        <v>0</v>
      </c>
      <c r="AU394" s="219">
        <f t="shared" si="188"/>
        <v>0</v>
      </c>
      <c r="AV394" s="31">
        <f t="shared" si="189"/>
        <v>0</v>
      </c>
      <c r="AW394" s="31">
        <f t="shared" si="190"/>
        <v>0</v>
      </c>
      <c r="AX394" s="31">
        <f t="shared" si="191"/>
        <v>0</v>
      </c>
      <c r="AY394" s="219">
        <f t="shared" si="192"/>
        <v>0</v>
      </c>
      <c r="AZ394" s="196">
        <f t="shared" si="193"/>
        <v>0</v>
      </c>
      <c r="BA394" s="219">
        <f t="shared" si="194"/>
        <v>0</v>
      </c>
      <c r="BB394" s="31">
        <f t="shared" si="195"/>
        <v>0.25</v>
      </c>
      <c r="BC394" s="219">
        <f t="shared" si="196"/>
        <v>0.2</v>
      </c>
      <c r="BD394" s="31">
        <f t="shared" si="197"/>
        <v>0</v>
      </c>
      <c r="BE394" s="219">
        <f t="shared" si="198"/>
        <v>0</v>
      </c>
      <c r="BF394" s="31">
        <f t="shared" si="199"/>
        <v>0.25</v>
      </c>
      <c r="BG394" s="219">
        <f t="shared" si="200"/>
        <v>0.2</v>
      </c>
      <c r="BH394" s="31">
        <f t="shared" si="201"/>
        <v>0</v>
      </c>
      <c r="BI394" s="219">
        <f t="shared" si="202"/>
        <v>0</v>
      </c>
      <c r="BJ394" s="31">
        <f t="shared" si="203"/>
        <v>0</v>
      </c>
      <c r="BK394" s="219">
        <f t="shared" si="204"/>
        <v>0</v>
      </c>
      <c r="BL394" s="31">
        <f t="shared" si="205"/>
        <v>0</v>
      </c>
      <c r="BM394" s="219">
        <f t="shared" si="206"/>
        <v>0</v>
      </c>
      <c r="BN394" s="31">
        <f t="shared" si="207"/>
        <v>0</v>
      </c>
      <c r="BO394" s="219">
        <f t="shared" si="208"/>
        <v>0</v>
      </c>
    </row>
    <row r="395" spans="1:67" x14ac:dyDescent="0.25">
      <c r="A395" s="31" t="s">
        <v>1900</v>
      </c>
      <c r="B395" s="176" t="str">
        <f>VLOOKUP(A395,kurspris!$A$1:$B$992,2,FALSE)</f>
        <v>Differentialekvationer och flervariabelanalys</v>
      </c>
      <c r="C395" s="31">
        <v>75800</v>
      </c>
      <c r="D395" s="60" t="s">
        <v>481</v>
      </c>
      <c r="E395" s="60"/>
      <c r="F395" s="57" t="s">
        <v>2274</v>
      </c>
      <c r="H395" s="31" t="s">
        <v>2335</v>
      </c>
      <c r="I395" s="31" t="s">
        <v>2399</v>
      </c>
      <c r="J395" s="31" t="s">
        <v>2233</v>
      </c>
      <c r="L395" s="38"/>
      <c r="M395">
        <v>7.5</v>
      </c>
      <c r="P395" s="31">
        <v>1</v>
      </c>
      <c r="Q395" s="539">
        <v>0.125</v>
      </c>
      <c r="R395" s="38">
        <v>0.85</v>
      </c>
      <c r="S395" s="280">
        <f t="shared" si="181"/>
        <v>0.10625</v>
      </c>
      <c r="T395" s="31">
        <f>VLOOKUP(A395,'Ansvar kurs'!$A$1:$C$1123,2,FALSE)</f>
        <v>5730</v>
      </c>
      <c r="U395" s="31" t="str">
        <f>VLOOKUP(T395,Orgenheter!$A$1:$C$166,2,FALSE)</f>
        <v>Inst för MA och MA statistik</v>
      </c>
      <c r="V395" s="31" t="str">
        <f>VLOOKUP(T395,Orgenheter!$A$1:$C$166,3,FALSE)</f>
        <v>TekNat</v>
      </c>
      <c r="W395" s="35" t="str">
        <f>VLOOKUP(D395,Program!$A$1:$B$36,2,FALSE)</f>
        <v>Ämneslärarprogrammet - åk 7-9</v>
      </c>
      <c r="X395" s="40">
        <f>VLOOKUP(A395,kurspris!$A$1:$Q$913,15,FALSE)</f>
        <v>20757</v>
      </c>
      <c r="Y395" s="40">
        <f>VLOOKUP(A395,kurspris!$A$1:$Q$913,16,FALSE)</f>
        <v>36082</v>
      </c>
      <c r="Z395" s="40">
        <f t="shared" si="182"/>
        <v>6428.3374999999996</v>
      </c>
      <c r="AA395" s="40">
        <f>VLOOKUP(A395,kurspris!$A$1:$Q$913,17,FALSE)</f>
        <v>22600</v>
      </c>
      <c r="AB395" s="40">
        <f t="shared" si="183"/>
        <v>2825</v>
      </c>
      <c r="AC395" s="40">
        <f t="shared" si="184"/>
        <v>9253.3374999999996</v>
      </c>
      <c r="AD395" s="31">
        <f>VLOOKUP($A395,kurspris!$A$1:$Q$950,3,FALSE)</f>
        <v>0</v>
      </c>
      <c r="AE395" s="31">
        <f>VLOOKUP($A395,kurspris!$A$1:$Q$950,4,FALSE)</f>
        <v>0</v>
      </c>
      <c r="AF395" s="31">
        <f>VLOOKUP($A395,kurspris!$A$1:$Q$950,5,FALSE)</f>
        <v>0</v>
      </c>
      <c r="AG395" s="31">
        <f>VLOOKUP($A395,kurspris!$A$1:$Q$950,6,FALSE)</f>
        <v>0</v>
      </c>
      <c r="AH395" s="31">
        <f>VLOOKUP($A395,kurspris!$A$1:$Q$950,7,FALSE)</f>
        <v>0</v>
      </c>
      <c r="AI395" s="31">
        <f>VLOOKUP($A395,kurspris!$A$1:$Q$950,8,FALSE)</f>
        <v>0.5</v>
      </c>
      <c r="AJ395" s="31">
        <f>VLOOKUP($A395,kurspris!$A$1:$Q$950,9,FALSE)</f>
        <v>0</v>
      </c>
      <c r="AK395" s="31">
        <f>VLOOKUP($A395,kurspris!$A$1:$Q$950,10,FALSE)</f>
        <v>0.5</v>
      </c>
      <c r="AL395" s="31">
        <f>VLOOKUP($A395,kurspris!$A$1:$Q$950,11,FALSE)</f>
        <v>0</v>
      </c>
      <c r="AM395" s="31">
        <f>VLOOKUP($A395,kurspris!$A$1:$Q$950,12,FALSE)</f>
        <v>0</v>
      </c>
      <c r="AN395" s="31">
        <f>VLOOKUP($A395,kurspris!$A$1:$Q$950,13,FALSE)</f>
        <v>0</v>
      </c>
      <c r="AO395" s="31">
        <f>VLOOKUP($A395,kurspris!$A$1:$Q$950,14,FALSE)</f>
        <v>0</v>
      </c>
      <c r="AP395" s="57" t="s">
        <v>2402</v>
      </c>
      <c r="AQ395"/>
      <c r="AR395" s="31">
        <f t="shared" si="185"/>
        <v>0</v>
      </c>
      <c r="AS395" s="219">
        <f t="shared" si="186"/>
        <v>0</v>
      </c>
      <c r="AT395" s="31">
        <f t="shared" si="187"/>
        <v>0</v>
      </c>
      <c r="AU395" s="219">
        <f t="shared" si="188"/>
        <v>0</v>
      </c>
      <c r="AV395" s="31">
        <f t="shared" si="189"/>
        <v>0</v>
      </c>
      <c r="AW395" s="31">
        <f t="shared" si="190"/>
        <v>0</v>
      </c>
      <c r="AX395" s="31">
        <f t="shared" si="191"/>
        <v>0</v>
      </c>
      <c r="AY395" s="219">
        <f t="shared" si="192"/>
        <v>0</v>
      </c>
      <c r="AZ395" s="196">
        <f t="shared" si="193"/>
        <v>0</v>
      </c>
      <c r="BA395" s="219">
        <f t="shared" si="194"/>
        <v>0</v>
      </c>
      <c r="BB395" s="31">
        <f t="shared" si="195"/>
        <v>6.25E-2</v>
      </c>
      <c r="BC395" s="219">
        <f t="shared" si="196"/>
        <v>5.3124999999999999E-2</v>
      </c>
      <c r="BD395" s="31">
        <f t="shared" si="197"/>
        <v>0</v>
      </c>
      <c r="BE395" s="219">
        <f t="shared" si="198"/>
        <v>0</v>
      </c>
      <c r="BF395" s="31">
        <f t="shared" si="199"/>
        <v>6.25E-2</v>
      </c>
      <c r="BG395" s="219">
        <f t="shared" si="200"/>
        <v>5.3124999999999999E-2</v>
      </c>
      <c r="BH395" s="31">
        <f t="shared" si="201"/>
        <v>0</v>
      </c>
      <c r="BI395" s="219">
        <f t="shared" si="202"/>
        <v>0</v>
      </c>
      <c r="BJ395" s="31">
        <f t="shared" si="203"/>
        <v>0</v>
      </c>
      <c r="BK395" s="219">
        <f t="shared" si="204"/>
        <v>0</v>
      </c>
      <c r="BL395" s="31">
        <f t="shared" si="205"/>
        <v>0</v>
      </c>
      <c r="BM395" s="219">
        <f t="shared" si="206"/>
        <v>0</v>
      </c>
      <c r="BN395" s="31">
        <f t="shared" si="207"/>
        <v>0</v>
      </c>
      <c r="BO395" s="219">
        <f t="shared" si="208"/>
        <v>0</v>
      </c>
    </row>
    <row r="396" spans="1:67" x14ac:dyDescent="0.25">
      <c r="A396" s="31" t="s">
        <v>1900</v>
      </c>
      <c r="B396" s="176" t="str">
        <f>VLOOKUP(A396,kurspris!$A$1:$B$992,2,FALSE)</f>
        <v>Differentialekvationer och flervariabelanalys</v>
      </c>
      <c r="C396" s="31">
        <v>75800</v>
      </c>
      <c r="D396" s="60" t="s">
        <v>482</v>
      </c>
      <c r="E396" s="60"/>
      <c r="F396" s="57" t="s">
        <v>2274</v>
      </c>
      <c r="H396" s="31" t="s">
        <v>2335</v>
      </c>
      <c r="I396" s="31" t="s">
        <v>2399</v>
      </c>
      <c r="J396" s="31" t="s">
        <v>2232</v>
      </c>
      <c r="L396" s="38"/>
      <c r="M396">
        <v>7.5</v>
      </c>
      <c r="P396" s="31">
        <v>1</v>
      </c>
      <c r="Q396" s="539">
        <v>0.125</v>
      </c>
      <c r="R396" s="38">
        <v>0.85</v>
      </c>
      <c r="S396" s="280">
        <f t="shared" si="181"/>
        <v>0.10625</v>
      </c>
      <c r="T396" s="31">
        <f>VLOOKUP(A396,'Ansvar kurs'!$A$1:$C$1123,2,FALSE)</f>
        <v>5730</v>
      </c>
      <c r="U396" s="31" t="str">
        <f>VLOOKUP(T396,Orgenheter!$A$1:$C$166,2,FALSE)</f>
        <v>Inst för MA och MA statistik</v>
      </c>
      <c r="V396" s="31" t="str">
        <f>VLOOKUP(T396,Orgenheter!$A$1:$C$166,3,FALSE)</f>
        <v>TekNat</v>
      </c>
      <c r="W396" s="35" t="str">
        <f>VLOOKUP(D396,Program!$A$1:$B$36,2,FALSE)</f>
        <v>Ämneslärarprogrammet - Gy</v>
      </c>
      <c r="X396" s="40">
        <f>VLOOKUP(A396,kurspris!$A$1:$Q$913,15,FALSE)</f>
        <v>20757</v>
      </c>
      <c r="Y396" s="40">
        <f>VLOOKUP(A396,kurspris!$A$1:$Q$913,16,FALSE)</f>
        <v>36082</v>
      </c>
      <c r="Z396" s="40">
        <f t="shared" si="182"/>
        <v>6428.3374999999996</v>
      </c>
      <c r="AA396" s="40">
        <f>VLOOKUP(A396,kurspris!$A$1:$Q$913,17,FALSE)</f>
        <v>22600</v>
      </c>
      <c r="AB396" s="40">
        <f t="shared" si="183"/>
        <v>2825</v>
      </c>
      <c r="AC396" s="40">
        <f t="shared" si="184"/>
        <v>9253.3374999999996</v>
      </c>
      <c r="AD396" s="31">
        <f>VLOOKUP($A396,kurspris!$A$1:$Q$950,3,FALSE)</f>
        <v>0</v>
      </c>
      <c r="AE396" s="31">
        <f>VLOOKUP($A396,kurspris!$A$1:$Q$950,4,FALSE)</f>
        <v>0</v>
      </c>
      <c r="AF396" s="31">
        <f>VLOOKUP($A396,kurspris!$A$1:$Q$950,5,FALSE)</f>
        <v>0</v>
      </c>
      <c r="AG396" s="31">
        <f>VLOOKUP($A396,kurspris!$A$1:$Q$950,6,FALSE)</f>
        <v>0</v>
      </c>
      <c r="AH396" s="31">
        <f>VLOOKUP($A396,kurspris!$A$1:$Q$950,7,FALSE)</f>
        <v>0</v>
      </c>
      <c r="AI396" s="31">
        <f>VLOOKUP($A396,kurspris!$A$1:$Q$950,8,FALSE)</f>
        <v>0.5</v>
      </c>
      <c r="AJ396" s="31">
        <f>VLOOKUP($A396,kurspris!$A$1:$Q$950,9,FALSE)</f>
        <v>0</v>
      </c>
      <c r="AK396" s="31">
        <f>VLOOKUP($A396,kurspris!$A$1:$Q$950,10,FALSE)</f>
        <v>0.5</v>
      </c>
      <c r="AL396" s="31">
        <f>VLOOKUP($A396,kurspris!$A$1:$Q$950,11,FALSE)</f>
        <v>0</v>
      </c>
      <c r="AM396" s="31">
        <f>VLOOKUP($A396,kurspris!$A$1:$Q$950,12,FALSE)</f>
        <v>0</v>
      </c>
      <c r="AN396" s="31">
        <f>VLOOKUP($A396,kurspris!$A$1:$Q$950,13,FALSE)</f>
        <v>0</v>
      </c>
      <c r="AO396" s="31">
        <f>VLOOKUP($A396,kurspris!$A$1:$Q$950,14,FALSE)</f>
        <v>0</v>
      </c>
      <c r="AP396" s="57" t="s">
        <v>2402</v>
      </c>
      <c r="AQ396"/>
      <c r="AR396" s="31">
        <f t="shared" si="185"/>
        <v>0</v>
      </c>
      <c r="AS396" s="219">
        <f t="shared" si="186"/>
        <v>0</v>
      </c>
      <c r="AT396" s="31">
        <f t="shared" si="187"/>
        <v>0</v>
      </c>
      <c r="AU396" s="219">
        <f t="shared" si="188"/>
        <v>0</v>
      </c>
      <c r="AV396" s="31">
        <f t="shared" si="189"/>
        <v>0</v>
      </c>
      <c r="AW396" s="31">
        <f t="shared" si="190"/>
        <v>0</v>
      </c>
      <c r="AX396" s="31">
        <f t="shared" si="191"/>
        <v>0</v>
      </c>
      <c r="AY396" s="219">
        <f t="shared" si="192"/>
        <v>0</v>
      </c>
      <c r="AZ396" s="196">
        <f t="shared" si="193"/>
        <v>0</v>
      </c>
      <c r="BA396" s="219">
        <f t="shared" si="194"/>
        <v>0</v>
      </c>
      <c r="BB396" s="31">
        <f t="shared" si="195"/>
        <v>6.25E-2</v>
      </c>
      <c r="BC396" s="219">
        <f t="shared" si="196"/>
        <v>5.3124999999999999E-2</v>
      </c>
      <c r="BD396" s="31">
        <f t="shared" si="197"/>
        <v>0</v>
      </c>
      <c r="BE396" s="219">
        <f t="shared" si="198"/>
        <v>0</v>
      </c>
      <c r="BF396" s="31">
        <f t="shared" si="199"/>
        <v>6.25E-2</v>
      </c>
      <c r="BG396" s="219">
        <f t="shared" si="200"/>
        <v>5.3124999999999999E-2</v>
      </c>
      <c r="BH396" s="31">
        <f t="shared" si="201"/>
        <v>0</v>
      </c>
      <c r="BI396" s="219">
        <f t="shared" si="202"/>
        <v>0</v>
      </c>
      <c r="BJ396" s="31">
        <f t="shared" si="203"/>
        <v>0</v>
      </c>
      <c r="BK396" s="219">
        <f t="shared" si="204"/>
        <v>0</v>
      </c>
      <c r="BL396" s="31">
        <f t="shared" si="205"/>
        <v>0</v>
      </c>
      <c r="BM396" s="219">
        <f t="shared" si="206"/>
        <v>0</v>
      </c>
      <c r="BN396" s="31">
        <f t="shared" si="207"/>
        <v>0</v>
      </c>
      <c r="BO396" s="219">
        <f t="shared" si="208"/>
        <v>0</v>
      </c>
    </row>
    <row r="397" spans="1:67" x14ac:dyDescent="0.25">
      <c r="A397" s="31" t="s">
        <v>1900</v>
      </c>
      <c r="B397" s="176" t="str">
        <f>VLOOKUP(A397,kurspris!$A$1:$B$992,2,FALSE)</f>
        <v>Differentialekvationer och flervariabelanalys</v>
      </c>
      <c r="C397" s="31">
        <v>75800</v>
      </c>
      <c r="D397" s="60" t="s">
        <v>482</v>
      </c>
      <c r="E397" s="60"/>
      <c r="F397" s="57" t="s">
        <v>2274</v>
      </c>
      <c r="H397" s="31" t="s">
        <v>2335</v>
      </c>
      <c r="I397" s="31" t="s">
        <v>2399</v>
      </c>
      <c r="J397" s="31" t="s">
        <v>2233</v>
      </c>
      <c r="L397" s="38"/>
      <c r="M397">
        <v>7.5</v>
      </c>
      <c r="P397" s="31">
        <v>9</v>
      </c>
      <c r="Q397" s="539">
        <v>1.125</v>
      </c>
      <c r="R397" s="38">
        <v>0.85</v>
      </c>
      <c r="S397" s="280">
        <f t="shared" si="181"/>
        <v>0.95624999999999993</v>
      </c>
      <c r="T397" s="31">
        <f>VLOOKUP(A397,'Ansvar kurs'!$A$1:$C$1123,2,FALSE)</f>
        <v>5730</v>
      </c>
      <c r="U397" s="31" t="str">
        <f>VLOOKUP(T397,Orgenheter!$A$1:$C$166,2,FALSE)</f>
        <v>Inst för MA och MA statistik</v>
      </c>
      <c r="V397" s="31" t="str">
        <f>VLOOKUP(T397,Orgenheter!$A$1:$C$166,3,FALSE)</f>
        <v>TekNat</v>
      </c>
      <c r="W397" s="35" t="str">
        <f>VLOOKUP(D397,Program!$A$1:$B$36,2,FALSE)</f>
        <v>Ämneslärarprogrammet - Gy</v>
      </c>
      <c r="X397" s="40">
        <f>VLOOKUP(A397,kurspris!$A$1:$Q$913,15,FALSE)</f>
        <v>20757</v>
      </c>
      <c r="Y397" s="40">
        <f>VLOOKUP(A397,kurspris!$A$1:$Q$913,16,FALSE)</f>
        <v>36082</v>
      </c>
      <c r="Z397" s="40">
        <f t="shared" si="182"/>
        <v>57855.037499999999</v>
      </c>
      <c r="AA397" s="40">
        <f>VLOOKUP(A397,kurspris!$A$1:$Q$913,17,FALSE)</f>
        <v>22600</v>
      </c>
      <c r="AB397" s="40">
        <f t="shared" si="183"/>
        <v>25425</v>
      </c>
      <c r="AC397" s="40">
        <f t="shared" si="184"/>
        <v>83280.037500000006</v>
      </c>
      <c r="AD397" s="31">
        <f>VLOOKUP($A397,kurspris!$A$1:$Q$950,3,FALSE)</f>
        <v>0</v>
      </c>
      <c r="AE397" s="31">
        <f>VLOOKUP($A397,kurspris!$A$1:$Q$950,4,FALSE)</f>
        <v>0</v>
      </c>
      <c r="AF397" s="31">
        <f>VLOOKUP($A397,kurspris!$A$1:$Q$950,5,FALSE)</f>
        <v>0</v>
      </c>
      <c r="AG397" s="31">
        <f>VLOOKUP($A397,kurspris!$A$1:$Q$950,6,FALSE)</f>
        <v>0</v>
      </c>
      <c r="AH397" s="31">
        <f>VLOOKUP($A397,kurspris!$A$1:$Q$950,7,FALSE)</f>
        <v>0</v>
      </c>
      <c r="AI397" s="31">
        <f>VLOOKUP($A397,kurspris!$A$1:$Q$950,8,FALSE)</f>
        <v>0.5</v>
      </c>
      <c r="AJ397" s="31">
        <f>VLOOKUP($A397,kurspris!$A$1:$Q$950,9,FALSE)</f>
        <v>0</v>
      </c>
      <c r="AK397" s="31">
        <f>VLOOKUP($A397,kurspris!$A$1:$Q$950,10,FALSE)</f>
        <v>0.5</v>
      </c>
      <c r="AL397" s="31">
        <f>VLOOKUP($A397,kurspris!$A$1:$Q$950,11,FALSE)</f>
        <v>0</v>
      </c>
      <c r="AM397" s="31">
        <f>VLOOKUP($A397,kurspris!$A$1:$Q$950,12,FALSE)</f>
        <v>0</v>
      </c>
      <c r="AN397" s="31">
        <f>VLOOKUP($A397,kurspris!$A$1:$Q$950,13,FALSE)</f>
        <v>0</v>
      </c>
      <c r="AO397" s="31">
        <f>VLOOKUP($A397,kurspris!$A$1:$Q$950,14,FALSE)</f>
        <v>0</v>
      </c>
      <c r="AP397" s="57" t="s">
        <v>2402</v>
      </c>
      <c r="AQ397"/>
      <c r="AR397" s="31">
        <f t="shared" si="185"/>
        <v>0</v>
      </c>
      <c r="AS397" s="219">
        <f t="shared" si="186"/>
        <v>0</v>
      </c>
      <c r="AT397" s="31">
        <f t="shared" si="187"/>
        <v>0</v>
      </c>
      <c r="AU397" s="219">
        <f t="shared" si="188"/>
        <v>0</v>
      </c>
      <c r="AV397" s="31">
        <f t="shared" si="189"/>
        <v>0</v>
      </c>
      <c r="AW397" s="31">
        <f t="shared" si="190"/>
        <v>0</v>
      </c>
      <c r="AX397" s="31">
        <f t="shared" si="191"/>
        <v>0</v>
      </c>
      <c r="AY397" s="219">
        <f t="shared" si="192"/>
        <v>0</v>
      </c>
      <c r="AZ397" s="196">
        <f t="shared" si="193"/>
        <v>0</v>
      </c>
      <c r="BA397" s="219">
        <f t="shared" si="194"/>
        <v>0</v>
      </c>
      <c r="BB397" s="31">
        <f t="shared" si="195"/>
        <v>0.5625</v>
      </c>
      <c r="BC397" s="219">
        <f t="shared" si="196"/>
        <v>0.47812499999999997</v>
      </c>
      <c r="BD397" s="31">
        <f t="shared" si="197"/>
        <v>0</v>
      </c>
      <c r="BE397" s="219">
        <f t="shared" si="198"/>
        <v>0</v>
      </c>
      <c r="BF397" s="31">
        <f t="shared" si="199"/>
        <v>0.5625</v>
      </c>
      <c r="BG397" s="219">
        <f t="shared" si="200"/>
        <v>0.47812499999999997</v>
      </c>
      <c r="BH397" s="31">
        <f t="shared" si="201"/>
        <v>0</v>
      </c>
      <c r="BI397" s="219">
        <f t="shared" si="202"/>
        <v>0</v>
      </c>
      <c r="BJ397" s="31">
        <f t="shared" si="203"/>
        <v>0</v>
      </c>
      <c r="BK397" s="219">
        <f t="shared" si="204"/>
        <v>0</v>
      </c>
      <c r="BL397" s="31">
        <f t="shared" si="205"/>
        <v>0</v>
      </c>
      <c r="BM397" s="219">
        <f t="shared" si="206"/>
        <v>0</v>
      </c>
      <c r="BN397" s="31">
        <f t="shared" si="207"/>
        <v>0</v>
      </c>
      <c r="BO397" s="219">
        <f t="shared" si="208"/>
        <v>0</v>
      </c>
    </row>
    <row r="398" spans="1:67" x14ac:dyDescent="0.25">
      <c r="A398" s="31" t="s">
        <v>1882</v>
      </c>
      <c r="B398" s="176" t="str">
        <f>VLOOKUP(A398,kurspris!$A$1:$B$992,2,FALSE)</f>
        <v>Envariabelanalys 2</v>
      </c>
      <c r="D398" s="31" t="s">
        <v>117</v>
      </c>
      <c r="F398" s="31" t="s">
        <v>2273</v>
      </c>
      <c r="I398" s="31" t="s">
        <v>2276</v>
      </c>
      <c r="L398" s="38">
        <v>1</v>
      </c>
      <c r="M398" s="325">
        <v>7.5</v>
      </c>
      <c r="P398" s="31">
        <v>2</v>
      </c>
      <c r="Q398" s="196">
        <f t="shared" ref="Q398:Q404" si="209">(M398/60)*P398</f>
        <v>0.25</v>
      </c>
      <c r="R398" s="38">
        <v>0.8</v>
      </c>
      <c r="S398" s="280">
        <f t="shared" si="181"/>
        <v>0.2</v>
      </c>
      <c r="T398" s="31">
        <f>VLOOKUP(A398,'Ansvar kurs'!$A$1:$C$1123,2,FALSE)</f>
        <v>5730</v>
      </c>
      <c r="U398" s="31" t="str">
        <f>VLOOKUP(T398,Orgenheter!$A$1:$C$166,2,FALSE)</f>
        <v>Inst för MA och MA statistik</v>
      </c>
      <c r="V398" s="31" t="str">
        <f>VLOOKUP(T398,Orgenheter!$A$1:$C$166,3,FALSE)</f>
        <v>TekNat</v>
      </c>
      <c r="W398" s="35" t="str">
        <f>VLOOKUP(D398,Program!$A$1:$B$36,2,FALSE)</f>
        <v>Fristående och övriga kurser</v>
      </c>
      <c r="X398" s="40">
        <f>VLOOKUP(A398,kurspris!$A$1:$Q$913,15,FALSE)</f>
        <v>20757</v>
      </c>
      <c r="Y398" s="40">
        <f>VLOOKUP(A398,kurspris!$A$1:$Q$913,16,FALSE)</f>
        <v>36082</v>
      </c>
      <c r="Z398" s="40">
        <f t="shared" si="182"/>
        <v>12405.650000000001</v>
      </c>
      <c r="AA398" s="40">
        <f>VLOOKUP(A398,kurspris!$A$1:$Q$913,17,FALSE)</f>
        <v>22600</v>
      </c>
      <c r="AB398" s="40">
        <f t="shared" si="183"/>
        <v>5650</v>
      </c>
      <c r="AC398" s="40">
        <f t="shared" si="184"/>
        <v>18055.650000000001</v>
      </c>
      <c r="AD398" s="31">
        <f>VLOOKUP($A398,kurspris!$A$1:$Q$950,3,FALSE)</f>
        <v>0</v>
      </c>
      <c r="AE398" s="31">
        <f>VLOOKUP($A398,kurspris!$A$1:$Q$950,4,FALSE)</f>
        <v>0</v>
      </c>
      <c r="AF398" s="31">
        <f>VLOOKUP($A398,kurspris!$A$1:$Q$950,5,FALSE)</f>
        <v>0</v>
      </c>
      <c r="AG398" s="31">
        <f>VLOOKUP($A398,kurspris!$A$1:$Q$950,6,FALSE)</f>
        <v>0</v>
      </c>
      <c r="AH398" s="31">
        <f>VLOOKUP($A398,kurspris!$A$1:$Q$950,7,FALSE)</f>
        <v>0</v>
      </c>
      <c r="AI398" s="31">
        <f>VLOOKUP($A398,kurspris!$A$1:$Q$950,8,FALSE)</f>
        <v>0.5</v>
      </c>
      <c r="AJ398" s="31">
        <f>VLOOKUP($A398,kurspris!$A$1:$Q$950,9,FALSE)</f>
        <v>0</v>
      </c>
      <c r="AK398" s="31">
        <f>VLOOKUP($A398,kurspris!$A$1:$Q$950,10,FALSE)</f>
        <v>0.5</v>
      </c>
      <c r="AL398" s="31">
        <f>VLOOKUP($A398,kurspris!$A$1:$Q$950,11,FALSE)</f>
        <v>0</v>
      </c>
      <c r="AM398" s="31">
        <f>VLOOKUP($A398,kurspris!$A$1:$Q$950,12,FALSE)</f>
        <v>0</v>
      </c>
      <c r="AN398" s="31">
        <f>VLOOKUP($A398,kurspris!$A$1:$Q$950,13,FALSE)</f>
        <v>0</v>
      </c>
      <c r="AO398" s="31">
        <f>VLOOKUP($A398,kurspris!$A$1:$Q$950,14,FALSE)</f>
        <v>0</v>
      </c>
      <c r="AP398" s="57" t="s">
        <v>2267</v>
      </c>
      <c r="AQ398" s="37"/>
      <c r="AR398" s="31">
        <f t="shared" si="185"/>
        <v>0</v>
      </c>
      <c r="AS398" s="219">
        <f t="shared" si="186"/>
        <v>0</v>
      </c>
      <c r="AT398" s="31">
        <f t="shared" si="187"/>
        <v>0</v>
      </c>
      <c r="AU398" s="219">
        <f t="shared" si="188"/>
        <v>0</v>
      </c>
      <c r="AV398" s="31">
        <f t="shared" si="189"/>
        <v>0</v>
      </c>
      <c r="AW398" s="31">
        <f t="shared" si="190"/>
        <v>0</v>
      </c>
      <c r="AX398" s="31">
        <f t="shared" si="191"/>
        <v>0</v>
      </c>
      <c r="AY398" s="219">
        <f t="shared" si="192"/>
        <v>0</v>
      </c>
      <c r="AZ398" s="196">
        <f t="shared" si="193"/>
        <v>0</v>
      </c>
      <c r="BA398" s="219">
        <f t="shared" si="194"/>
        <v>0</v>
      </c>
      <c r="BB398" s="31">
        <f t="shared" si="195"/>
        <v>0.125</v>
      </c>
      <c r="BC398" s="219">
        <f t="shared" si="196"/>
        <v>0.1</v>
      </c>
      <c r="BD398" s="31">
        <f t="shared" si="197"/>
        <v>0</v>
      </c>
      <c r="BE398" s="219">
        <f t="shared" si="198"/>
        <v>0</v>
      </c>
      <c r="BF398" s="31">
        <f t="shared" si="199"/>
        <v>0.125</v>
      </c>
      <c r="BG398" s="219">
        <f t="shared" si="200"/>
        <v>0.1</v>
      </c>
      <c r="BH398" s="31">
        <f t="shared" si="201"/>
        <v>0</v>
      </c>
      <c r="BI398" s="219">
        <f t="shared" si="202"/>
        <v>0</v>
      </c>
      <c r="BJ398" s="31">
        <f t="shared" si="203"/>
        <v>0</v>
      </c>
      <c r="BK398" s="219">
        <f t="shared" si="204"/>
        <v>0</v>
      </c>
      <c r="BL398" s="31">
        <f t="shared" si="205"/>
        <v>0</v>
      </c>
      <c r="BM398" s="219">
        <f t="shared" si="206"/>
        <v>0</v>
      </c>
      <c r="BN398" s="31">
        <f t="shared" si="207"/>
        <v>0</v>
      </c>
      <c r="BO398" s="219">
        <f t="shared" si="208"/>
        <v>0</v>
      </c>
    </row>
    <row r="399" spans="1:67" x14ac:dyDescent="0.25">
      <c r="A399" s="31" t="s">
        <v>1882</v>
      </c>
      <c r="B399" s="176" t="str">
        <f>VLOOKUP(A399,kurspris!$A$1:$B$992,2,FALSE)</f>
        <v>Envariabelanalys 2</v>
      </c>
      <c r="D399" s="60" t="s">
        <v>482</v>
      </c>
      <c r="E399" s="576" t="s">
        <v>2226</v>
      </c>
      <c r="F399" s="31" t="s">
        <v>2273</v>
      </c>
      <c r="G399" t="s">
        <v>2438</v>
      </c>
      <c r="H399" t="s">
        <v>2335</v>
      </c>
      <c r="J399" s="31" t="s">
        <v>2242</v>
      </c>
      <c r="L399" s="38">
        <v>1</v>
      </c>
      <c r="M399">
        <v>7.5</v>
      </c>
      <c r="P399" s="31">
        <v>1</v>
      </c>
      <c r="Q399" s="196">
        <f t="shared" si="209"/>
        <v>0.125</v>
      </c>
      <c r="R399" s="38">
        <v>0.85</v>
      </c>
      <c r="S399" s="280">
        <f t="shared" si="181"/>
        <v>0.10625</v>
      </c>
      <c r="T399" s="31">
        <f>VLOOKUP(A399,'Ansvar kurs'!$A$1:$C$1123,2,FALSE)</f>
        <v>5730</v>
      </c>
      <c r="U399" s="31" t="str">
        <f>VLOOKUP(T399,Orgenheter!$A$1:$C$166,2,FALSE)</f>
        <v>Inst för MA och MA statistik</v>
      </c>
      <c r="V399" s="31" t="str">
        <f>VLOOKUP(T399,Orgenheter!$A$1:$C$166,3,FALSE)</f>
        <v>TekNat</v>
      </c>
      <c r="W399" s="35" t="str">
        <f>VLOOKUP(D399,Program!$A$1:$B$36,2,FALSE)</f>
        <v>Ämneslärarprogrammet - Gy</v>
      </c>
      <c r="X399" s="40">
        <f>VLOOKUP(A399,kurspris!$A$1:$Q$913,15,FALSE)</f>
        <v>20757</v>
      </c>
      <c r="Y399" s="40">
        <f>VLOOKUP(A399,kurspris!$A$1:$Q$913,16,FALSE)</f>
        <v>36082</v>
      </c>
      <c r="Z399" s="40">
        <f t="shared" si="182"/>
        <v>6428.3374999999996</v>
      </c>
      <c r="AA399" s="40">
        <f>VLOOKUP(A399,kurspris!$A$1:$Q$913,17,FALSE)</f>
        <v>22600</v>
      </c>
      <c r="AB399" s="40">
        <f t="shared" si="183"/>
        <v>2825</v>
      </c>
      <c r="AC399" s="40">
        <f t="shared" si="184"/>
        <v>9253.3374999999996</v>
      </c>
      <c r="AD399" s="31">
        <f>VLOOKUP($A399,kurspris!$A$1:$Q$950,3,FALSE)</f>
        <v>0</v>
      </c>
      <c r="AE399" s="31">
        <f>VLOOKUP($A399,kurspris!$A$1:$Q$950,4,FALSE)</f>
        <v>0</v>
      </c>
      <c r="AF399" s="31">
        <f>VLOOKUP($A399,kurspris!$A$1:$Q$950,5,FALSE)</f>
        <v>0</v>
      </c>
      <c r="AG399" s="31">
        <f>VLOOKUP($A399,kurspris!$A$1:$Q$950,6,FALSE)</f>
        <v>0</v>
      </c>
      <c r="AH399" s="31">
        <f>VLOOKUP($A399,kurspris!$A$1:$Q$950,7,FALSE)</f>
        <v>0</v>
      </c>
      <c r="AI399" s="31">
        <f>VLOOKUP($A399,kurspris!$A$1:$Q$950,8,FALSE)</f>
        <v>0.5</v>
      </c>
      <c r="AJ399" s="31">
        <f>VLOOKUP($A399,kurspris!$A$1:$Q$950,9,FALSE)</f>
        <v>0</v>
      </c>
      <c r="AK399" s="31">
        <f>VLOOKUP($A399,kurspris!$A$1:$Q$950,10,FALSE)</f>
        <v>0.5</v>
      </c>
      <c r="AL399" s="31">
        <f>VLOOKUP($A399,kurspris!$A$1:$Q$950,11,FALSE)</f>
        <v>0</v>
      </c>
      <c r="AM399" s="31">
        <f>VLOOKUP($A399,kurspris!$A$1:$Q$950,12,FALSE)</f>
        <v>0</v>
      </c>
      <c r="AN399" s="31">
        <f>VLOOKUP($A399,kurspris!$A$1:$Q$950,13,FALSE)</f>
        <v>0</v>
      </c>
      <c r="AO399" s="31">
        <f>VLOOKUP($A399,kurspris!$A$1:$Q$950,14,FALSE)</f>
        <v>0</v>
      </c>
      <c r="AP399" s="57" t="s">
        <v>2506</v>
      </c>
      <c r="AQ399"/>
      <c r="AR399" s="31">
        <f t="shared" si="185"/>
        <v>0</v>
      </c>
      <c r="AS399" s="219">
        <f t="shared" si="186"/>
        <v>0</v>
      </c>
      <c r="AT399" s="31">
        <f t="shared" si="187"/>
        <v>0</v>
      </c>
      <c r="AU399" s="219">
        <f t="shared" si="188"/>
        <v>0</v>
      </c>
      <c r="AV399" s="31">
        <f t="shared" si="189"/>
        <v>0</v>
      </c>
      <c r="AW399" s="31">
        <f t="shared" si="190"/>
        <v>0</v>
      </c>
      <c r="AX399" s="31">
        <f t="shared" si="191"/>
        <v>0</v>
      </c>
      <c r="AY399" s="219">
        <f t="shared" si="192"/>
        <v>0</v>
      </c>
      <c r="AZ399" s="196">
        <f t="shared" si="193"/>
        <v>0</v>
      </c>
      <c r="BA399" s="219">
        <f t="shared" si="194"/>
        <v>0</v>
      </c>
      <c r="BB399" s="31">
        <f t="shared" si="195"/>
        <v>6.25E-2</v>
      </c>
      <c r="BC399" s="219">
        <f t="shared" si="196"/>
        <v>5.3124999999999999E-2</v>
      </c>
      <c r="BD399" s="31">
        <f t="shared" si="197"/>
        <v>0</v>
      </c>
      <c r="BE399" s="219">
        <f t="shared" si="198"/>
        <v>0</v>
      </c>
      <c r="BF399" s="31">
        <f t="shared" si="199"/>
        <v>6.25E-2</v>
      </c>
      <c r="BG399" s="219">
        <f t="shared" si="200"/>
        <v>5.3124999999999999E-2</v>
      </c>
      <c r="BH399" s="31">
        <f t="shared" si="201"/>
        <v>0</v>
      </c>
      <c r="BI399" s="219">
        <f t="shared" si="202"/>
        <v>0</v>
      </c>
      <c r="BJ399" s="31">
        <f t="shared" si="203"/>
        <v>0</v>
      </c>
      <c r="BK399" s="219">
        <f t="shared" si="204"/>
        <v>0</v>
      </c>
      <c r="BL399" s="31">
        <f t="shared" si="205"/>
        <v>0</v>
      </c>
      <c r="BM399" s="219">
        <f t="shared" si="206"/>
        <v>0</v>
      </c>
      <c r="BN399" s="31">
        <f t="shared" si="207"/>
        <v>0</v>
      </c>
      <c r="BO399" s="219">
        <f t="shared" si="208"/>
        <v>0</v>
      </c>
    </row>
    <row r="400" spans="1:67" x14ac:dyDescent="0.25">
      <c r="A400" s="31" t="s">
        <v>1882</v>
      </c>
      <c r="B400" s="176" t="str">
        <f>VLOOKUP(A400,kurspris!$A$1:$B$992,2,FALSE)</f>
        <v>Envariabelanalys 2</v>
      </c>
      <c r="D400" s="60" t="s">
        <v>482</v>
      </c>
      <c r="E400" s="576" t="s">
        <v>2225</v>
      </c>
      <c r="F400" s="31" t="s">
        <v>2273</v>
      </c>
      <c r="G400" t="s">
        <v>2438</v>
      </c>
      <c r="H400" t="s">
        <v>2335</v>
      </c>
      <c r="J400" s="31" t="s">
        <v>2234</v>
      </c>
      <c r="L400" s="38">
        <v>1</v>
      </c>
      <c r="M400">
        <v>7.5</v>
      </c>
      <c r="P400" s="31">
        <v>1</v>
      </c>
      <c r="Q400" s="196">
        <f t="shared" si="209"/>
        <v>0.125</v>
      </c>
      <c r="R400" s="38">
        <v>0.85</v>
      </c>
      <c r="S400" s="280">
        <f t="shared" si="181"/>
        <v>0.10625</v>
      </c>
      <c r="T400" s="31">
        <f>VLOOKUP(A400,'Ansvar kurs'!$A$1:$C$1123,2,FALSE)</f>
        <v>5730</v>
      </c>
      <c r="U400" s="31" t="str">
        <f>VLOOKUP(T400,Orgenheter!$A$1:$C$166,2,FALSE)</f>
        <v>Inst för MA och MA statistik</v>
      </c>
      <c r="V400" s="31" t="str">
        <f>VLOOKUP(T400,Orgenheter!$A$1:$C$166,3,FALSE)</f>
        <v>TekNat</v>
      </c>
      <c r="W400" s="35" t="str">
        <f>VLOOKUP(D400,Program!$A$1:$B$36,2,FALSE)</f>
        <v>Ämneslärarprogrammet - Gy</v>
      </c>
      <c r="X400" s="40">
        <f>VLOOKUP(A400,kurspris!$A$1:$Q$913,15,FALSE)</f>
        <v>20757</v>
      </c>
      <c r="Y400" s="40">
        <f>VLOOKUP(A400,kurspris!$A$1:$Q$913,16,FALSE)</f>
        <v>36082</v>
      </c>
      <c r="Z400" s="40">
        <f t="shared" si="182"/>
        <v>6428.3374999999996</v>
      </c>
      <c r="AA400" s="40">
        <f>VLOOKUP(A400,kurspris!$A$1:$Q$913,17,FALSE)</f>
        <v>22600</v>
      </c>
      <c r="AB400" s="40">
        <f t="shared" si="183"/>
        <v>2825</v>
      </c>
      <c r="AC400" s="40">
        <f t="shared" si="184"/>
        <v>9253.3374999999996</v>
      </c>
      <c r="AD400" s="31">
        <f>VLOOKUP($A400,kurspris!$A$1:$Q$950,3,FALSE)</f>
        <v>0</v>
      </c>
      <c r="AE400" s="31">
        <f>VLOOKUP($A400,kurspris!$A$1:$Q$950,4,FALSE)</f>
        <v>0</v>
      </c>
      <c r="AF400" s="31">
        <f>VLOOKUP($A400,kurspris!$A$1:$Q$950,5,FALSE)</f>
        <v>0</v>
      </c>
      <c r="AG400" s="31">
        <f>VLOOKUP($A400,kurspris!$A$1:$Q$950,6,FALSE)</f>
        <v>0</v>
      </c>
      <c r="AH400" s="31">
        <f>VLOOKUP($A400,kurspris!$A$1:$Q$950,7,FALSE)</f>
        <v>0</v>
      </c>
      <c r="AI400" s="31">
        <f>VLOOKUP($A400,kurspris!$A$1:$Q$950,8,FALSE)</f>
        <v>0.5</v>
      </c>
      <c r="AJ400" s="31">
        <f>VLOOKUP($A400,kurspris!$A$1:$Q$950,9,FALSE)</f>
        <v>0</v>
      </c>
      <c r="AK400" s="31">
        <f>VLOOKUP($A400,kurspris!$A$1:$Q$950,10,FALSE)</f>
        <v>0.5</v>
      </c>
      <c r="AL400" s="31">
        <f>VLOOKUP($A400,kurspris!$A$1:$Q$950,11,FALSE)</f>
        <v>0</v>
      </c>
      <c r="AM400" s="31">
        <f>VLOOKUP($A400,kurspris!$A$1:$Q$950,12,FALSE)</f>
        <v>0</v>
      </c>
      <c r="AN400" s="31">
        <f>VLOOKUP($A400,kurspris!$A$1:$Q$950,13,FALSE)</f>
        <v>0</v>
      </c>
      <c r="AO400" s="31">
        <f>VLOOKUP($A400,kurspris!$A$1:$Q$950,14,FALSE)</f>
        <v>0</v>
      </c>
      <c r="AP400" s="57" t="s">
        <v>2506</v>
      </c>
      <c r="AQ400"/>
      <c r="AR400" s="31">
        <f t="shared" si="185"/>
        <v>0</v>
      </c>
      <c r="AS400" s="219">
        <f t="shared" si="186"/>
        <v>0</v>
      </c>
      <c r="AT400" s="31">
        <f t="shared" si="187"/>
        <v>0</v>
      </c>
      <c r="AU400" s="219">
        <f t="shared" si="188"/>
        <v>0</v>
      </c>
      <c r="AV400" s="31">
        <f t="shared" si="189"/>
        <v>0</v>
      </c>
      <c r="AW400" s="31">
        <f t="shared" si="190"/>
        <v>0</v>
      </c>
      <c r="AX400" s="31">
        <f t="shared" si="191"/>
        <v>0</v>
      </c>
      <c r="AY400" s="219">
        <f t="shared" si="192"/>
        <v>0</v>
      </c>
      <c r="AZ400" s="196">
        <f t="shared" si="193"/>
        <v>0</v>
      </c>
      <c r="BA400" s="219">
        <f t="shared" si="194"/>
        <v>0</v>
      </c>
      <c r="BB400" s="31">
        <f t="shared" si="195"/>
        <v>6.25E-2</v>
      </c>
      <c r="BC400" s="219">
        <f t="shared" si="196"/>
        <v>5.3124999999999999E-2</v>
      </c>
      <c r="BD400" s="31">
        <f t="shared" si="197"/>
        <v>0</v>
      </c>
      <c r="BE400" s="219">
        <f t="shared" si="198"/>
        <v>0</v>
      </c>
      <c r="BF400" s="31">
        <f t="shared" si="199"/>
        <v>6.25E-2</v>
      </c>
      <c r="BG400" s="219">
        <f t="shared" si="200"/>
        <v>5.3124999999999999E-2</v>
      </c>
      <c r="BH400" s="31">
        <f t="shared" si="201"/>
        <v>0</v>
      </c>
      <c r="BI400" s="219">
        <f t="shared" si="202"/>
        <v>0</v>
      </c>
      <c r="BJ400" s="31">
        <f t="shared" si="203"/>
        <v>0</v>
      </c>
      <c r="BK400" s="219">
        <f t="shared" si="204"/>
        <v>0</v>
      </c>
      <c r="BL400" s="31">
        <f t="shared" si="205"/>
        <v>0</v>
      </c>
      <c r="BM400" s="219">
        <f t="shared" si="206"/>
        <v>0</v>
      </c>
      <c r="BN400" s="31">
        <f t="shared" si="207"/>
        <v>0</v>
      </c>
      <c r="BO400" s="219">
        <f t="shared" si="208"/>
        <v>0</v>
      </c>
    </row>
    <row r="401" spans="1:67" x14ac:dyDescent="0.25">
      <c r="A401" s="31" t="s">
        <v>1882</v>
      </c>
      <c r="B401" s="176" t="str">
        <f>VLOOKUP(A401,kurspris!$A$1:$B$992,2,FALSE)</f>
        <v>Envariabelanalys 2</v>
      </c>
      <c r="D401" s="60" t="s">
        <v>482</v>
      </c>
      <c r="E401" s="576" t="s">
        <v>2225</v>
      </c>
      <c r="F401" s="31" t="s">
        <v>2273</v>
      </c>
      <c r="G401" t="s">
        <v>2438</v>
      </c>
      <c r="H401" t="s">
        <v>2335</v>
      </c>
      <c r="J401" s="31" t="s">
        <v>2232</v>
      </c>
      <c r="L401" s="38">
        <v>1</v>
      </c>
      <c r="M401">
        <v>7.5</v>
      </c>
      <c r="P401" s="31">
        <v>2</v>
      </c>
      <c r="Q401" s="196">
        <f t="shared" si="209"/>
        <v>0.25</v>
      </c>
      <c r="R401" s="38">
        <v>0.85</v>
      </c>
      <c r="S401" s="280">
        <f t="shared" si="181"/>
        <v>0.21249999999999999</v>
      </c>
      <c r="T401" s="31">
        <f>VLOOKUP(A401,'Ansvar kurs'!$A$1:$C$1123,2,FALSE)</f>
        <v>5730</v>
      </c>
      <c r="U401" s="31" t="str">
        <f>VLOOKUP(T401,Orgenheter!$A$1:$C$166,2,FALSE)</f>
        <v>Inst för MA och MA statistik</v>
      </c>
      <c r="V401" s="31" t="str">
        <f>VLOOKUP(T401,Orgenheter!$A$1:$C$166,3,FALSE)</f>
        <v>TekNat</v>
      </c>
      <c r="W401" s="35" t="str">
        <f>VLOOKUP(D401,Program!$A$1:$B$36,2,FALSE)</f>
        <v>Ämneslärarprogrammet - Gy</v>
      </c>
      <c r="X401" s="40">
        <f>VLOOKUP(A401,kurspris!$A$1:$Q$913,15,FALSE)</f>
        <v>20757</v>
      </c>
      <c r="Y401" s="40">
        <f>VLOOKUP(A401,kurspris!$A$1:$Q$913,16,FALSE)</f>
        <v>36082</v>
      </c>
      <c r="Z401" s="40">
        <f t="shared" si="182"/>
        <v>12856.674999999999</v>
      </c>
      <c r="AA401" s="40">
        <f>VLOOKUP(A401,kurspris!$A$1:$Q$913,17,FALSE)</f>
        <v>22600</v>
      </c>
      <c r="AB401" s="40">
        <f t="shared" si="183"/>
        <v>5650</v>
      </c>
      <c r="AC401" s="40">
        <f t="shared" si="184"/>
        <v>18506.674999999999</v>
      </c>
      <c r="AD401" s="31">
        <f>VLOOKUP($A401,kurspris!$A$1:$Q$950,3,FALSE)</f>
        <v>0</v>
      </c>
      <c r="AE401" s="31">
        <f>VLOOKUP($A401,kurspris!$A$1:$Q$950,4,FALSE)</f>
        <v>0</v>
      </c>
      <c r="AF401" s="31">
        <f>VLOOKUP($A401,kurspris!$A$1:$Q$950,5,FALSE)</f>
        <v>0</v>
      </c>
      <c r="AG401" s="31">
        <f>VLOOKUP($A401,kurspris!$A$1:$Q$950,6,FALSE)</f>
        <v>0</v>
      </c>
      <c r="AH401" s="31">
        <f>VLOOKUP($A401,kurspris!$A$1:$Q$950,7,FALSE)</f>
        <v>0</v>
      </c>
      <c r="AI401" s="31">
        <f>VLOOKUP($A401,kurspris!$A$1:$Q$950,8,FALSE)</f>
        <v>0.5</v>
      </c>
      <c r="AJ401" s="31">
        <f>VLOOKUP($A401,kurspris!$A$1:$Q$950,9,FALSE)</f>
        <v>0</v>
      </c>
      <c r="AK401" s="31">
        <f>VLOOKUP($A401,kurspris!$A$1:$Q$950,10,FALSE)</f>
        <v>0.5</v>
      </c>
      <c r="AL401" s="31">
        <f>VLOOKUP($A401,kurspris!$A$1:$Q$950,11,FALSE)</f>
        <v>0</v>
      </c>
      <c r="AM401" s="31">
        <f>VLOOKUP($A401,kurspris!$A$1:$Q$950,12,FALSE)</f>
        <v>0</v>
      </c>
      <c r="AN401" s="31">
        <f>VLOOKUP($A401,kurspris!$A$1:$Q$950,13,FALSE)</f>
        <v>0</v>
      </c>
      <c r="AO401" s="31">
        <f>VLOOKUP($A401,kurspris!$A$1:$Q$950,14,FALSE)</f>
        <v>0</v>
      </c>
      <c r="AP401" s="57" t="s">
        <v>2506</v>
      </c>
      <c r="AQ401"/>
      <c r="AR401" s="31">
        <f t="shared" si="185"/>
        <v>0</v>
      </c>
      <c r="AS401" s="219">
        <f t="shared" si="186"/>
        <v>0</v>
      </c>
      <c r="AT401" s="31">
        <f t="shared" si="187"/>
        <v>0</v>
      </c>
      <c r="AU401" s="219">
        <f t="shared" si="188"/>
        <v>0</v>
      </c>
      <c r="AV401" s="31">
        <f t="shared" si="189"/>
        <v>0</v>
      </c>
      <c r="AW401" s="31">
        <f t="shared" si="190"/>
        <v>0</v>
      </c>
      <c r="AX401" s="31">
        <f t="shared" si="191"/>
        <v>0</v>
      </c>
      <c r="AY401" s="219">
        <f t="shared" si="192"/>
        <v>0</v>
      </c>
      <c r="AZ401" s="196">
        <f t="shared" si="193"/>
        <v>0</v>
      </c>
      <c r="BA401" s="219">
        <f t="shared" si="194"/>
        <v>0</v>
      </c>
      <c r="BB401" s="31">
        <f t="shared" si="195"/>
        <v>0.125</v>
      </c>
      <c r="BC401" s="219">
        <f t="shared" si="196"/>
        <v>0.10625</v>
      </c>
      <c r="BD401" s="31">
        <f t="shared" si="197"/>
        <v>0</v>
      </c>
      <c r="BE401" s="219">
        <f t="shared" si="198"/>
        <v>0</v>
      </c>
      <c r="BF401" s="31">
        <f t="shared" si="199"/>
        <v>0.125</v>
      </c>
      <c r="BG401" s="219">
        <f t="shared" si="200"/>
        <v>0.10625</v>
      </c>
      <c r="BH401" s="31">
        <f t="shared" si="201"/>
        <v>0</v>
      </c>
      <c r="BI401" s="219">
        <f t="shared" si="202"/>
        <v>0</v>
      </c>
      <c r="BJ401" s="31">
        <f t="shared" si="203"/>
        <v>0</v>
      </c>
      <c r="BK401" s="219">
        <f t="shared" si="204"/>
        <v>0</v>
      </c>
      <c r="BL401" s="31">
        <f t="shared" si="205"/>
        <v>0</v>
      </c>
      <c r="BM401" s="219">
        <f t="shared" si="206"/>
        <v>0</v>
      </c>
      <c r="BN401" s="31">
        <f t="shared" si="207"/>
        <v>0</v>
      </c>
      <c r="BO401" s="219">
        <f t="shared" si="208"/>
        <v>0</v>
      </c>
    </row>
    <row r="402" spans="1:67" x14ac:dyDescent="0.25">
      <c r="A402" s="31" t="s">
        <v>1882</v>
      </c>
      <c r="B402" s="176" t="str">
        <f>VLOOKUP(A402,kurspris!$A$1:$B$992,2,FALSE)</f>
        <v>Envariabelanalys 2</v>
      </c>
      <c r="D402" s="60" t="s">
        <v>482</v>
      </c>
      <c r="E402" s="576" t="s">
        <v>2225</v>
      </c>
      <c r="F402" s="31" t="s">
        <v>2273</v>
      </c>
      <c r="G402" t="s">
        <v>2438</v>
      </c>
      <c r="H402" t="s">
        <v>2335</v>
      </c>
      <c r="J402" s="31" t="s">
        <v>2242</v>
      </c>
      <c r="L402" s="38">
        <v>1</v>
      </c>
      <c r="M402">
        <v>7.5</v>
      </c>
      <c r="P402" s="31">
        <v>1</v>
      </c>
      <c r="Q402" s="196">
        <f t="shared" si="209"/>
        <v>0.125</v>
      </c>
      <c r="R402" s="38">
        <v>0.85</v>
      </c>
      <c r="S402" s="280">
        <f t="shared" si="181"/>
        <v>0.10625</v>
      </c>
      <c r="T402" s="31">
        <f>VLOOKUP(A402,'Ansvar kurs'!$A$1:$C$1123,2,FALSE)</f>
        <v>5730</v>
      </c>
      <c r="U402" s="31" t="str">
        <f>VLOOKUP(T402,Orgenheter!$A$1:$C$166,2,FALSE)</f>
        <v>Inst för MA och MA statistik</v>
      </c>
      <c r="V402" s="31" t="str">
        <f>VLOOKUP(T402,Orgenheter!$A$1:$C$166,3,FALSE)</f>
        <v>TekNat</v>
      </c>
      <c r="W402" s="35" t="str">
        <f>VLOOKUP(D402,Program!$A$1:$B$36,2,FALSE)</f>
        <v>Ämneslärarprogrammet - Gy</v>
      </c>
      <c r="X402" s="40">
        <f>VLOOKUP(A402,kurspris!$A$1:$Q$913,15,FALSE)</f>
        <v>20757</v>
      </c>
      <c r="Y402" s="40">
        <f>VLOOKUP(A402,kurspris!$A$1:$Q$913,16,FALSE)</f>
        <v>36082</v>
      </c>
      <c r="Z402" s="40">
        <f t="shared" si="182"/>
        <v>6428.3374999999996</v>
      </c>
      <c r="AA402" s="40">
        <f>VLOOKUP(A402,kurspris!$A$1:$Q$913,17,FALSE)</f>
        <v>22600</v>
      </c>
      <c r="AB402" s="40">
        <f t="shared" si="183"/>
        <v>2825</v>
      </c>
      <c r="AC402" s="40">
        <f t="shared" si="184"/>
        <v>9253.3374999999996</v>
      </c>
      <c r="AD402" s="31">
        <f>VLOOKUP($A402,kurspris!$A$1:$Q$950,3,FALSE)</f>
        <v>0</v>
      </c>
      <c r="AE402" s="31">
        <f>VLOOKUP($A402,kurspris!$A$1:$Q$950,4,FALSE)</f>
        <v>0</v>
      </c>
      <c r="AF402" s="31">
        <f>VLOOKUP($A402,kurspris!$A$1:$Q$950,5,FALSE)</f>
        <v>0</v>
      </c>
      <c r="AG402" s="31">
        <f>VLOOKUP($A402,kurspris!$A$1:$Q$950,6,FALSE)</f>
        <v>0</v>
      </c>
      <c r="AH402" s="31">
        <f>VLOOKUP($A402,kurspris!$A$1:$Q$950,7,FALSE)</f>
        <v>0</v>
      </c>
      <c r="AI402" s="31">
        <f>VLOOKUP($A402,kurspris!$A$1:$Q$950,8,FALSE)</f>
        <v>0.5</v>
      </c>
      <c r="AJ402" s="31">
        <f>VLOOKUP($A402,kurspris!$A$1:$Q$950,9,FALSE)</f>
        <v>0</v>
      </c>
      <c r="AK402" s="31">
        <f>VLOOKUP($A402,kurspris!$A$1:$Q$950,10,FALSE)</f>
        <v>0.5</v>
      </c>
      <c r="AL402" s="31">
        <f>VLOOKUP($A402,kurspris!$A$1:$Q$950,11,FALSE)</f>
        <v>0</v>
      </c>
      <c r="AM402" s="31">
        <f>VLOOKUP($A402,kurspris!$A$1:$Q$950,12,FALSE)</f>
        <v>0</v>
      </c>
      <c r="AN402" s="31">
        <f>VLOOKUP($A402,kurspris!$A$1:$Q$950,13,FALSE)</f>
        <v>0</v>
      </c>
      <c r="AO402" s="31">
        <f>VLOOKUP($A402,kurspris!$A$1:$Q$950,14,FALSE)</f>
        <v>0</v>
      </c>
      <c r="AP402" s="57" t="s">
        <v>2506</v>
      </c>
      <c r="AQ402"/>
      <c r="AR402" s="31">
        <f t="shared" si="185"/>
        <v>0</v>
      </c>
      <c r="AS402" s="219">
        <f t="shared" si="186"/>
        <v>0</v>
      </c>
      <c r="AT402" s="31">
        <f t="shared" si="187"/>
        <v>0</v>
      </c>
      <c r="AU402" s="219">
        <f t="shared" si="188"/>
        <v>0</v>
      </c>
      <c r="AV402" s="31">
        <f t="shared" si="189"/>
        <v>0</v>
      </c>
      <c r="AW402" s="31">
        <f t="shared" si="190"/>
        <v>0</v>
      </c>
      <c r="AX402" s="31">
        <f t="shared" si="191"/>
        <v>0</v>
      </c>
      <c r="AY402" s="219">
        <f t="shared" si="192"/>
        <v>0</v>
      </c>
      <c r="AZ402" s="196">
        <f t="shared" si="193"/>
        <v>0</v>
      </c>
      <c r="BA402" s="219">
        <f t="shared" si="194"/>
        <v>0</v>
      </c>
      <c r="BB402" s="31">
        <f t="shared" si="195"/>
        <v>6.25E-2</v>
      </c>
      <c r="BC402" s="219">
        <f t="shared" si="196"/>
        <v>5.3124999999999999E-2</v>
      </c>
      <c r="BD402" s="31">
        <f t="shared" si="197"/>
        <v>0</v>
      </c>
      <c r="BE402" s="219">
        <f t="shared" si="198"/>
        <v>0</v>
      </c>
      <c r="BF402" s="31">
        <f t="shared" si="199"/>
        <v>6.25E-2</v>
      </c>
      <c r="BG402" s="219">
        <f t="shared" si="200"/>
        <v>5.3124999999999999E-2</v>
      </c>
      <c r="BH402" s="31">
        <f t="shared" si="201"/>
        <v>0</v>
      </c>
      <c r="BI402" s="219">
        <f t="shared" si="202"/>
        <v>0</v>
      </c>
      <c r="BJ402" s="31">
        <f t="shared" si="203"/>
        <v>0</v>
      </c>
      <c r="BK402" s="219">
        <f t="shared" si="204"/>
        <v>0</v>
      </c>
      <c r="BL402" s="31">
        <f t="shared" si="205"/>
        <v>0</v>
      </c>
      <c r="BM402" s="219">
        <f t="shared" si="206"/>
        <v>0</v>
      </c>
      <c r="BN402" s="31">
        <f t="shared" si="207"/>
        <v>0</v>
      </c>
      <c r="BO402" s="219">
        <f t="shared" si="208"/>
        <v>0</v>
      </c>
    </row>
    <row r="403" spans="1:67" x14ac:dyDescent="0.25">
      <c r="A403" s="31" t="s">
        <v>1882</v>
      </c>
      <c r="B403" s="176" t="str">
        <f>VLOOKUP(A403,kurspris!$A$1:$B$992,2,FALSE)</f>
        <v>Envariabelanalys 2</v>
      </c>
      <c r="D403" s="60" t="s">
        <v>482</v>
      </c>
      <c r="E403" s="576" t="s">
        <v>2434</v>
      </c>
      <c r="F403" s="31" t="s">
        <v>2273</v>
      </c>
      <c r="G403" t="s">
        <v>2438</v>
      </c>
      <c r="H403" t="s">
        <v>2335</v>
      </c>
      <c r="J403" s="31" t="s">
        <v>2233</v>
      </c>
      <c r="L403" s="38">
        <v>1</v>
      </c>
      <c r="M403">
        <v>7.5</v>
      </c>
      <c r="P403" s="31">
        <v>1</v>
      </c>
      <c r="Q403" s="196">
        <f t="shared" si="209"/>
        <v>0.125</v>
      </c>
      <c r="R403" s="38">
        <v>0.85</v>
      </c>
      <c r="S403" s="280">
        <f t="shared" si="181"/>
        <v>0.10625</v>
      </c>
      <c r="T403" s="31">
        <f>VLOOKUP(A403,'Ansvar kurs'!$A$1:$C$1123,2,FALSE)</f>
        <v>5730</v>
      </c>
      <c r="U403" s="31" t="str">
        <f>VLOOKUP(T403,Orgenheter!$A$1:$C$166,2,FALSE)</f>
        <v>Inst för MA och MA statistik</v>
      </c>
      <c r="V403" s="31" t="str">
        <f>VLOOKUP(T403,Orgenheter!$A$1:$C$166,3,FALSE)</f>
        <v>TekNat</v>
      </c>
      <c r="W403" s="35" t="str">
        <f>VLOOKUP(D403,Program!$A$1:$B$36,2,FALSE)</f>
        <v>Ämneslärarprogrammet - Gy</v>
      </c>
      <c r="X403" s="40">
        <f>VLOOKUP(A403,kurspris!$A$1:$Q$913,15,FALSE)</f>
        <v>20757</v>
      </c>
      <c r="Y403" s="40">
        <f>VLOOKUP(A403,kurspris!$A$1:$Q$913,16,FALSE)</f>
        <v>36082</v>
      </c>
      <c r="Z403" s="40">
        <f t="shared" si="182"/>
        <v>6428.3374999999996</v>
      </c>
      <c r="AA403" s="40">
        <f>VLOOKUP(A403,kurspris!$A$1:$Q$913,17,FALSE)</f>
        <v>22600</v>
      </c>
      <c r="AB403" s="40">
        <f t="shared" si="183"/>
        <v>2825</v>
      </c>
      <c r="AC403" s="40">
        <f t="shared" si="184"/>
        <v>9253.3374999999996</v>
      </c>
      <c r="AD403" s="31">
        <f>VLOOKUP($A403,kurspris!$A$1:$Q$950,3,FALSE)</f>
        <v>0</v>
      </c>
      <c r="AE403" s="31">
        <f>VLOOKUP($A403,kurspris!$A$1:$Q$950,4,FALSE)</f>
        <v>0</v>
      </c>
      <c r="AF403" s="31">
        <f>VLOOKUP($A403,kurspris!$A$1:$Q$950,5,FALSE)</f>
        <v>0</v>
      </c>
      <c r="AG403" s="31">
        <f>VLOOKUP($A403,kurspris!$A$1:$Q$950,6,FALSE)</f>
        <v>0</v>
      </c>
      <c r="AH403" s="31">
        <f>VLOOKUP($A403,kurspris!$A$1:$Q$950,7,FALSE)</f>
        <v>0</v>
      </c>
      <c r="AI403" s="31">
        <f>VLOOKUP($A403,kurspris!$A$1:$Q$950,8,FALSE)</f>
        <v>0.5</v>
      </c>
      <c r="AJ403" s="31">
        <f>VLOOKUP($A403,kurspris!$A$1:$Q$950,9,FALSE)</f>
        <v>0</v>
      </c>
      <c r="AK403" s="31">
        <f>VLOOKUP($A403,kurspris!$A$1:$Q$950,10,FALSE)</f>
        <v>0.5</v>
      </c>
      <c r="AL403" s="31">
        <f>VLOOKUP($A403,kurspris!$A$1:$Q$950,11,FALSE)</f>
        <v>0</v>
      </c>
      <c r="AM403" s="31">
        <f>VLOOKUP($A403,kurspris!$A$1:$Q$950,12,FALSE)</f>
        <v>0</v>
      </c>
      <c r="AN403" s="31">
        <f>VLOOKUP($A403,kurspris!$A$1:$Q$950,13,FALSE)</f>
        <v>0</v>
      </c>
      <c r="AO403" s="31">
        <f>VLOOKUP($A403,kurspris!$A$1:$Q$950,14,FALSE)</f>
        <v>0</v>
      </c>
      <c r="AP403" s="57" t="s">
        <v>2506</v>
      </c>
      <c r="AQ403"/>
      <c r="AR403" s="31">
        <f t="shared" si="185"/>
        <v>0</v>
      </c>
      <c r="AS403" s="219">
        <f t="shared" si="186"/>
        <v>0</v>
      </c>
      <c r="AT403" s="31">
        <f t="shared" si="187"/>
        <v>0</v>
      </c>
      <c r="AU403" s="219">
        <f t="shared" si="188"/>
        <v>0</v>
      </c>
      <c r="AV403" s="31">
        <f t="shared" si="189"/>
        <v>0</v>
      </c>
      <c r="AW403" s="31">
        <f t="shared" si="190"/>
        <v>0</v>
      </c>
      <c r="AX403" s="31">
        <f t="shared" si="191"/>
        <v>0</v>
      </c>
      <c r="AY403" s="219">
        <f t="shared" si="192"/>
        <v>0</v>
      </c>
      <c r="AZ403" s="196">
        <f t="shared" si="193"/>
        <v>0</v>
      </c>
      <c r="BA403" s="219">
        <f t="shared" si="194"/>
        <v>0</v>
      </c>
      <c r="BB403" s="31">
        <f t="shared" si="195"/>
        <v>6.25E-2</v>
      </c>
      <c r="BC403" s="219">
        <f t="shared" si="196"/>
        <v>5.3124999999999999E-2</v>
      </c>
      <c r="BD403" s="31">
        <f t="shared" si="197"/>
        <v>0</v>
      </c>
      <c r="BE403" s="219">
        <f t="shared" si="198"/>
        <v>0</v>
      </c>
      <c r="BF403" s="31">
        <f t="shared" si="199"/>
        <v>6.25E-2</v>
      </c>
      <c r="BG403" s="219">
        <f t="shared" si="200"/>
        <v>5.3124999999999999E-2</v>
      </c>
      <c r="BH403" s="31">
        <f t="shared" si="201"/>
        <v>0</v>
      </c>
      <c r="BI403" s="219">
        <f t="shared" si="202"/>
        <v>0</v>
      </c>
      <c r="BJ403" s="31">
        <f t="shared" si="203"/>
        <v>0</v>
      </c>
      <c r="BK403" s="219">
        <f t="shared" si="204"/>
        <v>0</v>
      </c>
      <c r="BL403" s="31">
        <f t="shared" si="205"/>
        <v>0</v>
      </c>
      <c r="BM403" s="219">
        <f t="shared" si="206"/>
        <v>0</v>
      </c>
      <c r="BN403" s="31">
        <f t="shared" si="207"/>
        <v>0</v>
      </c>
      <c r="BO403" s="219">
        <f t="shared" si="208"/>
        <v>0</v>
      </c>
    </row>
    <row r="404" spans="1:67" x14ac:dyDescent="0.25">
      <c r="A404" s="31" t="s">
        <v>1882</v>
      </c>
      <c r="B404" s="176" t="str">
        <f>VLOOKUP(A404,kurspris!$A$1:$B$992,2,FALSE)</f>
        <v>Envariabelanalys 2</v>
      </c>
      <c r="D404" s="60" t="s">
        <v>482</v>
      </c>
      <c r="E404" s="576" t="s">
        <v>2432</v>
      </c>
      <c r="F404" s="31" t="s">
        <v>2273</v>
      </c>
      <c r="G404" t="s">
        <v>2438</v>
      </c>
      <c r="H404" t="s">
        <v>2335</v>
      </c>
      <c r="J404" s="31" t="s">
        <v>2233</v>
      </c>
      <c r="L404" s="38">
        <v>1</v>
      </c>
      <c r="M404">
        <v>7.5</v>
      </c>
      <c r="P404" s="31">
        <v>18</v>
      </c>
      <c r="Q404" s="196">
        <f t="shared" si="209"/>
        <v>2.25</v>
      </c>
      <c r="R404" s="38">
        <v>0.85</v>
      </c>
      <c r="S404" s="280">
        <f t="shared" si="181"/>
        <v>1.9124999999999999</v>
      </c>
      <c r="T404" s="31">
        <f>VLOOKUP(A404,'Ansvar kurs'!$A$1:$C$1123,2,FALSE)</f>
        <v>5730</v>
      </c>
      <c r="U404" s="31" t="str">
        <f>VLOOKUP(T404,Orgenheter!$A$1:$C$166,2,FALSE)</f>
        <v>Inst för MA och MA statistik</v>
      </c>
      <c r="V404" s="31" t="str">
        <f>VLOOKUP(T404,Orgenheter!$A$1:$C$166,3,FALSE)</f>
        <v>TekNat</v>
      </c>
      <c r="W404" s="35" t="str">
        <f>VLOOKUP(D404,Program!$A$1:$B$36,2,FALSE)</f>
        <v>Ämneslärarprogrammet - Gy</v>
      </c>
      <c r="X404" s="40">
        <f>VLOOKUP(A404,kurspris!$A$1:$Q$913,15,FALSE)</f>
        <v>20757</v>
      </c>
      <c r="Y404" s="40">
        <f>VLOOKUP(A404,kurspris!$A$1:$Q$913,16,FALSE)</f>
        <v>36082</v>
      </c>
      <c r="Z404" s="40">
        <f t="shared" si="182"/>
        <v>115710.075</v>
      </c>
      <c r="AA404" s="40">
        <f>VLOOKUP(A404,kurspris!$A$1:$Q$913,17,FALSE)</f>
        <v>22600</v>
      </c>
      <c r="AB404" s="40">
        <f t="shared" si="183"/>
        <v>50850</v>
      </c>
      <c r="AC404" s="40">
        <f t="shared" si="184"/>
        <v>166560.07500000001</v>
      </c>
      <c r="AD404" s="31">
        <f>VLOOKUP($A404,kurspris!$A$1:$Q$950,3,FALSE)</f>
        <v>0</v>
      </c>
      <c r="AE404" s="31">
        <f>VLOOKUP($A404,kurspris!$A$1:$Q$950,4,FALSE)</f>
        <v>0</v>
      </c>
      <c r="AF404" s="31">
        <f>VLOOKUP($A404,kurspris!$A$1:$Q$950,5,FALSE)</f>
        <v>0</v>
      </c>
      <c r="AG404" s="31">
        <f>VLOOKUP($A404,kurspris!$A$1:$Q$950,6,FALSE)</f>
        <v>0</v>
      </c>
      <c r="AH404" s="31">
        <f>VLOOKUP($A404,kurspris!$A$1:$Q$950,7,FALSE)</f>
        <v>0</v>
      </c>
      <c r="AI404" s="31">
        <f>VLOOKUP($A404,kurspris!$A$1:$Q$950,8,FALSE)</f>
        <v>0.5</v>
      </c>
      <c r="AJ404" s="31">
        <f>VLOOKUP($A404,kurspris!$A$1:$Q$950,9,FALSE)</f>
        <v>0</v>
      </c>
      <c r="AK404" s="31">
        <f>VLOOKUP($A404,kurspris!$A$1:$Q$950,10,FALSE)</f>
        <v>0.5</v>
      </c>
      <c r="AL404" s="31">
        <f>VLOOKUP($A404,kurspris!$A$1:$Q$950,11,FALSE)</f>
        <v>0</v>
      </c>
      <c r="AM404" s="31">
        <f>VLOOKUP($A404,kurspris!$A$1:$Q$950,12,FALSE)</f>
        <v>0</v>
      </c>
      <c r="AN404" s="31">
        <f>VLOOKUP($A404,kurspris!$A$1:$Q$950,13,FALSE)</f>
        <v>0</v>
      </c>
      <c r="AO404" s="31">
        <f>VLOOKUP($A404,kurspris!$A$1:$Q$950,14,FALSE)</f>
        <v>0</v>
      </c>
      <c r="AP404" s="57" t="s">
        <v>2506</v>
      </c>
      <c r="AQ404"/>
      <c r="AR404" s="31">
        <f t="shared" si="185"/>
        <v>0</v>
      </c>
      <c r="AS404" s="219">
        <f t="shared" si="186"/>
        <v>0</v>
      </c>
      <c r="AT404" s="31">
        <f t="shared" si="187"/>
        <v>0</v>
      </c>
      <c r="AU404" s="219">
        <f t="shared" si="188"/>
        <v>0</v>
      </c>
      <c r="AV404" s="31">
        <f t="shared" si="189"/>
        <v>0</v>
      </c>
      <c r="AW404" s="31">
        <f t="shared" si="190"/>
        <v>0</v>
      </c>
      <c r="AX404" s="31">
        <f t="shared" si="191"/>
        <v>0</v>
      </c>
      <c r="AY404" s="219">
        <f t="shared" si="192"/>
        <v>0</v>
      </c>
      <c r="AZ404" s="196">
        <f t="shared" si="193"/>
        <v>0</v>
      </c>
      <c r="BA404" s="219">
        <f t="shared" si="194"/>
        <v>0</v>
      </c>
      <c r="BB404" s="31">
        <f t="shared" si="195"/>
        <v>1.125</v>
      </c>
      <c r="BC404" s="219">
        <f t="shared" si="196"/>
        <v>0.95624999999999993</v>
      </c>
      <c r="BD404" s="31">
        <f t="shared" si="197"/>
        <v>0</v>
      </c>
      <c r="BE404" s="219">
        <f t="shared" si="198"/>
        <v>0</v>
      </c>
      <c r="BF404" s="31">
        <f t="shared" si="199"/>
        <v>1.125</v>
      </c>
      <c r="BG404" s="219">
        <f t="shared" si="200"/>
        <v>0.95624999999999993</v>
      </c>
      <c r="BH404" s="31">
        <f t="shared" si="201"/>
        <v>0</v>
      </c>
      <c r="BI404" s="219">
        <f t="shared" si="202"/>
        <v>0</v>
      </c>
      <c r="BJ404" s="31">
        <f t="shared" si="203"/>
        <v>0</v>
      </c>
      <c r="BK404" s="219">
        <f t="shared" si="204"/>
        <v>0</v>
      </c>
      <c r="BL404" s="31">
        <f t="shared" si="205"/>
        <v>0</v>
      </c>
      <c r="BM404" s="219">
        <f t="shared" si="206"/>
        <v>0</v>
      </c>
      <c r="BN404" s="31">
        <f t="shared" si="207"/>
        <v>0</v>
      </c>
      <c r="BO404" s="219">
        <f t="shared" si="208"/>
        <v>0</v>
      </c>
    </row>
    <row r="405" spans="1:67" x14ac:dyDescent="0.25">
      <c r="A405" s="157" t="s">
        <v>1929</v>
      </c>
      <c r="B405" s="176" t="str">
        <f>VLOOKUP(A405,kurspris!$A$1:$B$992,2,FALSE)</f>
        <v>Flervariabelanalys</v>
      </c>
      <c r="C405" s="31">
        <v>75802</v>
      </c>
      <c r="D405" s="31" t="s">
        <v>481</v>
      </c>
      <c r="F405" s="57" t="s">
        <v>2274</v>
      </c>
      <c r="H405" s="31" t="s">
        <v>2335</v>
      </c>
      <c r="I405" s="31" t="s">
        <v>2399</v>
      </c>
      <c r="J405" s="31" t="s">
        <v>2233</v>
      </c>
      <c r="L405" s="38"/>
      <c r="M405">
        <v>7.5</v>
      </c>
      <c r="P405" s="31">
        <v>1</v>
      </c>
      <c r="Q405" s="539">
        <v>0.125</v>
      </c>
      <c r="R405" s="38">
        <v>0.85</v>
      </c>
      <c r="S405" s="280">
        <f t="shared" si="181"/>
        <v>0.10625</v>
      </c>
      <c r="T405" s="31">
        <f>VLOOKUP(A405,'Ansvar kurs'!$A$1:$C$1123,2,FALSE)</f>
        <v>5730</v>
      </c>
      <c r="U405" s="31" t="str">
        <f>VLOOKUP(T405,Orgenheter!$A$1:$C$166,2,FALSE)</f>
        <v>Inst för MA och MA statistik</v>
      </c>
      <c r="V405" s="31" t="str">
        <f>VLOOKUP(T405,Orgenheter!$A$1:$C$166,3,FALSE)</f>
        <v>TekNat</v>
      </c>
      <c r="W405" s="35" t="str">
        <f>VLOOKUP(D405,Program!$A$1:$B$36,2,FALSE)</f>
        <v>Ämneslärarprogrammet - åk 7-9</v>
      </c>
      <c r="X405" s="40">
        <f>VLOOKUP(A405,kurspris!$A$1:$Q$913,15,FALSE)</f>
        <v>20757</v>
      </c>
      <c r="Y405" s="40">
        <f>VLOOKUP(A405,kurspris!$A$1:$Q$913,16,FALSE)</f>
        <v>36082</v>
      </c>
      <c r="Z405" s="40">
        <f t="shared" si="182"/>
        <v>6428.3374999999996</v>
      </c>
      <c r="AA405" s="40">
        <f>VLOOKUP(A405,kurspris!$A$1:$Q$913,17,FALSE)</f>
        <v>22600</v>
      </c>
      <c r="AB405" s="40">
        <f t="shared" si="183"/>
        <v>2825</v>
      </c>
      <c r="AC405" s="40">
        <f t="shared" si="184"/>
        <v>9253.3374999999996</v>
      </c>
      <c r="AD405" s="31">
        <f>VLOOKUP($A405,kurspris!$A$1:$Q$950,3,FALSE)</f>
        <v>0</v>
      </c>
      <c r="AE405" s="31">
        <f>VLOOKUP($A405,kurspris!$A$1:$Q$950,4,FALSE)</f>
        <v>0</v>
      </c>
      <c r="AF405" s="31">
        <f>VLOOKUP($A405,kurspris!$A$1:$Q$950,5,FALSE)</f>
        <v>0</v>
      </c>
      <c r="AG405" s="31">
        <f>VLOOKUP($A405,kurspris!$A$1:$Q$950,6,FALSE)</f>
        <v>0</v>
      </c>
      <c r="AH405" s="31">
        <f>VLOOKUP($A405,kurspris!$A$1:$Q$950,7,FALSE)</f>
        <v>0</v>
      </c>
      <c r="AI405" s="31">
        <f>VLOOKUP($A405,kurspris!$A$1:$Q$950,8,FALSE)</f>
        <v>0.5</v>
      </c>
      <c r="AJ405" s="31">
        <f>VLOOKUP($A405,kurspris!$A$1:$Q$950,9,FALSE)</f>
        <v>0</v>
      </c>
      <c r="AK405" s="31">
        <f>VLOOKUP($A405,kurspris!$A$1:$Q$950,10,FALSE)</f>
        <v>0.5</v>
      </c>
      <c r="AL405" s="31">
        <f>VLOOKUP($A405,kurspris!$A$1:$Q$950,11,FALSE)</f>
        <v>0</v>
      </c>
      <c r="AM405" s="31">
        <f>VLOOKUP($A405,kurspris!$A$1:$Q$950,12,FALSE)</f>
        <v>0</v>
      </c>
      <c r="AN405" s="31">
        <f>VLOOKUP($A405,kurspris!$A$1:$Q$950,13,FALSE)</f>
        <v>0</v>
      </c>
      <c r="AO405" s="31">
        <f>VLOOKUP($A405,kurspris!$A$1:$Q$950,14,FALSE)</f>
        <v>0</v>
      </c>
      <c r="AP405" s="57" t="s">
        <v>2402</v>
      </c>
      <c r="AQ405" s="37"/>
      <c r="AR405" s="31">
        <f t="shared" si="185"/>
        <v>0</v>
      </c>
      <c r="AS405" s="219">
        <f t="shared" si="186"/>
        <v>0</v>
      </c>
      <c r="AT405" s="31">
        <f t="shared" si="187"/>
        <v>0</v>
      </c>
      <c r="AU405" s="219">
        <f t="shared" si="188"/>
        <v>0</v>
      </c>
      <c r="AV405" s="31">
        <f t="shared" si="189"/>
        <v>0</v>
      </c>
      <c r="AW405" s="31">
        <f t="shared" si="190"/>
        <v>0</v>
      </c>
      <c r="AX405" s="31">
        <f t="shared" si="191"/>
        <v>0</v>
      </c>
      <c r="AY405" s="219">
        <f t="shared" si="192"/>
        <v>0</v>
      </c>
      <c r="AZ405" s="196">
        <f t="shared" si="193"/>
        <v>0</v>
      </c>
      <c r="BA405" s="219">
        <f t="shared" si="194"/>
        <v>0</v>
      </c>
      <c r="BB405" s="31">
        <f t="shared" si="195"/>
        <v>6.25E-2</v>
      </c>
      <c r="BC405" s="219">
        <f t="shared" si="196"/>
        <v>5.3124999999999999E-2</v>
      </c>
      <c r="BD405" s="31">
        <f t="shared" si="197"/>
        <v>0</v>
      </c>
      <c r="BE405" s="219">
        <f t="shared" si="198"/>
        <v>0</v>
      </c>
      <c r="BF405" s="31">
        <f t="shared" si="199"/>
        <v>6.25E-2</v>
      </c>
      <c r="BG405" s="219">
        <f t="shared" si="200"/>
        <v>5.3124999999999999E-2</v>
      </c>
      <c r="BH405" s="31">
        <f t="shared" si="201"/>
        <v>0</v>
      </c>
      <c r="BI405" s="219">
        <f t="shared" si="202"/>
        <v>0</v>
      </c>
      <c r="BJ405" s="31">
        <f t="shared" si="203"/>
        <v>0</v>
      </c>
      <c r="BK405" s="219">
        <f t="shared" si="204"/>
        <v>0</v>
      </c>
      <c r="BL405" s="31">
        <f t="shared" si="205"/>
        <v>0</v>
      </c>
      <c r="BM405" s="219">
        <f t="shared" si="206"/>
        <v>0</v>
      </c>
      <c r="BN405" s="31">
        <f t="shared" si="207"/>
        <v>0</v>
      </c>
      <c r="BO405" s="219">
        <f t="shared" si="208"/>
        <v>0</v>
      </c>
    </row>
    <row r="406" spans="1:67" x14ac:dyDescent="0.25">
      <c r="A406" s="31" t="s">
        <v>1929</v>
      </c>
      <c r="B406" s="176" t="str">
        <f>VLOOKUP(A406,kurspris!$A$1:$B$992,2,FALSE)</f>
        <v>Flervariabelanalys</v>
      </c>
      <c r="C406" s="31">
        <v>75802</v>
      </c>
      <c r="D406" s="31" t="s">
        <v>482</v>
      </c>
      <c r="F406" s="57" t="s">
        <v>2274</v>
      </c>
      <c r="H406" s="31" t="s">
        <v>2335</v>
      </c>
      <c r="I406" s="31" t="s">
        <v>2399</v>
      </c>
      <c r="J406" s="31" t="s">
        <v>2233</v>
      </c>
      <c r="L406" s="38"/>
      <c r="M406">
        <v>7.5</v>
      </c>
      <c r="P406" s="31">
        <v>1</v>
      </c>
      <c r="Q406" s="539">
        <v>0.125</v>
      </c>
      <c r="R406" s="38">
        <v>0.85</v>
      </c>
      <c r="S406" s="280">
        <f t="shared" si="181"/>
        <v>0.10625</v>
      </c>
      <c r="T406" s="31">
        <f>VLOOKUP(A406,'Ansvar kurs'!$A$1:$C$1123,2,FALSE)</f>
        <v>5730</v>
      </c>
      <c r="U406" s="31" t="str">
        <f>VLOOKUP(T406,Orgenheter!$A$1:$C$166,2,FALSE)</f>
        <v>Inst för MA och MA statistik</v>
      </c>
      <c r="V406" s="31" t="str">
        <f>VLOOKUP(T406,Orgenheter!$A$1:$C$166,3,FALSE)</f>
        <v>TekNat</v>
      </c>
      <c r="W406" s="35" t="str">
        <f>VLOOKUP(D406,Program!$A$1:$B$36,2,FALSE)</f>
        <v>Ämneslärarprogrammet - Gy</v>
      </c>
      <c r="X406" s="40">
        <f>VLOOKUP(A406,kurspris!$A$1:$Q$913,15,FALSE)</f>
        <v>20757</v>
      </c>
      <c r="Y406" s="40">
        <f>VLOOKUP(A406,kurspris!$A$1:$Q$913,16,FALSE)</f>
        <v>36082</v>
      </c>
      <c r="Z406" s="40">
        <f t="shared" si="182"/>
        <v>6428.3374999999996</v>
      </c>
      <c r="AA406" s="40">
        <f>VLOOKUP(A406,kurspris!$A$1:$Q$913,17,FALSE)</f>
        <v>22600</v>
      </c>
      <c r="AB406" s="40">
        <f t="shared" si="183"/>
        <v>2825</v>
      </c>
      <c r="AC406" s="40">
        <f t="shared" si="184"/>
        <v>9253.3374999999996</v>
      </c>
      <c r="AD406" s="31">
        <f>VLOOKUP($A406,kurspris!$A$1:$Q$950,3,FALSE)</f>
        <v>0</v>
      </c>
      <c r="AE406" s="31">
        <f>VLOOKUP($A406,kurspris!$A$1:$Q$950,4,FALSE)</f>
        <v>0</v>
      </c>
      <c r="AF406" s="31">
        <f>VLOOKUP($A406,kurspris!$A$1:$Q$950,5,FALSE)</f>
        <v>0</v>
      </c>
      <c r="AG406" s="31">
        <f>VLOOKUP($A406,kurspris!$A$1:$Q$950,6,FALSE)</f>
        <v>0</v>
      </c>
      <c r="AH406" s="31">
        <f>VLOOKUP($A406,kurspris!$A$1:$Q$950,7,FALSE)</f>
        <v>0</v>
      </c>
      <c r="AI406" s="31">
        <f>VLOOKUP($A406,kurspris!$A$1:$Q$950,8,FALSE)</f>
        <v>0.5</v>
      </c>
      <c r="AJ406" s="31">
        <f>VLOOKUP($A406,kurspris!$A$1:$Q$950,9,FALSE)</f>
        <v>0</v>
      </c>
      <c r="AK406" s="31">
        <f>VLOOKUP($A406,kurspris!$A$1:$Q$950,10,FALSE)</f>
        <v>0.5</v>
      </c>
      <c r="AL406" s="31">
        <f>VLOOKUP($A406,kurspris!$A$1:$Q$950,11,FALSE)</f>
        <v>0</v>
      </c>
      <c r="AM406" s="31">
        <f>VLOOKUP($A406,kurspris!$A$1:$Q$950,12,FALSE)</f>
        <v>0</v>
      </c>
      <c r="AN406" s="31">
        <f>VLOOKUP($A406,kurspris!$A$1:$Q$950,13,FALSE)</f>
        <v>0</v>
      </c>
      <c r="AO406" s="31">
        <f>VLOOKUP($A406,kurspris!$A$1:$Q$950,14,FALSE)</f>
        <v>0</v>
      </c>
      <c r="AP406" s="57" t="s">
        <v>2402</v>
      </c>
      <c r="AQ406" s="37"/>
      <c r="AR406" s="31">
        <f t="shared" si="185"/>
        <v>0</v>
      </c>
      <c r="AS406" s="219">
        <f t="shared" si="186"/>
        <v>0</v>
      </c>
      <c r="AT406" s="31">
        <f t="shared" si="187"/>
        <v>0</v>
      </c>
      <c r="AU406" s="219">
        <f t="shared" si="188"/>
        <v>0</v>
      </c>
      <c r="AV406" s="31">
        <f t="shared" si="189"/>
        <v>0</v>
      </c>
      <c r="AW406" s="31">
        <f t="shared" si="190"/>
        <v>0</v>
      </c>
      <c r="AX406" s="31">
        <f t="shared" si="191"/>
        <v>0</v>
      </c>
      <c r="AY406" s="219">
        <f t="shared" si="192"/>
        <v>0</v>
      </c>
      <c r="AZ406" s="196">
        <f t="shared" si="193"/>
        <v>0</v>
      </c>
      <c r="BA406" s="219">
        <f t="shared" si="194"/>
        <v>0</v>
      </c>
      <c r="BB406" s="31">
        <f t="shared" si="195"/>
        <v>6.25E-2</v>
      </c>
      <c r="BC406" s="219">
        <f t="shared" si="196"/>
        <v>5.3124999999999999E-2</v>
      </c>
      <c r="BD406" s="31">
        <f t="shared" si="197"/>
        <v>0</v>
      </c>
      <c r="BE406" s="219">
        <f t="shared" si="198"/>
        <v>0</v>
      </c>
      <c r="BF406" s="31">
        <f t="shared" si="199"/>
        <v>6.25E-2</v>
      </c>
      <c r="BG406" s="219">
        <f t="shared" si="200"/>
        <v>5.3124999999999999E-2</v>
      </c>
      <c r="BH406" s="31">
        <f t="shared" si="201"/>
        <v>0</v>
      </c>
      <c r="BI406" s="219">
        <f t="shared" si="202"/>
        <v>0</v>
      </c>
      <c r="BJ406" s="31">
        <f t="shared" si="203"/>
        <v>0</v>
      </c>
      <c r="BK406" s="219">
        <f t="shared" si="204"/>
        <v>0</v>
      </c>
      <c r="BL406" s="31">
        <f t="shared" si="205"/>
        <v>0</v>
      </c>
      <c r="BM406" s="219">
        <f t="shared" si="206"/>
        <v>0</v>
      </c>
      <c r="BN406" s="31">
        <f t="shared" si="207"/>
        <v>0</v>
      </c>
      <c r="BO406" s="219">
        <f t="shared" si="208"/>
        <v>0</v>
      </c>
    </row>
    <row r="407" spans="1:67" x14ac:dyDescent="0.25">
      <c r="A407" s="31" t="s">
        <v>1850</v>
      </c>
      <c r="B407" s="176" t="str">
        <f>VLOOKUP(A407,kurspris!$A$1:$B$992,2,FALSE)</f>
        <v>Matematikens historia</v>
      </c>
      <c r="D407" s="60" t="s">
        <v>482</v>
      </c>
      <c r="E407" s="576" t="s">
        <v>2225</v>
      </c>
      <c r="F407" s="31" t="s">
        <v>2273</v>
      </c>
      <c r="G407" t="s">
        <v>2448</v>
      </c>
      <c r="H407" t="s">
        <v>2335</v>
      </c>
      <c r="J407" s="31" t="s">
        <v>2242</v>
      </c>
      <c r="L407" s="38">
        <v>1</v>
      </c>
      <c r="M407">
        <v>7.5</v>
      </c>
      <c r="P407" s="31">
        <v>1</v>
      </c>
      <c r="Q407" s="196">
        <f t="shared" ref="Q407:Q422" si="210">(M407/60)*P407</f>
        <v>0.125</v>
      </c>
      <c r="R407" s="38">
        <v>0.85</v>
      </c>
      <c r="S407" s="280">
        <f t="shared" si="181"/>
        <v>0.10625</v>
      </c>
      <c r="T407" s="31">
        <f>VLOOKUP(A407,'Ansvar kurs'!$A$1:$C$1123,2,FALSE)</f>
        <v>5730</v>
      </c>
      <c r="U407" s="31" t="str">
        <f>VLOOKUP(T407,Orgenheter!$A$1:$C$166,2,FALSE)</f>
        <v>Inst för MA och MA statistik</v>
      </c>
      <c r="V407" s="31" t="str">
        <f>VLOOKUP(T407,Orgenheter!$A$1:$C$166,3,FALSE)</f>
        <v>TekNat</v>
      </c>
      <c r="W407" s="35" t="str">
        <f>VLOOKUP(D407,Program!$A$1:$B$36,2,FALSE)</f>
        <v>Ämneslärarprogrammet - Gy</v>
      </c>
      <c r="X407" s="40">
        <f>VLOOKUP(A407,kurspris!$A$1:$Q$913,15,FALSE)</f>
        <v>20757</v>
      </c>
      <c r="Y407" s="40">
        <f>VLOOKUP(A407,kurspris!$A$1:$Q$913,16,FALSE)</f>
        <v>36082</v>
      </c>
      <c r="Z407" s="40">
        <f t="shared" si="182"/>
        <v>6428.3374999999996</v>
      </c>
      <c r="AA407" s="40">
        <f>VLOOKUP(A407,kurspris!$A$1:$Q$913,17,FALSE)</f>
        <v>22600</v>
      </c>
      <c r="AB407" s="40">
        <f t="shared" si="183"/>
        <v>2825</v>
      </c>
      <c r="AC407" s="40">
        <f t="shared" si="184"/>
        <v>9253.3374999999996</v>
      </c>
      <c r="AD407" s="31">
        <f>VLOOKUP($A407,kurspris!$A$1:$Q$950,3,FALSE)</f>
        <v>0</v>
      </c>
      <c r="AE407" s="31">
        <f>VLOOKUP($A407,kurspris!$A$1:$Q$950,4,FALSE)</f>
        <v>0</v>
      </c>
      <c r="AF407" s="31">
        <f>VLOOKUP($A407,kurspris!$A$1:$Q$950,5,FALSE)</f>
        <v>0</v>
      </c>
      <c r="AG407" s="31">
        <f>VLOOKUP($A407,kurspris!$A$1:$Q$950,6,FALSE)</f>
        <v>0</v>
      </c>
      <c r="AH407" s="31">
        <f>VLOOKUP($A407,kurspris!$A$1:$Q$950,7,FALSE)</f>
        <v>0</v>
      </c>
      <c r="AI407" s="31">
        <f>VLOOKUP($A407,kurspris!$A$1:$Q$950,8,FALSE)</f>
        <v>1</v>
      </c>
      <c r="AJ407" s="31">
        <f>VLOOKUP($A407,kurspris!$A$1:$Q$950,9,FALSE)</f>
        <v>0</v>
      </c>
      <c r="AK407" s="31">
        <f>VLOOKUP($A407,kurspris!$A$1:$Q$950,10,FALSE)</f>
        <v>0</v>
      </c>
      <c r="AL407" s="31">
        <f>VLOOKUP($A407,kurspris!$A$1:$Q$950,11,FALSE)</f>
        <v>0</v>
      </c>
      <c r="AM407" s="31">
        <f>VLOOKUP($A407,kurspris!$A$1:$Q$950,12,FALSE)</f>
        <v>0</v>
      </c>
      <c r="AN407" s="31">
        <f>VLOOKUP($A407,kurspris!$A$1:$Q$950,13,FALSE)</f>
        <v>0</v>
      </c>
      <c r="AO407" s="31">
        <f>VLOOKUP($A407,kurspris!$A$1:$Q$950,14,FALSE)</f>
        <v>0</v>
      </c>
      <c r="AP407" s="57" t="s">
        <v>2506</v>
      </c>
      <c r="AQ407"/>
      <c r="AR407" s="31">
        <f t="shared" si="185"/>
        <v>0</v>
      </c>
      <c r="AS407" s="219">
        <f t="shared" si="186"/>
        <v>0</v>
      </c>
      <c r="AT407" s="31">
        <f t="shared" si="187"/>
        <v>0</v>
      </c>
      <c r="AU407" s="219">
        <f t="shared" si="188"/>
        <v>0</v>
      </c>
      <c r="AV407" s="31">
        <f t="shared" si="189"/>
        <v>0</v>
      </c>
      <c r="AW407" s="31">
        <f t="shared" si="190"/>
        <v>0</v>
      </c>
      <c r="AX407" s="31">
        <f t="shared" si="191"/>
        <v>0</v>
      </c>
      <c r="AY407" s="219">
        <f t="shared" si="192"/>
        <v>0</v>
      </c>
      <c r="AZ407" s="196">
        <f t="shared" si="193"/>
        <v>0</v>
      </c>
      <c r="BA407" s="219">
        <f t="shared" si="194"/>
        <v>0</v>
      </c>
      <c r="BB407" s="31">
        <f t="shared" si="195"/>
        <v>0.125</v>
      </c>
      <c r="BC407" s="219">
        <f t="shared" si="196"/>
        <v>0.10625</v>
      </c>
      <c r="BD407" s="31">
        <f t="shared" si="197"/>
        <v>0</v>
      </c>
      <c r="BE407" s="219">
        <f t="shared" si="198"/>
        <v>0</v>
      </c>
      <c r="BF407" s="31">
        <f t="shared" si="199"/>
        <v>0</v>
      </c>
      <c r="BG407" s="219">
        <f t="shared" si="200"/>
        <v>0</v>
      </c>
      <c r="BH407" s="31">
        <f t="shared" si="201"/>
        <v>0</v>
      </c>
      <c r="BI407" s="219">
        <f t="shared" si="202"/>
        <v>0</v>
      </c>
      <c r="BJ407" s="31">
        <f t="shared" si="203"/>
        <v>0</v>
      </c>
      <c r="BK407" s="219">
        <f t="shared" si="204"/>
        <v>0</v>
      </c>
      <c r="BL407" s="31">
        <f t="shared" si="205"/>
        <v>0</v>
      </c>
      <c r="BM407" s="219">
        <f t="shared" si="206"/>
        <v>0</v>
      </c>
      <c r="BN407" s="31">
        <f t="shared" si="207"/>
        <v>0</v>
      </c>
      <c r="BO407" s="219">
        <f t="shared" si="208"/>
        <v>0</v>
      </c>
    </row>
    <row r="408" spans="1:67" x14ac:dyDescent="0.25">
      <c r="A408" s="31" t="s">
        <v>1850</v>
      </c>
      <c r="B408" s="176" t="str">
        <f>VLOOKUP(A408,kurspris!$A$1:$B$992,2,FALSE)</f>
        <v>Matematikens historia</v>
      </c>
      <c r="D408" s="60" t="s">
        <v>482</v>
      </c>
      <c r="E408" s="576" t="s">
        <v>2434</v>
      </c>
      <c r="F408" s="31" t="s">
        <v>2273</v>
      </c>
      <c r="G408" t="s">
        <v>2448</v>
      </c>
      <c r="H408" t="s">
        <v>2335</v>
      </c>
      <c r="J408" s="31" t="s">
        <v>2233</v>
      </c>
      <c r="L408" s="38">
        <v>1</v>
      </c>
      <c r="M408">
        <v>7.5</v>
      </c>
      <c r="P408" s="31">
        <v>1</v>
      </c>
      <c r="Q408" s="196">
        <f t="shared" si="210"/>
        <v>0.125</v>
      </c>
      <c r="R408" s="38">
        <v>0.85</v>
      </c>
      <c r="S408" s="280">
        <f t="shared" si="181"/>
        <v>0.10625</v>
      </c>
      <c r="T408" s="31">
        <f>VLOOKUP(A408,'Ansvar kurs'!$A$1:$C$1123,2,FALSE)</f>
        <v>5730</v>
      </c>
      <c r="U408" s="31" t="str">
        <f>VLOOKUP(T408,Orgenheter!$A$1:$C$166,2,FALSE)</f>
        <v>Inst för MA och MA statistik</v>
      </c>
      <c r="V408" s="31" t="str">
        <f>VLOOKUP(T408,Orgenheter!$A$1:$C$166,3,FALSE)</f>
        <v>TekNat</v>
      </c>
      <c r="W408" s="35" t="str">
        <f>VLOOKUP(D408,Program!$A$1:$B$36,2,FALSE)</f>
        <v>Ämneslärarprogrammet - Gy</v>
      </c>
      <c r="X408" s="40">
        <f>VLOOKUP(A408,kurspris!$A$1:$Q$913,15,FALSE)</f>
        <v>20757</v>
      </c>
      <c r="Y408" s="40">
        <f>VLOOKUP(A408,kurspris!$A$1:$Q$913,16,FALSE)</f>
        <v>36082</v>
      </c>
      <c r="Z408" s="40">
        <f t="shared" si="182"/>
        <v>6428.3374999999996</v>
      </c>
      <c r="AA408" s="40">
        <f>VLOOKUP(A408,kurspris!$A$1:$Q$913,17,FALSE)</f>
        <v>22600</v>
      </c>
      <c r="AB408" s="40">
        <f t="shared" si="183"/>
        <v>2825</v>
      </c>
      <c r="AC408" s="40">
        <f t="shared" si="184"/>
        <v>9253.3374999999996</v>
      </c>
      <c r="AD408" s="31">
        <f>VLOOKUP($A408,kurspris!$A$1:$Q$950,3,FALSE)</f>
        <v>0</v>
      </c>
      <c r="AE408" s="31">
        <f>VLOOKUP($A408,kurspris!$A$1:$Q$950,4,FALSE)</f>
        <v>0</v>
      </c>
      <c r="AF408" s="31">
        <f>VLOOKUP($A408,kurspris!$A$1:$Q$950,5,FALSE)</f>
        <v>0</v>
      </c>
      <c r="AG408" s="31">
        <f>VLOOKUP($A408,kurspris!$A$1:$Q$950,6,FALSE)</f>
        <v>0</v>
      </c>
      <c r="AH408" s="31">
        <f>VLOOKUP($A408,kurspris!$A$1:$Q$950,7,FALSE)</f>
        <v>0</v>
      </c>
      <c r="AI408" s="31">
        <f>VLOOKUP($A408,kurspris!$A$1:$Q$950,8,FALSE)</f>
        <v>1</v>
      </c>
      <c r="AJ408" s="31">
        <f>VLOOKUP($A408,kurspris!$A$1:$Q$950,9,FALSE)</f>
        <v>0</v>
      </c>
      <c r="AK408" s="31">
        <f>VLOOKUP($A408,kurspris!$A$1:$Q$950,10,FALSE)</f>
        <v>0</v>
      </c>
      <c r="AL408" s="31">
        <f>VLOOKUP($A408,kurspris!$A$1:$Q$950,11,FALSE)</f>
        <v>0</v>
      </c>
      <c r="AM408" s="31">
        <f>VLOOKUP($A408,kurspris!$A$1:$Q$950,12,FALSE)</f>
        <v>0</v>
      </c>
      <c r="AN408" s="31">
        <f>VLOOKUP($A408,kurspris!$A$1:$Q$950,13,FALSE)</f>
        <v>0</v>
      </c>
      <c r="AO408" s="31">
        <f>VLOOKUP($A408,kurspris!$A$1:$Q$950,14,FALSE)</f>
        <v>0</v>
      </c>
      <c r="AP408" s="57" t="s">
        <v>2506</v>
      </c>
      <c r="AQ408"/>
      <c r="AR408" s="31">
        <f t="shared" si="185"/>
        <v>0</v>
      </c>
      <c r="AS408" s="219">
        <f t="shared" si="186"/>
        <v>0</v>
      </c>
      <c r="AT408" s="31">
        <f t="shared" si="187"/>
        <v>0</v>
      </c>
      <c r="AU408" s="219">
        <f t="shared" si="188"/>
        <v>0</v>
      </c>
      <c r="AV408" s="31">
        <f t="shared" si="189"/>
        <v>0</v>
      </c>
      <c r="AW408" s="31">
        <f t="shared" si="190"/>
        <v>0</v>
      </c>
      <c r="AX408" s="31">
        <f t="shared" si="191"/>
        <v>0</v>
      </c>
      <c r="AY408" s="219">
        <f t="shared" si="192"/>
        <v>0</v>
      </c>
      <c r="AZ408" s="196">
        <f t="shared" si="193"/>
        <v>0</v>
      </c>
      <c r="BA408" s="219">
        <f t="shared" si="194"/>
        <v>0</v>
      </c>
      <c r="BB408" s="31">
        <f t="shared" si="195"/>
        <v>0.125</v>
      </c>
      <c r="BC408" s="219">
        <f t="shared" si="196"/>
        <v>0.10625</v>
      </c>
      <c r="BD408" s="31">
        <f t="shared" si="197"/>
        <v>0</v>
      </c>
      <c r="BE408" s="219">
        <f t="shared" si="198"/>
        <v>0</v>
      </c>
      <c r="BF408" s="31">
        <f t="shared" si="199"/>
        <v>0</v>
      </c>
      <c r="BG408" s="219">
        <f t="shared" si="200"/>
        <v>0</v>
      </c>
      <c r="BH408" s="31">
        <f t="shared" si="201"/>
        <v>0</v>
      </c>
      <c r="BI408" s="219">
        <f t="shared" si="202"/>
        <v>0</v>
      </c>
      <c r="BJ408" s="31">
        <f t="shared" si="203"/>
        <v>0</v>
      </c>
      <c r="BK408" s="219">
        <f t="shared" si="204"/>
        <v>0</v>
      </c>
      <c r="BL408" s="31">
        <f t="shared" si="205"/>
        <v>0</v>
      </c>
      <c r="BM408" s="219">
        <f t="shared" si="206"/>
        <v>0</v>
      </c>
      <c r="BN408" s="31">
        <f t="shared" si="207"/>
        <v>0</v>
      </c>
      <c r="BO408" s="219">
        <f t="shared" si="208"/>
        <v>0</v>
      </c>
    </row>
    <row r="409" spans="1:67" x14ac:dyDescent="0.25">
      <c r="A409" s="31" t="s">
        <v>1901</v>
      </c>
      <c r="B409" s="176" t="str">
        <f>VLOOKUP(A409,kurspris!$A$1:$B$992,2,FALSE)</f>
        <v>Att undervisa i matematik (VFU)</v>
      </c>
      <c r="D409" s="60" t="s">
        <v>482</v>
      </c>
      <c r="E409" s="576" t="s">
        <v>2429</v>
      </c>
      <c r="F409" s="31" t="s">
        <v>2273</v>
      </c>
      <c r="G409" t="s">
        <v>2444</v>
      </c>
      <c r="H409" t="s">
        <v>2335</v>
      </c>
      <c r="J409" s="31" t="s">
        <v>2233</v>
      </c>
      <c r="L409" s="38">
        <v>1</v>
      </c>
      <c r="M409">
        <v>6</v>
      </c>
      <c r="P409" s="31">
        <v>1</v>
      </c>
      <c r="Q409" s="196">
        <f t="shared" si="210"/>
        <v>0.1</v>
      </c>
      <c r="R409" s="38">
        <v>0.85</v>
      </c>
      <c r="S409" s="280">
        <f t="shared" si="181"/>
        <v>8.5000000000000006E-2</v>
      </c>
      <c r="T409" s="31">
        <f>VLOOKUP(A409,'Ansvar kurs'!$A$1:$C$1123,2,FALSE)</f>
        <v>5730</v>
      </c>
      <c r="U409" s="31" t="str">
        <f>VLOOKUP(T409,Orgenheter!$A$1:$C$166,2,FALSE)</f>
        <v>Inst för MA och MA statistik</v>
      </c>
      <c r="V409" s="31" t="str">
        <f>VLOOKUP(T409,Orgenheter!$A$1:$C$166,3,FALSE)</f>
        <v>TekNat</v>
      </c>
      <c r="W409" s="35" t="str">
        <f>VLOOKUP(D409,Program!$A$1:$B$36,2,FALSE)</f>
        <v>Ämneslärarprogrammet - Gy</v>
      </c>
      <c r="X409" s="40">
        <f>VLOOKUP(A409,kurspris!$A$1:$Q$913,15,FALSE)</f>
        <v>25235</v>
      </c>
      <c r="Y409" s="40">
        <f>VLOOKUP(A409,kurspris!$A$1:$Q$913,16,FALSE)</f>
        <v>27976</v>
      </c>
      <c r="Z409" s="40">
        <f t="shared" si="182"/>
        <v>4901.46</v>
      </c>
      <c r="AA409" s="40">
        <f>VLOOKUP(A409,kurspris!$A$1:$Q$913,17,FALSE)</f>
        <v>3600</v>
      </c>
      <c r="AB409" s="40">
        <f t="shared" si="183"/>
        <v>360</v>
      </c>
      <c r="AC409" s="40">
        <f t="shared" si="184"/>
        <v>5261.46</v>
      </c>
      <c r="AD409" s="31">
        <f>VLOOKUP($A409,kurspris!$A$1:$Q$950,3,FALSE)</f>
        <v>0</v>
      </c>
      <c r="AE409" s="31">
        <f>VLOOKUP($A409,kurspris!$A$1:$Q$950,4,FALSE)</f>
        <v>0</v>
      </c>
      <c r="AF409" s="31">
        <f>VLOOKUP($A409,kurspris!$A$1:$Q$950,5,FALSE)</f>
        <v>0</v>
      </c>
      <c r="AG409" s="31">
        <f>VLOOKUP($A409,kurspris!$A$1:$Q$950,6,FALSE)</f>
        <v>0</v>
      </c>
      <c r="AH409" s="31">
        <f>VLOOKUP($A409,kurspris!$A$1:$Q$950,7,FALSE)</f>
        <v>0</v>
      </c>
      <c r="AI409" s="31">
        <f>VLOOKUP($A409,kurspris!$A$1:$Q$950,8,FALSE)</f>
        <v>0</v>
      </c>
      <c r="AJ409" s="31">
        <f>VLOOKUP($A409,kurspris!$A$1:$Q$950,9,FALSE)</f>
        <v>0</v>
      </c>
      <c r="AK409" s="31">
        <f>VLOOKUP($A409,kurspris!$A$1:$Q$950,10,FALSE)</f>
        <v>0</v>
      </c>
      <c r="AL409" s="31">
        <f>VLOOKUP($A409,kurspris!$A$1:$Q$950,11,FALSE)</f>
        <v>1</v>
      </c>
      <c r="AM409" s="31">
        <f>VLOOKUP($A409,kurspris!$A$1:$Q$950,12,FALSE)</f>
        <v>0</v>
      </c>
      <c r="AN409" s="31">
        <f>VLOOKUP($A409,kurspris!$A$1:$Q$950,13,FALSE)</f>
        <v>0</v>
      </c>
      <c r="AO409" s="31">
        <f>VLOOKUP($A409,kurspris!$A$1:$Q$950,14,FALSE)</f>
        <v>0</v>
      </c>
      <c r="AP409" s="57" t="s">
        <v>2506</v>
      </c>
      <c r="AQ409"/>
      <c r="AR409" s="31">
        <f t="shared" si="185"/>
        <v>0</v>
      </c>
      <c r="AS409" s="219">
        <f t="shared" si="186"/>
        <v>0</v>
      </c>
      <c r="AT409" s="31">
        <f t="shared" si="187"/>
        <v>0</v>
      </c>
      <c r="AU409" s="219">
        <f t="shared" si="188"/>
        <v>0</v>
      </c>
      <c r="AV409" s="31">
        <f t="shared" si="189"/>
        <v>0</v>
      </c>
      <c r="AW409" s="31">
        <f t="shared" si="190"/>
        <v>0</v>
      </c>
      <c r="AX409" s="31">
        <f t="shared" si="191"/>
        <v>0</v>
      </c>
      <c r="AY409" s="219">
        <f t="shared" si="192"/>
        <v>0</v>
      </c>
      <c r="AZ409" s="196">
        <f t="shared" si="193"/>
        <v>0</v>
      </c>
      <c r="BA409" s="219">
        <f t="shared" si="194"/>
        <v>0</v>
      </c>
      <c r="BB409" s="31">
        <f t="shared" si="195"/>
        <v>0</v>
      </c>
      <c r="BC409" s="219">
        <f t="shared" si="196"/>
        <v>0</v>
      </c>
      <c r="BD409" s="31">
        <f t="shared" si="197"/>
        <v>0</v>
      </c>
      <c r="BE409" s="219">
        <f t="shared" si="198"/>
        <v>0</v>
      </c>
      <c r="BF409" s="31">
        <f t="shared" si="199"/>
        <v>0</v>
      </c>
      <c r="BG409" s="219">
        <f t="shared" si="200"/>
        <v>0</v>
      </c>
      <c r="BH409" s="31">
        <f t="shared" si="201"/>
        <v>0.1</v>
      </c>
      <c r="BI409" s="219">
        <f t="shared" si="202"/>
        <v>8.5000000000000006E-2</v>
      </c>
      <c r="BJ409" s="31">
        <f t="shared" si="203"/>
        <v>0</v>
      </c>
      <c r="BK409" s="219">
        <f t="shared" si="204"/>
        <v>0</v>
      </c>
      <c r="BL409" s="31">
        <f t="shared" si="205"/>
        <v>0</v>
      </c>
      <c r="BM409" s="219">
        <f t="shared" si="206"/>
        <v>0</v>
      </c>
      <c r="BN409" s="31">
        <f t="shared" si="207"/>
        <v>0</v>
      </c>
      <c r="BO409" s="219">
        <f t="shared" si="208"/>
        <v>0</v>
      </c>
    </row>
    <row r="410" spans="1:67" x14ac:dyDescent="0.25">
      <c r="A410" s="31" t="s">
        <v>1901</v>
      </c>
      <c r="B410" s="176" t="str">
        <f>VLOOKUP(A410,kurspris!$A$1:$B$992,2,FALSE)</f>
        <v>Att undervisa i matematik (VFU)</v>
      </c>
      <c r="D410" s="60" t="s">
        <v>482</v>
      </c>
      <c r="E410" s="576" t="s">
        <v>2225</v>
      </c>
      <c r="F410" s="31" t="s">
        <v>2273</v>
      </c>
      <c r="G410" t="s">
        <v>2444</v>
      </c>
      <c r="H410" t="s">
        <v>2335</v>
      </c>
      <c r="J410" s="31" t="s">
        <v>2233</v>
      </c>
      <c r="L410" s="38">
        <v>1</v>
      </c>
      <c r="M410">
        <v>6</v>
      </c>
      <c r="P410" s="31">
        <v>1</v>
      </c>
      <c r="Q410" s="196">
        <f t="shared" si="210"/>
        <v>0.1</v>
      </c>
      <c r="R410" s="38">
        <v>0.85</v>
      </c>
      <c r="S410" s="280">
        <f t="shared" si="181"/>
        <v>8.5000000000000006E-2</v>
      </c>
      <c r="T410" s="31">
        <f>VLOOKUP(A410,'Ansvar kurs'!$A$1:$C$1123,2,FALSE)</f>
        <v>5730</v>
      </c>
      <c r="U410" s="31" t="str">
        <f>VLOOKUP(T410,Orgenheter!$A$1:$C$166,2,FALSE)</f>
        <v>Inst för MA och MA statistik</v>
      </c>
      <c r="V410" s="31" t="str">
        <f>VLOOKUP(T410,Orgenheter!$A$1:$C$166,3,FALSE)</f>
        <v>TekNat</v>
      </c>
      <c r="W410" s="35" t="str">
        <f>VLOOKUP(D410,Program!$A$1:$B$36,2,FALSE)</f>
        <v>Ämneslärarprogrammet - Gy</v>
      </c>
      <c r="X410" s="40">
        <f>VLOOKUP(A410,kurspris!$A$1:$Q$913,15,FALSE)</f>
        <v>25235</v>
      </c>
      <c r="Y410" s="40">
        <f>VLOOKUP(A410,kurspris!$A$1:$Q$913,16,FALSE)</f>
        <v>27976</v>
      </c>
      <c r="Z410" s="40">
        <f t="shared" si="182"/>
        <v>4901.46</v>
      </c>
      <c r="AA410" s="40">
        <f>VLOOKUP(A410,kurspris!$A$1:$Q$913,17,FALSE)</f>
        <v>3600</v>
      </c>
      <c r="AB410" s="40">
        <f t="shared" si="183"/>
        <v>360</v>
      </c>
      <c r="AC410" s="40">
        <f t="shared" si="184"/>
        <v>5261.46</v>
      </c>
      <c r="AD410" s="31">
        <f>VLOOKUP($A410,kurspris!$A$1:$Q$950,3,FALSE)</f>
        <v>0</v>
      </c>
      <c r="AE410" s="31">
        <f>VLOOKUP($A410,kurspris!$A$1:$Q$950,4,FALSE)</f>
        <v>0</v>
      </c>
      <c r="AF410" s="31">
        <f>VLOOKUP($A410,kurspris!$A$1:$Q$950,5,FALSE)</f>
        <v>0</v>
      </c>
      <c r="AG410" s="31">
        <f>VLOOKUP($A410,kurspris!$A$1:$Q$950,6,FALSE)</f>
        <v>0</v>
      </c>
      <c r="AH410" s="31">
        <f>VLOOKUP($A410,kurspris!$A$1:$Q$950,7,FALSE)</f>
        <v>0</v>
      </c>
      <c r="AI410" s="31">
        <f>VLOOKUP($A410,kurspris!$A$1:$Q$950,8,FALSE)</f>
        <v>0</v>
      </c>
      <c r="AJ410" s="31">
        <f>VLOOKUP($A410,kurspris!$A$1:$Q$950,9,FALSE)</f>
        <v>0</v>
      </c>
      <c r="AK410" s="31">
        <f>VLOOKUP($A410,kurspris!$A$1:$Q$950,10,FALSE)</f>
        <v>0</v>
      </c>
      <c r="AL410" s="31">
        <f>VLOOKUP($A410,kurspris!$A$1:$Q$950,11,FALSE)</f>
        <v>1</v>
      </c>
      <c r="AM410" s="31">
        <f>VLOOKUP($A410,kurspris!$A$1:$Q$950,12,FALSE)</f>
        <v>0</v>
      </c>
      <c r="AN410" s="31">
        <f>VLOOKUP($A410,kurspris!$A$1:$Q$950,13,FALSE)</f>
        <v>0</v>
      </c>
      <c r="AO410" s="31">
        <f>VLOOKUP($A410,kurspris!$A$1:$Q$950,14,FALSE)</f>
        <v>0</v>
      </c>
      <c r="AP410" s="57" t="s">
        <v>2506</v>
      </c>
      <c r="AQ410"/>
      <c r="AR410" s="31">
        <f t="shared" si="185"/>
        <v>0</v>
      </c>
      <c r="AS410" s="219">
        <f t="shared" si="186"/>
        <v>0</v>
      </c>
      <c r="AT410" s="31">
        <f t="shared" si="187"/>
        <v>0</v>
      </c>
      <c r="AU410" s="219">
        <f t="shared" si="188"/>
        <v>0</v>
      </c>
      <c r="AV410" s="31">
        <f t="shared" si="189"/>
        <v>0</v>
      </c>
      <c r="AW410" s="31">
        <f t="shared" si="190"/>
        <v>0</v>
      </c>
      <c r="AX410" s="31">
        <f t="shared" si="191"/>
        <v>0</v>
      </c>
      <c r="AY410" s="219">
        <f t="shared" si="192"/>
        <v>0</v>
      </c>
      <c r="AZ410" s="196">
        <f t="shared" si="193"/>
        <v>0</v>
      </c>
      <c r="BA410" s="219">
        <f t="shared" si="194"/>
        <v>0</v>
      </c>
      <c r="BB410" s="31">
        <f t="shared" si="195"/>
        <v>0</v>
      </c>
      <c r="BC410" s="219">
        <f t="shared" si="196"/>
        <v>0</v>
      </c>
      <c r="BD410" s="31">
        <f t="shared" si="197"/>
        <v>0</v>
      </c>
      <c r="BE410" s="219">
        <f t="shared" si="198"/>
        <v>0</v>
      </c>
      <c r="BF410" s="31">
        <f t="shared" si="199"/>
        <v>0</v>
      </c>
      <c r="BG410" s="219">
        <f t="shared" si="200"/>
        <v>0</v>
      </c>
      <c r="BH410" s="31">
        <f t="shared" si="201"/>
        <v>0.1</v>
      </c>
      <c r="BI410" s="219">
        <f t="shared" si="202"/>
        <v>8.5000000000000006E-2</v>
      </c>
      <c r="BJ410" s="31">
        <f t="shared" si="203"/>
        <v>0</v>
      </c>
      <c r="BK410" s="219">
        <f t="shared" si="204"/>
        <v>0</v>
      </c>
      <c r="BL410" s="31">
        <f t="shared" si="205"/>
        <v>0</v>
      </c>
      <c r="BM410" s="219">
        <f t="shared" si="206"/>
        <v>0</v>
      </c>
      <c r="BN410" s="31">
        <f t="shared" si="207"/>
        <v>0</v>
      </c>
      <c r="BO410" s="219">
        <f t="shared" si="208"/>
        <v>0</v>
      </c>
    </row>
    <row r="411" spans="1:67" x14ac:dyDescent="0.25">
      <c r="A411" s="222" t="s">
        <v>1901</v>
      </c>
      <c r="B411" s="176" t="str">
        <f>VLOOKUP(A411,kurspris!$A$1:$B$992,2,FALSE)</f>
        <v>Att undervisa i matematik (VFU)</v>
      </c>
      <c r="D411" s="60" t="s">
        <v>482</v>
      </c>
      <c r="E411" s="576" t="s">
        <v>2434</v>
      </c>
      <c r="F411" s="31" t="s">
        <v>2273</v>
      </c>
      <c r="G411" t="s">
        <v>2444</v>
      </c>
      <c r="H411" t="s">
        <v>2335</v>
      </c>
      <c r="J411" s="31" t="s">
        <v>2233</v>
      </c>
      <c r="L411" s="38">
        <v>1</v>
      </c>
      <c r="M411">
        <v>6</v>
      </c>
      <c r="P411" s="31">
        <v>8</v>
      </c>
      <c r="Q411" s="196">
        <f t="shared" si="210"/>
        <v>0.8</v>
      </c>
      <c r="R411" s="38">
        <v>0.85</v>
      </c>
      <c r="S411" s="280">
        <f t="shared" si="181"/>
        <v>0.68</v>
      </c>
      <c r="T411" s="31">
        <f>VLOOKUP(A411,'Ansvar kurs'!$A$1:$C$1123,2,FALSE)</f>
        <v>5730</v>
      </c>
      <c r="U411" s="31" t="str">
        <f>VLOOKUP(T411,Orgenheter!$A$1:$C$166,2,FALSE)</f>
        <v>Inst för MA och MA statistik</v>
      </c>
      <c r="V411" s="31" t="str">
        <f>VLOOKUP(T411,Orgenheter!$A$1:$C$166,3,FALSE)</f>
        <v>TekNat</v>
      </c>
      <c r="W411" s="35" t="str">
        <f>VLOOKUP(D411,Program!$A$1:$B$36,2,FALSE)</f>
        <v>Ämneslärarprogrammet - Gy</v>
      </c>
      <c r="X411" s="40">
        <f>VLOOKUP(A411,kurspris!$A$1:$Q$913,15,FALSE)</f>
        <v>25235</v>
      </c>
      <c r="Y411" s="40">
        <f>VLOOKUP(A411,kurspris!$A$1:$Q$913,16,FALSE)</f>
        <v>27976</v>
      </c>
      <c r="Z411" s="40">
        <f t="shared" si="182"/>
        <v>39211.68</v>
      </c>
      <c r="AA411" s="40">
        <f>VLOOKUP(A411,kurspris!$A$1:$Q$913,17,FALSE)</f>
        <v>3600</v>
      </c>
      <c r="AB411" s="40">
        <f t="shared" si="183"/>
        <v>2880</v>
      </c>
      <c r="AC411" s="40">
        <f t="shared" si="184"/>
        <v>42091.68</v>
      </c>
      <c r="AD411" s="31">
        <f>VLOOKUP($A411,kurspris!$A$1:$Q$950,3,FALSE)</f>
        <v>0</v>
      </c>
      <c r="AE411" s="31">
        <f>VLOOKUP($A411,kurspris!$A$1:$Q$950,4,FALSE)</f>
        <v>0</v>
      </c>
      <c r="AF411" s="31">
        <f>VLOOKUP($A411,kurspris!$A$1:$Q$950,5,FALSE)</f>
        <v>0</v>
      </c>
      <c r="AG411" s="31">
        <f>VLOOKUP($A411,kurspris!$A$1:$Q$950,6,FALSE)</f>
        <v>0</v>
      </c>
      <c r="AH411" s="31">
        <f>VLOOKUP($A411,kurspris!$A$1:$Q$950,7,FALSE)</f>
        <v>0</v>
      </c>
      <c r="AI411" s="31">
        <f>VLOOKUP($A411,kurspris!$A$1:$Q$950,8,FALSE)</f>
        <v>0</v>
      </c>
      <c r="AJ411" s="31">
        <f>VLOOKUP($A411,kurspris!$A$1:$Q$950,9,FALSE)</f>
        <v>0</v>
      </c>
      <c r="AK411" s="31">
        <f>VLOOKUP($A411,kurspris!$A$1:$Q$950,10,FALSE)</f>
        <v>0</v>
      </c>
      <c r="AL411" s="31">
        <f>VLOOKUP($A411,kurspris!$A$1:$Q$950,11,FALSE)</f>
        <v>1</v>
      </c>
      <c r="AM411" s="31">
        <f>VLOOKUP($A411,kurspris!$A$1:$Q$950,12,FALSE)</f>
        <v>0</v>
      </c>
      <c r="AN411" s="31">
        <f>VLOOKUP($A411,kurspris!$A$1:$Q$950,13,FALSE)</f>
        <v>0</v>
      </c>
      <c r="AO411" s="31">
        <f>VLOOKUP($A411,kurspris!$A$1:$Q$950,14,FALSE)</f>
        <v>0</v>
      </c>
      <c r="AP411" s="57" t="s">
        <v>2506</v>
      </c>
      <c r="AQ411"/>
      <c r="AR411" s="31">
        <f t="shared" si="185"/>
        <v>0</v>
      </c>
      <c r="AS411" s="219">
        <f t="shared" si="186"/>
        <v>0</v>
      </c>
      <c r="AT411" s="31">
        <f t="shared" si="187"/>
        <v>0</v>
      </c>
      <c r="AU411" s="219">
        <f t="shared" si="188"/>
        <v>0</v>
      </c>
      <c r="AV411" s="31">
        <f t="shared" si="189"/>
        <v>0</v>
      </c>
      <c r="AW411" s="31">
        <f t="shared" si="190"/>
        <v>0</v>
      </c>
      <c r="AX411" s="31">
        <f t="shared" si="191"/>
        <v>0</v>
      </c>
      <c r="AY411" s="219">
        <f t="shared" si="192"/>
        <v>0</v>
      </c>
      <c r="AZ411" s="196">
        <f t="shared" si="193"/>
        <v>0</v>
      </c>
      <c r="BA411" s="219">
        <f t="shared" si="194"/>
        <v>0</v>
      </c>
      <c r="BB411" s="31">
        <f t="shared" si="195"/>
        <v>0</v>
      </c>
      <c r="BC411" s="219">
        <f t="shared" si="196"/>
        <v>0</v>
      </c>
      <c r="BD411" s="31">
        <f t="shared" si="197"/>
        <v>0</v>
      </c>
      <c r="BE411" s="219">
        <f t="shared" si="198"/>
        <v>0</v>
      </c>
      <c r="BF411" s="31">
        <f t="shared" si="199"/>
        <v>0</v>
      </c>
      <c r="BG411" s="219">
        <f t="shared" si="200"/>
        <v>0</v>
      </c>
      <c r="BH411" s="31">
        <f t="shared" si="201"/>
        <v>0.8</v>
      </c>
      <c r="BI411" s="219">
        <f t="shared" si="202"/>
        <v>0.68</v>
      </c>
      <c r="BJ411" s="31">
        <f t="shared" si="203"/>
        <v>0</v>
      </c>
      <c r="BK411" s="219">
        <f t="shared" si="204"/>
        <v>0</v>
      </c>
      <c r="BL411" s="31">
        <f t="shared" si="205"/>
        <v>0</v>
      </c>
      <c r="BM411" s="219">
        <f t="shared" si="206"/>
        <v>0</v>
      </c>
      <c r="BN411" s="31">
        <f t="shared" si="207"/>
        <v>0</v>
      </c>
      <c r="BO411" s="219">
        <f t="shared" si="208"/>
        <v>0</v>
      </c>
    </row>
    <row r="412" spans="1:67" x14ac:dyDescent="0.25">
      <c r="A412" s="31" t="s">
        <v>1930</v>
      </c>
      <c r="B412" s="176" t="str">
        <f>VLOOKUP(A412,kurspris!$A$1:$B$992,2,FALSE)</f>
        <v>Differentialekvationer</v>
      </c>
      <c r="D412" s="31" t="s">
        <v>117</v>
      </c>
      <c r="F412" s="31" t="s">
        <v>2273</v>
      </c>
      <c r="I412" s="31" t="s">
        <v>2276</v>
      </c>
      <c r="L412" s="38">
        <v>1</v>
      </c>
      <c r="M412" s="325">
        <v>7.5</v>
      </c>
      <c r="P412" s="31">
        <v>2</v>
      </c>
      <c r="Q412" s="196">
        <f t="shared" si="210"/>
        <v>0.25</v>
      </c>
      <c r="R412" s="38">
        <v>0.8</v>
      </c>
      <c r="S412" s="280">
        <f t="shared" si="181"/>
        <v>0.2</v>
      </c>
      <c r="T412" s="31">
        <f>VLOOKUP(A412,'Ansvar kurs'!$A$1:$C$1123,2,FALSE)</f>
        <v>5730</v>
      </c>
      <c r="U412" s="31" t="str">
        <f>VLOOKUP(T412,Orgenheter!$A$1:$C$166,2,FALSE)</f>
        <v>Inst för MA och MA statistik</v>
      </c>
      <c r="V412" s="31" t="str">
        <f>VLOOKUP(T412,Orgenheter!$A$1:$C$166,3,FALSE)</f>
        <v>TekNat</v>
      </c>
      <c r="W412" s="35" t="str">
        <f>VLOOKUP(D412,Program!$A$1:$B$36,2,FALSE)</f>
        <v>Fristående och övriga kurser</v>
      </c>
      <c r="X412" s="40">
        <f>VLOOKUP(A412,kurspris!$A$1:$Q$913,15,FALSE)</f>
        <v>20757</v>
      </c>
      <c r="Y412" s="40">
        <f>VLOOKUP(A412,kurspris!$A$1:$Q$913,16,FALSE)</f>
        <v>36082</v>
      </c>
      <c r="Z412" s="40">
        <f t="shared" si="182"/>
        <v>12405.650000000001</v>
      </c>
      <c r="AA412" s="40">
        <f>VLOOKUP(A412,kurspris!$A$1:$Q$913,17,FALSE)</f>
        <v>22600</v>
      </c>
      <c r="AB412" s="40">
        <f t="shared" si="183"/>
        <v>5650</v>
      </c>
      <c r="AC412" s="40">
        <f t="shared" si="184"/>
        <v>18055.650000000001</v>
      </c>
      <c r="AD412" s="31">
        <f>VLOOKUP($A412,kurspris!$A$1:$Q$950,3,FALSE)</f>
        <v>0</v>
      </c>
      <c r="AE412" s="31">
        <f>VLOOKUP($A412,kurspris!$A$1:$Q$950,4,FALSE)</f>
        <v>0</v>
      </c>
      <c r="AF412" s="31">
        <f>VLOOKUP($A412,kurspris!$A$1:$Q$950,5,FALSE)</f>
        <v>0</v>
      </c>
      <c r="AG412" s="31">
        <f>VLOOKUP($A412,kurspris!$A$1:$Q$950,6,FALSE)</f>
        <v>0</v>
      </c>
      <c r="AH412" s="31">
        <f>VLOOKUP($A412,kurspris!$A$1:$Q$950,7,FALSE)</f>
        <v>0</v>
      </c>
      <c r="AI412" s="31">
        <f>VLOOKUP($A412,kurspris!$A$1:$Q$950,8,FALSE)</f>
        <v>0.5</v>
      </c>
      <c r="AJ412" s="31">
        <f>VLOOKUP($A412,kurspris!$A$1:$Q$950,9,FALSE)</f>
        <v>0</v>
      </c>
      <c r="AK412" s="31">
        <f>VLOOKUP($A412,kurspris!$A$1:$Q$950,10,FALSE)</f>
        <v>0.5</v>
      </c>
      <c r="AL412" s="31">
        <f>VLOOKUP($A412,kurspris!$A$1:$Q$950,11,FALSE)</f>
        <v>0</v>
      </c>
      <c r="AM412" s="31">
        <f>VLOOKUP($A412,kurspris!$A$1:$Q$950,12,FALSE)</f>
        <v>0</v>
      </c>
      <c r="AN412" s="31">
        <f>VLOOKUP($A412,kurspris!$A$1:$Q$950,13,FALSE)</f>
        <v>0</v>
      </c>
      <c r="AO412" s="31">
        <f>VLOOKUP($A412,kurspris!$A$1:$Q$950,14,FALSE)</f>
        <v>0</v>
      </c>
      <c r="AP412" s="57" t="s">
        <v>2267</v>
      </c>
      <c r="AQ412" s="37"/>
      <c r="AR412" s="31">
        <f t="shared" si="185"/>
        <v>0</v>
      </c>
      <c r="AS412" s="219">
        <f t="shared" si="186"/>
        <v>0</v>
      </c>
      <c r="AT412" s="31">
        <f t="shared" si="187"/>
        <v>0</v>
      </c>
      <c r="AU412" s="219">
        <f t="shared" si="188"/>
        <v>0</v>
      </c>
      <c r="AV412" s="31">
        <f t="shared" si="189"/>
        <v>0</v>
      </c>
      <c r="AW412" s="31">
        <f t="shared" si="190"/>
        <v>0</v>
      </c>
      <c r="AX412" s="31">
        <f t="shared" si="191"/>
        <v>0</v>
      </c>
      <c r="AY412" s="219">
        <f t="shared" si="192"/>
        <v>0</v>
      </c>
      <c r="AZ412" s="196">
        <f t="shared" si="193"/>
        <v>0</v>
      </c>
      <c r="BA412" s="219">
        <f t="shared" si="194"/>
        <v>0</v>
      </c>
      <c r="BB412" s="31">
        <f t="shared" si="195"/>
        <v>0.125</v>
      </c>
      <c r="BC412" s="219">
        <f t="shared" si="196"/>
        <v>0.1</v>
      </c>
      <c r="BD412" s="31">
        <f t="shared" si="197"/>
        <v>0</v>
      </c>
      <c r="BE412" s="219">
        <f t="shared" si="198"/>
        <v>0</v>
      </c>
      <c r="BF412" s="31">
        <f t="shared" si="199"/>
        <v>0.125</v>
      </c>
      <c r="BG412" s="219">
        <f t="shared" si="200"/>
        <v>0.1</v>
      </c>
      <c r="BH412" s="31">
        <f t="shared" si="201"/>
        <v>0</v>
      </c>
      <c r="BI412" s="219">
        <f t="shared" si="202"/>
        <v>0</v>
      </c>
      <c r="BJ412" s="31">
        <f t="shared" si="203"/>
        <v>0</v>
      </c>
      <c r="BK412" s="219">
        <f t="shared" si="204"/>
        <v>0</v>
      </c>
      <c r="BL412" s="31">
        <f t="shared" si="205"/>
        <v>0</v>
      </c>
      <c r="BM412" s="219">
        <f t="shared" si="206"/>
        <v>0</v>
      </c>
      <c r="BN412" s="31">
        <f t="shared" si="207"/>
        <v>0</v>
      </c>
      <c r="BO412" s="219">
        <f t="shared" si="208"/>
        <v>0</v>
      </c>
    </row>
    <row r="413" spans="1:67" x14ac:dyDescent="0.25">
      <c r="A413" s="31" t="s">
        <v>2283</v>
      </c>
      <c r="B413" s="176" t="str">
        <f>VLOOKUP(A413,kurspris!$A$1:$B$992,2,FALSE)</f>
        <v>Matematikens historia</v>
      </c>
      <c r="D413" s="31" t="s">
        <v>117</v>
      </c>
      <c r="F413" s="31" t="s">
        <v>2273</v>
      </c>
      <c r="I413" s="31" t="s">
        <v>2276</v>
      </c>
      <c r="L413" s="38">
        <v>1</v>
      </c>
      <c r="M413" s="325">
        <v>7.5</v>
      </c>
      <c r="P413" s="31">
        <v>8</v>
      </c>
      <c r="Q413" s="196">
        <f t="shared" si="210"/>
        <v>1</v>
      </c>
      <c r="R413" s="38">
        <v>0.8</v>
      </c>
      <c r="S413" s="280">
        <f t="shared" si="181"/>
        <v>0.8</v>
      </c>
      <c r="T413" s="31">
        <f>VLOOKUP(A413,'Ansvar kurs'!$A$1:$C$1123,2,FALSE)</f>
        <v>5730</v>
      </c>
      <c r="U413" s="31" t="str">
        <f>VLOOKUP(T413,Orgenheter!$A$1:$C$166,2,FALSE)</f>
        <v>Inst för MA och MA statistik</v>
      </c>
      <c r="V413" s="31" t="str">
        <f>VLOOKUP(T413,Orgenheter!$A$1:$C$166,3,FALSE)</f>
        <v>TekNat</v>
      </c>
      <c r="W413" s="35" t="str">
        <f>VLOOKUP(D413,Program!$A$1:$B$36,2,FALSE)</f>
        <v>Fristående och övriga kurser</v>
      </c>
      <c r="X413" s="40">
        <f>VLOOKUP(A413,kurspris!$A$1:$Q$913,15,FALSE)</f>
        <v>20757</v>
      </c>
      <c r="Y413" s="40">
        <f>VLOOKUP(A413,kurspris!$A$1:$Q$913,16,FALSE)</f>
        <v>36082</v>
      </c>
      <c r="Z413" s="40">
        <f t="shared" si="182"/>
        <v>49622.600000000006</v>
      </c>
      <c r="AA413" s="40">
        <f>VLOOKUP(A413,kurspris!$A$1:$Q$913,17,FALSE)</f>
        <v>22600</v>
      </c>
      <c r="AB413" s="40">
        <f t="shared" si="183"/>
        <v>22600</v>
      </c>
      <c r="AC413" s="40">
        <f t="shared" si="184"/>
        <v>72222.600000000006</v>
      </c>
      <c r="AD413" s="31">
        <f>VLOOKUP($A413,kurspris!$A$1:$Q$950,3,FALSE)</f>
        <v>0</v>
      </c>
      <c r="AE413" s="31">
        <f>VLOOKUP($A413,kurspris!$A$1:$Q$950,4,FALSE)</f>
        <v>0</v>
      </c>
      <c r="AF413" s="31">
        <f>VLOOKUP($A413,kurspris!$A$1:$Q$950,5,FALSE)</f>
        <v>0</v>
      </c>
      <c r="AG413" s="31">
        <f>VLOOKUP($A413,kurspris!$A$1:$Q$950,6,FALSE)</f>
        <v>0</v>
      </c>
      <c r="AH413" s="31">
        <f>VLOOKUP($A413,kurspris!$A$1:$Q$950,7,FALSE)</f>
        <v>0</v>
      </c>
      <c r="AI413" s="31">
        <f>VLOOKUP($A413,kurspris!$A$1:$Q$950,8,FALSE)</f>
        <v>1</v>
      </c>
      <c r="AJ413" s="31">
        <f>VLOOKUP($A413,kurspris!$A$1:$Q$950,9,FALSE)</f>
        <v>0</v>
      </c>
      <c r="AK413" s="31">
        <f>VLOOKUP($A413,kurspris!$A$1:$Q$950,10,FALSE)</f>
        <v>0</v>
      </c>
      <c r="AL413" s="31">
        <f>VLOOKUP($A413,kurspris!$A$1:$Q$950,11,FALSE)</f>
        <v>0</v>
      </c>
      <c r="AM413" s="31">
        <f>VLOOKUP($A413,kurspris!$A$1:$Q$950,12,FALSE)</f>
        <v>0</v>
      </c>
      <c r="AN413" s="31">
        <f>VLOOKUP($A413,kurspris!$A$1:$Q$950,13,FALSE)</f>
        <v>0</v>
      </c>
      <c r="AO413" s="31">
        <f>VLOOKUP($A413,kurspris!$A$1:$Q$950,14,FALSE)</f>
        <v>0</v>
      </c>
      <c r="AP413" s="57" t="s">
        <v>2267</v>
      </c>
      <c r="AQ413" s="37"/>
      <c r="AR413" s="31">
        <f t="shared" si="185"/>
        <v>0</v>
      </c>
      <c r="AS413" s="219">
        <f t="shared" si="186"/>
        <v>0</v>
      </c>
      <c r="AT413" s="31">
        <f t="shared" si="187"/>
        <v>0</v>
      </c>
      <c r="AU413" s="219">
        <f t="shared" si="188"/>
        <v>0</v>
      </c>
      <c r="AV413" s="31">
        <f t="shared" si="189"/>
        <v>0</v>
      </c>
      <c r="AW413" s="31">
        <f t="shared" si="190"/>
        <v>0</v>
      </c>
      <c r="AX413" s="31">
        <f t="shared" si="191"/>
        <v>0</v>
      </c>
      <c r="AY413" s="219">
        <f t="shared" si="192"/>
        <v>0</v>
      </c>
      <c r="AZ413" s="196">
        <f t="shared" si="193"/>
        <v>0</v>
      </c>
      <c r="BA413" s="219">
        <f t="shared" si="194"/>
        <v>0</v>
      </c>
      <c r="BB413" s="31">
        <f t="shared" si="195"/>
        <v>1</v>
      </c>
      <c r="BC413" s="219">
        <f t="shared" si="196"/>
        <v>0.8</v>
      </c>
      <c r="BD413" s="31">
        <f t="shared" si="197"/>
        <v>0</v>
      </c>
      <c r="BE413" s="219">
        <f t="shared" si="198"/>
        <v>0</v>
      </c>
      <c r="BF413" s="31">
        <f t="shared" si="199"/>
        <v>0</v>
      </c>
      <c r="BG413" s="219">
        <f t="shared" si="200"/>
        <v>0</v>
      </c>
      <c r="BH413" s="31">
        <f t="shared" si="201"/>
        <v>0</v>
      </c>
      <c r="BI413" s="219">
        <f t="shared" si="202"/>
        <v>0</v>
      </c>
      <c r="BJ413" s="31">
        <f t="shared" si="203"/>
        <v>0</v>
      </c>
      <c r="BK413" s="219">
        <f t="shared" si="204"/>
        <v>0</v>
      </c>
      <c r="BL413" s="31">
        <f t="shared" si="205"/>
        <v>0</v>
      </c>
      <c r="BM413" s="219">
        <f t="shared" si="206"/>
        <v>0</v>
      </c>
      <c r="BN413" s="31">
        <f t="shared" si="207"/>
        <v>0</v>
      </c>
      <c r="BO413" s="219">
        <f t="shared" si="208"/>
        <v>0</v>
      </c>
    </row>
    <row r="414" spans="1:67" x14ac:dyDescent="0.25">
      <c r="A414" s="31" t="s">
        <v>2283</v>
      </c>
      <c r="B414" s="176" t="str">
        <f>VLOOKUP(A414,kurspris!$A$1:$B$992,2,FALSE)</f>
        <v>Matematikens historia</v>
      </c>
      <c r="D414" s="60" t="s">
        <v>482</v>
      </c>
      <c r="E414" s="576" t="s">
        <v>2226</v>
      </c>
      <c r="F414" s="31" t="s">
        <v>2273</v>
      </c>
      <c r="G414" t="s">
        <v>2448</v>
      </c>
      <c r="H414" t="s">
        <v>2335</v>
      </c>
      <c r="J414" s="31" t="s">
        <v>2242</v>
      </c>
      <c r="L414" s="38">
        <v>1</v>
      </c>
      <c r="M414">
        <v>7.5</v>
      </c>
      <c r="P414" s="31">
        <v>1</v>
      </c>
      <c r="Q414" s="196">
        <f t="shared" si="210"/>
        <v>0.125</v>
      </c>
      <c r="R414" s="38">
        <v>0.85</v>
      </c>
      <c r="S414" s="280">
        <f t="shared" si="181"/>
        <v>0.10625</v>
      </c>
      <c r="T414" s="31">
        <f>VLOOKUP(A414,'Ansvar kurs'!$A$1:$C$1123,2,FALSE)</f>
        <v>5730</v>
      </c>
      <c r="U414" s="31" t="str">
        <f>VLOOKUP(T414,Orgenheter!$A$1:$C$166,2,FALSE)</f>
        <v>Inst för MA och MA statistik</v>
      </c>
      <c r="V414" s="31" t="str">
        <f>VLOOKUP(T414,Orgenheter!$A$1:$C$166,3,FALSE)</f>
        <v>TekNat</v>
      </c>
      <c r="W414" s="35" t="str">
        <f>VLOOKUP(D414,Program!$A$1:$B$36,2,FALSE)</f>
        <v>Ämneslärarprogrammet - Gy</v>
      </c>
      <c r="X414" s="40">
        <f>VLOOKUP(A414,kurspris!$A$1:$Q$913,15,FALSE)</f>
        <v>20757</v>
      </c>
      <c r="Y414" s="40">
        <f>VLOOKUP(A414,kurspris!$A$1:$Q$913,16,FALSE)</f>
        <v>36082</v>
      </c>
      <c r="Z414" s="40">
        <f t="shared" si="182"/>
        <v>6428.3374999999996</v>
      </c>
      <c r="AA414" s="40">
        <f>VLOOKUP(A414,kurspris!$A$1:$Q$913,17,FALSE)</f>
        <v>22600</v>
      </c>
      <c r="AB414" s="40">
        <f t="shared" si="183"/>
        <v>2825</v>
      </c>
      <c r="AC414" s="40">
        <f t="shared" si="184"/>
        <v>9253.3374999999996</v>
      </c>
      <c r="AD414" s="31">
        <f>VLOOKUP($A414,kurspris!$A$1:$Q$950,3,FALSE)</f>
        <v>0</v>
      </c>
      <c r="AE414" s="31">
        <f>VLOOKUP($A414,kurspris!$A$1:$Q$950,4,FALSE)</f>
        <v>0</v>
      </c>
      <c r="AF414" s="31">
        <f>VLOOKUP($A414,kurspris!$A$1:$Q$950,5,FALSE)</f>
        <v>0</v>
      </c>
      <c r="AG414" s="31">
        <f>VLOOKUP($A414,kurspris!$A$1:$Q$950,6,FALSE)</f>
        <v>0</v>
      </c>
      <c r="AH414" s="31">
        <f>VLOOKUP($A414,kurspris!$A$1:$Q$950,7,FALSE)</f>
        <v>0</v>
      </c>
      <c r="AI414" s="31">
        <f>VLOOKUP($A414,kurspris!$A$1:$Q$950,8,FALSE)</f>
        <v>1</v>
      </c>
      <c r="AJ414" s="31">
        <f>VLOOKUP($A414,kurspris!$A$1:$Q$950,9,FALSE)</f>
        <v>0</v>
      </c>
      <c r="AK414" s="31">
        <f>VLOOKUP($A414,kurspris!$A$1:$Q$950,10,FALSE)</f>
        <v>0</v>
      </c>
      <c r="AL414" s="31">
        <f>VLOOKUP($A414,kurspris!$A$1:$Q$950,11,FALSE)</f>
        <v>0</v>
      </c>
      <c r="AM414" s="31">
        <f>VLOOKUP($A414,kurspris!$A$1:$Q$950,12,FALSE)</f>
        <v>0</v>
      </c>
      <c r="AN414" s="31">
        <f>VLOOKUP($A414,kurspris!$A$1:$Q$950,13,FALSE)</f>
        <v>0</v>
      </c>
      <c r="AO414" s="31">
        <f>VLOOKUP($A414,kurspris!$A$1:$Q$950,14,FALSE)</f>
        <v>0</v>
      </c>
      <c r="AP414" s="57" t="s">
        <v>2506</v>
      </c>
      <c r="AQ414"/>
      <c r="AR414" s="31">
        <f t="shared" si="185"/>
        <v>0</v>
      </c>
      <c r="AS414" s="219">
        <f t="shared" si="186"/>
        <v>0</v>
      </c>
      <c r="AT414" s="31">
        <f t="shared" si="187"/>
        <v>0</v>
      </c>
      <c r="AU414" s="219">
        <f t="shared" si="188"/>
        <v>0</v>
      </c>
      <c r="AV414" s="31">
        <f t="shared" si="189"/>
        <v>0</v>
      </c>
      <c r="AW414" s="31">
        <f t="shared" si="190"/>
        <v>0</v>
      </c>
      <c r="AX414" s="31">
        <f t="shared" si="191"/>
        <v>0</v>
      </c>
      <c r="AY414" s="219">
        <f t="shared" si="192"/>
        <v>0</v>
      </c>
      <c r="AZ414" s="196">
        <f t="shared" si="193"/>
        <v>0</v>
      </c>
      <c r="BA414" s="219">
        <f t="shared" si="194"/>
        <v>0</v>
      </c>
      <c r="BB414" s="31">
        <f t="shared" si="195"/>
        <v>0.125</v>
      </c>
      <c r="BC414" s="219">
        <f t="shared" si="196"/>
        <v>0.10625</v>
      </c>
      <c r="BD414" s="31">
        <f t="shared" si="197"/>
        <v>0</v>
      </c>
      <c r="BE414" s="219">
        <f t="shared" si="198"/>
        <v>0</v>
      </c>
      <c r="BF414" s="31">
        <f t="shared" si="199"/>
        <v>0</v>
      </c>
      <c r="BG414" s="219">
        <f t="shared" si="200"/>
        <v>0</v>
      </c>
      <c r="BH414" s="31">
        <f t="shared" si="201"/>
        <v>0</v>
      </c>
      <c r="BI414" s="219">
        <f t="shared" si="202"/>
        <v>0</v>
      </c>
      <c r="BJ414" s="31">
        <f t="shared" si="203"/>
        <v>0</v>
      </c>
      <c r="BK414" s="219">
        <f t="shared" si="204"/>
        <v>0</v>
      </c>
      <c r="BL414" s="31">
        <f t="shared" si="205"/>
        <v>0</v>
      </c>
      <c r="BM414" s="219">
        <f t="shared" si="206"/>
        <v>0</v>
      </c>
      <c r="BN414" s="31">
        <f t="shared" si="207"/>
        <v>0</v>
      </c>
      <c r="BO414" s="219">
        <f t="shared" si="208"/>
        <v>0</v>
      </c>
    </row>
    <row r="415" spans="1:67" x14ac:dyDescent="0.25">
      <c r="A415" s="31" t="s">
        <v>2283</v>
      </c>
      <c r="B415" s="176" t="str">
        <f>VLOOKUP(A415,kurspris!$A$1:$B$992,2,FALSE)</f>
        <v>Matematikens historia</v>
      </c>
      <c r="D415" s="60" t="s">
        <v>482</v>
      </c>
      <c r="E415" s="576" t="s">
        <v>2225</v>
      </c>
      <c r="F415" s="31" t="s">
        <v>2273</v>
      </c>
      <c r="G415" t="s">
        <v>2448</v>
      </c>
      <c r="H415" t="s">
        <v>2335</v>
      </c>
      <c r="J415" s="31" t="s">
        <v>2234</v>
      </c>
      <c r="L415" s="38">
        <v>1</v>
      </c>
      <c r="M415">
        <v>7.5</v>
      </c>
      <c r="P415" s="31">
        <v>1</v>
      </c>
      <c r="Q415" s="196">
        <f t="shared" si="210"/>
        <v>0.125</v>
      </c>
      <c r="R415" s="38">
        <v>0.85</v>
      </c>
      <c r="S415" s="280">
        <f t="shared" si="181"/>
        <v>0.10625</v>
      </c>
      <c r="T415" s="31">
        <f>VLOOKUP(A415,'Ansvar kurs'!$A$1:$C$1123,2,FALSE)</f>
        <v>5730</v>
      </c>
      <c r="U415" s="31" t="str">
        <f>VLOOKUP(T415,Orgenheter!$A$1:$C$166,2,FALSE)</f>
        <v>Inst för MA och MA statistik</v>
      </c>
      <c r="V415" s="31" t="str">
        <f>VLOOKUP(T415,Orgenheter!$A$1:$C$166,3,FALSE)</f>
        <v>TekNat</v>
      </c>
      <c r="W415" s="35" t="str">
        <f>VLOOKUP(D415,Program!$A$1:$B$36,2,FALSE)</f>
        <v>Ämneslärarprogrammet - Gy</v>
      </c>
      <c r="X415" s="40">
        <f>VLOOKUP(A415,kurspris!$A$1:$Q$913,15,FALSE)</f>
        <v>20757</v>
      </c>
      <c r="Y415" s="40">
        <f>VLOOKUP(A415,kurspris!$A$1:$Q$913,16,FALSE)</f>
        <v>36082</v>
      </c>
      <c r="Z415" s="40">
        <f t="shared" si="182"/>
        <v>6428.3374999999996</v>
      </c>
      <c r="AA415" s="40">
        <f>VLOOKUP(A415,kurspris!$A$1:$Q$913,17,FALSE)</f>
        <v>22600</v>
      </c>
      <c r="AB415" s="40">
        <f t="shared" si="183"/>
        <v>2825</v>
      </c>
      <c r="AC415" s="40">
        <f t="shared" si="184"/>
        <v>9253.3374999999996</v>
      </c>
      <c r="AD415" s="31">
        <f>VLOOKUP($A415,kurspris!$A$1:$Q$950,3,FALSE)</f>
        <v>0</v>
      </c>
      <c r="AE415" s="31">
        <f>VLOOKUP($A415,kurspris!$A$1:$Q$950,4,FALSE)</f>
        <v>0</v>
      </c>
      <c r="AF415" s="31">
        <f>VLOOKUP($A415,kurspris!$A$1:$Q$950,5,FALSE)</f>
        <v>0</v>
      </c>
      <c r="AG415" s="31">
        <f>VLOOKUP($A415,kurspris!$A$1:$Q$950,6,FALSE)</f>
        <v>0</v>
      </c>
      <c r="AH415" s="31">
        <f>VLOOKUP($A415,kurspris!$A$1:$Q$950,7,FALSE)</f>
        <v>0</v>
      </c>
      <c r="AI415" s="31">
        <f>VLOOKUP($A415,kurspris!$A$1:$Q$950,8,FALSE)</f>
        <v>1</v>
      </c>
      <c r="AJ415" s="31">
        <f>VLOOKUP($A415,kurspris!$A$1:$Q$950,9,FALSE)</f>
        <v>0</v>
      </c>
      <c r="AK415" s="31">
        <f>VLOOKUP($A415,kurspris!$A$1:$Q$950,10,FALSE)</f>
        <v>0</v>
      </c>
      <c r="AL415" s="31">
        <f>VLOOKUP($A415,kurspris!$A$1:$Q$950,11,FALSE)</f>
        <v>0</v>
      </c>
      <c r="AM415" s="31">
        <f>VLOOKUP($A415,kurspris!$A$1:$Q$950,12,FALSE)</f>
        <v>0</v>
      </c>
      <c r="AN415" s="31">
        <f>VLOOKUP($A415,kurspris!$A$1:$Q$950,13,FALSE)</f>
        <v>0</v>
      </c>
      <c r="AO415" s="31">
        <f>VLOOKUP($A415,kurspris!$A$1:$Q$950,14,FALSE)</f>
        <v>0</v>
      </c>
      <c r="AP415" s="57" t="s">
        <v>2506</v>
      </c>
      <c r="AQ415"/>
      <c r="AR415" s="31">
        <f t="shared" si="185"/>
        <v>0</v>
      </c>
      <c r="AS415" s="219">
        <f t="shared" si="186"/>
        <v>0</v>
      </c>
      <c r="AT415" s="31">
        <f t="shared" si="187"/>
        <v>0</v>
      </c>
      <c r="AU415" s="219">
        <f t="shared" si="188"/>
        <v>0</v>
      </c>
      <c r="AV415" s="31">
        <f t="shared" si="189"/>
        <v>0</v>
      </c>
      <c r="AW415" s="31">
        <f t="shared" si="190"/>
        <v>0</v>
      </c>
      <c r="AX415" s="31">
        <f t="shared" si="191"/>
        <v>0</v>
      </c>
      <c r="AY415" s="219">
        <f t="shared" si="192"/>
        <v>0</v>
      </c>
      <c r="AZ415" s="196">
        <f t="shared" si="193"/>
        <v>0</v>
      </c>
      <c r="BA415" s="219">
        <f t="shared" si="194"/>
        <v>0</v>
      </c>
      <c r="BB415" s="31">
        <f t="shared" si="195"/>
        <v>0.125</v>
      </c>
      <c r="BC415" s="219">
        <f t="shared" si="196"/>
        <v>0.10625</v>
      </c>
      <c r="BD415" s="31">
        <f t="shared" si="197"/>
        <v>0</v>
      </c>
      <c r="BE415" s="219">
        <f t="shared" si="198"/>
        <v>0</v>
      </c>
      <c r="BF415" s="31">
        <f t="shared" si="199"/>
        <v>0</v>
      </c>
      <c r="BG415" s="219">
        <f t="shared" si="200"/>
        <v>0</v>
      </c>
      <c r="BH415" s="31">
        <f t="shared" si="201"/>
        <v>0</v>
      </c>
      <c r="BI415" s="219">
        <f t="shared" si="202"/>
        <v>0</v>
      </c>
      <c r="BJ415" s="31">
        <f t="shared" si="203"/>
        <v>0</v>
      </c>
      <c r="BK415" s="219">
        <f t="shared" si="204"/>
        <v>0</v>
      </c>
      <c r="BL415" s="31">
        <f t="shared" si="205"/>
        <v>0</v>
      </c>
      <c r="BM415" s="219">
        <f t="shared" si="206"/>
        <v>0</v>
      </c>
      <c r="BN415" s="31">
        <f t="shared" si="207"/>
        <v>0</v>
      </c>
      <c r="BO415" s="219">
        <f t="shared" si="208"/>
        <v>0</v>
      </c>
    </row>
    <row r="416" spans="1:67" x14ac:dyDescent="0.25">
      <c r="A416" s="31" t="s">
        <v>2283</v>
      </c>
      <c r="B416" s="176" t="str">
        <f>VLOOKUP(A416,kurspris!$A$1:$B$992,2,FALSE)</f>
        <v>Matematikens historia</v>
      </c>
      <c r="D416" s="60" t="s">
        <v>482</v>
      </c>
      <c r="E416" s="576" t="s">
        <v>2225</v>
      </c>
      <c r="F416" s="31" t="s">
        <v>2273</v>
      </c>
      <c r="G416" t="s">
        <v>2448</v>
      </c>
      <c r="H416" t="s">
        <v>2335</v>
      </c>
      <c r="J416" s="31" t="s">
        <v>2232</v>
      </c>
      <c r="L416" s="38">
        <v>1</v>
      </c>
      <c r="M416">
        <v>7.5</v>
      </c>
      <c r="P416" s="31">
        <v>2</v>
      </c>
      <c r="Q416" s="196">
        <f t="shared" si="210"/>
        <v>0.25</v>
      </c>
      <c r="R416" s="38">
        <v>0.85</v>
      </c>
      <c r="S416" s="280">
        <f t="shared" si="181"/>
        <v>0.21249999999999999</v>
      </c>
      <c r="T416" s="31">
        <f>VLOOKUP(A416,'Ansvar kurs'!$A$1:$C$1123,2,FALSE)</f>
        <v>5730</v>
      </c>
      <c r="U416" s="31" t="str">
        <f>VLOOKUP(T416,Orgenheter!$A$1:$C$166,2,FALSE)</f>
        <v>Inst för MA och MA statistik</v>
      </c>
      <c r="V416" s="31" t="str">
        <f>VLOOKUP(T416,Orgenheter!$A$1:$C$166,3,FALSE)</f>
        <v>TekNat</v>
      </c>
      <c r="W416" s="35" t="str">
        <f>VLOOKUP(D416,Program!$A$1:$B$36,2,FALSE)</f>
        <v>Ämneslärarprogrammet - Gy</v>
      </c>
      <c r="X416" s="40">
        <f>VLOOKUP(A416,kurspris!$A$1:$Q$913,15,FALSE)</f>
        <v>20757</v>
      </c>
      <c r="Y416" s="40">
        <f>VLOOKUP(A416,kurspris!$A$1:$Q$913,16,FALSE)</f>
        <v>36082</v>
      </c>
      <c r="Z416" s="40">
        <f t="shared" si="182"/>
        <v>12856.674999999999</v>
      </c>
      <c r="AA416" s="40">
        <f>VLOOKUP(A416,kurspris!$A$1:$Q$913,17,FALSE)</f>
        <v>22600</v>
      </c>
      <c r="AB416" s="40">
        <f t="shared" si="183"/>
        <v>5650</v>
      </c>
      <c r="AC416" s="40">
        <f t="shared" si="184"/>
        <v>18506.674999999999</v>
      </c>
      <c r="AD416" s="31">
        <f>VLOOKUP($A416,kurspris!$A$1:$Q$950,3,FALSE)</f>
        <v>0</v>
      </c>
      <c r="AE416" s="31">
        <f>VLOOKUP($A416,kurspris!$A$1:$Q$950,4,FALSE)</f>
        <v>0</v>
      </c>
      <c r="AF416" s="31">
        <f>VLOOKUP($A416,kurspris!$A$1:$Q$950,5,FALSE)</f>
        <v>0</v>
      </c>
      <c r="AG416" s="31">
        <f>VLOOKUP($A416,kurspris!$A$1:$Q$950,6,FALSE)</f>
        <v>0</v>
      </c>
      <c r="AH416" s="31">
        <f>VLOOKUP($A416,kurspris!$A$1:$Q$950,7,FALSE)</f>
        <v>0</v>
      </c>
      <c r="AI416" s="31">
        <f>VLOOKUP($A416,kurspris!$A$1:$Q$950,8,FALSE)</f>
        <v>1</v>
      </c>
      <c r="AJ416" s="31">
        <f>VLOOKUP($A416,kurspris!$A$1:$Q$950,9,FALSE)</f>
        <v>0</v>
      </c>
      <c r="AK416" s="31">
        <f>VLOOKUP($A416,kurspris!$A$1:$Q$950,10,FALSE)</f>
        <v>0</v>
      </c>
      <c r="AL416" s="31">
        <f>VLOOKUP($A416,kurspris!$A$1:$Q$950,11,FALSE)</f>
        <v>0</v>
      </c>
      <c r="AM416" s="31">
        <f>VLOOKUP($A416,kurspris!$A$1:$Q$950,12,FALSE)</f>
        <v>0</v>
      </c>
      <c r="AN416" s="31">
        <f>VLOOKUP($A416,kurspris!$A$1:$Q$950,13,FALSE)</f>
        <v>0</v>
      </c>
      <c r="AO416" s="31">
        <f>VLOOKUP($A416,kurspris!$A$1:$Q$950,14,FALSE)</f>
        <v>0</v>
      </c>
      <c r="AP416" s="57" t="s">
        <v>2506</v>
      </c>
      <c r="AQ416"/>
      <c r="AR416" s="31">
        <f t="shared" si="185"/>
        <v>0</v>
      </c>
      <c r="AS416" s="219">
        <f t="shared" si="186"/>
        <v>0</v>
      </c>
      <c r="AT416" s="31">
        <f t="shared" si="187"/>
        <v>0</v>
      </c>
      <c r="AU416" s="219">
        <f t="shared" si="188"/>
        <v>0</v>
      </c>
      <c r="AV416" s="31">
        <f t="shared" si="189"/>
        <v>0</v>
      </c>
      <c r="AW416" s="31">
        <f t="shared" si="190"/>
        <v>0</v>
      </c>
      <c r="AX416" s="31">
        <f t="shared" si="191"/>
        <v>0</v>
      </c>
      <c r="AY416" s="219">
        <f t="shared" si="192"/>
        <v>0</v>
      </c>
      <c r="AZ416" s="196">
        <f t="shared" si="193"/>
        <v>0</v>
      </c>
      <c r="BA416" s="219">
        <f t="shared" si="194"/>
        <v>0</v>
      </c>
      <c r="BB416" s="31">
        <f t="shared" si="195"/>
        <v>0.25</v>
      </c>
      <c r="BC416" s="219">
        <f t="shared" si="196"/>
        <v>0.21249999999999999</v>
      </c>
      <c r="BD416" s="31">
        <f t="shared" si="197"/>
        <v>0</v>
      </c>
      <c r="BE416" s="219">
        <f t="shared" si="198"/>
        <v>0</v>
      </c>
      <c r="BF416" s="31">
        <f t="shared" si="199"/>
        <v>0</v>
      </c>
      <c r="BG416" s="219">
        <f t="shared" si="200"/>
        <v>0</v>
      </c>
      <c r="BH416" s="31">
        <f t="shared" si="201"/>
        <v>0</v>
      </c>
      <c r="BI416" s="219">
        <f t="shared" si="202"/>
        <v>0</v>
      </c>
      <c r="BJ416" s="31">
        <f t="shared" si="203"/>
        <v>0</v>
      </c>
      <c r="BK416" s="219">
        <f t="shared" si="204"/>
        <v>0</v>
      </c>
      <c r="BL416" s="31">
        <f t="shared" si="205"/>
        <v>0</v>
      </c>
      <c r="BM416" s="219">
        <f t="shared" si="206"/>
        <v>0</v>
      </c>
      <c r="BN416" s="31">
        <f t="shared" si="207"/>
        <v>0</v>
      </c>
      <c r="BO416" s="219">
        <f t="shared" si="208"/>
        <v>0</v>
      </c>
    </row>
    <row r="417" spans="1:67" x14ac:dyDescent="0.25">
      <c r="A417" s="31" t="s">
        <v>2283</v>
      </c>
      <c r="B417" s="176" t="str">
        <f>VLOOKUP(A417,kurspris!$A$1:$B$992,2,FALSE)</f>
        <v>Matematikens historia</v>
      </c>
      <c r="D417" s="60" t="s">
        <v>482</v>
      </c>
      <c r="E417" s="576" t="s">
        <v>2432</v>
      </c>
      <c r="F417" s="31" t="s">
        <v>2273</v>
      </c>
      <c r="G417" t="s">
        <v>2448</v>
      </c>
      <c r="H417" t="s">
        <v>2335</v>
      </c>
      <c r="J417" s="31" t="s">
        <v>2233</v>
      </c>
      <c r="L417" s="38">
        <v>1</v>
      </c>
      <c r="M417">
        <v>7.5</v>
      </c>
      <c r="P417" s="31">
        <v>17</v>
      </c>
      <c r="Q417" s="196">
        <f t="shared" si="210"/>
        <v>2.125</v>
      </c>
      <c r="R417" s="38">
        <v>0.85</v>
      </c>
      <c r="S417" s="280">
        <f t="shared" si="181"/>
        <v>1.8062499999999999</v>
      </c>
      <c r="T417" s="31">
        <f>VLOOKUP(A417,'Ansvar kurs'!$A$1:$C$1123,2,FALSE)</f>
        <v>5730</v>
      </c>
      <c r="U417" s="31" t="str">
        <f>VLOOKUP(T417,Orgenheter!$A$1:$C$166,2,FALSE)</f>
        <v>Inst för MA och MA statistik</v>
      </c>
      <c r="V417" s="31" t="str">
        <f>VLOOKUP(T417,Orgenheter!$A$1:$C$166,3,FALSE)</f>
        <v>TekNat</v>
      </c>
      <c r="W417" s="35" t="str">
        <f>VLOOKUP(D417,Program!$A$1:$B$36,2,FALSE)</f>
        <v>Ämneslärarprogrammet - Gy</v>
      </c>
      <c r="X417" s="40">
        <f>VLOOKUP(A417,kurspris!$A$1:$Q$913,15,FALSE)</f>
        <v>20757</v>
      </c>
      <c r="Y417" s="40">
        <f>VLOOKUP(A417,kurspris!$A$1:$Q$913,16,FALSE)</f>
        <v>36082</v>
      </c>
      <c r="Z417" s="40">
        <f t="shared" si="182"/>
        <v>109281.73749999999</v>
      </c>
      <c r="AA417" s="40">
        <f>VLOOKUP(A417,kurspris!$A$1:$Q$913,17,FALSE)</f>
        <v>22600</v>
      </c>
      <c r="AB417" s="40">
        <f t="shared" si="183"/>
        <v>48025</v>
      </c>
      <c r="AC417" s="40">
        <f t="shared" si="184"/>
        <v>157306.73749999999</v>
      </c>
      <c r="AD417" s="31">
        <f>VLOOKUP($A417,kurspris!$A$1:$Q$950,3,FALSE)</f>
        <v>0</v>
      </c>
      <c r="AE417" s="31">
        <f>VLOOKUP($A417,kurspris!$A$1:$Q$950,4,FALSE)</f>
        <v>0</v>
      </c>
      <c r="AF417" s="31">
        <f>VLOOKUP($A417,kurspris!$A$1:$Q$950,5,FALSE)</f>
        <v>0</v>
      </c>
      <c r="AG417" s="31">
        <f>VLOOKUP($A417,kurspris!$A$1:$Q$950,6,FALSE)</f>
        <v>0</v>
      </c>
      <c r="AH417" s="31">
        <f>VLOOKUP($A417,kurspris!$A$1:$Q$950,7,FALSE)</f>
        <v>0</v>
      </c>
      <c r="AI417" s="31">
        <f>VLOOKUP($A417,kurspris!$A$1:$Q$950,8,FALSE)</f>
        <v>1</v>
      </c>
      <c r="AJ417" s="31">
        <f>VLOOKUP($A417,kurspris!$A$1:$Q$950,9,FALSE)</f>
        <v>0</v>
      </c>
      <c r="AK417" s="31">
        <f>VLOOKUP($A417,kurspris!$A$1:$Q$950,10,FALSE)</f>
        <v>0</v>
      </c>
      <c r="AL417" s="31">
        <f>VLOOKUP($A417,kurspris!$A$1:$Q$950,11,FALSE)</f>
        <v>0</v>
      </c>
      <c r="AM417" s="31">
        <f>VLOOKUP($A417,kurspris!$A$1:$Q$950,12,FALSE)</f>
        <v>0</v>
      </c>
      <c r="AN417" s="31">
        <f>VLOOKUP($A417,kurspris!$A$1:$Q$950,13,FALSE)</f>
        <v>0</v>
      </c>
      <c r="AO417" s="31">
        <f>VLOOKUP($A417,kurspris!$A$1:$Q$950,14,FALSE)</f>
        <v>0</v>
      </c>
      <c r="AP417" s="57" t="s">
        <v>2506</v>
      </c>
      <c r="AQ417"/>
      <c r="AR417" s="31">
        <f t="shared" si="185"/>
        <v>0</v>
      </c>
      <c r="AS417" s="219">
        <f t="shared" si="186"/>
        <v>0</v>
      </c>
      <c r="AT417" s="31">
        <f t="shared" si="187"/>
        <v>0</v>
      </c>
      <c r="AU417" s="219">
        <f t="shared" si="188"/>
        <v>0</v>
      </c>
      <c r="AV417" s="31">
        <f t="shared" si="189"/>
        <v>0</v>
      </c>
      <c r="AW417" s="31">
        <f t="shared" si="190"/>
        <v>0</v>
      </c>
      <c r="AX417" s="31">
        <f t="shared" si="191"/>
        <v>0</v>
      </c>
      <c r="AY417" s="219">
        <f t="shared" si="192"/>
        <v>0</v>
      </c>
      <c r="AZ417" s="196">
        <f t="shared" si="193"/>
        <v>0</v>
      </c>
      <c r="BA417" s="219">
        <f t="shared" si="194"/>
        <v>0</v>
      </c>
      <c r="BB417" s="31">
        <f t="shared" si="195"/>
        <v>2.125</v>
      </c>
      <c r="BC417" s="219">
        <f t="shared" si="196"/>
        <v>1.8062499999999999</v>
      </c>
      <c r="BD417" s="31">
        <f t="shared" si="197"/>
        <v>0</v>
      </c>
      <c r="BE417" s="219">
        <f t="shared" si="198"/>
        <v>0</v>
      </c>
      <c r="BF417" s="31">
        <f t="shared" si="199"/>
        <v>0</v>
      </c>
      <c r="BG417" s="219">
        <f t="shared" si="200"/>
        <v>0</v>
      </c>
      <c r="BH417" s="31">
        <f t="shared" si="201"/>
        <v>0</v>
      </c>
      <c r="BI417" s="219">
        <f t="shared" si="202"/>
        <v>0</v>
      </c>
      <c r="BJ417" s="31">
        <f t="shared" si="203"/>
        <v>0</v>
      </c>
      <c r="BK417" s="219">
        <f t="shared" si="204"/>
        <v>0</v>
      </c>
      <c r="BL417" s="31">
        <f t="shared" si="205"/>
        <v>0</v>
      </c>
      <c r="BM417" s="219">
        <f t="shared" si="206"/>
        <v>0</v>
      </c>
      <c r="BN417" s="31">
        <f t="shared" si="207"/>
        <v>0</v>
      </c>
      <c r="BO417" s="219">
        <f t="shared" si="208"/>
        <v>0</v>
      </c>
    </row>
    <row r="418" spans="1:67" x14ac:dyDescent="0.25">
      <c r="A418" s="31" t="s">
        <v>2329</v>
      </c>
      <c r="B418" s="176" t="str">
        <f>VLOOKUP(A418,kurspris!$A$1:$B$992,2,FALSE)</f>
        <v>Matematik 2 för förskoleklass och grundskolans årskurs 1-3</v>
      </c>
      <c r="D418" s="60" t="s">
        <v>485</v>
      </c>
      <c r="E418" s="576" t="s">
        <v>2432</v>
      </c>
      <c r="F418" s="31" t="s">
        <v>2273</v>
      </c>
      <c r="G418" t="s">
        <v>2448</v>
      </c>
      <c r="H418" t="s">
        <v>2335</v>
      </c>
      <c r="I418" s="31" t="s">
        <v>2276</v>
      </c>
      <c r="L418" s="38">
        <v>1</v>
      </c>
      <c r="M418">
        <v>7.5</v>
      </c>
      <c r="P418" s="31">
        <v>47</v>
      </c>
      <c r="Q418" s="196">
        <f t="shared" si="210"/>
        <v>5.875</v>
      </c>
      <c r="R418" s="38">
        <v>0.85</v>
      </c>
      <c r="S418" s="280">
        <f t="shared" si="181"/>
        <v>4.9937499999999995</v>
      </c>
      <c r="T418" s="31">
        <f>VLOOKUP(A418,'Ansvar kurs'!$A$1:$C$1123,2,FALSE)</f>
        <v>5730</v>
      </c>
      <c r="U418" s="31" t="str">
        <f>VLOOKUP(T418,Orgenheter!$A$1:$C$166,2,FALSE)</f>
        <v>Inst för MA och MA statistik</v>
      </c>
      <c r="V418" s="31" t="str">
        <f>VLOOKUP(T418,Orgenheter!$A$1:$C$166,3,FALSE)</f>
        <v>TekNat</v>
      </c>
      <c r="W418" s="35" t="str">
        <f>VLOOKUP(D418,Program!$A$1:$B$36,2,FALSE)</f>
        <v>Grundlärarprogrammet - förskoleklass och åk 1-3</v>
      </c>
      <c r="X418" s="40">
        <f>VLOOKUP(A418,kurspris!$A$1:$Q$913,15,FALSE)</f>
        <v>20757</v>
      </c>
      <c r="Y418" s="40">
        <f>VLOOKUP(A418,kurspris!$A$1:$Q$913,16,FALSE)</f>
        <v>36082</v>
      </c>
      <c r="Z418" s="40">
        <f t="shared" si="182"/>
        <v>302131.86249999999</v>
      </c>
      <c r="AA418" s="40">
        <f>VLOOKUP(A418,kurspris!$A$1:$Q$913,17,FALSE)</f>
        <v>22600</v>
      </c>
      <c r="AB418" s="40">
        <f t="shared" si="183"/>
        <v>132775</v>
      </c>
      <c r="AC418" s="40">
        <f t="shared" si="184"/>
        <v>434906.86249999999</v>
      </c>
      <c r="AD418" s="31">
        <f>VLOOKUP($A418,kurspris!$A$1:$Q$950,3,FALSE)</f>
        <v>0</v>
      </c>
      <c r="AE418" s="31">
        <f>VLOOKUP($A418,kurspris!$A$1:$Q$950,4,FALSE)</f>
        <v>0</v>
      </c>
      <c r="AF418" s="31">
        <f>VLOOKUP($A418,kurspris!$A$1:$Q$950,5,FALSE)</f>
        <v>0</v>
      </c>
      <c r="AG418" s="31">
        <f>VLOOKUP($A418,kurspris!$A$1:$Q$950,6,FALSE)</f>
        <v>0</v>
      </c>
      <c r="AH418" s="31">
        <f>VLOOKUP($A418,kurspris!$A$1:$Q$950,7,FALSE)</f>
        <v>0</v>
      </c>
      <c r="AI418" s="31">
        <f>VLOOKUP($A418,kurspris!$A$1:$Q$950,8,FALSE)</f>
        <v>1</v>
      </c>
      <c r="AJ418" s="31">
        <f>VLOOKUP($A418,kurspris!$A$1:$Q$950,9,FALSE)</f>
        <v>0</v>
      </c>
      <c r="AK418" s="31">
        <f>VLOOKUP($A418,kurspris!$A$1:$Q$950,10,FALSE)</f>
        <v>0</v>
      </c>
      <c r="AL418" s="31">
        <f>VLOOKUP($A418,kurspris!$A$1:$Q$950,11,FALSE)</f>
        <v>0</v>
      </c>
      <c r="AM418" s="31">
        <f>VLOOKUP($A418,kurspris!$A$1:$Q$950,12,FALSE)</f>
        <v>0</v>
      </c>
      <c r="AN418" s="31">
        <f>VLOOKUP($A418,kurspris!$A$1:$Q$950,13,FALSE)</f>
        <v>0</v>
      </c>
      <c r="AO418" s="31">
        <f>VLOOKUP($A418,kurspris!$A$1:$Q$950,14,FALSE)</f>
        <v>0</v>
      </c>
      <c r="AP418" s="57" t="s">
        <v>2504</v>
      </c>
      <c r="AQ418"/>
      <c r="AR418" s="31">
        <f t="shared" si="185"/>
        <v>0</v>
      </c>
      <c r="AS418" s="219">
        <f t="shared" si="186"/>
        <v>0</v>
      </c>
      <c r="AT418" s="31">
        <f t="shared" si="187"/>
        <v>0</v>
      </c>
      <c r="AU418" s="219">
        <f t="shared" si="188"/>
        <v>0</v>
      </c>
      <c r="AV418" s="31">
        <f t="shared" si="189"/>
        <v>0</v>
      </c>
      <c r="AW418" s="31">
        <f t="shared" si="190"/>
        <v>0</v>
      </c>
      <c r="AX418" s="31">
        <f t="shared" si="191"/>
        <v>0</v>
      </c>
      <c r="AY418" s="219">
        <f t="shared" si="192"/>
        <v>0</v>
      </c>
      <c r="AZ418" s="196">
        <f t="shared" si="193"/>
        <v>0</v>
      </c>
      <c r="BA418" s="219">
        <f t="shared" si="194"/>
        <v>0</v>
      </c>
      <c r="BB418" s="31">
        <f t="shared" si="195"/>
        <v>5.875</v>
      </c>
      <c r="BC418" s="219">
        <f t="shared" si="196"/>
        <v>4.9937499999999995</v>
      </c>
      <c r="BD418" s="31">
        <f t="shared" si="197"/>
        <v>0</v>
      </c>
      <c r="BE418" s="219">
        <f t="shared" si="198"/>
        <v>0</v>
      </c>
      <c r="BF418" s="31">
        <f t="shared" si="199"/>
        <v>0</v>
      </c>
      <c r="BG418" s="219">
        <f t="shared" si="200"/>
        <v>0</v>
      </c>
      <c r="BH418" s="31">
        <f t="shared" si="201"/>
        <v>0</v>
      </c>
      <c r="BI418" s="219">
        <f t="shared" si="202"/>
        <v>0</v>
      </c>
      <c r="BJ418" s="31">
        <f t="shared" si="203"/>
        <v>0</v>
      </c>
      <c r="BK418" s="219">
        <f t="shared" si="204"/>
        <v>0</v>
      </c>
      <c r="BL418" s="31">
        <f t="shared" si="205"/>
        <v>0</v>
      </c>
      <c r="BM418" s="219">
        <f t="shared" si="206"/>
        <v>0</v>
      </c>
      <c r="BN418" s="31">
        <f t="shared" si="207"/>
        <v>0</v>
      </c>
      <c r="BO418" s="219">
        <f t="shared" si="208"/>
        <v>0</v>
      </c>
    </row>
    <row r="419" spans="1:67" x14ac:dyDescent="0.25">
      <c r="A419" s="31" t="s">
        <v>2329</v>
      </c>
      <c r="B419" s="176" t="str">
        <f>VLOOKUP(A419,kurspris!$A$1:$B$992,2,FALSE)</f>
        <v>Matematik 2 för förskoleklass och grundskolans årskurs 1-3</v>
      </c>
      <c r="D419" s="60" t="s">
        <v>485</v>
      </c>
      <c r="E419" s="576" t="s">
        <v>2430</v>
      </c>
      <c r="F419" s="31" t="s">
        <v>2273</v>
      </c>
      <c r="G419" t="s">
        <v>2448</v>
      </c>
      <c r="H419" t="s">
        <v>2335</v>
      </c>
      <c r="I419" s="31" t="s">
        <v>2276</v>
      </c>
      <c r="L419" s="38">
        <v>1</v>
      </c>
      <c r="M419">
        <v>7.5</v>
      </c>
      <c r="P419" s="31">
        <v>1</v>
      </c>
      <c r="Q419" s="196">
        <f t="shared" si="210"/>
        <v>0.125</v>
      </c>
      <c r="R419" s="38">
        <v>0.85</v>
      </c>
      <c r="S419" s="280">
        <f t="shared" si="181"/>
        <v>0.10625</v>
      </c>
      <c r="T419" s="31">
        <f>VLOOKUP(A419,'Ansvar kurs'!$A$1:$C$1123,2,FALSE)</f>
        <v>5730</v>
      </c>
      <c r="U419" s="31" t="str">
        <f>VLOOKUP(T419,Orgenheter!$A$1:$C$166,2,FALSE)</f>
        <v>Inst för MA och MA statistik</v>
      </c>
      <c r="V419" s="31" t="str">
        <f>VLOOKUP(T419,Orgenheter!$A$1:$C$166,3,FALSE)</f>
        <v>TekNat</v>
      </c>
      <c r="W419" s="35" t="str">
        <f>VLOOKUP(D419,Program!$A$1:$B$36,2,FALSE)</f>
        <v>Grundlärarprogrammet - förskoleklass och åk 1-3</v>
      </c>
      <c r="X419" s="40">
        <f>VLOOKUP(A419,kurspris!$A$1:$Q$913,15,FALSE)</f>
        <v>20757</v>
      </c>
      <c r="Y419" s="40">
        <f>VLOOKUP(A419,kurspris!$A$1:$Q$913,16,FALSE)</f>
        <v>36082</v>
      </c>
      <c r="Z419" s="40">
        <f t="shared" si="182"/>
        <v>6428.3374999999996</v>
      </c>
      <c r="AA419" s="40">
        <f>VLOOKUP(A419,kurspris!$A$1:$Q$913,17,FALSE)</f>
        <v>22600</v>
      </c>
      <c r="AB419" s="40">
        <f t="shared" si="183"/>
        <v>2825</v>
      </c>
      <c r="AC419" s="40">
        <f t="shared" si="184"/>
        <v>9253.3374999999996</v>
      </c>
      <c r="AD419" s="31">
        <f>VLOOKUP($A419,kurspris!$A$1:$Q$950,3,FALSE)</f>
        <v>0</v>
      </c>
      <c r="AE419" s="31">
        <f>VLOOKUP($A419,kurspris!$A$1:$Q$950,4,FALSE)</f>
        <v>0</v>
      </c>
      <c r="AF419" s="31">
        <f>VLOOKUP($A419,kurspris!$A$1:$Q$950,5,FALSE)</f>
        <v>0</v>
      </c>
      <c r="AG419" s="31">
        <f>VLOOKUP($A419,kurspris!$A$1:$Q$950,6,FALSE)</f>
        <v>0</v>
      </c>
      <c r="AH419" s="31">
        <f>VLOOKUP($A419,kurspris!$A$1:$Q$950,7,FALSE)</f>
        <v>0</v>
      </c>
      <c r="AI419" s="31">
        <f>VLOOKUP($A419,kurspris!$A$1:$Q$950,8,FALSE)</f>
        <v>1</v>
      </c>
      <c r="AJ419" s="31">
        <f>VLOOKUP($A419,kurspris!$A$1:$Q$950,9,FALSE)</f>
        <v>0</v>
      </c>
      <c r="AK419" s="31">
        <f>VLOOKUP($A419,kurspris!$A$1:$Q$950,10,FALSE)</f>
        <v>0</v>
      </c>
      <c r="AL419" s="31">
        <f>VLOOKUP($A419,kurspris!$A$1:$Q$950,11,FALSE)</f>
        <v>0</v>
      </c>
      <c r="AM419" s="31">
        <f>VLOOKUP($A419,kurspris!$A$1:$Q$950,12,FALSE)</f>
        <v>0</v>
      </c>
      <c r="AN419" s="31">
        <f>VLOOKUP($A419,kurspris!$A$1:$Q$950,13,FALSE)</f>
        <v>0</v>
      </c>
      <c r="AO419" s="31">
        <f>VLOOKUP($A419,kurspris!$A$1:$Q$950,14,FALSE)</f>
        <v>0</v>
      </c>
      <c r="AP419" s="57" t="s">
        <v>2504</v>
      </c>
      <c r="AQ419"/>
      <c r="AR419" s="31">
        <f t="shared" si="185"/>
        <v>0</v>
      </c>
      <c r="AS419" s="219">
        <f t="shared" si="186"/>
        <v>0</v>
      </c>
      <c r="AT419" s="31">
        <f t="shared" si="187"/>
        <v>0</v>
      </c>
      <c r="AU419" s="219">
        <f t="shared" si="188"/>
        <v>0</v>
      </c>
      <c r="AV419" s="31">
        <f t="shared" si="189"/>
        <v>0</v>
      </c>
      <c r="AW419" s="31">
        <f t="shared" si="190"/>
        <v>0</v>
      </c>
      <c r="AX419" s="31">
        <f t="shared" si="191"/>
        <v>0</v>
      </c>
      <c r="AY419" s="219">
        <f t="shared" si="192"/>
        <v>0</v>
      </c>
      <c r="AZ419" s="196">
        <f t="shared" si="193"/>
        <v>0</v>
      </c>
      <c r="BA419" s="219">
        <f t="shared" si="194"/>
        <v>0</v>
      </c>
      <c r="BB419" s="31">
        <f t="shared" si="195"/>
        <v>0.125</v>
      </c>
      <c r="BC419" s="219">
        <f t="shared" si="196"/>
        <v>0.10625</v>
      </c>
      <c r="BD419" s="31">
        <f t="shared" si="197"/>
        <v>0</v>
      </c>
      <c r="BE419" s="219">
        <f t="shared" si="198"/>
        <v>0</v>
      </c>
      <c r="BF419" s="31">
        <f t="shared" si="199"/>
        <v>0</v>
      </c>
      <c r="BG419" s="219">
        <f t="shared" si="200"/>
        <v>0</v>
      </c>
      <c r="BH419" s="31">
        <f t="shared" si="201"/>
        <v>0</v>
      </c>
      <c r="BI419" s="219">
        <f t="shared" si="202"/>
        <v>0</v>
      </c>
      <c r="BJ419" s="31">
        <f t="shared" si="203"/>
        <v>0</v>
      </c>
      <c r="BK419" s="219">
        <f t="shared" si="204"/>
        <v>0</v>
      </c>
      <c r="BL419" s="31">
        <f t="shared" si="205"/>
        <v>0</v>
      </c>
      <c r="BM419" s="219">
        <f t="shared" si="206"/>
        <v>0</v>
      </c>
      <c r="BN419" s="31">
        <f t="shared" si="207"/>
        <v>0</v>
      </c>
      <c r="BO419" s="219">
        <f t="shared" si="208"/>
        <v>0</v>
      </c>
    </row>
    <row r="420" spans="1:67" x14ac:dyDescent="0.25">
      <c r="A420" s="31" t="s">
        <v>1902</v>
      </c>
      <c r="B420" s="176" t="str">
        <f>VLOOKUP(A420,kurspris!$A$1:$B$992,2,FALSE)</f>
        <v>Examensarbete för ämneslärarexamen - Matematik</v>
      </c>
      <c r="D420" s="60" t="s">
        <v>482</v>
      </c>
      <c r="E420" s="576" t="s">
        <v>2227</v>
      </c>
      <c r="F420" s="31" t="s">
        <v>2273</v>
      </c>
      <c r="G420" s="244" t="s">
        <v>2454</v>
      </c>
      <c r="H420" t="s">
        <v>2335</v>
      </c>
      <c r="J420" s="31" t="s">
        <v>2233</v>
      </c>
      <c r="L420" s="38">
        <v>1</v>
      </c>
      <c r="M420" s="244">
        <v>7.5</v>
      </c>
      <c r="P420" s="31">
        <v>2</v>
      </c>
      <c r="Q420" s="196">
        <f t="shared" si="210"/>
        <v>0.25</v>
      </c>
      <c r="R420" s="38">
        <v>0.85</v>
      </c>
      <c r="S420" s="280">
        <f t="shared" si="181"/>
        <v>0.21249999999999999</v>
      </c>
      <c r="T420" s="31">
        <f>VLOOKUP(A420,'Ansvar kurs'!$A$1:$C$1123,2,FALSE)</f>
        <v>5740</v>
      </c>
      <c r="U420" s="31" t="str">
        <f>VLOOKUP(T420,Orgenheter!$A$1:$C$166,2,FALSE)</f>
        <v>NMD</v>
      </c>
      <c r="V420" s="31" t="str">
        <f>VLOOKUP(T420,Orgenheter!$A$1:$C$166,3,FALSE)</f>
        <v>TekNat</v>
      </c>
      <c r="W420" s="35" t="str">
        <f>VLOOKUP(D420,Program!$A$1:$B$36,2,FALSE)</f>
        <v>Ämneslärarprogrammet - Gy</v>
      </c>
      <c r="X420" s="40">
        <f>VLOOKUP(A420,kurspris!$A$1:$Q$913,15,FALSE)</f>
        <v>20757</v>
      </c>
      <c r="Y420" s="40">
        <f>VLOOKUP(A420,kurspris!$A$1:$Q$913,16,FALSE)</f>
        <v>36082</v>
      </c>
      <c r="Z420" s="40">
        <f t="shared" si="182"/>
        <v>12856.674999999999</v>
      </c>
      <c r="AA420" s="40">
        <f>VLOOKUP(A420,kurspris!$A$1:$Q$913,17,FALSE)</f>
        <v>22600</v>
      </c>
      <c r="AB420" s="40">
        <f t="shared" si="183"/>
        <v>5650</v>
      </c>
      <c r="AC420" s="40">
        <f t="shared" si="184"/>
        <v>18506.674999999999</v>
      </c>
      <c r="AD420" s="31">
        <f>VLOOKUP($A420,kurspris!$A$1:$Q$950,3,FALSE)</f>
        <v>0</v>
      </c>
      <c r="AE420" s="31">
        <f>VLOOKUP($A420,kurspris!$A$1:$Q$950,4,FALSE)</f>
        <v>0</v>
      </c>
      <c r="AF420" s="31">
        <f>VLOOKUP($A420,kurspris!$A$1:$Q$950,5,FALSE)</f>
        <v>0</v>
      </c>
      <c r="AG420" s="31">
        <f>VLOOKUP($A420,kurspris!$A$1:$Q$950,6,FALSE)</f>
        <v>0</v>
      </c>
      <c r="AH420" s="31">
        <f>VLOOKUP($A420,kurspris!$A$1:$Q$950,7,FALSE)</f>
        <v>0</v>
      </c>
      <c r="AI420" s="31">
        <f>VLOOKUP($A420,kurspris!$A$1:$Q$950,8,FALSE)</f>
        <v>1</v>
      </c>
      <c r="AJ420" s="31">
        <f>VLOOKUP($A420,kurspris!$A$1:$Q$950,9,FALSE)</f>
        <v>0</v>
      </c>
      <c r="AK420" s="31">
        <f>VLOOKUP($A420,kurspris!$A$1:$Q$950,10,FALSE)</f>
        <v>0</v>
      </c>
      <c r="AL420" s="31">
        <f>VLOOKUP($A420,kurspris!$A$1:$Q$950,11,FALSE)</f>
        <v>0</v>
      </c>
      <c r="AM420" s="31">
        <f>VLOOKUP($A420,kurspris!$A$1:$Q$950,12,FALSE)</f>
        <v>0</v>
      </c>
      <c r="AN420" s="31">
        <f>VLOOKUP($A420,kurspris!$A$1:$Q$950,13,FALSE)</f>
        <v>0</v>
      </c>
      <c r="AO420" s="31">
        <f>VLOOKUP($A420,kurspris!$A$1:$Q$950,14,FALSE)</f>
        <v>0</v>
      </c>
      <c r="AP420" s="57" t="s">
        <v>2506</v>
      </c>
      <c r="AQ420" t="s">
        <v>2311</v>
      </c>
      <c r="AR420" s="31">
        <f t="shared" si="185"/>
        <v>0</v>
      </c>
      <c r="AS420" s="219">
        <f t="shared" si="186"/>
        <v>0</v>
      </c>
      <c r="AT420" s="31">
        <f t="shared" si="187"/>
        <v>0</v>
      </c>
      <c r="AU420" s="219">
        <f t="shared" si="188"/>
        <v>0</v>
      </c>
      <c r="AV420" s="31">
        <f t="shared" si="189"/>
        <v>0</v>
      </c>
      <c r="AW420" s="31">
        <f t="shared" si="190"/>
        <v>0</v>
      </c>
      <c r="AX420" s="31">
        <f t="shared" si="191"/>
        <v>0</v>
      </c>
      <c r="AY420" s="219">
        <f t="shared" si="192"/>
        <v>0</v>
      </c>
      <c r="AZ420" s="196">
        <f t="shared" si="193"/>
        <v>0</v>
      </c>
      <c r="BA420" s="219">
        <f t="shared" si="194"/>
        <v>0</v>
      </c>
      <c r="BB420" s="31">
        <f t="shared" si="195"/>
        <v>0.25</v>
      </c>
      <c r="BC420" s="219">
        <f t="shared" si="196"/>
        <v>0.21249999999999999</v>
      </c>
      <c r="BD420" s="31">
        <f t="shared" si="197"/>
        <v>0</v>
      </c>
      <c r="BE420" s="219">
        <f t="shared" si="198"/>
        <v>0</v>
      </c>
      <c r="BF420" s="31">
        <f t="shared" si="199"/>
        <v>0</v>
      </c>
      <c r="BG420" s="219">
        <f t="shared" si="200"/>
        <v>0</v>
      </c>
      <c r="BH420" s="31">
        <f t="shared" si="201"/>
        <v>0</v>
      </c>
      <c r="BI420" s="219">
        <f t="shared" si="202"/>
        <v>0</v>
      </c>
      <c r="BJ420" s="31">
        <f t="shared" si="203"/>
        <v>0</v>
      </c>
      <c r="BK420" s="219">
        <f t="shared" si="204"/>
        <v>0</v>
      </c>
      <c r="BL420" s="31">
        <f t="shared" si="205"/>
        <v>0</v>
      </c>
      <c r="BM420" s="219">
        <f t="shared" si="206"/>
        <v>0</v>
      </c>
      <c r="BN420" s="31">
        <f t="shared" si="207"/>
        <v>0</v>
      </c>
      <c r="BO420" s="219">
        <f t="shared" si="208"/>
        <v>0</v>
      </c>
    </row>
    <row r="421" spans="1:67" x14ac:dyDescent="0.25">
      <c r="A421" s="31" t="s">
        <v>1902</v>
      </c>
      <c r="B421" s="176" t="str">
        <f>VLOOKUP(A421,kurspris!$A$1:$B$992,2,FALSE)</f>
        <v>Examensarbete för ämneslärarexamen - Matematik</v>
      </c>
      <c r="D421" s="60" t="s">
        <v>482</v>
      </c>
      <c r="E421" s="576" t="s">
        <v>2226</v>
      </c>
      <c r="F421" s="31" t="s">
        <v>2273</v>
      </c>
      <c r="G421" s="244" t="s">
        <v>2454</v>
      </c>
      <c r="H421" t="s">
        <v>2335</v>
      </c>
      <c r="J421" s="31" t="s">
        <v>2233</v>
      </c>
      <c r="L421" s="38">
        <v>1</v>
      </c>
      <c r="M421" s="244">
        <v>7.5</v>
      </c>
      <c r="P421" s="31">
        <v>9</v>
      </c>
      <c r="Q421" s="196">
        <f t="shared" si="210"/>
        <v>1.125</v>
      </c>
      <c r="R421" s="38">
        <v>0.85</v>
      </c>
      <c r="S421" s="280">
        <f t="shared" si="181"/>
        <v>0.95624999999999993</v>
      </c>
      <c r="T421" s="31">
        <f>VLOOKUP(A421,'Ansvar kurs'!$A$1:$C$1123,2,FALSE)</f>
        <v>5740</v>
      </c>
      <c r="U421" s="31" t="str">
        <f>VLOOKUP(T421,Orgenheter!$A$1:$C$166,2,FALSE)</f>
        <v>NMD</v>
      </c>
      <c r="V421" s="31" t="str">
        <f>VLOOKUP(T421,Orgenheter!$A$1:$C$166,3,FALSE)</f>
        <v>TekNat</v>
      </c>
      <c r="W421" s="35" t="str">
        <f>VLOOKUP(D421,Program!$A$1:$B$36,2,FALSE)</f>
        <v>Ämneslärarprogrammet - Gy</v>
      </c>
      <c r="X421" s="40">
        <f>VLOOKUP(A421,kurspris!$A$1:$Q$913,15,FALSE)</f>
        <v>20757</v>
      </c>
      <c r="Y421" s="40">
        <f>VLOOKUP(A421,kurspris!$A$1:$Q$913,16,FALSE)</f>
        <v>36082</v>
      </c>
      <c r="Z421" s="40">
        <f t="shared" si="182"/>
        <v>57855.037499999999</v>
      </c>
      <c r="AA421" s="40">
        <f>VLOOKUP(A421,kurspris!$A$1:$Q$913,17,FALSE)</f>
        <v>22600</v>
      </c>
      <c r="AB421" s="40">
        <f t="shared" si="183"/>
        <v>25425</v>
      </c>
      <c r="AC421" s="40">
        <f t="shared" si="184"/>
        <v>83280.037500000006</v>
      </c>
      <c r="AD421" s="31">
        <f>VLOOKUP($A421,kurspris!$A$1:$Q$950,3,FALSE)</f>
        <v>0</v>
      </c>
      <c r="AE421" s="31">
        <f>VLOOKUP($A421,kurspris!$A$1:$Q$950,4,FALSE)</f>
        <v>0</v>
      </c>
      <c r="AF421" s="31">
        <f>VLOOKUP($A421,kurspris!$A$1:$Q$950,5,FALSE)</f>
        <v>0</v>
      </c>
      <c r="AG421" s="31">
        <f>VLOOKUP($A421,kurspris!$A$1:$Q$950,6,FALSE)</f>
        <v>0</v>
      </c>
      <c r="AH421" s="31">
        <f>VLOOKUP($A421,kurspris!$A$1:$Q$950,7,FALSE)</f>
        <v>0</v>
      </c>
      <c r="AI421" s="31">
        <f>VLOOKUP($A421,kurspris!$A$1:$Q$950,8,FALSE)</f>
        <v>1</v>
      </c>
      <c r="AJ421" s="31">
        <f>VLOOKUP($A421,kurspris!$A$1:$Q$950,9,FALSE)</f>
        <v>0</v>
      </c>
      <c r="AK421" s="31">
        <f>VLOOKUP($A421,kurspris!$A$1:$Q$950,10,FALSE)</f>
        <v>0</v>
      </c>
      <c r="AL421" s="31">
        <f>VLOOKUP($A421,kurspris!$A$1:$Q$950,11,FALSE)</f>
        <v>0</v>
      </c>
      <c r="AM421" s="31">
        <f>VLOOKUP($A421,kurspris!$A$1:$Q$950,12,FALSE)</f>
        <v>0</v>
      </c>
      <c r="AN421" s="31">
        <f>VLOOKUP($A421,kurspris!$A$1:$Q$950,13,FALSE)</f>
        <v>0</v>
      </c>
      <c r="AO421" s="31">
        <f>VLOOKUP($A421,kurspris!$A$1:$Q$950,14,FALSE)</f>
        <v>0</v>
      </c>
      <c r="AP421" s="57" t="s">
        <v>2506</v>
      </c>
      <c r="AQ421" t="s">
        <v>2311</v>
      </c>
      <c r="AR421" s="31">
        <f t="shared" si="185"/>
        <v>0</v>
      </c>
      <c r="AS421" s="219">
        <f t="shared" si="186"/>
        <v>0</v>
      </c>
      <c r="AT421" s="31">
        <f t="shared" si="187"/>
        <v>0</v>
      </c>
      <c r="AU421" s="219">
        <f t="shared" si="188"/>
        <v>0</v>
      </c>
      <c r="AV421" s="31">
        <f t="shared" si="189"/>
        <v>0</v>
      </c>
      <c r="AW421" s="31">
        <f t="shared" si="190"/>
        <v>0</v>
      </c>
      <c r="AX421" s="31">
        <f t="shared" si="191"/>
        <v>0</v>
      </c>
      <c r="AY421" s="219">
        <f t="shared" si="192"/>
        <v>0</v>
      </c>
      <c r="AZ421" s="196">
        <f t="shared" si="193"/>
        <v>0</v>
      </c>
      <c r="BA421" s="219">
        <f t="shared" si="194"/>
        <v>0</v>
      </c>
      <c r="BB421" s="31">
        <f t="shared" si="195"/>
        <v>1.125</v>
      </c>
      <c r="BC421" s="219">
        <f t="shared" si="196"/>
        <v>0.95624999999999993</v>
      </c>
      <c r="BD421" s="31">
        <f t="shared" si="197"/>
        <v>0</v>
      </c>
      <c r="BE421" s="219">
        <f t="shared" si="198"/>
        <v>0</v>
      </c>
      <c r="BF421" s="31">
        <f t="shared" si="199"/>
        <v>0</v>
      </c>
      <c r="BG421" s="219">
        <f t="shared" si="200"/>
        <v>0</v>
      </c>
      <c r="BH421" s="31">
        <f t="shared" si="201"/>
        <v>0</v>
      </c>
      <c r="BI421" s="219">
        <f t="shared" si="202"/>
        <v>0</v>
      </c>
      <c r="BJ421" s="31">
        <f t="shared" si="203"/>
        <v>0</v>
      </c>
      <c r="BK421" s="219">
        <f t="shared" si="204"/>
        <v>0</v>
      </c>
      <c r="BL421" s="31">
        <f t="shared" si="205"/>
        <v>0</v>
      </c>
      <c r="BM421" s="219">
        <f t="shared" si="206"/>
        <v>0</v>
      </c>
      <c r="BN421" s="31">
        <f t="shared" si="207"/>
        <v>0</v>
      </c>
      <c r="BO421" s="219">
        <f t="shared" si="208"/>
        <v>0</v>
      </c>
    </row>
    <row r="422" spans="1:67" x14ac:dyDescent="0.25">
      <c r="A422" s="31" t="s">
        <v>1902</v>
      </c>
      <c r="B422" s="176" t="str">
        <f>VLOOKUP(A422,kurspris!$A$1:$B$992,2,FALSE)</f>
        <v>Examensarbete för ämneslärarexamen - Matematik</v>
      </c>
      <c r="D422" s="60" t="s">
        <v>482</v>
      </c>
      <c r="E422" s="576" t="s">
        <v>2433</v>
      </c>
      <c r="F422" s="31" t="s">
        <v>2273</v>
      </c>
      <c r="G422" s="244" t="s">
        <v>2454</v>
      </c>
      <c r="H422" t="s">
        <v>2335</v>
      </c>
      <c r="J422" s="31" t="s">
        <v>2233</v>
      </c>
      <c r="L422" s="38">
        <v>1</v>
      </c>
      <c r="M422" s="244">
        <v>7.5</v>
      </c>
      <c r="P422" s="31">
        <v>1</v>
      </c>
      <c r="Q422" s="196">
        <f t="shared" si="210"/>
        <v>0.125</v>
      </c>
      <c r="R422" s="38">
        <v>0.85</v>
      </c>
      <c r="S422" s="280">
        <f t="shared" si="181"/>
        <v>0.10625</v>
      </c>
      <c r="T422" s="31">
        <f>VLOOKUP(A422,'Ansvar kurs'!$A$1:$C$1123,2,FALSE)</f>
        <v>5740</v>
      </c>
      <c r="U422" s="31" t="str">
        <f>VLOOKUP(T422,Orgenheter!$A$1:$C$166,2,FALSE)</f>
        <v>NMD</v>
      </c>
      <c r="V422" s="31" t="str">
        <f>VLOOKUP(T422,Orgenheter!$A$1:$C$166,3,FALSE)</f>
        <v>TekNat</v>
      </c>
      <c r="W422" s="35" t="str">
        <f>VLOOKUP(D422,Program!$A$1:$B$36,2,FALSE)</f>
        <v>Ämneslärarprogrammet - Gy</v>
      </c>
      <c r="X422" s="40">
        <f>VLOOKUP(A422,kurspris!$A$1:$Q$913,15,FALSE)</f>
        <v>20757</v>
      </c>
      <c r="Y422" s="40">
        <f>VLOOKUP(A422,kurspris!$A$1:$Q$913,16,FALSE)</f>
        <v>36082</v>
      </c>
      <c r="Z422" s="40">
        <f t="shared" si="182"/>
        <v>6428.3374999999996</v>
      </c>
      <c r="AA422" s="40">
        <f>VLOOKUP(A422,kurspris!$A$1:$Q$913,17,FALSE)</f>
        <v>22600</v>
      </c>
      <c r="AB422" s="40">
        <f t="shared" si="183"/>
        <v>2825</v>
      </c>
      <c r="AC422" s="40">
        <f t="shared" si="184"/>
        <v>9253.3374999999996</v>
      </c>
      <c r="AD422" s="31">
        <f>VLOOKUP($A422,kurspris!$A$1:$Q$950,3,FALSE)</f>
        <v>0</v>
      </c>
      <c r="AE422" s="31">
        <f>VLOOKUP($A422,kurspris!$A$1:$Q$950,4,FALSE)</f>
        <v>0</v>
      </c>
      <c r="AF422" s="31">
        <f>VLOOKUP($A422,kurspris!$A$1:$Q$950,5,FALSE)</f>
        <v>0</v>
      </c>
      <c r="AG422" s="31">
        <f>VLOOKUP($A422,kurspris!$A$1:$Q$950,6,FALSE)</f>
        <v>0</v>
      </c>
      <c r="AH422" s="31">
        <f>VLOOKUP($A422,kurspris!$A$1:$Q$950,7,FALSE)</f>
        <v>0</v>
      </c>
      <c r="AI422" s="31">
        <f>VLOOKUP($A422,kurspris!$A$1:$Q$950,8,FALSE)</f>
        <v>1</v>
      </c>
      <c r="AJ422" s="31">
        <f>VLOOKUP($A422,kurspris!$A$1:$Q$950,9,FALSE)</f>
        <v>0</v>
      </c>
      <c r="AK422" s="31">
        <f>VLOOKUP($A422,kurspris!$A$1:$Q$950,10,FALSE)</f>
        <v>0</v>
      </c>
      <c r="AL422" s="31">
        <f>VLOOKUP($A422,kurspris!$A$1:$Q$950,11,FALSE)</f>
        <v>0</v>
      </c>
      <c r="AM422" s="31">
        <f>VLOOKUP($A422,kurspris!$A$1:$Q$950,12,FALSE)</f>
        <v>0</v>
      </c>
      <c r="AN422" s="31">
        <f>VLOOKUP($A422,kurspris!$A$1:$Q$950,13,FALSE)</f>
        <v>0</v>
      </c>
      <c r="AO422" s="31">
        <f>VLOOKUP($A422,kurspris!$A$1:$Q$950,14,FALSE)</f>
        <v>0</v>
      </c>
      <c r="AP422" s="57" t="s">
        <v>2506</v>
      </c>
      <c r="AQ422" t="s">
        <v>2311</v>
      </c>
      <c r="AR422" s="31">
        <f t="shared" si="185"/>
        <v>0</v>
      </c>
      <c r="AS422" s="219">
        <f t="shared" si="186"/>
        <v>0</v>
      </c>
      <c r="AT422" s="31">
        <f t="shared" si="187"/>
        <v>0</v>
      </c>
      <c r="AU422" s="219">
        <f t="shared" si="188"/>
        <v>0</v>
      </c>
      <c r="AV422" s="31">
        <f t="shared" si="189"/>
        <v>0</v>
      </c>
      <c r="AW422" s="31">
        <f t="shared" si="190"/>
        <v>0</v>
      </c>
      <c r="AX422" s="31">
        <f t="shared" si="191"/>
        <v>0</v>
      </c>
      <c r="AY422" s="219">
        <f t="shared" si="192"/>
        <v>0</v>
      </c>
      <c r="AZ422" s="196">
        <f t="shared" si="193"/>
        <v>0</v>
      </c>
      <c r="BA422" s="219">
        <f t="shared" si="194"/>
        <v>0</v>
      </c>
      <c r="BB422" s="31">
        <f t="shared" si="195"/>
        <v>0.125</v>
      </c>
      <c r="BC422" s="219">
        <f t="shared" si="196"/>
        <v>0.10625</v>
      </c>
      <c r="BD422" s="31">
        <f t="shared" si="197"/>
        <v>0</v>
      </c>
      <c r="BE422" s="219">
        <f t="shared" si="198"/>
        <v>0</v>
      </c>
      <c r="BF422" s="31">
        <f t="shared" si="199"/>
        <v>0</v>
      </c>
      <c r="BG422" s="219">
        <f t="shared" si="200"/>
        <v>0</v>
      </c>
      <c r="BH422" s="31">
        <f t="shared" si="201"/>
        <v>0</v>
      </c>
      <c r="BI422" s="219">
        <f t="shared" si="202"/>
        <v>0</v>
      </c>
      <c r="BJ422" s="31">
        <f t="shared" si="203"/>
        <v>0</v>
      </c>
      <c r="BK422" s="219">
        <f t="shared" si="204"/>
        <v>0</v>
      </c>
      <c r="BL422" s="31">
        <f t="shared" si="205"/>
        <v>0</v>
      </c>
      <c r="BM422" s="219">
        <f t="shared" si="206"/>
        <v>0</v>
      </c>
      <c r="BN422" s="31">
        <f t="shared" si="207"/>
        <v>0</v>
      </c>
      <c r="BO422" s="219">
        <f t="shared" si="208"/>
        <v>0</v>
      </c>
    </row>
    <row r="423" spans="1:67" x14ac:dyDescent="0.25">
      <c r="A423" s="31" t="s">
        <v>1321</v>
      </c>
      <c r="B423" s="176" t="str">
        <f>VLOOKUP(A423,kurspris!$A$1:$B$992,2,FALSE)</f>
        <v>Matematik 1 för förskoleklass och grundskolans årskurs 1-3</v>
      </c>
      <c r="C423" s="31">
        <v>61514</v>
      </c>
      <c r="D423" s="60" t="s">
        <v>485</v>
      </c>
      <c r="E423" s="60"/>
      <c r="F423" s="57" t="s">
        <v>2274</v>
      </c>
      <c r="H423" s="31" t="s">
        <v>2335</v>
      </c>
      <c r="I423" s="31" t="s">
        <v>2399</v>
      </c>
      <c r="L423" s="38"/>
      <c r="M423">
        <v>7.5</v>
      </c>
      <c r="P423" s="31">
        <v>51</v>
      </c>
      <c r="Q423" s="539">
        <v>6.375</v>
      </c>
      <c r="R423" s="38">
        <v>0.85</v>
      </c>
      <c r="S423" s="280">
        <f t="shared" si="181"/>
        <v>5.4187500000000002</v>
      </c>
      <c r="T423" s="31">
        <f>VLOOKUP(A423,'Ansvar kurs'!$A$1:$C$1123,2,FALSE)</f>
        <v>5740</v>
      </c>
      <c r="U423" s="31" t="str">
        <f>VLOOKUP(T423,Orgenheter!$A$1:$C$166,2,FALSE)</f>
        <v>NMD</v>
      </c>
      <c r="V423" s="31" t="str">
        <f>VLOOKUP(T423,Orgenheter!$A$1:$C$166,3,FALSE)</f>
        <v>TekNat</v>
      </c>
      <c r="W423" s="35" t="str">
        <f>VLOOKUP(D423,Program!$A$1:$B$36,2,FALSE)</f>
        <v>Grundlärarprogrammet - förskoleklass och åk 1-3</v>
      </c>
      <c r="X423" s="40">
        <f>VLOOKUP(A423,kurspris!$A$1:$Q$913,15,FALSE)</f>
        <v>20757</v>
      </c>
      <c r="Y423" s="40">
        <f>VLOOKUP(A423,kurspris!$A$1:$Q$913,16,FALSE)</f>
        <v>36082</v>
      </c>
      <c r="Z423" s="40">
        <f t="shared" si="182"/>
        <v>327845.21250000002</v>
      </c>
      <c r="AA423" s="40">
        <f>VLOOKUP(A423,kurspris!$A$1:$Q$913,17,FALSE)</f>
        <v>22600</v>
      </c>
      <c r="AB423" s="40">
        <f t="shared" si="183"/>
        <v>144075</v>
      </c>
      <c r="AC423" s="40">
        <f t="shared" si="184"/>
        <v>471920.21250000002</v>
      </c>
      <c r="AD423" s="31">
        <f>VLOOKUP($A423,kurspris!$A$1:$Q$950,3,FALSE)</f>
        <v>0</v>
      </c>
      <c r="AE423" s="31">
        <f>VLOOKUP($A423,kurspris!$A$1:$Q$950,4,FALSE)</f>
        <v>0</v>
      </c>
      <c r="AF423" s="31">
        <f>VLOOKUP($A423,kurspris!$A$1:$Q$950,5,FALSE)</f>
        <v>0</v>
      </c>
      <c r="AG423" s="31">
        <f>VLOOKUP($A423,kurspris!$A$1:$Q$950,6,FALSE)</f>
        <v>0</v>
      </c>
      <c r="AH423" s="31">
        <f>VLOOKUP($A423,kurspris!$A$1:$Q$950,7,FALSE)</f>
        <v>0</v>
      </c>
      <c r="AI423" s="31">
        <f>VLOOKUP($A423,kurspris!$A$1:$Q$950,8,FALSE)</f>
        <v>1</v>
      </c>
      <c r="AJ423" s="31">
        <f>VLOOKUP($A423,kurspris!$A$1:$Q$950,9,FALSE)</f>
        <v>0</v>
      </c>
      <c r="AK423" s="31">
        <f>VLOOKUP($A423,kurspris!$A$1:$Q$950,10,FALSE)</f>
        <v>0</v>
      </c>
      <c r="AL423" s="31">
        <f>VLOOKUP($A423,kurspris!$A$1:$Q$950,11,FALSE)</f>
        <v>0</v>
      </c>
      <c r="AM423" s="31">
        <f>VLOOKUP($A423,kurspris!$A$1:$Q$950,12,FALSE)</f>
        <v>0</v>
      </c>
      <c r="AN423" s="31">
        <f>VLOOKUP($A423,kurspris!$A$1:$Q$950,13,FALSE)</f>
        <v>0</v>
      </c>
      <c r="AO423" s="31">
        <f>VLOOKUP($A423,kurspris!$A$1:$Q$950,14,FALSE)</f>
        <v>0</v>
      </c>
      <c r="AP423" s="57" t="s">
        <v>2402</v>
      </c>
      <c r="AQ423"/>
      <c r="AR423" s="31">
        <f t="shared" si="185"/>
        <v>0</v>
      </c>
      <c r="AS423" s="219">
        <f t="shared" si="186"/>
        <v>0</v>
      </c>
      <c r="AT423" s="31">
        <f t="shared" si="187"/>
        <v>0</v>
      </c>
      <c r="AU423" s="219">
        <f t="shared" si="188"/>
        <v>0</v>
      </c>
      <c r="AV423" s="31">
        <f t="shared" si="189"/>
        <v>0</v>
      </c>
      <c r="AW423" s="31">
        <f t="shared" si="190"/>
        <v>0</v>
      </c>
      <c r="AX423" s="31">
        <f t="shared" si="191"/>
        <v>0</v>
      </c>
      <c r="AY423" s="219">
        <f t="shared" si="192"/>
        <v>0</v>
      </c>
      <c r="AZ423" s="196">
        <f t="shared" si="193"/>
        <v>0</v>
      </c>
      <c r="BA423" s="219">
        <f t="shared" si="194"/>
        <v>0</v>
      </c>
      <c r="BB423" s="31">
        <f t="shared" si="195"/>
        <v>6.375</v>
      </c>
      <c r="BC423" s="219">
        <f t="shared" si="196"/>
        <v>5.4187500000000002</v>
      </c>
      <c r="BD423" s="31">
        <f t="shared" si="197"/>
        <v>0</v>
      </c>
      <c r="BE423" s="219">
        <f t="shared" si="198"/>
        <v>0</v>
      </c>
      <c r="BF423" s="31">
        <f t="shared" si="199"/>
        <v>0</v>
      </c>
      <c r="BG423" s="219">
        <f t="shared" si="200"/>
        <v>0</v>
      </c>
      <c r="BH423" s="31">
        <f t="shared" si="201"/>
        <v>0</v>
      </c>
      <c r="BI423" s="219">
        <f t="shared" si="202"/>
        <v>0</v>
      </c>
      <c r="BJ423" s="31">
        <f t="shared" si="203"/>
        <v>0</v>
      </c>
      <c r="BK423" s="219">
        <f t="shared" si="204"/>
        <v>0</v>
      </c>
      <c r="BL423" s="31">
        <f t="shared" si="205"/>
        <v>0</v>
      </c>
      <c r="BM423" s="219">
        <f t="shared" si="206"/>
        <v>0</v>
      </c>
      <c r="BN423" s="31">
        <f t="shared" si="207"/>
        <v>0</v>
      </c>
      <c r="BO423" s="219">
        <f t="shared" si="208"/>
        <v>0</v>
      </c>
    </row>
    <row r="424" spans="1:67" x14ac:dyDescent="0.25">
      <c r="A424" s="31" t="s">
        <v>1420</v>
      </c>
      <c r="B424" s="176" t="str">
        <f>VLOOKUP(A424,kurspris!$A$1:$B$992,2,FALSE)</f>
        <v>Matematik 3 för förskoleklass och grundskolans årskurs 1-3</v>
      </c>
      <c r="D424" s="60" t="s">
        <v>485</v>
      </c>
      <c r="E424" s="576" t="s">
        <v>2432</v>
      </c>
      <c r="F424" s="31" t="s">
        <v>2273</v>
      </c>
      <c r="G424" t="s">
        <v>2441</v>
      </c>
      <c r="H424" t="s">
        <v>2335</v>
      </c>
      <c r="I424" s="31" t="s">
        <v>2276</v>
      </c>
      <c r="L424" s="38">
        <v>1</v>
      </c>
      <c r="M424">
        <v>7.5</v>
      </c>
      <c r="P424" s="31">
        <v>47</v>
      </c>
      <c r="Q424" s="196">
        <f t="shared" ref="Q424:Q434" si="211">(M424/60)*P424</f>
        <v>5.875</v>
      </c>
      <c r="R424" s="38">
        <v>0.85</v>
      </c>
      <c r="S424" s="280">
        <f t="shared" si="181"/>
        <v>4.9937499999999995</v>
      </c>
      <c r="T424" s="31">
        <f>VLOOKUP(A424,'Ansvar kurs'!$A$1:$C$1123,2,FALSE)</f>
        <v>5740</v>
      </c>
      <c r="U424" s="31" t="str">
        <f>VLOOKUP(T424,Orgenheter!$A$1:$C$166,2,FALSE)</f>
        <v>NMD</v>
      </c>
      <c r="V424" s="31" t="str">
        <f>VLOOKUP(T424,Orgenheter!$A$1:$C$166,3,FALSE)</f>
        <v>TekNat</v>
      </c>
      <c r="W424" s="35" t="str">
        <f>VLOOKUP(D424,Program!$A$1:$B$36,2,FALSE)</f>
        <v>Grundlärarprogrammet - förskoleklass och åk 1-3</v>
      </c>
      <c r="X424" s="40">
        <f>VLOOKUP(A424,kurspris!$A$1:$Q$913,15,FALSE)</f>
        <v>20757</v>
      </c>
      <c r="Y424" s="40">
        <f>VLOOKUP(A424,kurspris!$A$1:$Q$913,16,FALSE)</f>
        <v>36082</v>
      </c>
      <c r="Z424" s="40">
        <f t="shared" si="182"/>
        <v>302131.86249999999</v>
      </c>
      <c r="AA424" s="40">
        <f>VLOOKUP(A424,kurspris!$A$1:$Q$913,17,FALSE)</f>
        <v>22600</v>
      </c>
      <c r="AB424" s="40">
        <f t="shared" si="183"/>
        <v>132775</v>
      </c>
      <c r="AC424" s="40">
        <f t="shared" si="184"/>
        <v>434906.86249999999</v>
      </c>
      <c r="AD424" s="31">
        <f>VLOOKUP($A424,kurspris!$A$1:$Q$950,3,FALSE)</f>
        <v>0</v>
      </c>
      <c r="AE424" s="31">
        <f>VLOOKUP($A424,kurspris!$A$1:$Q$950,4,FALSE)</f>
        <v>0</v>
      </c>
      <c r="AF424" s="31">
        <f>VLOOKUP($A424,kurspris!$A$1:$Q$950,5,FALSE)</f>
        <v>0</v>
      </c>
      <c r="AG424" s="31">
        <f>VLOOKUP($A424,kurspris!$A$1:$Q$950,6,FALSE)</f>
        <v>0</v>
      </c>
      <c r="AH424" s="31">
        <f>VLOOKUP($A424,kurspris!$A$1:$Q$950,7,FALSE)</f>
        <v>0</v>
      </c>
      <c r="AI424" s="31">
        <f>VLOOKUP($A424,kurspris!$A$1:$Q$950,8,FALSE)</f>
        <v>1</v>
      </c>
      <c r="AJ424" s="31">
        <f>VLOOKUP($A424,kurspris!$A$1:$Q$950,9,FALSE)</f>
        <v>0</v>
      </c>
      <c r="AK424" s="31">
        <f>VLOOKUP($A424,kurspris!$A$1:$Q$950,10,FALSE)</f>
        <v>0</v>
      </c>
      <c r="AL424" s="31">
        <f>VLOOKUP($A424,kurspris!$A$1:$Q$950,11,FALSE)</f>
        <v>0</v>
      </c>
      <c r="AM424" s="31">
        <f>VLOOKUP($A424,kurspris!$A$1:$Q$950,12,FALSE)</f>
        <v>0</v>
      </c>
      <c r="AN424" s="31">
        <f>VLOOKUP($A424,kurspris!$A$1:$Q$950,13,FALSE)</f>
        <v>0</v>
      </c>
      <c r="AO424" s="31">
        <f>VLOOKUP($A424,kurspris!$A$1:$Q$950,14,FALSE)</f>
        <v>0</v>
      </c>
      <c r="AP424" s="57" t="s">
        <v>2504</v>
      </c>
      <c r="AQ424"/>
      <c r="AR424" s="31">
        <f t="shared" si="185"/>
        <v>0</v>
      </c>
      <c r="AS424" s="219">
        <f t="shared" si="186"/>
        <v>0</v>
      </c>
      <c r="AT424" s="31">
        <f t="shared" si="187"/>
        <v>0</v>
      </c>
      <c r="AU424" s="219">
        <f t="shared" si="188"/>
        <v>0</v>
      </c>
      <c r="AV424" s="31">
        <f t="shared" si="189"/>
        <v>0</v>
      </c>
      <c r="AW424" s="31">
        <f t="shared" si="190"/>
        <v>0</v>
      </c>
      <c r="AX424" s="31">
        <f t="shared" si="191"/>
        <v>0</v>
      </c>
      <c r="AY424" s="219">
        <f t="shared" si="192"/>
        <v>0</v>
      </c>
      <c r="AZ424" s="196">
        <f t="shared" si="193"/>
        <v>0</v>
      </c>
      <c r="BA424" s="219">
        <f t="shared" si="194"/>
        <v>0</v>
      </c>
      <c r="BB424" s="31">
        <f t="shared" si="195"/>
        <v>5.875</v>
      </c>
      <c r="BC424" s="219">
        <f t="shared" si="196"/>
        <v>4.9937499999999995</v>
      </c>
      <c r="BD424" s="31">
        <f t="shared" si="197"/>
        <v>0</v>
      </c>
      <c r="BE424" s="219">
        <f t="shared" si="198"/>
        <v>0</v>
      </c>
      <c r="BF424" s="31">
        <f t="shared" si="199"/>
        <v>0</v>
      </c>
      <c r="BG424" s="219">
        <f t="shared" si="200"/>
        <v>0</v>
      </c>
      <c r="BH424" s="31">
        <f t="shared" si="201"/>
        <v>0</v>
      </c>
      <c r="BI424" s="219">
        <f t="shared" si="202"/>
        <v>0</v>
      </c>
      <c r="BJ424" s="31">
        <f t="shared" si="203"/>
        <v>0</v>
      </c>
      <c r="BK424" s="219">
        <f t="shared" si="204"/>
        <v>0</v>
      </c>
      <c r="BL424" s="31">
        <f t="shared" si="205"/>
        <v>0</v>
      </c>
      <c r="BM424" s="219">
        <f t="shared" si="206"/>
        <v>0</v>
      </c>
      <c r="BN424" s="31">
        <f t="shared" si="207"/>
        <v>0</v>
      </c>
      <c r="BO424" s="219">
        <f t="shared" si="208"/>
        <v>0</v>
      </c>
    </row>
    <row r="425" spans="1:67" x14ac:dyDescent="0.25">
      <c r="A425" s="31" t="s">
        <v>1422</v>
      </c>
      <c r="B425" s="176" t="str">
        <f>VLOOKUP(A425,kurspris!$A$1:$B$992,2,FALSE)</f>
        <v>Matematik 4 för förskoleklass och grundskolans årskurs 1-3</v>
      </c>
      <c r="D425" s="60" t="s">
        <v>485</v>
      </c>
      <c r="E425" s="576" t="s">
        <v>2225</v>
      </c>
      <c r="F425" s="31" t="s">
        <v>2273</v>
      </c>
      <c r="G425" t="s">
        <v>2438</v>
      </c>
      <c r="H425" t="s">
        <v>2335</v>
      </c>
      <c r="I425" s="31" t="s">
        <v>2276</v>
      </c>
      <c r="L425" s="38">
        <v>1</v>
      </c>
      <c r="M425">
        <v>7.5</v>
      </c>
      <c r="P425" s="31">
        <v>1</v>
      </c>
      <c r="Q425" s="196">
        <f t="shared" si="211"/>
        <v>0.125</v>
      </c>
      <c r="R425" s="38">
        <v>0.85</v>
      </c>
      <c r="S425" s="280">
        <f t="shared" si="181"/>
        <v>0.10625</v>
      </c>
      <c r="T425" s="31">
        <f>VLOOKUP(A425,'Ansvar kurs'!$A$1:$C$1123,2,FALSE)</f>
        <v>5740</v>
      </c>
      <c r="U425" s="31" t="str">
        <f>VLOOKUP(T425,Orgenheter!$A$1:$C$166,2,FALSE)</f>
        <v>NMD</v>
      </c>
      <c r="V425" s="31" t="str">
        <f>VLOOKUP(T425,Orgenheter!$A$1:$C$166,3,FALSE)</f>
        <v>TekNat</v>
      </c>
      <c r="W425" s="35" t="str">
        <f>VLOOKUP(D425,Program!$A$1:$B$36,2,FALSE)</f>
        <v>Grundlärarprogrammet - förskoleklass och åk 1-3</v>
      </c>
      <c r="X425" s="40">
        <f>VLOOKUP(A425,kurspris!$A$1:$Q$913,15,FALSE)</f>
        <v>20757</v>
      </c>
      <c r="Y425" s="40">
        <f>VLOOKUP(A425,kurspris!$A$1:$Q$913,16,FALSE)</f>
        <v>36082</v>
      </c>
      <c r="Z425" s="40">
        <f t="shared" si="182"/>
        <v>6428.3374999999996</v>
      </c>
      <c r="AA425" s="40">
        <f>VLOOKUP(A425,kurspris!$A$1:$Q$913,17,FALSE)</f>
        <v>22600</v>
      </c>
      <c r="AB425" s="40">
        <f t="shared" si="183"/>
        <v>2825</v>
      </c>
      <c r="AC425" s="40">
        <f t="shared" si="184"/>
        <v>9253.3374999999996</v>
      </c>
      <c r="AD425" s="31">
        <f>VLOOKUP($A425,kurspris!$A$1:$Q$950,3,FALSE)</f>
        <v>0</v>
      </c>
      <c r="AE425" s="31">
        <f>VLOOKUP($A425,kurspris!$A$1:$Q$950,4,FALSE)</f>
        <v>0</v>
      </c>
      <c r="AF425" s="31">
        <f>VLOOKUP($A425,kurspris!$A$1:$Q$950,5,FALSE)</f>
        <v>0</v>
      </c>
      <c r="AG425" s="31">
        <f>VLOOKUP($A425,kurspris!$A$1:$Q$950,6,FALSE)</f>
        <v>0</v>
      </c>
      <c r="AH425" s="31">
        <f>VLOOKUP($A425,kurspris!$A$1:$Q$950,7,FALSE)</f>
        <v>0</v>
      </c>
      <c r="AI425" s="31">
        <f>VLOOKUP($A425,kurspris!$A$1:$Q$950,8,FALSE)</f>
        <v>1</v>
      </c>
      <c r="AJ425" s="31">
        <f>VLOOKUP($A425,kurspris!$A$1:$Q$950,9,FALSE)</f>
        <v>0</v>
      </c>
      <c r="AK425" s="31">
        <f>VLOOKUP($A425,kurspris!$A$1:$Q$950,10,FALSE)</f>
        <v>0</v>
      </c>
      <c r="AL425" s="31">
        <f>VLOOKUP($A425,kurspris!$A$1:$Q$950,11,FALSE)</f>
        <v>0</v>
      </c>
      <c r="AM425" s="31">
        <f>VLOOKUP($A425,kurspris!$A$1:$Q$950,12,FALSE)</f>
        <v>0</v>
      </c>
      <c r="AN425" s="31">
        <f>VLOOKUP($A425,kurspris!$A$1:$Q$950,13,FALSE)</f>
        <v>0</v>
      </c>
      <c r="AO425" s="31">
        <f>VLOOKUP($A425,kurspris!$A$1:$Q$950,14,FALSE)</f>
        <v>0</v>
      </c>
      <c r="AP425" s="57" t="s">
        <v>2504</v>
      </c>
      <c r="AQ425"/>
      <c r="AR425" s="31">
        <f t="shared" si="185"/>
        <v>0</v>
      </c>
      <c r="AS425" s="219">
        <f t="shared" si="186"/>
        <v>0</v>
      </c>
      <c r="AT425" s="31">
        <f t="shared" si="187"/>
        <v>0</v>
      </c>
      <c r="AU425" s="219">
        <f t="shared" si="188"/>
        <v>0</v>
      </c>
      <c r="AV425" s="31">
        <f t="shared" si="189"/>
        <v>0</v>
      </c>
      <c r="AW425" s="31">
        <f t="shared" si="190"/>
        <v>0</v>
      </c>
      <c r="AX425" s="31">
        <f t="shared" si="191"/>
        <v>0</v>
      </c>
      <c r="AY425" s="219">
        <f t="shared" si="192"/>
        <v>0</v>
      </c>
      <c r="AZ425" s="196">
        <f t="shared" si="193"/>
        <v>0</v>
      </c>
      <c r="BA425" s="219">
        <f t="shared" si="194"/>
        <v>0</v>
      </c>
      <c r="BB425" s="31">
        <f t="shared" si="195"/>
        <v>0.125</v>
      </c>
      <c r="BC425" s="219">
        <f t="shared" si="196"/>
        <v>0.10625</v>
      </c>
      <c r="BD425" s="31">
        <f t="shared" si="197"/>
        <v>0</v>
      </c>
      <c r="BE425" s="219">
        <f t="shared" si="198"/>
        <v>0</v>
      </c>
      <c r="BF425" s="31">
        <f t="shared" si="199"/>
        <v>0</v>
      </c>
      <c r="BG425" s="219">
        <f t="shared" si="200"/>
        <v>0</v>
      </c>
      <c r="BH425" s="31">
        <f t="shared" si="201"/>
        <v>0</v>
      </c>
      <c r="BI425" s="219">
        <f t="shared" si="202"/>
        <v>0</v>
      </c>
      <c r="BJ425" s="31">
        <f t="shared" si="203"/>
        <v>0</v>
      </c>
      <c r="BK425" s="219">
        <f t="shared" si="204"/>
        <v>0</v>
      </c>
      <c r="BL425" s="31">
        <f t="shared" si="205"/>
        <v>0</v>
      </c>
      <c r="BM425" s="219">
        <f t="shared" si="206"/>
        <v>0</v>
      </c>
      <c r="BN425" s="31">
        <f t="shared" si="207"/>
        <v>0</v>
      </c>
      <c r="BO425" s="219">
        <f t="shared" si="208"/>
        <v>0</v>
      </c>
    </row>
    <row r="426" spans="1:67" x14ac:dyDescent="0.25">
      <c r="A426" s="31" t="s">
        <v>1422</v>
      </c>
      <c r="B426" s="176" t="str">
        <f>VLOOKUP(A426,kurspris!$A$1:$B$992,2,FALSE)</f>
        <v>Matematik 4 för förskoleklass och grundskolans årskurs 1-3</v>
      </c>
      <c r="D426" s="60" t="s">
        <v>485</v>
      </c>
      <c r="E426" s="576" t="s">
        <v>2434</v>
      </c>
      <c r="F426" s="31" t="s">
        <v>2273</v>
      </c>
      <c r="G426" t="s">
        <v>2438</v>
      </c>
      <c r="H426" t="s">
        <v>2335</v>
      </c>
      <c r="I426" s="31" t="s">
        <v>2276</v>
      </c>
      <c r="L426" s="38">
        <v>1</v>
      </c>
      <c r="M426">
        <v>7.5</v>
      </c>
      <c r="P426" s="31">
        <v>35</v>
      </c>
      <c r="Q426" s="196">
        <f t="shared" si="211"/>
        <v>4.375</v>
      </c>
      <c r="R426" s="38">
        <v>0.85</v>
      </c>
      <c r="S426" s="280">
        <f t="shared" si="181"/>
        <v>3.71875</v>
      </c>
      <c r="T426" s="31">
        <f>VLOOKUP(A426,'Ansvar kurs'!$A$1:$C$1123,2,FALSE)</f>
        <v>5740</v>
      </c>
      <c r="U426" s="31" t="str">
        <f>VLOOKUP(T426,Orgenheter!$A$1:$C$166,2,FALSE)</f>
        <v>NMD</v>
      </c>
      <c r="V426" s="31" t="str">
        <f>VLOOKUP(T426,Orgenheter!$A$1:$C$166,3,FALSE)</f>
        <v>TekNat</v>
      </c>
      <c r="W426" s="35" t="str">
        <f>VLOOKUP(D426,Program!$A$1:$B$36,2,FALSE)</f>
        <v>Grundlärarprogrammet - förskoleklass och åk 1-3</v>
      </c>
      <c r="X426" s="40">
        <f>VLOOKUP(A426,kurspris!$A$1:$Q$913,15,FALSE)</f>
        <v>20757</v>
      </c>
      <c r="Y426" s="40">
        <f>VLOOKUP(A426,kurspris!$A$1:$Q$913,16,FALSE)</f>
        <v>36082</v>
      </c>
      <c r="Z426" s="40">
        <f t="shared" si="182"/>
        <v>224991.8125</v>
      </c>
      <c r="AA426" s="40">
        <f>VLOOKUP(A426,kurspris!$A$1:$Q$913,17,FALSE)</f>
        <v>22600</v>
      </c>
      <c r="AB426" s="40">
        <f t="shared" si="183"/>
        <v>98875</v>
      </c>
      <c r="AC426" s="40">
        <f t="shared" si="184"/>
        <v>323866.8125</v>
      </c>
      <c r="AD426" s="31">
        <f>VLOOKUP($A426,kurspris!$A$1:$Q$950,3,FALSE)</f>
        <v>0</v>
      </c>
      <c r="AE426" s="31">
        <f>VLOOKUP($A426,kurspris!$A$1:$Q$950,4,FALSE)</f>
        <v>0</v>
      </c>
      <c r="AF426" s="31">
        <f>VLOOKUP($A426,kurspris!$A$1:$Q$950,5,FALSE)</f>
        <v>0</v>
      </c>
      <c r="AG426" s="31">
        <f>VLOOKUP($A426,kurspris!$A$1:$Q$950,6,FALSE)</f>
        <v>0</v>
      </c>
      <c r="AH426" s="31">
        <f>VLOOKUP($A426,kurspris!$A$1:$Q$950,7,FALSE)</f>
        <v>0</v>
      </c>
      <c r="AI426" s="31">
        <f>VLOOKUP($A426,kurspris!$A$1:$Q$950,8,FALSE)</f>
        <v>1</v>
      </c>
      <c r="AJ426" s="31">
        <f>VLOOKUP($A426,kurspris!$A$1:$Q$950,9,FALSE)</f>
        <v>0</v>
      </c>
      <c r="AK426" s="31">
        <f>VLOOKUP($A426,kurspris!$A$1:$Q$950,10,FALSE)</f>
        <v>0</v>
      </c>
      <c r="AL426" s="31">
        <f>VLOOKUP($A426,kurspris!$A$1:$Q$950,11,FALSE)</f>
        <v>0</v>
      </c>
      <c r="AM426" s="31">
        <f>VLOOKUP($A426,kurspris!$A$1:$Q$950,12,FALSE)</f>
        <v>0</v>
      </c>
      <c r="AN426" s="31">
        <f>VLOOKUP($A426,kurspris!$A$1:$Q$950,13,FALSE)</f>
        <v>0</v>
      </c>
      <c r="AO426" s="31">
        <f>VLOOKUP($A426,kurspris!$A$1:$Q$950,14,FALSE)</f>
        <v>0</v>
      </c>
      <c r="AP426" s="57" t="s">
        <v>2504</v>
      </c>
      <c r="AQ426"/>
      <c r="AR426" s="31">
        <f t="shared" si="185"/>
        <v>0</v>
      </c>
      <c r="AS426" s="219">
        <f t="shared" si="186"/>
        <v>0</v>
      </c>
      <c r="AT426" s="31">
        <f t="shared" si="187"/>
        <v>0</v>
      </c>
      <c r="AU426" s="219">
        <f t="shared" si="188"/>
        <v>0</v>
      </c>
      <c r="AV426" s="31">
        <f t="shared" si="189"/>
        <v>0</v>
      </c>
      <c r="AW426" s="31">
        <f t="shared" si="190"/>
        <v>0</v>
      </c>
      <c r="AX426" s="31">
        <f t="shared" si="191"/>
        <v>0</v>
      </c>
      <c r="AY426" s="219">
        <f t="shared" si="192"/>
        <v>0</v>
      </c>
      <c r="AZ426" s="196">
        <f t="shared" si="193"/>
        <v>0</v>
      </c>
      <c r="BA426" s="219">
        <f t="shared" si="194"/>
        <v>0</v>
      </c>
      <c r="BB426" s="31">
        <f t="shared" si="195"/>
        <v>4.375</v>
      </c>
      <c r="BC426" s="219">
        <f t="shared" si="196"/>
        <v>3.71875</v>
      </c>
      <c r="BD426" s="31">
        <f t="shared" si="197"/>
        <v>0</v>
      </c>
      <c r="BE426" s="219">
        <f t="shared" si="198"/>
        <v>0</v>
      </c>
      <c r="BF426" s="31">
        <f t="shared" si="199"/>
        <v>0</v>
      </c>
      <c r="BG426" s="219">
        <f t="shared" si="200"/>
        <v>0</v>
      </c>
      <c r="BH426" s="31">
        <f t="shared" si="201"/>
        <v>0</v>
      </c>
      <c r="BI426" s="219">
        <f t="shared" si="202"/>
        <v>0</v>
      </c>
      <c r="BJ426" s="31">
        <f t="shared" si="203"/>
        <v>0</v>
      </c>
      <c r="BK426" s="219">
        <f t="shared" si="204"/>
        <v>0</v>
      </c>
      <c r="BL426" s="31">
        <f t="shared" si="205"/>
        <v>0</v>
      </c>
      <c r="BM426" s="219">
        <f t="shared" si="206"/>
        <v>0</v>
      </c>
      <c r="BN426" s="31">
        <f t="shared" si="207"/>
        <v>0</v>
      </c>
      <c r="BO426" s="219">
        <f t="shared" si="208"/>
        <v>0</v>
      </c>
    </row>
    <row r="427" spans="1:67" x14ac:dyDescent="0.25">
      <c r="A427" s="31" t="s">
        <v>1422</v>
      </c>
      <c r="B427" s="176" t="str">
        <f>VLOOKUP(A427,kurspris!$A$1:$B$992,2,FALSE)</f>
        <v>Matematik 4 för förskoleklass och grundskolans årskurs 1-3</v>
      </c>
      <c r="D427" s="60" t="s">
        <v>485</v>
      </c>
      <c r="E427" s="576" t="s">
        <v>2432</v>
      </c>
      <c r="F427" s="31" t="s">
        <v>2273</v>
      </c>
      <c r="G427" t="s">
        <v>2438</v>
      </c>
      <c r="H427" t="s">
        <v>2335</v>
      </c>
      <c r="I427" s="31" t="s">
        <v>2276</v>
      </c>
      <c r="L427" s="38">
        <v>1</v>
      </c>
      <c r="M427">
        <v>7.5</v>
      </c>
      <c r="P427" s="31">
        <v>1</v>
      </c>
      <c r="Q427" s="196">
        <f t="shared" si="211"/>
        <v>0.125</v>
      </c>
      <c r="R427" s="38">
        <v>0.85</v>
      </c>
      <c r="S427" s="280">
        <f t="shared" si="181"/>
        <v>0.10625</v>
      </c>
      <c r="T427" s="31">
        <f>VLOOKUP(A427,'Ansvar kurs'!$A$1:$C$1123,2,FALSE)</f>
        <v>5740</v>
      </c>
      <c r="U427" s="31" t="str">
        <f>VLOOKUP(T427,Orgenheter!$A$1:$C$166,2,FALSE)</f>
        <v>NMD</v>
      </c>
      <c r="V427" s="31" t="str">
        <f>VLOOKUP(T427,Orgenheter!$A$1:$C$166,3,FALSE)</f>
        <v>TekNat</v>
      </c>
      <c r="W427" s="35" t="str">
        <f>VLOOKUP(D427,Program!$A$1:$B$36,2,FALSE)</f>
        <v>Grundlärarprogrammet - förskoleklass och åk 1-3</v>
      </c>
      <c r="X427" s="40">
        <f>VLOOKUP(A427,kurspris!$A$1:$Q$913,15,FALSE)</f>
        <v>20757</v>
      </c>
      <c r="Y427" s="40">
        <f>VLOOKUP(A427,kurspris!$A$1:$Q$913,16,FALSE)</f>
        <v>36082</v>
      </c>
      <c r="Z427" s="40">
        <f t="shared" si="182"/>
        <v>6428.3374999999996</v>
      </c>
      <c r="AA427" s="40">
        <f>VLOOKUP(A427,kurspris!$A$1:$Q$913,17,FALSE)</f>
        <v>22600</v>
      </c>
      <c r="AB427" s="40">
        <f t="shared" si="183"/>
        <v>2825</v>
      </c>
      <c r="AC427" s="40">
        <f t="shared" si="184"/>
        <v>9253.3374999999996</v>
      </c>
      <c r="AD427" s="31">
        <f>VLOOKUP($A427,kurspris!$A$1:$Q$950,3,FALSE)</f>
        <v>0</v>
      </c>
      <c r="AE427" s="31">
        <f>VLOOKUP($A427,kurspris!$A$1:$Q$950,4,FALSE)</f>
        <v>0</v>
      </c>
      <c r="AF427" s="31">
        <f>VLOOKUP($A427,kurspris!$A$1:$Q$950,5,FALSE)</f>
        <v>0</v>
      </c>
      <c r="AG427" s="31">
        <f>VLOOKUP($A427,kurspris!$A$1:$Q$950,6,FALSE)</f>
        <v>0</v>
      </c>
      <c r="AH427" s="31">
        <f>VLOOKUP($A427,kurspris!$A$1:$Q$950,7,FALSE)</f>
        <v>0</v>
      </c>
      <c r="AI427" s="31">
        <f>VLOOKUP($A427,kurspris!$A$1:$Q$950,8,FALSE)</f>
        <v>1</v>
      </c>
      <c r="AJ427" s="31">
        <f>VLOOKUP($A427,kurspris!$A$1:$Q$950,9,FALSE)</f>
        <v>0</v>
      </c>
      <c r="AK427" s="31">
        <f>VLOOKUP($A427,kurspris!$A$1:$Q$950,10,FALSE)</f>
        <v>0</v>
      </c>
      <c r="AL427" s="31">
        <f>VLOOKUP($A427,kurspris!$A$1:$Q$950,11,FALSE)</f>
        <v>0</v>
      </c>
      <c r="AM427" s="31">
        <f>VLOOKUP($A427,kurspris!$A$1:$Q$950,12,FALSE)</f>
        <v>0</v>
      </c>
      <c r="AN427" s="31">
        <f>VLOOKUP($A427,kurspris!$A$1:$Q$950,13,FALSE)</f>
        <v>0</v>
      </c>
      <c r="AO427" s="31">
        <f>VLOOKUP($A427,kurspris!$A$1:$Q$950,14,FALSE)</f>
        <v>0</v>
      </c>
      <c r="AP427" s="57" t="s">
        <v>2504</v>
      </c>
      <c r="AQ427"/>
      <c r="AR427" s="31">
        <f t="shared" si="185"/>
        <v>0</v>
      </c>
      <c r="AS427" s="219">
        <f t="shared" si="186"/>
        <v>0</v>
      </c>
      <c r="AT427" s="31">
        <f t="shared" si="187"/>
        <v>0</v>
      </c>
      <c r="AU427" s="219">
        <f t="shared" si="188"/>
        <v>0</v>
      </c>
      <c r="AV427" s="31">
        <f t="shared" si="189"/>
        <v>0</v>
      </c>
      <c r="AW427" s="31">
        <f t="shared" si="190"/>
        <v>0</v>
      </c>
      <c r="AX427" s="31">
        <f t="shared" si="191"/>
        <v>0</v>
      </c>
      <c r="AY427" s="219">
        <f t="shared" si="192"/>
        <v>0</v>
      </c>
      <c r="AZ427" s="196">
        <f t="shared" si="193"/>
        <v>0</v>
      </c>
      <c r="BA427" s="219">
        <f t="shared" si="194"/>
        <v>0</v>
      </c>
      <c r="BB427" s="31">
        <f t="shared" si="195"/>
        <v>0.125</v>
      </c>
      <c r="BC427" s="219">
        <f t="shared" si="196"/>
        <v>0.10625</v>
      </c>
      <c r="BD427" s="31">
        <f t="shared" si="197"/>
        <v>0</v>
      </c>
      <c r="BE427" s="219">
        <f t="shared" si="198"/>
        <v>0</v>
      </c>
      <c r="BF427" s="31">
        <f t="shared" si="199"/>
        <v>0</v>
      </c>
      <c r="BG427" s="219">
        <f t="shared" si="200"/>
        <v>0</v>
      </c>
      <c r="BH427" s="31">
        <f t="shared" si="201"/>
        <v>0</v>
      </c>
      <c r="BI427" s="219">
        <f t="shared" si="202"/>
        <v>0</v>
      </c>
      <c r="BJ427" s="31">
        <f t="shared" si="203"/>
        <v>0</v>
      </c>
      <c r="BK427" s="219">
        <f t="shared" si="204"/>
        <v>0</v>
      </c>
      <c r="BL427" s="31">
        <f t="shared" si="205"/>
        <v>0</v>
      </c>
      <c r="BM427" s="219">
        <f t="shared" si="206"/>
        <v>0</v>
      </c>
      <c r="BN427" s="31">
        <f t="shared" si="207"/>
        <v>0</v>
      </c>
      <c r="BO427" s="219">
        <f t="shared" si="208"/>
        <v>0</v>
      </c>
    </row>
    <row r="428" spans="1:67" x14ac:dyDescent="0.25">
      <c r="A428" s="31" t="s">
        <v>1422</v>
      </c>
      <c r="B428" s="176" t="str">
        <f>VLOOKUP(A428,kurspris!$A$1:$B$992,2,FALSE)</f>
        <v>Matematik 4 för förskoleklass och grundskolans årskurs 1-3</v>
      </c>
      <c r="D428" s="60" t="s">
        <v>485</v>
      </c>
      <c r="E428" s="576" t="s">
        <v>2430</v>
      </c>
      <c r="F428" s="31" t="s">
        <v>2273</v>
      </c>
      <c r="G428" t="s">
        <v>2438</v>
      </c>
      <c r="H428" t="s">
        <v>2335</v>
      </c>
      <c r="I428" s="31" t="s">
        <v>2276</v>
      </c>
      <c r="L428" s="38">
        <v>1</v>
      </c>
      <c r="M428">
        <v>7.5</v>
      </c>
      <c r="P428" s="31">
        <v>1</v>
      </c>
      <c r="Q428" s="196">
        <f t="shared" si="211"/>
        <v>0.125</v>
      </c>
      <c r="R428" s="38">
        <v>0.85</v>
      </c>
      <c r="S428" s="280">
        <f t="shared" si="181"/>
        <v>0.10625</v>
      </c>
      <c r="T428" s="31">
        <f>VLOOKUP(A428,'Ansvar kurs'!$A$1:$C$1123,2,FALSE)</f>
        <v>5740</v>
      </c>
      <c r="U428" s="31" t="str">
        <f>VLOOKUP(T428,Orgenheter!$A$1:$C$166,2,FALSE)</f>
        <v>NMD</v>
      </c>
      <c r="V428" s="31" t="str">
        <f>VLOOKUP(T428,Orgenheter!$A$1:$C$166,3,FALSE)</f>
        <v>TekNat</v>
      </c>
      <c r="W428" s="35" t="str">
        <f>VLOOKUP(D428,Program!$A$1:$B$36,2,FALSE)</f>
        <v>Grundlärarprogrammet - förskoleklass och åk 1-3</v>
      </c>
      <c r="X428" s="40">
        <f>VLOOKUP(A428,kurspris!$A$1:$Q$913,15,FALSE)</f>
        <v>20757</v>
      </c>
      <c r="Y428" s="40">
        <f>VLOOKUP(A428,kurspris!$A$1:$Q$913,16,FALSE)</f>
        <v>36082</v>
      </c>
      <c r="Z428" s="40">
        <f t="shared" si="182"/>
        <v>6428.3374999999996</v>
      </c>
      <c r="AA428" s="40">
        <f>VLOOKUP(A428,kurspris!$A$1:$Q$913,17,FALSE)</f>
        <v>22600</v>
      </c>
      <c r="AB428" s="40">
        <f t="shared" si="183"/>
        <v>2825</v>
      </c>
      <c r="AC428" s="40">
        <f t="shared" si="184"/>
        <v>9253.3374999999996</v>
      </c>
      <c r="AD428" s="31">
        <f>VLOOKUP($A428,kurspris!$A$1:$Q$950,3,FALSE)</f>
        <v>0</v>
      </c>
      <c r="AE428" s="31">
        <f>VLOOKUP($A428,kurspris!$A$1:$Q$950,4,FALSE)</f>
        <v>0</v>
      </c>
      <c r="AF428" s="31">
        <f>VLOOKUP($A428,kurspris!$A$1:$Q$950,5,FALSE)</f>
        <v>0</v>
      </c>
      <c r="AG428" s="31">
        <f>VLOOKUP($A428,kurspris!$A$1:$Q$950,6,FALSE)</f>
        <v>0</v>
      </c>
      <c r="AH428" s="31">
        <f>VLOOKUP($A428,kurspris!$A$1:$Q$950,7,FALSE)</f>
        <v>0</v>
      </c>
      <c r="AI428" s="31">
        <f>VLOOKUP($A428,kurspris!$A$1:$Q$950,8,FALSE)</f>
        <v>1</v>
      </c>
      <c r="AJ428" s="31">
        <f>VLOOKUP($A428,kurspris!$A$1:$Q$950,9,FALSE)</f>
        <v>0</v>
      </c>
      <c r="AK428" s="31">
        <f>VLOOKUP($A428,kurspris!$A$1:$Q$950,10,FALSE)</f>
        <v>0</v>
      </c>
      <c r="AL428" s="31">
        <f>VLOOKUP($A428,kurspris!$A$1:$Q$950,11,FALSE)</f>
        <v>0</v>
      </c>
      <c r="AM428" s="31">
        <f>VLOOKUP($A428,kurspris!$A$1:$Q$950,12,FALSE)</f>
        <v>0</v>
      </c>
      <c r="AN428" s="31">
        <f>VLOOKUP($A428,kurspris!$A$1:$Q$950,13,FALSE)</f>
        <v>0</v>
      </c>
      <c r="AO428" s="31">
        <f>VLOOKUP($A428,kurspris!$A$1:$Q$950,14,FALSE)</f>
        <v>0</v>
      </c>
      <c r="AP428" s="57" t="s">
        <v>2504</v>
      </c>
      <c r="AQ428"/>
      <c r="AR428" s="31">
        <f t="shared" si="185"/>
        <v>0</v>
      </c>
      <c r="AS428" s="219">
        <f t="shared" si="186"/>
        <v>0</v>
      </c>
      <c r="AT428" s="31">
        <f t="shared" si="187"/>
        <v>0</v>
      </c>
      <c r="AU428" s="219">
        <f t="shared" si="188"/>
        <v>0</v>
      </c>
      <c r="AV428" s="31">
        <f t="shared" si="189"/>
        <v>0</v>
      </c>
      <c r="AW428" s="31">
        <f t="shared" si="190"/>
        <v>0</v>
      </c>
      <c r="AX428" s="31">
        <f t="shared" si="191"/>
        <v>0</v>
      </c>
      <c r="AY428" s="219">
        <f t="shared" si="192"/>
        <v>0</v>
      </c>
      <c r="AZ428" s="196">
        <f t="shared" si="193"/>
        <v>0</v>
      </c>
      <c r="BA428" s="219">
        <f t="shared" si="194"/>
        <v>0</v>
      </c>
      <c r="BB428" s="31">
        <f t="shared" si="195"/>
        <v>0.125</v>
      </c>
      <c r="BC428" s="219">
        <f t="shared" si="196"/>
        <v>0.10625</v>
      </c>
      <c r="BD428" s="31">
        <f t="shared" si="197"/>
        <v>0</v>
      </c>
      <c r="BE428" s="219">
        <f t="shared" si="198"/>
        <v>0</v>
      </c>
      <c r="BF428" s="31">
        <f t="shared" si="199"/>
        <v>0</v>
      </c>
      <c r="BG428" s="219">
        <f t="shared" si="200"/>
        <v>0</v>
      </c>
      <c r="BH428" s="31">
        <f t="shared" si="201"/>
        <v>0</v>
      </c>
      <c r="BI428" s="219">
        <f t="shared" si="202"/>
        <v>0</v>
      </c>
      <c r="BJ428" s="31">
        <f t="shared" si="203"/>
        <v>0</v>
      </c>
      <c r="BK428" s="219">
        <f t="shared" si="204"/>
        <v>0</v>
      </c>
      <c r="BL428" s="31">
        <f t="shared" si="205"/>
        <v>0</v>
      </c>
      <c r="BM428" s="219">
        <f t="shared" si="206"/>
        <v>0</v>
      </c>
      <c r="BN428" s="31">
        <f t="shared" si="207"/>
        <v>0</v>
      </c>
      <c r="BO428" s="219">
        <f t="shared" si="208"/>
        <v>0</v>
      </c>
    </row>
    <row r="429" spans="1:67" x14ac:dyDescent="0.25">
      <c r="A429" s="31" t="s">
        <v>1424</v>
      </c>
      <c r="B429" s="176" t="str">
        <f>VLOOKUP(A429,kurspris!$A$1:$B$992,2,FALSE)</f>
        <v>Matematik 2 för grundskolans årskurs 4-6</v>
      </c>
      <c r="D429" s="60" t="s">
        <v>523</v>
      </c>
      <c r="E429" s="576" t="s">
        <v>2432</v>
      </c>
      <c r="F429" s="31" t="s">
        <v>2273</v>
      </c>
      <c r="G429" t="s">
        <v>2448</v>
      </c>
      <c r="H429" t="s">
        <v>2335</v>
      </c>
      <c r="I429" s="31" t="s">
        <v>2276</v>
      </c>
      <c r="L429" s="38">
        <v>1</v>
      </c>
      <c r="M429">
        <v>7.5</v>
      </c>
      <c r="P429" s="31">
        <v>43</v>
      </c>
      <c r="Q429" s="196">
        <f t="shared" si="211"/>
        <v>5.375</v>
      </c>
      <c r="R429" s="38">
        <v>0.85</v>
      </c>
      <c r="S429" s="280">
        <f t="shared" si="181"/>
        <v>4.5687499999999996</v>
      </c>
      <c r="T429" s="31">
        <f>VLOOKUP(A429,'Ansvar kurs'!$A$1:$C$1123,2,FALSE)</f>
        <v>5740</v>
      </c>
      <c r="U429" s="31" t="str">
        <f>VLOOKUP(T429,Orgenheter!$A$1:$C$166,2,FALSE)</f>
        <v>NMD</v>
      </c>
      <c r="V429" s="31" t="str">
        <f>VLOOKUP(T429,Orgenheter!$A$1:$C$166,3,FALSE)</f>
        <v>TekNat</v>
      </c>
      <c r="W429" s="35" t="str">
        <f>VLOOKUP(D429,Program!$A$1:$B$36,2,FALSE)</f>
        <v>Grundlärarprogrammet - grundskolans åk 4-6</v>
      </c>
      <c r="X429" s="40">
        <f>VLOOKUP(A429,kurspris!$A$1:$Q$913,15,FALSE)</f>
        <v>20757</v>
      </c>
      <c r="Y429" s="40">
        <f>VLOOKUP(A429,kurspris!$A$1:$Q$913,16,FALSE)</f>
        <v>36082</v>
      </c>
      <c r="Z429" s="40">
        <f t="shared" si="182"/>
        <v>276418.51249999995</v>
      </c>
      <c r="AA429" s="40">
        <f>VLOOKUP(A429,kurspris!$A$1:$Q$913,17,FALSE)</f>
        <v>22600</v>
      </c>
      <c r="AB429" s="40">
        <f t="shared" si="183"/>
        <v>121475</v>
      </c>
      <c r="AC429" s="40">
        <f t="shared" si="184"/>
        <v>397893.51249999995</v>
      </c>
      <c r="AD429" s="31">
        <f>VLOOKUP($A429,kurspris!$A$1:$Q$950,3,FALSE)</f>
        <v>0</v>
      </c>
      <c r="AE429" s="31">
        <f>VLOOKUP($A429,kurspris!$A$1:$Q$950,4,FALSE)</f>
        <v>0</v>
      </c>
      <c r="AF429" s="31">
        <f>VLOOKUP($A429,kurspris!$A$1:$Q$950,5,FALSE)</f>
        <v>0</v>
      </c>
      <c r="AG429" s="31">
        <f>VLOOKUP($A429,kurspris!$A$1:$Q$950,6,FALSE)</f>
        <v>0</v>
      </c>
      <c r="AH429" s="31">
        <f>VLOOKUP($A429,kurspris!$A$1:$Q$950,7,FALSE)</f>
        <v>0</v>
      </c>
      <c r="AI429" s="31">
        <f>VLOOKUP($A429,kurspris!$A$1:$Q$950,8,FALSE)</f>
        <v>1</v>
      </c>
      <c r="AJ429" s="31">
        <f>VLOOKUP($A429,kurspris!$A$1:$Q$950,9,FALSE)</f>
        <v>0</v>
      </c>
      <c r="AK429" s="31">
        <f>VLOOKUP($A429,kurspris!$A$1:$Q$950,10,FALSE)</f>
        <v>0</v>
      </c>
      <c r="AL429" s="31">
        <f>VLOOKUP($A429,kurspris!$A$1:$Q$950,11,FALSE)</f>
        <v>0</v>
      </c>
      <c r="AM429" s="31">
        <f>VLOOKUP($A429,kurspris!$A$1:$Q$950,12,FALSE)</f>
        <v>0</v>
      </c>
      <c r="AN429" s="31">
        <f>VLOOKUP($A429,kurspris!$A$1:$Q$950,13,FALSE)</f>
        <v>0</v>
      </c>
      <c r="AO429" s="31">
        <f>VLOOKUP($A429,kurspris!$A$1:$Q$950,14,FALSE)</f>
        <v>0</v>
      </c>
      <c r="AP429" s="57" t="s">
        <v>2504</v>
      </c>
      <c r="AQ429"/>
      <c r="AR429" s="31">
        <f t="shared" si="185"/>
        <v>0</v>
      </c>
      <c r="AS429" s="219">
        <f t="shared" si="186"/>
        <v>0</v>
      </c>
      <c r="AT429" s="31">
        <f t="shared" si="187"/>
        <v>0</v>
      </c>
      <c r="AU429" s="219">
        <f t="shared" si="188"/>
        <v>0</v>
      </c>
      <c r="AV429" s="31">
        <f t="shared" si="189"/>
        <v>0</v>
      </c>
      <c r="AW429" s="31">
        <f t="shared" si="190"/>
        <v>0</v>
      </c>
      <c r="AX429" s="31">
        <f t="shared" si="191"/>
        <v>0</v>
      </c>
      <c r="AY429" s="219">
        <f t="shared" si="192"/>
        <v>0</v>
      </c>
      <c r="AZ429" s="196">
        <f t="shared" si="193"/>
        <v>0</v>
      </c>
      <c r="BA429" s="219">
        <f t="shared" si="194"/>
        <v>0</v>
      </c>
      <c r="BB429" s="31">
        <f t="shared" si="195"/>
        <v>5.375</v>
      </c>
      <c r="BC429" s="219">
        <f t="shared" si="196"/>
        <v>4.5687499999999996</v>
      </c>
      <c r="BD429" s="31">
        <f t="shared" si="197"/>
        <v>0</v>
      </c>
      <c r="BE429" s="219">
        <f t="shared" si="198"/>
        <v>0</v>
      </c>
      <c r="BF429" s="31">
        <f t="shared" si="199"/>
        <v>0</v>
      </c>
      <c r="BG429" s="219">
        <f t="shared" si="200"/>
        <v>0</v>
      </c>
      <c r="BH429" s="31">
        <f t="shared" si="201"/>
        <v>0</v>
      </c>
      <c r="BI429" s="219">
        <f t="shared" si="202"/>
        <v>0</v>
      </c>
      <c r="BJ429" s="31">
        <f t="shared" si="203"/>
        <v>0</v>
      </c>
      <c r="BK429" s="219">
        <f t="shared" si="204"/>
        <v>0</v>
      </c>
      <c r="BL429" s="31">
        <f t="shared" si="205"/>
        <v>0</v>
      </c>
      <c r="BM429" s="219">
        <f t="shared" si="206"/>
        <v>0</v>
      </c>
      <c r="BN429" s="31">
        <f t="shared" si="207"/>
        <v>0</v>
      </c>
      <c r="BO429" s="219">
        <f t="shared" si="208"/>
        <v>0</v>
      </c>
    </row>
    <row r="430" spans="1:67" x14ac:dyDescent="0.25">
      <c r="A430" s="31" t="s">
        <v>1426</v>
      </c>
      <c r="B430" s="176" t="str">
        <f>VLOOKUP(A430,kurspris!$A$1:$B$992,2,FALSE)</f>
        <v>Matematik 3 för grundskolans årskurs 4-6</v>
      </c>
      <c r="D430" s="60" t="s">
        <v>523</v>
      </c>
      <c r="E430" s="576" t="s">
        <v>2432</v>
      </c>
      <c r="F430" s="31" t="s">
        <v>2273</v>
      </c>
      <c r="G430" t="s">
        <v>2441</v>
      </c>
      <c r="H430" t="s">
        <v>2335</v>
      </c>
      <c r="I430" s="31" t="s">
        <v>2276</v>
      </c>
      <c r="L430" s="38">
        <v>1</v>
      </c>
      <c r="M430">
        <v>7.5</v>
      </c>
      <c r="P430" s="31">
        <v>41</v>
      </c>
      <c r="Q430" s="196">
        <f t="shared" si="211"/>
        <v>5.125</v>
      </c>
      <c r="R430" s="38">
        <v>0.85</v>
      </c>
      <c r="S430" s="280">
        <f t="shared" si="181"/>
        <v>4.3562500000000002</v>
      </c>
      <c r="T430" s="31">
        <f>VLOOKUP(A430,'Ansvar kurs'!$A$1:$C$1123,2,FALSE)</f>
        <v>5740</v>
      </c>
      <c r="U430" s="31" t="str">
        <f>VLOOKUP(T430,Orgenheter!$A$1:$C$166,2,FALSE)</f>
        <v>NMD</v>
      </c>
      <c r="V430" s="31" t="str">
        <f>VLOOKUP(T430,Orgenheter!$A$1:$C$166,3,FALSE)</f>
        <v>TekNat</v>
      </c>
      <c r="W430" s="35" t="str">
        <f>VLOOKUP(D430,Program!$A$1:$B$36,2,FALSE)</f>
        <v>Grundlärarprogrammet - grundskolans åk 4-6</v>
      </c>
      <c r="X430" s="40">
        <f>VLOOKUP(A430,kurspris!$A$1:$Q$913,15,FALSE)</f>
        <v>20757</v>
      </c>
      <c r="Y430" s="40">
        <f>VLOOKUP(A430,kurspris!$A$1:$Q$913,16,FALSE)</f>
        <v>36082</v>
      </c>
      <c r="Z430" s="40">
        <f t="shared" si="182"/>
        <v>263561.83750000002</v>
      </c>
      <c r="AA430" s="40">
        <f>VLOOKUP(A430,kurspris!$A$1:$Q$913,17,FALSE)</f>
        <v>22600</v>
      </c>
      <c r="AB430" s="40">
        <f t="shared" si="183"/>
        <v>115825</v>
      </c>
      <c r="AC430" s="40">
        <f t="shared" si="184"/>
        <v>379386.83750000002</v>
      </c>
      <c r="AD430" s="31">
        <f>VLOOKUP($A430,kurspris!$A$1:$Q$950,3,FALSE)</f>
        <v>0</v>
      </c>
      <c r="AE430" s="31">
        <f>VLOOKUP($A430,kurspris!$A$1:$Q$950,4,FALSE)</f>
        <v>0</v>
      </c>
      <c r="AF430" s="31">
        <f>VLOOKUP($A430,kurspris!$A$1:$Q$950,5,FALSE)</f>
        <v>0</v>
      </c>
      <c r="AG430" s="31">
        <f>VLOOKUP($A430,kurspris!$A$1:$Q$950,6,FALSE)</f>
        <v>0</v>
      </c>
      <c r="AH430" s="31">
        <f>VLOOKUP($A430,kurspris!$A$1:$Q$950,7,FALSE)</f>
        <v>0</v>
      </c>
      <c r="AI430" s="31">
        <f>VLOOKUP($A430,kurspris!$A$1:$Q$950,8,FALSE)</f>
        <v>1</v>
      </c>
      <c r="AJ430" s="31">
        <f>VLOOKUP($A430,kurspris!$A$1:$Q$950,9,FALSE)</f>
        <v>0</v>
      </c>
      <c r="AK430" s="31">
        <f>VLOOKUP($A430,kurspris!$A$1:$Q$950,10,FALSE)</f>
        <v>0</v>
      </c>
      <c r="AL430" s="31">
        <f>VLOOKUP($A430,kurspris!$A$1:$Q$950,11,FALSE)</f>
        <v>0</v>
      </c>
      <c r="AM430" s="31">
        <f>VLOOKUP($A430,kurspris!$A$1:$Q$950,12,FALSE)</f>
        <v>0</v>
      </c>
      <c r="AN430" s="31">
        <f>VLOOKUP($A430,kurspris!$A$1:$Q$950,13,FALSE)</f>
        <v>0</v>
      </c>
      <c r="AO430" s="31">
        <f>VLOOKUP($A430,kurspris!$A$1:$Q$950,14,FALSE)</f>
        <v>0</v>
      </c>
      <c r="AP430" s="57" t="s">
        <v>2504</v>
      </c>
      <c r="AQ430"/>
      <c r="AR430" s="31">
        <f t="shared" si="185"/>
        <v>0</v>
      </c>
      <c r="AS430" s="219">
        <f t="shared" si="186"/>
        <v>0</v>
      </c>
      <c r="AT430" s="31">
        <f t="shared" si="187"/>
        <v>0</v>
      </c>
      <c r="AU430" s="219">
        <f t="shared" si="188"/>
        <v>0</v>
      </c>
      <c r="AV430" s="31">
        <f t="shared" si="189"/>
        <v>0</v>
      </c>
      <c r="AW430" s="31">
        <f t="shared" si="190"/>
        <v>0</v>
      </c>
      <c r="AX430" s="31">
        <f t="shared" si="191"/>
        <v>0</v>
      </c>
      <c r="AY430" s="219">
        <f t="shared" si="192"/>
        <v>0</v>
      </c>
      <c r="AZ430" s="196">
        <f t="shared" si="193"/>
        <v>0</v>
      </c>
      <c r="BA430" s="219">
        <f t="shared" si="194"/>
        <v>0</v>
      </c>
      <c r="BB430" s="31">
        <f t="shared" si="195"/>
        <v>5.125</v>
      </c>
      <c r="BC430" s="219">
        <f t="shared" si="196"/>
        <v>4.3562500000000002</v>
      </c>
      <c r="BD430" s="31">
        <f t="shared" si="197"/>
        <v>0</v>
      </c>
      <c r="BE430" s="219">
        <f t="shared" si="198"/>
        <v>0</v>
      </c>
      <c r="BF430" s="31">
        <f t="shared" si="199"/>
        <v>0</v>
      </c>
      <c r="BG430" s="219">
        <f t="shared" si="200"/>
        <v>0</v>
      </c>
      <c r="BH430" s="31">
        <f t="shared" si="201"/>
        <v>0</v>
      </c>
      <c r="BI430" s="219">
        <f t="shared" si="202"/>
        <v>0</v>
      </c>
      <c r="BJ430" s="31">
        <f t="shared" si="203"/>
        <v>0</v>
      </c>
      <c r="BK430" s="219">
        <f t="shared" si="204"/>
        <v>0</v>
      </c>
      <c r="BL430" s="31">
        <f t="shared" si="205"/>
        <v>0</v>
      </c>
      <c r="BM430" s="219">
        <f t="shared" si="206"/>
        <v>0</v>
      </c>
      <c r="BN430" s="31">
        <f t="shared" si="207"/>
        <v>0</v>
      </c>
      <c r="BO430" s="219">
        <f t="shared" si="208"/>
        <v>0</v>
      </c>
    </row>
    <row r="431" spans="1:67" x14ac:dyDescent="0.25">
      <c r="A431" s="31" t="s">
        <v>1428</v>
      </c>
      <c r="B431" s="176" t="str">
        <f>VLOOKUP(A431,kurspris!$A$1:$B$992,2,FALSE)</f>
        <v>Matematik 4 för grundskolans årskurs 4-6</v>
      </c>
      <c r="D431" s="60" t="s">
        <v>523</v>
      </c>
      <c r="E431" s="576" t="s">
        <v>2226</v>
      </c>
      <c r="F431" s="31" t="s">
        <v>2273</v>
      </c>
      <c r="G431" t="s">
        <v>2438</v>
      </c>
      <c r="H431" t="s">
        <v>2335</v>
      </c>
      <c r="I431" s="31" t="s">
        <v>2276</v>
      </c>
      <c r="L431" s="38">
        <v>1</v>
      </c>
      <c r="M431">
        <v>7.5</v>
      </c>
      <c r="P431" s="31">
        <v>1</v>
      </c>
      <c r="Q431" s="196">
        <f t="shared" si="211"/>
        <v>0.125</v>
      </c>
      <c r="R431" s="38">
        <v>0.85</v>
      </c>
      <c r="S431" s="280">
        <f t="shared" si="181"/>
        <v>0.10625</v>
      </c>
      <c r="T431" s="31">
        <f>VLOOKUP(A431,'Ansvar kurs'!$A$1:$C$1123,2,FALSE)</f>
        <v>5740</v>
      </c>
      <c r="U431" s="31" t="str">
        <f>VLOOKUP(T431,Orgenheter!$A$1:$C$166,2,FALSE)</f>
        <v>NMD</v>
      </c>
      <c r="V431" s="31" t="str">
        <f>VLOOKUP(T431,Orgenheter!$A$1:$C$166,3,FALSE)</f>
        <v>TekNat</v>
      </c>
      <c r="W431" s="35" t="str">
        <f>VLOOKUP(D431,Program!$A$1:$B$36,2,FALSE)</f>
        <v>Grundlärarprogrammet - grundskolans åk 4-6</v>
      </c>
      <c r="X431" s="40">
        <f>VLOOKUP(A431,kurspris!$A$1:$Q$913,15,FALSE)</f>
        <v>20757</v>
      </c>
      <c r="Y431" s="40">
        <f>VLOOKUP(A431,kurspris!$A$1:$Q$913,16,FALSE)</f>
        <v>36082</v>
      </c>
      <c r="Z431" s="40">
        <f t="shared" si="182"/>
        <v>6428.3374999999996</v>
      </c>
      <c r="AA431" s="40">
        <f>VLOOKUP(A431,kurspris!$A$1:$Q$913,17,FALSE)</f>
        <v>22600</v>
      </c>
      <c r="AB431" s="40">
        <f t="shared" si="183"/>
        <v>2825</v>
      </c>
      <c r="AC431" s="40">
        <f t="shared" si="184"/>
        <v>9253.3374999999996</v>
      </c>
      <c r="AD431" s="31">
        <f>VLOOKUP($A431,kurspris!$A$1:$Q$950,3,FALSE)</f>
        <v>0</v>
      </c>
      <c r="AE431" s="31">
        <f>VLOOKUP($A431,kurspris!$A$1:$Q$950,4,FALSE)</f>
        <v>0</v>
      </c>
      <c r="AF431" s="31">
        <f>VLOOKUP($A431,kurspris!$A$1:$Q$950,5,FALSE)</f>
        <v>0</v>
      </c>
      <c r="AG431" s="31">
        <f>VLOOKUP($A431,kurspris!$A$1:$Q$950,6,FALSE)</f>
        <v>0</v>
      </c>
      <c r="AH431" s="31">
        <f>VLOOKUP($A431,kurspris!$A$1:$Q$950,7,FALSE)</f>
        <v>0</v>
      </c>
      <c r="AI431" s="31">
        <f>VLOOKUP($A431,kurspris!$A$1:$Q$950,8,FALSE)</f>
        <v>1</v>
      </c>
      <c r="AJ431" s="31">
        <f>VLOOKUP($A431,kurspris!$A$1:$Q$950,9,FALSE)</f>
        <v>0</v>
      </c>
      <c r="AK431" s="31">
        <f>VLOOKUP($A431,kurspris!$A$1:$Q$950,10,FALSE)</f>
        <v>0</v>
      </c>
      <c r="AL431" s="31">
        <f>VLOOKUP($A431,kurspris!$A$1:$Q$950,11,FALSE)</f>
        <v>0</v>
      </c>
      <c r="AM431" s="31">
        <f>VLOOKUP($A431,kurspris!$A$1:$Q$950,12,FALSE)</f>
        <v>0</v>
      </c>
      <c r="AN431" s="31">
        <f>VLOOKUP($A431,kurspris!$A$1:$Q$950,13,FALSE)</f>
        <v>0</v>
      </c>
      <c r="AO431" s="31">
        <f>VLOOKUP($A431,kurspris!$A$1:$Q$950,14,FALSE)</f>
        <v>0</v>
      </c>
      <c r="AP431" s="57" t="s">
        <v>2504</v>
      </c>
      <c r="AQ431"/>
      <c r="AR431" s="31">
        <f t="shared" si="185"/>
        <v>0</v>
      </c>
      <c r="AS431" s="219">
        <f t="shared" si="186"/>
        <v>0</v>
      </c>
      <c r="AT431" s="31">
        <f t="shared" si="187"/>
        <v>0</v>
      </c>
      <c r="AU431" s="219">
        <f t="shared" si="188"/>
        <v>0</v>
      </c>
      <c r="AV431" s="31">
        <f t="shared" si="189"/>
        <v>0</v>
      </c>
      <c r="AW431" s="31">
        <f t="shared" si="190"/>
        <v>0</v>
      </c>
      <c r="AX431" s="31">
        <f t="shared" si="191"/>
        <v>0</v>
      </c>
      <c r="AY431" s="219">
        <f t="shared" si="192"/>
        <v>0</v>
      </c>
      <c r="AZ431" s="196">
        <f t="shared" si="193"/>
        <v>0</v>
      </c>
      <c r="BA431" s="219">
        <f t="shared" si="194"/>
        <v>0</v>
      </c>
      <c r="BB431" s="31">
        <f t="shared" si="195"/>
        <v>0.125</v>
      </c>
      <c r="BC431" s="219">
        <f t="shared" si="196"/>
        <v>0.10625</v>
      </c>
      <c r="BD431" s="31">
        <f t="shared" si="197"/>
        <v>0</v>
      </c>
      <c r="BE431" s="219">
        <f t="shared" si="198"/>
        <v>0</v>
      </c>
      <c r="BF431" s="31">
        <f t="shared" si="199"/>
        <v>0</v>
      </c>
      <c r="BG431" s="219">
        <f t="shared" si="200"/>
        <v>0</v>
      </c>
      <c r="BH431" s="31">
        <f t="shared" si="201"/>
        <v>0</v>
      </c>
      <c r="BI431" s="219">
        <f t="shared" si="202"/>
        <v>0</v>
      </c>
      <c r="BJ431" s="31">
        <f t="shared" si="203"/>
        <v>0</v>
      </c>
      <c r="BK431" s="219">
        <f t="shared" si="204"/>
        <v>0</v>
      </c>
      <c r="BL431" s="31">
        <f t="shared" si="205"/>
        <v>0</v>
      </c>
      <c r="BM431" s="219">
        <f t="shared" si="206"/>
        <v>0</v>
      </c>
      <c r="BN431" s="31">
        <f t="shared" si="207"/>
        <v>0</v>
      </c>
      <c r="BO431" s="219">
        <f t="shared" si="208"/>
        <v>0</v>
      </c>
    </row>
    <row r="432" spans="1:67" x14ac:dyDescent="0.25">
      <c r="A432" s="31" t="s">
        <v>1428</v>
      </c>
      <c r="B432" s="176" t="str">
        <f>VLOOKUP(A432,kurspris!$A$1:$B$992,2,FALSE)</f>
        <v>Matematik 4 för grundskolans årskurs 4-6</v>
      </c>
      <c r="D432" s="60" t="s">
        <v>523</v>
      </c>
      <c r="E432" s="576" t="s">
        <v>2434</v>
      </c>
      <c r="F432" s="31" t="s">
        <v>2273</v>
      </c>
      <c r="G432" t="s">
        <v>2438</v>
      </c>
      <c r="H432" t="s">
        <v>2335</v>
      </c>
      <c r="I432" s="31" t="s">
        <v>2276</v>
      </c>
      <c r="L432" s="38">
        <v>1</v>
      </c>
      <c r="M432">
        <v>7.5</v>
      </c>
      <c r="P432" s="31">
        <v>21</v>
      </c>
      <c r="Q432" s="196">
        <f t="shared" si="211"/>
        <v>2.625</v>
      </c>
      <c r="R432" s="38">
        <v>0.85</v>
      </c>
      <c r="S432" s="280">
        <f t="shared" si="181"/>
        <v>2.2312499999999997</v>
      </c>
      <c r="T432" s="31">
        <f>VLOOKUP(A432,'Ansvar kurs'!$A$1:$C$1123,2,FALSE)</f>
        <v>5740</v>
      </c>
      <c r="U432" s="31" t="str">
        <f>VLOOKUP(T432,Orgenheter!$A$1:$C$166,2,FALSE)</f>
        <v>NMD</v>
      </c>
      <c r="V432" s="31" t="str">
        <f>VLOOKUP(T432,Orgenheter!$A$1:$C$166,3,FALSE)</f>
        <v>TekNat</v>
      </c>
      <c r="W432" s="35" t="str">
        <f>VLOOKUP(D432,Program!$A$1:$B$36,2,FALSE)</f>
        <v>Grundlärarprogrammet - grundskolans åk 4-6</v>
      </c>
      <c r="X432" s="40">
        <f>VLOOKUP(A432,kurspris!$A$1:$Q$913,15,FALSE)</f>
        <v>20757</v>
      </c>
      <c r="Y432" s="40">
        <f>VLOOKUP(A432,kurspris!$A$1:$Q$913,16,FALSE)</f>
        <v>36082</v>
      </c>
      <c r="Z432" s="40">
        <f t="shared" si="182"/>
        <v>134995.08749999999</v>
      </c>
      <c r="AA432" s="40">
        <f>VLOOKUP(A432,kurspris!$A$1:$Q$913,17,FALSE)</f>
        <v>22600</v>
      </c>
      <c r="AB432" s="40">
        <f t="shared" si="183"/>
        <v>59325</v>
      </c>
      <c r="AC432" s="40">
        <f t="shared" si="184"/>
        <v>194320.08749999999</v>
      </c>
      <c r="AD432" s="31">
        <f>VLOOKUP($A432,kurspris!$A$1:$Q$950,3,FALSE)</f>
        <v>0</v>
      </c>
      <c r="AE432" s="31">
        <f>VLOOKUP($A432,kurspris!$A$1:$Q$950,4,FALSE)</f>
        <v>0</v>
      </c>
      <c r="AF432" s="31">
        <f>VLOOKUP($A432,kurspris!$A$1:$Q$950,5,FALSE)</f>
        <v>0</v>
      </c>
      <c r="AG432" s="31">
        <f>VLOOKUP($A432,kurspris!$A$1:$Q$950,6,FALSE)</f>
        <v>0</v>
      </c>
      <c r="AH432" s="31">
        <f>VLOOKUP($A432,kurspris!$A$1:$Q$950,7,FALSE)</f>
        <v>0</v>
      </c>
      <c r="AI432" s="31">
        <f>VLOOKUP($A432,kurspris!$A$1:$Q$950,8,FALSE)</f>
        <v>1</v>
      </c>
      <c r="AJ432" s="31">
        <f>VLOOKUP($A432,kurspris!$A$1:$Q$950,9,FALSE)</f>
        <v>0</v>
      </c>
      <c r="AK432" s="31">
        <f>VLOOKUP($A432,kurspris!$A$1:$Q$950,10,FALSE)</f>
        <v>0</v>
      </c>
      <c r="AL432" s="31">
        <f>VLOOKUP($A432,kurspris!$A$1:$Q$950,11,FALSE)</f>
        <v>0</v>
      </c>
      <c r="AM432" s="31">
        <f>VLOOKUP($A432,kurspris!$A$1:$Q$950,12,FALSE)</f>
        <v>0</v>
      </c>
      <c r="AN432" s="31">
        <f>VLOOKUP($A432,kurspris!$A$1:$Q$950,13,FALSE)</f>
        <v>0</v>
      </c>
      <c r="AO432" s="31">
        <f>VLOOKUP($A432,kurspris!$A$1:$Q$950,14,FALSE)</f>
        <v>0</v>
      </c>
      <c r="AP432" s="57" t="s">
        <v>2504</v>
      </c>
      <c r="AQ432"/>
      <c r="AR432" s="31">
        <f t="shared" si="185"/>
        <v>0</v>
      </c>
      <c r="AS432" s="219">
        <f t="shared" si="186"/>
        <v>0</v>
      </c>
      <c r="AT432" s="31">
        <f t="shared" si="187"/>
        <v>0</v>
      </c>
      <c r="AU432" s="219">
        <f t="shared" si="188"/>
        <v>0</v>
      </c>
      <c r="AV432" s="31">
        <f t="shared" si="189"/>
        <v>0</v>
      </c>
      <c r="AW432" s="31">
        <f t="shared" si="190"/>
        <v>0</v>
      </c>
      <c r="AX432" s="31">
        <f t="shared" si="191"/>
        <v>0</v>
      </c>
      <c r="AY432" s="219">
        <f t="shared" si="192"/>
        <v>0</v>
      </c>
      <c r="AZ432" s="196">
        <f t="shared" si="193"/>
        <v>0</v>
      </c>
      <c r="BA432" s="219">
        <f t="shared" si="194"/>
        <v>0</v>
      </c>
      <c r="BB432" s="31">
        <f t="shared" si="195"/>
        <v>2.625</v>
      </c>
      <c r="BC432" s="219">
        <f t="shared" si="196"/>
        <v>2.2312499999999997</v>
      </c>
      <c r="BD432" s="31">
        <f t="shared" si="197"/>
        <v>0</v>
      </c>
      <c r="BE432" s="219">
        <f t="shared" si="198"/>
        <v>0</v>
      </c>
      <c r="BF432" s="31">
        <f t="shared" si="199"/>
        <v>0</v>
      </c>
      <c r="BG432" s="219">
        <f t="shared" si="200"/>
        <v>0</v>
      </c>
      <c r="BH432" s="31">
        <f t="shared" si="201"/>
        <v>0</v>
      </c>
      <c r="BI432" s="219">
        <f t="shared" si="202"/>
        <v>0</v>
      </c>
      <c r="BJ432" s="31">
        <f t="shared" si="203"/>
        <v>0</v>
      </c>
      <c r="BK432" s="219">
        <f t="shared" si="204"/>
        <v>0</v>
      </c>
      <c r="BL432" s="31">
        <f t="shared" si="205"/>
        <v>0</v>
      </c>
      <c r="BM432" s="219">
        <f t="shared" si="206"/>
        <v>0</v>
      </c>
      <c r="BN432" s="31">
        <f t="shared" si="207"/>
        <v>0</v>
      </c>
      <c r="BO432" s="219">
        <f t="shared" si="208"/>
        <v>0</v>
      </c>
    </row>
    <row r="433" spans="1:67" x14ac:dyDescent="0.25">
      <c r="A433" s="31" t="s">
        <v>1428</v>
      </c>
      <c r="B433" s="176" t="str">
        <f>VLOOKUP(A433,kurspris!$A$1:$B$992,2,FALSE)</f>
        <v>Matematik 4 för grundskolans årskurs 4-6</v>
      </c>
      <c r="D433" s="60" t="s">
        <v>523</v>
      </c>
      <c r="E433" s="576" t="s">
        <v>2432</v>
      </c>
      <c r="F433" s="31" t="s">
        <v>2273</v>
      </c>
      <c r="G433" t="s">
        <v>2438</v>
      </c>
      <c r="H433" t="s">
        <v>2335</v>
      </c>
      <c r="I433" s="31" t="s">
        <v>2276</v>
      </c>
      <c r="L433" s="38">
        <v>1</v>
      </c>
      <c r="M433">
        <v>7.5</v>
      </c>
      <c r="P433" s="31">
        <v>1</v>
      </c>
      <c r="Q433" s="196">
        <f t="shared" si="211"/>
        <v>0.125</v>
      </c>
      <c r="R433" s="38">
        <v>0.85</v>
      </c>
      <c r="S433" s="280">
        <f t="shared" si="181"/>
        <v>0.10625</v>
      </c>
      <c r="T433" s="31">
        <f>VLOOKUP(A433,'Ansvar kurs'!$A$1:$C$1123,2,FALSE)</f>
        <v>5740</v>
      </c>
      <c r="U433" s="31" t="str">
        <f>VLOOKUP(T433,Orgenheter!$A$1:$C$166,2,FALSE)</f>
        <v>NMD</v>
      </c>
      <c r="V433" s="31" t="str">
        <f>VLOOKUP(T433,Orgenheter!$A$1:$C$166,3,FALSE)</f>
        <v>TekNat</v>
      </c>
      <c r="W433" s="35" t="str">
        <f>VLOOKUP(D433,Program!$A$1:$B$36,2,FALSE)</f>
        <v>Grundlärarprogrammet - grundskolans åk 4-6</v>
      </c>
      <c r="X433" s="40">
        <f>VLOOKUP(A433,kurspris!$A$1:$Q$913,15,FALSE)</f>
        <v>20757</v>
      </c>
      <c r="Y433" s="40">
        <f>VLOOKUP(A433,kurspris!$A$1:$Q$913,16,FALSE)</f>
        <v>36082</v>
      </c>
      <c r="Z433" s="40">
        <f t="shared" si="182"/>
        <v>6428.3374999999996</v>
      </c>
      <c r="AA433" s="40">
        <f>VLOOKUP(A433,kurspris!$A$1:$Q$913,17,FALSE)</f>
        <v>22600</v>
      </c>
      <c r="AB433" s="40">
        <f t="shared" si="183"/>
        <v>2825</v>
      </c>
      <c r="AC433" s="40">
        <f t="shared" si="184"/>
        <v>9253.3374999999996</v>
      </c>
      <c r="AD433" s="31">
        <f>VLOOKUP($A433,kurspris!$A$1:$Q$950,3,FALSE)</f>
        <v>0</v>
      </c>
      <c r="AE433" s="31">
        <f>VLOOKUP($A433,kurspris!$A$1:$Q$950,4,FALSE)</f>
        <v>0</v>
      </c>
      <c r="AF433" s="31">
        <f>VLOOKUP($A433,kurspris!$A$1:$Q$950,5,FALSE)</f>
        <v>0</v>
      </c>
      <c r="AG433" s="31">
        <f>VLOOKUP($A433,kurspris!$A$1:$Q$950,6,FALSE)</f>
        <v>0</v>
      </c>
      <c r="AH433" s="31">
        <f>VLOOKUP($A433,kurspris!$A$1:$Q$950,7,FALSE)</f>
        <v>0</v>
      </c>
      <c r="AI433" s="31">
        <f>VLOOKUP($A433,kurspris!$A$1:$Q$950,8,FALSE)</f>
        <v>1</v>
      </c>
      <c r="AJ433" s="31">
        <f>VLOOKUP($A433,kurspris!$A$1:$Q$950,9,FALSE)</f>
        <v>0</v>
      </c>
      <c r="AK433" s="31">
        <f>VLOOKUP($A433,kurspris!$A$1:$Q$950,10,FALSE)</f>
        <v>0</v>
      </c>
      <c r="AL433" s="31">
        <f>VLOOKUP($A433,kurspris!$A$1:$Q$950,11,FALSE)</f>
        <v>0</v>
      </c>
      <c r="AM433" s="31">
        <f>VLOOKUP($A433,kurspris!$A$1:$Q$950,12,FALSE)</f>
        <v>0</v>
      </c>
      <c r="AN433" s="31">
        <f>VLOOKUP($A433,kurspris!$A$1:$Q$950,13,FALSE)</f>
        <v>0</v>
      </c>
      <c r="AO433" s="31">
        <f>VLOOKUP($A433,kurspris!$A$1:$Q$950,14,FALSE)</f>
        <v>0</v>
      </c>
      <c r="AP433" s="57" t="s">
        <v>2504</v>
      </c>
      <c r="AQ433"/>
      <c r="AR433" s="31">
        <f t="shared" si="185"/>
        <v>0</v>
      </c>
      <c r="AS433" s="219">
        <f t="shared" si="186"/>
        <v>0</v>
      </c>
      <c r="AT433" s="31">
        <f t="shared" si="187"/>
        <v>0</v>
      </c>
      <c r="AU433" s="219">
        <f t="shared" si="188"/>
        <v>0</v>
      </c>
      <c r="AV433" s="31">
        <f t="shared" si="189"/>
        <v>0</v>
      </c>
      <c r="AW433" s="31">
        <f t="shared" si="190"/>
        <v>0</v>
      </c>
      <c r="AX433" s="31">
        <f t="shared" si="191"/>
        <v>0</v>
      </c>
      <c r="AY433" s="219">
        <f t="shared" si="192"/>
        <v>0</v>
      </c>
      <c r="AZ433" s="196">
        <f t="shared" si="193"/>
        <v>0</v>
      </c>
      <c r="BA433" s="219">
        <f t="shared" si="194"/>
        <v>0</v>
      </c>
      <c r="BB433" s="31">
        <f t="shared" si="195"/>
        <v>0.125</v>
      </c>
      <c r="BC433" s="219">
        <f t="shared" si="196"/>
        <v>0.10625</v>
      </c>
      <c r="BD433" s="31">
        <f t="shared" si="197"/>
        <v>0</v>
      </c>
      <c r="BE433" s="219">
        <f t="shared" si="198"/>
        <v>0</v>
      </c>
      <c r="BF433" s="31">
        <f t="shared" si="199"/>
        <v>0</v>
      </c>
      <c r="BG433" s="219">
        <f t="shared" si="200"/>
        <v>0</v>
      </c>
      <c r="BH433" s="31">
        <f t="shared" si="201"/>
        <v>0</v>
      </c>
      <c r="BI433" s="219">
        <f t="shared" si="202"/>
        <v>0</v>
      </c>
      <c r="BJ433" s="31">
        <f t="shared" si="203"/>
        <v>0</v>
      </c>
      <c r="BK433" s="219">
        <f t="shared" si="204"/>
        <v>0</v>
      </c>
      <c r="BL433" s="31">
        <f t="shared" si="205"/>
        <v>0</v>
      </c>
      <c r="BM433" s="219">
        <f t="shared" si="206"/>
        <v>0</v>
      </c>
      <c r="BN433" s="31">
        <f t="shared" si="207"/>
        <v>0</v>
      </c>
      <c r="BO433" s="219">
        <f t="shared" si="208"/>
        <v>0</v>
      </c>
    </row>
    <row r="434" spans="1:67" x14ac:dyDescent="0.25">
      <c r="A434" s="31" t="s">
        <v>1530</v>
      </c>
      <c r="B434" s="176" t="str">
        <f>VLOOKUP(A434,kurspris!$A$1:$B$992,2,FALSE)</f>
        <v>Matematik för förskolan</v>
      </c>
      <c r="D434" s="60" t="s">
        <v>483</v>
      </c>
      <c r="E434" s="576" t="s">
        <v>2432</v>
      </c>
      <c r="F434" s="31" t="s">
        <v>2273</v>
      </c>
      <c r="G434" t="s">
        <v>2439</v>
      </c>
      <c r="H434" t="s">
        <v>2335</v>
      </c>
      <c r="I434" s="31" t="s">
        <v>2276</v>
      </c>
      <c r="L434" s="38">
        <v>1</v>
      </c>
      <c r="M434">
        <v>7.5</v>
      </c>
      <c r="P434" s="31">
        <v>36</v>
      </c>
      <c r="Q434" s="196">
        <f t="shared" si="211"/>
        <v>4.5</v>
      </c>
      <c r="R434" s="38">
        <v>0.85</v>
      </c>
      <c r="S434" s="280">
        <f t="shared" si="181"/>
        <v>3.8249999999999997</v>
      </c>
      <c r="T434" s="31">
        <f>VLOOKUP(A434,'Ansvar kurs'!$A$1:$C$1123,2,FALSE)</f>
        <v>5740</v>
      </c>
      <c r="U434" s="31" t="str">
        <f>VLOOKUP(T434,Orgenheter!$A$1:$C$166,2,FALSE)</f>
        <v>NMD</v>
      </c>
      <c r="V434" s="31" t="str">
        <f>VLOOKUP(T434,Orgenheter!$A$1:$C$166,3,FALSE)</f>
        <v>TekNat</v>
      </c>
      <c r="W434" s="35" t="str">
        <f>VLOOKUP(D434,Program!$A$1:$B$36,2,FALSE)</f>
        <v>Förskollärarprogrammet</v>
      </c>
      <c r="X434" s="40">
        <f>VLOOKUP(A434,kurspris!$A$1:$Q$913,15,FALSE)</f>
        <v>20757</v>
      </c>
      <c r="Y434" s="40">
        <f>VLOOKUP(A434,kurspris!$A$1:$Q$913,16,FALSE)</f>
        <v>36082</v>
      </c>
      <c r="Z434" s="40">
        <f t="shared" si="182"/>
        <v>231420.15</v>
      </c>
      <c r="AA434" s="40">
        <f>VLOOKUP(A434,kurspris!$A$1:$Q$913,17,FALSE)</f>
        <v>22600</v>
      </c>
      <c r="AB434" s="40">
        <f t="shared" si="183"/>
        <v>101700</v>
      </c>
      <c r="AC434" s="40">
        <f t="shared" si="184"/>
        <v>333120.15000000002</v>
      </c>
      <c r="AD434" s="31">
        <f>VLOOKUP($A434,kurspris!$A$1:$Q$950,3,FALSE)</f>
        <v>0</v>
      </c>
      <c r="AE434" s="31">
        <f>VLOOKUP($A434,kurspris!$A$1:$Q$950,4,FALSE)</f>
        <v>0</v>
      </c>
      <c r="AF434" s="31">
        <f>VLOOKUP($A434,kurspris!$A$1:$Q$950,5,FALSE)</f>
        <v>0</v>
      </c>
      <c r="AG434" s="31">
        <f>VLOOKUP($A434,kurspris!$A$1:$Q$950,6,FALSE)</f>
        <v>0</v>
      </c>
      <c r="AH434" s="31">
        <f>VLOOKUP($A434,kurspris!$A$1:$Q$950,7,FALSE)</f>
        <v>0</v>
      </c>
      <c r="AI434" s="31">
        <f>VLOOKUP($A434,kurspris!$A$1:$Q$950,8,FALSE)</f>
        <v>1</v>
      </c>
      <c r="AJ434" s="31">
        <f>VLOOKUP($A434,kurspris!$A$1:$Q$950,9,FALSE)</f>
        <v>0</v>
      </c>
      <c r="AK434" s="31">
        <f>VLOOKUP($A434,kurspris!$A$1:$Q$950,10,FALSE)</f>
        <v>0</v>
      </c>
      <c r="AL434" s="31">
        <f>VLOOKUP($A434,kurspris!$A$1:$Q$950,11,FALSE)</f>
        <v>0</v>
      </c>
      <c r="AM434" s="31">
        <f>VLOOKUP($A434,kurspris!$A$1:$Q$950,12,FALSE)</f>
        <v>0</v>
      </c>
      <c r="AN434" s="31">
        <f>VLOOKUP($A434,kurspris!$A$1:$Q$950,13,FALSE)</f>
        <v>0</v>
      </c>
      <c r="AO434" s="31">
        <f>VLOOKUP($A434,kurspris!$A$1:$Q$950,14,FALSE)</f>
        <v>0</v>
      </c>
      <c r="AP434" s="57" t="s">
        <v>2506</v>
      </c>
      <c r="AQ434"/>
      <c r="AR434" s="31">
        <f t="shared" si="185"/>
        <v>0</v>
      </c>
      <c r="AS434" s="219">
        <f t="shared" si="186"/>
        <v>0</v>
      </c>
      <c r="AT434" s="31">
        <f t="shared" si="187"/>
        <v>0</v>
      </c>
      <c r="AU434" s="219">
        <f t="shared" si="188"/>
        <v>0</v>
      </c>
      <c r="AV434" s="31">
        <f t="shared" si="189"/>
        <v>0</v>
      </c>
      <c r="AW434" s="31">
        <f t="shared" si="190"/>
        <v>0</v>
      </c>
      <c r="AX434" s="31">
        <f t="shared" si="191"/>
        <v>0</v>
      </c>
      <c r="AY434" s="219">
        <f t="shared" si="192"/>
        <v>0</v>
      </c>
      <c r="AZ434" s="196">
        <f t="shared" si="193"/>
        <v>0</v>
      </c>
      <c r="BA434" s="219">
        <f t="shared" si="194"/>
        <v>0</v>
      </c>
      <c r="BB434" s="31">
        <f t="shared" si="195"/>
        <v>4.5</v>
      </c>
      <c r="BC434" s="219">
        <f t="shared" si="196"/>
        <v>3.8249999999999997</v>
      </c>
      <c r="BD434" s="31">
        <f t="shared" si="197"/>
        <v>0</v>
      </c>
      <c r="BE434" s="219">
        <f t="shared" si="198"/>
        <v>0</v>
      </c>
      <c r="BF434" s="31">
        <f t="shared" si="199"/>
        <v>0</v>
      </c>
      <c r="BG434" s="219">
        <f t="shared" si="200"/>
        <v>0</v>
      </c>
      <c r="BH434" s="31">
        <f t="shared" si="201"/>
        <v>0</v>
      </c>
      <c r="BI434" s="219">
        <f t="shared" si="202"/>
        <v>0</v>
      </c>
      <c r="BJ434" s="31">
        <f t="shared" si="203"/>
        <v>0</v>
      </c>
      <c r="BK434" s="219">
        <f t="shared" si="204"/>
        <v>0</v>
      </c>
      <c r="BL434" s="31">
        <f t="shared" si="205"/>
        <v>0</v>
      </c>
      <c r="BM434" s="219">
        <f t="shared" si="206"/>
        <v>0</v>
      </c>
      <c r="BN434" s="31">
        <f t="shared" si="207"/>
        <v>0</v>
      </c>
      <c r="BO434" s="219">
        <f t="shared" si="208"/>
        <v>0</v>
      </c>
    </row>
    <row r="435" spans="1:67" x14ac:dyDescent="0.25">
      <c r="A435" s="31" t="s">
        <v>1530</v>
      </c>
      <c r="B435" s="176" t="str">
        <f>VLOOKUP(A435,kurspris!$A$1:$B$992,2,FALSE)</f>
        <v>Matematik för förskolan</v>
      </c>
      <c r="C435" s="31">
        <v>61503</v>
      </c>
      <c r="D435" s="60" t="s">
        <v>483</v>
      </c>
      <c r="E435" s="60"/>
      <c r="F435" s="57" t="s">
        <v>2274</v>
      </c>
      <c r="H435" s="31" t="s">
        <v>2335</v>
      </c>
      <c r="I435" s="31" t="s">
        <v>2399</v>
      </c>
      <c r="L435" s="38"/>
      <c r="M435">
        <v>7.5</v>
      </c>
      <c r="P435" s="31">
        <v>21</v>
      </c>
      <c r="Q435" s="539">
        <v>2.625</v>
      </c>
      <c r="R435" s="38">
        <v>0.85</v>
      </c>
      <c r="S435" s="280">
        <f t="shared" si="181"/>
        <v>2.2312499999999997</v>
      </c>
      <c r="T435" s="31">
        <f>VLOOKUP(A435,'Ansvar kurs'!$A$1:$C$1123,2,FALSE)</f>
        <v>5740</v>
      </c>
      <c r="U435" s="31" t="str">
        <f>VLOOKUP(T435,Orgenheter!$A$1:$C$166,2,FALSE)</f>
        <v>NMD</v>
      </c>
      <c r="V435" s="31" t="str">
        <f>VLOOKUP(T435,Orgenheter!$A$1:$C$166,3,FALSE)</f>
        <v>TekNat</v>
      </c>
      <c r="W435" s="35" t="str">
        <f>VLOOKUP(D435,Program!$A$1:$B$36,2,FALSE)</f>
        <v>Förskollärarprogrammet</v>
      </c>
      <c r="X435" s="40">
        <f>VLOOKUP(A435,kurspris!$A$1:$Q$913,15,FALSE)</f>
        <v>20757</v>
      </c>
      <c r="Y435" s="40">
        <f>VLOOKUP(A435,kurspris!$A$1:$Q$913,16,FALSE)</f>
        <v>36082</v>
      </c>
      <c r="Z435" s="40">
        <f t="shared" si="182"/>
        <v>134995.08749999999</v>
      </c>
      <c r="AA435" s="40">
        <f>VLOOKUP(A435,kurspris!$A$1:$Q$913,17,FALSE)</f>
        <v>22600</v>
      </c>
      <c r="AB435" s="40">
        <f t="shared" si="183"/>
        <v>59325</v>
      </c>
      <c r="AC435" s="40">
        <f t="shared" si="184"/>
        <v>194320.08749999999</v>
      </c>
      <c r="AD435" s="31">
        <f>VLOOKUP($A435,kurspris!$A$1:$Q$950,3,FALSE)</f>
        <v>0</v>
      </c>
      <c r="AE435" s="31">
        <f>VLOOKUP($A435,kurspris!$A$1:$Q$950,4,FALSE)</f>
        <v>0</v>
      </c>
      <c r="AF435" s="31">
        <f>VLOOKUP($A435,kurspris!$A$1:$Q$950,5,FALSE)</f>
        <v>0</v>
      </c>
      <c r="AG435" s="31">
        <f>VLOOKUP($A435,kurspris!$A$1:$Q$950,6,FALSE)</f>
        <v>0</v>
      </c>
      <c r="AH435" s="31">
        <f>VLOOKUP($A435,kurspris!$A$1:$Q$950,7,FALSE)</f>
        <v>0</v>
      </c>
      <c r="AI435" s="31">
        <f>VLOOKUP($A435,kurspris!$A$1:$Q$950,8,FALSE)</f>
        <v>1</v>
      </c>
      <c r="AJ435" s="31">
        <f>VLOOKUP($A435,kurspris!$A$1:$Q$950,9,FALSE)</f>
        <v>0</v>
      </c>
      <c r="AK435" s="31">
        <f>VLOOKUP($A435,kurspris!$A$1:$Q$950,10,FALSE)</f>
        <v>0</v>
      </c>
      <c r="AL435" s="31">
        <f>VLOOKUP($A435,kurspris!$A$1:$Q$950,11,FALSE)</f>
        <v>0</v>
      </c>
      <c r="AM435" s="31">
        <f>VLOOKUP($A435,kurspris!$A$1:$Q$950,12,FALSE)</f>
        <v>0</v>
      </c>
      <c r="AN435" s="31">
        <f>VLOOKUP($A435,kurspris!$A$1:$Q$950,13,FALSE)</f>
        <v>0</v>
      </c>
      <c r="AO435" s="31">
        <f>VLOOKUP($A435,kurspris!$A$1:$Q$950,14,FALSE)</f>
        <v>0</v>
      </c>
      <c r="AP435" s="57" t="s">
        <v>2402</v>
      </c>
      <c r="AQ435"/>
      <c r="AR435" s="31">
        <f t="shared" si="185"/>
        <v>0</v>
      </c>
      <c r="AS435" s="219">
        <f t="shared" si="186"/>
        <v>0</v>
      </c>
      <c r="AT435" s="31">
        <f t="shared" si="187"/>
        <v>0</v>
      </c>
      <c r="AU435" s="219">
        <f t="shared" si="188"/>
        <v>0</v>
      </c>
      <c r="AV435" s="31">
        <f t="shared" si="189"/>
        <v>0</v>
      </c>
      <c r="AW435" s="31">
        <f t="shared" si="190"/>
        <v>0</v>
      </c>
      <c r="AX435" s="31">
        <f t="shared" si="191"/>
        <v>0</v>
      </c>
      <c r="AY435" s="219">
        <f t="shared" si="192"/>
        <v>0</v>
      </c>
      <c r="AZ435" s="196">
        <f t="shared" si="193"/>
        <v>0</v>
      </c>
      <c r="BA435" s="219">
        <f t="shared" si="194"/>
        <v>0</v>
      </c>
      <c r="BB435" s="31">
        <f t="shared" si="195"/>
        <v>2.625</v>
      </c>
      <c r="BC435" s="219">
        <f t="shared" si="196"/>
        <v>2.2312499999999997</v>
      </c>
      <c r="BD435" s="31">
        <f t="shared" si="197"/>
        <v>0</v>
      </c>
      <c r="BE435" s="219">
        <f t="shared" si="198"/>
        <v>0</v>
      </c>
      <c r="BF435" s="31">
        <f t="shared" si="199"/>
        <v>0</v>
      </c>
      <c r="BG435" s="219">
        <f t="shared" si="200"/>
        <v>0</v>
      </c>
      <c r="BH435" s="31">
        <f t="shared" si="201"/>
        <v>0</v>
      </c>
      <c r="BI435" s="219">
        <f t="shared" si="202"/>
        <v>0</v>
      </c>
      <c r="BJ435" s="31">
        <f t="shared" si="203"/>
        <v>0</v>
      </c>
      <c r="BK435" s="219">
        <f t="shared" si="204"/>
        <v>0</v>
      </c>
      <c r="BL435" s="31">
        <f t="shared" si="205"/>
        <v>0</v>
      </c>
      <c r="BM435" s="219">
        <f t="shared" si="206"/>
        <v>0</v>
      </c>
      <c r="BN435" s="31">
        <f t="shared" si="207"/>
        <v>0</v>
      </c>
      <c r="BO435" s="219">
        <f t="shared" si="208"/>
        <v>0</v>
      </c>
    </row>
    <row r="436" spans="1:67" x14ac:dyDescent="0.25">
      <c r="A436" s="31" t="s">
        <v>1607</v>
      </c>
      <c r="B436" s="176" t="str">
        <f>VLOOKUP(A436,kurspris!$A$1:$B$992,2,FALSE)</f>
        <v>Matematik 2 för lärande och undervisning för förskoleklass och grundskolans årskurs 1-3</v>
      </c>
      <c r="D436" s="31" t="s">
        <v>117</v>
      </c>
      <c r="E436" s="60"/>
      <c r="F436" s="57" t="s">
        <v>2273</v>
      </c>
      <c r="I436" s="60" t="s">
        <v>2275</v>
      </c>
      <c r="L436" s="38">
        <v>0.5</v>
      </c>
      <c r="M436" s="325">
        <v>15</v>
      </c>
      <c r="P436" s="31">
        <v>6</v>
      </c>
      <c r="Q436" s="196">
        <f>(M436/60)*P436</f>
        <v>1.5</v>
      </c>
      <c r="R436" s="38">
        <v>0.8</v>
      </c>
      <c r="S436" s="280">
        <f t="shared" si="181"/>
        <v>1.2000000000000002</v>
      </c>
      <c r="T436" s="31">
        <f>VLOOKUP(A436,'Ansvar kurs'!$A$1:$C$1123,2,FALSE)</f>
        <v>5740</v>
      </c>
      <c r="U436" s="31" t="str">
        <f>VLOOKUP(T436,Orgenheter!$A$1:$C$166,2,FALSE)</f>
        <v>NMD</v>
      </c>
      <c r="V436" s="31" t="str">
        <f>VLOOKUP(T436,Orgenheter!$A$1:$C$166,3,FALSE)</f>
        <v>TekNat</v>
      </c>
      <c r="W436" s="35" t="str">
        <f>VLOOKUP(D436,Program!$A$1:$B$36,2,FALSE)</f>
        <v>Fristående och övriga kurser</v>
      </c>
      <c r="X436" s="40">
        <f>VLOOKUP(A436,kurspris!$A$1:$Q$913,15,FALSE)</f>
        <v>20757</v>
      </c>
      <c r="Y436" s="40">
        <f>VLOOKUP(A436,kurspris!$A$1:$Q$913,16,FALSE)</f>
        <v>36082</v>
      </c>
      <c r="Z436" s="40">
        <f t="shared" si="182"/>
        <v>74433.900000000009</v>
      </c>
      <c r="AA436" s="40">
        <f>VLOOKUP(A436,kurspris!$A$1:$Q$913,17,FALSE)</f>
        <v>22600</v>
      </c>
      <c r="AB436" s="40">
        <f t="shared" si="183"/>
        <v>33900</v>
      </c>
      <c r="AC436" s="40">
        <f t="shared" si="184"/>
        <v>108333.90000000001</v>
      </c>
      <c r="AD436" s="31">
        <f>VLOOKUP($A436,kurspris!$A$1:$Q$950,3,FALSE)</f>
        <v>0</v>
      </c>
      <c r="AE436" s="31">
        <f>VLOOKUP($A436,kurspris!$A$1:$Q$950,4,FALSE)</f>
        <v>0</v>
      </c>
      <c r="AF436" s="31">
        <f>VLOOKUP($A436,kurspris!$A$1:$Q$950,5,FALSE)</f>
        <v>0</v>
      </c>
      <c r="AG436" s="31">
        <f>VLOOKUP($A436,kurspris!$A$1:$Q$950,6,FALSE)</f>
        <v>0</v>
      </c>
      <c r="AH436" s="31">
        <f>VLOOKUP($A436,kurspris!$A$1:$Q$950,7,FALSE)</f>
        <v>0</v>
      </c>
      <c r="AI436" s="31">
        <f>VLOOKUP($A436,kurspris!$A$1:$Q$950,8,FALSE)</f>
        <v>1</v>
      </c>
      <c r="AJ436" s="31">
        <f>VLOOKUP($A436,kurspris!$A$1:$Q$950,9,FALSE)</f>
        <v>0</v>
      </c>
      <c r="AK436" s="31">
        <f>VLOOKUP($A436,kurspris!$A$1:$Q$950,10,FALSE)</f>
        <v>0</v>
      </c>
      <c r="AL436" s="31">
        <f>VLOOKUP($A436,kurspris!$A$1:$Q$950,11,FALSE)</f>
        <v>0</v>
      </c>
      <c r="AM436" s="31">
        <f>VLOOKUP($A436,kurspris!$A$1:$Q$950,12,FALSE)</f>
        <v>0</v>
      </c>
      <c r="AN436" s="31">
        <f>VLOOKUP($A436,kurspris!$A$1:$Q$950,13,FALSE)</f>
        <v>0</v>
      </c>
      <c r="AO436" s="31">
        <f>VLOOKUP($A436,kurspris!$A$1:$Q$950,14,FALSE)</f>
        <v>0</v>
      </c>
      <c r="AP436" s="57" t="s">
        <v>2267</v>
      </c>
      <c r="AQ436" s="37"/>
      <c r="AR436" s="31">
        <f t="shared" si="185"/>
        <v>0</v>
      </c>
      <c r="AS436" s="219">
        <f t="shared" si="186"/>
        <v>0</v>
      </c>
      <c r="AT436" s="31">
        <f t="shared" si="187"/>
        <v>0</v>
      </c>
      <c r="AU436" s="219">
        <f t="shared" si="188"/>
        <v>0</v>
      </c>
      <c r="AV436" s="31">
        <f t="shared" si="189"/>
        <v>0</v>
      </c>
      <c r="AW436" s="31">
        <f t="shared" si="190"/>
        <v>0</v>
      </c>
      <c r="AX436" s="31">
        <f t="shared" si="191"/>
        <v>0</v>
      </c>
      <c r="AY436" s="219">
        <f t="shared" si="192"/>
        <v>0</v>
      </c>
      <c r="AZ436" s="196">
        <f t="shared" si="193"/>
        <v>0</v>
      </c>
      <c r="BA436" s="219">
        <f t="shared" si="194"/>
        <v>0</v>
      </c>
      <c r="BB436" s="31">
        <f t="shared" si="195"/>
        <v>1.5</v>
      </c>
      <c r="BC436" s="219">
        <f t="shared" si="196"/>
        <v>1.2000000000000002</v>
      </c>
      <c r="BD436" s="31">
        <f t="shared" si="197"/>
        <v>0</v>
      </c>
      <c r="BE436" s="219">
        <f t="shared" si="198"/>
        <v>0</v>
      </c>
      <c r="BF436" s="31">
        <f t="shared" si="199"/>
        <v>0</v>
      </c>
      <c r="BG436" s="219">
        <f t="shared" si="200"/>
        <v>0</v>
      </c>
      <c r="BH436" s="31">
        <f t="shared" si="201"/>
        <v>0</v>
      </c>
      <c r="BI436" s="219">
        <f t="shared" si="202"/>
        <v>0</v>
      </c>
      <c r="BJ436" s="31">
        <f t="shared" si="203"/>
        <v>0</v>
      </c>
      <c r="BK436" s="219">
        <f t="shared" si="204"/>
        <v>0</v>
      </c>
      <c r="BL436" s="31">
        <f t="shared" si="205"/>
        <v>0</v>
      </c>
      <c r="BM436" s="219">
        <f t="shared" si="206"/>
        <v>0</v>
      </c>
      <c r="BN436" s="31">
        <f t="shared" si="207"/>
        <v>0</v>
      </c>
      <c r="BO436" s="219">
        <f t="shared" si="208"/>
        <v>0</v>
      </c>
    </row>
    <row r="437" spans="1:67" x14ac:dyDescent="0.25">
      <c r="A437" s="31" t="s">
        <v>1608</v>
      </c>
      <c r="B437" s="176" t="str">
        <f>VLOOKUP(A437,kurspris!$A$1:$B$992,2,FALSE)</f>
        <v>Matematik 2 för lärande och undervisning för grundskolans årskurs 4-6</v>
      </c>
      <c r="C437" s="35"/>
      <c r="D437" s="31" t="s">
        <v>117</v>
      </c>
      <c r="E437" s="60"/>
      <c r="F437" s="57" t="s">
        <v>2273</v>
      </c>
      <c r="I437" s="60" t="s">
        <v>2275</v>
      </c>
      <c r="L437" s="38">
        <v>0.5</v>
      </c>
      <c r="M437" s="325">
        <v>15</v>
      </c>
      <c r="P437" s="31">
        <v>6</v>
      </c>
      <c r="Q437" s="196">
        <f>(M437/60)*P437</f>
        <v>1.5</v>
      </c>
      <c r="R437" s="38">
        <v>0.8</v>
      </c>
      <c r="S437" s="280">
        <f t="shared" si="181"/>
        <v>1.2000000000000002</v>
      </c>
      <c r="T437" s="31">
        <f>VLOOKUP(A437,'Ansvar kurs'!$A$1:$C$1123,2,FALSE)</f>
        <v>5740</v>
      </c>
      <c r="U437" s="31" t="str">
        <f>VLOOKUP(T437,Orgenheter!$A$1:$C$166,2,FALSE)</f>
        <v>NMD</v>
      </c>
      <c r="V437" s="31" t="str">
        <f>VLOOKUP(T437,Orgenheter!$A$1:$C$166,3,FALSE)</f>
        <v>TekNat</v>
      </c>
      <c r="W437" s="35" t="str">
        <f>VLOOKUP(D437,Program!$A$1:$B$36,2,FALSE)</f>
        <v>Fristående och övriga kurser</v>
      </c>
      <c r="X437" s="40">
        <f>VLOOKUP(A437,kurspris!$A$1:$Q$913,15,FALSE)</f>
        <v>20757</v>
      </c>
      <c r="Y437" s="40">
        <f>VLOOKUP(A437,kurspris!$A$1:$Q$913,16,FALSE)</f>
        <v>36082</v>
      </c>
      <c r="Z437" s="40">
        <f t="shared" si="182"/>
        <v>74433.900000000009</v>
      </c>
      <c r="AA437" s="40">
        <f>VLOOKUP(A437,kurspris!$A$1:$Q$913,17,FALSE)</f>
        <v>22600</v>
      </c>
      <c r="AB437" s="40">
        <f t="shared" si="183"/>
        <v>33900</v>
      </c>
      <c r="AC437" s="40">
        <f t="shared" si="184"/>
        <v>108333.90000000001</v>
      </c>
      <c r="AD437" s="31">
        <f>VLOOKUP($A437,kurspris!$A$1:$Q$950,3,FALSE)</f>
        <v>0</v>
      </c>
      <c r="AE437" s="31">
        <f>VLOOKUP($A437,kurspris!$A$1:$Q$950,4,FALSE)</f>
        <v>0</v>
      </c>
      <c r="AF437" s="31">
        <f>VLOOKUP($A437,kurspris!$A$1:$Q$950,5,FALSE)</f>
        <v>0</v>
      </c>
      <c r="AG437" s="31">
        <f>VLOOKUP($A437,kurspris!$A$1:$Q$950,6,FALSE)</f>
        <v>0</v>
      </c>
      <c r="AH437" s="31">
        <f>VLOOKUP($A437,kurspris!$A$1:$Q$950,7,FALSE)</f>
        <v>0</v>
      </c>
      <c r="AI437" s="31">
        <f>VLOOKUP($A437,kurspris!$A$1:$Q$950,8,FALSE)</f>
        <v>1</v>
      </c>
      <c r="AJ437" s="31">
        <f>VLOOKUP($A437,kurspris!$A$1:$Q$950,9,FALSE)</f>
        <v>0</v>
      </c>
      <c r="AK437" s="31">
        <f>VLOOKUP($A437,kurspris!$A$1:$Q$950,10,FALSE)</f>
        <v>0</v>
      </c>
      <c r="AL437" s="31">
        <f>VLOOKUP($A437,kurspris!$A$1:$Q$950,11,FALSE)</f>
        <v>0</v>
      </c>
      <c r="AM437" s="31">
        <f>VLOOKUP($A437,kurspris!$A$1:$Q$950,12,FALSE)</f>
        <v>0</v>
      </c>
      <c r="AN437" s="31">
        <f>VLOOKUP($A437,kurspris!$A$1:$Q$950,13,FALSE)</f>
        <v>0</v>
      </c>
      <c r="AO437" s="31">
        <f>VLOOKUP($A437,kurspris!$A$1:$Q$950,14,FALSE)</f>
        <v>0</v>
      </c>
      <c r="AP437" s="57" t="s">
        <v>2267</v>
      </c>
      <c r="AQ437"/>
      <c r="AR437" s="31">
        <f t="shared" si="185"/>
        <v>0</v>
      </c>
      <c r="AS437" s="219">
        <f t="shared" si="186"/>
        <v>0</v>
      </c>
      <c r="AT437" s="31">
        <f t="shared" si="187"/>
        <v>0</v>
      </c>
      <c r="AU437" s="219">
        <f t="shared" si="188"/>
        <v>0</v>
      </c>
      <c r="AV437" s="31">
        <f t="shared" si="189"/>
        <v>0</v>
      </c>
      <c r="AW437" s="31">
        <f t="shared" si="190"/>
        <v>0</v>
      </c>
      <c r="AX437" s="31">
        <f t="shared" si="191"/>
        <v>0</v>
      </c>
      <c r="AY437" s="219">
        <f t="shared" si="192"/>
        <v>0</v>
      </c>
      <c r="AZ437" s="196">
        <f t="shared" si="193"/>
        <v>0</v>
      </c>
      <c r="BA437" s="219">
        <f t="shared" si="194"/>
        <v>0</v>
      </c>
      <c r="BB437" s="31">
        <f t="shared" si="195"/>
        <v>1.5</v>
      </c>
      <c r="BC437" s="219">
        <f t="shared" si="196"/>
        <v>1.2000000000000002</v>
      </c>
      <c r="BD437" s="31">
        <f t="shared" si="197"/>
        <v>0</v>
      </c>
      <c r="BE437" s="219">
        <f t="shared" si="198"/>
        <v>0</v>
      </c>
      <c r="BF437" s="31">
        <f t="shared" si="199"/>
        <v>0</v>
      </c>
      <c r="BG437" s="219">
        <f t="shared" si="200"/>
        <v>0</v>
      </c>
      <c r="BH437" s="31">
        <f t="shared" si="201"/>
        <v>0</v>
      </c>
      <c r="BI437" s="219">
        <f t="shared" si="202"/>
        <v>0</v>
      </c>
      <c r="BJ437" s="31">
        <f t="shared" si="203"/>
        <v>0</v>
      </c>
      <c r="BK437" s="219">
        <f t="shared" si="204"/>
        <v>0</v>
      </c>
      <c r="BL437" s="31">
        <f t="shared" si="205"/>
        <v>0</v>
      </c>
      <c r="BM437" s="219">
        <f t="shared" si="206"/>
        <v>0</v>
      </c>
      <c r="BN437" s="31">
        <f t="shared" si="207"/>
        <v>0</v>
      </c>
      <c r="BO437" s="219">
        <f t="shared" si="208"/>
        <v>0</v>
      </c>
    </row>
    <row r="438" spans="1:67" x14ac:dyDescent="0.25">
      <c r="A438" s="31" t="s">
        <v>1605</v>
      </c>
      <c r="B438" s="176" t="str">
        <f>VLOOKUP(A438,kurspris!$A$1:$B$992,2,FALSE)</f>
        <v>Matematik 1 för lärande och undervisning för förskoleklass och grundskolans årskurs 1-6</v>
      </c>
      <c r="C438" s="31">
        <v>61500</v>
      </c>
      <c r="D438" s="60" t="s">
        <v>117</v>
      </c>
      <c r="E438" s="60"/>
      <c r="F438" s="57" t="s">
        <v>2274</v>
      </c>
      <c r="H438" s="31" t="s">
        <v>2335</v>
      </c>
      <c r="I438" s="31" t="s">
        <v>2275</v>
      </c>
      <c r="L438" s="38"/>
      <c r="M438">
        <v>15</v>
      </c>
      <c r="P438" s="31">
        <v>6</v>
      </c>
      <c r="Q438" s="539">
        <v>1.5</v>
      </c>
      <c r="R438" s="38">
        <v>0.8</v>
      </c>
      <c r="S438" s="280">
        <f t="shared" si="181"/>
        <v>1.2000000000000002</v>
      </c>
      <c r="T438" s="31">
        <f>VLOOKUP(A438,'Ansvar kurs'!$A$1:$C$1123,2,FALSE)</f>
        <v>5740</v>
      </c>
      <c r="U438" s="31" t="str">
        <f>VLOOKUP(T438,Orgenheter!$A$1:$C$166,2,FALSE)</f>
        <v>NMD</v>
      </c>
      <c r="V438" s="31" t="str">
        <f>VLOOKUP(T438,Orgenheter!$A$1:$C$166,3,FALSE)</f>
        <v>TekNat</v>
      </c>
      <c r="W438" s="35" t="str">
        <f>VLOOKUP(D438,Program!$A$1:$B$36,2,FALSE)</f>
        <v>Fristående och övriga kurser</v>
      </c>
      <c r="X438" s="40">
        <f>VLOOKUP(A438,kurspris!$A$1:$Q$913,15,FALSE)</f>
        <v>20757</v>
      </c>
      <c r="Y438" s="40">
        <f>VLOOKUP(A438,kurspris!$A$1:$Q$913,16,FALSE)</f>
        <v>36082</v>
      </c>
      <c r="Z438" s="40">
        <f t="shared" si="182"/>
        <v>74433.900000000009</v>
      </c>
      <c r="AA438" s="40">
        <f>VLOOKUP(A438,kurspris!$A$1:$Q$913,17,FALSE)</f>
        <v>22600</v>
      </c>
      <c r="AB438" s="40">
        <f t="shared" si="183"/>
        <v>33900</v>
      </c>
      <c r="AC438" s="40">
        <f t="shared" si="184"/>
        <v>108333.90000000001</v>
      </c>
      <c r="AD438" s="31">
        <f>VLOOKUP($A438,kurspris!$A$1:$Q$950,3,FALSE)</f>
        <v>0</v>
      </c>
      <c r="AE438" s="31">
        <f>VLOOKUP($A438,kurspris!$A$1:$Q$950,4,FALSE)</f>
        <v>0</v>
      </c>
      <c r="AF438" s="31">
        <f>VLOOKUP($A438,kurspris!$A$1:$Q$950,5,FALSE)</f>
        <v>0</v>
      </c>
      <c r="AG438" s="31">
        <f>VLOOKUP($A438,kurspris!$A$1:$Q$950,6,FALSE)</f>
        <v>0</v>
      </c>
      <c r="AH438" s="31">
        <f>VLOOKUP($A438,kurspris!$A$1:$Q$950,7,FALSE)</f>
        <v>0</v>
      </c>
      <c r="AI438" s="31">
        <f>VLOOKUP($A438,kurspris!$A$1:$Q$950,8,FALSE)</f>
        <v>1</v>
      </c>
      <c r="AJ438" s="31">
        <f>VLOOKUP($A438,kurspris!$A$1:$Q$950,9,FALSE)</f>
        <v>0</v>
      </c>
      <c r="AK438" s="31">
        <f>VLOOKUP($A438,kurspris!$A$1:$Q$950,10,FALSE)</f>
        <v>0</v>
      </c>
      <c r="AL438" s="31">
        <f>VLOOKUP($A438,kurspris!$A$1:$Q$950,11,FALSE)</f>
        <v>0</v>
      </c>
      <c r="AM438" s="31">
        <f>VLOOKUP($A438,kurspris!$A$1:$Q$950,12,FALSE)</f>
        <v>0</v>
      </c>
      <c r="AN438" s="31">
        <f>VLOOKUP($A438,kurspris!$A$1:$Q$950,13,FALSE)</f>
        <v>0</v>
      </c>
      <c r="AO438" s="31">
        <f>VLOOKUP($A438,kurspris!$A$1:$Q$950,14,FALSE)</f>
        <v>0</v>
      </c>
      <c r="AP438" s="57" t="s">
        <v>2402</v>
      </c>
      <c r="AQ438"/>
      <c r="AR438" s="31">
        <f t="shared" si="185"/>
        <v>0</v>
      </c>
      <c r="AS438" s="219">
        <f t="shared" si="186"/>
        <v>0</v>
      </c>
      <c r="AT438" s="31">
        <f t="shared" si="187"/>
        <v>0</v>
      </c>
      <c r="AU438" s="219">
        <f t="shared" si="188"/>
        <v>0</v>
      </c>
      <c r="AV438" s="31">
        <f t="shared" si="189"/>
        <v>0</v>
      </c>
      <c r="AW438" s="31">
        <f t="shared" si="190"/>
        <v>0</v>
      </c>
      <c r="AX438" s="31">
        <f t="shared" si="191"/>
        <v>0</v>
      </c>
      <c r="AY438" s="219">
        <f t="shared" si="192"/>
        <v>0</v>
      </c>
      <c r="AZ438" s="196">
        <f t="shared" si="193"/>
        <v>0</v>
      </c>
      <c r="BA438" s="219">
        <f t="shared" si="194"/>
        <v>0</v>
      </c>
      <c r="BB438" s="31">
        <f t="shared" si="195"/>
        <v>1.5</v>
      </c>
      <c r="BC438" s="219">
        <f t="shared" si="196"/>
        <v>1.2000000000000002</v>
      </c>
      <c r="BD438" s="31">
        <f t="shared" si="197"/>
        <v>0</v>
      </c>
      <c r="BE438" s="219">
        <f t="shared" si="198"/>
        <v>0</v>
      </c>
      <c r="BF438" s="31">
        <f t="shared" si="199"/>
        <v>0</v>
      </c>
      <c r="BG438" s="219">
        <f t="shared" si="200"/>
        <v>0</v>
      </c>
      <c r="BH438" s="31">
        <f t="shared" si="201"/>
        <v>0</v>
      </c>
      <c r="BI438" s="219">
        <f t="shared" si="202"/>
        <v>0</v>
      </c>
      <c r="BJ438" s="31">
        <f t="shared" si="203"/>
        <v>0</v>
      </c>
      <c r="BK438" s="219">
        <f t="shared" si="204"/>
        <v>0</v>
      </c>
      <c r="BL438" s="31">
        <f t="shared" si="205"/>
        <v>0</v>
      </c>
      <c r="BM438" s="219">
        <f t="shared" si="206"/>
        <v>0</v>
      </c>
      <c r="BN438" s="31">
        <f t="shared" si="207"/>
        <v>0</v>
      </c>
      <c r="BO438" s="219">
        <f t="shared" si="208"/>
        <v>0</v>
      </c>
    </row>
    <row r="439" spans="1:67" x14ac:dyDescent="0.25">
      <c r="A439" s="31" t="s">
        <v>1872</v>
      </c>
      <c r="B439" s="176" t="str">
        <f>VLOOKUP(A439,kurspris!$A$1:$B$992,2,FALSE)</f>
        <v>Matematikdidaktik 1 för grundskolans åk 7-9 och gymnasiet</v>
      </c>
      <c r="C439" s="31">
        <v>61502</v>
      </c>
      <c r="D439" s="60" t="s">
        <v>117</v>
      </c>
      <c r="E439" s="60"/>
      <c r="F439" s="57" t="s">
        <v>2274</v>
      </c>
      <c r="H439" s="31" t="s">
        <v>2335</v>
      </c>
      <c r="I439" s="31" t="s">
        <v>2399</v>
      </c>
      <c r="L439" s="38"/>
      <c r="M439">
        <v>7.5</v>
      </c>
      <c r="P439" s="31">
        <v>1</v>
      </c>
      <c r="Q439" s="539">
        <v>0.125</v>
      </c>
      <c r="R439" s="38">
        <v>0.8</v>
      </c>
      <c r="S439" s="280">
        <f t="shared" si="181"/>
        <v>0.1</v>
      </c>
      <c r="T439" s="31">
        <f>VLOOKUP(A439,'Ansvar kurs'!$A$1:$C$1123,2,FALSE)</f>
        <v>5740</v>
      </c>
      <c r="U439" s="31" t="str">
        <f>VLOOKUP(T439,Orgenheter!$A$1:$C$166,2,FALSE)</f>
        <v>NMD</v>
      </c>
      <c r="V439" s="31" t="str">
        <f>VLOOKUP(T439,Orgenheter!$A$1:$C$166,3,FALSE)</f>
        <v>TekNat</v>
      </c>
      <c r="W439" s="35" t="str">
        <f>VLOOKUP(D439,Program!$A$1:$B$36,2,FALSE)</f>
        <v>Fristående och övriga kurser</v>
      </c>
      <c r="X439" s="40">
        <f>VLOOKUP(A439,kurspris!$A$1:$Q$913,15,FALSE)</f>
        <v>20757</v>
      </c>
      <c r="Y439" s="40">
        <f>VLOOKUP(A439,kurspris!$A$1:$Q$913,16,FALSE)</f>
        <v>36082</v>
      </c>
      <c r="Z439" s="40">
        <f t="shared" si="182"/>
        <v>6202.8250000000007</v>
      </c>
      <c r="AA439" s="40">
        <f>VLOOKUP(A439,kurspris!$A$1:$Q$913,17,FALSE)</f>
        <v>22600</v>
      </c>
      <c r="AB439" s="40">
        <f t="shared" si="183"/>
        <v>2825</v>
      </c>
      <c r="AC439" s="40">
        <f t="shared" si="184"/>
        <v>9027.8250000000007</v>
      </c>
      <c r="AD439" s="31">
        <f>VLOOKUP($A439,kurspris!$A$1:$Q$950,3,FALSE)</f>
        <v>0</v>
      </c>
      <c r="AE439" s="31">
        <f>VLOOKUP($A439,kurspris!$A$1:$Q$950,4,FALSE)</f>
        <v>0</v>
      </c>
      <c r="AF439" s="31">
        <f>VLOOKUP($A439,kurspris!$A$1:$Q$950,5,FALSE)</f>
        <v>0</v>
      </c>
      <c r="AG439" s="31">
        <f>VLOOKUP($A439,kurspris!$A$1:$Q$950,6,FALSE)</f>
        <v>0</v>
      </c>
      <c r="AH439" s="31">
        <f>VLOOKUP($A439,kurspris!$A$1:$Q$950,7,FALSE)</f>
        <v>0</v>
      </c>
      <c r="AI439" s="31">
        <f>VLOOKUP($A439,kurspris!$A$1:$Q$950,8,FALSE)</f>
        <v>1</v>
      </c>
      <c r="AJ439" s="31">
        <f>VLOOKUP($A439,kurspris!$A$1:$Q$950,9,FALSE)</f>
        <v>0</v>
      </c>
      <c r="AK439" s="31">
        <f>VLOOKUP($A439,kurspris!$A$1:$Q$950,10,FALSE)</f>
        <v>0</v>
      </c>
      <c r="AL439" s="31">
        <f>VLOOKUP($A439,kurspris!$A$1:$Q$950,11,FALSE)</f>
        <v>0</v>
      </c>
      <c r="AM439" s="31">
        <f>VLOOKUP($A439,kurspris!$A$1:$Q$950,12,FALSE)</f>
        <v>0</v>
      </c>
      <c r="AN439" s="31">
        <f>VLOOKUP($A439,kurspris!$A$1:$Q$950,13,FALSE)</f>
        <v>0</v>
      </c>
      <c r="AO439" s="31">
        <f>VLOOKUP($A439,kurspris!$A$1:$Q$950,14,FALSE)</f>
        <v>0</v>
      </c>
      <c r="AP439" s="57" t="s">
        <v>2402</v>
      </c>
      <c r="AQ439"/>
      <c r="AR439" s="31">
        <f t="shared" si="185"/>
        <v>0</v>
      </c>
      <c r="AS439" s="219">
        <f t="shared" si="186"/>
        <v>0</v>
      </c>
      <c r="AT439" s="31">
        <f t="shared" si="187"/>
        <v>0</v>
      </c>
      <c r="AU439" s="219">
        <f t="shared" si="188"/>
        <v>0</v>
      </c>
      <c r="AV439" s="31">
        <f t="shared" si="189"/>
        <v>0</v>
      </c>
      <c r="AW439" s="31">
        <f t="shared" si="190"/>
        <v>0</v>
      </c>
      <c r="AX439" s="31">
        <f t="shared" si="191"/>
        <v>0</v>
      </c>
      <c r="AY439" s="219">
        <f t="shared" si="192"/>
        <v>0</v>
      </c>
      <c r="AZ439" s="196">
        <f t="shared" si="193"/>
        <v>0</v>
      </c>
      <c r="BA439" s="219">
        <f t="shared" si="194"/>
        <v>0</v>
      </c>
      <c r="BB439" s="31">
        <f t="shared" si="195"/>
        <v>0.125</v>
      </c>
      <c r="BC439" s="219">
        <f t="shared" si="196"/>
        <v>0.1</v>
      </c>
      <c r="BD439" s="31">
        <f t="shared" si="197"/>
        <v>0</v>
      </c>
      <c r="BE439" s="219">
        <f t="shared" si="198"/>
        <v>0</v>
      </c>
      <c r="BF439" s="31">
        <f t="shared" si="199"/>
        <v>0</v>
      </c>
      <c r="BG439" s="219">
        <f t="shared" si="200"/>
        <v>0</v>
      </c>
      <c r="BH439" s="31">
        <f t="shared" si="201"/>
        <v>0</v>
      </c>
      <c r="BI439" s="219">
        <f t="shared" si="202"/>
        <v>0</v>
      </c>
      <c r="BJ439" s="31">
        <f t="shared" si="203"/>
        <v>0</v>
      </c>
      <c r="BK439" s="219">
        <f t="shared" si="204"/>
        <v>0</v>
      </c>
      <c r="BL439" s="31">
        <f t="shared" si="205"/>
        <v>0</v>
      </c>
      <c r="BM439" s="219">
        <f t="shared" si="206"/>
        <v>0</v>
      </c>
      <c r="BN439" s="31">
        <f t="shared" si="207"/>
        <v>0</v>
      </c>
      <c r="BO439" s="219">
        <f t="shared" si="208"/>
        <v>0</v>
      </c>
    </row>
    <row r="440" spans="1:67" x14ac:dyDescent="0.25">
      <c r="A440" s="31" t="s">
        <v>1872</v>
      </c>
      <c r="B440" s="176" t="str">
        <f>VLOOKUP(A440,kurspris!$A$1:$B$992,2,FALSE)</f>
        <v>Matematikdidaktik 1 för grundskolans åk 7-9 och gymnasiet</v>
      </c>
      <c r="C440" s="31">
        <v>61506</v>
      </c>
      <c r="D440" s="60" t="s">
        <v>482</v>
      </c>
      <c r="E440" s="60"/>
      <c r="F440" s="57" t="s">
        <v>2274</v>
      </c>
      <c r="H440" s="31" t="s">
        <v>2335</v>
      </c>
      <c r="I440" s="31" t="s">
        <v>2399</v>
      </c>
      <c r="J440" s="31" t="s">
        <v>2234</v>
      </c>
      <c r="L440" s="38"/>
      <c r="M440">
        <v>7.5</v>
      </c>
      <c r="P440" s="31">
        <v>1</v>
      </c>
      <c r="Q440" s="539">
        <v>0.125</v>
      </c>
      <c r="R440" s="38">
        <v>0.85</v>
      </c>
      <c r="S440" s="280">
        <f t="shared" si="181"/>
        <v>0.10625</v>
      </c>
      <c r="T440" s="31">
        <f>VLOOKUP(A440,'Ansvar kurs'!$A$1:$C$1123,2,FALSE)</f>
        <v>5740</v>
      </c>
      <c r="U440" s="31" t="str">
        <f>VLOOKUP(T440,Orgenheter!$A$1:$C$166,2,FALSE)</f>
        <v>NMD</v>
      </c>
      <c r="V440" s="31" t="str">
        <f>VLOOKUP(T440,Orgenheter!$A$1:$C$166,3,FALSE)</f>
        <v>TekNat</v>
      </c>
      <c r="W440" s="35" t="str">
        <f>VLOOKUP(D440,Program!$A$1:$B$36,2,FALSE)</f>
        <v>Ämneslärarprogrammet - Gy</v>
      </c>
      <c r="X440" s="40">
        <f>VLOOKUP(A440,kurspris!$A$1:$Q$913,15,FALSE)</f>
        <v>20757</v>
      </c>
      <c r="Y440" s="40">
        <f>VLOOKUP(A440,kurspris!$A$1:$Q$913,16,FALSE)</f>
        <v>36082</v>
      </c>
      <c r="Z440" s="40">
        <f t="shared" si="182"/>
        <v>6428.3374999999996</v>
      </c>
      <c r="AA440" s="40">
        <f>VLOOKUP(A440,kurspris!$A$1:$Q$913,17,FALSE)</f>
        <v>22600</v>
      </c>
      <c r="AB440" s="40">
        <f t="shared" si="183"/>
        <v>2825</v>
      </c>
      <c r="AC440" s="40">
        <f t="shared" si="184"/>
        <v>9253.3374999999996</v>
      </c>
      <c r="AD440" s="31">
        <f>VLOOKUP($A440,kurspris!$A$1:$Q$950,3,FALSE)</f>
        <v>0</v>
      </c>
      <c r="AE440" s="31">
        <f>VLOOKUP($A440,kurspris!$A$1:$Q$950,4,FALSE)</f>
        <v>0</v>
      </c>
      <c r="AF440" s="31">
        <f>VLOOKUP($A440,kurspris!$A$1:$Q$950,5,FALSE)</f>
        <v>0</v>
      </c>
      <c r="AG440" s="31">
        <f>VLOOKUP($A440,kurspris!$A$1:$Q$950,6,FALSE)</f>
        <v>0</v>
      </c>
      <c r="AH440" s="31">
        <f>VLOOKUP($A440,kurspris!$A$1:$Q$950,7,FALSE)</f>
        <v>0</v>
      </c>
      <c r="AI440" s="31">
        <f>VLOOKUP($A440,kurspris!$A$1:$Q$950,8,FALSE)</f>
        <v>1</v>
      </c>
      <c r="AJ440" s="31">
        <f>VLOOKUP($A440,kurspris!$A$1:$Q$950,9,FALSE)</f>
        <v>0</v>
      </c>
      <c r="AK440" s="31">
        <f>VLOOKUP($A440,kurspris!$A$1:$Q$950,10,FALSE)</f>
        <v>0</v>
      </c>
      <c r="AL440" s="31">
        <f>VLOOKUP($A440,kurspris!$A$1:$Q$950,11,FALSE)</f>
        <v>0</v>
      </c>
      <c r="AM440" s="31">
        <f>VLOOKUP($A440,kurspris!$A$1:$Q$950,12,FALSE)</f>
        <v>0</v>
      </c>
      <c r="AN440" s="31">
        <f>VLOOKUP($A440,kurspris!$A$1:$Q$950,13,FALSE)</f>
        <v>0</v>
      </c>
      <c r="AO440" s="31">
        <f>VLOOKUP($A440,kurspris!$A$1:$Q$950,14,FALSE)</f>
        <v>0</v>
      </c>
      <c r="AP440" s="57" t="s">
        <v>2402</v>
      </c>
      <c r="AQ440"/>
      <c r="AR440" s="31">
        <f t="shared" si="185"/>
        <v>0</v>
      </c>
      <c r="AS440" s="219">
        <f t="shared" si="186"/>
        <v>0</v>
      </c>
      <c r="AT440" s="31">
        <f t="shared" si="187"/>
        <v>0</v>
      </c>
      <c r="AU440" s="219">
        <f t="shared" si="188"/>
        <v>0</v>
      </c>
      <c r="AV440" s="31">
        <f t="shared" si="189"/>
        <v>0</v>
      </c>
      <c r="AW440" s="31">
        <f t="shared" si="190"/>
        <v>0</v>
      </c>
      <c r="AX440" s="31">
        <f t="shared" si="191"/>
        <v>0</v>
      </c>
      <c r="AY440" s="219">
        <f t="shared" si="192"/>
        <v>0</v>
      </c>
      <c r="AZ440" s="196">
        <f t="shared" si="193"/>
        <v>0</v>
      </c>
      <c r="BA440" s="219">
        <f t="shared" si="194"/>
        <v>0</v>
      </c>
      <c r="BB440" s="31">
        <f t="shared" si="195"/>
        <v>0.125</v>
      </c>
      <c r="BC440" s="219">
        <f t="shared" si="196"/>
        <v>0.10625</v>
      </c>
      <c r="BD440" s="31">
        <f t="shared" si="197"/>
        <v>0</v>
      </c>
      <c r="BE440" s="219">
        <f t="shared" si="198"/>
        <v>0</v>
      </c>
      <c r="BF440" s="31">
        <f t="shared" si="199"/>
        <v>0</v>
      </c>
      <c r="BG440" s="219">
        <f t="shared" si="200"/>
        <v>0</v>
      </c>
      <c r="BH440" s="31">
        <f t="shared" si="201"/>
        <v>0</v>
      </c>
      <c r="BI440" s="219">
        <f t="shared" si="202"/>
        <v>0</v>
      </c>
      <c r="BJ440" s="31">
        <f t="shared" si="203"/>
        <v>0</v>
      </c>
      <c r="BK440" s="219">
        <f t="shared" si="204"/>
        <v>0</v>
      </c>
      <c r="BL440" s="31">
        <f t="shared" si="205"/>
        <v>0</v>
      </c>
      <c r="BM440" s="219">
        <f t="shared" si="206"/>
        <v>0</v>
      </c>
      <c r="BN440" s="31">
        <f t="shared" si="207"/>
        <v>0</v>
      </c>
      <c r="BO440" s="219">
        <f t="shared" si="208"/>
        <v>0</v>
      </c>
    </row>
    <row r="441" spans="1:67" x14ac:dyDescent="0.25">
      <c r="A441" s="31" t="s">
        <v>1872</v>
      </c>
      <c r="B441" s="176" t="str">
        <f>VLOOKUP(A441,kurspris!$A$1:$B$992,2,FALSE)</f>
        <v>Matematikdidaktik 1 för grundskolans åk 7-9 och gymnasiet</v>
      </c>
      <c r="C441" s="31">
        <v>61506</v>
      </c>
      <c r="D441" s="60" t="s">
        <v>482</v>
      </c>
      <c r="E441" s="60"/>
      <c r="F441" s="57" t="s">
        <v>2274</v>
      </c>
      <c r="H441" s="31" t="s">
        <v>2335</v>
      </c>
      <c r="I441" s="31" t="s">
        <v>2399</v>
      </c>
      <c r="J441" s="31" t="s">
        <v>2232</v>
      </c>
      <c r="L441" s="38"/>
      <c r="M441">
        <v>7.5</v>
      </c>
      <c r="P441" s="31">
        <v>2</v>
      </c>
      <c r="Q441" s="539">
        <v>0.25</v>
      </c>
      <c r="R441" s="38">
        <v>0.85</v>
      </c>
      <c r="S441" s="280">
        <f t="shared" si="181"/>
        <v>0.21249999999999999</v>
      </c>
      <c r="T441" s="31">
        <f>VLOOKUP(A441,'Ansvar kurs'!$A$1:$C$1123,2,FALSE)</f>
        <v>5740</v>
      </c>
      <c r="U441" s="31" t="str">
        <f>VLOOKUP(T441,Orgenheter!$A$1:$C$166,2,FALSE)</f>
        <v>NMD</v>
      </c>
      <c r="V441" s="31" t="str">
        <f>VLOOKUP(T441,Orgenheter!$A$1:$C$166,3,FALSE)</f>
        <v>TekNat</v>
      </c>
      <c r="W441" s="35" t="str">
        <f>VLOOKUP(D441,Program!$A$1:$B$36,2,FALSE)</f>
        <v>Ämneslärarprogrammet - Gy</v>
      </c>
      <c r="X441" s="40">
        <f>VLOOKUP(A441,kurspris!$A$1:$Q$913,15,FALSE)</f>
        <v>20757</v>
      </c>
      <c r="Y441" s="40">
        <f>VLOOKUP(A441,kurspris!$A$1:$Q$913,16,FALSE)</f>
        <v>36082</v>
      </c>
      <c r="Z441" s="40">
        <f t="shared" si="182"/>
        <v>12856.674999999999</v>
      </c>
      <c r="AA441" s="40">
        <f>VLOOKUP(A441,kurspris!$A$1:$Q$913,17,FALSE)</f>
        <v>22600</v>
      </c>
      <c r="AB441" s="40">
        <f t="shared" si="183"/>
        <v>5650</v>
      </c>
      <c r="AC441" s="40">
        <f t="shared" si="184"/>
        <v>18506.674999999999</v>
      </c>
      <c r="AD441" s="31">
        <f>VLOOKUP($A441,kurspris!$A$1:$Q$950,3,FALSE)</f>
        <v>0</v>
      </c>
      <c r="AE441" s="31">
        <f>VLOOKUP($A441,kurspris!$A$1:$Q$950,4,FALSE)</f>
        <v>0</v>
      </c>
      <c r="AF441" s="31">
        <f>VLOOKUP($A441,kurspris!$A$1:$Q$950,5,FALSE)</f>
        <v>0</v>
      </c>
      <c r="AG441" s="31">
        <f>VLOOKUP($A441,kurspris!$A$1:$Q$950,6,FALSE)</f>
        <v>0</v>
      </c>
      <c r="AH441" s="31">
        <f>VLOOKUP($A441,kurspris!$A$1:$Q$950,7,FALSE)</f>
        <v>0</v>
      </c>
      <c r="AI441" s="31">
        <f>VLOOKUP($A441,kurspris!$A$1:$Q$950,8,FALSE)</f>
        <v>1</v>
      </c>
      <c r="AJ441" s="31">
        <f>VLOOKUP($A441,kurspris!$A$1:$Q$950,9,FALSE)</f>
        <v>0</v>
      </c>
      <c r="AK441" s="31">
        <f>VLOOKUP($A441,kurspris!$A$1:$Q$950,10,FALSE)</f>
        <v>0</v>
      </c>
      <c r="AL441" s="31">
        <f>VLOOKUP($A441,kurspris!$A$1:$Q$950,11,FALSE)</f>
        <v>0</v>
      </c>
      <c r="AM441" s="31">
        <f>VLOOKUP($A441,kurspris!$A$1:$Q$950,12,FALSE)</f>
        <v>0</v>
      </c>
      <c r="AN441" s="31">
        <f>VLOOKUP($A441,kurspris!$A$1:$Q$950,13,FALSE)</f>
        <v>0</v>
      </c>
      <c r="AO441" s="31">
        <f>VLOOKUP($A441,kurspris!$A$1:$Q$950,14,FALSE)</f>
        <v>0</v>
      </c>
      <c r="AP441" s="57" t="s">
        <v>2402</v>
      </c>
      <c r="AQ441"/>
      <c r="AR441" s="31">
        <f t="shared" si="185"/>
        <v>0</v>
      </c>
      <c r="AS441" s="219">
        <f t="shared" si="186"/>
        <v>0</v>
      </c>
      <c r="AT441" s="31">
        <f t="shared" si="187"/>
        <v>0</v>
      </c>
      <c r="AU441" s="219">
        <f t="shared" si="188"/>
        <v>0</v>
      </c>
      <c r="AV441" s="31">
        <f t="shared" si="189"/>
        <v>0</v>
      </c>
      <c r="AW441" s="31">
        <f t="shared" si="190"/>
        <v>0</v>
      </c>
      <c r="AX441" s="31">
        <f t="shared" si="191"/>
        <v>0</v>
      </c>
      <c r="AY441" s="219">
        <f t="shared" si="192"/>
        <v>0</v>
      </c>
      <c r="AZ441" s="196">
        <f t="shared" si="193"/>
        <v>0</v>
      </c>
      <c r="BA441" s="219">
        <f t="shared" si="194"/>
        <v>0</v>
      </c>
      <c r="BB441" s="31">
        <f t="shared" si="195"/>
        <v>0.25</v>
      </c>
      <c r="BC441" s="219">
        <f t="shared" si="196"/>
        <v>0.21249999999999999</v>
      </c>
      <c r="BD441" s="31">
        <f t="shared" si="197"/>
        <v>0</v>
      </c>
      <c r="BE441" s="219">
        <f t="shared" si="198"/>
        <v>0</v>
      </c>
      <c r="BF441" s="31">
        <f t="shared" si="199"/>
        <v>0</v>
      </c>
      <c r="BG441" s="219">
        <f t="shared" si="200"/>
        <v>0</v>
      </c>
      <c r="BH441" s="31">
        <f t="shared" si="201"/>
        <v>0</v>
      </c>
      <c r="BI441" s="219">
        <f t="shared" si="202"/>
        <v>0</v>
      </c>
      <c r="BJ441" s="31">
        <f t="shared" si="203"/>
        <v>0</v>
      </c>
      <c r="BK441" s="219">
        <f t="shared" si="204"/>
        <v>0</v>
      </c>
      <c r="BL441" s="31">
        <f t="shared" si="205"/>
        <v>0</v>
      </c>
      <c r="BM441" s="219">
        <f t="shared" si="206"/>
        <v>0</v>
      </c>
      <c r="BN441" s="31">
        <f t="shared" si="207"/>
        <v>0</v>
      </c>
      <c r="BO441" s="219">
        <f t="shared" si="208"/>
        <v>0</v>
      </c>
    </row>
    <row r="442" spans="1:67" x14ac:dyDescent="0.25">
      <c r="A442" s="31" t="s">
        <v>1872</v>
      </c>
      <c r="B442" s="176" t="str">
        <f>VLOOKUP(A442,kurspris!$A$1:$B$992,2,FALSE)</f>
        <v>Matematikdidaktik 1 för grundskolans åk 7-9 och gymnasiet</v>
      </c>
      <c r="C442" s="31">
        <v>61502</v>
      </c>
      <c r="D442" s="60" t="s">
        <v>482</v>
      </c>
      <c r="E442" s="60"/>
      <c r="F442" s="57" t="s">
        <v>2274</v>
      </c>
      <c r="H442" s="31" t="s">
        <v>2335</v>
      </c>
      <c r="I442" s="31" t="s">
        <v>2399</v>
      </c>
      <c r="J442" s="31" t="s">
        <v>2233</v>
      </c>
      <c r="L442" s="38"/>
      <c r="M442">
        <v>7.5</v>
      </c>
      <c r="P442" s="31">
        <v>1</v>
      </c>
      <c r="Q442" s="539">
        <v>0.125</v>
      </c>
      <c r="R442" s="38">
        <v>0.85</v>
      </c>
      <c r="S442" s="280">
        <f t="shared" si="181"/>
        <v>0.10625</v>
      </c>
      <c r="T442" s="31">
        <f>VLOOKUP(A442,'Ansvar kurs'!$A$1:$C$1123,2,FALSE)</f>
        <v>5740</v>
      </c>
      <c r="U442" s="31" t="str">
        <f>VLOOKUP(T442,Orgenheter!$A$1:$C$166,2,FALSE)</f>
        <v>NMD</v>
      </c>
      <c r="V442" s="31" t="str">
        <f>VLOOKUP(T442,Orgenheter!$A$1:$C$166,3,FALSE)</f>
        <v>TekNat</v>
      </c>
      <c r="W442" s="35" t="str">
        <f>VLOOKUP(D442,Program!$A$1:$B$36,2,FALSE)</f>
        <v>Ämneslärarprogrammet - Gy</v>
      </c>
      <c r="X442" s="40">
        <f>VLOOKUP(A442,kurspris!$A$1:$Q$913,15,FALSE)</f>
        <v>20757</v>
      </c>
      <c r="Y442" s="40">
        <f>VLOOKUP(A442,kurspris!$A$1:$Q$913,16,FALSE)</f>
        <v>36082</v>
      </c>
      <c r="Z442" s="40">
        <f t="shared" si="182"/>
        <v>6428.3374999999996</v>
      </c>
      <c r="AA442" s="40">
        <f>VLOOKUP(A442,kurspris!$A$1:$Q$913,17,FALSE)</f>
        <v>22600</v>
      </c>
      <c r="AB442" s="40">
        <f t="shared" si="183"/>
        <v>2825</v>
      </c>
      <c r="AC442" s="40">
        <f t="shared" si="184"/>
        <v>9253.3374999999996</v>
      </c>
      <c r="AD442" s="31">
        <f>VLOOKUP($A442,kurspris!$A$1:$Q$950,3,FALSE)</f>
        <v>0</v>
      </c>
      <c r="AE442" s="31">
        <f>VLOOKUP($A442,kurspris!$A$1:$Q$950,4,FALSE)</f>
        <v>0</v>
      </c>
      <c r="AF442" s="31">
        <f>VLOOKUP($A442,kurspris!$A$1:$Q$950,5,FALSE)</f>
        <v>0</v>
      </c>
      <c r="AG442" s="31">
        <f>VLOOKUP($A442,kurspris!$A$1:$Q$950,6,FALSE)</f>
        <v>0</v>
      </c>
      <c r="AH442" s="31">
        <f>VLOOKUP($A442,kurspris!$A$1:$Q$950,7,FALSE)</f>
        <v>0</v>
      </c>
      <c r="AI442" s="31">
        <f>VLOOKUP($A442,kurspris!$A$1:$Q$950,8,FALSE)</f>
        <v>1</v>
      </c>
      <c r="AJ442" s="31">
        <f>VLOOKUP($A442,kurspris!$A$1:$Q$950,9,FALSE)</f>
        <v>0</v>
      </c>
      <c r="AK442" s="31">
        <f>VLOOKUP($A442,kurspris!$A$1:$Q$950,10,FALSE)</f>
        <v>0</v>
      </c>
      <c r="AL442" s="31">
        <f>VLOOKUP($A442,kurspris!$A$1:$Q$950,11,FALSE)</f>
        <v>0</v>
      </c>
      <c r="AM442" s="31">
        <f>VLOOKUP($A442,kurspris!$A$1:$Q$950,12,FALSE)</f>
        <v>0</v>
      </c>
      <c r="AN442" s="31">
        <f>VLOOKUP($A442,kurspris!$A$1:$Q$950,13,FALSE)</f>
        <v>0</v>
      </c>
      <c r="AO442" s="31">
        <f>VLOOKUP($A442,kurspris!$A$1:$Q$950,14,FALSE)</f>
        <v>0</v>
      </c>
      <c r="AP442" s="57" t="s">
        <v>2402</v>
      </c>
      <c r="AQ442"/>
      <c r="AR442" s="31">
        <f t="shared" si="185"/>
        <v>0</v>
      </c>
      <c r="AS442" s="219">
        <f t="shared" si="186"/>
        <v>0</v>
      </c>
      <c r="AT442" s="31">
        <f t="shared" si="187"/>
        <v>0</v>
      </c>
      <c r="AU442" s="219">
        <f t="shared" si="188"/>
        <v>0</v>
      </c>
      <c r="AV442" s="31">
        <f t="shared" si="189"/>
        <v>0</v>
      </c>
      <c r="AW442" s="31">
        <f t="shared" si="190"/>
        <v>0</v>
      </c>
      <c r="AX442" s="31">
        <f t="shared" si="191"/>
        <v>0</v>
      </c>
      <c r="AY442" s="219">
        <f t="shared" si="192"/>
        <v>0</v>
      </c>
      <c r="AZ442" s="196">
        <f t="shared" si="193"/>
        <v>0</v>
      </c>
      <c r="BA442" s="219">
        <f t="shared" si="194"/>
        <v>0</v>
      </c>
      <c r="BB442" s="31">
        <f t="shared" si="195"/>
        <v>0.125</v>
      </c>
      <c r="BC442" s="219">
        <f t="shared" si="196"/>
        <v>0.10625</v>
      </c>
      <c r="BD442" s="31">
        <f t="shared" si="197"/>
        <v>0</v>
      </c>
      <c r="BE442" s="219">
        <f t="shared" si="198"/>
        <v>0</v>
      </c>
      <c r="BF442" s="31">
        <f t="shared" si="199"/>
        <v>0</v>
      </c>
      <c r="BG442" s="219">
        <f t="shared" si="200"/>
        <v>0</v>
      </c>
      <c r="BH442" s="31">
        <f t="shared" si="201"/>
        <v>0</v>
      </c>
      <c r="BI442" s="219">
        <f t="shared" si="202"/>
        <v>0</v>
      </c>
      <c r="BJ442" s="31">
        <f t="shared" si="203"/>
        <v>0</v>
      </c>
      <c r="BK442" s="219">
        <f t="shared" si="204"/>
        <v>0</v>
      </c>
      <c r="BL442" s="31">
        <f t="shared" si="205"/>
        <v>0</v>
      </c>
      <c r="BM442" s="219">
        <f t="shared" si="206"/>
        <v>0</v>
      </c>
      <c r="BN442" s="31">
        <f t="shared" si="207"/>
        <v>0</v>
      </c>
      <c r="BO442" s="219">
        <f t="shared" si="208"/>
        <v>0</v>
      </c>
    </row>
    <row r="443" spans="1:67" x14ac:dyDescent="0.25">
      <c r="A443" s="31" t="s">
        <v>1872</v>
      </c>
      <c r="B443" s="176" t="str">
        <f>VLOOKUP(A443,kurspris!$A$1:$B$992,2,FALSE)</f>
        <v>Matematikdidaktik 1 för grundskolans åk 7-9 och gymnasiet</v>
      </c>
      <c r="C443" s="31">
        <v>61506</v>
      </c>
      <c r="D443" s="60" t="s">
        <v>482</v>
      </c>
      <c r="E443" s="60"/>
      <c r="F443" s="57" t="s">
        <v>2274</v>
      </c>
      <c r="H443" s="31" t="s">
        <v>2335</v>
      </c>
      <c r="I443" s="31" t="s">
        <v>2399</v>
      </c>
      <c r="J443" s="31" t="s">
        <v>2233</v>
      </c>
      <c r="L443" s="38"/>
      <c r="M443">
        <v>7.5</v>
      </c>
      <c r="P443" s="31">
        <v>20</v>
      </c>
      <c r="Q443" s="539">
        <v>2.5</v>
      </c>
      <c r="R443" s="38">
        <v>0.85</v>
      </c>
      <c r="S443" s="280">
        <f t="shared" si="181"/>
        <v>2.125</v>
      </c>
      <c r="T443" s="31">
        <f>VLOOKUP(A443,'Ansvar kurs'!$A$1:$C$1123,2,FALSE)</f>
        <v>5740</v>
      </c>
      <c r="U443" s="31" t="str">
        <f>VLOOKUP(T443,Orgenheter!$A$1:$C$166,2,FALSE)</f>
        <v>NMD</v>
      </c>
      <c r="V443" s="31" t="str">
        <f>VLOOKUP(T443,Orgenheter!$A$1:$C$166,3,FALSE)</f>
        <v>TekNat</v>
      </c>
      <c r="W443" s="35" t="str">
        <f>VLOOKUP(D443,Program!$A$1:$B$36,2,FALSE)</f>
        <v>Ämneslärarprogrammet - Gy</v>
      </c>
      <c r="X443" s="40">
        <f>VLOOKUP(A443,kurspris!$A$1:$Q$913,15,FALSE)</f>
        <v>20757</v>
      </c>
      <c r="Y443" s="40">
        <f>VLOOKUP(A443,kurspris!$A$1:$Q$913,16,FALSE)</f>
        <v>36082</v>
      </c>
      <c r="Z443" s="40">
        <f t="shared" si="182"/>
        <v>128566.75</v>
      </c>
      <c r="AA443" s="40">
        <f>VLOOKUP(A443,kurspris!$A$1:$Q$913,17,FALSE)</f>
        <v>22600</v>
      </c>
      <c r="AB443" s="40">
        <f t="shared" si="183"/>
        <v>56500</v>
      </c>
      <c r="AC443" s="40">
        <f t="shared" si="184"/>
        <v>185066.75</v>
      </c>
      <c r="AD443" s="31">
        <f>VLOOKUP($A443,kurspris!$A$1:$Q$950,3,FALSE)</f>
        <v>0</v>
      </c>
      <c r="AE443" s="31">
        <f>VLOOKUP($A443,kurspris!$A$1:$Q$950,4,FALSE)</f>
        <v>0</v>
      </c>
      <c r="AF443" s="31">
        <f>VLOOKUP($A443,kurspris!$A$1:$Q$950,5,FALSE)</f>
        <v>0</v>
      </c>
      <c r="AG443" s="31">
        <f>VLOOKUP($A443,kurspris!$A$1:$Q$950,6,FALSE)</f>
        <v>0</v>
      </c>
      <c r="AH443" s="31">
        <f>VLOOKUP($A443,kurspris!$A$1:$Q$950,7,FALSE)</f>
        <v>0</v>
      </c>
      <c r="AI443" s="31">
        <f>VLOOKUP($A443,kurspris!$A$1:$Q$950,8,FALSE)</f>
        <v>1</v>
      </c>
      <c r="AJ443" s="31">
        <f>VLOOKUP($A443,kurspris!$A$1:$Q$950,9,FALSE)</f>
        <v>0</v>
      </c>
      <c r="AK443" s="31">
        <f>VLOOKUP($A443,kurspris!$A$1:$Q$950,10,FALSE)</f>
        <v>0</v>
      </c>
      <c r="AL443" s="31">
        <f>VLOOKUP($A443,kurspris!$A$1:$Q$950,11,FALSE)</f>
        <v>0</v>
      </c>
      <c r="AM443" s="31">
        <f>VLOOKUP($A443,kurspris!$A$1:$Q$950,12,FALSE)</f>
        <v>0</v>
      </c>
      <c r="AN443" s="31">
        <f>VLOOKUP($A443,kurspris!$A$1:$Q$950,13,FALSE)</f>
        <v>0</v>
      </c>
      <c r="AO443" s="31">
        <f>VLOOKUP($A443,kurspris!$A$1:$Q$950,14,FALSE)</f>
        <v>0</v>
      </c>
      <c r="AP443" s="57" t="s">
        <v>2402</v>
      </c>
      <c r="AQ443"/>
      <c r="AR443" s="31">
        <f t="shared" si="185"/>
        <v>0</v>
      </c>
      <c r="AS443" s="219">
        <f t="shared" si="186"/>
        <v>0</v>
      </c>
      <c r="AT443" s="31">
        <f t="shared" si="187"/>
        <v>0</v>
      </c>
      <c r="AU443" s="219">
        <f t="shared" si="188"/>
        <v>0</v>
      </c>
      <c r="AV443" s="31">
        <f t="shared" si="189"/>
        <v>0</v>
      </c>
      <c r="AW443" s="31">
        <f t="shared" si="190"/>
        <v>0</v>
      </c>
      <c r="AX443" s="31">
        <f t="shared" si="191"/>
        <v>0</v>
      </c>
      <c r="AY443" s="219">
        <f t="shared" si="192"/>
        <v>0</v>
      </c>
      <c r="AZ443" s="196">
        <f t="shared" si="193"/>
        <v>0</v>
      </c>
      <c r="BA443" s="219">
        <f t="shared" si="194"/>
        <v>0</v>
      </c>
      <c r="BB443" s="31">
        <f t="shared" si="195"/>
        <v>2.5</v>
      </c>
      <c r="BC443" s="219">
        <f t="shared" si="196"/>
        <v>2.125</v>
      </c>
      <c r="BD443" s="31">
        <f t="shared" si="197"/>
        <v>0</v>
      </c>
      <c r="BE443" s="219">
        <f t="shared" si="198"/>
        <v>0</v>
      </c>
      <c r="BF443" s="31">
        <f t="shared" si="199"/>
        <v>0</v>
      </c>
      <c r="BG443" s="219">
        <f t="shared" si="200"/>
        <v>0</v>
      </c>
      <c r="BH443" s="31">
        <f t="shared" si="201"/>
        <v>0</v>
      </c>
      <c r="BI443" s="219">
        <f t="shared" si="202"/>
        <v>0</v>
      </c>
      <c r="BJ443" s="31">
        <f t="shared" si="203"/>
        <v>0</v>
      </c>
      <c r="BK443" s="219">
        <f t="shared" si="204"/>
        <v>0</v>
      </c>
      <c r="BL443" s="31">
        <f t="shared" si="205"/>
        <v>0</v>
      </c>
      <c r="BM443" s="219">
        <f t="shared" si="206"/>
        <v>0</v>
      </c>
      <c r="BN443" s="31">
        <f t="shared" si="207"/>
        <v>0</v>
      </c>
      <c r="BO443" s="219">
        <f t="shared" si="208"/>
        <v>0</v>
      </c>
    </row>
    <row r="444" spans="1:67" x14ac:dyDescent="0.25">
      <c r="A444" s="31" t="s">
        <v>1872</v>
      </c>
      <c r="B444" s="176" t="str">
        <f>VLOOKUP(A444,kurspris!$A$1:$B$992,2,FALSE)</f>
        <v>Matematikdidaktik 1 för grundskolans åk 7-9 och gymnasiet</v>
      </c>
      <c r="C444" s="31">
        <v>61506</v>
      </c>
      <c r="D444" s="60" t="s">
        <v>482</v>
      </c>
      <c r="E444" s="60"/>
      <c r="F444" s="57" t="s">
        <v>2274</v>
      </c>
      <c r="H444" s="31" t="s">
        <v>2335</v>
      </c>
      <c r="I444" s="31" t="s">
        <v>2399</v>
      </c>
      <c r="J444" s="31" t="s">
        <v>2242</v>
      </c>
      <c r="L444" s="38"/>
      <c r="M444">
        <v>7.5</v>
      </c>
      <c r="P444" s="31">
        <v>1</v>
      </c>
      <c r="Q444" s="539">
        <v>0.125</v>
      </c>
      <c r="R444" s="38">
        <v>0.85</v>
      </c>
      <c r="S444" s="280">
        <f t="shared" si="181"/>
        <v>0.10625</v>
      </c>
      <c r="T444" s="31">
        <f>VLOOKUP(A444,'Ansvar kurs'!$A$1:$C$1123,2,FALSE)</f>
        <v>5740</v>
      </c>
      <c r="U444" s="31" t="str">
        <f>VLOOKUP(T444,Orgenheter!$A$1:$C$166,2,FALSE)</f>
        <v>NMD</v>
      </c>
      <c r="V444" s="31" t="str">
        <f>VLOOKUP(T444,Orgenheter!$A$1:$C$166,3,FALSE)</f>
        <v>TekNat</v>
      </c>
      <c r="W444" s="35" t="str">
        <f>VLOOKUP(D444,Program!$A$1:$B$36,2,FALSE)</f>
        <v>Ämneslärarprogrammet - Gy</v>
      </c>
      <c r="X444" s="40">
        <f>VLOOKUP(A444,kurspris!$A$1:$Q$913,15,FALSE)</f>
        <v>20757</v>
      </c>
      <c r="Y444" s="40">
        <f>VLOOKUP(A444,kurspris!$A$1:$Q$913,16,FALSE)</f>
        <v>36082</v>
      </c>
      <c r="Z444" s="40">
        <f t="shared" si="182"/>
        <v>6428.3374999999996</v>
      </c>
      <c r="AA444" s="40">
        <f>VLOOKUP(A444,kurspris!$A$1:$Q$913,17,FALSE)</f>
        <v>22600</v>
      </c>
      <c r="AB444" s="40">
        <f t="shared" si="183"/>
        <v>2825</v>
      </c>
      <c r="AC444" s="40">
        <f t="shared" si="184"/>
        <v>9253.3374999999996</v>
      </c>
      <c r="AD444" s="31">
        <f>VLOOKUP($A444,kurspris!$A$1:$Q$950,3,FALSE)</f>
        <v>0</v>
      </c>
      <c r="AE444" s="31">
        <f>VLOOKUP($A444,kurspris!$A$1:$Q$950,4,FALSE)</f>
        <v>0</v>
      </c>
      <c r="AF444" s="31">
        <f>VLOOKUP($A444,kurspris!$A$1:$Q$950,5,FALSE)</f>
        <v>0</v>
      </c>
      <c r="AG444" s="31">
        <f>VLOOKUP($A444,kurspris!$A$1:$Q$950,6,FALSE)</f>
        <v>0</v>
      </c>
      <c r="AH444" s="31">
        <f>VLOOKUP($A444,kurspris!$A$1:$Q$950,7,FALSE)</f>
        <v>0</v>
      </c>
      <c r="AI444" s="31">
        <f>VLOOKUP($A444,kurspris!$A$1:$Q$950,8,FALSE)</f>
        <v>1</v>
      </c>
      <c r="AJ444" s="31">
        <f>VLOOKUP($A444,kurspris!$A$1:$Q$950,9,FALSE)</f>
        <v>0</v>
      </c>
      <c r="AK444" s="31">
        <f>VLOOKUP($A444,kurspris!$A$1:$Q$950,10,FALSE)</f>
        <v>0</v>
      </c>
      <c r="AL444" s="31">
        <f>VLOOKUP($A444,kurspris!$A$1:$Q$950,11,FALSE)</f>
        <v>0</v>
      </c>
      <c r="AM444" s="31">
        <f>VLOOKUP($A444,kurspris!$A$1:$Q$950,12,FALSE)</f>
        <v>0</v>
      </c>
      <c r="AN444" s="31">
        <f>VLOOKUP($A444,kurspris!$A$1:$Q$950,13,FALSE)</f>
        <v>0</v>
      </c>
      <c r="AO444" s="31">
        <f>VLOOKUP($A444,kurspris!$A$1:$Q$950,14,FALSE)</f>
        <v>0</v>
      </c>
      <c r="AP444" s="57" t="s">
        <v>2402</v>
      </c>
      <c r="AQ444"/>
      <c r="AR444" s="31">
        <f t="shared" si="185"/>
        <v>0</v>
      </c>
      <c r="AS444" s="219">
        <f t="shared" si="186"/>
        <v>0</v>
      </c>
      <c r="AT444" s="31">
        <f t="shared" si="187"/>
        <v>0</v>
      </c>
      <c r="AU444" s="219">
        <f t="shared" si="188"/>
        <v>0</v>
      </c>
      <c r="AV444" s="31">
        <f t="shared" si="189"/>
        <v>0</v>
      </c>
      <c r="AW444" s="31">
        <f t="shared" si="190"/>
        <v>0</v>
      </c>
      <c r="AX444" s="31">
        <f t="shared" si="191"/>
        <v>0</v>
      </c>
      <c r="AY444" s="219">
        <f t="shared" si="192"/>
        <v>0</v>
      </c>
      <c r="AZ444" s="196">
        <f t="shared" si="193"/>
        <v>0</v>
      </c>
      <c r="BA444" s="219">
        <f t="shared" si="194"/>
        <v>0</v>
      </c>
      <c r="BB444" s="31">
        <f t="shared" si="195"/>
        <v>0.125</v>
      </c>
      <c r="BC444" s="219">
        <f t="shared" si="196"/>
        <v>0.10625</v>
      </c>
      <c r="BD444" s="31">
        <f t="shared" si="197"/>
        <v>0</v>
      </c>
      <c r="BE444" s="219">
        <f t="shared" si="198"/>
        <v>0</v>
      </c>
      <c r="BF444" s="31">
        <f t="shared" si="199"/>
        <v>0</v>
      </c>
      <c r="BG444" s="219">
        <f t="shared" si="200"/>
        <v>0</v>
      </c>
      <c r="BH444" s="31">
        <f t="shared" si="201"/>
        <v>0</v>
      </c>
      <c r="BI444" s="219">
        <f t="shared" si="202"/>
        <v>0</v>
      </c>
      <c r="BJ444" s="31">
        <f t="shared" si="203"/>
        <v>0</v>
      </c>
      <c r="BK444" s="219">
        <f t="shared" si="204"/>
        <v>0</v>
      </c>
      <c r="BL444" s="31">
        <f t="shared" si="205"/>
        <v>0</v>
      </c>
      <c r="BM444" s="219">
        <f t="shared" si="206"/>
        <v>0</v>
      </c>
      <c r="BN444" s="31">
        <f t="shared" si="207"/>
        <v>0</v>
      </c>
      <c r="BO444" s="219">
        <f t="shared" si="208"/>
        <v>0</v>
      </c>
    </row>
    <row r="445" spans="1:67" x14ac:dyDescent="0.25">
      <c r="A445" s="157" t="s">
        <v>1881</v>
      </c>
      <c r="B445" s="176" t="str">
        <f>VLOOKUP(A445,kurspris!$A$1:$B$992,2,FALSE)</f>
        <v>Matematikdidaktik 2 för grundskolans åk 7-9 och gymnasiet</v>
      </c>
      <c r="C445" s="35"/>
      <c r="D445" s="31" t="s">
        <v>117</v>
      </c>
      <c r="F445" s="31" t="s">
        <v>2273</v>
      </c>
      <c r="I445" s="31" t="s">
        <v>2275</v>
      </c>
      <c r="L445" s="38">
        <v>1</v>
      </c>
      <c r="M445" s="325">
        <v>7.5</v>
      </c>
      <c r="P445" s="31">
        <v>2</v>
      </c>
      <c r="Q445" s="196">
        <f t="shared" ref="Q445:Q458" si="212">(M445/60)*P445</f>
        <v>0.25</v>
      </c>
      <c r="R445" s="38">
        <v>0.8</v>
      </c>
      <c r="S445" s="280">
        <f t="shared" si="181"/>
        <v>0.2</v>
      </c>
      <c r="T445" s="31">
        <f>VLOOKUP(A445,'Ansvar kurs'!$A$1:$C$1123,2,FALSE)</f>
        <v>5740</v>
      </c>
      <c r="U445" s="31" t="str">
        <f>VLOOKUP(T445,Orgenheter!$A$1:$C$166,2,FALSE)</f>
        <v>NMD</v>
      </c>
      <c r="V445" s="31" t="str">
        <f>VLOOKUP(T445,Orgenheter!$A$1:$C$166,3,FALSE)</f>
        <v>TekNat</v>
      </c>
      <c r="W445" s="35" t="str">
        <f>VLOOKUP(D445,Program!$A$1:$B$36,2,FALSE)</f>
        <v>Fristående och övriga kurser</v>
      </c>
      <c r="X445" s="40">
        <f>VLOOKUP(A445,kurspris!$A$1:$Q$913,15,FALSE)</f>
        <v>20757</v>
      </c>
      <c r="Y445" s="40">
        <f>VLOOKUP(A445,kurspris!$A$1:$Q$913,16,FALSE)</f>
        <v>36082</v>
      </c>
      <c r="Z445" s="40">
        <f t="shared" si="182"/>
        <v>12405.650000000001</v>
      </c>
      <c r="AA445" s="40">
        <f>VLOOKUP(A445,kurspris!$A$1:$Q$913,17,FALSE)</f>
        <v>22600</v>
      </c>
      <c r="AB445" s="40">
        <f t="shared" si="183"/>
        <v>5650</v>
      </c>
      <c r="AC445" s="40">
        <f t="shared" si="184"/>
        <v>18055.650000000001</v>
      </c>
      <c r="AD445" s="31">
        <f>VLOOKUP($A445,kurspris!$A$1:$Q$950,3,FALSE)</f>
        <v>0</v>
      </c>
      <c r="AE445" s="31">
        <f>VLOOKUP($A445,kurspris!$A$1:$Q$950,4,FALSE)</f>
        <v>0</v>
      </c>
      <c r="AF445" s="31">
        <f>VLOOKUP($A445,kurspris!$A$1:$Q$950,5,FALSE)</f>
        <v>0</v>
      </c>
      <c r="AG445" s="31">
        <f>VLOOKUP($A445,kurspris!$A$1:$Q$950,6,FALSE)</f>
        <v>0</v>
      </c>
      <c r="AH445" s="31">
        <f>VLOOKUP($A445,kurspris!$A$1:$Q$950,7,FALSE)</f>
        <v>0</v>
      </c>
      <c r="AI445" s="31">
        <f>VLOOKUP($A445,kurspris!$A$1:$Q$950,8,FALSE)</f>
        <v>1</v>
      </c>
      <c r="AJ445" s="31">
        <f>VLOOKUP($A445,kurspris!$A$1:$Q$950,9,FALSE)</f>
        <v>0</v>
      </c>
      <c r="AK445" s="31">
        <f>VLOOKUP($A445,kurspris!$A$1:$Q$950,10,FALSE)</f>
        <v>0</v>
      </c>
      <c r="AL445" s="31">
        <f>VLOOKUP($A445,kurspris!$A$1:$Q$950,11,FALSE)</f>
        <v>0</v>
      </c>
      <c r="AM445" s="31">
        <f>VLOOKUP($A445,kurspris!$A$1:$Q$950,12,FALSE)</f>
        <v>0</v>
      </c>
      <c r="AN445" s="31">
        <f>VLOOKUP($A445,kurspris!$A$1:$Q$950,13,FALSE)</f>
        <v>0</v>
      </c>
      <c r="AO445" s="31">
        <f>VLOOKUP($A445,kurspris!$A$1:$Q$950,14,FALSE)</f>
        <v>0</v>
      </c>
      <c r="AP445" s="57" t="s">
        <v>2267</v>
      </c>
      <c r="AQ445"/>
      <c r="AR445" s="31">
        <f t="shared" si="185"/>
        <v>0</v>
      </c>
      <c r="AS445" s="219">
        <f t="shared" si="186"/>
        <v>0</v>
      </c>
      <c r="AT445" s="31">
        <f t="shared" si="187"/>
        <v>0</v>
      </c>
      <c r="AU445" s="219">
        <f t="shared" si="188"/>
        <v>0</v>
      </c>
      <c r="AV445" s="31">
        <f t="shared" si="189"/>
        <v>0</v>
      </c>
      <c r="AW445" s="31">
        <f t="shared" si="190"/>
        <v>0</v>
      </c>
      <c r="AX445" s="31">
        <f t="shared" si="191"/>
        <v>0</v>
      </c>
      <c r="AY445" s="219">
        <f t="shared" si="192"/>
        <v>0</v>
      </c>
      <c r="AZ445" s="196">
        <f t="shared" si="193"/>
        <v>0</v>
      </c>
      <c r="BA445" s="219">
        <f t="shared" si="194"/>
        <v>0</v>
      </c>
      <c r="BB445" s="31">
        <f t="shared" si="195"/>
        <v>0.25</v>
      </c>
      <c r="BC445" s="219">
        <f t="shared" si="196"/>
        <v>0.2</v>
      </c>
      <c r="BD445" s="31">
        <f t="shared" si="197"/>
        <v>0</v>
      </c>
      <c r="BE445" s="219">
        <f t="shared" si="198"/>
        <v>0</v>
      </c>
      <c r="BF445" s="31">
        <f t="shared" si="199"/>
        <v>0</v>
      </c>
      <c r="BG445" s="219">
        <f t="shared" si="200"/>
        <v>0</v>
      </c>
      <c r="BH445" s="31">
        <f t="shared" si="201"/>
        <v>0</v>
      </c>
      <c r="BI445" s="219">
        <f t="shared" si="202"/>
        <v>0</v>
      </c>
      <c r="BJ445" s="31">
        <f t="shared" si="203"/>
        <v>0</v>
      </c>
      <c r="BK445" s="219">
        <f t="shared" si="204"/>
        <v>0</v>
      </c>
      <c r="BL445" s="31">
        <f t="shared" si="205"/>
        <v>0</v>
      </c>
      <c r="BM445" s="219">
        <f t="shared" si="206"/>
        <v>0</v>
      </c>
      <c r="BN445" s="31">
        <f t="shared" si="207"/>
        <v>0</v>
      </c>
      <c r="BO445" s="219">
        <f t="shared" si="208"/>
        <v>0</v>
      </c>
    </row>
    <row r="446" spans="1:67" x14ac:dyDescent="0.25">
      <c r="A446" s="31" t="s">
        <v>1881</v>
      </c>
      <c r="B446" s="176" t="str">
        <f>VLOOKUP(A446,kurspris!$A$1:$B$992,2,FALSE)</f>
        <v>Matematikdidaktik 2 för grundskolans åk 7-9 och gymnasiet</v>
      </c>
      <c r="D446" s="60" t="s">
        <v>482</v>
      </c>
      <c r="E446" s="576" t="s">
        <v>2226</v>
      </c>
      <c r="F446" s="31" t="s">
        <v>2273</v>
      </c>
      <c r="G446" t="s">
        <v>2439</v>
      </c>
      <c r="H446" t="s">
        <v>2335</v>
      </c>
      <c r="J446" s="31" t="s">
        <v>2242</v>
      </c>
      <c r="L446" s="38">
        <v>1</v>
      </c>
      <c r="M446">
        <v>7.5</v>
      </c>
      <c r="P446" s="31">
        <v>1</v>
      </c>
      <c r="Q446" s="196">
        <f t="shared" si="212"/>
        <v>0.125</v>
      </c>
      <c r="R446" s="38">
        <v>0.85</v>
      </c>
      <c r="S446" s="280">
        <f t="shared" si="181"/>
        <v>0.10625</v>
      </c>
      <c r="T446" s="31">
        <f>VLOOKUP(A446,'Ansvar kurs'!$A$1:$C$1123,2,FALSE)</f>
        <v>5740</v>
      </c>
      <c r="U446" s="31" t="str">
        <f>VLOOKUP(T446,Orgenheter!$A$1:$C$166,2,FALSE)</f>
        <v>NMD</v>
      </c>
      <c r="V446" s="31" t="str">
        <f>VLOOKUP(T446,Orgenheter!$A$1:$C$166,3,FALSE)</f>
        <v>TekNat</v>
      </c>
      <c r="W446" s="35" t="str">
        <f>VLOOKUP(D446,Program!$A$1:$B$36,2,FALSE)</f>
        <v>Ämneslärarprogrammet - Gy</v>
      </c>
      <c r="X446" s="40">
        <f>VLOOKUP(A446,kurspris!$A$1:$Q$913,15,FALSE)</f>
        <v>20757</v>
      </c>
      <c r="Y446" s="40">
        <f>VLOOKUP(A446,kurspris!$A$1:$Q$913,16,FALSE)</f>
        <v>36082</v>
      </c>
      <c r="Z446" s="40">
        <f t="shared" si="182"/>
        <v>6428.3374999999996</v>
      </c>
      <c r="AA446" s="40">
        <f>VLOOKUP(A446,kurspris!$A$1:$Q$913,17,FALSE)</f>
        <v>22600</v>
      </c>
      <c r="AB446" s="40">
        <f t="shared" si="183"/>
        <v>2825</v>
      </c>
      <c r="AC446" s="40">
        <f t="shared" si="184"/>
        <v>9253.3374999999996</v>
      </c>
      <c r="AD446" s="31">
        <f>VLOOKUP($A446,kurspris!$A$1:$Q$950,3,FALSE)</f>
        <v>0</v>
      </c>
      <c r="AE446" s="31">
        <f>VLOOKUP($A446,kurspris!$A$1:$Q$950,4,FALSE)</f>
        <v>0</v>
      </c>
      <c r="AF446" s="31">
        <f>VLOOKUP($A446,kurspris!$A$1:$Q$950,5,FALSE)</f>
        <v>0</v>
      </c>
      <c r="AG446" s="31">
        <f>VLOOKUP($A446,kurspris!$A$1:$Q$950,6,FALSE)</f>
        <v>0</v>
      </c>
      <c r="AH446" s="31">
        <f>VLOOKUP($A446,kurspris!$A$1:$Q$950,7,FALSE)</f>
        <v>0</v>
      </c>
      <c r="AI446" s="31">
        <f>VLOOKUP($A446,kurspris!$A$1:$Q$950,8,FALSE)</f>
        <v>1</v>
      </c>
      <c r="AJ446" s="31">
        <f>VLOOKUP($A446,kurspris!$A$1:$Q$950,9,FALSE)</f>
        <v>0</v>
      </c>
      <c r="AK446" s="31">
        <f>VLOOKUP($A446,kurspris!$A$1:$Q$950,10,FALSE)</f>
        <v>0</v>
      </c>
      <c r="AL446" s="31">
        <f>VLOOKUP($A446,kurspris!$A$1:$Q$950,11,FALSE)</f>
        <v>0</v>
      </c>
      <c r="AM446" s="31">
        <f>VLOOKUP($A446,kurspris!$A$1:$Q$950,12,FALSE)</f>
        <v>0</v>
      </c>
      <c r="AN446" s="31">
        <f>VLOOKUP($A446,kurspris!$A$1:$Q$950,13,FALSE)</f>
        <v>0</v>
      </c>
      <c r="AO446" s="31">
        <f>VLOOKUP($A446,kurspris!$A$1:$Q$950,14,FALSE)</f>
        <v>0</v>
      </c>
      <c r="AP446" s="57" t="s">
        <v>2506</v>
      </c>
      <c r="AQ446"/>
      <c r="AR446" s="31">
        <f t="shared" si="185"/>
        <v>0</v>
      </c>
      <c r="AS446" s="219">
        <f t="shared" si="186"/>
        <v>0</v>
      </c>
      <c r="AT446" s="31">
        <f t="shared" si="187"/>
        <v>0</v>
      </c>
      <c r="AU446" s="219">
        <f t="shared" si="188"/>
        <v>0</v>
      </c>
      <c r="AV446" s="31">
        <f t="shared" si="189"/>
        <v>0</v>
      </c>
      <c r="AW446" s="31">
        <f t="shared" si="190"/>
        <v>0</v>
      </c>
      <c r="AX446" s="31">
        <f t="shared" si="191"/>
        <v>0</v>
      </c>
      <c r="AY446" s="219">
        <f t="shared" si="192"/>
        <v>0</v>
      </c>
      <c r="AZ446" s="196">
        <f t="shared" si="193"/>
        <v>0</v>
      </c>
      <c r="BA446" s="219">
        <f t="shared" si="194"/>
        <v>0</v>
      </c>
      <c r="BB446" s="31">
        <f t="shared" si="195"/>
        <v>0.125</v>
      </c>
      <c r="BC446" s="219">
        <f t="shared" si="196"/>
        <v>0.10625</v>
      </c>
      <c r="BD446" s="31">
        <f t="shared" si="197"/>
        <v>0</v>
      </c>
      <c r="BE446" s="219">
        <f t="shared" si="198"/>
        <v>0</v>
      </c>
      <c r="BF446" s="31">
        <f t="shared" si="199"/>
        <v>0</v>
      </c>
      <c r="BG446" s="219">
        <f t="shared" si="200"/>
        <v>0</v>
      </c>
      <c r="BH446" s="31">
        <f t="shared" si="201"/>
        <v>0</v>
      </c>
      <c r="BI446" s="219">
        <f t="shared" si="202"/>
        <v>0</v>
      </c>
      <c r="BJ446" s="31">
        <f t="shared" si="203"/>
        <v>0</v>
      </c>
      <c r="BK446" s="219">
        <f t="shared" si="204"/>
        <v>0</v>
      </c>
      <c r="BL446" s="31">
        <f t="shared" si="205"/>
        <v>0</v>
      </c>
      <c r="BM446" s="219">
        <f t="shared" si="206"/>
        <v>0</v>
      </c>
      <c r="BN446" s="31">
        <f t="shared" si="207"/>
        <v>0</v>
      </c>
      <c r="BO446" s="219">
        <f t="shared" si="208"/>
        <v>0</v>
      </c>
    </row>
    <row r="447" spans="1:67" x14ac:dyDescent="0.25">
      <c r="A447" s="31" t="s">
        <v>1881</v>
      </c>
      <c r="B447" s="176" t="str">
        <f>VLOOKUP(A447,kurspris!$A$1:$B$992,2,FALSE)</f>
        <v>Matematikdidaktik 2 för grundskolans åk 7-9 och gymnasiet</v>
      </c>
      <c r="D447" s="60" t="s">
        <v>482</v>
      </c>
      <c r="E447" s="576" t="s">
        <v>2225</v>
      </c>
      <c r="F447" s="31" t="s">
        <v>2273</v>
      </c>
      <c r="G447" t="s">
        <v>2439</v>
      </c>
      <c r="H447" t="s">
        <v>2335</v>
      </c>
      <c r="J447" s="31" t="s">
        <v>2234</v>
      </c>
      <c r="L447" s="38">
        <v>1</v>
      </c>
      <c r="M447">
        <v>7.5</v>
      </c>
      <c r="P447" s="31">
        <v>1</v>
      </c>
      <c r="Q447" s="196">
        <f t="shared" si="212"/>
        <v>0.125</v>
      </c>
      <c r="R447" s="38">
        <v>0.85</v>
      </c>
      <c r="S447" s="280">
        <f t="shared" si="181"/>
        <v>0.10625</v>
      </c>
      <c r="T447" s="31">
        <f>VLOOKUP(A447,'Ansvar kurs'!$A$1:$C$1123,2,FALSE)</f>
        <v>5740</v>
      </c>
      <c r="U447" s="31" t="str">
        <f>VLOOKUP(T447,Orgenheter!$A$1:$C$166,2,FALSE)</f>
        <v>NMD</v>
      </c>
      <c r="V447" s="31" t="str">
        <f>VLOOKUP(T447,Orgenheter!$A$1:$C$166,3,FALSE)</f>
        <v>TekNat</v>
      </c>
      <c r="W447" s="35" t="str">
        <f>VLOOKUP(D447,Program!$A$1:$B$36,2,FALSE)</f>
        <v>Ämneslärarprogrammet - Gy</v>
      </c>
      <c r="X447" s="40">
        <f>VLOOKUP(A447,kurspris!$A$1:$Q$913,15,FALSE)</f>
        <v>20757</v>
      </c>
      <c r="Y447" s="40">
        <f>VLOOKUP(A447,kurspris!$A$1:$Q$913,16,FALSE)</f>
        <v>36082</v>
      </c>
      <c r="Z447" s="40">
        <f t="shared" si="182"/>
        <v>6428.3374999999996</v>
      </c>
      <c r="AA447" s="40">
        <f>VLOOKUP(A447,kurspris!$A$1:$Q$913,17,FALSE)</f>
        <v>22600</v>
      </c>
      <c r="AB447" s="40">
        <f t="shared" si="183"/>
        <v>2825</v>
      </c>
      <c r="AC447" s="40">
        <f t="shared" si="184"/>
        <v>9253.3374999999996</v>
      </c>
      <c r="AD447" s="31">
        <f>VLOOKUP($A447,kurspris!$A$1:$Q$950,3,FALSE)</f>
        <v>0</v>
      </c>
      <c r="AE447" s="31">
        <f>VLOOKUP($A447,kurspris!$A$1:$Q$950,4,FALSE)</f>
        <v>0</v>
      </c>
      <c r="AF447" s="31">
        <f>VLOOKUP($A447,kurspris!$A$1:$Q$950,5,FALSE)</f>
        <v>0</v>
      </c>
      <c r="AG447" s="31">
        <f>VLOOKUP($A447,kurspris!$A$1:$Q$950,6,FALSE)</f>
        <v>0</v>
      </c>
      <c r="AH447" s="31">
        <f>VLOOKUP($A447,kurspris!$A$1:$Q$950,7,FALSE)</f>
        <v>0</v>
      </c>
      <c r="AI447" s="31">
        <f>VLOOKUP($A447,kurspris!$A$1:$Q$950,8,FALSE)</f>
        <v>1</v>
      </c>
      <c r="AJ447" s="31">
        <f>VLOOKUP($A447,kurspris!$A$1:$Q$950,9,FALSE)</f>
        <v>0</v>
      </c>
      <c r="AK447" s="31">
        <f>VLOOKUP($A447,kurspris!$A$1:$Q$950,10,FALSE)</f>
        <v>0</v>
      </c>
      <c r="AL447" s="31">
        <f>VLOOKUP($A447,kurspris!$A$1:$Q$950,11,FALSE)</f>
        <v>0</v>
      </c>
      <c r="AM447" s="31">
        <f>VLOOKUP($A447,kurspris!$A$1:$Q$950,12,FALSE)</f>
        <v>0</v>
      </c>
      <c r="AN447" s="31">
        <f>VLOOKUP($A447,kurspris!$A$1:$Q$950,13,FALSE)</f>
        <v>0</v>
      </c>
      <c r="AO447" s="31">
        <f>VLOOKUP($A447,kurspris!$A$1:$Q$950,14,FALSE)</f>
        <v>0</v>
      </c>
      <c r="AP447" s="57" t="s">
        <v>2506</v>
      </c>
      <c r="AQ447"/>
      <c r="AR447" s="31">
        <f t="shared" si="185"/>
        <v>0</v>
      </c>
      <c r="AS447" s="219">
        <f t="shared" si="186"/>
        <v>0</v>
      </c>
      <c r="AT447" s="31">
        <f t="shared" si="187"/>
        <v>0</v>
      </c>
      <c r="AU447" s="219">
        <f t="shared" si="188"/>
        <v>0</v>
      </c>
      <c r="AV447" s="31">
        <f t="shared" si="189"/>
        <v>0</v>
      </c>
      <c r="AW447" s="31">
        <f t="shared" si="190"/>
        <v>0</v>
      </c>
      <c r="AX447" s="31">
        <f t="shared" si="191"/>
        <v>0</v>
      </c>
      <c r="AY447" s="219">
        <f t="shared" si="192"/>
        <v>0</v>
      </c>
      <c r="AZ447" s="196">
        <f t="shared" si="193"/>
        <v>0</v>
      </c>
      <c r="BA447" s="219">
        <f t="shared" si="194"/>
        <v>0</v>
      </c>
      <c r="BB447" s="31">
        <f t="shared" si="195"/>
        <v>0.125</v>
      </c>
      <c r="BC447" s="219">
        <f t="shared" si="196"/>
        <v>0.10625</v>
      </c>
      <c r="BD447" s="31">
        <f t="shared" si="197"/>
        <v>0</v>
      </c>
      <c r="BE447" s="219">
        <f t="shared" si="198"/>
        <v>0</v>
      </c>
      <c r="BF447" s="31">
        <f t="shared" si="199"/>
        <v>0</v>
      </c>
      <c r="BG447" s="219">
        <f t="shared" si="200"/>
        <v>0</v>
      </c>
      <c r="BH447" s="31">
        <f t="shared" si="201"/>
        <v>0</v>
      </c>
      <c r="BI447" s="219">
        <f t="shared" si="202"/>
        <v>0</v>
      </c>
      <c r="BJ447" s="31">
        <f t="shared" si="203"/>
        <v>0</v>
      </c>
      <c r="BK447" s="219">
        <f t="shared" si="204"/>
        <v>0</v>
      </c>
      <c r="BL447" s="31">
        <f t="shared" si="205"/>
        <v>0</v>
      </c>
      <c r="BM447" s="219">
        <f t="shared" si="206"/>
        <v>0</v>
      </c>
      <c r="BN447" s="31">
        <f t="shared" si="207"/>
        <v>0</v>
      </c>
      <c r="BO447" s="219">
        <f t="shared" si="208"/>
        <v>0</v>
      </c>
    </row>
    <row r="448" spans="1:67" x14ac:dyDescent="0.25">
      <c r="A448" s="31" t="s">
        <v>1881</v>
      </c>
      <c r="B448" s="176" t="str">
        <f>VLOOKUP(A448,kurspris!$A$1:$B$992,2,FALSE)</f>
        <v>Matematikdidaktik 2 för grundskolans åk 7-9 och gymnasiet</v>
      </c>
      <c r="D448" s="60" t="s">
        <v>482</v>
      </c>
      <c r="E448" s="576" t="s">
        <v>2225</v>
      </c>
      <c r="F448" s="31" t="s">
        <v>2273</v>
      </c>
      <c r="G448" t="s">
        <v>2439</v>
      </c>
      <c r="H448" t="s">
        <v>2335</v>
      </c>
      <c r="J448" s="31" t="s">
        <v>2232</v>
      </c>
      <c r="L448" s="38">
        <v>1</v>
      </c>
      <c r="M448">
        <v>7.5</v>
      </c>
      <c r="P448" s="31">
        <v>2</v>
      </c>
      <c r="Q448" s="196">
        <f t="shared" si="212"/>
        <v>0.25</v>
      </c>
      <c r="R448" s="38">
        <v>0.85</v>
      </c>
      <c r="S448" s="280">
        <f t="shared" si="181"/>
        <v>0.21249999999999999</v>
      </c>
      <c r="T448" s="31">
        <f>VLOOKUP(A448,'Ansvar kurs'!$A$1:$C$1123,2,FALSE)</f>
        <v>5740</v>
      </c>
      <c r="U448" s="31" t="str">
        <f>VLOOKUP(T448,Orgenheter!$A$1:$C$166,2,FALSE)</f>
        <v>NMD</v>
      </c>
      <c r="V448" s="31" t="str">
        <f>VLOOKUP(T448,Orgenheter!$A$1:$C$166,3,FALSE)</f>
        <v>TekNat</v>
      </c>
      <c r="W448" s="35" t="str">
        <f>VLOOKUP(D448,Program!$A$1:$B$36,2,FALSE)</f>
        <v>Ämneslärarprogrammet - Gy</v>
      </c>
      <c r="X448" s="40">
        <f>VLOOKUP(A448,kurspris!$A$1:$Q$913,15,FALSE)</f>
        <v>20757</v>
      </c>
      <c r="Y448" s="40">
        <f>VLOOKUP(A448,kurspris!$A$1:$Q$913,16,FALSE)</f>
        <v>36082</v>
      </c>
      <c r="Z448" s="40">
        <f t="shared" si="182"/>
        <v>12856.674999999999</v>
      </c>
      <c r="AA448" s="40">
        <f>VLOOKUP(A448,kurspris!$A$1:$Q$913,17,FALSE)</f>
        <v>22600</v>
      </c>
      <c r="AB448" s="40">
        <f t="shared" si="183"/>
        <v>5650</v>
      </c>
      <c r="AC448" s="40">
        <f t="shared" si="184"/>
        <v>18506.674999999999</v>
      </c>
      <c r="AD448" s="31">
        <f>VLOOKUP($A448,kurspris!$A$1:$Q$950,3,FALSE)</f>
        <v>0</v>
      </c>
      <c r="AE448" s="31">
        <f>VLOOKUP($A448,kurspris!$A$1:$Q$950,4,FALSE)</f>
        <v>0</v>
      </c>
      <c r="AF448" s="31">
        <f>VLOOKUP($A448,kurspris!$A$1:$Q$950,5,FALSE)</f>
        <v>0</v>
      </c>
      <c r="AG448" s="31">
        <f>VLOOKUP($A448,kurspris!$A$1:$Q$950,6,FALSE)</f>
        <v>0</v>
      </c>
      <c r="AH448" s="31">
        <f>VLOOKUP($A448,kurspris!$A$1:$Q$950,7,FALSE)</f>
        <v>0</v>
      </c>
      <c r="AI448" s="31">
        <f>VLOOKUP($A448,kurspris!$A$1:$Q$950,8,FALSE)</f>
        <v>1</v>
      </c>
      <c r="AJ448" s="31">
        <f>VLOOKUP($A448,kurspris!$A$1:$Q$950,9,FALSE)</f>
        <v>0</v>
      </c>
      <c r="AK448" s="31">
        <f>VLOOKUP($A448,kurspris!$A$1:$Q$950,10,FALSE)</f>
        <v>0</v>
      </c>
      <c r="AL448" s="31">
        <f>VLOOKUP($A448,kurspris!$A$1:$Q$950,11,FALSE)</f>
        <v>0</v>
      </c>
      <c r="AM448" s="31">
        <f>VLOOKUP($A448,kurspris!$A$1:$Q$950,12,FALSE)</f>
        <v>0</v>
      </c>
      <c r="AN448" s="31">
        <f>VLOOKUP($A448,kurspris!$A$1:$Q$950,13,FALSE)</f>
        <v>0</v>
      </c>
      <c r="AO448" s="31">
        <f>VLOOKUP($A448,kurspris!$A$1:$Q$950,14,FALSE)</f>
        <v>0</v>
      </c>
      <c r="AP448" s="57" t="s">
        <v>2506</v>
      </c>
      <c r="AQ448"/>
      <c r="AR448" s="31">
        <f t="shared" si="185"/>
        <v>0</v>
      </c>
      <c r="AS448" s="219">
        <f t="shared" si="186"/>
        <v>0</v>
      </c>
      <c r="AT448" s="31">
        <f t="shared" si="187"/>
        <v>0</v>
      </c>
      <c r="AU448" s="219">
        <f t="shared" si="188"/>
        <v>0</v>
      </c>
      <c r="AV448" s="31">
        <f t="shared" si="189"/>
        <v>0</v>
      </c>
      <c r="AW448" s="31">
        <f t="shared" si="190"/>
        <v>0</v>
      </c>
      <c r="AX448" s="31">
        <f t="shared" si="191"/>
        <v>0</v>
      </c>
      <c r="AY448" s="219">
        <f t="shared" si="192"/>
        <v>0</v>
      </c>
      <c r="AZ448" s="196">
        <f t="shared" si="193"/>
        <v>0</v>
      </c>
      <c r="BA448" s="219">
        <f t="shared" si="194"/>
        <v>0</v>
      </c>
      <c r="BB448" s="31">
        <f t="shared" si="195"/>
        <v>0.25</v>
      </c>
      <c r="BC448" s="219">
        <f t="shared" si="196"/>
        <v>0.21249999999999999</v>
      </c>
      <c r="BD448" s="31">
        <f t="shared" si="197"/>
        <v>0</v>
      </c>
      <c r="BE448" s="219">
        <f t="shared" si="198"/>
        <v>0</v>
      </c>
      <c r="BF448" s="31">
        <f t="shared" si="199"/>
        <v>0</v>
      </c>
      <c r="BG448" s="219">
        <f t="shared" si="200"/>
        <v>0</v>
      </c>
      <c r="BH448" s="31">
        <f t="shared" si="201"/>
        <v>0</v>
      </c>
      <c r="BI448" s="219">
        <f t="shared" si="202"/>
        <v>0</v>
      </c>
      <c r="BJ448" s="31">
        <f t="shared" si="203"/>
        <v>0</v>
      </c>
      <c r="BK448" s="219">
        <f t="shared" si="204"/>
        <v>0</v>
      </c>
      <c r="BL448" s="31">
        <f t="shared" si="205"/>
        <v>0</v>
      </c>
      <c r="BM448" s="219">
        <f t="shared" si="206"/>
        <v>0</v>
      </c>
      <c r="BN448" s="31">
        <f t="shared" si="207"/>
        <v>0</v>
      </c>
      <c r="BO448" s="219">
        <f t="shared" si="208"/>
        <v>0</v>
      </c>
    </row>
    <row r="449" spans="1:67" x14ac:dyDescent="0.25">
      <c r="A449" s="31" t="s">
        <v>1881</v>
      </c>
      <c r="B449" s="176" t="str">
        <f>VLOOKUP(A449,kurspris!$A$1:$B$992,2,FALSE)</f>
        <v>Matematikdidaktik 2 för grundskolans åk 7-9 och gymnasiet</v>
      </c>
      <c r="D449" s="60" t="s">
        <v>482</v>
      </c>
      <c r="E449" s="576" t="s">
        <v>2225</v>
      </c>
      <c r="F449" s="31" t="s">
        <v>2273</v>
      </c>
      <c r="G449" t="s">
        <v>2439</v>
      </c>
      <c r="H449" t="s">
        <v>2335</v>
      </c>
      <c r="J449" s="31" t="s">
        <v>2242</v>
      </c>
      <c r="L449" s="38">
        <v>1</v>
      </c>
      <c r="M449">
        <v>7.5</v>
      </c>
      <c r="P449" s="31">
        <v>1</v>
      </c>
      <c r="Q449" s="196">
        <f t="shared" si="212"/>
        <v>0.125</v>
      </c>
      <c r="R449" s="38">
        <v>0.85</v>
      </c>
      <c r="S449" s="280">
        <f t="shared" si="181"/>
        <v>0.10625</v>
      </c>
      <c r="T449" s="31">
        <f>VLOOKUP(A449,'Ansvar kurs'!$A$1:$C$1123,2,FALSE)</f>
        <v>5740</v>
      </c>
      <c r="U449" s="31" t="str">
        <f>VLOOKUP(T449,Orgenheter!$A$1:$C$166,2,FALSE)</f>
        <v>NMD</v>
      </c>
      <c r="V449" s="31" t="str">
        <f>VLOOKUP(T449,Orgenheter!$A$1:$C$166,3,FALSE)</f>
        <v>TekNat</v>
      </c>
      <c r="W449" s="35" t="str">
        <f>VLOOKUP(D449,Program!$A$1:$B$36,2,FALSE)</f>
        <v>Ämneslärarprogrammet - Gy</v>
      </c>
      <c r="X449" s="40">
        <f>VLOOKUP(A449,kurspris!$A$1:$Q$913,15,FALSE)</f>
        <v>20757</v>
      </c>
      <c r="Y449" s="40">
        <f>VLOOKUP(A449,kurspris!$A$1:$Q$913,16,FALSE)</f>
        <v>36082</v>
      </c>
      <c r="Z449" s="40">
        <f t="shared" si="182"/>
        <v>6428.3374999999996</v>
      </c>
      <c r="AA449" s="40">
        <f>VLOOKUP(A449,kurspris!$A$1:$Q$913,17,FALSE)</f>
        <v>22600</v>
      </c>
      <c r="AB449" s="40">
        <f t="shared" si="183"/>
        <v>2825</v>
      </c>
      <c r="AC449" s="40">
        <f t="shared" si="184"/>
        <v>9253.3374999999996</v>
      </c>
      <c r="AD449" s="31">
        <f>VLOOKUP($A449,kurspris!$A$1:$Q$950,3,FALSE)</f>
        <v>0</v>
      </c>
      <c r="AE449" s="31">
        <f>VLOOKUP($A449,kurspris!$A$1:$Q$950,4,FALSE)</f>
        <v>0</v>
      </c>
      <c r="AF449" s="31">
        <f>VLOOKUP($A449,kurspris!$A$1:$Q$950,5,FALSE)</f>
        <v>0</v>
      </c>
      <c r="AG449" s="31">
        <f>VLOOKUP($A449,kurspris!$A$1:$Q$950,6,FALSE)</f>
        <v>0</v>
      </c>
      <c r="AH449" s="31">
        <f>VLOOKUP($A449,kurspris!$A$1:$Q$950,7,FALSE)</f>
        <v>0</v>
      </c>
      <c r="AI449" s="31">
        <f>VLOOKUP($A449,kurspris!$A$1:$Q$950,8,FALSE)</f>
        <v>1</v>
      </c>
      <c r="AJ449" s="31">
        <f>VLOOKUP($A449,kurspris!$A$1:$Q$950,9,FALSE)</f>
        <v>0</v>
      </c>
      <c r="AK449" s="31">
        <f>VLOOKUP($A449,kurspris!$A$1:$Q$950,10,FALSE)</f>
        <v>0</v>
      </c>
      <c r="AL449" s="31">
        <f>VLOOKUP($A449,kurspris!$A$1:$Q$950,11,FALSE)</f>
        <v>0</v>
      </c>
      <c r="AM449" s="31">
        <f>VLOOKUP($A449,kurspris!$A$1:$Q$950,12,FALSE)</f>
        <v>0</v>
      </c>
      <c r="AN449" s="31">
        <f>VLOOKUP($A449,kurspris!$A$1:$Q$950,13,FALSE)</f>
        <v>0</v>
      </c>
      <c r="AO449" s="31">
        <f>VLOOKUP($A449,kurspris!$A$1:$Q$950,14,FALSE)</f>
        <v>0</v>
      </c>
      <c r="AP449" s="57" t="s">
        <v>2506</v>
      </c>
      <c r="AQ449"/>
      <c r="AR449" s="31">
        <f t="shared" si="185"/>
        <v>0</v>
      </c>
      <c r="AS449" s="219">
        <f t="shared" si="186"/>
        <v>0</v>
      </c>
      <c r="AT449" s="31">
        <f t="shared" si="187"/>
        <v>0</v>
      </c>
      <c r="AU449" s="219">
        <f t="shared" si="188"/>
        <v>0</v>
      </c>
      <c r="AV449" s="31">
        <f t="shared" si="189"/>
        <v>0</v>
      </c>
      <c r="AW449" s="31">
        <f t="shared" si="190"/>
        <v>0</v>
      </c>
      <c r="AX449" s="31">
        <f t="shared" si="191"/>
        <v>0</v>
      </c>
      <c r="AY449" s="219">
        <f t="shared" si="192"/>
        <v>0</v>
      </c>
      <c r="AZ449" s="196">
        <f t="shared" si="193"/>
        <v>0</v>
      </c>
      <c r="BA449" s="219">
        <f t="shared" si="194"/>
        <v>0</v>
      </c>
      <c r="BB449" s="31">
        <f t="shared" si="195"/>
        <v>0.125</v>
      </c>
      <c r="BC449" s="219">
        <f t="shared" si="196"/>
        <v>0.10625</v>
      </c>
      <c r="BD449" s="31">
        <f t="shared" si="197"/>
        <v>0</v>
      </c>
      <c r="BE449" s="219">
        <f t="shared" si="198"/>
        <v>0</v>
      </c>
      <c r="BF449" s="31">
        <f t="shared" si="199"/>
        <v>0</v>
      </c>
      <c r="BG449" s="219">
        <f t="shared" si="200"/>
        <v>0</v>
      </c>
      <c r="BH449" s="31">
        <f t="shared" si="201"/>
        <v>0</v>
      </c>
      <c r="BI449" s="219">
        <f t="shared" si="202"/>
        <v>0</v>
      </c>
      <c r="BJ449" s="31">
        <f t="shared" si="203"/>
        <v>0</v>
      </c>
      <c r="BK449" s="219">
        <f t="shared" si="204"/>
        <v>0</v>
      </c>
      <c r="BL449" s="31">
        <f t="shared" si="205"/>
        <v>0</v>
      </c>
      <c r="BM449" s="219">
        <f t="shared" si="206"/>
        <v>0</v>
      </c>
      <c r="BN449" s="31">
        <f t="shared" si="207"/>
        <v>0</v>
      </c>
      <c r="BO449" s="219">
        <f t="shared" si="208"/>
        <v>0</v>
      </c>
    </row>
    <row r="450" spans="1:67" x14ac:dyDescent="0.25">
      <c r="A450" s="31" t="s">
        <v>1881</v>
      </c>
      <c r="B450" s="176" t="str">
        <f>VLOOKUP(A450,kurspris!$A$1:$B$992,2,FALSE)</f>
        <v>Matematikdidaktik 2 för grundskolans åk 7-9 och gymnasiet</v>
      </c>
      <c r="D450" s="60" t="s">
        <v>482</v>
      </c>
      <c r="E450" s="576" t="s">
        <v>2434</v>
      </c>
      <c r="F450" s="31" t="s">
        <v>2273</v>
      </c>
      <c r="G450" t="s">
        <v>2439</v>
      </c>
      <c r="H450" t="s">
        <v>2335</v>
      </c>
      <c r="J450" s="31" t="s">
        <v>2233</v>
      </c>
      <c r="L450" s="38">
        <v>1</v>
      </c>
      <c r="M450">
        <v>7.5</v>
      </c>
      <c r="P450" s="31">
        <v>1</v>
      </c>
      <c r="Q450" s="196">
        <f t="shared" si="212"/>
        <v>0.125</v>
      </c>
      <c r="R450" s="38">
        <v>0.85</v>
      </c>
      <c r="S450" s="280">
        <f t="shared" ref="S450:S513" si="213">Q450*R450</f>
        <v>0.10625</v>
      </c>
      <c r="T450" s="31">
        <f>VLOOKUP(A450,'Ansvar kurs'!$A$1:$C$1123,2,FALSE)</f>
        <v>5740</v>
      </c>
      <c r="U450" s="31" t="str">
        <f>VLOOKUP(T450,Orgenheter!$A$1:$C$166,2,FALSE)</f>
        <v>NMD</v>
      </c>
      <c r="V450" s="31" t="str">
        <f>VLOOKUP(T450,Orgenheter!$A$1:$C$166,3,FALSE)</f>
        <v>TekNat</v>
      </c>
      <c r="W450" s="35" t="str">
        <f>VLOOKUP(D450,Program!$A$1:$B$36,2,FALSE)</f>
        <v>Ämneslärarprogrammet - Gy</v>
      </c>
      <c r="X450" s="40">
        <f>VLOOKUP(A450,kurspris!$A$1:$Q$913,15,FALSE)</f>
        <v>20757</v>
      </c>
      <c r="Y450" s="40">
        <f>VLOOKUP(A450,kurspris!$A$1:$Q$913,16,FALSE)</f>
        <v>36082</v>
      </c>
      <c r="Z450" s="40">
        <f t="shared" ref="Z450:Z513" si="214">X450*Q450+S450*Y450</f>
        <v>6428.3374999999996</v>
      </c>
      <c r="AA450" s="40">
        <f>VLOOKUP(A450,kurspris!$A$1:$Q$913,17,FALSE)</f>
        <v>22600</v>
      </c>
      <c r="AB450" s="40">
        <f t="shared" ref="AB450:AB513" si="215">AA450*Q450</f>
        <v>2825</v>
      </c>
      <c r="AC450" s="40">
        <f t="shared" ref="AC450:AC513" si="216">Z450+AB450</f>
        <v>9253.3374999999996</v>
      </c>
      <c r="AD450" s="31">
        <f>VLOOKUP($A450,kurspris!$A$1:$Q$950,3,FALSE)</f>
        <v>0</v>
      </c>
      <c r="AE450" s="31">
        <f>VLOOKUP($A450,kurspris!$A$1:$Q$950,4,FALSE)</f>
        <v>0</v>
      </c>
      <c r="AF450" s="31">
        <f>VLOOKUP($A450,kurspris!$A$1:$Q$950,5,FALSE)</f>
        <v>0</v>
      </c>
      <c r="AG450" s="31">
        <f>VLOOKUP($A450,kurspris!$A$1:$Q$950,6,FALSE)</f>
        <v>0</v>
      </c>
      <c r="AH450" s="31">
        <f>VLOOKUP($A450,kurspris!$A$1:$Q$950,7,FALSE)</f>
        <v>0</v>
      </c>
      <c r="AI450" s="31">
        <f>VLOOKUP($A450,kurspris!$A$1:$Q$950,8,FALSE)</f>
        <v>1</v>
      </c>
      <c r="AJ450" s="31">
        <f>VLOOKUP($A450,kurspris!$A$1:$Q$950,9,FALSE)</f>
        <v>0</v>
      </c>
      <c r="AK450" s="31">
        <f>VLOOKUP($A450,kurspris!$A$1:$Q$950,10,FALSE)</f>
        <v>0</v>
      </c>
      <c r="AL450" s="31">
        <f>VLOOKUP($A450,kurspris!$A$1:$Q$950,11,FALSE)</f>
        <v>0</v>
      </c>
      <c r="AM450" s="31">
        <f>VLOOKUP($A450,kurspris!$A$1:$Q$950,12,FALSE)</f>
        <v>0</v>
      </c>
      <c r="AN450" s="31">
        <f>VLOOKUP($A450,kurspris!$A$1:$Q$950,13,FALSE)</f>
        <v>0</v>
      </c>
      <c r="AO450" s="31">
        <f>VLOOKUP($A450,kurspris!$A$1:$Q$950,14,FALSE)</f>
        <v>0</v>
      </c>
      <c r="AP450" s="57" t="s">
        <v>2506</v>
      </c>
      <c r="AQ450"/>
      <c r="AR450" s="31">
        <f t="shared" ref="AR450:AR513" si="217">$Q450*AD450</f>
        <v>0</v>
      </c>
      <c r="AS450" s="219">
        <f t="shared" ref="AS450:AS513" si="218">$S450*AD450</f>
        <v>0</v>
      </c>
      <c r="AT450" s="31">
        <f t="shared" ref="AT450:AT513" si="219">$Q450*AE450</f>
        <v>0</v>
      </c>
      <c r="AU450" s="219">
        <f t="shared" ref="AU450:AU513" si="220">$S450*AE450</f>
        <v>0</v>
      </c>
      <c r="AV450" s="31">
        <f t="shared" ref="AV450:AV513" si="221">$Q450*AF450</f>
        <v>0</v>
      </c>
      <c r="AW450" s="31">
        <f t="shared" ref="AW450:AW513" si="222">$S450*AF450</f>
        <v>0</v>
      </c>
      <c r="AX450" s="31">
        <f t="shared" ref="AX450:AX513" si="223">$Q450*AG450</f>
        <v>0</v>
      </c>
      <c r="AY450" s="219">
        <f t="shared" ref="AY450:AY513" si="224">$S450*AG450</f>
        <v>0</v>
      </c>
      <c r="AZ450" s="196">
        <f t="shared" ref="AZ450:AZ513" si="225">$Q450*AH450</f>
        <v>0</v>
      </c>
      <c r="BA450" s="219">
        <f t="shared" ref="BA450:BA513" si="226">$S450*AH450</f>
        <v>0</v>
      </c>
      <c r="BB450" s="31">
        <f t="shared" ref="BB450:BB513" si="227">$Q450*AI450</f>
        <v>0.125</v>
      </c>
      <c r="BC450" s="219">
        <f t="shared" ref="BC450:BC513" si="228">$S450*AI450</f>
        <v>0.10625</v>
      </c>
      <c r="BD450" s="31">
        <f t="shared" ref="BD450:BD513" si="229">$Q450*AJ450</f>
        <v>0</v>
      </c>
      <c r="BE450" s="219">
        <f t="shared" ref="BE450:BE513" si="230">$S450*AJ450</f>
        <v>0</v>
      </c>
      <c r="BF450" s="31">
        <f t="shared" ref="BF450:BF513" si="231">$Q450*AK450</f>
        <v>0</v>
      </c>
      <c r="BG450" s="219">
        <f t="shared" ref="BG450:BG513" si="232">$S450*AK450</f>
        <v>0</v>
      </c>
      <c r="BH450" s="31">
        <f t="shared" ref="BH450:BH513" si="233">$Q450*AL450</f>
        <v>0</v>
      </c>
      <c r="BI450" s="219">
        <f t="shared" ref="BI450:BI513" si="234">$S450*AL450</f>
        <v>0</v>
      </c>
      <c r="BJ450" s="31">
        <f t="shared" ref="BJ450:BJ513" si="235">$Q450*AM450</f>
        <v>0</v>
      </c>
      <c r="BK450" s="219">
        <f t="shared" ref="BK450:BK513" si="236">$S450*AM450</f>
        <v>0</v>
      </c>
      <c r="BL450" s="31">
        <f t="shared" ref="BL450:BL513" si="237">$Q450*AN450</f>
        <v>0</v>
      </c>
      <c r="BM450" s="219">
        <f t="shared" ref="BM450:BM513" si="238">$S450*AN450</f>
        <v>0</v>
      </c>
      <c r="BN450" s="31">
        <f t="shared" ref="BN450:BN513" si="239">$Q450*AO450</f>
        <v>0</v>
      </c>
      <c r="BO450" s="219">
        <f t="shared" ref="BO450:BO513" si="240">$S450*AO450</f>
        <v>0</v>
      </c>
    </row>
    <row r="451" spans="1:67" x14ac:dyDescent="0.25">
      <c r="A451" s="31" t="s">
        <v>1881</v>
      </c>
      <c r="B451" s="176" t="str">
        <f>VLOOKUP(A451,kurspris!$A$1:$B$992,2,FALSE)</f>
        <v>Matematikdidaktik 2 för grundskolans åk 7-9 och gymnasiet</v>
      </c>
      <c r="D451" s="60" t="s">
        <v>482</v>
      </c>
      <c r="E451" s="576" t="s">
        <v>2432</v>
      </c>
      <c r="F451" s="31" t="s">
        <v>2273</v>
      </c>
      <c r="G451" t="s">
        <v>2439</v>
      </c>
      <c r="H451" t="s">
        <v>2335</v>
      </c>
      <c r="J451" s="31" t="s">
        <v>2233</v>
      </c>
      <c r="L451" s="38">
        <v>1</v>
      </c>
      <c r="M451">
        <v>7.5</v>
      </c>
      <c r="P451" s="31">
        <v>18</v>
      </c>
      <c r="Q451" s="196">
        <f t="shared" si="212"/>
        <v>2.25</v>
      </c>
      <c r="R451" s="38">
        <v>0.85</v>
      </c>
      <c r="S451" s="280">
        <f t="shared" si="213"/>
        <v>1.9124999999999999</v>
      </c>
      <c r="T451" s="31">
        <f>VLOOKUP(A451,'Ansvar kurs'!$A$1:$C$1123,2,FALSE)</f>
        <v>5740</v>
      </c>
      <c r="U451" s="31" t="str">
        <f>VLOOKUP(T451,Orgenheter!$A$1:$C$166,2,FALSE)</f>
        <v>NMD</v>
      </c>
      <c r="V451" s="31" t="str">
        <f>VLOOKUP(T451,Orgenheter!$A$1:$C$166,3,FALSE)</f>
        <v>TekNat</v>
      </c>
      <c r="W451" s="35" t="str">
        <f>VLOOKUP(D451,Program!$A$1:$B$36,2,FALSE)</f>
        <v>Ämneslärarprogrammet - Gy</v>
      </c>
      <c r="X451" s="40">
        <f>VLOOKUP(A451,kurspris!$A$1:$Q$913,15,FALSE)</f>
        <v>20757</v>
      </c>
      <c r="Y451" s="40">
        <f>VLOOKUP(A451,kurspris!$A$1:$Q$913,16,FALSE)</f>
        <v>36082</v>
      </c>
      <c r="Z451" s="40">
        <f t="shared" si="214"/>
        <v>115710.075</v>
      </c>
      <c r="AA451" s="40">
        <f>VLOOKUP(A451,kurspris!$A$1:$Q$913,17,FALSE)</f>
        <v>22600</v>
      </c>
      <c r="AB451" s="40">
        <f t="shared" si="215"/>
        <v>50850</v>
      </c>
      <c r="AC451" s="40">
        <f t="shared" si="216"/>
        <v>166560.07500000001</v>
      </c>
      <c r="AD451" s="31">
        <f>VLOOKUP($A451,kurspris!$A$1:$Q$950,3,FALSE)</f>
        <v>0</v>
      </c>
      <c r="AE451" s="31">
        <f>VLOOKUP($A451,kurspris!$A$1:$Q$950,4,FALSE)</f>
        <v>0</v>
      </c>
      <c r="AF451" s="31">
        <f>VLOOKUP($A451,kurspris!$A$1:$Q$950,5,FALSE)</f>
        <v>0</v>
      </c>
      <c r="AG451" s="31">
        <f>VLOOKUP($A451,kurspris!$A$1:$Q$950,6,FALSE)</f>
        <v>0</v>
      </c>
      <c r="AH451" s="31">
        <f>VLOOKUP($A451,kurspris!$A$1:$Q$950,7,FALSE)</f>
        <v>0</v>
      </c>
      <c r="AI451" s="31">
        <f>VLOOKUP($A451,kurspris!$A$1:$Q$950,8,FALSE)</f>
        <v>1</v>
      </c>
      <c r="AJ451" s="31">
        <f>VLOOKUP($A451,kurspris!$A$1:$Q$950,9,FALSE)</f>
        <v>0</v>
      </c>
      <c r="AK451" s="31">
        <f>VLOOKUP($A451,kurspris!$A$1:$Q$950,10,FALSE)</f>
        <v>0</v>
      </c>
      <c r="AL451" s="31">
        <f>VLOOKUP($A451,kurspris!$A$1:$Q$950,11,FALSE)</f>
        <v>0</v>
      </c>
      <c r="AM451" s="31">
        <f>VLOOKUP($A451,kurspris!$A$1:$Q$950,12,FALSE)</f>
        <v>0</v>
      </c>
      <c r="AN451" s="31">
        <f>VLOOKUP($A451,kurspris!$A$1:$Q$950,13,FALSE)</f>
        <v>0</v>
      </c>
      <c r="AO451" s="31">
        <f>VLOOKUP($A451,kurspris!$A$1:$Q$950,14,FALSE)</f>
        <v>0</v>
      </c>
      <c r="AP451" s="57" t="s">
        <v>2506</v>
      </c>
      <c r="AQ451"/>
      <c r="AR451" s="31">
        <f t="shared" si="217"/>
        <v>0</v>
      </c>
      <c r="AS451" s="219">
        <f t="shared" si="218"/>
        <v>0</v>
      </c>
      <c r="AT451" s="31">
        <f t="shared" si="219"/>
        <v>0</v>
      </c>
      <c r="AU451" s="219">
        <f t="shared" si="220"/>
        <v>0</v>
      </c>
      <c r="AV451" s="31">
        <f t="shared" si="221"/>
        <v>0</v>
      </c>
      <c r="AW451" s="31">
        <f t="shared" si="222"/>
        <v>0</v>
      </c>
      <c r="AX451" s="31">
        <f t="shared" si="223"/>
        <v>0</v>
      </c>
      <c r="AY451" s="219">
        <f t="shared" si="224"/>
        <v>0</v>
      </c>
      <c r="AZ451" s="196">
        <f t="shared" si="225"/>
        <v>0</v>
      </c>
      <c r="BA451" s="219">
        <f t="shared" si="226"/>
        <v>0</v>
      </c>
      <c r="BB451" s="31">
        <f t="shared" si="227"/>
        <v>2.25</v>
      </c>
      <c r="BC451" s="219">
        <f t="shared" si="228"/>
        <v>1.9124999999999999</v>
      </c>
      <c r="BD451" s="31">
        <f t="shared" si="229"/>
        <v>0</v>
      </c>
      <c r="BE451" s="219">
        <f t="shared" si="230"/>
        <v>0</v>
      </c>
      <c r="BF451" s="31">
        <f t="shared" si="231"/>
        <v>0</v>
      </c>
      <c r="BG451" s="219">
        <f t="shared" si="232"/>
        <v>0</v>
      </c>
      <c r="BH451" s="31">
        <f t="shared" si="233"/>
        <v>0</v>
      </c>
      <c r="BI451" s="219">
        <f t="shared" si="234"/>
        <v>0</v>
      </c>
      <c r="BJ451" s="31">
        <f t="shared" si="235"/>
        <v>0</v>
      </c>
      <c r="BK451" s="219">
        <f t="shared" si="236"/>
        <v>0</v>
      </c>
      <c r="BL451" s="31">
        <f t="shared" si="237"/>
        <v>0</v>
      </c>
      <c r="BM451" s="219">
        <f t="shared" si="238"/>
        <v>0</v>
      </c>
      <c r="BN451" s="31">
        <f t="shared" si="239"/>
        <v>0</v>
      </c>
      <c r="BO451" s="219">
        <f t="shared" si="240"/>
        <v>0</v>
      </c>
    </row>
    <row r="452" spans="1:67" x14ac:dyDescent="0.25">
      <c r="A452" s="31" t="s">
        <v>1880</v>
      </c>
      <c r="B452" s="176" t="str">
        <f>VLOOKUP(A452,kurspris!$A$1:$B$992,2,FALSE)</f>
        <v>Statistik för lärare</v>
      </c>
      <c r="D452" s="31" t="s">
        <v>117</v>
      </c>
      <c r="F452" s="31" t="s">
        <v>2273</v>
      </c>
      <c r="I452" s="31" t="s">
        <v>2276</v>
      </c>
      <c r="L452" s="38">
        <v>1</v>
      </c>
      <c r="M452" s="325">
        <v>7.5</v>
      </c>
      <c r="P452" s="31">
        <v>4</v>
      </c>
      <c r="Q452" s="196">
        <f t="shared" si="212"/>
        <v>0.5</v>
      </c>
      <c r="R452" s="38">
        <v>0.8</v>
      </c>
      <c r="S452" s="280">
        <f t="shared" si="213"/>
        <v>0.4</v>
      </c>
      <c r="T452" s="31">
        <f>VLOOKUP(A452,'Ansvar kurs'!$A$1:$C$1123,2,FALSE)</f>
        <v>5730</v>
      </c>
      <c r="U452" s="31" t="str">
        <f>VLOOKUP(T452,Orgenheter!$A$1:$C$166,2,FALSE)</f>
        <v>Inst för MA och MA statistik</v>
      </c>
      <c r="V452" s="31" t="str">
        <f>VLOOKUP(T452,Orgenheter!$A$1:$C$166,3,FALSE)</f>
        <v>TekNat</v>
      </c>
      <c r="W452" s="35" t="str">
        <f>VLOOKUP(D452,Program!$A$1:$B$36,2,FALSE)</f>
        <v>Fristående och övriga kurser</v>
      </c>
      <c r="X452" s="40">
        <f>VLOOKUP(A452,kurspris!$A$1:$Q$913,15,FALSE)</f>
        <v>20757</v>
      </c>
      <c r="Y452" s="40">
        <f>VLOOKUP(A452,kurspris!$A$1:$Q$913,16,FALSE)</f>
        <v>36082</v>
      </c>
      <c r="Z452" s="40">
        <f t="shared" si="214"/>
        <v>24811.300000000003</v>
      </c>
      <c r="AA452" s="40">
        <f>VLOOKUP(A452,kurspris!$A$1:$Q$913,17,FALSE)</f>
        <v>22600</v>
      </c>
      <c r="AB452" s="40">
        <f t="shared" si="215"/>
        <v>11300</v>
      </c>
      <c r="AC452" s="40">
        <f t="shared" si="216"/>
        <v>36111.300000000003</v>
      </c>
      <c r="AD452" s="31">
        <f>VLOOKUP($A452,kurspris!$A$1:$Q$950,3,FALSE)</f>
        <v>0</v>
      </c>
      <c r="AE452" s="31">
        <f>VLOOKUP($A452,kurspris!$A$1:$Q$950,4,FALSE)</f>
        <v>0</v>
      </c>
      <c r="AF452" s="31">
        <f>VLOOKUP($A452,kurspris!$A$1:$Q$950,5,FALSE)</f>
        <v>0</v>
      </c>
      <c r="AG452" s="31">
        <f>VLOOKUP($A452,kurspris!$A$1:$Q$950,6,FALSE)</f>
        <v>0</v>
      </c>
      <c r="AH452" s="31">
        <f>VLOOKUP($A452,kurspris!$A$1:$Q$950,7,FALSE)</f>
        <v>0</v>
      </c>
      <c r="AI452" s="31">
        <f>VLOOKUP($A452,kurspris!$A$1:$Q$950,8,FALSE)</f>
        <v>1</v>
      </c>
      <c r="AJ452" s="31">
        <f>VLOOKUP($A452,kurspris!$A$1:$Q$950,9,FALSE)</f>
        <v>0</v>
      </c>
      <c r="AK452" s="31">
        <f>VLOOKUP($A452,kurspris!$A$1:$Q$950,10,FALSE)</f>
        <v>0</v>
      </c>
      <c r="AL452" s="31">
        <f>VLOOKUP($A452,kurspris!$A$1:$Q$950,11,FALSE)</f>
        <v>0</v>
      </c>
      <c r="AM452" s="31">
        <f>VLOOKUP($A452,kurspris!$A$1:$Q$950,12,FALSE)</f>
        <v>0</v>
      </c>
      <c r="AN452" s="31">
        <f>VLOOKUP($A452,kurspris!$A$1:$Q$950,13,FALSE)</f>
        <v>0</v>
      </c>
      <c r="AO452" s="31">
        <f>VLOOKUP($A452,kurspris!$A$1:$Q$950,14,FALSE)</f>
        <v>0</v>
      </c>
      <c r="AP452" s="57" t="s">
        <v>2267</v>
      </c>
      <c r="AQ452" s="37"/>
      <c r="AR452" s="31">
        <f t="shared" si="217"/>
        <v>0</v>
      </c>
      <c r="AS452" s="219">
        <f t="shared" si="218"/>
        <v>0</v>
      </c>
      <c r="AT452" s="31">
        <f t="shared" si="219"/>
        <v>0</v>
      </c>
      <c r="AU452" s="219">
        <f t="shared" si="220"/>
        <v>0</v>
      </c>
      <c r="AV452" s="31">
        <f t="shared" si="221"/>
        <v>0</v>
      </c>
      <c r="AW452" s="31">
        <f t="shared" si="222"/>
        <v>0</v>
      </c>
      <c r="AX452" s="31">
        <f t="shared" si="223"/>
        <v>0</v>
      </c>
      <c r="AY452" s="219">
        <f t="shared" si="224"/>
        <v>0</v>
      </c>
      <c r="AZ452" s="196">
        <f t="shared" si="225"/>
        <v>0</v>
      </c>
      <c r="BA452" s="219">
        <f t="shared" si="226"/>
        <v>0</v>
      </c>
      <c r="BB452" s="31">
        <f t="shared" si="227"/>
        <v>0.5</v>
      </c>
      <c r="BC452" s="219">
        <f t="shared" si="228"/>
        <v>0.4</v>
      </c>
      <c r="BD452" s="31">
        <f t="shared" si="229"/>
        <v>0</v>
      </c>
      <c r="BE452" s="219">
        <f t="shared" si="230"/>
        <v>0</v>
      </c>
      <c r="BF452" s="31">
        <f t="shared" si="231"/>
        <v>0</v>
      </c>
      <c r="BG452" s="219">
        <f t="shared" si="232"/>
        <v>0</v>
      </c>
      <c r="BH452" s="31">
        <f t="shared" si="233"/>
        <v>0</v>
      </c>
      <c r="BI452" s="219">
        <f t="shared" si="234"/>
        <v>0</v>
      </c>
      <c r="BJ452" s="31">
        <f t="shared" si="235"/>
        <v>0</v>
      </c>
      <c r="BK452" s="219">
        <f t="shared" si="236"/>
        <v>0</v>
      </c>
      <c r="BL452" s="31">
        <f t="shared" si="237"/>
        <v>0</v>
      </c>
      <c r="BM452" s="219">
        <f t="shared" si="238"/>
        <v>0</v>
      </c>
      <c r="BN452" s="31">
        <f t="shared" si="239"/>
        <v>0</v>
      </c>
      <c r="BO452" s="219">
        <f t="shared" si="240"/>
        <v>0</v>
      </c>
    </row>
    <row r="453" spans="1:67" x14ac:dyDescent="0.25">
      <c r="A453" s="31" t="s">
        <v>1880</v>
      </c>
      <c r="B453" s="176" t="str">
        <f>VLOOKUP(A453,kurspris!$A$1:$B$992,2,FALSE)</f>
        <v>Statistik för lärare</v>
      </c>
      <c r="D453" s="60" t="s">
        <v>482</v>
      </c>
      <c r="E453" s="576" t="s">
        <v>2226</v>
      </c>
      <c r="F453" s="31" t="s">
        <v>2273</v>
      </c>
      <c r="G453" t="s">
        <v>2441</v>
      </c>
      <c r="H453" t="s">
        <v>2335</v>
      </c>
      <c r="J453" s="31" t="s">
        <v>2242</v>
      </c>
      <c r="L453" s="38">
        <v>1</v>
      </c>
      <c r="M453">
        <v>7.5</v>
      </c>
      <c r="P453" s="31">
        <v>1</v>
      </c>
      <c r="Q453" s="196">
        <f t="shared" si="212"/>
        <v>0.125</v>
      </c>
      <c r="R453" s="38">
        <v>0.85</v>
      </c>
      <c r="S453" s="280">
        <f t="shared" si="213"/>
        <v>0.10625</v>
      </c>
      <c r="T453" s="31">
        <f>VLOOKUP(A453,'Ansvar kurs'!$A$1:$C$1123,2,FALSE)</f>
        <v>5730</v>
      </c>
      <c r="U453" s="31" t="str">
        <f>VLOOKUP(T453,Orgenheter!$A$1:$C$166,2,FALSE)</f>
        <v>Inst för MA och MA statistik</v>
      </c>
      <c r="V453" s="31" t="str">
        <f>VLOOKUP(T453,Orgenheter!$A$1:$C$166,3,FALSE)</f>
        <v>TekNat</v>
      </c>
      <c r="W453" s="35" t="str">
        <f>VLOOKUP(D453,Program!$A$1:$B$36,2,FALSE)</f>
        <v>Ämneslärarprogrammet - Gy</v>
      </c>
      <c r="X453" s="40">
        <f>VLOOKUP(A453,kurspris!$A$1:$Q$913,15,FALSE)</f>
        <v>20757</v>
      </c>
      <c r="Y453" s="40">
        <f>VLOOKUP(A453,kurspris!$A$1:$Q$913,16,FALSE)</f>
        <v>36082</v>
      </c>
      <c r="Z453" s="40">
        <f t="shared" si="214"/>
        <v>6428.3374999999996</v>
      </c>
      <c r="AA453" s="40">
        <f>VLOOKUP(A453,kurspris!$A$1:$Q$913,17,FALSE)</f>
        <v>22600</v>
      </c>
      <c r="AB453" s="40">
        <f t="shared" si="215"/>
        <v>2825</v>
      </c>
      <c r="AC453" s="40">
        <f t="shared" si="216"/>
        <v>9253.3374999999996</v>
      </c>
      <c r="AD453" s="31">
        <f>VLOOKUP($A453,kurspris!$A$1:$Q$950,3,FALSE)</f>
        <v>0</v>
      </c>
      <c r="AE453" s="31">
        <f>VLOOKUP($A453,kurspris!$A$1:$Q$950,4,FALSE)</f>
        <v>0</v>
      </c>
      <c r="AF453" s="31">
        <f>VLOOKUP($A453,kurspris!$A$1:$Q$950,5,FALSE)</f>
        <v>0</v>
      </c>
      <c r="AG453" s="31">
        <f>VLOOKUP($A453,kurspris!$A$1:$Q$950,6,FALSE)</f>
        <v>0</v>
      </c>
      <c r="AH453" s="31">
        <f>VLOOKUP($A453,kurspris!$A$1:$Q$950,7,FALSE)</f>
        <v>0</v>
      </c>
      <c r="AI453" s="31">
        <f>VLOOKUP($A453,kurspris!$A$1:$Q$950,8,FALSE)</f>
        <v>1</v>
      </c>
      <c r="AJ453" s="31">
        <f>VLOOKUP($A453,kurspris!$A$1:$Q$950,9,FALSE)</f>
        <v>0</v>
      </c>
      <c r="AK453" s="31">
        <f>VLOOKUP($A453,kurspris!$A$1:$Q$950,10,FALSE)</f>
        <v>0</v>
      </c>
      <c r="AL453" s="31">
        <f>VLOOKUP($A453,kurspris!$A$1:$Q$950,11,FALSE)</f>
        <v>0</v>
      </c>
      <c r="AM453" s="31">
        <f>VLOOKUP($A453,kurspris!$A$1:$Q$950,12,FALSE)</f>
        <v>0</v>
      </c>
      <c r="AN453" s="31">
        <f>VLOOKUP($A453,kurspris!$A$1:$Q$950,13,FALSE)</f>
        <v>0</v>
      </c>
      <c r="AO453" s="31">
        <f>VLOOKUP($A453,kurspris!$A$1:$Q$950,14,FALSE)</f>
        <v>0</v>
      </c>
      <c r="AP453" s="57" t="s">
        <v>2506</v>
      </c>
      <c r="AQ453"/>
      <c r="AR453" s="31">
        <f t="shared" si="217"/>
        <v>0</v>
      </c>
      <c r="AS453" s="219">
        <f t="shared" si="218"/>
        <v>0</v>
      </c>
      <c r="AT453" s="31">
        <f t="shared" si="219"/>
        <v>0</v>
      </c>
      <c r="AU453" s="219">
        <f t="shared" si="220"/>
        <v>0</v>
      </c>
      <c r="AV453" s="31">
        <f t="shared" si="221"/>
        <v>0</v>
      </c>
      <c r="AW453" s="31">
        <f t="shared" si="222"/>
        <v>0</v>
      </c>
      <c r="AX453" s="31">
        <f t="shared" si="223"/>
        <v>0</v>
      </c>
      <c r="AY453" s="219">
        <f t="shared" si="224"/>
        <v>0</v>
      </c>
      <c r="AZ453" s="196">
        <f t="shared" si="225"/>
        <v>0</v>
      </c>
      <c r="BA453" s="219">
        <f t="shared" si="226"/>
        <v>0</v>
      </c>
      <c r="BB453" s="31">
        <f t="shared" si="227"/>
        <v>0.125</v>
      </c>
      <c r="BC453" s="219">
        <f t="shared" si="228"/>
        <v>0.10625</v>
      </c>
      <c r="BD453" s="31">
        <f t="shared" si="229"/>
        <v>0</v>
      </c>
      <c r="BE453" s="219">
        <f t="shared" si="230"/>
        <v>0</v>
      </c>
      <c r="BF453" s="31">
        <f t="shared" si="231"/>
        <v>0</v>
      </c>
      <c r="BG453" s="219">
        <f t="shared" si="232"/>
        <v>0</v>
      </c>
      <c r="BH453" s="31">
        <f t="shared" si="233"/>
        <v>0</v>
      </c>
      <c r="BI453" s="219">
        <f t="shared" si="234"/>
        <v>0</v>
      </c>
      <c r="BJ453" s="31">
        <f t="shared" si="235"/>
        <v>0</v>
      </c>
      <c r="BK453" s="219">
        <f t="shared" si="236"/>
        <v>0</v>
      </c>
      <c r="BL453" s="31">
        <f t="shared" si="237"/>
        <v>0</v>
      </c>
      <c r="BM453" s="219">
        <f t="shared" si="238"/>
        <v>0</v>
      </c>
      <c r="BN453" s="31">
        <f t="shared" si="239"/>
        <v>0</v>
      </c>
      <c r="BO453" s="219">
        <f t="shared" si="240"/>
        <v>0</v>
      </c>
    </row>
    <row r="454" spans="1:67" x14ac:dyDescent="0.25">
      <c r="A454" s="31" t="s">
        <v>1880</v>
      </c>
      <c r="B454" s="176" t="str">
        <f>VLOOKUP(A454,kurspris!$A$1:$B$992,2,FALSE)</f>
        <v>Statistik för lärare</v>
      </c>
      <c r="D454" s="60" t="s">
        <v>482</v>
      </c>
      <c r="E454" s="576" t="s">
        <v>2225</v>
      </c>
      <c r="F454" s="31" t="s">
        <v>2273</v>
      </c>
      <c r="G454" t="s">
        <v>2441</v>
      </c>
      <c r="H454" t="s">
        <v>2335</v>
      </c>
      <c r="J454" s="31" t="s">
        <v>2234</v>
      </c>
      <c r="L454" s="38">
        <v>1</v>
      </c>
      <c r="M454">
        <v>7.5</v>
      </c>
      <c r="P454" s="31">
        <v>1</v>
      </c>
      <c r="Q454" s="196">
        <f t="shared" si="212"/>
        <v>0.125</v>
      </c>
      <c r="R454" s="38">
        <v>0.85</v>
      </c>
      <c r="S454" s="280">
        <f t="shared" si="213"/>
        <v>0.10625</v>
      </c>
      <c r="T454" s="31">
        <f>VLOOKUP(A454,'Ansvar kurs'!$A$1:$C$1123,2,FALSE)</f>
        <v>5730</v>
      </c>
      <c r="U454" s="31" t="str">
        <f>VLOOKUP(T454,Orgenheter!$A$1:$C$166,2,FALSE)</f>
        <v>Inst för MA och MA statistik</v>
      </c>
      <c r="V454" s="31" t="str">
        <f>VLOOKUP(T454,Orgenheter!$A$1:$C$166,3,FALSE)</f>
        <v>TekNat</v>
      </c>
      <c r="W454" s="35" t="str">
        <f>VLOOKUP(D454,Program!$A$1:$B$36,2,FALSE)</f>
        <v>Ämneslärarprogrammet - Gy</v>
      </c>
      <c r="X454" s="40">
        <f>VLOOKUP(A454,kurspris!$A$1:$Q$913,15,FALSE)</f>
        <v>20757</v>
      </c>
      <c r="Y454" s="40">
        <f>VLOOKUP(A454,kurspris!$A$1:$Q$913,16,FALSE)</f>
        <v>36082</v>
      </c>
      <c r="Z454" s="40">
        <f t="shared" si="214"/>
        <v>6428.3374999999996</v>
      </c>
      <c r="AA454" s="40">
        <f>VLOOKUP(A454,kurspris!$A$1:$Q$913,17,FALSE)</f>
        <v>22600</v>
      </c>
      <c r="AB454" s="40">
        <f t="shared" si="215"/>
        <v>2825</v>
      </c>
      <c r="AC454" s="40">
        <f t="shared" si="216"/>
        <v>9253.3374999999996</v>
      </c>
      <c r="AD454" s="31">
        <f>VLOOKUP($A454,kurspris!$A$1:$Q$950,3,FALSE)</f>
        <v>0</v>
      </c>
      <c r="AE454" s="31">
        <f>VLOOKUP($A454,kurspris!$A$1:$Q$950,4,FALSE)</f>
        <v>0</v>
      </c>
      <c r="AF454" s="31">
        <f>VLOOKUP($A454,kurspris!$A$1:$Q$950,5,FALSE)</f>
        <v>0</v>
      </c>
      <c r="AG454" s="31">
        <f>VLOOKUP($A454,kurspris!$A$1:$Q$950,6,FALSE)</f>
        <v>0</v>
      </c>
      <c r="AH454" s="31">
        <f>VLOOKUP($A454,kurspris!$A$1:$Q$950,7,FALSE)</f>
        <v>0</v>
      </c>
      <c r="AI454" s="31">
        <f>VLOOKUP($A454,kurspris!$A$1:$Q$950,8,FALSE)</f>
        <v>1</v>
      </c>
      <c r="AJ454" s="31">
        <f>VLOOKUP($A454,kurspris!$A$1:$Q$950,9,FALSE)</f>
        <v>0</v>
      </c>
      <c r="AK454" s="31">
        <f>VLOOKUP($A454,kurspris!$A$1:$Q$950,10,FALSE)</f>
        <v>0</v>
      </c>
      <c r="AL454" s="31">
        <f>VLOOKUP($A454,kurspris!$A$1:$Q$950,11,FALSE)</f>
        <v>0</v>
      </c>
      <c r="AM454" s="31">
        <f>VLOOKUP($A454,kurspris!$A$1:$Q$950,12,FALSE)</f>
        <v>0</v>
      </c>
      <c r="AN454" s="31">
        <f>VLOOKUP($A454,kurspris!$A$1:$Q$950,13,FALSE)</f>
        <v>0</v>
      </c>
      <c r="AO454" s="31">
        <f>VLOOKUP($A454,kurspris!$A$1:$Q$950,14,FALSE)</f>
        <v>0</v>
      </c>
      <c r="AP454" s="57" t="s">
        <v>2506</v>
      </c>
      <c r="AQ454"/>
      <c r="AR454" s="31">
        <f t="shared" si="217"/>
        <v>0</v>
      </c>
      <c r="AS454" s="219">
        <f t="shared" si="218"/>
        <v>0</v>
      </c>
      <c r="AT454" s="31">
        <f t="shared" si="219"/>
        <v>0</v>
      </c>
      <c r="AU454" s="219">
        <f t="shared" si="220"/>
        <v>0</v>
      </c>
      <c r="AV454" s="31">
        <f t="shared" si="221"/>
        <v>0</v>
      </c>
      <c r="AW454" s="31">
        <f t="shared" si="222"/>
        <v>0</v>
      </c>
      <c r="AX454" s="31">
        <f t="shared" si="223"/>
        <v>0</v>
      </c>
      <c r="AY454" s="219">
        <f t="shared" si="224"/>
        <v>0</v>
      </c>
      <c r="AZ454" s="196">
        <f t="shared" si="225"/>
        <v>0</v>
      </c>
      <c r="BA454" s="219">
        <f t="shared" si="226"/>
        <v>0</v>
      </c>
      <c r="BB454" s="31">
        <f t="shared" si="227"/>
        <v>0.125</v>
      </c>
      <c r="BC454" s="219">
        <f t="shared" si="228"/>
        <v>0.10625</v>
      </c>
      <c r="BD454" s="31">
        <f t="shared" si="229"/>
        <v>0</v>
      </c>
      <c r="BE454" s="219">
        <f t="shared" si="230"/>
        <v>0</v>
      </c>
      <c r="BF454" s="31">
        <f t="shared" si="231"/>
        <v>0</v>
      </c>
      <c r="BG454" s="219">
        <f t="shared" si="232"/>
        <v>0</v>
      </c>
      <c r="BH454" s="31">
        <f t="shared" si="233"/>
        <v>0</v>
      </c>
      <c r="BI454" s="219">
        <f t="shared" si="234"/>
        <v>0</v>
      </c>
      <c r="BJ454" s="31">
        <f t="shared" si="235"/>
        <v>0</v>
      </c>
      <c r="BK454" s="219">
        <f t="shared" si="236"/>
        <v>0</v>
      </c>
      <c r="BL454" s="31">
        <f t="shared" si="237"/>
        <v>0</v>
      </c>
      <c r="BM454" s="219">
        <f t="shared" si="238"/>
        <v>0</v>
      </c>
      <c r="BN454" s="31">
        <f t="shared" si="239"/>
        <v>0</v>
      </c>
      <c r="BO454" s="219">
        <f t="shared" si="240"/>
        <v>0</v>
      </c>
    </row>
    <row r="455" spans="1:67" x14ac:dyDescent="0.25">
      <c r="A455" s="31" t="s">
        <v>1880</v>
      </c>
      <c r="B455" s="176" t="str">
        <f>VLOOKUP(A455,kurspris!$A$1:$B$992,2,FALSE)</f>
        <v>Statistik för lärare</v>
      </c>
      <c r="D455" s="60" t="s">
        <v>482</v>
      </c>
      <c r="E455" s="576" t="s">
        <v>2225</v>
      </c>
      <c r="F455" s="31" t="s">
        <v>2273</v>
      </c>
      <c r="G455" t="s">
        <v>2441</v>
      </c>
      <c r="H455" t="s">
        <v>2335</v>
      </c>
      <c r="J455" s="31" t="s">
        <v>2232</v>
      </c>
      <c r="L455" s="38">
        <v>1</v>
      </c>
      <c r="M455">
        <v>7.5</v>
      </c>
      <c r="P455" s="31">
        <v>2</v>
      </c>
      <c r="Q455" s="196">
        <f t="shared" si="212"/>
        <v>0.25</v>
      </c>
      <c r="R455" s="38">
        <v>0.85</v>
      </c>
      <c r="S455" s="280">
        <f t="shared" si="213"/>
        <v>0.21249999999999999</v>
      </c>
      <c r="T455" s="31">
        <f>VLOOKUP(A455,'Ansvar kurs'!$A$1:$C$1123,2,FALSE)</f>
        <v>5730</v>
      </c>
      <c r="U455" s="31" t="str">
        <f>VLOOKUP(T455,Orgenheter!$A$1:$C$166,2,FALSE)</f>
        <v>Inst för MA och MA statistik</v>
      </c>
      <c r="V455" s="31" t="str">
        <f>VLOOKUP(T455,Orgenheter!$A$1:$C$166,3,FALSE)</f>
        <v>TekNat</v>
      </c>
      <c r="W455" s="35" t="str">
        <f>VLOOKUP(D455,Program!$A$1:$B$36,2,FALSE)</f>
        <v>Ämneslärarprogrammet - Gy</v>
      </c>
      <c r="X455" s="40">
        <f>VLOOKUP(A455,kurspris!$A$1:$Q$913,15,FALSE)</f>
        <v>20757</v>
      </c>
      <c r="Y455" s="40">
        <f>VLOOKUP(A455,kurspris!$A$1:$Q$913,16,FALSE)</f>
        <v>36082</v>
      </c>
      <c r="Z455" s="40">
        <f t="shared" si="214"/>
        <v>12856.674999999999</v>
      </c>
      <c r="AA455" s="40">
        <f>VLOOKUP(A455,kurspris!$A$1:$Q$913,17,FALSE)</f>
        <v>22600</v>
      </c>
      <c r="AB455" s="40">
        <f t="shared" si="215"/>
        <v>5650</v>
      </c>
      <c r="AC455" s="40">
        <f t="shared" si="216"/>
        <v>18506.674999999999</v>
      </c>
      <c r="AD455" s="31">
        <f>VLOOKUP($A455,kurspris!$A$1:$Q$950,3,FALSE)</f>
        <v>0</v>
      </c>
      <c r="AE455" s="31">
        <f>VLOOKUP($A455,kurspris!$A$1:$Q$950,4,FALSE)</f>
        <v>0</v>
      </c>
      <c r="AF455" s="31">
        <f>VLOOKUP($A455,kurspris!$A$1:$Q$950,5,FALSE)</f>
        <v>0</v>
      </c>
      <c r="AG455" s="31">
        <f>VLOOKUP($A455,kurspris!$A$1:$Q$950,6,FALSE)</f>
        <v>0</v>
      </c>
      <c r="AH455" s="31">
        <f>VLOOKUP($A455,kurspris!$A$1:$Q$950,7,FALSE)</f>
        <v>0</v>
      </c>
      <c r="AI455" s="31">
        <f>VLOOKUP($A455,kurspris!$A$1:$Q$950,8,FALSE)</f>
        <v>1</v>
      </c>
      <c r="AJ455" s="31">
        <f>VLOOKUP($A455,kurspris!$A$1:$Q$950,9,FALSE)</f>
        <v>0</v>
      </c>
      <c r="AK455" s="31">
        <f>VLOOKUP($A455,kurspris!$A$1:$Q$950,10,FALSE)</f>
        <v>0</v>
      </c>
      <c r="AL455" s="31">
        <f>VLOOKUP($A455,kurspris!$A$1:$Q$950,11,FALSE)</f>
        <v>0</v>
      </c>
      <c r="AM455" s="31">
        <f>VLOOKUP($A455,kurspris!$A$1:$Q$950,12,FALSE)</f>
        <v>0</v>
      </c>
      <c r="AN455" s="31">
        <f>VLOOKUP($A455,kurspris!$A$1:$Q$950,13,FALSE)</f>
        <v>0</v>
      </c>
      <c r="AO455" s="31">
        <f>VLOOKUP($A455,kurspris!$A$1:$Q$950,14,FALSE)</f>
        <v>0</v>
      </c>
      <c r="AP455" s="57" t="s">
        <v>2506</v>
      </c>
      <c r="AQ455"/>
      <c r="AR455" s="31">
        <f t="shared" si="217"/>
        <v>0</v>
      </c>
      <c r="AS455" s="219">
        <f t="shared" si="218"/>
        <v>0</v>
      </c>
      <c r="AT455" s="31">
        <f t="shared" si="219"/>
        <v>0</v>
      </c>
      <c r="AU455" s="219">
        <f t="shared" si="220"/>
        <v>0</v>
      </c>
      <c r="AV455" s="31">
        <f t="shared" si="221"/>
        <v>0</v>
      </c>
      <c r="AW455" s="31">
        <f t="shared" si="222"/>
        <v>0</v>
      </c>
      <c r="AX455" s="31">
        <f t="shared" si="223"/>
        <v>0</v>
      </c>
      <c r="AY455" s="219">
        <f t="shared" si="224"/>
        <v>0</v>
      </c>
      <c r="AZ455" s="196">
        <f t="shared" si="225"/>
        <v>0</v>
      </c>
      <c r="BA455" s="219">
        <f t="shared" si="226"/>
        <v>0</v>
      </c>
      <c r="BB455" s="31">
        <f t="shared" si="227"/>
        <v>0.25</v>
      </c>
      <c r="BC455" s="219">
        <f t="shared" si="228"/>
        <v>0.21249999999999999</v>
      </c>
      <c r="BD455" s="31">
        <f t="shared" si="229"/>
        <v>0</v>
      </c>
      <c r="BE455" s="219">
        <f t="shared" si="230"/>
        <v>0</v>
      </c>
      <c r="BF455" s="31">
        <f t="shared" si="231"/>
        <v>0</v>
      </c>
      <c r="BG455" s="219">
        <f t="shared" si="232"/>
        <v>0</v>
      </c>
      <c r="BH455" s="31">
        <f t="shared" si="233"/>
        <v>0</v>
      </c>
      <c r="BI455" s="219">
        <f t="shared" si="234"/>
        <v>0</v>
      </c>
      <c r="BJ455" s="31">
        <f t="shared" si="235"/>
        <v>0</v>
      </c>
      <c r="BK455" s="219">
        <f t="shared" si="236"/>
        <v>0</v>
      </c>
      <c r="BL455" s="31">
        <f t="shared" si="237"/>
        <v>0</v>
      </c>
      <c r="BM455" s="219">
        <f t="shared" si="238"/>
        <v>0</v>
      </c>
      <c r="BN455" s="31">
        <f t="shared" si="239"/>
        <v>0</v>
      </c>
      <c r="BO455" s="219">
        <f t="shared" si="240"/>
        <v>0</v>
      </c>
    </row>
    <row r="456" spans="1:67" x14ac:dyDescent="0.25">
      <c r="A456" s="31" t="s">
        <v>1880</v>
      </c>
      <c r="B456" s="176" t="str">
        <f>VLOOKUP(A456,kurspris!$A$1:$B$992,2,FALSE)</f>
        <v>Statistik för lärare</v>
      </c>
      <c r="D456" s="60" t="s">
        <v>482</v>
      </c>
      <c r="E456" s="576" t="s">
        <v>2225</v>
      </c>
      <c r="F456" s="31" t="s">
        <v>2273</v>
      </c>
      <c r="G456" t="s">
        <v>2441</v>
      </c>
      <c r="H456" t="s">
        <v>2335</v>
      </c>
      <c r="J456" s="31" t="s">
        <v>2242</v>
      </c>
      <c r="L456" s="38">
        <v>1</v>
      </c>
      <c r="M456">
        <v>7.5</v>
      </c>
      <c r="P456" s="31">
        <v>1</v>
      </c>
      <c r="Q456" s="196">
        <f t="shared" si="212"/>
        <v>0.125</v>
      </c>
      <c r="R456" s="38">
        <v>0.85</v>
      </c>
      <c r="S456" s="280">
        <f t="shared" si="213"/>
        <v>0.10625</v>
      </c>
      <c r="T456" s="31">
        <f>VLOOKUP(A456,'Ansvar kurs'!$A$1:$C$1123,2,FALSE)</f>
        <v>5730</v>
      </c>
      <c r="U456" s="31" t="str">
        <f>VLOOKUP(T456,Orgenheter!$A$1:$C$166,2,FALSE)</f>
        <v>Inst för MA och MA statistik</v>
      </c>
      <c r="V456" s="31" t="str">
        <f>VLOOKUP(T456,Orgenheter!$A$1:$C$166,3,FALSE)</f>
        <v>TekNat</v>
      </c>
      <c r="W456" s="35" t="str">
        <f>VLOOKUP(D456,Program!$A$1:$B$36,2,FALSE)</f>
        <v>Ämneslärarprogrammet - Gy</v>
      </c>
      <c r="X456" s="40">
        <f>VLOOKUP(A456,kurspris!$A$1:$Q$913,15,FALSE)</f>
        <v>20757</v>
      </c>
      <c r="Y456" s="40">
        <f>VLOOKUP(A456,kurspris!$A$1:$Q$913,16,FALSE)</f>
        <v>36082</v>
      </c>
      <c r="Z456" s="40">
        <f t="shared" si="214"/>
        <v>6428.3374999999996</v>
      </c>
      <c r="AA456" s="40">
        <f>VLOOKUP(A456,kurspris!$A$1:$Q$913,17,FALSE)</f>
        <v>22600</v>
      </c>
      <c r="AB456" s="40">
        <f t="shared" si="215"/>
        <v>2825</v>
      </c>
      <c r="AC456" s="40">
        <f t="shared" si="216"/>
        <v>9253.3374999999996</v>
      </c>
      <c r="AD456" s="31">
        <f>VLOOKUP($A456,kurspris!$A$1:$Q$950,3,FALSE)</f>
        <v>0</v>
      </c>
      <c r="AE456" s="31">
        <f>VLOOKUP($A456,kurspris!$A$1:$Q$950,4,FALSE)</f>
        <v>0</v>
      </c>
      <c r="AF456" s="31">
        <f>VLOOKUP($A456,kurspris!$A$1:$Q$950,5,FALSE)</f>
        <v>0</v>
      </c>
      <c r="AG456" s="31">
        <f>VLOOKUP($A456,kurspris!$A$1:$Q$950,6,FALSE)</f>
        <v>0</v>
      </c>
      <c r="AH456" s="31">
        <f>VLOOKUP($A456,kurspris!$A$1:$Q$950,7,FALSE)</f>
        <v>0</v>
      </c>
      <c r="AI456" s="31">
        <f>VLOOKUP($A456,kurspris!$A$1:$Q$950,8,FALSE)</f>
        <v>1</v>
      </c>
      <c r="AJ456" s="31">
        <f>VLOOKUP($A456,kurspris!$A$1:$Q$950,9,FALSE)</f>
        <v>0</v>
      </c>
      <c r="AK456" s="31">
        <f>VLOOKUP($A456,kurspris!$A$1:$Q$950,10,FALSE)</f>
        <v>0</v>
      </c>
      <c r="AL456" s="31">
        <f>VLOOKUP($A456,kurspris!$A$1:$Q$950,11,FALSE)</f>
        <v>0</v>
      </c>
      <c r="AM456" s="31">
        <f>VLOOKUP($A456,kurspris!$A$1:$Q$950,12,FALSE)</f>
        <v>0</v>
      </c>
      <c r="AN456" s="31">
        <f>VLOOKUP($A456,kurspris!$A$1:$Q$950,13,FALSE)</f>
        <v>0</v>
      </c>
      <c r="AO456" s="31">
        <f>VLOOKUP($A456,kurspris!$A$1:$Q$950,14,FALSE)</f>
        <v>0</v>
      </c>
      <c r="AP456" s="57" t="s">
        <v>2506</v>
      </c>
      <c r="AQ456"/>
      <c r="AR456" s="31">
        <f t="shared" si="217"/>
        <v>0</v>
      </c>
      <c r="AS456" s="219">
        <f t="shared" si="218"/>
        <v>0</v>
      </c>
      <c r="AT456" s="31">
        <f t="shared" si="219"/>
        <v>0</v>
      </c>
      <c r="AU456" s="219">
        <f t="shared" si="220"/>
        <v>0</v>
      </c>
      <c r="AV456" s="31">
        <f t="shared" si="221"/>
        <v>0</v>
      </c>
      <c r="AW456" s="31">
        <f t="shared" si="222"/>
        <v>0</v>
      </c>
      <c r="AX456" s="31">
        <f t="shared" si="223"/>
        <v>0</v>
      </c>
      <c r="AY456" s="219">
        <f t="shared" si="224"/>
        <v>0</v>
      </c>
      <c r="AZ456" s="196">
        <f t="shared" si="225"/>
        <v>0</v>
      </c>
      <c r="BA456" s="219">
        <f t="shared" si="226"/>
        <v>0</v>
      </c>
      <c r="BB456" s="31">
        <f t="shared" si="227"/>
        <v>0.125</v>
      </c>
      <c r="BC456" s="219">
        <f t="shared" si="228"/>
        <v>0.10625</v>
      </c>
      <c r="BD456" s="31">
        <f t="shared" si="229"/>
        <v>0</v>
      </c>
      <c r="BE456" s="219">
        <f t="shared" si="230"/>
        <v>0</v>
      </c>
      <c r="BF456" s="31">
        <f t="shared" si="231"/>
        <v>0</v>
      </c>
      <c r="BG456" s="219">
        <f t="shared" si="232"/>
        <v>0</v>
      </c>
      <c r="BH456" s="31">
        <f t="shared" si="233"/>
        <v>0</v>
      </c>
      <c r="BI456" s="219">
        <f t="shared" si="234"/>
        <v>0</v>
      </c>
      <c r="BJ456" s="31">
        <f t="shared" si="235"/>
        <v>0</v>
      </c>
      <c r="BK456" s="219">
        <f t="shared" si="236"/>
        <v>0</v>
      </c>
      <c r="BL456" s="31">
        <f t="shared" si="237"/>
        <v>0</v>
      </c>
      <c r="BM456" s="219">
        <f t="shared" si="238"/>
        <v>0</v>
      </c>
      <c r="BN456" s="31">
        <f t="shared" si="239"/>
        <v>0</v>
      </c>
      <c r="BO456" s="219">
        <f t="shared" si="240"/>
        <v>0</v>
      </c>
    </row>
    <row r="457" spans="1:67" x14ac:dyDescent="0.25">
      <c r="A457" s="31" t="s">
        <v>1880</v>
      </c>
      <c r="B457" s="176" t="str">
        <f>VLOOKUP(A457,kurspris!$A$1:$B$992,2,FALSE)</f>
        <v>Statistik för lärare</v>
      </c>
      <c r="D457" s="60" t="s">
        <v>482</v>
      </c>
      <c r="E457" s="576" t="s">
        <v>2434</v>
      </c>
      <c r="F457" s="31" t="s">
        <v>2273</v>
      </c>
      <c r="G457" t="s">
        <v>2441</v>
      </c>
      <c r="H457" t="s">
        <v>2335</v>
      </c>
      <c r="J457" s="31" t="s">
        <v>2507</v>
      </c>
      <c r="L457" s="38">
        <v>1</v>
      </c>
      <c r="M457">
        <v>7.5</v>
      </c>
      <c r="P457" s="31">
        <v>1</v>
      </c>
      <c r="Q457" s="196">
        <f t="shared" si="212"/>
        <v>0.125</v>
      </c>
      <c r="R457" s="38">
        <v>0.85</v>
      </c>
      <c r="S457" s="280">
        <f t="shared" si="213"/>
        <v>0.10625</v>
      </c>
      <c r="T457" s="31">
        <f>VLOOKUP(A457,'Ansvar kurs'!$A$1:$C$1123,2,FALSE)</f>
        <v>5730</v>
      </c>
      <c r="U457" s="31" t="str">
        <f>VLOOKUP(T457,Orgenheter!$A$1:$C$166,2,FALSE)</f>
        <v>Inst för MA och MA statistik</v>
      </c>
      <c r="V457" s="31" t="str">
        <f>VLOOKUP(T457,Orgenheter!$A$1:$C$166,3,FALSE)</f>
        <v>TekNat</v>
      </c>
      <c r="W457" s="35" t="str">
        <f>VLOOKUP(D457,Program!$A$1:$B$36,2,FALSE)</f>
        <v>Ämneslärarprogrammet - Gy</v>
      </c>
      <c r="X457" s="40">
        <f>VLOOKUP(A457,kurspris!$A$1:$Q$913,15,FALSE)</f>
        <v>20757</v>
      </c>
      <c r="Y457" s="40">
        <f>VLOOKUP(A457,kurspris!$A$1:$Q$913,16,FALSE)</f>
        <v>36082</v>
      </c>
      <c r="Z457" s="40">
        <f t="shared" si="214"/>
        <v>6428.3374999999996</v>
      </c>
      <c r="AA457" s="40">
        <f>VLOOKUP(A457,kurspris!$A$1:$Q$913,17,FALSE)</f>
        <v>22600</v>
      </c>
      <c r="AB457" s="40">
        <f t="shared" si="215"/>
        <v>2825</v>
      </c>
      <c r="AC457" s="40">
        <f t="shared" si="216"/>
        <v>9253.3374999999996</v>
      </c>
      <c r="AD457" s="31">
        <f>VLOOKUP($A457,kurspris!$A$1:$Q$950,3,FALSE)</f>
        <v>0</v>
      </c>
      <c r="AE457" s="31">
        <f>VLOOKUP($A457,kurspris!$A$1:$Q$950,4,FALSE)</f>
        <v>0</v>
      </c>
      <c r="AF457" s="31">
        <f>VLOOKUP($A457,kurspris!$A$1:$Q$950,5,FALSE)</f>
        <v>0</v>
      </c>
      <c r="AG457" s="31">
        <f>VLOOKUP($A457,kurspris!$A$1:$Q$950,6,FALSE)</f>
        <v>0</v>
      </c>
      <c r="AH457" s="31">
        <f>VLOOKUP($A457,kurspris!$A$1:$Q$950,7,FALSE)</f>
        <v>0</v>
      </c>
      <c r="AI457" s="31">
        <f>VLOOKUP($A457,kurspris!$A$1:$Q$950,8,FALSE)</f>
        <v>1</v>
      </c>
      <c r="AJ457" s="31">
        <f>VLOOKUP($A457,kurspris!$A$1:$Q$950,9,FALSE)</f>
        <v>0</v>
      </c>
      <c r="AK457" s="31">
        <f>VLOOKUP($A457,kurspris!$A$1:$Q$950,10,FALSE)</f>
        <v>0</v>
      </c>
      <c r="AL457" s="31">
        <f>VLOOKUP($A457,kurspris!$A$1:$Q$950,11,FALSE)</f>
        <v>0</v>
      </c>
      <c r="AM457" s="31">
        <f>VLOOKUP($A457,kurspris!$A$1:$Q$950,12,FALSE)</f>
        <v>0</v>
      </c>
      <c r="AN457" s="31">
        <f>VLOOKUP($A457,kurspris!$A$1:$Q$950,13,FALSE)</f>
        <v>0</v>
      </c>
      <c r="AO457" s="31">
        <f>VLOOKUP($A457,kurspris!$A$1:$Q$950,14,FALSE)</f>
        <v>0</v>
      </c>
      <c r="AP457" s="57" t="s">
        <v>2506</v>
      </c>
      <c r="AQ457"/>
      <c r="AR457" s="31">
        <f t="shared" si="217"/>
        <v>0</v>
      </c>
      <c r="AS457" s="219">
        <f t="shared" si="218"/>
        <v>0</v>
      </c>
      <c r="AT457" s="31">
        <f t="shared" si="219"/>
        <v>0</v>
      </c>
      <c r="AU457" s="219">
        <f t="shared" si="220"/>
        <v>0</v>
      </c>
      <c r="AV457" s="31">
        <f t="shared" si="221"/>
        <v>0</v>
      </c>
      <c r="AW457" s="31">
        <f t="shared" si="222"/>
        <v>0</v>
      </c>
      <c r="AX457" s="31">
        <f t="shared" si="223"/>
        <v>0</v>
      </c>
      <c r="AY457" s="219">
        <f t="shared" si="224"/>
        <v>0</v>
      </c>
      <c r="AZ457" s="196">
        <f t="shared" si="225"/>
        <v>0</v>
      </c>
      <c r="BA457" s="219">
        <f t="shared" si="226"/>
        <v>0</v>
      </c>
      <c r="BB457" s="31">
        <f t="shared" si="227"/>
        <v>0.125</v>
      </c>
      <c r="BC457" s="219">
        <f t="shared" si="228"/>
        <v>0.10625</v>
      </c>
      <c r="BD457" s="31">
        <f t="shared" si="229"/>
        <v>0</v>
      </c>
      <c r="BE457" s="219">
        <f t="shared" si="230"/>
        <v>0</v>
      </c>
      <c r="BF457" s="31">
        <f t="shared" si="231"/>
        <v>0</v>
      </c>
      <c r="BG457" s="219">
        <f t="shared" si="232"/>
        <v>0</v>
      </c>
      <c r="BH457" s="31">
        <f t="shared" si="233"/>
        <v>0</v>
      </c>
      <c r="BI457" s="219">
        <f t="shared" si="234"/>
        <v>0</v>
      </c>
      <c r="BJ457" s="31">
        <f t="shared" si="235"/>
        <v>0</v>
      </c>
      <c r="BK457" s="219">
        <f t="shared" si="236"/>
        <v>0</v>
      </c>
      <c r="BL457" s="31">
        <f t="shared" si="237"/>
        <v>0</v>
      </c>
      <c r="BM457" s="219">
        <f t="shared" si="238"/>
        <v>0</v>
      </c>
      <c r="BN457" s="31">
        <f t="shared" si="239"/>
        <v>0</v>
      </c>
      <c r="BO457" s="219">
        <f t="shared" si="240"/>
        <v>0</v>
      </c>
    </row>
    <row r="458" spans="1:67" x14ac:dyDescent="0.25">
      <c r="A458" s="31" t="s">
        <v>1880</v>
      </c>
      <c r="B458" s="176" t="str">
        <f>VLOOKUP(A458,kurspris!$A$1:$B$992,2,FALSE)</f>
        <v>Statistik för lärare</v>
      </c>
      <c r="D458" s="60" t="s">
        <v>482</v>
      </c>
      <c r="E458" s="576" t="s">
        <v>2432</v>
      </c>
      <c r="F458" s="31" t="s">
        <v>2273</v>
      </c>
      <c r="G458" t="s">
        <v>2441</v>
      </c>
      <c r="H458" t="s">
        <v>2335</v>
      </c>
      <c r="J458" s="31" t="s">
        <v>2233</v>
      </c>
      <c r="L458" s="38">
        <v>1</v>
      </c>
      <c r="M458">
        <v>7.5</v>
      </c>
      <c r="P458" s="31">
        <v>18</v>
      </c>
      <c r="Q458" s="196">
        <f t="shared" si="212"/>
        <v>2.25</v>
      </c>
      <c r="R458" s="38">
        <v>0.85</v>
      </c>
      <c r="S458" s="280">
        <f t="shared" si="213"/>
        <v>1.9124999999999999</v>
      </c>
      <c r="T458" s="31">
        <f>VLOOKUP(A458,'Ansvar kurs'!$A$1:$C$1123,2,FALSE)</f>
        <v>5730</v>
      </c>
      <c r="U458" s="31" t="str">
        <f>VLOOKUP(T458,Orgenheter!$A$1:$C$166,2,FALSE)</f>
        <v>Inst för MA och MA statistik</v>
      </c>
      <c r="V458" s="31" t="str">
        <f>VLOOKUP(T458,Orgenheter!$A$1:$C$166,3,FALSE)</f>
        <v>TekNat</v>
      </c>
      <c r="W458" s="35" t="str">
        <f>VLOOKUP(D458,Program!$A$1:$B$36,2,FALSE)</f>
        <v>Ämneslärarprogrammet - Gy</v>
      </c>
      <c r="X458" s="40">
        <f>VLOOKUP(A458,kurspris!$A$1:$Q$913,15,FALSE)</f>
        <v>20757</v>
      </c>
      <c r="Y458" s="40">
        <f>VLOOKUP(A458,kurspris!$A$1:$Q$913,16,FALSE)</f>
        <v>36082</v>
      </c>
      <c r="Z458" s="40">
        <f t="shared" si="214"/>
        <v>115710.075</v>
      </c>
      <c r="AA458" s="40">
        <f>VLOOKUP(A458,kurspris!$A$1:$Q$913,17,FALSE)</f>
        <v>22600</v>
      </c>
      <c r="AB458" s="40">
        <f t="shared" si="215"/>
        <v>50850</v>
      </c>
      <c r="AC458" s="40">
        <f t="shared" si="216"/>
        <v>166560.07500000001</v>
      </c>
      <c r="AD458" s="31">
        <f>VLOOKUP($A458,kurspris!$A$1:$Q$950,3,FALSE)</f>
        <v>0</v>
      </c>
      <c r="AE458" s="31">
        <f>VLOOKUP($A458,kurspris!$A$1:$Q$950,4,FALSE)</f>
        <v>0</v>
      </c>
      <c r="AF458" s="31">
        <f>VLOOKUP($A458,kurspris!$A$1:$Q$950,5,FALSE)</f>
        <v>0</v>
      </c>
      <c r="AG458" s="31">
        <f>VLOOKUP($A458,kurspris!$A$1:$Q$950,6,FALSE)</f>
        <v>0</v>
      </c>
      <c r="AH458" s="31">
        <f>VLOOKUP($A458,kurspris!$A$1:$Q$950,7,FALSE)</f>
        <v>0</v>
      </c>
      <c r="AI458" s="31">
        <f>VLOOKUP($A458,kurspris!$A$1:$Q$950,8,FALSE)</f>
        <v>1</v>
      </c>
      <c r="AJ458" s="31">
        <f>VLOOKUP($A458,kurspris!$A$1:$Q$950,9,FALSE)</f>
        <v>0</v>
      </c>
      <c r="AK458" s="31">
        <f>VLOOKUP($A458,kurspris!$A$1:$Q$950,10,FALSE)</f>
        <v>0</v>
      </c>
      <c r="AL458" s="31">
        <f>VLOOKUP($A458,kurspris!$A$1:$Q$950,11,FALSE)</f>
        <v>0</v>
      </c>
      <c r="AM458" s="31">
        <f>VLOOKUP($A458,kurspris!$A$1:$Q$950,12,FALSE)</f>
        <v>0</v>
      </c>
      <c r="AN458" s="31">
        <f>VLOOKUP($A458,kurspris!$A$1:$Q$950,13,FALSE)</f>
        <v>0</v>
      </c>
      <c r="AO458" s="31">
        <f>VLOOKUP($A458,kurspris!$A$1:$Q$950,14,FALSE)</f>
        <v>0</v>
      </c>
      <c r="AP458" s="57" t="s">
        <v>2506</v>
      </c>
      <c r="AQ458"/>
      <c r="AR458" s="31">
        <f t="shared" si="217"/>
        <v>0</v>
      </c>
      <c r="AS458" s="219">
        <f t="shared" si="218"/>
        <v>0</v>
      </c>
      <c r="AT458" s="31">
        <f t="shared" si="219"/>
        <v>0</v>
      </c>
      <c r="AU458" s="219">
        <f t="shared" si="220"/>
        <v>0</v>
      </c>
      <c r="AV458" s="31">
        <f t="shared" si="221"/>
        <v>0</v>
      </c>
      <c r="AW458" s="31">
        <f t="shared" si="222"/>
        <v>0</v>
      </c>
      <c r="AX458" s="31">
        <f t="shared" si="223"/>
        <v>0</v>
      </c>
      <c r="AY458" s="219">
        <f t="shared" si="224"/>
        <v>0</v>
      </c>
      <c r="AZ458" s="196">
        <f t="shared" si="225"/>
        <v>0</v>
      </c>
      <c r="BA458" s="219">
        <f t="shared" si="226"/>
        <v>0</v>
      </c>
      <c r="BB458" s="31">
        <f t="shared" si="227"/>
        <v>2.25</v>
      </c>
      <c r="BC458" s="219">
        <f t="shared" si="228"/>
        <v>1.9124999999999999</v>
      </c>
      <c r="BD458" s="31">
        <f t="shared" si="229"/>
        <v>0</v>
      </c>
      <c r="BE458" s="219">
        <f t="shared" si="230"/>
        <v>0</v>
      </c>
      <c r="BF458" s="31">
        <f t="shared" si="231"/>
        <v>0</v>
      </c>
      <c r="BG458" s="219">
        <f t="shared" si="232"/>
        <v>0</v>
      </c>
      <c r="BH458" s="31">
        <f t="shared" si="233"/>
        <v>0</v>
      </c>
      <c r="BI458" s="219">
        <f t="shared" si="234"/>
        <v>0</v>
      </c>
      <c r="BJ458" s="31">
        <f t="shared" si="235"/>
        <v>0</v>
      </c>
      <c r="BK458" s="219">
        <f t="shared" si="236"/>
        <v>0</v>
      </c>
      <c r="BL458" s="31">
        <f t="shared" si="237"/>
        <v>0</v>
      </c>
      <c r="BM458" s="219">
        <f t="shared" si="238"/>
        <v>0</v>
      </c>
      <c r="BN458" s="31">
        <f t="shared" si="239"/>
        <v>0</v>
      </c>
      <c r="BO458" s="219">
        <f t="shared" si="240"/>
        <v>0</v>
      </c>
    </row>
    <row r="459" spans="1:67" x14ac:dyDescent="0.25">
      <c r="A459" s="31" t="s">
        <v>1931</v>
      </c>
      <c r="B459" s="176" t="str">
        <f>VLOOKUP(A459,kurspris!$A$1:$B$992,2,FALSE)</f>
        <v>Statistik för naturvetare</v>
      </c>
      <c r="C459" s="31">
        <v>75805</v>
      </c>
      <c r="D459" s="60" t="s">
        <v>482</v>
      </c>
      <c r="E459" s="60"/>
      <c r="F459" s="57" t="s">
        <v>2274</v>
      </c>
      <c r="H459" s="31" t="s">
        <v>2335</v>
      </c>
      <c r="I459" s="31" t="s">
        <v>2399</v>
      </c>
      <c r="J459" s="31" t="s">
        <v>2233</v>
      </c>
      <c r="L459" s="38"/>
      <c r="M459">
        <v>7.5</v>
      </c>
      <c r="P459" s="31">
        <v>2</v>
      </c>
      <c r="Q459" s="539">
        <v>0.25</v>
      </c>
      <c r="R459" s="38">
        <v>0.85</v>
      </c>
      <c r="S459" s="280">
        <f t="shared" si="213"/>
        <v>0.21249999999999999</v>
      </c>
      <c r="T459" s="31">
        <f>VLOOKUP(A459,'Ansvar kurs'!$A$1:$C$1123,2,FALSE)</f>
        <v>5730</v>
      </c>
      <c r="U459" s="31" t="str">
        <f>VLOOKUP(T459,Orgenheter!$A$1:$C$166,2,FALSE)</f>
        <v>Inst för MA och MA statistik</v>
      </c>
      <c r="V459" s="31" t="str">
        <f>VLOOKUP(T459,Orgenheter!$A$1:$C$166,3,FALSE)</f>
        <v>TekNat</v>
      </c>
      <c r="W459" s="35" t="str">
        <f>VLOOKUP(D459,Program!$A$1:$B$36,2,FALSE)</f>
        <v>Ämneslärarprogrammet - Gy</v>
      </c>
      <c r="X459" s="40">
        <f>VLOOKUP(A459,kurspris!$A$1:$Q$913,15,FALSE)</f>
        <v>20757</v>
      </c>
      <c r="Y459" s="40">
        <f>VLOOKUP(A459,kurspris!$A$1:$Q$913,16,FALSE)</f>
        <v>36082</v>
      </c>
      <c r="Z459" s="40">
        <f t="shared" si="214"/>
        <v>12856.674999999999</v>
      </c>
      <c r="AA459" s="40">
        <f>VLOOKUP(A459,kurspris!$A$1:$Q$913,17,FALSE)</f>
        <v>22600</v>
      </c>
      <c r="AB459" s="40">
        <f t="shared" si="215"/>
        <v>5650</v>
      </c>
      <c r="AC459" s="40">
        <f t="shared" si="216"/>
        <v>18506.674999999999</v>
      </c>
      <c r="AD459" s="31">
        <f>VLOOKUP($A459,kurspris!$A$1:$Q$950,3,FALSE)</f>
        <v>0</v>
      </c>
      <c r="AE459" s="31">
        <f>VLOOKUP($A459,kurspris!$A$1:$Q$950,4,FALSE)</f>
        <v>0</v>
      </c>
      <c r="AF459" s="31">
        <f>VLOOKUP($A459,kurspris!$A$1:$Q$950,5,FALSE)</f>
        <v>0</v>
      </c>
      <c r="AG459" s="31">
        <f>VLOOKUP($A459,kurspris!$A$1:$Q$950,6,FALSE)</f>
        <v>0</v>
      </c>
      <c r="AH459" s="31">
        <f>VLOOKUP($A459,kurspris!$A$1:$Q$950,7,FALSE)</f>
        <v>0</v>
      </c>
      <c r="AI459" s="31">
        <f>VLOOKUP($A459,kurspris!$A$1:$Q$950,8,FALSE)</f>
        <v>0.5</v>
      </c>
      <c r="AJ459" s="31">
        <f>VLOOKUP($A459,kurspris!$A$1:$Q$950,9,FALSE)</f>
        <v>0</v>
      </c>
      <c r="AK459" s="31">
        <f>VLOOKUP($A459,kurspris!$A$1:$Q$950,10,FALSE)</f>
        <v>0.5</v>
      </c>
      <c r="AL459" s="31">
        <f>VLOOKUP($A459,kurspris!$A$1:$Q$950,11,FALSE)</f>
        <v>0</v>
      </c>
      <c r="AM459" s="31">
        <f>VLOOKUP($A459,kurspris!$A$1:$Q$950,12,FALSE)</f>
        <v>0</v>
      </c>
      <c r="AN459" s="31">
        <f>VLOOKUP($A459,kurspris!$A$1:$Q$950,13,FALSE)</f>
        <v>0</v>
      </c>
      <c r="AO459" s="31">
        <f>VLOOKUP($A459,kurspris!$A$1:$Q$950,14,FALSE)</f>
        <v>0</v>
      </c>
      <c r="AP459" s="57" t="s">
        <v>2402</v>
      </c>
      <c r="AQ459"/>
      <c r="AR459" s="31">
        <f t="shared" si="217"/>
        <v>0</v>
      </c>
      <c r="AS459" s="219">
        <f t="shared" si="218"/>
        <v>0</v>
      </c>
      <c r="AT459" s="31">
        <f t="shared" si="219"/>
        <v>0</v>
      </c>
      <c r="AU459" s="219">
        <f t="shared" si="220"/>
        <v>0</v>
      </c>
      <c r="AV459" s="31">
        <f t="shared" si="221"/>
        <v>0</v>
      </c>
      <c r="AW459" s="31">
        <f t="shared" si="222"/>
        <v>0</v>
      </c>
      <c r="AX459" s="31">
        <f t="shared" si="223"/>
        <v>0</v>
      </c>
      <c r="AY459" s="219">
        <f t="shared" si="224"/>
        <v>0</v>
      </c>
      <c r="AZ459" s="196">
        <f t="shared" si="225"/>
        <v>0</v>
      </c>
      <c r="BA459" s="219">
        <f t="shared" si="226"/>
        <v>0</v>
      </c>
      <c r="BB459" s="31">
        <f t="shared" si="227"/>
        <v>0.125</v>
      </c>
      <c r="BC459" s="219">
        <f t="shared" si="228"/>
        <v>0.10625</v>
      </c>
      <c r="BD459" s="31">
        <f t="shared" si="229"/>
        <v>0</v>
      </c>
      <c r="BE459" s="219">
        <f t="shared" si="230"/>
        <v>0</v>
      </c>
      <c r="BF459" s="31">
        <f t="shared" si="231"/>
        <v>0.125</v>
      </c>
      <c r="BG459" s="219">
        <f t="shared" si="232"/>
        <v>0.10625</v>
      </c>
      <c r="BH459" s="31">
        <f t="shared" si="233"/>
        <v>0</v>
      </c>
      <c r="BI459" s="219">
        <f t="shared" si="234"/>
        <v>0</v>
      </c>
      <c r="BJ459" s="31">
        <f t="shared" si="235"/>
        <v>0</v>
      </c>
      <c r="BK459" s="219">
        <f t="shared" si="236"/>
        <v>0</v>
      </c>
      <c r="BL459" s="31">
        <f t="shared" si="237"/>
        <v>0</v>
      </c>
      <c r="BM459" s="219">
        <f t="shared" si="238"/>
        <v>0</v>
      </c>
      <c r="BN459" s="31">
        <f t="shared" si="239"/>
        <v>0</v>
      </c>
      <c r="BO459" s="219">
        <f t="shared" si="240"/>
        <v>0</v>
      </c>
    </row>
    <row r="460" spans="1:67" x14ac:dyDescent="0.25">
      <c r="A460" s="31" t="s">
        <v>764</v>
      </c>
      <c r="B460" s="176" t="str">
        <f>VLOOKUP(A460,kurspris!$A$1:$B$992,2,FALSE)</f>
        <v>Musik 1</v>
      </c>
      <c r="C460" s="31">
        <v>66703</v>
      </c>
      <c r="D460" s="60" t="s">
        <v>482</v>
      </c>
      <c r="E460" s="60"/>
      <c r="F460" s="57" t="s">
        <v>2274</v>
      </c>
      <c r="H460" s="31" t="s">
        <v>2335</v>
      </c>
      <c r="I460" s="31" t="s">
        <v>2399</v>
      </c>
      <c r="J460" s="31" t="s">
        <v>2233</v>
      </c>
      <c r="L460" s="38"/>
      <c r="M460">
        <v>30</v>
      </c>
      <c r="P460" s="31">
        <v>1</v>
      </c>
      <c r="Q460" s="539">
        <v>0.5</v>
      </c>
      <c r="R460" s="38">
        <v>0.85</v>
      </c>
      <c r="S460" s="280">
        <f t="shared" si="213"/>
        <v>0.42499999999999999</v>
      </c>
      <c r="T460" s="31">
        <f>VLOOKUP(A460,'Ansvar kurs'!$A$1:$C$1123,2,FALSE)</f>
        <v>1650</v>
      </c>
      <c r="U460" s="31" t="str">
        <f>VLOOKUP(T460,Orgenheter!$A$1:$C$166,2,FALSE)</f>
        <v xml:space="preserve">Estetiska ämnen               </v>
      </c>
      <c r="V460" s="31" t="str">
        <f>VLOOKUP(T460,Orgenheter!$A$1:$C$166,3,FALSE)</f>
        <v>Hum</v>
      </c>
      <c r="W460" s="35" t="str">
        <f>VLOOKUP(D460,Program!$A$1:$B$36,2,FALSE)</f>
        <v>Ämneslärarprogrammet - Gy</v>
      </c>
      <c r="X460" s="40">
        <f>VLOOKUP(A460,kurspris!$A$1:$Q$913,15,FALSE)</f>
        <v>33396</v>
      </c>
      <c r="Y460" s="40">
        <f>VLOOKUP(A460,kurspris!$A$1:$Q$913,16,FALSE)</f>
        <v>66137</v>
      </c>
      <c r="Z460" s="40">
        <f t="shared" si="214"/>
        <v>44806.224999999999</v>
      </c>
      <c r="AA460" s="40">
        <f>VLOOKUP(A460,kurspris!$A$1:$Q$913,17,FALSE)</f>
        <v>72600</v>
      </c>
      <c r="AB460" s="40">
        <f t="shared" si="215"/>
        <v>36300</v>
      </c>
      <c r="AC460" s="40">
        <f t="shared" si="216"/>
        <v>81106.225000000006</v>
      </c>
      <c r="AD460" s="31">
        <f>VLOOKUP($A460,kurspris!$A$1:$Q$950,3,FALSE)</f>
        <v>0</v>
      </c>
      <c r="AE460" s="31">
        <f>VLOOKUP($A460,kurspris!$A$1:$Q$950,4,FALSE)</f>
        <v>0</v>
      </c>
      <c r="AF460" s="31">
        <f>VLOOKUP($A460,kurspris!$A$1:$Q$950,5,FALSE)</f>
        <v>0</v>
      </c>
      <c r="AG460" s="31">
        <f>VLOOKUP($A460,kurspris!$A$1:$Q$950,6,FALSE)</f>
        <v>0</v>
      </c>
      <c r="AH460" s="31">
        <f>VLOOKUP($A460,kurspris!$A$1:$Q$950,7,FALSE)</f>
        <v>1</v>
      </c>
      <c r="AI460" s="31">
        <f>VLOOKUP($A460,kurspris!$A$1:$Q$950,8,FALSE)</f>
        <v>0</v>
      </c>
      <c r="AJ460" s="31">
        <f>VLOOKUP($A460,kurspris!$A$1:$Q$950,9,FALSE)</f>
        <v>0</v>
      </c>
      <c r="AK460" s="31">
        <f>VLOOKUP($A460,kurspris!$A$1:$Q$950,10,FALSE)</f>
        <v>0</v>
      </c>
      <c r="AL460" s="31">
        <f>VLOOKUP($A460,kurspris!$A$1:$Q$950,11,FALSE)</f>
        <v>0</v>
      </c>
      <c r="AM460" s="31">
        <f>VLOOKUP($A460,kurspris!$A$1:$Q$950,12,FALSE)</f>
        <v>0</v>
      </c>
      <c r="AN460" s="31">
        <f>VLOOKUP($A460,kurspris!$A$1:$Q$950,13,FALSE)</f>
        <v>0</v>
      </c>
      <c r="AO460" s="31">
        <f>VLOOKUP($A460,kurspris!$A$1:$Q$950,14,FALSE)</f>
        <v>0</v>
      </c>
      <c r="AP460" s="57" t="s">
        <v>2402</v>
      </c>
      <c r="AQ460"/>
      <c r="AR460" s="31">
        <f t="shared" si="217"/>
        <v>0</v>
      </c>
      <c r="AS460" s="219">
        <f t="shared" si="218"/>
        <v>0</v>
      </c>
      <c r="AT460" s="31">
        <f t="shared" si="219"/>
        <v>0</v>
      </c>
      <c r="AU460" s="219">
        <f t="shared" si="220"/>
        <v>0</v>
      </c>
      <c r="AV460" s="31">
        <f t="shared" si="221"/>
        <v>0</v>
      </c>
      <c r="AW460" s="31">
        <f t="shared" si="222"/>
        <v>0</v>
      </c>
      <c r="AX460" s="31">
        <f t="shared" si="223"/>
        <v>0</v>
      </c>
      <c r="AY460" s="219">
        <f t="shared" si="224"/>
        <v>0</v>
      </c>
      <c r="AZ460" s="196">
        <f t="shared" si="225"/>
        <v>0.5</v>
      </c>
      <c r="BA460" s="219">
        <f t="shared" si="226"/>
        <v>0.42499999999999999</v>
      </c>
      <c r="BB460" s="31">
        <f t="shared" si="227"/>
        <v>0</v>
      </c>
      <c r="BC460" s="219">
        <f t="shared" si="228"/>
        <v>0</v>
      </c>
      <c r="BD460" s="31">
        <f t="shared" si="229"/>
        <v>0</v>
      </c>
      <c r="BE460" s="219">
        <f t="shared" si="230"/>
        <v>0</v>
      </c>
      <c r="BF460" s="31">
        <f t="shared" si="231"/>
        <v>0</v>
      </c>
      <c r="BG460" s="219">
        <f t="shared" si="232"/>
        <v>0</v>
      </c>
      <c r="BH460" s="31">
        <f t="shared" si="233"/>
        <v>0</v>
      </c>
      <c r="BI460" s="219">
        <f t="shared" si="234"/>
        <v>0</v>
      </c>
      <c r="BJ460" s="31">
        <f t="shared" si="235"/>
        <v>0</v>
      </c>
      <c r="BK460" s="219">
        <f t="shared" si="236"/>
        <v>0</v>
      </c>
      <c r="BL460" s="31">
        <f t="shared" si="237"/>
        <v>0</v>
      </c>
      <c r="BM460" s="219">
        <f t="shared" si="238"/>
        <v>0</v>
      </c>
      <c r="BN460" s="31">
        <f t="shared" si="239"/>
        <v>0</v>
      </c>
      <c r="BO460" s="219">
        <f t="shared" si="240"/>
        <v>0</v>
      </c>
    </row>
    <row r="461" spans="1:67" x14ac:dyDescent="0.25">
      <c r="A461" s="31" t="s">
        <v>764</v>
      </c>
      <c r="B461" s="176" t="str">
        <f>VLOOKUP(A461,kurspris!$A$1:$B$992,2,FALSE)</f>
        <v>Musik 1</v>
      </c>
      <c r="C461" s="31">
        <v>66703</v>
      </c>
      <c r="D461" s="60" t="s">
        <v>482</v>
      </c>
      <c r="E461" s="60"/>
      <c r="F461" s="57" t="s">
        <v>2274</v>
      </c>
      <c r="H461" s="31" t="s">
        <v>2335</v>
      </c>
      <c r="I461" s="31" t="s">
        <v>2399</v>
      </c>
      <c r="J461" s="31" t="s">
        <v>2236</v>
      </c>
      <c r="L461" s="38"/>
      <c r="M461">
        <v>30</v>
      </c>
      <c r="P461" s="31">
        <v>5</v>
      </c>
      <c r="Q461" s="539">
        <v>2.5</v>
      </c>
      <c r="R461" s="38">
        <v>0.85</v>
      </c>
      <c r="S461" s="280">
        <f t="shared" si="213"/>
        <v>2.125</v>
      </c>
      <c r="T461" s="31">
        <f>VLOOKUP(A461,'Ansvar kurs'!$A$1:$C$1123,2,FALSE)</f>
        <v>1650</v>
      </c>
      <c r="U461" s="31" t="str">
        <f>VLOOKUP(T461,Orgenheter!$A$1:$C$166,2,FALSE)</f>
        <v xml:space="preserve">Estetiska ämnen               </v>
      </c>
      <c r="V461" s="31" t="str">
        <f>VLOOKUP(T461,Orgenheter!$A$1:$C$166,3,FALSE)</f>
        <v>Hum</v>
      </c>
      <c r="W461" s="35" t="str">
        <f>VLOOKUP(D461,Program!$A$1:$B$36,2,FALSE)</f>
        <v>Ämneslärarprogrammet - Gy</v>
      </c>
      <c r="X461" s="40">
        <f>VLOOKUP(A461,kurspris!$A$1:$Q$913,15,FALSE)</f>
        <v>33396</v>
      </c>
      <c r="Y461" s="40">
        <f>VLOOKUP(A461,kurspris!$A$1:$Q$913,16,FALSE)</f>
        <v>66137</v>
      </c>
      <c r="Z461" s="40">
        <f t="shared" si="214"/>
        <v>224031.125</v>
      </c>
      <c r="AA461" s="40">
        <f>VLOOKUP(A461,kurspris!$A$1:$Q$913,17,FALSE)</f>
        <v>72600</v>
      </c>
      <c r="AB461" s="40">
        <f t="shared" si="215"/>
        <v>181500</v>
      </c>
      <c r="AC461" s="40">
        <f t="shared" si="216"/>
        <v>405531.125</v>
      </c>
      <c r="AD461" s="31">
        <f>VLOOKUP($A461,kurspris!$A$1:$Q$950,3,FALSE)</f>
        <v>0</v>
      </c>
      <c r="AE461" s="31">
        <f>VLOOKUP($A461,kurspris!$A$1:$Q$950,4,FALSE)</f>
        <v>0</v>
      </c>
      <c r="AF461" s="31">
        <f>VLOOKUP($A461,kurspris!$A$1:$Q$950,5,FALSE)</f>
        <v>0</v>
      </c>
      <c r="AG461" s="31">
        <f>VLOOKUP($A461,kurspris!$A$1:$Q$950,6,FALSE)</f>
        <v>0</v>
      </c>
      <c r="AH461" s="31">
        <f>VLOOKUP($A461,kurspris!$A$1:$Q$950,7,FALSE)</f>
        <v>1</v>
      </c>
      <c r="AI461" s="31">
        <f>VLOOKUP($A461,kurspris!$A$1:$Q$950,8,FALSE)</f>
        <v>0</v>
      </c>
      <c r="AJ461" s="31">
        <f>VLOOKUP($A461,kurspris!$A$1:$Q$950,9,FALSE)</f>
        <v>0</v>
      </c>
      <c r="AK461" s="31">
        <f>VLOOKUP($A461,kurspris!$A$1:$Q$950,10,FALSE)</f>
        <v>0</v>
      </c>
      <c r="AL461" s="31">
        <f>VLOOKUP($A461,kurspris!$A$1:$Q$950,11,FALSE)</f>
        <v>0</v>
      </c>
      <c r="AM461" s="31">
        <f>VLOOKUP($A461,kurspris!$A$1:$Q$950,12,FALSE)</f>
        <v>0</v>
      </c>
      <c r="AN461" s="31">
        <f>VLOOKUP($A461,kurspris!$A$1:$Q$950,13,FALSE)</f>
        <v>0</v>
      </c>
      <c r="AO461" s="31">
        <f>VLOOKUP($A461,kurspris!$A$1:$Q$950,14,FALSE)</f>
        <v>0</v>
      </c>
      <c r="AP461" s="57" t="s">
        <v>2402</v>
      </c>
      <c r="AQ461"/>
      <c r="AR461" s="31">
        <f t="shared" si="217"/>
        <v>0</v>
      </c>
      <c r="AS461" s="219">
        <f t="shared" si="218"/>
        <v>0</v>
      </c>
      <c r="AT461" s="31">
        <f t="shared" si="219"/>
        <v>0</v>
      </c>
      <c r="AU461" s="219">
        <f t="shared" si="220"/>
        <v>0</v>
      </c>
      <c r="AV461" s="31">
        <f t="shared" si="221"/>
        <v>0</v>
      </c>
      <c r="AW461" s="31">
        <f t="shared" si="222"/>
        <v>0</v>
      </c>
      <c r="AX461" s="31">
        <f t="shared" si="223"/>
        <v>0</v>
      </c>
      <c r="AY461" s="219">
        <f t="shared" si="224"/>
        <v>0</v>
      </c>
      <c r="AZ461" s="196">
        <f t="shared" si="225"/>
        <v>2.5</v>
      </c>
      <c r="BA461" s="219">
        <f t="shared" si="226"/>
        <v>2.125</v>
      </c>
      <c r="BB461" s="31">
        <f t="shared" si="227"/>
        <v>0</v>
      </c>
      <c r="BC461" s="219">
        <f t="shared" si="228"/>
        <v>0</v>
      </c>
      <c r="BD461" s="31">
        <f t="shared" si="229"/>
        <v>0</v>
      </c>
      <c r="BE461" s="219">
        <f t="shared" si="230"/>
        <v>0</v>
      </c>
      <c r="BF461" s="31">
        <f t="shared" si="231"/>
        <v>0</v>
      </c>
      <c r="BG461" s="219">
        <f t="shared" si="232"/>
        <v>0</v>
      </c>
      <c r="BH461" s="31">
        <f t="shared" si="233"/>
        <v>0</v>
      </c>
      <c r="BI461" s="219">
        <f t="shared" si="234"/>
        <v>0</v>
      </c>
      <c r="BJ461" s="31">
        <f t="shared" si="235"/>
        <v>0</v>
      </c>
      <c r="BK461" s="219">
        <f t="shared" si="236"/>
        <v>0</v>
      </c>
      <c r="BL461" s="31">
        <f t="shared" si="237"/>
        <v>0</v>
      </c>
      <c r="BM461" s="219">
        <f t="shared" si="238"/>
        <v>0</v>
      </c>
      <c r="BN461" s="31">
        <f t="shared" si="239"/>
        <v>0</v>
      </c>
      <c r="BO461" s="219">
        <f t="shared" si="240"/>
        <v>0</v>
      </c>
    </row>
    <row r="462" spans="1:67" x14ac:dyDescent="0.25">
      <c r="A462" s="31" t="s">
        <v>1107</v>
      </c>
      <c r="B462" s="176" t="str">
        <f>VLOOKUP(A462,kurspris!$A$1:$B$992,2,FALSE)</f>
        <v>Musik 1 30 hp, fristående</v>
      </c>
      <c r="C462" s="31">
        <v>66710</v>
      </c>
      <c r="D462" s="60" t="s">
        <v>117</v>
      </c>
      <c r="E462" s="60"/>
      <c r="F462" s="57" t="s">
        <v>2274</v>
      </c>
      <c r="H462" s="31" t="s">
        <v>2335</v>
      </c>
      <c r="I462" s="31" t="s">
        <v>2399</v>
      </c>
      <c r="L462" s="38"/>
      <c r="M462">
        <v>30</v>
      </c>
      <c r="P462" s="31">
        <v>1</v>
      </c>
      <c r="Q462" s="539">
        <v>0.5</v>
      </c>
      <c r="R462" s="38">
        <v>0.8</v>
      </c>
      <c r="S462" s="280">
        <f t="shared" si="213"/>
        <v>0.4</v>
      </c>
      <c r="T462" s="31">
        <f>VLOOKUP(A462,'Ansvar kurs'!$A$1:$C$1123,2,FALSE)</f>
        <v>1650</v>
      </c>
      <c r="U462" s="31" t="str">
        <f>VLOOKUP(T462,Orgenheter!$A$1:$C$166,2,FALSE)</f>
        <v xml:space="preserve">Estetiska ämnen               </v>
      </c>
      <c r="V462" s="31" t="str">
        <f>VLOOKUP(T462,Orgenheter!$A$1:$C$166,3,FALSE)</f>
        <v>Hum</v>
      </c>
      <c r="W462" s="35" t="str">
        <f>VLOOKUP(D462,Program!$A$1:$B$36,2,FALSE)</f>
        <v>Fristående och övriga kurser</v>
      </c>
      <c r="X462" s="40">
        <f>VLOOKUP(A462,kurspris!$A$1:$Q$913,15,FALSE)</f>
        <v>33396</v>
      </c>
      <c r="Y462" s="40">
        <f>VLOOKUP(A462,kurspris!$A$1:$Q$913,16,FALSE)</f>
        <v>66137</v>
      </c>
      <c r="Z462" s="40">
        <f t="shared" si="214"/>
        <v>43152.800000000003</v>
      </c>
      <c r="AA462" s="40">
        <f>VLOOKUP(A462,kurspris!$A$1:$Q$913,17,FALSE)</f>
        <v>72600</v>
      </c>
      <c r="AB462" s="40">
        <f t="shared" si="215"/>
        <v>36300</v>
      </c>
      <c r="AC462" s="40">
        <f t="shared" si="216"/>
        <v>79452.800000000003</v>
      </c>
      <c r="AD462" s="31">
        <f>VLOOKUP($A462,kurspris!$A$1:$Q$950,3,FALSE)</f>
        <v>0</v>
      </c>
      <c r="AE462" s="31">
        <f>VLOOKUP($A462,kurspris!$A$1:$Q$950,4,FALSE)</f>
        <v>0</v>
      </c>
      <c r="AF462" s="31">
        <f>VLOOKUP($A462,kurspris!$A$1:$Q$950,5,FALSE)</f>
        <v>0</v>
      </c>
      <c r="AG462" s="31">
        <f>VLOOKUP($A462,kurspris!$A$1:$Q$950,6,FALSE)</f>
        <v>0</v>
      </c>
      <c r="AH462" s="31">
        <f>VLOOKUP($A462,kurspris!$A$1:$Q$950,7,FALSE)</f>
        <v>1</v>
      </c>
      <c r="AI462" s="31">
        <f>VLOOKUP($A462,kurspris!$A$1:$Q$950,8,FALSE)</f>
        <v>0</v>
      </c>
      <c r="AJ462" s="31">
        <f>VLOOKUP($A462,kurspris!$A$1:$Q$950,9,FALSE)</f>
        <v>0</v>
      </c>
      <c r="AK462" s="31">
        <f>VLOOKUP($A462,kurspris!$A$1:$Q$950,10,FALSE)</f>
        <v>0</v>
      </c>
      <c r="AL462" s="31">
        <f>VLOOKUP($A462,kurspris!$A$1:$Q$950,11,FALSE)</f>
        <v>0</v>
      </c>
      <c r="AM462" s="31">
        <f>VLOOKUP($A462,kurspris!$A$1:$Q$950,12,FALSE)</f>
        <v>0</v>
      </c>
      <c r="AN462" s="31">
        <f>VLOOKUP($A462,kurspris!$A$1:$Q$950,13,FALSE)</f>
        <v>0</v>
      </c>
      <c r="AO462" s="31">
        <f>VLOOKUP($A462,kurspris!$A$1:$Q$950,14,FALSE)</f>
        <v>0</v>
      </c>
      <c r="AP462" s="57" t="s">
        <v>2402</v>
      </c>
      <c r="AQ462"/>
      <c r="AR462" s="31">
        <f t="shared" si="217"/>
        <v>0</v>
      </c>
      <c r="AS462" s="219">
        <f t="shared" si="218"/>
        <v>0</v>
      </c>
      <c r="AT462" s="31">
        <f t="shared" si="219"/>
        <v>0</v>
      </c>
      <c r="AU462" s="219">
        <f t="shared" si="220"/>
        <v>0</v>
      </c>
      <c r="AV462" s="31">
        <f t="shared" si="221"/>
        <v>0</v>
      </c>
      <c r="AW462" s="31">
        <f t="shared" si="222"/>
        <v>0</v>
      </c>
      <c r="AX462" s="31">
        <f t="shared" si="223"/>
        <v>0</v>
      </c>
      <c r="AY462" s="219">
        <f t="shared" si="224"/>
        <v>0</v>
      </c>
      <c r="AZ462" s="196">
        <f t="shared" si="225"/>
        <v>0.5</v>
      </c>
      <c r="BA462" s="219">
        <f t="shared" si="226"/>
        <v>0.4</v>
      </c>
      <c r="BB462" s="31">
        <f t="shared" si="227"/>
        <v>0</v>
      </c>
      <c r="BC462" s="219">
        <f t="shared" si="228"/>
        <v>0</v>
      </c>
      <c r="BD462" s="31">
        <f t="shared" si="229"/>
        <v>0</v>
      </c>
      <c r="BE462" s="219">
        <f t="shared" si="230"/>
        <v>0</v>
      </c>
      <c r="BF462" s="31">
        <f t="shared" si="231"/>
        <v>0</v>
      </c>
      <c r="BG462" s="219">
        <f t="shared" si="232"/>
        <v>0</v>
      </c>
      <c r="BH462" s="31">
        <f t="shared" si="233"/>
        <v>0</v>
      </c>
      <c r="BI462" s="219">
        <f t="shared" si="234"/>
        <v>0</v>
      </c>
      <c r="BJ462" s="31">
        <f t="shared" si="235"/>
        <v>0</v>
      </c>
      <c r="BK462" s="219">
        <f t="shared" si="236"/>
        <v>0</v>
      </c>
      <c r="BL462" s="31">
        <f t="shared" si="237"/>
        <v>0</v>
      </c>
      <c r="BM462" s="219">
        <f t="shared" si="238"/>
        <v>0</v>
      </c>
      <c r="BN462" s="31">
        <f t="shared" si="239"/>
        <v>0</v>
      </c>
      <c r="BO462" s="219">
        <f t="shared" si="240"/>
        <v>0</v>
      </c>
    </row>
    <row r="463" spans="1:67" x14ac:dyDescent="0.25">
      <c r="A463" s="31" t="s">
        <v>1549</v>
      </c>
      <c r="B463" s="176" t="str">
        <f>VLOOKUP(A463,kurspris!$A$1:$B$992,2,FALSE)</f>
        <v>Musik fördjupning 3</v>
      </c>
      <c r="C463" s="31" t="s">
        <v>2386</v>
      </c>
      <c r="D463" s="60" t="s">
        <v>482</v>
      </c>
      <c r="E463" s="60"/>
      <c r="F463" s="57" t="s">
        <v>2274</v>
      </c>
      <c r="H463" s="31" t="s">
        <v>2335</v>
      </c>
      <c r="I463" s="31" t="s">
        <v>2399</v>
      </c>
      <c r="J463" s="31" t="s">
        <v>2236</v>
      </c>
      <c r="L463" s="38"/>
      <c r="M463">
        <v>30</v>
      </c>
      <c r="P463" s="31">
        <v>3</v>
      </c>
      <c r="Q463" s="539">
        <v>1.5</v>
      </c>
      <c r="R463" s="38">
        <v>0.85</v>
      </c>
      <c r="S463" s="280">
        <f t="shared" si="213"/>
        <v>1.2749999999999999</v>
      </c>
      <c r="T463" s="31">
        <f>VLOOKUP(A463,'Ansvar kurs'!$A$1:$C$1123,2,FALSE)</f>
        <v>1650</v>
      </c>
      <c r="U463" s="31" t="str">
        <f>VLOOKUP(T463,Orgenheter!$A$1:$C$166,2,FALSE)</f>
        <v xml:space="preserve">Estetiska ämnen               </v>
      </c>
      <c r="V463" s="31" t="str">
        <f>VLOOKUP(T463,Orgenheter!$A$1:$C$166,3,FALSE)</f>
        <v>Hum</v>
      </c>
      <c r="W463" s="35" t="str">
        <f>VLOOKUP(D463,Program!$A$1:$B$36,2,FALSE)</f>
        <v>Ämneslärarprogrammet - Gy</v>
      </c>
      <c r="X463" s="40">
        <f>VLOOKUP(A463,kurspris!$A$1:$Q$913,15,FALSE)</f>
        <v>33396</v>
      </c>
      <c r="Y463" s="40">
        <f>VLOOKUP(A463,kurspris!$A$1:$Q$913,16,FALSE)</f>
        <v>66137</v>
      </c>
      <c r="Z463" s="40">
        <f t="shared" si="214"/>
        <v>134418.67499999999</v>
      </c>
      <c r="AA463" s="40">
        <f>VLOOKUP(A463,kurspris!$A$1:$Q$913,17,FALSE)</f>
        <v>72600</v>
      </c>
      <c r="AB463" s="40">
        <f t="shared" si="215"/>
        <v>108900</v>
      </c>
      <c r="AC463" s="40">
        <f t="shared" si="216"/>
        <v>243318.67499999999</v>
      </c>
      <c r="AD463" s="31">
        <f>VLOOKUP($A463,kurspris!$A$1:$Q$950,3,FALSE)</f>
        <v>0</v>
      </c>
      <c r="AE463" s="31">
        <f>VLOOKUP($A463,kurspris!$A$1:$Q$950,4,FALSE)</f>
        <v>0</v>
      </c>
      <c r="AF463" s="31">
        <f>VLOOKUP($A463,kurspris!$A$1:$Q$950,5,FALSE)</f>
        <v>0</v>
      </c>
      <c r="AG463" s="31">
        <f>VLOOKUP($A463,kurspris!$A$1:$Q$950,6,FALSE)</f>
        <v>0</v>
      </c>
      <c r="AH463" s="31">
        <f>VLOOKUP($A463,kurspris!$A$1:$Q$950,7,FALSE)</f>
        <v>1</v>
      </c>
      <c r="AI463" s="31">
        <f>VLOOKUP($A463,kurspris!$A$1:$Q$950,8,FALSE)</f>
        <v>0</v>
      </c>
      <c r="AJ463" s="31">
        <f>VLOOKUP($A463,kurspris!$A$1:$Q$950,9,FALSE)</f>
        <v>0</v>
      </c>
      <c r="AK463" s="31">
        <f>VLOOKUP($A463,kurspris!$A$1:$Q$950,10,FALSE)</f>
        <v>0</v>
      </c>
      <c r="AL463" s="31">
        <f>VLOOKUP($A463,kurspris!$A$1:$Q$950,11,FALSE)</f>
        <v>0</v>
      </c>
      <c r="AM463" s="31">
        <f>VLOOKUP($A463,kurspris!$A$1:$Q$950,12,FALSE)</f>
        <v>0</v>
      </c>
      <c r="AN463" s="31">
        <f>VLOOKUP($A463,kurspris!$A$1:$Q$950,13,FALSE)</f>
        <v>0</v>
      </c>
      <c r="AO463" s="31">
        <f>VLOOKUP($A463,kurspris!$A$1:$Q$950,14,FALSE)</f>
        <v>0</v>
      </c>
      <c r="AP463" s="57" t="s">
        <v>2402</v>
      </c>
      <c r="AQ463"/>
      <c r="AR463" s="31">
        <f t="shared" si="217"/>
        <v>0</v>
      </c>
      <c r="AS463" s="219">
        <f t="shared" si="218"/>
        <v>0</v>
      </c>
      <c r="AT463" s="31">
        <f t="shared" si="219"/>
        <v>0</v>
      </c>
      <c r="AU463" s="219">
        <f t="shared" si="220"/>
        <v>0</v>
      </c>
      <c r="AV463" s="31">
        <f t="shared" si="221"/>
        <v>0</v>
      </c>
      <c r="AW463" s="31">
        <f t="shared" si="222"/>
        <v>0</v>
      </c>
      <c r="AX463" s="31">
        <f t="shared" si="223"/>
        <v>0</v>
      </c>
      <c r="AY463" s="219">
        <f t="shared" si="224"/>
        <v>0</v>
      </c>
      <c r="AZ463" s="196">
        <f t="shared" si="225"/>
        <v>1.5</v>
      </c>
      <c r="BA463" s="219">
        <f t="shared" si="226"/>
        <v>1.2749999999999999</v>
      </c>
      <c r="BB463" s="31">
        <f t="shared" si="227"/>
        <v>0</v>
      </c>
      <c r="BC463" s="219">
        <f t="shared" si="228"/>
        <v>0</v>
      </c>
      <c r="BD463" s="31">
        <f t="shared" si="229"/>
        <v>0</v>
      </c>
      <c r="BE463" s="219">
        <f t="shared" si="230"/>
        <v>0</v>
      </c>
      <c r="BF463" s="31">
        <f t="shared" si="231"/>
        <v>0</v>
      </c>
      <c r="BG463" s="219">
        <f t="shared" si="232"/>
        <v>0</v>
      </c>
      <c r="BH463" s="31">
        <f t="shared" si="233"/>
        <v>0</v>
      </c>
      <c r="BI463" s="219">
        <f t="shared" si="234"/>
        <v>0</v>
      </c>
      <c r="BJ463" s="31">
        <f t="shared" si="235"/>
        <v>0</v>
      </c>
      <c r="BK463" s="219">
        <f t="shared" si="236"/>
        <v>0</v>
      </c>
      <c r="BL463" s="31">
        <f t="shared" si="237"/>
        <v>0</v>
      </c>
      <c r="BM463" s="219">
        <f t="shared" si="238"/>
        <v>0</v>
      </c>
      <c r="BN463" s="31">
        <f t="shared" si="239"/>
        <v>0</v>
      </c>
      <c r="BO463" s="219">
        <f t="shared" si="240"/>
        <v>0</v>
      </c>
    </row>
    <row r="464" spans="1:67" x14ac:dyDescent="0.25">
      <c r="A464" s="31" t="s">
        <v>2091</v>
      </c>
      <c r="B464" s="176" t="str">
        <f>VLOOKUP(A464,kurspris!$A$1:$B$992,2,FALSE)</f>
        <v>Musik 1, distans</v>
      </c>
      <c r="C464" s="31">
        <v>66608</v>
      </c>
      <c r="D464" s="60" t="s">
        <v>117</v>
      </c>
      <c r="E464" s="60"/>
      <c r="F464" s="57" t="s">
        <v>2274</v>
      </c>
      <c r="H464" s="31" t="s">
        <v>2335</v>
      </c>
      <c r="I464" s="31" t="s">
        <v>2275</v>
      </c>
      <c r="L464" s="38"/>
      <c r="M464" s="244">
        <v>15</v>
      </c>
      <c r="P464" s="31">
        <v>15</v>
      </c>
      <c r="Q464" s="539">
        <v>3.75</v>
      </c>
      <c r="R464" s="38">
        <v>0.8</v>
      </c>
      <c r="S464" s="280">
        <f t="shared" si="213"/>
        <v>3</v>
      </c>
      <c r="T464" s="31">
        <f>VLOOKUP(A464,'Ansvar kurs'!$A$1:$C$1123,2,FALSE)</f>
        <v>1650</v>
      </c>
      <c r="U464" s="31" t="str">
        <f>VLOOKUP(T464,Orgenheter!$A$1:$C$166,2,FALSE)</f>
        <v xml:space="preserve">Estetiska ämnen               </v>
      </c>
      <c r="V464" s="31" t="str">
        <f>VLOOKUP(T464,Orgenheter!$A$1:$C$166,3,FALSE)</f>
        <v>Hum</v>
      </c>
      <c r="W464" s="35" t="str">
        <f>VLOOKUP(D464,Program!$A$1:$B$36,2,FALSE)</f>
        <v>Fristående och övriga kurser</v>
      </c>
      <c r="X464" s="40">
        <f>VLOOKUP(A464,kurspris!$A$1:$Q$913,15,FALSE)</f>
        <v>33396</v>
      </c>
      <c r="Y464" s="40">
        <f>VLOOKUP(A464,kurspris!$A$1:$Q$913,16,FALSE)</f>
        <v>66137</v>
      </c>
      <c r="Z464" s="40">
        <f t="shared" si="214"/>
        <v>323646</v>
      </c>
      <c r="AA464" s="40">
        <f>VLOOKUP(A464,kurspris!$A$1:$Q$913,17,FALSE)</f>
        <v>72600</v>
      </c>
      <c r="AB464" s="40">
        <f t="shared" si="215"/>
        <v>272250</v>
      </c>
      <c r="AC464" s="40">
        <f t="shared" si="216"/>
        <v>595896</v>
      </c>
      <c r="AD464" s="31">
        <f>VLOOKUP($A464,kurspris!$A$1:$Q$950,3,FALSE)</f>
        <v>0</v>
      </c>
      <c r="AE464" s="31">
        <f>VLOOKUP($A464,kurspris!$A$1:$Q$950,4,FALSE)</f>
        <v>0</v>
      </c>
      <c r="AF464" s="31">
        <f>VLOOKUP($A464,kurspris!$A$1:$Q$950,5,FALSE)</f>
        <v>0</v>
      </c>
      <c r="AG464" s="31">
        <f>VLOOKUP($A464,kurspris!$A$1:$Q$950,6,FALSE)</f>
        <v>0</v>
      </c>
      <c r="AH464" s="31">
        <f>VLOOKUP($A464,kurspris!$A$1:$Q$950,7,FALSE)</f>
        <v>1</v>
      </c>
      <c r="AI464" s="31">
        <f>VLOOKUP($A464,kurspris!$A$1:$Q$950,8,FALSE)</f>
        <v>0</v>
      </c>
      <c r="AJ464" s="31">
        <f>VLOOKUP($A464,kurspris!$A$1:$Q$950,9,FALSE)</f>
        <v>0</v>
      </c>
      <c r="AK464" s="31">
        <f>VLOOKUP($A464,kurspris!$A$1:$Q$950,10,FALSE)</f>
        <v>0</v>
      </c>
      <c r="AL464" s="31">
        <f>VLOOKUP($A464,kurspris!$A$1:$Q$950,11,FALSE)</f>
        <v>0</v>
      </c>
      <c r="AM464" s="31">
        <f>VLOOKUP($A464,kurspris!$A$1:$Q$950,12,FALSE)</f>
        <v>0</v>
      </c>
      <c r="AN464" s="31">
        <f>VLOOKUP($A464,kurspris!$A$1:$Q$950,13,FALSE)</f>
        <v>0</v>
      </c>
      <c r="AO464" s="31">
        <f>VLOOKUP($A464,kurspris!$A$1:$Q$950,14,FALSE)</f>
        <v>0</v>
      </c>
      <c r="AP464" s="57" t="s">
        <v>2402</v>
      </c>
      <c r="AQ464" t="s">
        <v>2308</v>
      </c>
      <c r="AR464" s="31">
        <f t="shared" si="217"/>
        <v>0</v>
      </c>
      <c r="AS464" s="219">
        <f t="shared" si="218"/>
        <v>0</v>
      </c>
      <c r="AT464" s="31">
        <f t="shared" si="219"/>
        <v>0</v>
      </c>
      <c r="AU464" s="219">
        <f t="shared" si="220"/>
        <v>0</v>
      </c>
      <c r="AV464" s="31">
        <f t="shared" si="221"/>
        <v>0</v>
      </c>
      <c r="AW464" s="31">
        <f t="shared" si="222"/>
        <v>0</v>
      </c>
      <c r="AX464" s="31">
        <f t="shared" si="223"/>
        <v>0</v>
      </c>
      <c r="AY464" s="219">
        <f t="shared" si="224"/>
        <v>0</v>
      </c>
      <c r="AZ464" s="196">
        <f t="shared" si="225"/>
        <v>3.75</v>
      </c>
      <c r="BA464" s="219">
        <f t="shared" si="226"/>
        <v>3</v>
      </c>
      <c r="BB464" s="31">
        <f t="shared" si="227"/>
        <v>0</v>
      </c>
      <c r="BC464" s="219">
        <f t="shared" si="228"/>
        <v>0</v>
      </c>
      <c r="BD464" s="31">
        <f t="shared" si="229"/>
        <v>0</v>
      </c>
      <c r="BE464" s="219">
        <f t="shared" si="230"/>
        <v>0</v>
      </c>
      <c r="BF464" s="31">
        <f t="shared" si="231"/>
        <v>0</v>
      </c>
      <c r="BG464" s="219">
        <f t="shared" si="232"/>
        <v>0</v>
      </c>
      <c r="BH464" s="31">
        <f t="shared" si="233"/>
        <v>0</v>
      </c>
      <c r="BI464" s="219">
        <f t="shared" si="234"/>
        <v>0</v>
      </c>
      <c r="BJ464" s="31">
        <f t="shared" si="235"/>
        <v>0</v>
      </c>
      <c r="BK464" s="219">
        <f t="shared" si="236"/>
        <v>0</v>
      </c>
      <c r="BL464" s="31">
        <f t="shared" si="237"/>
        <v>0</v>
      </c>
      <c r="BM464" s="219">
        <f t="shared" si="238"/>
        <v>0</v>
      </c>
      <c r="BN464" s="31">
        <f t="shared" si="239"/>
        <v>0</v>
      </c>
      <c r="BO464" s="219">
        <f t="shared" si="240"/>
        <v>0</v>
      </c>
    </row>
    <row r="465" spans="1:67" x14ac:dyDescent="0.25">
      <c r="A465" s="31" t="s">
        <v>2091</v>
      </c>
      <c r="B465" s="176" t="str">
        <f>VLOOKUP(A465,kurspris!$A$1:$B$992,2,FALSE)</f>
        <v>Musik 1, distans</v>
      </c>
      <c r="D465" s="31" t="s">
        <v>117</v>
      </c>
      <c r="F465" s="31" t="s">
        <v>2273</v>
      </c>
      <c r="I465" s="31" t="s">
        <v>2275</v>
      </c>
      <c r="L465" s="38">
        <v>0.5</v>
      </c>
      <c r="M465" s="511">
        <v>15</v>
      </c>
      <c r="P465" s="31">
        <v>10</v>
      </c>
      <c r="Q465" s="196">
        <f>(M465/60)*P465</f>
        <v>2.5</v>
      </c>
      <c r="R465" s="38">
        <v>0.8</v>
      </c>
      <c r="S465" s="280">
        <f t="shared" si="213"/>
        <v>2</v>
      </c>
      <c r="T465" s="31">
        <f>VLOOKUP(A465,'Ansvar kurs'!$A$1:$C$1123,2,FALSE)</f>
        <v>1650</v>
      </c>
      <c r="U465" s="31" t="str">
        <f>VLOOKUP(T465,Orgenheter!$A$1:$C$166,2,FALSE)</f>
        <v xml:space="preserve">Estetiska ämnen               </v>
      </c>
      <c r="V465" s="31" t="str">
        <f>VLOOKUP(T465,Orgenheter!$A$1:$C$166,3,FALSE)</f>
        <v>Hum</v>
      </c>
      <c r="W465" s="35" t="str">
        <f>VLOOKUP(D465,Program!$A$1:$B$36,2,FALSE)</f>
        <v>Fristående och övriga kurser</v>
      </c>
      <c r="X465" s="40">
        <f>VLOOKUP(A465,kurspris!$A$1:$Q$913,15,FALSE)</f>
        <v>33396</v>
      </c>
      <c r="Y465" s="40">
        <f>VLOOKUP(A465,kurspris!$A$1:$Q$913,16,FALSE)</f>
        <v>66137</v>
      </c>
      <c r="Z465" s="40">
        <f t="shared" si="214"/>
        <v>215764</v>
      </c>
      <c r="AA465" s="40">
        <f>VLOOKUP(A465,kurspris!$A$1:$Q$913,17,FALSE)</f>
        <v>72600</v>
      </c>
      <c r="AB465" s="40">
        <f t="shared" si="215"/>
        <v>181500</v>
      </c>
      <c r="AC465" s="40">
        <f t="shared" si="216"/>
        <v>397264</v>
      </c>
      <c r="AD465" s="31">
        <f>VLOOKUP($A465,kurspris!$A$1:$Q$950,3,FALSE)</f>
        <v>0</v>
      </c>
      <c r="AE465" s="31">
        <f>VLOOKUP($A465,kurspris!$A$1:$Q$950,4,FALSE)</f>
        <v>0</v>
      </c>
      <c r="AF465" s="31">
        <f>VLOOKUP($A465,kurspris!$A$1:$Q$950,5,FALSE)</f>
        <v>0</v>
      </c>
      <c r="AG465" s="31">
        <f>VLOOKUP($A465,kurspris!$A$1:$Q$950,6,FALSE)</f>
        <v>0</v>
      </c>
      <c r="AH465" s="31">
        <f>VLOOKUP($A465,kurspris!$A$1:$Q$950,7,FALSE)</f>
        <v>1</v>
      </c>
      <c r="AI465" s="31">
        <f>VLOOKUP($A465,kurspris!$A$1:$Q$950,8,FALSE)</f>
        <v>0</v>
      </c>
      <c r="AJ465" s="31">
        <f>VLOOKUP($A465,kurspris!$A$1:$Q$950,9,FALSE)</f>
        <v>0</v>
      </c>
      <c r="AK465" s="31">
        <f>VLOOKUP($A465,kurspris!$A$1:$Q$950,10,FALSE)</f>
        <v>0</v>
      </c>
      <c r="AL465" s="31">
        <f>VLOOKUP($A465,kurspris!$A$1:$Q$950,11,FALSE)</f>
        <v>0</v>
      </c>
      <c r="AM465" s="31">
        <f>VLOOKUP($A465,kurspris!$A$1:$Q$950,12,FALSE)</f>
        <v>0</v>
      </c>
      <c r="AN465" s="31">
        <f>VLOOKUP($A465,kurspris!$A$1:$Q$950,13,FALSE)</f>
        <v>0</v>
      </c>
      <c r="AO465" s="31">
        <f>VLOOKUP($A465,kurspris!$A$1:$Q$950,14,FALSE)</f>
        <v>0</v>
      </c>
      <c r="AP465" s="57" t="s">
        <v>2267</v>
      </c>
      <c r="AQ465" s="37" t="s">
        <v>2308</v>
      </c>
      <c r="AR465" s="31">
        <f t="shared" si="217"/>
        <v>0</v>
      </c>
      <c r="AS465" s="219">
        <f t="shared" si="218"/>
        <v>0</v>
      </c>
      <c r="AT465" s="31">
        <f t="shared" si="219"/>
        <v>0</v>
      </c>
      <c r="AU465" s="219">
        <f t="shared" si="220"/>
        <v>0</v>
      </c>
      <c r="AV465" s="31">
        <f t="shared" si="221"/>
        <v>0</v>
      </c>
      <c r="AW465" s="31">
        <f t="shared" si="222"/>
        <v>0</v>
      </c>
      <c r="AX465" s="31">
        <f t="shared" si="223"/>
        <v>0</v>
      </c>
      <c r="AY465" s="219">
        <f t="shared" si="224"/>
        <v>0</v>
      </c>
      <c r="AZ465" s="196">
        <f t="shared" si="225"/>
        <v>2.5</v>
      </c>
      <c r="BA465" s="219">
        <f t="shared" si="226"/>
        <v>2</v>
      </c>
      <c r="BB465" s="31">
        <f t="shared" si="227"/>
        <v>0</v>
      </c>
      <c r="BC465" s="219">
        <f t="shared" si="228"/>
        <v>0</v>
      </c>
      <c r="BD465" s="31">
        <f t="shared" si="229"/>
        <v>0</v>
      </c>
      <c r="BE465" s="219">
        <f t="shared" si="230"/>
        <v>0</v>
      </c>
      <c r="BF465" s="31">
        <f t="shared" si="231"/>
        <v>0</v>
      </c>
      <c r="BG465" s="219">
        <f t="shared" si="232"/>
        <v>0</v>
      </c>
      <c r="BH465" s="31">
        <f t="shared" si="233"/>
        <v>0</v>
      </c>
      <c r="BI465" s="219">
        <f t="shared" si="234"/>
        <v>0</v>
      </c>
      <c r="BJ465" s="31">
        <f t="shared" si="235"/>
        <v>0</v>
      </c>
      <c r="BK465" s="219">
        <f t="shared" si="236"/>
        <v>0</v>
      </c>
      <c r="BL465" s="31">
        <f t="shared" si="237"/>
        <v>0</v>
      </c>
      <c r="BM465" s="219">
        <f t="shared" si="238"/>
        <v>0</v>
      </c>
      <c r="BN465" s="31">
        <f t="shared" si="239"/>
        <v>0</v>
      </c>
      <c r="BO465" s="219">
        <f t="shared" si="240"/>
        <v>0</v>
      </c>
    </row>
    <row r="466" spans="1:67" x14ac:dyDescent="0.25">
      <c r="A466" s="31" t="s">
        <v>2092</v>
      </c>
      <c r="B466" s="176" t="str">
        <f>VLOOKUP(A466,kurspris!$A$1:$B$992,2,FALSE)</f>
        <v>Musik 2, distans</v>
      </c>
      <c r="C466" s="31">
        <v>66604</v>
      </c>
      <c r="D466" s="60" t="s">
        <v>117</v>
      </c>
      <c r="E466" s="60"/>
      <c r="F466" s="57" t="s">
        <v>2274</v>
      </c>
      <c r="H466" s="31" t="s">
        <v>2335</v>
      </c>
      <c r="I466" s="31" t="s">
        <v>2275</v>
      </c>
      <c r="L466" s="38"/>
      <c r="M466" s="244">
        <v>15</v>
      </c>
      <c r="P466" s="31">
        <v>5</v>
      </c>
      <c r="Q466" s="539">
        <v>1.25</v>
      </c>
      <c r="R466" s="38">
        <v>0.8</v>
      </c>
      <c r="S466" s="280">
        <f t="shared" si="213"/>
        <v>1</v>
      </c>
      <c r="T466" s="31">
        <f>VLOOKUP(A466,'Ansvar kurs'!$A$1:$C$1123,2,FALSE)</f>
        <v>1650</v>
      </c>
      <c r="U466" s="31" t="str">
        <f>VLOOKUP(T466,Orgenheter!$A$1:$C$166,2,FALSE)</f>
        <v xml:space="preserve">Estetiska ämnen               </v>
      </c>
      <c r="V466" s="31" t="str">
        <f>VLOOKUP(T466,Orgenheter!$A$1:$C$166,3,FALSE)</f>
        <v>Hum</v>
      </c>
      <c r="W466" s="35" t="str">
        <f>VLOOKUP(D466,Program!$A$1:$B$36,2,FALSE)</f>
        <v>Fristående och övriga kurser</v>
      </c>
      <c r="X466" s="40">
        <f>VLOOKUP(A466,kurspris!$A$1:$Q$913,15,FALSE)</f>
        <v>33396</v>
      </c>
      <c r="Y466" s="40">
        <f>VLOOKUP(A466,kurspris!$A$1:$Q$913,16,FALSE)</f>
        <v>66137</v>
      </c>
      <c r="Z466" s="40">
        <f t="shared" si="214"/>
        <v>107882</v>
      </c>
      <c r="AA466" s="40">
        <f>VLOOKUP(A466,kurspris!$A$1:$Q$913,17,FALSE)</f>
        <v>72600</v>
      </c>
      <c r="AB466" s="40">
        <f t="shared" si="215"/>
        <v>90750</v>
      </c>
      <c r="AC466" s="40">
        <f t="shared" si="216"/>
        <v>198632</v>
      </c>
      <c r="AD466" s="31">
        <f>VLOOKUP($A466,kurspris!$A$1:$Q$950,3,FALSE)</f>
        <v>0</v>
      </c>
      <c r="AE466" s="31">
        <f>VLOOKUP($A466,kurspris!$A$1:$Q$950,4,FALSE)</f>
        <v>0</v>
      </c>
      <c r="AF466" s="31">
        <f>VLOOKUP($A466,kurspris!$A$1:$Q$950,5,FALSE)</f>
        <v>0</v>
      </c>
      <c r="AG466" s="31">
        <f>VLOOKUP($A466,kurspris!$A$1:$Q$950,6,FALSE)</f>
        <v>0</v>
      </c>
      <c r="AH466" s="31">
        <f>VLOOKUP($A466,kurspris!$A$1:$Q$950,7,FALSE)</f>
        <v>1</v>
      </c>
      <c r="AI466" s="31">
        <f>VLOOKUP($A466,kurspris!$A$1:$Q$950,8,FALSE)</f>
        <v>0</v>
      </c>
      <c r="AJ466" s="31">
        <f>VLOOKUP($A466,kurspris!$A$1:$Q$950,9,FALSE)</f>
        <v>0</v>
      </c>
      <c r="AK466" s="31">
        <f>VLOOKUP($A466,kurspris!$A$1:$Q$950,10,FALSE)</f>
        <v>0</v>
      </c>
      <c r="AL466" s="31">
        <f>VLOOKUP($A466,kurspris!$A$1:$Q$950,11,FALSE)</f>
        <v>0</v>
      </c>
      <c r="AM466" s="31">
        <f>VLOOKUP($A466,kurspris!$A$1:$Q$950,12,FALSE)</f>
        <v>0</v>
      </c>
      <c r="AN466" s="31">
        <f>VLOOKUP($A466,kurspris!$A$1:$Q$950,13,FALSE)</f>
        <v>0</v>
      </c>
      <c r="AO466" s="31">
        <f>VLOOKUP($A466,kurspris!$A$1:$Q$950,14,FALSE)</f>
        <v>0</v>
      </c>
      <c r="AP466" s="57" t="s">
        <v>2402</v>
      </c>
      <c r="AQ466" t="s">
        <v>2308</v>
      </c>
      <c r="AR466" s="31">
        <f t="shared" si="217"/>
        <v>0</v>
      </c>
      <c r="AS466" s="219">
        <f t="shared" si="218"/>
        <v>0</v>
      </c>
      <c r="AT466" s="31">
        <f t="shared" si="219"/>
        <v>0</v>
      </c>
      <c r="AU466" s="219">
        <f t="shared" si="220"/>
        <v>0</v>
      </c>
      <c r="AV466" s="31">
        <f t="shared" si="221"/>
        <v>0</v>
      </c>
      <c r="AW466" s="31">
        <f t="shared" si="222"/>
        <v>0</v>
      </c>
      <c r="AX466" s="31">
        <f t="shared" si="223"/>
        <v>0</v>
      </c>
      <c r="AY466" s="219">
        <f t="shared" si="224"/>
        <v>0</v>
      </c>
      <c r="AZ466" s="196">
        <f t="shared" si="225"/>
        <v>1.25</v>
      </c>
      <c r="BA466" s="219">
        <f t="shared" si="226"/>
        <v>1</v>
      </c>
      <c r="BB466" s="31">
        <f t="shared" si="227"/>
        <v>0</v>
      </c>
      <c r="BC466" s="219">
        <f t="shared" si="228"/>
        <v>0</v>
      </c>
      <c r="BD466" s="31">
        <f t="shared" si="229"/>
        <v>0</v>
      </c>
      <c r="BE466" s="219">
        <f t="shared" si="230"/>
        <v>0</v>
      </c>
      <c r="BF466" s="31">
        <f t="shared" si="231"/>
        <v>0</v>
      </c>
      <c r="BG466" s="219">
        <f t="shared" si="232"/>
        <v>0</v>
      </c>
      <c r="BH466" s="31">
        <f t="shared" si="233"/>
        <v>0</v>
      </c>
      <c r="BI466" s="219">
        <f t="shared" si="234"/>
        <v>0</v>
      </c>
      <c r="BJ466" s="31">
        <f t="shared" si="235"/>
        <v>0</v>
      </c>
      <c r="BK466" s="219">
        <f t="shared" si="236"/>
        <v>0</v>
      </c>
      <c r="BL466" s="31">
        <f t="shared" si="237"/>
        <v>0</v>
      </c>
      <c r="BM466" s="219">
        <f t="shared" si="238"/>
        <v>0</v>
      </c>
      <c r="BN466" s="31">
        <f t="shared" si="239"/>
        <v>0</v>
      </c>
      <c r="BO466" s="219">
        <f t="shared" si="240"/>
        <v>0</v>
      </c>
    </row>
    <row r="467" spans="1:67" x14ac:dyDescent="0.25">
      <c r="A467" s="31" t="s">
        <v>2092</v>
      </c>
      <c r="B467" s="176" t="str">
        <f>VLOOKUP(A467,kurspris!$A$1:$B$992,2,FALSE)</f>
        <v>Musik 2, distans</v>
      </c>
      <c r="D467" s="31" t="s">
        <v>117</v>
      </c>
      <c r="F467" s="31" t="s">
        <v>2273</v>
      </c>
      <c r="I467" s="31" t="s">
        <v>2275</v>
      </c>
      <c r="L467" s="38">
        <v>0.5</v>
      </c>
      <c r="M467" s="511">
        <v>15</v>
      </c>
      <c r="P467" s="31">
        <v>10</v>
      </c>
      <c r="Q467" s="196">
        <f>(M467/60)*P467</f>
        <v>2.5</v>
      </c>
      <c r="R467" s="38">
        <v>0.8</v>
      </c>
      <c r="S467" s="280">
        <f t="shared" si="213"/>
        <v>2</v>
      </c>
      <c r="T467" s="31">
        <f>VLOOKUP(A467,'Ansvar kurs'!$A$1:$C$1123,2,FALSE)</f>
        <v>1650</v>
      </c>
      <c r="U467" s="31" t="str">
        <f>VLOOKUP(T467,Orgenheter!$A$1:$C$166,2,FALSE)</f>
        <v xml:space="preserve">Estetiska ämnen               </v>
      </c>
      <c r="V467" s="31" t="str">
        <f>VLOOKUP(T467,Orgenheter!$A$1:$C$166,3,FALSE)</f>
        <v>Hum</v>
      </c>
      <c r="W467" s="35" t="str">
        <f>VLOOKUP(D467,Program!$A$1:$B$36,2,FALSE)</f>
        <v>Fristående och övriga kurser</v>
      </c>
      <c r="X467" s="40">
        <f>VLOOKUP(A467,kurspris!$A$1:$Q$913,15,FALSE)</f>
        <v>33396</v>
      </c>
      <c r="Y467" s="40">
        <f>VLOOKUP(A467,kurspris!$A$1:$Q$913,16,FALSE)</f>
        <v>66137</v>
      </c>
      <c r="Z467" s="40">
        <f t="shared" si="214"/>
        <v>215764</v>
      </c>
      <c r="AA467" s="40">
        <f>VLOOKUP(A467,kurspris!$A$1:$Q$913,17,FALSE)</f>
        <v>72600</v>
      </c>
      <c r="AB467" s="40">
        <f t="shared" si="215"/>
        <v>181500</v>
      </c>
      <c r="AC467" s="40">
        <f t="shared" si="216"/>
        <v>397264</v>
      </c>
      <c r="AD467" s="31">
        <f>VLOOKUP($A467,kurspris!$A$1:$Q$950,3,FALSE)</f>
        <v>0</v>
      </c>
      <c r="AE467" s="31">
        <f>VLOOKUP($A467,kurspris!$A$1:$Q$950,4,FALSE)</f>
        <v>0</v>
      </c>
      <c r="AF467" s="31">
        <f>VLOOKUP($A467,kurspris!$A$1:$Q$950,5,FALSE)</f>
        <v>0</v>
      </c>
      <c r="AG467" s="31">
        <f>VLOOKUP($A467,kurspris!$A$1:$Q$950,6,FALSE)</f>
        <v>0</v>
      </c>
      <c r="AH467" s="31">
        <f>VLOOKUP($A467,kurspris!$A$1:$Q$950,7,FALSE)</f>
        <v>1</v>
      </c>
      <c r="AI467" s="31">
        <f>VLOOKUP($A467,kurspris!$A$1:$Q$950,8,FALSE)</f>
        <v>0</v>
      </c>
      <c r="AJ467" s="31">
        <f>VLOOKUP($A467,kurspris!$A$1:$Q$950,9,FALSE)</f>
        <v>0</v>
      </c>
      <c r="AK467" s="31">
        <f>VLOOKUP($A467,kurspris!$A$1:$Q$950,10,FALSE)</f>
        <v>0</v>
      </c>
      <c r="AL467" s="31">
        <f>VLOOKUP($A467,kurspris!$A$1:$Q$950,11,FALSE)</f>
        <v>0</v>
      </c>
      <c r="AM467" s="31">
        <f>VLOOKUP($A467,kurspris!$A$1:$Q$950,12,FALSE)</f>
        <v>0</v>
      </c>
      <c r="AN467" s="31">
        <f>VLOOKUP($A467,kurspris!$A$1:$Q$950,13,FALSE)</f>
        <v>0</v>
      </c>
      <c r="AO467" s="31">
        <f>VLOOKUP($A467,kurspris!$A$1:$Q$950,14,FALSE)</f>
        <v>0</v>
      </c>
      <c r="AP467" s="57" t="s">
        <v>2267</v>
      </c>
      <c r="AQ467" s="37" t="s">
        <v>2308</v>
      </c>
      <c r="AR467" s="31">
        <f t="shared" si="217"/>
        <v>0</v>
      </c>
      <c r="AS467" s="219">
        <f t="shared" si="218"/>
        <v>0</v>
      </c>
      <c r="AT467" s="31">
        <f t="shared" si="219"/>
        <v>0</v>
      </c>
      <c r="AU467" s="219">
        <f t="shared" si="220"/>
        <v>0</v>
      </c>
      <c r="AV467" s="31">
        <f t="shared" si="221"/>
        <v>0</v>
      </c>
      <c r="AW467" s="31">
        <f t="shared" si="222"/>
        <v>0</v>
      </c>
      <c r="AX467" s="31">
        <f t="shared" si="223"/>
        <v>0</v>
      </c>
      <c r="AY467" s="219">
        <f t="shared" si="224"/>
        <v>0</v>
      </c>
      <c r="AZ467" s="196">
        <f t="shared" si="225"/>
        <v>2.5</v>
      </c>
      <c r="BA467" s="219">
        <f t="shared" si="226"/>
        <v>2</v>
      </c>
      <c r="BB467" s="31">
        <f t="shared" si="227"/>
        <v>0</v>
      </c>
      <c r="BC467" s="219">
        <f t="shared" si="228"/>
        <v>0</v>
      </c>
      <c r="BD467" s="31">
        <f t="shared" si="229"/>
        <v>0</v>
      </c>
      <c r="BE467" s="219">
        <f t="shared" si="230"/>
        <v>0</v>
      </c>
      <c r="BF467" s="31">
        <f t="shared" si="231"/>
        <v>0</v>
      </c>
      <c r="BG467" s="219">
        <f t="shared" si="232"/>
        <v>0</v>
      </c>
      <c r="BH467" s="31">
        <f t="shared" si="233"/>
        <v>0</v>
      </c>
      <c r="BI467" s="219">
        <f t="shared" si="234"/>
        <v>0</v>
      </c>
      <c r="BJ467" s="31">
        <f t="shared" si="235"/>
        <v>0</v>
      </c>
      <c r="BK467" s="219">
        <f t="shared" si="236"/>
        <v>0</v>
      </c>
      <c r="BL467" s="31">
        <f t="shared" si="237"/>
        <v>0</v>
      </c>
      <c r="BM467" s="219">
        <f t="shared" si="238"/>
        <v>0</v>
      </c>
      <c r="BN467" s="31">
        <f t="shared" si="239"/>
        <v>0</v>
      </c>
      <c r="BO467" s="219">
        <f t="shared" si="240"/>
        <v>0</v>
      </c>
    </row>
    <row r="468" spans="1:67" x14ac:dyDescent="0.25">
      <c r="A468" s="31" t="s">
        <v>2093</v>
      </c>
      <c r="B468" s="176" t="str">
        <f>VLOOKUP(A468,kurspris!$A$1:$B$992,2,FALSE)</f>
        <v>Musik 3, distans</v>
      </c>
      <c r="C468" s="31">
        <v>66609</v>
      </c>
      <c r="D468" s="60" t="s">
        <v>117</v>
      </c>
      <c r="E468" s="60"/>
      <c r="F468" s="57" t="s">
        <v>2274</v>
      </c>
      <c r="H468" s="31" t="s">
        <v>2335</v>
      </c>
      <c r="I468" s="31" t="s">
        <v>2275</v>
      </c>
      <c r="L468" s="38"/>
      <c r="M468" s="244">
        <v>15</v>
      </c>
      <c r="P468" s="31">
        <v>10</v>
      </c>
      <c r="Q468" s="539">
        <v>2.5</v>
      </c>
      <c r="R468" s="38">
        <v>0.8</v>
      </c>
      <c r="S468" s="280">
        <f t="shared" si="213"/>
        <v>2</v>
      </c>
      <c r="T468" s="31">
        <f>VLOOKUP(A468,'Ansvar kurs'!$A$1:$C$1123,2,FALSE)</f>
        <v>1650</v>
      </c>
      <c r="U468" s="31" t="str">
        <f>VLOOKUP(T468,Orgenheter!$A$1:$C$166,2,FALSE)</f>
        <v xml:space="preserve">Estetiska ämnen               </v>
      </c>
      <c r="V468" s="31" t="str">
        <f>VLOOKUP(T468,Orgenheter!$A$1:$C$166,3,FALSE)</f>
        <v>Hum</v>
      </c>
      <c r="W468" s="35" t="str">
        <f>VLOOKUP(D468,Program!$A$1:$B$36,2,FALSE)</f>
        <v>Fristående och övriga kurser</v>
      </c>
      <c r="X468" s="40">
        <f>VLOOKUP(A468,kurspris!$A$1:$Q$913,15,FALSE)</f>
        <v>33396</v>
      </c>
      <c r="Y468" s="40">
        <f>VLOOKUP(A468,kurspris!$A$1:$Q$913,16,FALSE)</f>
        <v>66137</v>
      </c>
      <c r="Z468" s="40">
        <f t="shared" si="214"/>
        <v>215764</v>
      </c>
      <c r="AA468" s="40">
        <f>VLOOKUP(A468,kurspris!$A$1:$Q$913,17,FALSE)</f>
        <v>72600</v>
      </c>
      <c r="AB468" s="40">
        <f t="shared" si="215"/>
        <v>181500</v>
      </c>
      <c r="AC468" s="40">
        <f t="shared" si="216"/>
        <v>397264</v>
      </c>
      <c r="AD468" s="31">
        <f>VLOOKUP($A468,kurspris!$A$1:$Q$950,3,FALSE)</f>
        <v>0</v>
      </c>
      <c r="AE468" s="31">
        <f>VLOOKUP($A468,kurspris!$A$1:$Q$950,4,FALSE)</f>
        <v>0</v>
      </c>
      <c r="AF468" s="31">
        <f>VLOOKUP($A468,kurspris!$A$1:$Q$950,5,FALSE)</f>
        <v>0</v>
      </c>
      <c r="AG468" s="31">
        <f>VLOOKUP($A468,kurspris!$A$1:$Q$950,6,FALSE)</f>
        <v>0</v>
      </c>
      <c r="AH468" s="31">
        <f>VLOOKUP($A468,kurspris!$A$1:$Q$950,7,FALSE)</f>
        <v>1</v>
      </c>
      <c r="AI468" s="31">
        <f>VLOOKUP($A468,kurspris!$A$1:$Q$950,8,FALSE)</f>
        <v>0</v>
      </c>
      <c r="AJ468" s="31">
        <f>VLOOKUP($A468,kurspris!$A$1:$Q$950,9,FALSE)</f>
        <v>0</v>
      </c>
      <c r="AK468" s="31">
        <f>VLOOKUP($A468,kurspris!$A$1:$Q$950,10,FALSE)</f>
        <v>0</v>
      </c>
      <c r="AL468" s="31">
        <f>VLOOKUP($A468,kurspris!$A$1:$Q$950,11,FALSE)</f>
        <v>0</v>
      </c>
      <c r="AM468" s="31">
        <f>VLOOKUP($A468,kurspris!$A$1:$Q$950,12,FALSE)</f>
        <v>0</v>
      </c>
      <c r="AN468" s="31">
        <f>VLOOKUP($A468,kurspris!$A$1:$Q$950,13,FALSE)</f>
        <v>0</v>
      </c>
      <c r="AO468" s="31">
        <f>VLOOKUP($A468,kurspris!$A$1:$Q$950,14,FALSE)</f>
        <v>0</v>
      </c>
      <c r="AP468" s="57" t="s">
        <v>2402</v>
      </c>
      <c r="AQ468" t="s">
        <v>2308</v>
      </c>
      <c r="AR468" s="31">
        <f t="shared" si="217"/>
        <v>0</v>
      </c>
      <c r="AS468" s="219">
        <f t="shared" si="218"/>
        <v>0</v>
      </c>
      <c r="AT468" s="31">
        <f t="shared" si="219"/>
        <v>0</v>
      </c>
      <c r="AU468" s="219">
        <f t="shared" si="220"/>
        <v>0</v>
      </c>
      <c r="AV468" s="31">
        <f t="shared" si="221"/>
        <v>0</v>
      </c>
      <c r="AW468" s="31">
        <f t="shared" si="222"/>
        <v>0</v>
      </c>
      <c r="AX468" s="31">
        <f t="shared" si="223"/>
        <v>0</v>
      </c>
      <c r="AY468" s="219">
        <f t="shared" si="224"/>
        <v>0</v>
      </c>
      <c r="AZ468" s="196">
        <f t="shared" si="225"/>
        <v>2.5</v>
      </c>
      <c r="BA468" s="219">
        <f t="shared" si="226"/>
        <v>2</v>
      </c>
      <c r="BB468" s="31">
        <f t="shared" si="227"/>
        <v>0</v>
      </c>
      <c r="BC468" s="219">
        <f t="shared" si="228"/>
        <v>0</v>
      </c>
      <c r="BD468" s="31">
        <f t="shared" si="229"/>
        <v>0</v>
      </c>
      <c r="BE468" s="219">
        <f t="shared" si="230"/>
        <v>0</v>
      </c>
      <c r="BF468" s="31">
        <f t="shared" si="231"/>
        <v>0</v>
      </c>
      <c r="BG468" s="219">
        <f t="shared" si="232"/>
        <v>0</v>
      </c>
      <c r="BH468" s="31">
        <f t="shared" si="233"/>
        <v>0</v>
      </c>
      <c r="BI468" s="219">
        <f t="shared" si="234"/>
        <v>0</v>
      </c>
      <c r="BJ468" s="31">
        <f t="shared" si="235"/>
        <v>0</v>
      </c>
      <c r="BK468" s="219">
        <f t="shared" si="236"/>
        <v>0</v>
      </c>
      <c r="BL468" s="31">
        <f t="shared" si="237"/>
        <v>0</v>
      </c>
      <c r="BM468" s="219">
        <f t="shared" si="238"/>
        <v>0</v>
      </c>
      <c r="BN468" s="31">
        <f t="shared" si="239"/>
        <v>0</v>
      </c>
      <c r="BO468" s="219">
        <f t="shared" si="240"/>
        <v>0</v>
      </c>
    </row>
    <row r="469" spans="1:67" x14ac:dyDescent="0.25">
      <c r="A469" s="31" t="s">
        <v>2093</v>
      </c>
      <c r="B469" s="176" t="str">
        <f>VLOOKUP(A469,kurspris!$A$1:$B$992,2,FALSE)</f>
        <v>Musik 3, distans</v>
      </c>
      <c r="D469" s="31" t="s">
        <v>117</v>
      </c>
      <c r="F469" s="31" t="s">
        <v>2273</v>
      </c>
      <c r="I469" s="31" t="s">
        <v>2275</v>
      </c>
      <c r="L469" s="38">
        <v>0.5</v>
      </c>
      <c r="M469" s="511">
        <v>15</v>
      </c>
      <c r="P469" s="31">
        <v>10</v>
      </c>
      <c r="Q469" s="196">
        <f>(M469/60)*P469</f>
        <v>2.5</v>
      </c>
      <c r="R469" s="38">
        <v>0.8</v>
      </c>
      <c r="S469" s="280">
        <f t="shared" si="213"/>
        <v>2</v>
      </c>
      <c r="T469" s="31">
        <f>VLOOKUP(A469,'Ansvar kurs'!$A$1:$C$1123,2,FALSE)</f>
        <v>1650</v>
      </c>
      <c r="U469" s="31" t="str">
        <f>VLOOKUP(T469,Orgenheter!$A$1:$C$166,2,FALSE)</f>
        <v xml:space="preserve">Estetiska ämnen               </v>
      </c>
      <c r="V469" s="31" t="str">
        <f>VLOOKUP(T469,Orgenheter!$A$1:$C$166,3,FALSE)</f>
        <v>Hum</v>
      </c>
      <c r="W469" s="35" t="str">
        <f>VLOOKUP(D469,Program!$A$1:$B$36,2,FALSE)</f>
        <v>Fristående och övriga kurser</v>
      </c>
      <c r="X469" s="40">
        <f>VLOOKUP(A469,kurspris!$A$1:$Q$913,15,FALSE)</f>
        <v>33396</v>
      </c>
      <c r="Y469" s="40">
        <f>VLOOKUP(A469,kurspris!$A$1:$Q$913,16,FALSE)</f>
        <v>66137</v>
      </c>
      <c r="Z469" s="40">
        <f t="shared" si="214"/>
        <v>215764</v>
      </c>
      <c r="AA469" s="40">
        <f>VLOOKUP(A469,kurspris!$A$1:$Q$913,17,FALSE)</f>
        <v>72600</v>
      </c>
      <c r="AB469" s="40">
        <f t="shared" si="215"/>
        <v>181500</v>
      </c>
      <c r="AC469" s="40">
        <f t="shared" si="216"/>
        <v>397264</v>
      </c>
      <c r="AD469" s="31">
        <f>VLOOKUP($A469,kurspris!$A$1:$Q$950,3,FALSE)</f>
        <v>0</v>
      </c>
      <c r="AE469" s="31">
        <f>VLOOKUP($A469,kurspris!$A$1:$Q$950,4,FALSE)</f>
        <v>0</v>
      </c>
      <c r="AF469" s="31">
        <f>VLOOKUP($A469,kurspris!$A$1:$Q$950,5,FALSE)</f>
        <v>0</v>
      </c>
      <c r="AG469" s="31">
        <f>VLOOKUP($A469,kurspris!$A$1:$Q$950,6,FALSE)</f>
        <v>0</v>
      </c>
      <c r="AH469" s="31">
        <f>VLOOKUP($A469,kurspris!$A$1:$Q$950,7,FALSE)</f>
        <v>1</v>
      </c>
      <c r="AI469" s="31">
        <f>VLOOKUP($A469,kurspris!$A$1:$Q$950,8,FALSE)</f>
        <v>0</v>
      </c>
      <c r="AJ469" s="31">
        <f>VLOOKUP($A469,kurspris!$A$1:$Q$950,9,FALSE)</f>
        <v>0</v>
      </c>
      <c r="AK469" s="31">
        <f>VLOOKUP($A469,kurspris!$A$1:$Q$950,10,FALSE)</f>
        <v>0</v>
      </c>
      <c r="AL469" s="31">
        <f>VLOOKUP($A469,kurspris!$A$1:$Q$950,11,FALSE)</f>
        <v>0</v>
      </c>
      <c r="AM469" s="31">
        <f>VLOOKUP($A469,kurspris!$A$1:$Q$950,12,FALSE)</f>
        <v>0</v>
      </c>
      <c r="AN469" s="31">
        <f>VLOOKUP($A469,kurspris!$A$1:$Q$950,13,FALSE)</f>
        <v>0</v>
      </c>
      <c r="AO469" s="31">
        <f>VLOOKUP($A469,kurspris!$A$1:$Q$950,14,FALSE)</f>
        <v>0</v>
      </c>
      <c r="AP469" s="57" t="s">
        <v>2267</v>
      </c>
      <c r="AQ469" s="37" t="s">
        <v>2308</v>
      </c>
      <c r="AR469" s="31">
        <f t="shared" si="217"/>
        <v>0</v>
      </c>
      <c r="AS469" s="219">
        <f t="shared" si="218"/>
        <v>0</v>
      </c>
      <c r="AT469" s="31">
        <f t="shared" si="219"/>
        <v>0</v>
      </c>
      <c r="AU469" s="219">
        <f t="shared" si="220"/>
        <v>0</v>
      </c>
      <c r="AV469" s="31">
        <f t="shared" si="221"/>
        <v>0</v>
      </c>
      <c r="AW469" s="31">
        <f t="shared" si="222"/>
        <v>0</v>
      </c>
      <c r="AX469" s="31">
        <f t="shared" si="223"/>
        <v>0</v>
      </c>
      <c r="AY469" s="219">
        <f t="shared" si="224"/>
        <v>0</v>
      </c>
      <c r="AZ469" s="196">
        <f t="shared" si="225"/>
        <v>2.5</v>
      </c>
      <c r="BA469" s="219">
        <f t="shared" si="226"/>
        <v>2</v>
      </c>
      <c r="BB469" s="31">
        <f t="shared" si="227"/>
        <v>0</v>
      </c>
      <c r="BC469" s="219">
        <f t="shared" si="228"/>
        <v>0</v>
      </c>
      <c r="BD469" s="31">
        <f t="shared" si="229"/>
        <v>0</v>
      </c>
      <c r="BE469" s="219">
        <f t="shared" si="230"/>
        <v>0</v>
      </c>
      <c r="BF469" s="31">
        <f t="shared" si="231"/>
        <v>0</v>
      </c>
      <c r="BG469" s="219">
        <f t="shared" si="232"/>
        <v>0</v>
      </c>
      <c r="BH469" s="31">
        <f t="shared" si="233"/>
        <v>0</v>
      </c>
      <c r="BI469" s="219">
        <f t="shared" si="234"/>
        <v>0</v>
      </c>
      <c r="BJ469" s="31">
        <f t="shared" si="235"/>
        <v>0</v>
      </c>
      <c r="BK469" s="219">
        <f t="shared" si="236"/>
        <v>0</v>
      </c>
      <c r="BL469" s="31">
        <f t="shared" si="237"/>
        <v>0</v>
      </c>
      <c r="BM469" s="219">
        <f t="shared" si="238"/>
        <v>0</v>
      </c>
      <c r="BN469" s="31">
        <f t="shared" si="239"/>
        <v>0</v>
      </c>
      <c r="BO469" s="219">
        <f t="shared" si="240"/>
        <v>0</v>
      </c>
    </row>
    <row r="470" spans="1:67" x14ac:dyDescent="0.25">
      <c r="A470" s="31" t="s">
        <v>2022</v>
      </c>
      <c r="B470" s="176" t="str">
        <f>VLOOKUP(A470,kurspris!$A$1:$B$992,2,FALSE)</f>
        <v>Musik 2</v>
      </c>
      <c r="D470" s="31" t="s">
        <v>117</v>
      </c>
      <c r="F470" s="31" t="s">
        <v>2273</v>
      </c>
      <c r="I470" s="31" t="s">
        <v>2276</v>
      </c>
      <c r="L470" s="38">
        <v>1</v>
      </c>
      <c r="M470" s="325">
        <v>30</v>
      </c>
      <c r="P470" s="31">
        <v>4</v>
      </c>
      <c r="Q470" s="196">
        <f>(M470/60)*P470</f>
        <v>2</v>
      </c>
      <c r="R470" s="38">
        <v>0.8</v>
      </c>
      <c r="S470" s="280">
        <f t="shared" si="213"/>
        <v>1.6</v>
      </c>
      <c r="T470" s="31">
        <f>VLOOKUP(A470,'Ansvar kurs'!$A$1:$C$1123,2,FALSE)</f>
        <v>1650</v>
      </c>
      <c r="U470" s="31" t="str">
        <f>VLOOKUP(T470,Orgenheter!$A$1:$C$166,2,FALSE)</f>
        <v xml:space="preserve">Estetiska ämnen               </v>
      </c>
      <c r="V470" s="31" t="str">
        <f>VLOOKUP(T470,Orgenheter!$A$1:$C$166,3,FALSE)</f>
        <v>Hum</v>
      </c>
      <c r="W470" s="35" t="str">
        <f>VLOOKUP(D470,Program!$A$1:$B$36,2,FALSE)</f>
        <v>Fristående och övriga kurser</v>
      </c>
      <c r="X470" s="40">
        <f>VLOOKUP(A470,kurspris!$A$1:$Q$913,15,FALSE)</f>
        <v>33396</v>
      </c>
      <c r="Y470" s="40">
        <f>VLOOKUP(A470,kurspris!$A$1:$Q$913,16,FALSE)</f>
        <v>66137</v>
      </c>
      <c r="Z470" s="40">
        <f t="shared" si="214"/>
        <v>172611.20000000001</v>
      </c>
      <c r="AA470" s="40">
        <f>VLOOKUP(A470,kurspris!$A$1:$Q$913,17,FALSE)</f>
        <v>72600</v>
      </c>
      <c r="AB470" s="40">
        <f t="shared" si="215"/>
        <v>145200</v>
      </c>
      <c r="AC470" s="40">
        <f t="shared" si="216"/>
        <v>317811.20000000001</v>
      </c>
      <c r="AD470" s="31">
        <f>VLOOKUP($A470,kurspris!$A$1:$Q$950,3,FALSE)</f>
        <v>0</v>
      </c>
      <c r="AE470" s="31">
        <f>VLOOKUP($A470,kurspris!$A$1:$Q$950,4,FALSE)</f>
        <v>0</v>
      </c>
      <c r="AF470" s="31">
        <f>VLOOKUP($A470,kurspris!$A$1:$Q$950,5,FALSE)</f>
        <v>0</v>
      </c>
      <c r="AG470" s="31">
        <f>VLOOKUP($A470,kurspris!$A$1:$Q$950,6,FALSE)</f>
        <v>0</v>
      </c>
      <c r="AH470" s="31">
        <f>VLOOKUP($A470,kurspris!$A$1:$Q$950,7,FALSE)</f>
        <v>1</v>
      </c>
      <c r="AI470" s="31">
        <f>VLOOKUP($A470,kurspris!$A$1:$Q$950,8,FALSE)</f>
        <v>0</v>
      </c>
      <c r="AJ470" s="31">
        <f>VLOOKUP($A470,kurspris!$A$1:$Q$950,9,FALSE)</f>
        <v>0</v>
      </c>
      <c r="AK470" s="31">
        <f>VLOOKUP($A470,kurspris!$A$1:$Q$950,10,FALSE)</f>
        <v>0</v>
      </c>
      <c r="AL470" s="31">
        <f>VLOOKUP($A470,kurspris!$A$1:$Q$950,11,FALSE)</f>
        <v>0</v>
      </c>
      <c r="AM470" s="31">
        <f>VLOOKUP($A470,kurspris!$A$1:$Q$950,12,FALSE)</f>
        <v>0</v>
      </c>
      <c r="AN470" s="31">
        <f>VLOOKUP($A470,kurspris!$A$1:$Q$950,13,FALSE)</f>
        <v>0</v>
      </c>
      <c r="AO470" s="31">
        <f>VLOOKUP($A470,kurspris!$A$1:$Q$950,14,FALSE)</f>
        <v>0</v>
      </c>
      <c r="AP470" s="57" t="s">
        <v>2267</v>
      </c>
      <c r="AQ470" s="37"/>
      <c r="AR470" s="31">
        <f t="shared" si="217"/>
        <v>0</v>
      </c>
      <c r="AS470" s="219">
        <f t="shared" si="218"/>
        <v>0</v>
      </c>
      <c r="AT470" s="31">
        <f t="shared" si="219"/>
        <v>0</v>
      </c>
      <c r="AU470" s="219">
        <f t="shared" si="220"/>
        <v>0</v>
      </c>
      <c r="AV470" s="31">
        <f t="shared" si="221"/>
        <v>0</v>
      </c>
      <c r="AW470" s="31">
        <f t="shared" si="222"/>
        <v>0</v>
      </c>
      <c r="AX470" s="31">
        <f t="shared" si="223"/>
        <v>0</v>
      </c>
      <c r="AY470" s="219">
        <f t="shared" si="224"/>
        <v>0</v>
      </c>
      <c r="AZ470" s="196">
        <f t="shared" si="225"/>
        <v>2</v>
      </c>
      <c r="BA470" s="219">
        <f t="shared" si="226"/>
        <v>1.6</v>
      </c>
      <c r="BB470" s="31">
        <f t="shared" si="227"/>
        <v>0</v>
      </c>
      <c r="BC470" s="219">
        <f t="shared" si="228"/>
        <v>0</v>
      </c>
      <c r="BD470" s="31">
        <f t="shared" si="229"/>
        <v>0</v>
      </c>
      <c r="BE470" s="219">
        <f t="shared" si="230"/>
        <v>0</v>
      </c>
      <c r="BF470" s="31">
        <f t="shared" si="231"/>
        <v>0</v>
      </c>
      <c r="BG470" s="219">
        <f t="shared" si="232"/>
        <v>0</v>
      </c>
      <c r="BH470" s="31">
        <f t="shared" si="233"/>
        <v>0</v>
      </c>
      <c r="BI470" s="219">
        <f t="shared" si="234"/>
        <v>0</v>
      </c>
      <c r="BJ470" s="31">
        <f t="shared" si="235"/>
        <v>0</v>
      </c>
      <c r="BK470" s="219">
        <f t="shared" si="236"/>
        <v>0</v>
      </c>
      <c r="BL470" s="31">
        <f t="shared" si="237"/>
        <v>0</v>
      </c>
      <c r="BM470" s="219">
        <f t="shared" si="238"/>
        <v>0</v>
      </c>
      <c r="BN470" s="31">
        <f t="shared" si="239"/>
        <v>0</v>
      </c>
      <c r="BO470" s="219">
        <f t="shared" si="240"/>
        <v>0</v>
      </c>
    </row>
    <row r="471" spans="1:67" x14ac:dyDescent="0.25">
      <c r="A471" s="31" t="s">
        <v>2022</v>
      </c>
      <c r="B471" s="176" t="str">
        <f>VLOOKUP(A471,kurspris!$A$1:$B$992,2,FALSE)</f>
        <v>Musik 2</v>
      </c>
      <c r="D471" s="60" t="s">
        <v>482</v>
      </c>
      <c r="E471" s="576" t="s">
        <v>2225</v>
      </c>
      <c r="F471" s="31" t="s">
        <v>2273</v>
      </c>
      <c r="G471" t="s">
        <v>2458</v>
      </c>
      <c r="H471" t="s">
        <v>2335</v>
      </c>
      <c r="J471" s="31" t="s">
        <v>2233</v>
      </c>
      <c r="L471" s="38">
        <v>1</v>
      </c>
      <c r="M471">
        <v>30</v>
      </c>
      <c r="P471" s="31">
        <v>1</v>
      </c>
      <c r="Q471" s="196">
        <f>(M471/60)*P471</f>
        <v>0.5</v>
      </c>
      <c r="R471" s="38">
        <v>0.85</v>
      </c>
      <c r="S471" s="280">
        <f t="shared" si="213"/>
        <v>0.42499999999999999</v>
      </c>
      <c r="T471" s="31">
        <f>VLOOKUP(A471,'Ansvar kurs'!$A$1:$C$1123,2,FALSE)</f>
        <v>1650</v>
      </c>
      <c r="U471" s="31" t="str">
        <f>VLOOKUP(T471,Orgenheter!$A$1:$C$166,2,FALSE)</f>
        <v xml:space="preserve">Estetiska ämnen               </v>
      </c>
      <c r="V471" s="31" t="str">
        <f>VLOOKUP(T471,Orgenheter!$A$1:$C$166,3,FALSE)</f>
        <v>Hum</v>
      </c>
      <c r="W471" s="35" t="str">
        <f>VLOOKUP(D471,Program!$A$1:$B$36,2,FALSE)</f>
        <v>Ämneslärarprogrammet - Gy</v>
      </c>
      <c r="X471" s="40">
        <f>VLOOKUP(A471,kurspris!$A$1:$Q$913,15,FALSE)</f>
        <v>33396</v>
      </c>
      <c r="Y471" s="40">
        <f>VLOOKUP(A471,kurspris!$A$1:$Q$913,16,FALSE)</f>
        <v>66137</v>
      </c>
      <c r="Z471" s="40">
        <f t="shared" si="214"/>
        <v>44806.224999999999</v>
      </c>
      <c r="AA471" s="40">
        <f>VLOOKUP(A471,kurspris!$A$1:$Q$913,17,FALSE)</f>
        <v>72600</v>
      </c>
      <c r="AB471" s="40">
        <f t="shared" si="215"/>
        <v>36300</v>
      </c>
      <c r="AC471" s="40">
        <f t="shared" si="216"/>
        <v>81106.225000000006</v>
      </c>
      <c r="AD471" s="31">
        <f>VLOOKUP($A471,kurspris!$A$1:$Q$950,3,FALSE)</f>
        <v>0</v>
      </c>
      <c r="AE471" s="31">
        <f>VLOOKUP($A471,kurspris!$A$1:$Q$950,4,FALSE)</f>
        <v>0</v>
      </c>
      <c r="AF471" s="31">
        <f>VLOOKUP($A471,kurspris!$A$1:$Q$950,5,FALSE)</f>
        <v>0</v>
      </c>
      <c r="AG471" s="31">
        <f>VLOOKUP($A471,kurspris!$A$1:$Q$950,6,FALSE)</f>
        <v>0</v>
      </c>
      <c r="AH471" s="31">
        <f>VLOOKUP($A471,kurspris!$A$1:$Q$950,7,FALSE)</f>
        <v>1</v>
      </c>
      <c r="AI471" s="31">
        <f>VLOOKUP($A471,kurspris!$A$1:$Q$950,8,FALSE)</f>
        <v>0</v>
      </c>
      <c r="AJ471" s="31">
        <f>VLOOKUP($A471,kurspris!$A$1:$Q$950,9,FALSE)</f>
        <v>0</v>
      </c>
      <c r="AK471" s="31">
        <f>VLOOKUP($A471,kurspris!$A$1:$Q$950,10,FALSE)</f>
        <v>0</v>
      </c>
      <c r="AL471" s="31">
        <f>VLOOKUP($A471,kurspris!$A$1:$Q$950,11,FALSE)</f>
        <v>0</v>
      </c>
      <c r="AM471" s="31">
        <f>VLOOKUP($A471,kurspris!$A$1:$Q$950,12,FALSE)</f>
        <v>0</v>
      </c>
      <c r="AN471" s="31">
        <f>VLOOKUP($A471,kurspris!$A$1:$Q$950,13,FALSE)</f>
        <v>0</v>
      </c>
      <c r="AO471" s="31">
        <f>VLOOKUP($A471,kurspris!$A$1:$Q$950,14,FALSE)</f>
        <v>0</v>
      </c>
      <c r="AP471" s="57" t="s">
        <v>2506</v>
      </c>
      <c r="AQ471"/>
      <c r="AR471" s="31">
        <f t="shared" si="217"/>
        <v>0</v>
      </c>
      <c r="AS471" s="219">
        <f t="shared" si="218"/>
        <v>0</v>
      </c>
      <c r="AT471" s="31">
        <f t="shared" si="219"/>
        <v>0</v>
      </c>
      <c r="AU471" s="219">
        <f t="shared" si="220"/>
        <v>0</v>
      </c>
      <c r="AV471" s="31">
        <f t="shared" si="221"/>
        <v>0</v>
      </c>
      <c r="AW471" s="31">
        <f t="shared" si="222"/>
        <v>0</v>
      </c>
      <c r="AX471" s="31">
        <f t="shared" si="223"/>
        <v>0</v>
      </c>
      <c r="AY471" s="219">
        <f t="shared" si="224"/>
        <v>0</v>
      </c>
      <c r="AZ471" s="196">
        <f t="shared" si="225"/>
        <v>0.5</v>
      </c>
      <c r="BA471" s="219">
        <f t="shared" si="226"/>
        <v>0.42499999999999999</v>
      </c>
      <c r="BB471" s="31">
        <f t="shared" si="227"/>
        <v>0</v>
      </c>
      <c r="BC471" s="219">
        <f t="shared" si="228"/>
        <v>0</v>
      </c>
      <c r="BD471" s="31">
        <f t="shared" si="229"/>
        <v>0</v>
      </c>
      <c r="BE471" s="219">
        <f t="shared" si="230"/>
        <v>0</v>
      </c>
      <c r="BF471" s="31">
        <f t="shared" si="231"/>
        <v>0</v>
      </c>
      <c r="BG471" s="219">
        <f t="shared" si="232"/>
        <v>0</v>
      </c>
      <c r="BH471" s="31">
        <f t="shared" si="233"/>
        <v>0</v>
      </c>
      <c r="BI471" s="219">
        <f t="shared" si="234"/>
        <v>0</v>
      </c>
      <c r="BJ471" s="31">
        <f t="shared" si="235"/>
        <v>0</v>
      </c>
      <c r="BK471" s="219">
        <f t="shared" si="236"/>
        <v>0</v>
      </c>
      <c r="BL471" s="31">
        <f t="shared" si="237"/>
        <v>0</v>
      </c>
      <c r="BM471" s="219">
        <f t="shared" si="238"/>
        <v>0</v>
      </c>
      <c r="BN471" s="31">
        <f t="shared" si="239"/>
        <v>0</v>
      </c>
      <c r="BO471" s="219">
        <f t="shared" si="240"/>
        <v>0</v>
      </c>
    </row>
    <row r="472" spans="1:67" x14ac:dyDescent="0.25">
      <c r="A472" s="31" t="s">
        <v>2022</v>
      </c>
      <c r="B472" s="176" t="str">
        <f>VLOOKUP(A472,kurspris!$A$1:$B$992,2,FALSE)</f>
        <v>Musik 2</v>
      </c>
      <c r="D472" s="60" t="s">
        <v>482</v>
      </c>
      <c r="E472" s="576" t="s">
        <v>2432</v>
      </c>
      <c r="F472" s="31" t="s">
        <v>2273</v>
      </c>
      <c r="G472" t="s">
        <v>2458</v>
      </c>
      <c r="H472" t="s">
        <v>2335</v>
      </c>
      <c r="J472" s="31" t="s">
        <v>2236</v>
      </c>
      <c r="L472" s="38">
        <v>1</v>
      </c>
      <c r="M472">
        <v>30</v>
      </c>
      <c r="P472" s="31">
        <v>5</v>
      </c>
      <c r="Q472" s="196">
        <f>(M472/60)*P472</f>
        <v>2.5</v>
      </c>
      <c r="R472" s="38">
        <v>0.85</v>
      </c>
      <c r="S472" s="280">
        <f t="shared" si="213"/>
        <v>2.125</v>
      </c>
      <c r="T472" s="31">
        <f>VLOOKUP(A472,'Ansvar kurs'!$A$1:$C$1123,2,FALSE)</f>
        <v>1650</v>
      </c>
      <c r="U472" s="31" t="str">
        <f>VLOOKUP(T472,Orgenheter!$A$1:$C$166,2,FALSE)</f>
        <v xml:space="preserve">Estetiska ämnen               </v>
      </c>
      <c r="V472" s="31" t="str">
        <f>VLOOKUP(T472,Orgenheter!$A$1:$C$166,3,FALSE)</f>
        <v>Hum</v>
      </c>
      <c r="W472" s="35" t="str">
        <f>VLOOKUP(D472,Program!$A$1:$B$36,2,FALSE)</f>
        <v>Ämneslärarprogrammet - Gy</v>
      </c>
      <c r="X472" s="40">
        <f>VLOOKUP(A472,kurspris!$A$1:$Q$913,15,FALSE)</f>
        <v>33396</v>
      </c>
      <c r="Y472" s="40">
        <f>VLOOKUP(A472,kurspris!$A$1:$Q$913,16,FALSE)</f>
        <v>66137</v>
      </c>
      <c r="Z472" s="40">
        <f t="shared" si="214"/>
        <v>224031.125</v>
      </c>
      <c r="AA472" s="40">
        <f>VLOOKUP(A472,kurspris!$A$1:$Q$913,17,FALSE)</f>
        <v>72600</v>
      </c>
      <c r="AB472" s="40">
        <f t="shared" si="215"/>
        <v>181500</v>
      </c>
      <c r="AC472" s="40">
        <f t="shared" si="216"/>
        <v>405531.125</v>
      </c>
      <c r="AD472" s="31">
        <f>VLOOKUP($A472,kurspris!$A$1:$Q$950,3,FALSE)</f>
        <v>0</v>
      </c>
      <c r="AE472" s="31">
        <f>VLOOKUP($A472,kurspris!$A$1:$Q$950,4,FALSE)</f>
        <v>0</v>
      </c>
      <c r="AF472" s="31">
        <f>VLOOKUP($A472,kurspris!$A$1:$Q$950,5,FALSE)</f>
        <v>0</v>
      </c>
      <c r="AG472" s="31">
        <f>VLOOKUP($A472,kurspris!$A$1:$Q$950,6,FALSE)</f>
        <v>0</v>
      </c>
      <c r="AH472" s="31">
        <f>VLOOKUP($A472,kurspris!$A$1:$Q$950,7,FALSE)</f>
        <v>1</v>
      </c>
      <c r="AI472" s="31">
        <f>VLOOKUP($A472,kurspris!$A$1:$Q$950,8,FALSE)</f>
        <v>0</v>
      </c>
      <c r="AJ472" s="31">
        <f>VLOOKUP($A472,kurspris!$A$1:$Q$950,9,FALSE)</f>
        <v>0</v>
      </c>
      <c r="AK472" s="31">
        <f>VLOOKUP($A472,kurspris!$A$1:$Q$950,10,FALSE)</f>
        <v>0</v>
      </c>
      <c r="AL472" s="31">
        <f>VLOOKUP($A472,kurspris!$A$1:$Q$950,11,FALSE)</f>
        <v>0</v>
      </c>
      <c r="AM472" s="31">
        <f>VLOOKUP($A472,kurspris!$A$1:$Q$950,12,FALSE)</f>
        <v>0</v>
      </c>
      <c r="AN472" s="31">
        <f>VLOOKUP($A472,kurspris!$A$1:$Q$950,13,FALSE)</f>
        <v>0</v>
      </c>
      <c r="AO472" s="31">
        <f>VLOOKUP($A472,kurspris!$A$1:$Q$950,14,FALSE)</f>
        <v>0</v>
      </c>
      <c r="AP472" s="57" t="s">
        <v>2506</v>
      </c>
      <c r="AQ472"/>
      <c r="AR472" s="31">
        <f t="shared" si="217"/>
        <v>0</v>
      </c>
      <c r="AS472" s="219">
        <f t="shared" si="218"/>
        <v>0</v>
      </c>
      <c r="AT472" s="31">
        <f t="shared" si="219"/>
        <v>0</v>
      </c>
      <c r="AU472" s="219">
        <f t="shared" si="220"/>
        <v>0</v>
      </c>
      <c r="AV472" s="31">
        <f t="shared" si="221"/>
        <v>0</v>
      </c>
      <c r="AW472" s="31">
        <f t="shared" si="222"/>
        <v>0</v>
      </c>
      <c r="AX472" s="31">
        <f t="shared" si="223"/>
        <v>0</v>
      </c>
      <c r="AY472" s="219">
        <f t="shared" si="224"/>
        <v>0</v>
      </c>
      <c r="AZ472" s="196">
        <f t="shared" si="225"/>
        <v>2.5</v>
      </c>
      <c r="BA472" s="219">
        <f t="shared" si="226"/>
        <v>2.125</v>
      </c>
      <c r="BB472" s="31">
        <f t="shared" si="227"/>
        <v>0</v>
      </c>
      <c r="BC472" s="219">
        <f t="shared" si="228"/>
        <v>0</v>
      </c>
      <c r="BD472" s="31">
        <f t="shared" si="229"/>
        <v>0</v>
      </c>
      <c r="BE472" s="219">
        <f t="shared" si="230"/>
        <v>0</v>
      </c>
      <c r="BF472" s="31">
        <f t="shared" si="231"/>
        <v>0</v>
      </c>
      <c r="BG472" s="219">
        <f t="shared" si="232"/>
        <v>0</v>
      </c>
      <c r="BH472" s="31">
        <f t="shared" si="233"/>
        <v>0</v>
      </c>
      <c r="BI472" s="219">
        <f t="shared" si="234"/>
        <v>0</v>
      </c>
      <c r="BJ472" s="31">
        <f t="shared" si="235"/>
        <v>0</v>
      </c>
      <c r="BK472" s="219">
        <f t="shared" si="236"/>
        <v>0</v>
      </c>
      <c r="BL472" s="31">
        <f t="shared" si="237"/>
        <v>0</v>
      </c>
      <c r="BM472" s="219">
        <f t="shared" si="238"/>
        <v>0</v>
      </c>
      <c r="BN472" s="31">
        <f t="shared" si="239"/>
        <v>0</v>
      </c>
      <c r="BO472" s="219">
        <f t="shared" si="240"/>
        <v>0</v>
      </c>
    </row>
    <row r="473" spans="1:67" x14ac:dyDescent="0.25">
      <c r="A473" s="31" t="s">
        <v>434</v>
      </c>
      <c r="B473" s="176" t="str">
        <f>VLOOKUP(A473,kurspris!$A$1:$B$992,2,FALSE)</f>
        <v>Makroekonomi och arbetsmarknad A23</v>
      </c>
      <c r="C473" s="31">
        <v>72302</v>
      </c>
      <c r="D473" s="60" t="s">
        <v>85</v>
      </c>
      <c r="E473" s="60"/>
      <c r="F473" s="57" t="s">
        <v>2274</v>
      </c>
      <c r="H473" s="31" t="s">
        <v>2335</v>
      </c>
      <c r="I473" s="31" t="s">
        <v>2275</v>
      </c>
      <c r="J473" s="31" t="s">
        <v>624</v>
      </c>
      <c r="L473" s="38"/>
      <c r="M473">
        <v>7.5</v>
      </c>
      <c r="P473" s="31">
        <v>18</v>
      </c>
      <c r="Q473" s="539">
        <v>2.25</v>
      </c>
      <c r="R473" s="38">
        <v>0.85</v>
      </c>
      <c r="S473" s="280">
        <f t="shared" si="213"/>
        <v>1.9124999999999999</v>
      </c>
      <c r="T473" s="31">
        <f>VLOOKUP(A473,'Ansvar kurs'!$A$1:$C$1123,2,FALSE)</f>
        <v>2271</v>
      </c>
      <c r="U473" s="31" t="str">
        <f>VLOOKUP(T473,Orgenheter!$A$1:$C$166,2,FALSE)</f>
        <v xml:space="preserve">Nationalekonomi               </v>
      </c>
      <c r="V473" s="31" t="str">
        <f>VLOOKUP(T473,Orgenheter!$A$1:$C$166,3,FALSE)</f>
        <v>Sam</v>
      </c>
      <c r="W473" s="35" t="str">
        <f>VLOOKUP(D473,Program!$A$1:$B$36,2,FALSE)</f>
        <v>Studie- och yrkesvägledarprogram</v>
      </c>
      <c r="X473" s="40">
        <f>VLOOKUP(A473,kurspris!$A$1:$Q$913,15,FALSE)</f>
        <v>20766</v>
      </c>
      <c r="Y473" s="40">
        <f>VLOOKUP(A473,kurspris!$A$1:$Q$913,16,FALSE)</f>
        <v>17442</v>
      </c>
      <c r="Z473" s="40">
        <f t="shared" si="214"/>
        <v>80081.324999999997</v>
      </c>
      <c r="AA473" s="40">
        <f>VLOOKUP(A473,kurspris!$A$1:$Q$913,17,FALSE)</f>
        <v>6000</v>
      </c>
      <c r="AB473" s="40">
        <f t="shared" si="215"/>
        <v>13500</v>
      </c>
      <c r="AC473" s="40">
        <f t="shared" si="216"/>
        <v>93581.324999999997</v>
      </c>
      <c r="AD473" s="31">
        <f>VLOOKUP($A473,kurspris!$A$1:$Q$950,3,FALSE)</f>
        <v>0</v>
      </c>
      <c r="AE473" s="31">
        <f>VLOOKUP($A473,kurspris!$A$1:$Q$950,4,FALSE)</f>
        <v>0</v>
      </c>
      <c r="AF473" s="31">
        <f>VLOOKUP($A473,kurspris!$A$1:$Q$950,5,FALSE)</f>
        <v>0</v>
      </c>
      <c r="AG473" s="31">
        <f>VLOOKUP($A473,kurspris!$A$1:$Q$950,6,FALSE)</f>
        <v>0</v>
      </c>
      <c r="AH473" s="31">
        <f>VLOOKUP($A473,kurspris!$A$1:$Q$950,7,FALSE)</f>
        <v>0</v>
      </c>
      <c r="AI473" s="31">
        <f>VLOOKUP($A473,kurspris!$A$1:$Q$950,8,FALSE)</f>
        <v>0</v>
      </c>
      <c r="AJ473" s="31">
        <f>VLOOKUP($A473,kurspris!$A$1:$Q$950,9,FALSE)</f>
        <v>1</v>
      </c>
      <c r="AK473" s="31">
        <f>VLOOKUP($A473,kurspris!$A$1:$Q$950,10,FALSE)</f>
        <v>0</v>
      </c>
      <c r="AL473" s="31">
        <f>VLOOKUP($A473,kurspris!$A$1:$Q$950,11,FALSE)</f>
        <v>0</v>
      </c>
      <c r="AM473" s="31">
        <f>VLOOKUP($A473,kurspris!$A$1:$Q$950,12,FALSE)</f>
        <v>0</v>
      </c>
      <c r="AN473" s="31">
        <f>VLOOKUP($A473,kurspris!$A$1:$Q$950,13,FALSE)</f>
        <v>0</v>
      </c>
      <c r="AO473" s="31">
        <f>VLOOKUP($A473,kurspris!$A$1:$Q$950,14,FALSE)</f>
        <v>0</v>
      </c>
      <c r="AP473" s="57" t="s">
        <v>2402</v>
      </c>
      <c r="AQ473"/>
      <c r="AR473" s="31">
        <f t="shared" si="217"/>
        <v>0</v>
      </c>
      <c r="AS473" s="219">
        <f t="shared" si="218"/>
        <v>0</v>
      </c>
      <c r="AT473" s="31">
        <f t="shared" si="219"/>
        <v>0</v>
      </c>
      <c r="AU473" s="219">
        <f t="shared" si="220"/>
        <v>0</v>
      </c>
      <c r="AV473" s="31">
        <f t="shared" si="221"/>
        <v>0</v>
      </c>
      <c r="AW473" s="31">
        <f t="shared" si="222"/>
        <v>0</v>
      </c>
      <c r="AX473" s="31">
        <f t="shared" si="223"/>
        <v>0</v>
      </c>
      <c r="AY473" s="219">
        <f t="shared" si="224"/>
        <v>0</v>
      </c>
      <c r="AZ473" s="196">
        <f t="shared" si="225"/>
        <v>0</v>
      </c>
      <c r="BA473" s="219">
        <f t="shared" si="226"/>
        <v>0</v>
      </c>
      <c r="BB473" s="31">
        <f t="shared" si="227"/>
        <v>0</v>
      </c>
      <c r="BC473" s="219">
        <f t="shared" si="228"/>
        <v>0</v>
      </c>
      <c r="BD473" s="31">
        <f t="shared" si="229"/>
        <v>2.25</v>
      </c>
      <c r="BE473" s="219">
        <f t="shared" si="230"/>
        <v>1.9124999999999999</v>
      </c>
      <c r="BF473" s="31">
        <f t="shared" si="231"/>
        <v>0</v>
      </c>
      <c r="BG473" s="219">
        <f t="shared" si="232"/>
        <v>0</v>
      </c>
      <c r="BH473" s="31">
        <f t="shared" si="233"/>
        <v>0</v>
      </c>
      <c r="BI473" s="219">
        <f t="shared" si="234"/>
        <v>0</v>
      </c>
      <c r="BJ473" s="31">
        <f t="shared" si="235"/>
        <v>0</v>
      </c>
      <c r="BK473" s="219">
        <f t="shared" si="236"/>
        <v>0</v>
      </c>
      <c r="BL473" s="31">
        <f t="shared" si="237"/>
        <v>0</v>
      </c>
      <c r="BM473" s="219">
        <f t="shared" si="238"/>
        <v>0</v>
      </c>
      <c r="BN473" s="31">
        <f t="shared" si="239"/>
        <v>0</v>
      </c>
      <c r="BO473" s="219">
        <f t="shared" si="240"/>
        <v>0</v>
      </c>
    </row>
    <row r="474" spans="1:67" x14ac:dyDescent="0.25">
      <c r="A474" s="31" t="s">
        <v>434</v>
      </c>
      <c r="B474" s="176" t="str">
        <f>VLOOKUP(A474,kurspris!$A$1:$B$992,2,FALSE)</f>
        <v>Makroekonomi och arbetsmarknad A23</v>
      </c>
      <c r="C474" s="31">
        <v>72303</v>
      </c>
      <c r="D474" s="60" t="s">
        <v>85</v>
      </c>
      <c r="E474" s="60"/>
      <c r="F474" s="57" t="s">
        <v>2274</v>
      </c>
      <c r="H474" s="31" t="s">
        <v>2335</v>
      </c>
      <c r="I474" s="31" t="s">
        <v>2399</v>
      </c>
      <c r="J474" s="31" t="s">
        <v>1500</v>
      </c>
      <c r="L474" s="38"/>
      <c r="M474">
        <v>7.5</v>
      </c>
      <c r="P474" s="31">
        <v>28</v>
      </c>
      <c r="Q474" s="539">
        <v>3.5</v>
      </c>
      <c r="R474" s="38">
        <v>0.85</v>
      </c>
      <c r="S474" s="280">
        <f t="shared" si="213"/>
        <v>2.9750000000000001</v>
      </c>
      <c r="T474" s="31">
        <f>VLOOKUP(A474,'Ansvar kurs'!$A$1:$C$1123,2,FALSE)</f>
        <v>2271</v>
      </c>
      <c r="U474" s="31" t="str">
        <f>VLOOKUP(T474,Orgenheter!$A$1:$C$166,2,FALSE)</f>
        <v xml:space="preserve">Nationalekonomi               </v>
      </c>
      <c r="V474" s="31" t="str">
        <f>VLOOKUP(T474,Orgenheter!$A$1:$C$166,3,FALSE)</f>
        <v>Sam</v>
      </c>
      <c r="W474" s="35" t="str">
        <f>VLOOKUP(D474,Program!$A$1:$B$36,2,FALSE)</f>
        <v>Studie- och yrkesvägledarprogram</v>
      </c>
      <c r="X474" s="40">
        <f>VLOOKUP(A474,kurspris!$A$1:$Q$913,15,FALSE)</f>
        <v>20766</v>
      </c>
      <c r="Y474" s="40">
        <f>VLOOKUP(A474,kurspris!$A$1:$Q$913,16,FALSE)</f>
        <v>17442</v>
      </c>
      <c r="Z474" s="40">
        <f t="shared" si="214"/>
        <v>124570.95000000001</v>
      </c>
      <c r="AA474" s="40">
        <f>VLOOKUP(A474,kurspris!$A$1:$Q$913,17,FALSE)</f>
        <v>6000</v>
      </c>
      <c r="AB474" s="40">
        <f t="shared" si="215"/>
        <v>21000</v>
      </c>
      <c r="AC474" s="40">
        <f t="shared" si="216"/>
        <v>145570.95000000001</v>
      </c>
      <c r="AD474" s="31">
        <f>VLOOKUP($A474,kurspris!$A$1:$Q$950,3,FALSE)</f>
        <v>0</v>
      </c>
      <c r="AE474" s="31">
        <f>VLOOKUP($A474,kurspris!$A$1:$Q$950,4,FALSE)</f>
        <v>0</v>
      </c>
      <c r="AF474" s="31">
        <f>VLOOKUP($A474,kurspris!$A$1:$Q$950,5,FALSE)</f>
        <v>0</v>
      </c>
      <c r="AG474" s="31">
        <f>VLOOKUP($A474,kurspris!$A$1:$Q$950,6,FALSE)</f>
        <v>0</v>
      </c>
      <c r="AH474" s="31">
        <f>VLOOKUP($A474,kurspris!$A$1:$Q$950,7,FALSE)</f>
        <v>0</v>
      </c>
      <c r="AI474" s="31">
        <f>VLOOKUP($A474,kurspris!$A$1:$Q$950,8,FALSE)</f>
        <v>0</v>
      </c>
      <c r="AJ474" s="31">
        <f>VLOOKUP($A474,kurspris!$A$1:$Q$950,9,FALSE)</f>
        <v>1</v>
      </c>
      <c r="AK474" s="31">
        <f>VLOOKUP($A474,kurspris!$A$1:$Q$950,10,FALSE)</f>
        <v>0</v>
      </c>
      <c r="AL474" s="31">
        <f>VLOOKUP($A474,kurspris!$A$1:$Q$950,11,FALSE)</f>
        <v>0</v>
      </c>
      <c r="AM474" s="31">
        <f>VLOOKUP($A474,kurspris!$A$1:$Q$950,12,FALSE)</f>
        <v>0</v>
      </c>
      <c r="AN474" s="31">
        <f>VLOOKUP($A474,kurspris!$A$1:$Q$950,13,FALSE)</f>
        <v>0</v>
      </c>
      <c r="AO474" s="31">
        <f>VLOOKUP($A474,kurspris!$A$1:$Q$950,14,FALSE)</f>
        <v>0</v>
      </c>
      <c r="AP474" s="57" t="s">
        <v>2402</v>
      </c>
      <c r="AQ474"/>
      <c r="AR474" s="31">
        <f t="shared" si="217"/>
        <v>0</v>
      </c>
      <c r="AS474" s="219">
        <f t="shared" si="218"/>
        <v>0</v>
      </c>
      <c r="AT474" s="31">
        <f t="shared" si="219"/>
        <v>0</v>
      </c>
      <c r="AU474" s="219">
        <f t="shared" si="220"/>
        <v>0</v>
      </c>
      <c r="AV474" s="31">
        <f t="shared" si="221"/>
        <v>0</v>
      </c>
      <c r="AW474" s="31">
        <f t="shared" si="222"/>
        <v>0</v>
      </c>
      <c r="AX474" s="31">
        <f t="shared" si="223"/>
        <v>0</v>
      </c>
      <c r="AY474" s="219">
        <f t="shared" si="224"/>
        <v>0</v>
      </c>
      <c r="AZ474" s="196">
        <f t="shared" si="225"/>
        <v>0</v>
      </c>
      <c r="BA474" s="219">
        <f t="shared" si="226"/>
        <v>0</v>
      </c>
      <c r="BB474" s="31">
        <f t="shared" si="227"/>
        <v>0</v>
      </c>
      <c r="BC474" s="219">
        <f t="shared" si="228"/>
        <v>0</v>
      </c>
      <c r="BD474" s="31">
        <f t="shared" si="229"/>
        <v>3.5</v>
      </c>
      <c r="BE474" s="219">
        <f t="shared" si="230"/>
        <v>2.9750000000000001</v>
      </c>
      <c r="BF474" s="31">
        <f t="shared" si="231"/>
        <v>0</v>
      </c>
      <c r="BG474" s="219">
        <f t="shared" si="232"/>
        <v>0</v>
      </c>
      <c r="BH474" s="31">
        <f t="shared" si="233"/>
        <v>0</v>
      </c>
      <c r="BI474" s="219">
        <f t="shared" si="234"/>
        <v>0</v>
      </c>
      <c r="BJ474" s="31">
        <f t="shared" si="235"/>
        <v>0</v>
      </c>
      <c r="BK474" s="219">
        <f t="shared" si="236"/>
        <v>0</v>
      </c>
      <c r="BL474" s="31">
        <f t="shared" si="237"/>
        <v>0</v>
      </c>
      <c r="BM474" s="219">
        <f t="shared" si="238"/>
        <v>0</v>
      </c>
      <c r="BN474" s="31">
        <f t="shared" si="239"/>
        <v>0</v>
      </c>
      <c r="BO474" s="219">
        <f t="shared" si="240"/>
        <v>0</v>
      </c>
    </row>
    <row r="475" spans="1:67" x14ac:dyDescent="0.25">
      <c r="A475" s="31" t="s">
        <v>2206</v>
      </c>
      <c r="B475" s="176" t="str">
        <f>VLOOKUP(A475,kurspris!$A$1:$B$992,2,FALSE)</f>
        <v>Introduktion till samhällsekonomi</v>
      </c>
      <c r="C475" s="31">
        <v>72301</v>
      </c>
      <c r="D475" s="60" t="s">
        <v>85</v>
      </c>
      <c r="E475" s="60"/>
      <c r="F475" s="57" t="s">
        <v>2274</v>
      </c>
      <c r="H475" s="31" t="s">
        <v>2335</v>
      </c>
      <c r="I475" s="31" t="s">
        <v>2275</v>
      </c>
      <c r="J475" s="31" t="s">
        <v>624</v>
      </c>
      <c r="L475" s="38"/>
      <c r="M475">
        <v>7.5</v>
      </c>
      <c r="P475" s="31">
        <v>22</v>
      </c>
      <c r="Q475" s="539">
        <v>2.75</v>
      </c>
      <c r="R475" s="38">
        <v>0.85</v>
      </c>
      <c r="S475" s="280">
        <f t="shared" si="213"/>
        <v>2.3374999999999999</v>
      </c>
      <c r="T475" s="31">
        <f>VLOOKUP(A475,'Ansvar kurs'!$A$1:$C$1123,2,FALSE)</f>
        <v>2271</v>
      </c>
      <c r="U475" s="31" t="str">
        <f>VLOOKUP(T475,Orgenheter!$A$1:$C$166,2,FALSE)</f>
        <v xml:space="preserve">Nationalekonomi               </v>
      </c>
      <c r="V475" s="31" t="str">
        <f>VLOOKUP(T475,Orgenheter!$A$1:$C$166,3,FALSE)</f>
        <v>Sam</v>
      </c>
      <c r="W475" s="35" t="str">
        <f>VLOOKUP(D475,Program!$A$1:$B$36,2,FALSE)</f>
        <v>Studie- och yrkesvägledarprogram</v>
      </c>
      <c r="X475" s="40">
        <f>VLOOKUP(A475,kurspris!$A$1:$Q$913,15,FALSE)</f>
        <v>20766</v>
      </c>
      <c r="Y475" s="40">
        <f>VLOOKUP(A475,kurspris!$A$1:$Q$913,16,FALSE)</f>
        <v>17442</v>
      </c>
      <c r="Z475" s="40">
        <f t="shared" si="214"/>
        <v>97877.174999999988</v>
      </c>
      <c r="AA475" s="40">
        <f>VLOOKUP(A475,kurspris!$A$1:$Q$913,17,FALSE)</f>
        <v>6000</v>
      </c>
      <c r="AB475" s="40">
        <f t="shared" si="215"/>
        <v>16500</v>
      </c>
      <c r="AC475" s="40">
        <f t="shared" si="216"/>
        <v>114377.17499999999</v>
      </c>
      <c r="AD475" s="31">
        <f>VLOOKUP($A475,kurspris!$A$1:$Q$950,3,FALSE)</f>
        <v>0</v>
      </c>
      <c r="AE475" s="31">
        <f>VLOOKUP($A475,kurspris!$A$1:$Q$950,4,FALSE)</f>
        <v>0</v>
      </c>
      <c r="AF475" s="31">
        <f>VLOOKUP($A475,kurspris!$A$1:$Q$950,5,FALSE)</f>
        <v>0</v>
      </c>
      <c r="AG475" s="31">
        <f>VLOOKUP($A475,kurspris!$A$1:$Q$950,6,FALSE)</f>
        <v>0</v>
      </c>
      <c r="AH475" s="31">
        <f>VLOOKUP($A475,kurspris!$A$1:$Q$950,7,FALSE)</f>
        <v>0</v>
      </c>
      <c r="AI475" s="31">
        <f>VLOOKUP($A475,kurspris!$A$1:$Q$950,8,FALSE)</f>
        <v>0</v>
      </c>
      <c r="AJ475" s="31">
        <f>VLOOKUP($A475,kurspris!$A$1:$Q$950,9,FALSE)</f>
        <v>1</v>
      </c>
      <c r="AK475" s="31">
        <f>VLOOKUP($A475,kurspris!$A$1:$Q$950,10,FALSE)</f>
        <v>0</v>
      </c>
      <c r="AL475" s="31">
        <f>VLOOKUP($A475,kurspris!$A$1:$Q$950,11,FALSE)</f>
        <v>0</v>
      </c>
      <c r="AM475" s="31">
        <f>VLOOKUP($A475,kurspris!$A$1:$Q$950,12,FALSE)</f>
        <v>0</v>
      </c>
      <c r="AN475" s="31">
        <f>VLOOKUP($A475,kurspris!$A$1:$Q$950,13,FALSE)</f>
        <v>0</v>
      </c>
      <c r="AO475" s="31">
        <f>VLOOKUP($A475,kurspris!$A$1:$Q$950,14,FALSE)</f>
        <v>0</v>
      </c>
      <c r="AP475" s="57" t="s">
        <v>2402</v>
      </c>
      <c r="AQ475"/>
      <c r="AR475" s="31">
        <f t="shared" si="217"/>
        <v>0</v>
      </c>
      <c r="AS475" s="219">
        <f t="shared" si="218"/>
        <v>0</v>
      </c>
      <c r="AT475" s="31">
        <f t="shared" si="219"/>
        <v>0</v>
      </c>
      <c r="AU475" s="219">
        <f t="shared" si="220"/>
        <v>0</v>
      </c>
      <c r="AV475" s="31">
        <f t="shared" si="221"/>
        <v>0</v>
      </c>
      <c r="AW475" s="31">
        <f t="shared" si="222"/>
        <v>0</v>
      </c>
      <c r="AX475" s="31">
        <f t="shared" si="223"/>
        <v>0</v>
      </c>
      <c r="AY475" s="219">
        <f t="shared" si="224"/>
        <v>0</v>
      </c>
      <c r="AZ475" s="196">
        <f t="shared" si="225"/>
        <v>0</v>
      </c>
      <c r="BA475" s="219">
        <f t="shared" si="226"/>
        <v>0</v>
      </c>
      <c r="BB475" s="31">
        <f t="shared" si="227"/>
        <v>0</v>
      </c>
      <c r="BC475" s="219">
        <f t="shared" si="228"/>
        <v>0</v>
      </c>
      <c r="BD475" s="31">
        <f t="shared" si="229"/>
        <v>2.75</v>
      </c>
      <c r="BE475" s="219">
        <f t="shared" si="230"/>
        <v>2.3374999999999999</v>
      </c>
      <c r="BF475" s="31">
        <f t="shared" si="231"/>
        <v>0</v>
      </c>
      <c r="BG475" s="219">
        <f t="shared" si="232"/>
        <v>0</v>
      </c>
      <c r="BH475" s="31">
        <f t="shared" si="233"/>
        <v>0</v>
      </c>
      <c r="BI475" s="219">
        <f t="shared" si="234"/>
        <v>0</v>
      </c>
      <c r="BJ475" s="31">
        <f t="shared" si="235"/>
        <v>0</v>
      </c>
      <c r="BK475" s="219">
        <f t="shared" si="236"/>
        <v>0</v>
      </c>
      <c r="BL475" s="31">
        <f t="shared" si="237"/>
        <v>0</v>
      </c>
      <c r="BM475" s="219">
        <f t="shared" si="238"/>
        <v>0</v>
      </c>
      <c r="BN475" s="31">
        <f t="shared" si="239"/>
        <v>0</v>
      </c>
      <c r="BO475" s="219">
        <f t="shared" si="240"/>
        <v>0</v>
      </c>
    </row>
    <row r="476" spans="1:67" x14ac:dyDescent="0.25">
      <c r="A476" s="31" t="s">
        <v>2206</v>
      </c>
      <c r="B476" s="176" t="str">
        <f>VLOOKUP(A476,kurspris!$A$1:$B$992,2,FALSE)</f>
        <v>Introduktion till samhällsekonomi</v>
      </c>
      <c r="C476" s="31">
        <v>72300</v>
      </c>
      <c r="D476" s="60" t="s">
        <v>85</v>
      </c>
      <c r="E476" s="60"/>
      <c r="F476" s="57" t="s">
        <v>2274</v>
      </c>
      <c r="H476" s="31" t="s">
        <v>2335</v>
      </c>
      <c r="I476" s="31" t="s">
        <v>2399</v>
      </c>
      <c r="J476" s="31" t="s">
        <v>1500</v>
      </c>
      <c r="L476" s="38"/>
      <c r="M476">
        <v>7.5</v>
      </c>
      <c r="P476" s="31">
        <v>26</v>
      </c>
      <c r="Q476" s="539">
        <v>3.25</v>
      </c>
      <c r="R476" s="38">
        <v>0.85</v>
      </c>
      <c r="S476" s="280">
        <f t="shared" si="213"/>
        <v>2.7624999999999997</v>
      </c>
      <c r="T476" s="31">
        <f>VLOOKUP(A476,'Ansvar kurs'!$A$1:$C$1123,2,FALSE)</f>
        <v>2271</v>
      </c>
      <c r="U476" s="31" t="str">
        <f>VLOOKUP(T476,Orgenheter!$A$1:$C$166,2,FALSE)</f>
        <v xml:space="preserve">Nationalekonomi               </v>
      </c>
      <c r="V476" s="31" t="str">
        <f>VLOOKUP(T476,Orgenheter!$A$1:$C$166,3,FALSE)</f>
        <v>Sam</v>
      </c>
      <c r="W476" s="35" t="str">
        <f>VLOOKUP(D476,Program!$A$1:$B$36,2,FALSE)</f>
        <v>Studie- och yrkesvägledarprogram</v>
      </c>
      <c r="X476" s="40">
        <f>VLOOKUP(A476,kurspris!$A$1:$Q$913,15,FALSE)</f>
        <v>20766</v>
      </c>
      <c r="Y476" s="40">
        <f>VLOOKUP(A476,kurspris!$A$1:$Q$913,16,FALSE)</f>
        <v>17442</v>
      </c>
      <c r="Z476" s="40">
        <f t="shared" si="214"/>
        <v>115673.02499999999</v>
      </c>
      <c r="AA476" s="40">
        <f>VLOOKUP(A476,kurspris!$A$1:$Q$913,17,FALSE)</f>
        <v>6000</v>
      </c>
      <c r="AB476" s="40">
        <f t="shared" si="215"/>
        <v>19500</v>
      </c>
      <c r="AC476" s="40">
        <f t="shared" si="216"/>
        <v>135173.02499999999</v>
      </c>
      <c r="AD476" s="31">
        <f>VLOOKUP($A476,kurspris!$A$1:$Q$950,3,FALSE)</f>
        <v>0</v>
      </c>
      <c r="AE476" s="31">
        <f>VLOOKUP($A476,kurspris!$A$1:$Q$950,4,FALSE)</f>
        <v>0</v>
      </c>
      <c r="AF476" s="31">
        <f>VLOOKUP($A476,kurspris!$A$1:$Q$950,5,FALSE)</f>
        <v>0</v>
      </c>
      <c r="AG476" s="31">
        <f>VLOOKUP($A476,kurspris!$A$1:$Q$950,6,FALSE)</f>
        <v>0</v>
      </c>
      <c r="AH476" s="31">
        <f>VLOOKUP($A476,kurspris!$A$1:$Q$950,7,FALSE)</f>
        <v>0</v>
      </c>
      <c r="AI476" s="31">
        <f>VLOOKUP($A476,kurspris!$A$1:$Q$950,8,FALSE)</f>
        <v>0</v>
      </c>
      <c r="AJ476" s="31">
        <f>VLOOKUP($A476,kurspris!$A$1:$Q$950,9,FALSE)</f>
        <v>1</v>
      </c>
      <c r="AK476" s="31">
        <f>VLOOKUP($A476,kurspris!$A$1:$Q$950,10,FALSE)</f>
        <v>0</v>
      </c>
      <c r="AL476" s="31">
        <f>VLOOKUP($A476,kurspris!$A$1:$Q$950,11,FALSE)</f>
        <v>0</v>
      </c>
      <c r="AM476" s="31">
        <f>VLOOKUP($A476,kurspris!$A$1:$Q$950,12,FALSE)</f>
        <v>0</v>
      </c>
      <c r="AN476" s="31">
        <f>VLOOKUP($A476,kurspris!$A$1:$Q$950,13,FALSE)</f>
        <v>0</v>
      </c>
      <c r="AO476" s="31">
        <f>VLOOKUP($A476,kurspris!$A$1:$Q$950,14,FALSE)</f>
        <v>0</v>
      </c>
      <c r="AP476" s="57" t="s">
        <v>2402</v>
      </c>
      <c r="AQ476"/>
      <c r="AR476" s="31">
        <f t="shared" si="217"/>
        <v>0</v>
      </c>
      <c r="AS476" s="219">
        <f t="shared" si="218"/>
        <v>0</v>
      </c>
      <c r="AT476" s="31">
        <f t="shared" si="219"/>
        <v>0</v>
      </c>
      <c r="AU476" s="219">
        <f t="shared" si="220"/>
        <v>0</v>
      </c>
      <c r="AV476" s="31">
        <f t="shared" si="221"/>
        <v>0</v>
      </c>
      <c r="AW476" s="31">
        <f t="shared" si="222"/>
        <v>0</v>
      </c>
      <c r="AX476" s="31">
        <f t="shared" si="223"/>
        <v>0</v>
      </c>
      <c r="AY476" s="219">
        <f t="shared" si="224"/>
        <v>0</v>
      </c>
      <c r="AZ476" s="196">
        <f t="shared" si="225"/>
        <v>0</v>
      </c>
      <c r="BA476" s="219">
        <f t="shared" si="226"/>
        <v>0</v>
      </c>
      <c r="BB476" s="31">
        <f t="shared" si="227"/>
        <v>0</v>
      </c>
      <c r="BC476" s="219">
        <f t="shared" si="228"/>
        <v>0</v>
      </c>
      <c r="BD476" s="31">
        <f t="shared" si="229"/>
        <v>3.25</v>
      </c>
      <c r="BE476" s="219">
        <f t="shared" si="230"/>
        <v>2.7624999999999997</v>
      </c>
      <c r="BF476" s="31">
        <f t="shared" si="231"/>
        <v>0</v>
      </c>
      <c r="BG476" s="219">
        <f t="shared" si="232"/>
        <v>0</v>
      </c>
      <c r="BH476" s="31">
        <f t="shared" si="233"/>
        <v>0</v>
      </c>
      <c r="BI476" s="219">
        <f t="shared" si="234"/>
        <v>0</v>
      </c>
      <c r="BJ476" s="31">
        <f t="shared" si="235"/>
        <v>0</v>
      </c>
      <c r="BK476" s="219">
        <f t="shared" si="236"/>
        <v>0</v>
      </c>
      <c r="BL476" s="31">
        <f t="shared" si="237"/>
        <v>0</v>
      </c>
      <c r="BM476" s="219">
        <f t="shared" si="238"/>
        <v>0</v>
      </c>
      <c r="BN476" s="31">
        <f t="shared" si="239"/>
        <v>0</v>
      </c>
      <c r="BO476" s="219">
        <f t="shared" si="240"/>
        <v>0</v>
      </c>
    </row>
    <row r="477" spans="1:67" x14ac:dyDescent="0.25">
      <c r="A477" s="31" t="s">
        <v>2468</v>
      </c>
      <c r="B477" s="176" t="str">
        <f>VLOOKUP(A477,kurspris!$A$1:$B$992,2,FALSE)</f>
        <v>Läraryrkets dimensioner - ingångsämne naturkunskap (VFU)</v>
      </c>
      <c r="D477" s="60" t="s">
        <v>482</v>
      </c>
      <c r="E477" s="576" t="s">
        <v>2226</v>
      </c>
      <c r="F477" s="31" t="s">
        <v>2273</v>
      </c>
      <c r="G477" t="s">
        <v>2456</v>
      </c>
      <c r="H477" t="s">
        <v>2335</v>
      </c>
      <c r="J477" s="31" t="s">
        <v>2235</v>
      </c>
      <c r="L477" s="38">
        <v>1</v>
      </c>
      <c r="M477">
        <v>22.5</v>
      </c>
      <c r="P477" s="31">
        <v>1</v>
      </c>
      <c r="Q477" s="196">
        <f>(M477/60)*P477</f>
        <v>0.375</v>
      </c>
      <c r="R477" s="38">
        <v>0.85</v>
      </c>
      <c r="S477" s="280">
        <f t="shared" si="213"/>
        <v>0.31874999999999998</v>
      </c>
      <c r="T477" s="31">
        <f>VLOOKUP(A477,'Ansvar kurs'!$A$1:$C$1123,2,FALSE)</f>
        <v>5740</v>
      </c>
      <c r="U477" s="31" t="str">
        <f>VLOOKUP(T477,Orgenheter!$A$1:$C$166,2,FALSE)</f>
        <v>NMD</v>
      </c>
      <c r="V477" s="31" t="str">
        <f>VLOOKUP(T477,Orgenheter!$A$1:$C$166,3,FALSE)</f>
        <v>TekNat</v>
      </c>
      <c r="W477" s="35" t="str">
        <f>VLOOKUP(D477,Program!$A$1:$B$36,2,FALSE)</f>
        <v>Ämneslärarprogrammet - Gy</v>
      </c>
      <c r="X477" s="40">
        <f>VLOOKUP(A477,kurspris!$A$1:$Q$913,15,FALSE)</f>
        <v>25235</v>
      </c>
      <c r="Y477" s="40">
        <f>VLOOKUP(A477,kurspris!$A$1:$Q$913,16,FALSE)</f>
        <v>27976</v>
      </c>
      <c r="Z477" s="40">
        <f t="shared" si="214"/>
        <v>18380.474999999999</v>
      </c>
      <c r="AA477" s="40">
        <f>VLOOKUP(A477,kurspris!$A$1:$Q$913,17,FALSE)</f>
        <v>3600</v>
      </c>
      <c r="AB477" s="40">
        <f t="shared" si="215"/>
        <v>1350</v>
      </c>
      <c r="AC477" s="40">
        <f t="shared" si="216"/>
        <v>19730.474999999999</v>
      </c>
      <c r="AD477" s="31">
        <f>VLOOKUP($A477,kurspris!$A$1:$Q$950,3,FALSE)</f>
        <v>0</v>
      </c>
      <c r="AE477" s="31">
        <f>VLOOKUP($A477,kurspris!$A$1:$Q$950,4,FALSE)</f>
        <v>0</v>
      </c>
      <c r="AF477" s="31">
        <f>VLOOKUP($A477,kurspris!$A$1:$Q$950,5,FALSE)</f>
        <v>0</v>
      </c>
      <c r="AG477" s="31">
        <f>VLOOKUP($A477,kurspris!$A$1:$Q$950,6,FALSE)</f>
        <v>0</v>
      </c>
      <c r="AH477" s="31">
        <f>VLOOKUP($A477,kurspris!$A$1:$Q$950,7,FALSE)</f>
        <v>0</v>
      </c>
      <c r="AI477" s="31">
        <f>VLOOKUP($A477,kurspris!$A$1:$Q$950,8,FALSE)</f>
        <v>0</v>
      </c>
      <c r="AJ477" s="31">
        <f>VLOOKUP($A477,kurspris!$A$1:$Q$950,9,FALSE)</f>
        <v>0</v>
      </c>
      <c r="AK477" s="31">
        <f>VLOOKUP($A477,kurspris!$A$1:$Q$950,10,FALSE)</f>
        <v>0</v>
      </c>
      <c r="AL477" s="31">
        <f>VLOOKUP($A477,kurspris!$A$1:$Q$950,11,FALSE)</f>
        <v>1</v>
      </c>
      <c r="AM477" s="31">
        <f>VLOOKUP($A477,kurspris!$A$1:$Q$950,12,FALSE)</f>
        <v>0</v>
      </c>
      <c r="AN477" s="31">
        <f>VLOOKUP($A477,kurspris!$A$1:$Q$950,13,FALSE)</f>
        <v>0</v>
      </c>
      <c r="AO477" s="31">
        <f>VLOOKUP($A477,kurspris!$A$1:$Q$950,14,FALSE)</f>
        <v>0</v>
      </c>
      <c r="AP477" s="57" t="s">
        <v>2506</v>
      </c>
      <c r="AQ477"/>
      <c r="AR477" s="31">
        <f t="shared" si="217"/>
        <v>0</v>
      </c>
      <c r="AS477" s="219">
        <f t="shared" si="218"/>
        <v>0</v>
      </c>
      <c r="AT477" s="31">
        <f t="shared" si="219"/>
        <v>0</v>
      </c>
      <c r="AU477" s="219">
        <f t="shared" si="220"/>
        <v>0</v>
      </c>
      <c r="AV477" s="31">
        <f t="shared" si="221"/>
        <v>0</v>
      </c>
      <c r="AW477" s="31">
        <f t="shared" si="222"/>
        <v>0</v>
      </c>
      <c r="AX477" s="31">
        <f t="shared" si="223"/>
        <v>0</v>
      </c>
      <c r="AY477" s="219">
        <f t="shared" si="224"/>
        <v>0</v>
      </c>
      <c r="AZ477" s="196">
        <f t="shared" si="225"/>
        <v>0</v>
      </c>
      <c r="BA477" s="219">
        <f t="shared" si="226"/>
        <v>0</v>
      </c>
      <c r="BB477" s="31">
        <f t="shared" si="227"/>
        <v>0</v>
      </c>
      <c r="BC477" s="219">
        <f t="shared" si="228"/>
        <v>0</v>
      </c>
      <c r="BD477" s="31">
        <f t="shared" si="229"/>
        <v>0</v>
      </c>
      <c r="BE477" s="219">
        <f t="shared" si="230"/>
        <v>0</v>
      </c>
      <c r="BF477" s="31">
        <f t="shared" si="231"/>
        <v>0</v>
      </c>
      <c r="BG477" s="219">
        <f t="shared" si="232"/>
        <v>0</v>
      </c>
      <c r="BH477" s="31">
        <f t="shared" si="233"/>
        <v>0.375</v>
      </c>
      <c r="BI477" s="219">
        <f t="shared" si="234"/>
        <v>0.31874999999999998</v>
      </c>
      <c r="BJ477" s="31">
        <f t="shared" si="235"/>
        <v>0</v>
      </c>
      <c r="BK477" s="219">
        <f t="shared" si="236"/>
        <v>0</v>
      </c>
      <c r="BL477" s="31">
        <f t="shared" si="237"/>
        <v>0</v>
      </c>
      <c r="BM477" s="219">
        <f t="shared" si="238"/>
        <v>0</v>
      </c>
      <c r="BN477" s="31">
        <f t="shared" si="239"/>
        <v>0</v>
      </c>
      <c r="BO477" s="219">
        <f t="shared" si="240"/>
        <v>0</v>
      </c>
    </row>
    <row r="478" spans="1:67" x14ac:dyDescent="0.25">
      <c r="A478" s="31" t="s">
        <v>1985</v>
      </c>
      <c r="B478" s="176" t="str">
        <f>VLOOKUP(A478,kurspris!$A$1:$B$992,2,FALSE)</f>
        <v>Examensarbete - Naturkunskap</v>
      </c>
      <c r="D478" s="60" t="s">
        <v>482</v>
      </c>
      <c r="E478" s="576" t="s">
        <v>2226</v>
      </c>
      <c r="F478" s="31" t="s">
        <v>2273</v>
      </c>
      <c r="G478" s="31" t="s">
        <v>2454</v>
      </c>
      <c r="H478" s="31" t="s">
        <v>2335</v>
      </c>
      <c r="J478" s="31" t="s">
        <v>2235</v>
      </c>
      <c r="L478" s="38">
        <v>1</v>
      </c>
      <c r="M478" s="31">
        <v>7.5</v>
      </c>
      <c r="P478" s="31">
        <v>1</v>
      </c>
      <c r="Q478" s="196">
        <f>(M478/60)*P478</f>
        <v>0.125</v>
      </c>
      <c r="R478" s="38">
        <v>0.85</v>
      </c>
      <c r="S478" s="280">
        <f t="shared" si="213"/>
        <v>0.10625</v>
      </c>
      <c r="T478" s="31">
        <f>VLOOKUP(A478,'Ansvar kurs'!$A$1:$C$1123,2,FALSE)</f>
        <v>5740</v>
      </c>
      <c r="U478" s="31" t="str">
        <f>VLOOKUP(T478,Orgenheter!$A$1:$C$166,2,FALSE)</f>
        <v>NMD</v>
      </c>
      <c r="V478" s="31" t="str">
        <f>VLOOKUP(T478,Orgenheter!$A$1:$C$166,3,FALSE)</f>
        <v>TekNat</v>
      </c>
      <c r="W478" s="35" t="str">
        <f>VLOOKUP(D478,Program!$A$1:$B$36,2,FALSE)</f>
        <v>Ämneslärarprogrammet - Gy</v>
      </c>
      <c r="X478" s="40">
        <f>VLOOKUP(A478,kurspris!$A$1:$Q$913,15,FALSE)</f>
        <v>20757</v>
      </c>
      <c r="Y478" s="40">
        <f>VLOOKUP(A478,kurspris!$A$1:$Q$913,16,FALSE)</f>
        <v>36082</v>
      </c>
      <c r="Z478" s="40">
        <f t="shared" si="214"/>
        <v>6428.3374999999996</v>
      </c>
      <c r="AA478" s="40">
        <f>VLOOKUP(A478,kurspris!$A$1:$Q$913,17,FALSE)</f>
        <v>22600</v>
      </c>
      <c r="AB478" s="40">
        <f t="shared" si="215"/>
        <v>2825</v>
      </c>
      <c r="AC478" s="40">
        <f t="shared" si="216"/>
        <v>9253.3374999999996</v>
      </c>
      <c r="AD478" s="31">
        <f>VLOOKUP($A478,kurspris!$A$1:$Q$950,3,FALSE)</f>
        <v>0</v>
      </c>
      <c r="AE478" s="31">
        <f>VLOOKUP($A478,kurspris!$A$1:$Q$950,4,FALSE)</f>
        <v>0</v>
      </c>
      <c r="AF478" s="31">
        <f>VLOOKUP($A478,kurspris!$A$1:$Q$950,5,FALSE)</f>
        <v>0</v>
      </c>
      <c r="AG478" s="31">
        <f>VLOOKUP($A478,kurspris!$A$1:$Q$950,6,FALSE)</f>
        <v>0</v>
      </c>
      <c r="AH478" s="31">
        <f>VLOOKUP($A478,kurspris!$A$1:$Q$950,7,FALSE)</f>
        <v>0</v>
      </c>
      <c r="AI478" s="31">
        <f>VLOOKUP($A478,kurspris!$A$1:$Q$950,8,FALSE)</f>
        <v>1</v>
      </c>
      <c r="AJ478" s="31">
        <f>VLOOKUP($A478,kurspris!$A$1:$Q$950,9,FALSE)</f>
        <v>0</v>
      </c>
      <c r="AK478" s="31">
        <f>VLOOKUP($A478,kurspris!$A$1:$Q$950,10,FALSE)</f>
        <v>0</v>
      </c>
      <c r="AL478" s="31">
        <f>VLOOKUP($A478,kurspris!$A$1:$Q$950,11,FALSE)</f>
        <v>0</v>
      </c>
      <c r="AM478" s="31">
        <f>VLOOKUP($A478,kurspris!$A$1:$Q$950,12,FALSE)</f>
        <v>0</v>
      </c>
      <c r="AN478" s="31">
        <f>VLOOKUP($A478,kurspris!$A$1:$Q$950,13,FALSE)</f>
        <v>0</v>
      </c>
      <c r="AO478" s="31">
        <f>VLOOKUP($A478,kurspris!$A$1:$Q$950,14,FALSE)</f>
        <v>0</v>
      </c>
      <c r="AP478" s="57" t="s">
        <v>2506</v>
      </c>
      <c r="AQ478" s="31" t="s">
        <v>2311</v>
      </c>
      <c r="AR478" s="31">
        <f t="shared" si="217"/>
        <v>0</v>
      </c>
      <c r="AS478" s="219">
        <f t="shared" si="218"/>
        <v>0</v>
      </c>
      <c r="AT478" s="31">
        <f t="shared" si="219"/>
        <v>0</v>
      </c>
      <c r="AU478" s="219">
        <f t="shared" si="220"/>
        <v>0</v>
      </c>
      <c r="AV478" s="31">
        <f t="shared" si="221"/>
        <v>0</v>
      </c>
      <c r="AW478" s="31">
        <f t="shared" si="222"/>
        <v>0</v>
      </c>
      <c r="AX478" s="31">
        <f t="shared" si="223"/>
        <v>0</v>
      </c>
      <c r="AY478" s="219">
        <f t="shared" si="224"/>
        <v>0</v>
      </c>
      <c r="AZ478" s="196">
        <f t="shared" si="225"/>
        <v>0</v>
      </c>
      <c r="BA478" s="219">
        <f t="shared" si="226"/>
        <v>0</v>
      </c>
      <c r="BB478" s="31">
        <f t="shared" si="227"/>
        <v>0.125</v>
      </c>
      <c r="BC478" s="219">
        <f t="shared" si="228"/>
        <v>0.10625</v>
      </c>
      <c r="BD478" s="31">
        <f t="shared" si="229"/>
        <v>0</v>
      </c>
      <c r="BE478" s="219">
        <f t="shared" si="230"/>
        <v>0</v>
      </c>
      <c r="BF478" s="31">
        <f t="shared" si="231"/>
        <v>0</v>
      </c>
      <c r="BG478" s="219">
        <f t="shared" si="232"/>
        <v>0</v>
      </c>
      <c r="BH478" s="31">
        <f t="shared" si="233"/>
        <v>0</v>
      </c>
      <c r="BI478" s="219">
        <f t="shared" si="234"/>
        <v>0</v>
      </c>
      <c r="BJ478" s="31">
        <f t="shared" si="235"/>
        <v>0</v>
      </c>
      <c r="BK478" s="219">
        <f t="shared" si="236"/>
        <v>0</v>
      </c>
      <c r="BL478" s="31">
        <f t="shared" si="237"/>
        <v>0</v>
      </c>
      <c r="BM478" s="219">
        <f t="shared" si="238"/>
        <v>0</v>
      </c>
      <c r="BN478" s="31">
        <f t="shared" si="239"/>
        <v>0</v>
      </c>
      <c r="BO478" s="219">
        <f t="shared" si="240"/>
        <v>0</v>
      </c>
    </row>
    <row r="479" spans="1:67" x14ac:dyDescent="0.25">
      <c r="A479" s="31" t="s">
        <v>1746</v>
      </c>
      <c r="B479" s="176" t="str">
        <f>VLOOKUP(A479,kurspris!$A$1:$B$992,2,FALSE)</f>
        <v>Naturkunskapsdidaktik 1 för ämneslärare för gymnasiet</v>
      </c>
      <c r="C479" s="31">
        <v>69500</v>
      </c>
      <c r="D479" s="60" t="s">
        <v>117</v>
      </c>
      <c r="E479" s="60"/>
      <c r="F479" s="57" t="s">
        <v>2274</v>
      </c>
      <c r="H479" s="31" t="s">
        <v>2335</v>
      </c>
      <c r="I479" s="31" t="s">
        <v>2399</v>
      </c>
      <c r="L479" s="38"/>
      <c r="M479" s="31">
        <v>7.5</v>
      </c>
      <c r="P479" s="31">
        <v>2</v>
      </c>
      <c r="Q479" s="539">
        <v>0.25</v>
      </c>
      <c r="R479" s="38">
        <v>0.8</v>
      </c>
      <c r="S479" s="280">
        <f t="shared" si="213"/>
        <v>0.2</v>
      </c>
      <c r="T479" s="31">
        <f>VLOOKUP(A479,'Ansvar kurs'!$A$1:$C$1123,2,FALSE)</f>
        <v>5740</v>
      </c>
      <c r="U479" s="31" t="str">
        <f>VLOOKUP(T479,Orgenheter!$A$1:$C$166,2,FALSE)</f>
        <v>NMD</v>
      </c>
      <c r="V479" s="31" t="str">
        <f>VLOOKUP(T479,Orgenheter!$A$1:$C$166,3,FALSE)</f>
        <v>TekNat</v>
      </c>
      <c r="W479" s="35" t="str">
        <f>VLOOKUP(D479,Program!$A$1:$B$36,2,FALSE)</f>
        <v>Fristående och övriga kurser</v>
      </c>
      <c r="X479" s="40">
        <f>VLOOKUP(A479,kurspris!$A$1:$Q$913,15,FALSE)</f>
        <v>20757</v>
      </c>
      <c r="Y479" s="40">
        <f>VLOOKUP(A479,kurspris!$A$1:$Q$913,16,FALSE)</f>
        <v>36082</v>
      </c>
      <c r="Z479" s="40">
        <f t="shared" si="214"/>
        <v>12405.650000000001</v>
      </c>
      <c r="AA479" s="40">
        <f>VLOOKUP(A479,kurspris!$A$1:$Q$913,17,FALSE)</f>
        <v>22600</v>
      </c>
      <c r="AB479" s="40">
        <f t="shared" si="215"/>
        <v>5650</v>
      </c>
      <c r="AC479" s="40">
        <f t="shared" si="216"/>
        <v>18055.650000000001</v>
      </c>
      <c r="AD479" s="31">
        <f>VLOOKUP($A479,kurspris!$A$1:$Q$950,3,FALSE)</f>
        <v>0</v>
      </c>
      <c r="AE479" s="31">
        <f>VLOOKUP($A479,kurspris!$A$1:$Q$950,4,FALSE)</f>
        <v>0</v>
      </c>
      <c r="AF479" s="31">
        <f>VLOOKUP($A479,kurspris!$A$1:$Q$950,5,FALSE)</f>
        <v>0</v>
      </c>
      <c r="AG479" s="31">
        <f>VLOOKUP($A479,kurspris!$A$1:$Q$950,6,FALSE)</f>
        <v>0</v>
      </c>
      <c r="AH479" s="31">
        <f>VLOOKUP($A479,kurspris!$A$1:$Q$950,7,FALSE)</f>
        <v>0</v>
      </c>
      <c r="AI479" s="31">
        <f>VLOOKUP($A479,kurspris!$A$1:$Q$950,8,FALSE)</f>
        <v>1</v>
      </c>
      <c r="AJ479" s="31">
        <f>VLOOKUP($A479,kurspris!$A$1:$Q$950,9,FALSE)</f>
        <v>0</v>
      </c>
      <c r="AK479" s="31">
        <f>VLOOKUP($A479,kurspris!$A$1:$Q$950,10,FALSE)</f>
        <v>0</v>
      </c>
      <c r="AL479" s="31">
        <f>VLOOKUP($A479,kurspris!$A$1:$Q$950,11,FALSE)</f>
        <v>0</v>
      </c>
      <c r="AM479" s="31">
        <f>VLOOKUP($A479,kurspris!$A$1:$Q$950,12,FALSE)</f>
        <v>0</v>
      </c>
      <c r="AN479" s="31">
        <f>VLOOKUP($A479,kurspris!$A$1:$Q$950,13,FALSE)</f>
        <v>0</v>
      </c>
      <c r="AO479" s="31">
        <f>VLOOKUP($A479,kurspris!$A$1:$Q$950,14,FALSE)</f>
        <v>0</v>
      </c>
      <c r="AP479" s="57" t="s">
        <v>2402</v>
      </c>
      <c r="AQ479"/>
      <c r="AR479" s="31">
        <f t="shared" si="217"/>
        <v>0</v>
      </c>
      <c r="AS479" s="219">
        <f t="shared" si="218"/>
        <v>0</v>
      </c>
      <c r="AT479" s="31">
        <f t="shared" si="219"/>
        <v>0</v>
      </c>
      <c r="AU479" s="219">
        <f t="shared" si="220"/>
        <v>0</v>
      </c>
      <c r="AV479" s="31">
        <f t="shared" si="221"/>
        <v>0</v>
      </c>
      <c r="AW479" s="31">
        <f t="shared" si="222"/>
        <v>0</v>
      </c>
      <c r="AX479" s="31">
        <f t="shared" si="223"/>
        <v>0</v>
      </c>
      <c r="AY479" s="219">
        <f t="shared" si="224"/>
        <v>0</v>
      </c>
      <c r="AZ479" s="196">
        <f t="shared" si="225"/>
        <v>0</v>
      </c>
      <c r="BA479" s="219">
        <f t="shared" si="226"/>
        <v>0</v>
      </c>
      <c r="BB479" s="31">
        <f t="shared" si="227"/>
        <v>0.25</v>
      </c>
      <c r="BC479" s="219">
        <f t="shared" si="228"/>
        <v>0.2</v>
      </c>
      <c r="BD479" s="31">
        <f t="shared" si="229"/>
        <v>0</v>
      </c>
      <c r="BE479" s="219">
        <f t="shared" si="230"/>
        <v>0</v>
      </c>
      <c r="BF479" s="31">
        <f t="shared" si="231"/>
        <v>0</v>
      </c>
      <c r="BG479" s="219">
        <f t="shared" si="232"/>
        <v>0</v>
      </c>
      <c r="BH479" s="31">
        <f t="shared" si="233"/>
        <v>0</v>
      </c>
      <c r="BI479" s="219">
        <f t="shared" si="234"/>
        <v>0</v>
      </c>
      <c r="BJ479" s="31">
        <f t="shared" si="235"/>
        <v>0</v>
      </c>
      <c r="BK479" s="219">
        <f t="shared" si="236"/>
        <v>0</v>
      </c>
      <c r="BL479" s="31">
        <f t="shared" si="237"/>
        <v>0</v>
      </c>
      <c r="BM479" s="219">
        <f t="shared" si="238"/>
        <v>0</v>
      </c>
      <c r="BN479" s="31">
        <f t="shared" si="239"/>
        <v>0</v>
      </c>
      <c r="BO479" s="219">
        <f t="shared" si="240"/>
        <v>0</v>
      </c>
    </row>
    <row r="480" spans="1:67" x14ac:dyDescent="0.25">
      <c r="A480" s="31" t="s">
        <v>1746</v>
      </c>
      <c r="B480" s="176" t="str">
        <f>VLOOKUP(A480,kurspris!$A$1:$B$992,2,FALSE)</f>
        <v>Naturkunskapsdidaktik 1 för ämneslärare för gymnasiet</v>
      </c>
      <c r="C480" s="31">
        <v>69500</v>
      </c>
      <c r="D480" s="60" t="s">
        <v>482</v>
      </c>
      <c r="E480" s="60"/>
      <c r="F480" s="57" t="s">
        <v>2274</v>
      </c>
      <c r="H480" s="31" t="s">
        <v>2335</v>
      </c>
      <c r="I480" s="31" t="s">
        <v>2399</v>
      </c>
      <c r="J480" s="31" t="s">
        <v>2233</v>
      </c>
      <c r="L480" s="38"/>
      <c r="M480">
        <v>7.5</v>
      </c>
      <c r="P480" s="31">
        <v>3</v>
      </c>
      <c r="Q480" s="539">
        <v>0.375</v>
      </c>
      <c r="R480" s="38">
        <v>0.85</v>
      </c>
      <c r="S480" s="280">
        <f t="shared" si="213"/>
        <v>0.31874999999999998</v>
      </c>
      <c r="T480" s="31">
        <f>VLOOKUP(A480,'Ansvar kurs'!$A$1:$C$1123,2,FALSE)</f>
        <v>5740</v>
      </c>
      <c r="U480" s="31" t="str">
        <f>VLOOKUP(T480,Orgenheter!$A$1:$C$166,2,FALSE)</f>
        <v>NMD</v>
      </c>
      <c r="V480" s="31" t="str">
        <f>VLOOKUP(T480,Orgenheter!$A$1:$C$166,3,FALSE)</f>
        <v>TekNat</v>
      </c>
      <c r="W480" s="35" t="str">
        <f>VLOOKUP(D480,Program!$A$1:$B$36,2,FALSE)</f>
        <v>Ämneslärarprogrammet - Gy</v>
      </c>
      <c r="X480" s="40">
        <f>VLOOKUP(A480,kurspris!$A$1:$Q$913,15,FALSE)</f>
        <v>20757</v>
      </c>
      <c r="Y480" s="40">
        <f>VLOOKUP(A480,kurspris!$A$1:$Q$913,16,FALSE)</f>
        <v>36082</v>
      </c>
      <c r="Z480" s="40">
        <f t="shared" si="214"/>
        <v>19285.012499999997</v>
      </c>
      <c r="AA480" s="40">
        <f>VLOOKUP(A480,kurspris!$A$1:$Q$913,17,FALSE)</f>
        <v>22600</v>
      </c>
      <c r="AB480" s="40">
        <f t="shared" si="215"/>
        <v>8475</v>
      </c>
      <c r="AC480" s="40">
        <f t="shared" si="216"/>
        <v>27760.012499999997</v>
      </c>
      <c r="AD480" s="31">
        <f>VLOOKUP($A480,kurspris!$A$1:$Q$950,3,FALSE)</f>
        <v>0</v>
      </c>
      <c r="AE480" s="31">
        <f>VLOOKUP($A480,kurspris!$A$1:$Q$950,4,FALSE)</f>
        <v>0</v>
      </c>
      <c r="AF480" s="31">
        <f>VLOOKUP($A480,kurspris!$A$1:$Q$950,5,FALSE)</f>
        <v>0</v>
      </c>
      <c r="AG480" s="31">
        <f>VLOOKUP($A480,kurspris!$A$1:$Q$950,6,FALSE)</f>
        <v>0</v>
      </c>
      <c r="AH480" s="31">
        <f>VLOOKUP($A480,kurspris!$A$1:$Q$950,7,FALSE)</f>
        <v>0</v>
      </c>
      <c r="AI480" s="31">
        <f>VLOOKUP($A480,kurspris!$A$1:$Q$950,8,FALSE)</f>
        <v>1</v>
      </c>
      <c r="AJ480" s="31">
        <f>VLOOKUP($A480,kurspris!$A$1:$Q$950,9,FALSE)</f>
        <v>0</v>
      </c>
      <c r="AK480" s="31">
        <f>VLOOKUP($A480,kurspris!$A$1:$Q$950,10,FALSE)</f>
        <v>0</v>
      </c>
      <c r="AL480" s="31">
        <f>VLOOKUP($A480,kurspris!$A$1:$Q$950,11,FALSE)</f>
        <v>0</v>
      </c>
      <c r="AM480" s="31">
        <f>VLOOKUP($A480,kurspris!$A$1:$Q$950,12,FALSE)</f>
        <v>0</v>
      </c>
      <c r="AN480" s="31">
        <f>VLOOKUP($A480,kurspris!$A$1:$Q$950,13,FALSE)</f>
        <v>0</v>
      </c>
      <c r="AO480" s="31">
        <f>VLOOKUP($A480,kurspris!$A$1:$Q$950,14,FALSE)</f>
        <v>0</v>
      </c>
      <c r="AP480" s="57" t="s">
        <v>2402</v>
      </c>
      <c r="AQ480"/>
      <c r="AR480" s="31">
        <f t="shared" si="217"/>
        <v>0</v>
      </c>
      <c r="AS480" s="219">
        <f t="shared" si="218"/>
        <v>0</v>
      </c>
      <c r="AT480" s="31">
        <f t="shared" si="219"/>
        <v>0</v>
      </c>
      <c r="AU480" s="219">
        <f t="shared" si="220"/>
        <v>0</v>
      </c>
      <c r="AV480" s="31">
        <f t="shared" si="221"/>
        <v>0</v>
      </c>
      <c r="AW480" s="31">
        <f t="shared" si="222"/>
        <v>0</v>
      </c>
      <c r="AX480" s="31">
        <f t="shared" si="223"/>
        <v>0</v>
      </c>
      <c r="AY480" s="219">
        <f t="shared" si="224"/>
        <v>0</v>
      </c>
      <c r="AZ480" s="196">
        <f t="shared" si="225"/>
        <v>0</v>
      </c>
      <c r="BA480" s="219">
        <f t="shared" si="226"/>
        <v>0</v>
      </c>
      <c r="BB480" s="31">
        <f t="shared" si="227"/>
        <v>0.375</v>
      </c>
      <c r="BC480" s="219">
        <f t="shared" si="228"/>
        <v>0.31874999999999998</v>
      </c>
      <c r="BD480" s="31">
        <f t="shared" si="229"/>
        <v>0</v>
      </c>
      <c r="BE480" s="219">
        <f t="shared" si="230"/>
        <v>0</v>
      </c>
      <c r="BF480" s="31">
        <f t="shared" si="231"/>
        <v>0</v>
      </c>
      <c r="BG480" s="219">
        <f t="shared" si="232"/>
        <v>0</v>
      </c>
      <c r="BH480" s="31">
        <f t="shared" si="233"/>
        <v>0</v>
      </c>
      <c r="BI480" s="219">
        <f t="shared" si="234"/>
        <v>0</v>
      </c>
      <c r="BJ480" s="31">
        <f t="shared" si="235"/>
        <v>0</v>
      </c>
      <c r="BK480" s="219">
        <f t="shared" si="236"/>
        <v>0</v>
      </c>
      <c r="BL480" s="31">
        <f t="shared" si="237"/>
        <v>0</v>
      </c>
      <c r="BM480" s="219">
        <f t="shared" si="238"/>
        <v>0</v>
      </c>
      <c r="BN480" s="31">
        <f t="shared" si="239"/>
        <v>0</v>
      </c>
      <c r="BO480" s="219">
        <f t="shared" si="240"/>
        <v>0</v>
      </c>
    </row>
    <row r="481" spans="1:67" x14ac:dyDescent="0.25">
      <c r="A481" s="31" t="s">
        <v>1746</v>
      </c>
      <c r="B481" s="176" t="str">
        <f>VLOOKUP(A481,kurspris!$A$1:$B$992,2,FALSE)</f>
        <v>Naturkunskapsdidaktik 1 för ämneslärare för gymnasiet</v>
      </c>
      <c r="C481" s="31">
        <v>69500</v>
      </c>
      <c r="D481" s="60" t="s">
        <v>482</v>
      </c>
      <c r="E481" s="60"/>
      <c r="F481" s="57" t="s">
        <v>2274</v>
      </c>
      <c r="H481" s="31" t="s">
        <v>2335</v>
      </c>
      <c r="I481" s="31" t="s">
        <v>2399</v>
      </c>
      <c r="J481" s="31" t="s">
        <v>2235</v>
      </c>
      <c r="L481" s="38"/>
      <c r="M481">
        <v>7.5</v>
      </c>
      <c r="P481" s="31">
        <v>1</v>
      </c>
      <c r="Q481" s="539">
        <v>0.125</v>
      </c>
      <c r="R481" s="38">
        <v>0.85</v>
      </c>
      <c r="S481" s="280">
        <f t="shared" si="213"/>
        <v>0.10625</v>
      </c>
      <c r="T481" s="31">
        <f>VLOOKUP(A481,'Ansvar kurs'!$A$1:$C$1123,2,FALSE)</f>
        <v>5740</v>
      </c>
      <c r="U481" s="31" t="str">
        <f>VLOOKUP(T481,Orgenheter!$A$1:$C$166,2,FALSE)</f>
        <v>NMD</v>
      </c>
      <c r="V481" s="31" t="str">
        <f>VLOOKUP(T481,Orgenheter!$A$1:$C$166,3,FALSE)</f>
        <v>TekNat</v>
      </c>
      <c r="W481" s="35" t="str">
        <f>VLOOKUP(D481,Program!$A$1:$B$36,2,FALSE)</f>
        <v>Ämneslärarprogrammet - Gy</v>
      </c>
      <c r="X481" s="40">
        <f>VLOOKUP(A481,kurspris!$A$1:$Q$913,15,FALSE)</f>
        <v>20757</v>
      </c>
      <c r="Y481" s="40">
        <f>VLOOKUP(A481,kurspris!$A$1:$Q$913,16,FALSE)</f>
        <v>36082</v>
      </c>
      <c r="Z481" s="40">
        <f t="shared" si="214"/>
        <v>6428.3374999999996</v>
      </c>
      <c r="AA481" s="40">
        <f>VLOOKUP(A481,kurspris!$A$1:$Q$913,17,FALSE)</f>
        <v>22600</v>
      </c>
      <c r="AB481" s="40">
        <f t="shared" si="215"/>
        <v>2825</v>
      </c>
      <c r="AC481" s="40">
        <f t="shared" si="216"/>
        <v>9253.3374999999996</v>
      </c>
      <c r="AD481" s="31">
        <f>VLOOKUP($A481,kurspris!$A$1:$Q$950,3,FALSE)</f>
        <v>0</v>
      </c>
      <c r="AE481" s="31">
        <f>VLOOKUP($A481,kurspris!$A$1:$Q$950,4,FALSE)</f>
        <v>0</v>
      </c>
      <c r="AF481" s="31">
        <f>VLOOKUP($A481,kurspris!$A$1:$Q$950,5,FALSE)</f>
        <v>0</v>
      </c>
      <c r="AG481" s="31">
        <f>VLOOKUP($A481,kurspris!$A$1:$Q$950,6,FALSE)</f>
        <v>0</v>
      </c>
      <c r="AH481" s="31">
        <f>VLOOKUP($A481,kurspris!$A$1:$Q$950,7,FALSE)</f>
        <v>0</v>
      </c>
      <c r="AI481" s="31">
        <f>VLOOKUP($A481,kurspris!$A$1:$Q$950,8,FALSE)</f>
        <v>1</v>
      </c>
      <c r="AJ481" s="31">
        <f>VLOOKUP($A481,kurspris!$A$1:$Q$950,9,FALSE)</f>
        <v>0</v>
      </c>
      <c r="AK481" s="31">
        <f>VLOOKUP($A481,kurspris!$A$1:$Q$950,10,FALSE)</f>
        <v>0</v>
      </c>
      <c r="AL481" s="31">
        <f>VLOOKUP($A481,kurspris!$A$1:$Q$950,11,FALSE)</f>
        <v>0</v>
      </c>
      <c r="AM481" s="31">
        <f>VLOOKUP($A481,kurspris!$A$1:$Q$950,12,FALSE)</f>
        <v>0</v>
      </c>
      <c r="AN481" s="31">
        <f>VLOOKUP($A481,kurspris!$A$1:$Q$950,13,FALSE)</f>
        <v>0</v>
      </c>
      <c r="AO481" s="31">
        <f>VLOOKUP($A481,kurspris!$A$1:$Q$950,14,FALSE)</f>
        <v>0</v>
      </c>
      <c r="AP481" s="57" t="s">
        <v>2402</v>
      </c>
      <c r="AQ481"/>
      <c r="AR481" s="31">
        <f t="shared" si="217"/>
        <v>0</v>
      </c>
      <c r="AS481" s="219">
        <f t="shared" si="218"/>
        <v>0</v>
      </c>
      <c r="AT481" s="31">
        <f t="shared" si="219"/>
        <v>0</v>
      </c>
      <c r="AU481" s="219">
        <f t="shared" si="220"/>
        <v>0</v>
      </c>
      <c r="AV481" s="31">
        <f t="shared" si="221"/>
        <v>0</v>
      </c>
      <c r="AW481" s="31">
        <f t="shared" si="222"/>
        <v>0</v>
      </c>
      <c r="AX481" s="31">
        <f t="shared" si="223"/>
        <v>0</v>
      </c>
      <c r="AY481" s="219">
        <f t="shared" si="224"/>
        <v>0</v>
      </c>
      <c r="AZ481" s="196">
        <f t="shared" si="225"/>
        <v>0</v>
      </c>
      <c r="BA481" s="219">
        <f t="shared" si="226"/>
        <v>0</v>
      </c>
      <c r="BB481" s="31">
        <f t="shared" si="227"/>
        <v>0.125</v>
      </c>
      <c r="BC481" s="219">
        <f t="shared" si="228"/>
        <v>0.10625</v>
      </c>
      <c r="BD481" s="31">
        <f t="shared" si="229"/>
        <v>0</v>
      </c>
      <c r="BE481" s="219">
        <f t="shared" si="230"/>
        <v>0</v>
      </c>
      <c r="BF481" s="31">
        <f t="shared" si="231"/>
        <v>0</v>
      </c>
      <c r="BG481" s="219">
        <f t="shared" si="232"/>
        <v>0</v>
      </c>
      <c r="BH481" s="31">
        <f t="shared" si="233"/>
        <v>0</v>
      </c>
      <c r="BI481" s="219">
        <f t="shared" si="234"/>
        <v>0</v>
      </c>
      <c r="BJ481" s="31">
        <f t="shared" si="235"/>
        <v>0</v>
      </c>
      <c r="BK481" s="219">
        <f t="shared" si="236"/>
        <v>0</v>
      </c>
      <c r="BL481" s="31">
        <f t="shared" si="237"/>
        <v>0</v>
      </c>
      <c r="BM481" s="219">
        <f t="shared" si="238"/>
        <v>0</v>
      </c>
      <c r="BN481" s="31">
        <f t="shared" si="239"/>
        <v>0</v>
      </c>
      <c r="BO481" s="219">
        <f t="shared" si="240"/>
        <v>0</v>
      </c>
    </row>
    <row r="482" spans="1:67" x14ac:dyDescent="0.25">
      <c r="A482" s="157" t="s">
        <v>1747</v>
      </c>
      <c r="B482" s="176" t="str">
        <f>VLOOKUP(A482,kurspris!$A$1:$B$992,2,FALSE)</f>
        <v>Naturkunskapsdidaktik 2 för ämneslärare för gymnasiet</v>
      </c>
      <c r="C482" s="31">
        <v>69501</v>
      </c>
      <c r="D482" s="31" t="s">
        <v>117</v>
      </c>
      <c r="F482" s="57" t="s">
        <v>2274</v>
      </c>
      <c r="H482" s="31" t="s">
        <v>2335</v>
      </c>
      <c r="I482" s="31" t="s">
        <v>2399</v>
      </c>
      <c r="L482" s="38"/>
      <c r="M482">
        <v>7.5</v>
      </c>
      <c r="P482" s="31">
        <v>1</v>
      </c>
      <c r="Q482" s="539">
        <v>0.125</v>
      </c>
      <c r="R482" s="38">
        <v>0.8</v>
      </c>
      <c r="S482" s="280">
        <f t="shared" si="213"/>
        <v>0.1</v>
      </c>
      <c r="T482" s="31">
        <f>VLOOKUP(A482,'Ansvar kurs'!$A$1:$C$1123,2,FALSE)</f>
        <v>5740</v>
      </c>
      <c r="U482" s="31" t="str">
        <f>VLOOKUP(T482,Orgenheter!$A$1:$C$166,2,FALSE)</f>
        <v>NMD</v>
      </c>
      <c r="V482" s="31" t="str">
        <f>VLOOKUP(T482,Orgenheter!$A$1:$C$166,3,FALSE)</f>
        <v>TekNat</v>
      </c>
      <c r="W482" s="35" t="str">
        <f>VLOOKUP(D482,Program!$A$1:$B$36,2,FALSE)</f>
        <v>Fristående och övriga kurser</v>
      </c>
      <c r="X482" s="40">
        <f>VLOOKUP(A482,kurspris!$A$1:$Q$913,15,FALSE)</f>
        <v>20757</v>
      </c>
      <c r="Y482" s="40">
        <f>VLOOKUP(A482,kurspris!$A$1:$Q$913,16,FALSE)</f>
        <v>36082</v>
      </c>
      <c r="Z482" s="40">
        <f t="shared" si="214"/>
        <v>6202.8250000000007</v>
      </c>
      <c r="AA482" s="40">
        <f>VLOOKUP(A482,kurspris!$A$1:$Q$913,17,FALSE)</f>
        <v>22600</v>
      </c>
      <c r="AB482" s="40">
        <f t="shared" si="215"/>
        <v>2825</v>
      </c>
      <c r="AC482" s="40">
        <f t="shared" si="216"/>
        <v>9027.8250000000007</v>
      </c>
      <c r="AD482" s="31">
        <f>VLOOKUP($A482,kurspris!$A$1:$Q$950,3,FALSE)</f>
        <v>0</v>
      </c>
      <c r="AE482" s="31">
        <f>VLOOKUP($A482,kurspris!$A$1:$Q$950,4,FALSE)</f>
        <v>0</v>
      </c>
      <c r="AF482" s="31">
        <f>VLOOKUP($A482,kurspris!$A$1:$Q$950,5,FALSE)</f>
        <v>0</v>
      </c>
      <c r="AG482" s="31">
        <f>VLOOKUP($A482,kurspris!$A$1:$Q$950,6,FALSE)</f>
        <v>0</v>
      </c>
      <c r="AH482" s="31">
        <f>VLOOKUP($A482,kurspris!$A$1:$Q$950,7,FALSE)</f>
        <v>0</v>
      </c>
      <c r="AI482" s="31">
        <f>VLOOKUP($A482,kurspris!$A$1:$Q$950,8,FALSE)</f>
        <v>1</v>
      </c>
      <c r="AJ482" s="31">
        <f>VLOOKUP($A482,kurspris!$A$1:$Q$950,9,FALSE)</f>
        <v>0</v>
      </c>
      <c r="AK482" s="31">
        <f>VLOOKUP($A482,kurspris!$A$1:$Q$950,10,FALSE)</f>
        <v>0</v>
      </c>
      <c r="AL482" s="31">
        <f>VLOOKUP($A482,kurspris!$A$1:$Q$950,11,FALSE)</f>
        <v>0</v>
      </c>
      <c r="AM482" s="31">
        <f>VLOOKUP($A482,kurspris!$A$1:$Q$950,12,FALSE)</f>
        <v>0</v>
      </c>
      <c r="AN482" s="31">
        <f>VLOOKUP($A482,kurspris!$A$1:$Q$950,13,FALSE)</f>
        <v>0</v>
      </c>
      <c r="AO482" s="31">
        <f>VLOOKUP($A482,kurspris!$A$1:$Q$950,14,FALSE)</f>
        <v>0</v>
      </c>
      <c r="AP482" s="57" t="s">
        <v>2402</v>
      </c>
      <c r="AQ482" s="37"/>
      <c r="AR482" s="31">
        <f t="shared" si="217"/>
        <v>0</v>
      </c>
      <c r="AS482" s="219">
        <f t="shared" si="218"/>
        <v>0</v>
      </c>
      <c r="AT482" s="31">
        <f t="shared" si="219"/>
        <v>0</v>
      </c>
      <c r="AU482" s="219">
        <f t="shared" si="220"/>
        <v>0</v>
      </c>
      <c r="AV482" s="31">
        <f t="shared" si="221"/>
        <v>0</v>
      </c>
      <c r="AW482" s="31">
        <f t="shared" si="222"/>
        <v>0</v>
      </c>
      <c r="AX482" s="31">
        <f t="shared" si="223"/>
        <v>0</v>
      </c>
      <c r="AY482" s="219">
        <f t="shared" si="224"/>
        <v>0</v>
      </c>
      <c r="AZ482" s="196">
        <f t="shared" si="225"/>
        <v>0</v>
      </c>
      <c r="BA482" s="219">
        <f t="shared" si="226"/>
        <v>0</v>
      </c>
      <c r="BB482" s="31">
        <f t="shared" si="227"/>
        <v>0.125</v>
      </c>
      <c r="BC482" s="219">
        <f t="shared" si="228"/>
        <v>0.1</v>
      </c>
      <c r="BD482" s="31">
        <f t="shared" si="229"/>
        <v>0</v>
      </c>
      <c r="BE482" s="219">
        <f t="shared" si="230"/>
        <v>0</v>
      </c>
      <c r="BF482" s="31">
        <f t="shared" si="231"/>
        <v>0</v>
      </c>
      <c r="BG482" s="219">
        <f t="shared" si="232"/>
        <v>0</v>
      </c>
      <c r="BH482" s="31">
        <f t="shared" si="233"/>
        <v>0</v>
      </c>
      <c r="BI482" s="219">
        <f t="shared" si="234"/>
        <v>0</v>
      </c>
      <c r="BJ482" s="31">
        <f t="shared" si="235"/>
        <v>0</v>
      </c>
      <c r="BK482" s="219">
        <f t="shared" si="236"/>
        <v>0</v>
      </c>
      <c r="BL482" s="31">
        <f t="shared" si="237"/>
        <v>0</v>
      </c>
      <c r="BM482" s="219">
        <f t="shared" si="238"/>
        <v>0</v>
      </c>
      <c r="BN482" s="31">
        <f t="shared" si="239"/>
        <v>0</v>
      </c>
      <c r="BO482" s="219">
        <f t="shared" si="240"/>
        <v>0</v>
      </c>
    </row>
    <row r="483" spans="1:67" x14ac:dyDescent="0.25">
      <c r="A483" s="157" t="s">
        <v>1747</v>
      </c>
      <c r="B483" s="176" t="str">
        <f>VLOOKUP(A483,kurspris!$A$1:$B$992,2,FALSE)</f>
        <v>Naturkunskapsdidaktik 2 för ämneslärare för gymnasiet</v>
      </c>
      <c r="C483" s="31">
        <v>69501</v>
      </c>
      <c r="D483" s="31" t="s">
        <v>482</v>
      </c>
      <c r="F483" s="57" t="s">
        <v>2274</v>
      </c>
      <c r="H483" s="31" t="s">
        <v>2335</v>
      </c>
      <c r="I483" s="31" t="s">
        <v>2399</v>
      </c>
      <c r="J483" s="31" t="s">
        <v>2233</v>
      </c>
      <c r="L483" s="38"/>
      <c r="M483">
        <v>7.5</v>
      </c>
      <c r="P483" s="31">
        <v>3</v>
      </c>
      <c r="Q483" s="539">
        <v>0.375</v>
      </c>
      <c r="R483" s="38">
        <v>0.85</v>
      </c>
      <c r="S483" s="280">
        <f t="shared" si="213"/>
        <v>0.31874999999999998</v>
      </c>
      <c r="T483" s="31">
        <f>VLOOKUP(A483,'Ansvar kurs'!$A$1:$C$1123,2,FALSE)</f>
        <v>5740</v>
      </c>
      <c r="U483" s="31" t="str">
        <f>VLOOKUP(T483,Orgenheter!$A$1:$C$166,2,FALSE)</f>
        <v>NMD</v>
      </c>
      <c r="V483" s="31" t="str">
        <f>VLOOKUP(T483,Orgenheter!$A$1:$C$166,3,FALSE)</f>
        <v>TekNat</v>
      </c>
      <c r="W483" s="35" t="str">
        <f>VLOOKUP(D483,Program!$A$1:$B$36,2,FALSE)</f>
        <v>Ämneslärarprogrammet - Gy</v>
      </c>
      <c r="X483" s="40">
        <f>VLOOKUP(A483,kurspris!$A$1:$Q$913,15,FALSE)</f>
        <v>20757</v>
      </c>
      <c r="Y483" s="40">
        <f>VLOOKUP(A483,kurspris!$A$1:$Q$913,16,FALSE)</f>
        <v>36082</v>
      </c>
      <c r="Z483" s="40">
        <f t="shared" si="214"/>
        <v>19285.012499999997</v>
      </c>
      <c r="AA483" s="40">
        <f>VLOOKUP(A483,kurspris!$A$1:$Q$913,17,FALSE)</f>
        <v>22600</v>
      </c>
      <c r="AB483" s="40">
        <f t="shared" si="215"/>
        <v>8475</v>
      </c>
      <c r="AC483" s="40">
        <f t="shared" si="216"/>
        <v>27760.012499999997</v>
      </c>
      <c r="AD483" s="31">
        <f>VLOOKUP($A483,kurspris!$A$1:$Q$950,3,FALSE)</f>
        <v>0</v>
      </c>
      <c r="AE483" s="31">
        <f>VLOOKUP($A483,kurspris!$A$1:$Q$950,4,FALSE)</f>
        <v>0</v>
      </c>
      <c r="AF483" s="31">
        <f>VLOOKUP($A483,kurspris!$A$1:$Q$950,5,FALSE)</f>
        <v>0</v>
      </c>
      <c r="AG483" s="31">
        <f>VLOOKUP($A483,kurspris!$A$1:$Q$950,6,FALSE)</f>
        <v>0</v>
      </c>
      <c r="AH483" s="31">
        <f>VLOOKUP($A483,kurspris!$A$1:$Q$950,7,FALSE)</f>
        <v>0</v>
      </c>
      <c r="AI483" s="31">
        <f>VLOOKUP($A483,kurspris!$A$1:$Q$950,8,FALSE)</f>
        <v>1</v>
      </c>
      <c r="AJ483" s="31">
        <f>VLOOKUP($A483,kurspris!$A$1:$Q$950,9,FALSE)</f>
        <v>0</v>
      </c>
      <c r="AK483" s="31">
        <f>VLOOKUP($A483,kurspris!$A$1:$Q$950,10,FALSE)</f>
        <v>0</v>
      </c>
      <c r="AL483" s="31">
        <f>VLOOKUP($A483,kurspris!$A$1:$Q$950,11,FALSE)</f>
        <v>0</v>
      </c>
      <c r="AM483" s="31">
        <f>VLOOKUP($A483,kurspris!$A$1:$Q$950,12,FALSE)</f>
        <v>0</v>
      </c>
      <c r="AN483" s="31">
        <f>VLOOKUP($A483,kurspris!$A$1:$Q$950,13,FALSE)</f>
        <v>0</v>
      </c>
      <c r="AO483" s="31">
        <f>VLOOKUP($A483,kurspris!$A$1:$Q$950,14,FALSE)</f>
        <v>0</v>
      </c>
      <c r="AP483" s="57" t="s">
        <v>2402</v>
      </c>
      <c r="AQ483" s="37"/>
      <c r="AR483" s="31">
        <f t="shared" si="217"/>
        <v>0</v>
      </c>
      <c r="AS483" s="219">
        <f t="shared" si="218"/>
        <v>0</v>
      </c>
      <c r="AT483" s="31">
        <f t="shared" si="219"/>
        <v>0</v>
      </c>
      <c r="AU483" s="219">
        <f t="shared" si="220"/>
        <v>0</v>
      </c>
      <c r="AV483" s="31">
        <f t="shared" si="221"/>
        <v>0</v>
      </c>
      <c r="AW483" s="31">
        <f t="shared" si="222"/>
        <v>0</v>
      </c>
      <c r="AX483" s="31">
        <f t="shared" si="223"/>
        <v>0</v>
      </c>
      <c r="AY483" s="219">
        <f t="shared" si="224"/>
        <v>0</v>
      </c>
      <c r="AZ483" s="196">
        <f t="shared" si="225"/>
        <v>0</v>
      </c>
      <c r="BA483" s="219">
        <f t="shared" si="226"/>
        <v>0</v>
      </c>
      <c r="BB483" s="31">
        <f t="shared" si="227"/>
        <v>0.375</v>
      </c>
      <c r="BC483" s="219">
        <f t="shared" si="228"/>
        <v>0.31874999999999998</v>
      </c>
      <c r="BD483" s="31">
        <f t="shared" si="229"/>
        <v>0</v>
      </c>
      <c r="BE483" s="219">
        <f t="shared" si="230"/>
        <v>0</v>
      </c>
      <c r="BF483" s="31">
        <f t="shared" si="231"/>
        <v>0</v>
      </c>
      <c r="BG483" s="219">
        <f t="shared" si="232"/>
        <v>0</v>
      </c>
      <c r="BH483" s="31">
        <f t="shared" si="233"/>
        <v>0</v>
      </c>
      <c r="BI483" s="219">
        <f t="shared" si="234"/>
        <v>0</v>
      </c>
      <c r="BJ483" s="31">
        <f t="shared" si="235"/>
        <v>0</v>
      </c>
      <c r="BK483" s="219">
        <f t="shared" si="236"/>
        <v>0</v>
      </c>
      <c r="BL483" s="31">
        <f t="shared" si="237"/>
        <v>0</v>
      </c>
      <c r="BM483" s="219">
        <f t="shared" si="238"/>
        <v>0</v>
      </c>
      <c r="BN483" s="31">
        <f t="shared" si="239"/>
        <v>0</v>
      </c>
      <c r="BO483" s="219">
        <f t="shared" si="240"/>
        <v>0</v>
      </c>
    </row>
    <row r="484" spans="1:67" x14ac:dyDescent="0.25">
      <c r="A484" s="31" t="s">
        <v>1747</v>
      </c>
      <c r="B484" s="176" t="str">
        <f>VLOOKUP(A484,kurspris!$A$1:$B$992,2,FALSE)</f>
        <v>Naturkunskapsdidaktik 2 för ämneslärare för gymnasiet</v>
      </c>
      <c r="C484" s="31">
        <v>69501</v>
      </c>
      <c r="D484" s="60" t="s">
        <v>482</v>
      </c>
      <c r="E484" s="60"/>
      <c r="F484" s="57" t="s">
        <v>2274</v>
      </c>
      <c r="H484" s="31" t="s">
        <v>2335</v>
      </c>
      <c r="I484" s="31" t="s">
        <v>2399</v>
      </c>
      <c r="J484" s="31" t="s">
        <v>2235</v>
      </c>
      <c r="L484" s="38"/>
      <c r="M484">
        <v>7.5</v>
      </c>
      <c r="P484" s="31">
        <v>1</v>
      </c>
      <c r="Q484" s="539">
        <v>0.125</v>
      </c>
      <c r="R484" s="38">
        <v>0.85</v>
      </c>
      <c r="S484" s="280">
        <f t="shared" si="213"/>
        <v>0.10625</v>
      </c>
      <c r="T484" s="31">
        <f>VLOOKUP(A484,'Ansvar kurs'!$A$1:$C$1123,2,FALSE)</f>
        <v>5740</v>
      </c>
      <c r="U484" s="31" t="str">
        <f>VLOOKUP(T484,Orgenheter!$A$1:$C$166,2,FALSE)</f>
        <v>NMD</v>
      </c>
      <c r="V484" s="31" t="str">
        <f>VLOOKUP(T484,Orgenheter!$A$1:$C$166,3,FALSE)</f>
        <v>TekNat</v>
      </c>
      <c r="W484" s="35" t="str">
        <f>VLOOKUP(D484,Program!$A$1:$B$36,2,FALSE)</f>
        <v>Ämneslärarprogrammet - Gy</v>
      </c>
      <c r="X484" s="40">
        <f>VLOOKUP(A484,kurspris!$A$1:$Q$913,15,FALSE)</f>
        <v>20757</v>
      </c>
      <c r="Y484" s="40">
        <f>VLOOKUP(A484,kurspris!$A$1:$Q$913,16,FALSE)</f>
        <v>36082</v>
      </c>
      <c r="Z484" s="40">
        <f t="shared" si="214"/>
        <v>6428.3374999999996</v>
      </c>
      <c r="AA484" s="40">
        <f>VLOOKUP(A484,kurspris!$A$1:$Q$913,17,FALSE)</f>
        <v>22600</v>
      </c>
      <c r="AB484" s="40">
        <f t="shared" si="215"/>
        <v>2825</v>
      </c>
      <c r="AC484" s="40">
        <f t="shared" si="216"/>
        <v>9253.3374999999996</v>
      </c>
      <c r="AD484" s="31">
        <f>VLOOKUP($A484,kurspris!$A$1:$Q$950,3,FALSE)</f>
        <v>0</v>
      </c>
      <c r="AE484" s="31">
        <f>VLOOKUP($A484,kurspris!$A$1:$Q$950,4,FALSE)</f>
        <v>0</v>
      </c>
      <c r="AF484" s="31">
        <f>VLOOKUP($A484,kurspris!$A$1:$Q$950,5,FALSE)</f>
        <v>0</v>
      </c>
      <c r="AG484" s="31">
        <f>VLOOKUP($A484,kurspris!$A$1:$Q$950,6,FALSE)</f>
        <v>0</v>
      </c>
      <c r="AH484" s="31">
        <f>VLOOKUP($A484,kurspris!$A$1:$Q$950,7,FALSE)</f>
        <v>0</v>
      </c>
      <c r="AI484" s="31">
        <f>VLOOKUP($A484,kurspris!$A$1:$Q$950,8,FALSE)</f>
        <v>1</v>
      </c>
      <c r="AJ484" s="31">
        <f>VLOOKUP($A484,kurspris!$A$1:$Q$950,9,FALSE)</f>
        <v>0</v>
      </c>
      <c r="AK484" s="31">
        <f>VLOOKUP($A484,kurspris!$A$1:$Q$950,10,FALSE)</f>
        <v>0</v>
      </c>
      <c r="AL484" s="31">
        <f>VLOOKUP($A484,kurspris!$A$1:$Q$950,11,FALSE)</f>
        <v>0</v>
      </c>
      <c r="AM484" s="31">
        <f>VLOOKUP($A484,kurspris!$A$1:$Q$950,12,FALSE)</f>
        <v>0</v>
      </c>
      <c r="AN484" s="31">
        <f>VLOOKUP($A484,kurspris!$A$1:$Q$950,13,FALSE)</f>
        <v>0</v>
      </c>
      <c r="AO484" s="31">
        <f>VLOOKUP($A484,kurspris!$A$1:$Q$950,14,FALSE)</f>
        <v>0</v>
      </c>
      <c r="AP484" s="57" t="s">
        <v>2402</v>
      </c>
      <c r="AQ484"/>
      <c r="AR484" s="31">
        <f t="shared" si="217"/>
        <v>0</v>
      </c>
      <c r="AS484" s="219">
        <f t="shared" si="218"/>
        <v>0</v>
      </c>
      <c r="AT484" s="31">
        <f t="shared" si="219"/>
        <v>0</v>
      </c>
      <c r="AU484" s="219">
        <f t="shared" si="220"/>
        <v>0</v>
      </c>
      <c r="AV484" s="31">
        <f t="shared" si="221"/>
        <v>0</v>
      </c>
      <c r="AW484" s="31">
        <f t="shared" si="222"/>
        <v>0</v>
      </c>
      <c r="AX484" s="31">
        <f t="shared" si="223"/>
        <v>0</v>
      </c>
      <c r="AY484" s="219">
        <f t="shared" si="224"/>
        <v>0</v>
      </c>
      <c r="AZ484" s="196">
        <f t="shared" si="225"/>
        <v>0</v>
      </c>
      <c r="BA484" s="219">
        <f t="shared" si="226"/>
        <v>0</v>
      </c>
      <c r="BB484" s="31">
        <f t="shared" si="227"/>
        <v>0.125</v>
      </c>
      <c r="BC484" s="219">
        <f t="shared" si="228"/>
        <v>0.10625</v>
      </c>
      <c r="BD484" s="31">
        <f t="shared" si="229"/>
        <v>0</v>
      </c>
      <c r="BE484" s="219">
        <f t="shared" si="230"/>
        <v>0</v>
      </c>
      <c r="BF484" s="31">
        <f t="shared" si="231"/>
        <v>0</v>
      </c>
      <c r="BG484" s="219">
        <f t="shared" si="232"/>
        <v>0</v>
      </c>
      <c r="BH484" s="31">
        <f t="shared" si="233"/>
        <v>0</v>
      </c>
      <c r="BI484" s="219">
        <f t="shared" si="234"/>
        <v>0</v>
      </c>
      <c r="BJ484" s="31">
        <f t="shared" si="235"/>
        <v>0</v>
      </c>
      <c r="BK484" s="219">
        <f t="shared" si="236"/>
        <v>0</v>
      </c>
      <c r="BL484" s="31">
        <f t="shared" si="237"/>
        <v>0</v>
      </c>
      <c r="BM484" s="219">
        <f t="shared" si="238"/>
        <v>0</v>
      </c>
      <c r="BN484" s="31">
        <f t="shared" si="239"/>
        <v>0</v>
      </c>
      <c r="BO484" s="219">
        <f t="shared" si="240"/>
        <v>0</v>
      </c>
    </row>
    <row r="485" spans="1:67" x14ac:dyDescent="0.25">
      <c r="A485" s="31" t="s">
        <v>1537</v>
      </c>
      <c r="B485" s="176" t="str">
        <f>VLOOKUP(A485,kurspris!$A$1:$B$992,2,FALSE)</f>
        <v>Matematik, naturvetenskap och utomhuspedagogik för fritidshem</v>
      </c>
      <c r="C485" s="31">
        <v>61701</v>
      </c>
      <c r="D485" s="60" t="s">
        <v>484</v>
      </c>
      <c r="E485" s="60"/>
      <c r="F485" s="57" t="s">
        <v>2274</v>
      </c>
      <c r="H485" s="31" t="s">
        <v>2335</v>
      </c>
      <c r="I485" s="31" t="s">
        <v>2399</v>
      </c>
      <c r="L485" s="38"/>
      <c r="M485">
        <v>7.5</v>
      </c>
      <c r="P485" s="31">
        <v>23</v>
      </c>
      <c r="Q485" s="539">
        <v>2.875</v>
      </c>
      <c r="R485" s="38">
        <v>0.85</v>
      </c>
      <c r="S485" s="280">
        <f t="shared" si="213"/>
        <v>2.4437500000000001</v>
      </c>
      <c r="T485" s="31">
        <f>VLOOKUP(A485,'Ansvar kurs'!$A$1:$C$1123,2,FALSE)</f>
        <v>5740</v>
      </c>
      <c r="U485" s="31" t="str">
        <f>VLOOKUP(T485,Orgenheter!$A$1:$C$166,2,FALSE)</f>
        <v>NMD</v>
      </c>
      <c r="V485" s="31" t="str">
        <f>VLOOKUP(T485,Orgenheter!$A$1:$C$166,3,FALSE)</f>
        <v>TekNat</v>
      </c>
      <c r="W485" s="35" t="str">
        <f>VLOOKUP(D485,Program!$A$1:$B$36,2,FALSE)</f>
        <v>Grundlärarprogrammet - fritidshem</v>
      </c>
      <c r="X485" s="40">
        <f>VLOOKUP(A485,kurspris!$A$1:$Q$913,15,FALSE)</f>
        <v>20757</v>
      </c>
      <c r="Y485" s="40">
        <f>VLOOKUP(A485,kurspris!$A$1:$Q$913,16,FALSE)</f>
        <v>36082</v>
      </c>
      <c r="Z485" s="40">
        <f t="shared" si="214"/>
        <v>147851.76250000001</v>
      </c>
      <c r="AA485" s="40">
        <f>VLOOKUP(A485,kurspris!$A$1:$Q$913,17,FALSE)</f>
        <v>22600</v>
      </c>
      <c r="AB485" s="40">
        <f t="shared" si="215"/>
        <v>64975</v>
      </c>
      <c r="AC485" s="40">
        <f t="shared" si="216"/>
        <v>212826.76250000001</v>
      </c>
      <c r="AD485" s="31">
        <f>VLOOKUP($A485,kurspris!$A$1:$Q$950,3,FALSE)</f>
        <v>0</v>
      </c>
      <c r="AE485" s="31">
        <f>VLOOKUP($A485,kurspris!$A$1:$Q$950,4,FALSE)</f>
        <v>0</v>
      </c>
      <c r="AF485" s="31">
        <f>VLOOKUP($A485,kurspris!$A$1:$Q$950,5,FALSE)</f>
        <v>0</v>
      </c>
      <c r="AG485" s="31">
        <f>VLOOKUP($A485,kurspris!$A$1:$Q$950,6,FALSE)</f>
        <v>0</v>
      </c>
      <c r="AH485" s="31">
        <f>VLOOKUP($A485,kurspris!$A$1:$Q$950,7,FALSE)</f>
        <v>0</v>
      </c>
      <c r="AI485" s="31">
        <f>VLOOKUP($A485,kurspris!$A$1:$Q$950,8,FALSE)</f>
        <v>1</v>
      </c>
      <c r="AJ485" s="31">
        <f>VLOOKUP($A485,kurspris!$A$1:$Q$950,9,FALSE)</f>
        <v>0</v>
      </c>
      <c r="AK485" s="31">
        <f>VLOOKUP($A485,kurspris!$A$1:$Q$950,10,FALSE)</f>
        <v>0</v>
      </c>
      <c r="AL485" s="31">
        <f>VLOOKUP($A485,kurspris!$A$1:$Q$950,11,FALSE)</f>
        <v>0</v>
      </c>
      <c r="AM485" s="31">
        <f>VLOOKUP($A485,kurspris!$A$1:$Q$950,12,FALSE)</f>
        <v>0</v>
      </c>
      <c r="AN485" s="31">
        <f>VLOOKUP($A485,kurspris!$A$1:$Q$950,13,FALSE)</f>
        <v>0</v>
      </c>
      <c r="AO485" s="31">
        <f>VLOOKUP($A485,kurspris!$A$1:$Q$950,14,FALSE)</f>
        <v>0</v>
      </c>
      <c r="AP485" s="57" t="s">
        <v>2402</v>
      </c>
      <c r="AQ485"/>
      <c r="AR485" s="31">
        <f t="shared" si="217"/>
        <v>0</v>
      </c>
      <c r="AS485" s="219">
        <f t="shared" si="218"/>
        <v>0</v>
      </c>
      <c r="AT485" s="31">
        <f t="shared" si="219"/>
        <v>0</v>
      </c>
      <c r="AU485" s="219">
        <f t="shared" si="220"/>
        <v>0</v>
      </c>
      <c r="AV485" s="31">
        <f t="shared" si="221"/>
        <v>0</v>
      </c>
      <c r="AW485" s="31">
        <f t="shared" si="222"/>
        <v>0</v>
      </c>
      <c r="AX485" s="31">
        <f t="shared" si="223"/>
        <v>0</v>
      </c>
      <c r="AY485" s="219">
        <f t="shared" si="224"/>
        <v>0</v>
      </c>
      <c r="AZ485" s="196">
        <f t="shared" si="225"/>
        <v>0</v>
      </c>
      <c r="BA485" s="219">
        <f t="shared" si="226"/>
        <v>0</v>
      </c>
      <c r="BB485" s="31">
        <f t="shared" si="227"/>
        <v>2.875</v>
      </c>
      <c r="BC485" s="219">
        <f t="shared" si="228"/>
        <v>2.4437500000000001</v>
      </c>
      <c r="BD485" s="31">
        <f t="shared" si="229"/>
        <v>0</v>
      </c>
      <c r="BE485" s="219">
        <f t="shared" si="230"/>
        <v>0</v>
      </c>
      <c r="BF485" s="31">
        <f t="shared" si="231"/>
        <v>0</v>
      </c>
      <c r="BG485" s="219">
        <f t="shared" si="232"/>
        <v>0</v>
      </c>
      <c r="BH485" s="31">
        <f t="shared" si="233"/>
        <v>0</v>
      </c>
      <c r="BI485" s="219">
        <f t="shared" si="234"/>
        <v>0</v>
      </c>
      <c r="BJ485" s="31">
        <f t="shared" si="235"/>
        <v>0</v>
      </c>
      <c r="BK485" s="219">
        <f t="shared" si="236"/>
        <v>0</v>
      </c>
      <c r="BL485" s="31">
        <f t="shared" si="237"/>
        <v>0</v>
      </c>
      <c r="BM485" s="219">
        <f t="shared" si="238"/>
        <v>0</v>
      </c>
      <c r="BN485" s="31">
        <f t="shared" si="239"/>
        <v>0</v>
      </c>
      <c r="BO485" s="219">
        <f t="shared" si="240"/>
        <v>0</v>
      </c>
    </row>
    <row r="486" spans="1:67" x14ac:dyDescent="0.25">
      <c r="A486" s="31" t="s">
        <v>1535</v>
      </c>
      <c r="B486" s="176" t="str">
        <f>VLOOKUP(A486,kurspris!$A$1:$B$992,2,FALSE)</f>
        <v>Naturorientering och teknik för förskoleklass och grundskolans årskurs 1-3</v>
      </c>
      <c r="C486" s="31">
        <v>61704</v>
      </c>
      <c r="D486" s="60" t="s">
        <v>485</v>
      </c>
      <c r="E486" s="60"/>
      <c r="F486" s="57" t="s">
        <v>2274</v>
      </c>
      <c r="H486" s="31" t="s">
        <v>2335</v>
      </c>
      <c r="I486" s="31" t="s">
        <v>2399</v>
      </c>
      <c r="L486" s="38"/>
      <c r="M486">
        <v>15</v>
      </c>
      <c r="P486" s="31">
        <v>41</v>
      </c>
      <c r="Q486" s="539">
        <v>10.25</v>
      </c>
      <c r="R486" s="38">
        <v>0.85</v>
      </c>
      <c r="S486" s="280">
        <f t="shared" si="213"/>
        <v>8.7125000000000004</v>
      </c>
      <c r="T486" s="31">
        <f>VLOOKUP(A486,'Ansvar kurs'!$A$1:$C$1123,2,FALSE)</f>
        <v>5740</v>
      </c>
      <c r="U486" s="31" t="str">
        <f>VLOOKUP(T486,Orgenheter!$A$1:$C$166,2,FALSE)</f>
        <v>NMD</v>
      </c>
      <c r="V486" s="31" t="str">
        <f>VLOOKUP(T486,Orgenheter!$A$1:$C$166,3,FALSE)</f>
        <v>TekNat</v>
      </c>
      <c r="W486" s="35" t="str">
        <f>VLOOKUP(D486,Program!$A$1:$B$36,2,FALSE)</f>
        <v>Grundlärarprogrammet - förskoleklass och åk 1-3</v>
      </c>
      <c r="X486" s="40">
        <f>VLOOKUP(A486,kurspris!$A$1:$Q$913,15,FALSE)</f>
        <v>20757</v>
      </c>
      <c r="Y486" s="40">
        <f>VLOOKUP(A486,kurspris!$A$1:$Q$913,16,FALSE)</f>
        <v>36082</v>
      </c>
      <c r="Z486" s="40">
        <f t="shared" si="214"/>
        <v>527123.67500000005</v>
      </c>
      <c r="AA486" s="40">
        <f>VLOOKUP(A486,kurspris!$A$1:$Q$913,17,FALSE)</f>
        <v>22600</v>
      </c>
      <c r="AB486" s="40">
        <f t="shared" si="215"/>
        <v>231650</v>
      </c>
      <c r="AC486" s="40">
        <f t="shared" si="216"/>
        <v>758773.67500000005</v>
      </c>
      <c r="AD486" s="31">
        <f>VLOOKUP($A486,kurspris!$A$1:$Q$950,3,FALSE)</f>
        <v>0</v>
      </c>
      <c r="AE486" s="31">
        <f>VLOOKUP($A486,kurspris!$A$1:$Q$950,4,FALSE)</f>
        <v>0</v>
      </c>
      <c r="AF486" s="31">
        <f>VLOOKUP($A486,kurspris!$A$1:$Q$950,5,FALSE)</f>
        <v>0</v>
      </c>
      <c r="AG486" s="31">
        <f>VLOOKUP($A486,kurspris!$A$1:$Q$950,6,FALSE)</f>
        <v>0</v>
      </c>
      <c r="AH486" s="31">
        <f>VLOOKUP($A486,kurspris!$A$1:$Q$950,7,FALSE)</f>
        <v>0</v>
      </c>
      <c r="AI486" s="31">
        <f>VLOOKUP($A486,kurspris!$A$1:$Q$950,8,FALSE)</f>
        <v>1</v>
      </c>
      <c r="AJ486" s="31">
        <f>VLOOKUP($A486,kurspris!$A$1:$Q$950,9,FALSE)</f>
        <v>0</v>
      </c>
      <c r="AK486" s="31">
        <f>VLOOKUP($A486,kurspris!$A$1:$Q$950,10,FALSE)</f>
        <v>0</v>
      </c>
      <c r="AL486" s="31">
        <f>VLOOKUP($A486,kurspris!$A$1:$Q$950,11,FALSE)</f>
        <v>0</v>
      </c>
      <c r="AM486" s="31">
        <f>VLOOKUP($A486,kurspris!$A$1:$Q$950,12,FALSE)</f>
        <v>0</v>
      </c>
      <c r="AN486" s="31">
        <f>VLOOKUP($A486,kurspris!$A$1:$Q$950,13,FALSE)</f>
        <v>0</v>
      </c>
      <c r="AO486" s="31">
        <f>VLOOKUP($A486,kurspris!$A$1:$Q$950,14,FALSE)</f>
        <v>0</v>
      </c>
      <c r="AP486" s="57" t="s">
        <v>2402</v>
      </c>
      <c r="AQ486"/>
      <c r="AR486" s="31">
        <f t="shared" si="217"/>
        <v>0</v>
      </c>
      <c r="AS486" s="219">
        <f t="shared" si="218"/>
        <v>0</v>
      </c>
      <c r="AT486" s="31">
        <f t="shared" si="219"/>
        <v>0</v>
      </c>
      <c r="AU486" s="219">
        <f t="shared" si="220"/>
        <v>0</v>
      </c>
      <c r="AV486" s="31">
        <f t="shared" si="221"/>
        <v>0</v>
      </c>
      <c r="AW486" s="31">
        <f t="shared" si="222"/>
        <v>0</v>
      </c>
      <c r="AX486" s="31">
        <f t="shared" si="223"/>
        <v>0</v>
      </c>
      <c r="AY486" s="219">
        <f t="shared" si="224"/>
        <v>0</v>
      </c>
      <c r="AZ486" s="196">
        <f t="shared" si="225"/>
        <v>0</v>
      </c>
      <c r="BA486" s="219">
        <f t="shared" si="226"/>
        <v>0</v>
      </c>
      <c r="BB486" s="31">
        <f t="shared" si="227"/>
        <v>10.25</v>
      </c>
      <c r="BC486" s="219">
        <f t="shared" si="228"/>
        <v>8.7125000000000004</v>
      </c>
      <c r="BD486" s="31">
        <f t="shared" si="229"/>
        <v>0</v>
      </c>
      <c r="BE486" s="219">
        <f t="shared" si="230"/>
        <v>0</v>
      </c>
      <c r="BF486" s="31">
        <f t="shared" si="231"/>
        <v>0</v>
      </c>
      <c r="BG486" s="219">
        <f t="shared" si="232"/>
        <v>0</v>
      </c>
      <c r="BH486" s="31">
        <f t="shared" si="233"/>
        <v>0</v>
      </c>
      <c r="BI486" s="219">
        <f t="shared" si="234"/>
        <v>0</v>
      </c>
      <c r="BJ486" s="31">
        <f t="shared" si="235"/>
        <v>0</v>
      </c>
      <c r="BK486" s="219">
        <f t="shared" si="236"/>
        <v>0</v>
      </c>
      <c r="BL486" s="31">
        <f t="shared" si="237"/>
        <v>0</v>
      </c>
      <c r="BM486" s="219">
        <f t="shared" si="238"/>
        <v>0</v>
      </c>
      <c r="BN486" s="31">
        <f t="shared" si="239"/>
        <v>0</v>
      </c>
      <c r="BO486" s="219">
        <f t="shared" si="240"/>
        <v>0</v>
      </c>
    </row>
    <row r="487" spans="1:67" x14ac:dyDescent="0.25">
      <c r="A487" s="31" t="s">
        <v>1538</v>
      </c>
      <c r="B487" s="176" t="str">
        <f>VLOOKUP(A487,kurspris!$A$1:$B$992,2,FALSE)</f>
        <v>Naturorientering och teknik för förskoleklass och grundskolans årskurs 4-6</v>
      </c>
      <c r="C487" s="31">
        <v>61705</v>
      </c>
      <c r="D487" s="60" t="s">
        <v>523</v>
      </c>
      <c r="E487" s="60"/>
      <c r="F487" s="57" t="s">
        <v>2274</v>
      </c>
      <c r="H487" s="31" t="s">
        <v>2335</v>
      </c>
      <c r="I487" s="31" t="s">
        <v>2399</v>
      </c>
      <c r="L487" s="38"/>
      <c r="M487" s="31">
        <v>30</v>
      </c>
      <c r="P487" s="31">
        <v>9</v>
      </c>
      <c r="Q487" s="539">
        <v>4.5</v>
      </c>
      <c r="R487" s="38">
        <v>0.85</v>
      </c>
      <c r="S487" s="280">
        <f t="shared" si="213"/>
        <v>3.8249999999999997</v>
      </c>
      <c r="T487" s="31">
        <f>VLOOKUP(A487,'Ansvar kurs'!$A$1:$C$1123,2,FALSE)</f>
        <v>5740</v>
      </c>
      <c r="U487" s="31" t="str">
        <f>VLOOKUP(T487,Orgenheter!$A$1:$C$166,2,FALSE)</f>
        <v>NMD</v>
      </c>
      <c r="V487" s="31" t="str">
        <f>VLOOKUP(T487,Orgenheter!$A$1:$C$166,3,FALSE)</f>
        <v>TekNat</v>
      </c>
      <c r="W487" s="35" t="str">
        <f>VLOOKUP(D487,Program!$A$1:$B$36,2,FALSE)</f>
        <v>Grundlärarprogrammet - grundskolans åk 4-6</v>
      </c>
      <c r="X487" s="40">
        <f>VLOOKUP(A487,kurspris!$A$1:$Q$913,15,FALSE)</f>
        <v>20757</v>
      </c>
      <c r="Y487" s="40">
        <f>VLOOKUP(A487,kurspris!$A$1:$Q$913,16,FALSE)</f>
        <v>36082</v>
      </c>
      <c r="Z487" s="40">
        <f t="shared" si="214"/>
        <v>231420.15</v>
      </c>
      <c r="AA487" s="40">
        <f>VLOOKUP(A487,kurspris!$A$1:$Q$913,17,FALSE)</f>
        <v>22600</v>
      </c>
      <c r="AB487" s="40">
        <f t="shared" si="215"/>
        <v>101700</v>
      </c>
      <c r="AC487" s="40">
        <f t="shared" si="216"/>
        <v>333120.15000000002</v>
      </c>
      <c r="AD487" s="31">
        <f>VLOOKUP($A487,kurspris!$A$1:$Q$950,3,FALSE)</f>
        <v>0</v>
      </c>
      <c r="AE487" s="31">
        <f>VLOOKUP($A487,kurspris!$A$1:$Q$950,4,FALSE)</f>
        <v>0</v>
      </c>
      <c r="AF487" s="31">
        <f>VLOOKUP($A487,kurspris!$A$1:$Q$950,5,FALSE)</f>
        <v>0</v>
      </c>
      <c r="AG487" s="31">
        <f>VLOOKUP($A487,kurspris!$A$1:$Q$950,6,FALSE)</f>
        <v>0</v>
      </c>
      <c r="AH487" s="31">
        <f>VLOOKUP($A487,kurspris!$A$1:$Q$950,7,FALSE)</f>
        <v>0</v>
      </c>
      <c r="AI487" s="31">
        <f>VLOOKUP($A487,kurspris!$A$1:$Q$950,8,FALSE)</f>
        <v>1</v>
      </c>
      <c r="AJ487" s="31">
        <f>VLOOKUP($A487,kurspris!$A$1:$Q$950,9,FALSE)</f>
        <v>0</v>
      </c>
      <c r="AK487" s="31">
        <f>VLOOKUP($A487,kurspris!$A$1:$Q$950,10,FALSE)</f>
        <v>0</v>
      </c>
      <c r="AL487" s="31">
        <f>VLOOKUP($A487,kurspris!$A$1:$Q$950,11,FALSE)</f>
        <v>0</v>
      </c>
      <c r="AM487" s="31">
        <f>VLOOKUP($A487,kurspris!$A$1:$Q$950,12,FALSE)</f>
        <v>0</v>
      </c>
      <c r="AN487" s="31">
        <f>VLOOKUP($A487,kurspris!$A$1:$Q$950,13,FALSE)</f>
        <v>0</v>
      </c>
      <c r="AO487" s="31">
        <f>VLOOKUP($A487,kurspris!$A$1:$Q$950,14,FALSE)</f>
        <v>0</v>
      </c>
      <c r="AP487" s="57" t="s">
        <v>2402</v>
      </c>
      <c r="AQ487"/>
      <c r="AR487" s="31">
        <f t="shared" si="217"/>
        <v>0</v>
      </c>
      <c r="AS487" s="219">
        <f t="shared" si="218"/>
        <v>0</v>
      </c>
      <c r="AT487" s="31">
        <f t="shared" si="219"/>
        <v>0</v>
      </c>
      <c r="AU487" s="219">
        <f t="shared" si="220"/>
        <v>0</v>
      </c>
      <c r="AV487" s="31">
        <f t="shared" si="221"/>
        <v>0</v>
      </c>
      <c r="AW487" s="31">
        <f t="shared" si="222"/>
        <v>0</v>
      </c>
      <c r="AX487" s="31">
        <f t="shared" si="223"/>
        <v>0</v>
      </c>
      <c r="AY487" s="219">
        <f t="shared" si="224"/>
        <v>0</v>
      </c>
      <c r="AZ487" s="196">
        <f t="shared" si="225"/>
        <v>0</v>
      </c>
      <c r="BA487" s="219">
        <f t="shared" si="226"/>
        <v>0</v>
      </c>
      <c r="BB487" s="31">
        <f t="shared" si="227"/>
        <v>4.5</v>
      </c>
      <c r="BC487" s="219">
        <f t="shared" si="228"/>
        <v>3.8249999999999997</v>
      </c>
      <c r="BD487" s="31">
        <f t="shared" si="229"/>
        <v>0</v>
      </c>
      <c r="BE487" s="219">
        <f t="shared" si="230"/>
        <v>0</v>
      </c>
      <c r="BF487" s="31">
        <f t="shared" si="231"/>
        <v>0</v>
      </c>
      <c r="BG487" s="219">
        <f t="shared" si="232"/>
        <v>0</v>
      </c>
      <c r="BH487" s="31">
        <f t="shared" si="233"/>
        <v>0</v>
      </c>
      <c r="BI487" s="219">
        <f t="shared" si="234"/>
        <v>0</v>
      </c>
      <c r="BJ487" s="31">
        <f t="shared" si="235"/>
        <v>0</v>
      </c>
      <c r="BK487" s="219">
        <f t="shared" si="236"/>
        <v>0</v>
      </c>
      <c r="BL487" s="31">
        <f t="shared" si="237"/>
        <v>0</v>
      </c>
      <c r="BM487" s="219">
        <f t="shared" si="238"/>
        <v>0</v>
      </c>
      <c r="BN487" s="31">
        <f t="shared" si="239"/>
        <v>0</v>
      </c>
      <c r="BO487" s="219">
        <f t="shared" si="240"/>
        <v>0</v>
      </c>
    </row>
    <row r="488" spans="1:67" x14ac:dyDescent="0.25">
      <c r="A488" s="31" t="s">
        <v>1805</v>
      </c>
      <c r="B488" s="176" t="str">
        <f>VLOOKUP(A488,kurspris!$A$1:$B$992,2,FALSE)</f>
        <v>Naturvetenskap och teknik i förskolan</v>
      </c>
      <c r="D488" s="60" t="s">
        <v>483</v>
      </c>
      <c r="E488" s="576" t="s">
        <v>2434</v>
      </c>
      <c r="F488" s="31" t="s">
        <v>2273</v>
      </c>
      <c r="G488" t="s">
        <v>2437</v>
      </c>
      <c r="H488" t="s">
        <v>2335</v>
      </c>
      <c r="I488" s="31" t="s">
        <v>2276</v>
      </c>
      <c r="L488" s="38">
        <v>1</v>
      </c>
      <c r="M488">
        <v>15</v>
      </c>
      <c r="P488" s="31">
        <v>38</v>
      </c>
      <c r="Q488" s="196">
        <f>(M488/60)*P488</f>
        <v>9.5</v>
      </c>
      <c r="R488" s="38">
        <v>0.85</v>
      </c>
      <c r="S488" s="280">
        <f t="shared" si="213"/>
        <v>8.0749999999999993</v>
      </c>
      <c r="T488" s="31">
        <f>VLOOKUP(A488,'Ansvar kurs'!$A$1:$C$1123,2,FALSE)</f>
        <v>5740</v>
      </c>
      <c r="U488" s="31" t="str">
        <f>VLOOKUP(T488,Orgenheter!$A$1:$C$166,2,FALSE)</f>
        <v>NMD</v>
      </c>
      <c r="V488" s="31" t="str">
        <f>VLOOKUP(T488,Orgenheter!$A$1:$C$166,3,FALSE)</f>
        <v>TekNat</v>
      </c>
      <c r="W488" s="35" t="str">
        <f>VLOOKUP(D488,Program!$A$1:$B$36,2,FALSE)</f>
        <v>Förskollärarprogrammet</v>
      </c>
      <c r="X488" s="40">
        <f>VLOOKUP(A488,kurspris!$A$1:$Q$913,15,FALSE)</f>
        <v>20757</v>
      </c>
      <c r="Y488" s="40">
        <f>VLOOKUP(A488,kurspris!$A$1:$Q$913,16,FALSE)</f>
        <v>36082</v>
      </c>
      <c r="Z488" s="40">
        <f t="shared" si="214"/>
        <v>488553.64999999997</v>
      </c>
      <c r="AA488" s="40">
        <f>VLOOKUP(A488,kurspris!$A$1:$Q$913,17,FALSE)</f>
        <v>22600</v>
      </c>
      <c r="AB488" s="40">
        <f t="shared" si="215"/>
        <v>214700</v>
      </c>
      <c r="AC488" s="40">
        <f t="shared" si="216"/>
        <v>703253.64999999991</v>
      </c>
      <c r="AD488" s="31">
        <f>VLOOKUP($A488,kurspris!$A$1:$Q$950,3,FALSE)</f>
        <v>0</v>
      </c>
      <c r="AE488" s="31">
        <f>VLOOKUP($A488,kurspris!$A$1:$Q$950,4,FALSE)</f>
        <v>0</v>
      </c>
      <c r="AF488" s="31">
        <f>VLOOKUP($A488,kurspris!$A$1:$Q$950,5,FALSE)</f>
        <v>0</v>
      </c>
      <c r="AG488" s="31">
        <f>VLOOKUP($A488,kurspris!$A$1:$Q$950,6,FALSE)</f>
        <v>0</v>
      </c>
      <c r="AH488" s="31">
        <f>VLOOKUP($A488,kurspris!$A$1:$Q$950,7,FALSE)</f>
        <v>0</v>
      </c>
      <c r="AI488" s="31">
        <f>VLOOKUP($A488,kurspris!$A$1:$Q$950,8,FALSE)</f>
        <v>1</v>
      </c>
      <c r="AJ488" s="31">
        <f>VLOOKUP($A488,kurspris!$A$1:$Q$950,9,FALSE)</f>
        <v>0</v>
      </c>
      <c r="AK488" s="31">
        <f>VLOOKUP($A488,kurspris!$A$1:$Q$950,10,FALSE)</f>
        <v>0</v>
      </c>
      <c r="AL488" s="31">
        <f>VLOOKUP($A488,kurspris!$A$1:$Q$950,11,FALSE)</f>
        <v>0</v>
      </c>
      <c r="AM488" s="31">
        <f>VLOOKUP($A488,kurspris!$A$1:$Q$950,12,FALSE)</f>
        <v>0</v>
      </c>
      <c r="AN488" s="31">
        <f>VLOOKUP($A488,kurspris!$A$1:$Q$950,13,FALSE)</f>
        <v>0</v>
      </c>
      <c r="AO488" s="31">
        <f>VLOOKUP($A488,kurspris!$A$1:$Q$950,14,FALSE)</f>
        <v>0</v>
      </c>
      <c r="AP488" s="57" t="s">
        <v>2506</v>
      </c>
      <c r="AQ488"/>
      <c r="AR488" s="31">
        <f t="shared" si="217"/>
        <v>0</v>
      </c>
      <c r="AS488" s="219">
        <f t="shared" si="218"/>
        <v>0</v>
      </c>
      <c r="AT488" s="31">
        <f t="shared" si="219"/>
        <v>0</v>
      </c>
      <c r="AU488" s="219">
        <f t="shared" si="220"/>
        <v>0</v>
      </c>
      <c r="AV488" s="31">
        <f t="shared" si="221"/>
        <v>0</v>
      </c>
      <c r="AW488" s="31">
        <f t="shared" si="222"/>
        <v>0</v>
      </c>
      <c r="AX488" s="31">
        <f t="shared" si="223"/>
        <v>0</v>
      </c>
      <c r="AY488" s="219">
        <f t="shared" si="224"/>
        <v>0</v>
      </c>
      <c r="AZ488" s="196">
        <f t="shared" si="225"/>
        <v>0</v>
      </c>
      <c r="BA488" s="219">
        <f t="shared" si="226"/>
        <v>0</v>
      </c>
      <c r="BB488" s="31">
        <f t="shared" si="227"/>
        <v>9.5</v>
      </c>
      <c r="BC488" s="219">
        <f t="shared" si="228"/>
        <v>8.0749999999999993</v>
      </c>
      <c r="BD488" s="31">
        <f t="shared" si="229"/>
        <v>0</v>
      </c>
      <c r="BE488" s="219">
        <f t="shared" si="230"/>
        <v>0</v>
      </c>
      <c r="BF488" s="31">
        <f t="shared" si="231"/>
        <v>0</v>
      </c>
      <c r="BG488" s="219">
        <f t="shared" si="232"/>
        <v>0</v>
      </c>
      <c r="BH488" s="31">
        <f t="shared" si="233"/>
        <v>0</v>
      </c>
      <c r="BI488" s="219">
        <f t="shared" si="234"/>
        <v>0</v>
      </c>
      <c r="BJ488" s="31">
        <f t="shared" si="235"/>
        <v>0</v>
      </c>
      <c r="BK488" s="219">
        <f t="shared" si="236"/>
        <v>0</v>
      </c>
      <c r="BL488" s="31">
        <f t="shared" si="237"/>
        <v>0</v>
      </c>
      <c r="BM488" s="219">
        <f t="shared" si="238"/>
        <v>0</v>
      </c>
      <c r="BN488" s="31">
        <f t="shared" si="239"/>
        <v>0</v>
      </c>
      <c r="BO488" s="219">
        <f t="shared" si="240"/>
        <v>0</v>
      </c>
    </row>
    <row r="489" spans="1:67" x14ac:dyDescent="0.25">
      <c r="A489" s="31" t="s">
        <v>1805</v>
      </c>
      <c r="B489" s="176" t="str">
        <f>VLOOKUP(A489,kurspris!$A$1:$B$992,2,FALSE)</f>
        <v>Naturvetenskap och teknik i förskolan</v>
      </c>
      <c r="D489" s="60" t="s">
        <v>483</v>
      </c>
      <c r="E489" s="576" t="s">
        <v>2435</v>
      </c>
      <c r="F489" s="31" t="s">
        <v>2273</v>
      </c>
      <c r="G489" t="s">
        <v>2437</v>
      </c>
      <c r="H489" t="s">
        <v>2335</v>
      </c>
      <c r="I489" s="31" t="s">
        <v>2276</v>
      </c>
      <c r="L489" s="38">
        <v>1</v>
      </c>
      <c r="M489">
        <v>15</v>
      </c>
      <c r="P489" s="31">
        <v>1</v>
      </c>
      <c r="Q489" s="196">
        <f>(M489/60)*P489</f>
        <v>0.25</v>
      </c>
      <c r="R489" s="38">
        <v>0.85</v>
      </c>
      <c r="S489" s="280">
        <f t="shared" si="213"/>
        <v>0.21249999999999999</v>
      </c>
      <c r="T489" s="31">
        <f>VLOOKUP(A489,'Ansvar kurs'!$A$1:$C$1123,2,FALSE)</f>
        <v>5740</v>
      </c>
      <c r="U489" s="31" t="str">
        <f>VLOOKUP(T489,Orgenheter!$A$1:$C$166,2,FALSE)</f>
        <v>NMD</v>
      </c>
      <c r="V489" s="31" t="str">
        <f>VLOOKUP(T489,Orgenheter!$A$1:$C$166,3,FALSE)</f>
        <v>TekNat</v>
      </c>
      <c r="W489" s="35" t="str">
        <f>VLOOKUP(D489,Program!$A$1:$B$36,2,FALSE)</f>
        <v>Förskollärarprogrammet</v>
      </c>
      <c r="X489" s="40">
        <f>VLOOKUP(A489,kurspris!$A$1:$Q$913,15,FALSE)</f>
        <v>20757</v>
      </c>
      <c r="Y489" s="40">
        <f>VLOOKUP(A489,kurspris!$A$1:$Q$913,16,FALSE)</f>
        <v>36082</v>
      </c>
      <c r="Z489" s="40">
        <f t="shared" si="214"/>
        <v>12856.674999999999</v>
      </c>
      <c r="AA489" s="40">
        <f>VLOOKUP(A489,kurspris!$A$1:$Q$913,17,FALSE)</f>
        <v>22600</v>
      </c>
      <c r="AB489" s="40">
        <f t="shared" si="215"/>
        <v>5650</v>
      </c>
      <c r="AC489" s="40">
        <f t="shared" si="216"/>
        <v>18506.674999999999</v>
      </c>
      <c r="AD489" s="31">
        <f>VLOOKUP($A489,kurspris!$A$1:$Q$950,3,FALSE)</f>
        <v>0</v>
      </c>
      <c r="AE489" s="31">
        <f>VLOOKUP($A489,kurspris!$A$1:$Q$950,4,FALSE)</f>
        <v>0</v>
      </c>
      <c r="AF489" s="31">
        <f>VLOOKUP($A489,kurspris!$A$1:$Q$950,5,FALSE)</f>
        <v>0</v>
      </c>
      <c r="AG489" s="31">
        <f>VLOOKUP($A489,kurspris!$A$1:$Q$950,6,FALSE)</f>
        <v>0</v>
      </c>
      <c r="AH489" s="31">
        <f>VLOOKUP($A489,kurspris!$A$1:$Q$950,7,FALSE)</f>
        <v>0</v>
      </c>
      <c r="AI489" s="31">
        <f>VLOOKUP($A489,kurspris!$A$1:$Q$950,8,FALSE)</f>
        <v>1</v>
      </c>
      <c r="AJ489" s="31">
        <f>VLOOKUP($A489,kurspris!$A$1:$Q$950,9,FALSE)</f>
        <v>0</v>
      </c>
      <c r="AK489" s="31">
        <f>VLOOKUP($A489,kurspris!$A$1:$Q$950,10,FALSE)</f>
        <v>0</v>
      </c>
      <c r="AL489" s="31">
        <f>VLOOKUP($A489,kurspris!$A$1:$Q$950,11,FALSE)</f>
        <v>0</v>
      </c>
      <c r="AM489" s="31">
        <f>VLOOKUP($A489,kurspris!$A$1:$Q$950,12,FALSE)</f>
        <v>0</v>
      </c>
      <c r="AN489" s="31">
        <f>VLOOKUP($A489,kurspris!$A$1:$Q$950,13,FALSE)</f>
        <v>0</v>
      </c>
      <c r="AO489" s="31">
        <f>VLOOKUP($A489,kurspris!$A$1:$Q$950,14,FALSE)</f>
        <v>0</v>
      </c>
      <c r="AP489" s="57" t="s">
        <v>2506</v>
      </c>
      <c r="AQ489"/>
      <c r="AR489" s="31">
        <f t="shared" si="217"/>
        <v>0</v>
      </c>
      <c r="AS489" s="219">
        <f t="shared" si="218"/>
        <v>0</v>
      </c>
      <c r="AT489" s="31">
        <f t="shared" si="219"/>
        <v>0</v>
      </c>
      <c r="AU489" s="219">
        <f t="shared" si="220"/>
        <v>0</v>
      </c>
      <c r="AV489" s="31">
        <f t="shared" si="221"/>
        <v>0</v>
      </c>
      <c r="AW489" s="31">
        <f t="shared" si="222"/>
        <v>0</v>
      </c>
      <c r="AX489" s="31">
        <f t="shared" si="223"/>
        <v>0</v>
      </c>
      <c r="AY489" s="219">
        <f t="shared" si="224"/>
        <v>0</v>
      </c>
      <c r="AZ489" s="196">
        <f t="shared" si="225"/>
        <v>0</v>
      </c>
      <c r="BA489" s="219">
        <f t="shared" si="226"/>
        <v>0</v>
      </c>
      <c r="BB489" s="31">
        <f t="shared" si="227"/>
        <v>0.25</v>
      </c>
      <c r="BC489" s="219">
        <f t="shared" si="228"/>
        <v>0.21249999999999999</v>
      </c>
      <c r="BD489" s="31">
        <f t="shared" si="229"/>
        <v>0</v>
      </c>
      <c r="BE489" s="219">
        <f t="shared" si="230"/>
        <v>0</v>
      </c>
      <c r="BF489" s="31">
        <f t="shared" si="231"/>
        <v>0</v>
      </c>
      <c r="BG489" s="219">
        <f t="shared" si="232"/>
        <v>0</v>
      </c>
      <c r="BH489" s="31">
        <f t="shared" si="233"/>
        <v>0</v>
      </c>
      <c r="BI489" s="219">
        <f t="shared" si="234"/>
        <v>0</v>
      </c>
      <c r="BJ489" s="31">
        <f t="shared" si="235"/>
        <v>0</v>
      </c>
      <c r="BK489" s="219">
        <f t="shared" si="236"/>
        <v>0</v>
      </c>
      <c r="BL489" s="31">
        <f t="shared" si="237"/>
        <v>0</v>
      </c>
      <c r="BM489" s="219">
        <f t="shared" si="238"/>
        <v>0</v>
      </c>
      <c r="BN489" s="31">
        <f t="shared" si="239"/>
        <v>0</v>
      </c>
      <c r="BO489" s="219">
        <f t="shared" si="240"/>
        <v>0</v>
      </c>
    </row>
    <row r="490" spans="1:67" x14ac:dyDescent="0.25">
      <c r="A490" s="31" t="s">
        <v>1805</v>
      </c>
      <c r="B490" s="176" t="str">
        <f>VLOOKUP(A490,kurspris!$A$1:$B$992,2,FALSE)</f>
        <v>Naturvetenskap och teknik i förskolan</v>
      </c>
      <c r="C490" s="31">
        <v>61706</v>
      </c>
      <c r="D490" s="60" t="s">
        <v>483</v>
      </c>
      <c r="E490" s="60"/>
      <c r="F490" s="57" t="s">
        <v>2274</v>
      </c>
      <c r="H490" s="31" t="s">
        <v>2335</v>
      </c>
      <c r="I490" s="31" t="s">
        <v>2399</v>
      </c>
      <c r="L490" s="38"/>
      <c r="M490">
        <v>15</v>
      </c>
      <c r="P490" s="31">
        <v>14</v>
      </c>
      <c r="Q490" s="539">
        <v>3.5</v>
      </c>
      <c r="R490" s="38">
        <v>0.85</v>
      </c>
      <c r="S490" s="280">
        <f t="shared" si="213"/>
        <v>2.9750000000000001</v>
      </c>
      <c r="T490" s="31">
        <f>VLOOKUP(A490,'Ansvar kurs'!$A$1:$C$1123,2,FALSE)</f>
        <v>5740</v>
      </c>
      <c r="U490" s="31" t="str">
        <f>VLOOKUP(T490,Orgenheter!$A$1:$C$166,2,FALSE)</f>
        <v>NMD</v>
      </c>
      <c r="V490" s="31" t="str">
        <f>VLOOKUP(T490,Orgenheter!$A$1:$C$166,3,FALSE)</f>
        <v>TekNat</v>
      </c>
      <c r="W490" s="35" t="str">
        <f>VLOOKUP(D490,Program!$A$1:$B$36,2,FALSE)</f>
        <v>Förskollärarprogrammet</v>
      </c>
      <c r="X490" s="40">
        <f>VLOOKUP(A490,kurspris!$A$1:$Q$913,15,FALSE)</f>
        <v>20757</v>
      </c>
      <c r="Y490" s="40">
        <f>VLOOKUP(A490,kurspris!$A$1:$Q$913,16,FALSE)</f>
        <v>36082</v>
      </c>
      <c r="Z490" s="40">
        <f t="shared" si="214"/>
        <v>179993.45</v>
      </c>
      <c r="AA490" s="40">
        <f>VLOOKUP(A490,kurspris!$A$1:$Q$913,17,FALSE)</f>
        <v>22600</v>
      </c>
      <c r="AB490" s="40">
        <f t="shared" si="215"/>
        <v>79100</v>
      </c>
      <c r="AC490" s="40">
        <f t="shared" si="216"/>
        <v>259093.45</v>
      </c>
      <c r="AD490" s="31">
        <f>VLOOKUP($A490,kurspris!$A$1:$Q$950,3,FALSE)</f>
        <v>0</v>
      </c>
      <c r="AE490" s="31">
        <f>VLOOKUP($A490,kurspris!$A$1:$Q$950,4,FALSE)</f>
        <v>0</v>
      </c>
      <c r="AF490" s="31">
        <f>VLOOKUP($A490,kurspris!$A$1:$Q$950,5,FALSE)</f>
        <v>0</v>
      </c>
      <c r="AG490" s="31">
        <f>VLOOKUP($A490,kurspris!$A$1:$Q$950,6,FALSE)</f>
        <v>0</v>
      </c>
      <c r="AH490" s="31">
        <f>VLOOKUP($A490,kurspris!$A$1:$Q$950,7,FALSE)</f>
        <v>0</v>
      </c>
      <c r="AI490" s="31">
        <f>VLOOKUP($A490,kurspris!$A$1:$Q$950,8,FALSE)</f>
        <v>1</v>
      </c>
      <c r="AJ490" s="31">
        <f>VLOOKUP($A490,kurspris!$A$1:$Q$950,9,FALSE)</f>
        <v>0</v>
      </c>
      <c r="AK490" s="31">
        <f>VLOOKUP($A490,kurspris!$A$1:$Q$950,10,FALSE)</f>
        <v>0</v>
      </c>
      <c r="AL490" s="31">
        <f>VLOOKUP($A490,kurspris!$A$1:$Q$950,11,FALSE)</f>
        <v>0</v>
      </c>
      <c r="AM490" s="31">
        <f>VLOOKUP($A490,kurspris!$A$1:$Q$950,12,FALSE)</f>
        <v>0</v>
      </c>
      <c r="AN490" s="31">
        <f>VLOOKUP($A490,kurspris!$A$1:$Q$950,13,FALSE)</f>
        <v>0</v>
      </c>
      <c r="AO490" s="31">
        <f>VLOOKUP($A490,kurspris!$A$1:$Q$950,14,FALSE)</f>
        <v>0</v>
      </c>
      <c r="AP490" s="57" t="s">
        <v>2402</v>
      </c>
      <c r="AQ490"/>
      <c r="AR490" s="31">
        <f t="shared" si="217"/>
        <v>0</v>
      </c>
      <c r="AS490" s="219">
        <f t="shared" si="218"/>
        <v>0</v>
      </c>
      <c r="AT490" s="31">
        <f t="shared" si="219"/>
        <v>0</v>
      </c>
      <c r="AU490" s="219">
        <f t="shared" si="220"/>
        <v>0</v>
      </c>
      <c r="AV490" s="31">
        <f t="shared" si="221"/>
        <v>0</v>
      </c>
      <c r="AW490" s="31">
        <f t="shared" si="222"/>
        <v>0</v>
      </c>
      <c r="AX490" s="31">
        <f t="shared" si="223"/>
        <v>0</v>
      </c>
      <c r="AY490" s="219">
        <f t="shared" si="224"/>
        <v>0</v>
      </c>
      <c r="AZ490" s="196">
        <f t="shared" si="225"/>
        <v>0</v>
      </c>
      <c r="BA490" s="219">
        <f t="shared" si="226"/>
        <v>0</v>
      </c>
      <c r="BB490" s="31">
        <f t="shared" si="227"/>
        <v>3.5</v>
      </c>
      <c r="BC490" s="219">
        <f t="shared" si="228"/>
        <v>2.9750000000000001</v>
      </c>
      <c r="BD490" s="31">
        <f t="shared" si="229"/>
        <v>0</v>
      </c>
      <c r="BE490" s="219">
        <f t="shared" si="230"/>
        <v>0</v>
      </c>
      <c r="BF490" s="31">
        <f t="shared" si="231"/>
        <v>0</v>
      </c>
      <c r="BG490" s="219">
        <f t="shared" si="232"/>
        <v>0</v>
      </c>
      <c r="BH490" s="31">
        <f t="shared" si="233"/>
        <v>0</v>
      </c>
      <c r="BI490" s="219">
        <f t="shared" si="234"/>
        <v>0</v>
      </c>
      <c r="BJ490" s="31">
        <f t="shared" si="235"/>
        <v>0</v>
      </c>
      <c r="BK490" s="219">
        <f t="shared" si="236"/>
        <v>0</v>
      </c>
      <c r="BL490" s="31">
        <f t="shared" si="237"/>
        <v>0</v>
      </c>
      <c r="BM490" s="219">
        <f t="shared" si="238"/>
        <v>0</v>
      </c>
      <c r="BN490" s="31">
        <f t="shared" si="239"/>
        <v>0</v>
      </c>
      <c r="BO490" s="219">
        <f t="shared" si="240"/>
        <v>0</v>
      </c>
    </row>
    <row r="491" spans="1:67" x14ac:dyDescent="0.25">
      <c r="A491" s="534" t="s">
        <v>2284</v>
      </c>
      <c r="B491" s="530" t="str">
        <f>VLOOKUP(A491,kurspris!$A$1:$B$992,2,FALSE)</f>
        <v>Utomhuspedagogik och naturvetenskap - Sommar</v>
      </c>
      <c r="C491" s="535"/>
      <c r="D491" s="173" t="s">
        <v>117</v>
      </c>
      <c r="E491" s="531"/>
      <c r="F491" s="536" t="s">
        <v>2319</v>
      </c>
      <c r="G491" s="173"/>
      <c r="H491" s="173"/>
      <c r="I491" s="531" t="s">
        <v>2276</v>
      </c>
      <c r="J491" s="173"/>
      <c r="K491" s="173"/>
      <c r="L491" s="532">
        <v>0.5</v>
      </c>
      <c r="M491" s="533">
        <v>7.5</v>
      </c>
      <c r="N491" s="173"/>
      <c r="O491" s="173"/>
      <c r="P491" s="173">
        <v>16</v>
      </c>
      <c r="Q491" s="196">
        <f>(M491/60)*P491</f>
        <v>2</v>
      </c>
      <c r="R491" s="38">
        <v>0.8</v>
      </c>
      <c r="S491" s="280">
        <f t="shared" si="213"/>
        <v>1.6</v>
      </c>
      <c r="T491" s="31">
        <f>VLOOKUP(A491,'Ansvar kurs'!$A$1:$C$1123,2,FALSE)</f>
        <v>5740</v>
      </c>
      <c r="U491" s="31" t="str">
        <f>VLOOKUP(T491,Orgenheter!$A$1:$C$166,2,FALSE)</f>
        <v>NMD</v>
      </c>
      <c r="V491" s="31" t="str">
        <f>VLOOKUP(T491,Orgenheter!$A$1:$C$166,3,FALSE)</f>
        <v>TekNat</v>
      </c>
      <c r="W491" s="35" t="str">
        <f>VLOOKUP(D491,Program!$A$1:$B$36,2,FALSE)</f>
        <v>Fristående och övriga kurser</v>
      </c>
      <c r="X491" s="40">
        <f>VLOOKUP(A491,kurspris!$A$1:$Q$913,15,FALSE)</f>
        <v>20757</v>
      </c>
      <c r="Y491" s="40">
        <f>VLOOKUP(A491,kurspris!$A$1:$Q$913,16,FALSE)</f>
        <v>36082</v>
      </c>
      <c r="Z491" s="40">
        <f t="shared" si="214"/>
        <v>99245.200000000012</v>
      </c>
      <c r="AA491" s="40">
        <f>VLOOKUP(A491,kurspris!$A$1:$Q$913,17,FALSE)</f>
        <v>22600</v>
      </c>
      <c r="AB491" s="40">
        <f t="shared" si="215"/>
        <v>45200</v>
      </c>
      <c r="AC491" s="40">
        <f t="shared" si="216"/>
        <v>144445.20000000001</v>
      </c>
      <c r="AD491" s="31">
        <f>VLOOKUP($A491,kurspris!$A$1:$Q$950,3,FALSE)</f>
        <v>0</v>
      </c>
      <c r="AE491" s="31">
        <f>VLOOKUP($A491,kurspris!$A$1:$Q$950,4,FALSE)</f>
        <v>0</v>
      </c>
      <c r="AF491" s="31">
        <f>VLOOKUP($A491,kurspris!$A$1:$Q$950,5,FALSE)</f>
        <v>0</v>
      </c>
      <c r="AG491" s="31">
        <f>VLOOKUP($A491,kurspris!$A$1:$Q$950,6,FALSE)</f>
        <v>0</v>
      </c>
      <c r="AH491" s="31">
        <f>VLOOKUP($A491,kurspris!$A$1:$Q$950,7,FALSE)</f>
        <v>0</v>
      </c>
      <c r="AI491" s="31">
        <f>VLOOKUP($A491,kurspris!$A$1:$Q$950,8,FALSE)</f>
        <v>1</v>
      </c>
      <c r="AJ491" s="31">
        <f>VLOOKUP($A491,kurspris!$A$1:$Q$950,9,FALSE)</f>
        <v>0</v>
      </c>
      <c r="AK491" s="31">
        <f>VLOOKUP($A491,kurspris!$A$1:$Q$950,10,FALSE)</f>
        <v>0</v>
      </c>
      <c r="AL491" s="31">
        <f>VLOOKUP($A491,kurspris!$A$1:$Q$950,11,FALSE)</f>
        <v>0</v>
      </c>
      <c r="AM491" s="31">
        <f>VLOOKUP($A491,kurspris!$A$1:$Q$950,12,FALSE)</f>
        <v>0</v>
      </c>
      <c r="AN491" s="31">
        <f>VLOOKUP($A491,kurspris!$A$1:$Q$950,13,FALSE)</f>
        <v>0</v>
      </c>
      <c r="AO491" s="31">
        <f>VLOOKUP($A491,kurspris!$A$1:$Q$950,14,FALSE)</f>
        <v>0</v>
      </c>
      <c r="AP491" s="57" t="s">
        <v>2267</v>
      </c>
      <c r="AQ491" t="s">
        <v>2378</v>
      </c>
      <c r="AR491" s="31">
        <f t="shared" si="217"/>
        <v>0</v>
      </c>
      <c r="AS491" s="219">
        <f t="shared" si="218"/>
        <v>0</v>
      </c>
      <c r="AT491" s="31">
        <f t="shared" si="219"/>
        <v>0</v>
      </c>
      <c r="AU491" s="219">
        <f t="shared" si="220"/>
        <v>0</v>
      </c>
      <c r="AV491" s="31">
        <f t="shared" si="221"/>
        <v>0</v>
      </c>
      <c r="AW491" s="31">
        <f t="shared" si="222"/>
        <v>0</v>
      </c>
      <c r="AX491" s="31">
        <f t="shared" si="223"/>
        <v>0</v>
      </c>
      <c r="AY491" s="219">
        <f t="shared" si="224"/>
        <v>0</v>
      </c>
      <c r="AZ491" s="196">
        <f t="shared" si="225"/>
        <v>0</v>
      </c>
      <c r="BA491" s="219">
        <f t="shared" si="226"/>
        <v>0</v>
      </c>
      <c r="BB491" s="31">
        <f t="shared" si="227"/>
        <v>2</v>
      </c>
      <c r="BC491" s="219">
        <f t="shared" si="228"/>
        <v>1.6</v>
      </c>
      <c r="BD491" s="31">
        <f t="shared" si="229"/>
        <v>0</v>
      </c>
      <c r="BE491" s="219">
        <f t="shared" si="230"/>
        <v>0</v>
      </c>
      <c r="BF491" s="31">
        <f t="shared" si="231"/>
        <v>0</v>
      </c>
      <c r="BG491" s="219">
        <f t="shared" si="232"/>
        <v>0</v>
      </c>
      <c r="BH491" s="31">
        <f t="shared" si="233"/>
        <v>0</v>
      </c>
      <c r="BI491" s="219">
        <f t="shared" si="234"/>
        <v>0</v>
      </c>
      <c r="BJ491" s="31">
        <f t="shared" si="235"/>
        <v>0</v>
      </c>
      <c r="BK491" s="219">
        <f t="shared" si="236"/>
        <v>0</v>
      </c>
      <c r="BL491" s="31">
        <f t="shared" si="237"/>
        <v>0</v>
      </c>
      <c r="BM491" s="219">
        <f t="shared" si="238"/>
        <v>0</v>
      </c>
      <c r="BN491" s="31">
        <f t="shared" si="239"/>
        <v>0</v>
      </c>
      <c r="BO491" s="219">
        <f t="shared" si="240"/>
        <v>0</v>
      </c>
    </row>
    <row r="492" spans="1:67" x14ac:dyDescent="0.25">
      <c r="A492" s="31" t="s">
        <v>2285</v>
      </c>
      <c r="B492" s="176" t="str">
        <f>VLOOKUP(A492,kurspris!$A$1:$B$992,2,FALSE)</f>
        <v>Utomhuspedagogik, hållbar utveckling och naturvetenskap i förskola, fritidshem och grundskola</v>
      </c>
      <c r="C492" s="31">
        <v>61702</v>
      </c>
      <c r="D492" s="60" t="s">
        <v>117</v>
      </c>
      <c r="E492" s="60"/>
      <c r="F492" s="57" t="s">
        <v>2274</v>
      </c>
      <c r="H492" s="31" t="s">
        <v>2335</v>
      </c>
      <c r="I492" s="31" t="s">
        <v>2399</v>
      </c>
      <c r="L492" s="38"/>
      <c r="M492">
        <v>7.5</v>
      </c>
      <c r="P492" s="31">
        <v>4</v>
      </c>
      <c r="Q492" s="539">
        <v>0.5</v>
      </c>
      <c r="R492" s="38">
        <v>0.8</v>
      </c>
      <c r="S492" s="280">
        <f t="shared" si="213"/>
        <v>0.4</v>
      </c>
      <c r="T492" s="31">
        <f>VLOOKUP(A492,'Ansvar kurs'!$A$1:$C$1123,2,FALSE)</f>
        <v>5740</v>
      </c>
      <c r="U492" s="31" t="str">
        <f>VLOOKUP(T492,Orgenheter!$A$1:$C$166,2,FALSE)</f>
        <v>NMD</v>
      </c>
      <c r="V492" s="31" t="str">
        <f>VLOOKUP(T492,Orgenheter!$A$1:$C$166,3,FALSE)</f>
        <v>TekNat</v>
      </c>
      <c r="W492" s="35" t="str">
        <f>VLOOKUP(D492,Program!$A$1:$B$36,2,FALSE)</f>
        <v>Fristående och övriga kurser</v>
      </c>
      <c r="X492" s="40">
        <f>VLOOKUP(A492,kurspris!$A$1:$Q$913,15,FALSE)</f>
        <v>20757</v>
      </c>
      <c r="Y492" s="40">
        <f>VLOOKUP(A492,kurspris!$A$1:$Q$913,16,FALSE)</f>
        <v>36082</v>
      </c>
      <c r="Z492" s="40">
        <f t="shared" si="214"/>
        <v>24811.300000000003</v>
      </c>
      <c r="AA492" s="40">
        <f>VLOOKUP(A492,kurspris!$A$1:$Q$913,17,FALSE)</f>
        <v>22600</v>
      </c>
      <c r="AB492" s="40">
        <f t="shared" si="215"/>
        <v>11300</v>
      </c>
      <c r="AC492" s="40">
        <f t="shared" si="216"/>
        <v>36111.300000000003</v>
      </c>
      <c r="AD492" s="31">
        <f>VLOOKUP($A492,kurspris!$A$1:$Q$950,3,FALSE)</f>
        <v>0</v>
      </c>
      <c r="AE492" s="31">
        <f>VLOOKUP($A492,kurspris!$A$1:$Q$950,4,FALSE)</f>
        <v>0</v>
      </c>
      <c r="AF492" s="31">
        <f>VLOOKUP($A492,kurspris!$A$1:$Q$950,5,FALSE)</f>
        <v>0</v>
      </c>
      <c r="AG492" s="31">
        <f>VLOOKUP($A492,kurspris!$A$1:$Q$950,6,FALSE)</f>
        <v>0</v>
      </c>
      <c r="AH492" s="31">
        <f>VLOOKUP($A492,kurspris!$A$1:$Q$950,7,FALSE)</f>
        <v>0</v>
      </c>
      <c r="AI492" s="31">
        <f>VLOOKUP($A492,kurspris!$A$1:$Q$950,8,FALSE)</f>
        <v>1</v>
      </c>
      <c r="AJ492" s="31">
        <f>VLOOKUP($A492,kurspris!$A$1:$Q$950,9,FALSE)</f>
        <v>0</v>
      </c>
      <c r="AK492" s="31">
        <f>VLOOKUP($A492,kurspris!$A$1:$Q$950,10,FALSE)</f>
        <v>0</v>
      </c>
      <c r="AL492" s="31">
        <f>VLOOKUP($A492,kurspris!$A$1:$Q$950,11,FALSE)</f>
        <v>0</v>
      </c>
      <c r="AM492" s="31">
        <f>VLOOKUP($A492,kurspris!$A$1:$Q$950,12,FALSE)</f>
        <v>0</v>
      </c>
      <c r="AN492" s="31">
        <f>VLOOKUP($A492,kurspris!$A$1:$Q$950,13,FALSE)</f>
        <v>0</v>
      </c>
      <c r="AO492" s="31">
        <f>VLOOKUP($A492,kurspris!$A$1:$Q$950,14,FALSE)</f>
        <v>0</v>
      </c>
      <c r="AP492" s="57" t="s">
        <v>2402</v>
      </c>
      <c r="AQ492"/>
      <c r="AR492" s="31">
        <f t="shared" si="217"/>
        <v>0</v>
      </c>
      <c r="AS492" s="219">
        <f t="shared" si="218"/>
        <v>0</v>
      </c>
      <c r="AT492" s="31">
        <f t="shared" si="219"/>
        <v>0</v>
      </c>
      <c r="AU492" s="219">
        <f t="shared" si="220"/>
        <v>0</v>
      </c>
      <c r="AV492" s="31">
        <f t="shared" si="221"/>
        <v>0</v>
      </c>
      <c r="AW492" s="31">
        <f t="shared" si="222"/>
        <v>0</v>
      </c>
      <c r="AX492" s="31">
        <f t="shared" si="223"/>
        <v>0</v>
      </c>
      <c r="AY492" s="219">
        <f t="shared" si="224"/>
        <v>0</v>
      </c>
      <c r="AZ492" s="196">
        <f t="shared" si="225"/>
        <v>0</v>
      </c>
      <c r="BA492" s="219">
        <f t="shared" si="226"/>
        <v>0</v>
      </c>
      <c r="BB492" s="31">
        <f t="shared" si="227"/>
        <v>0.5</v>
      </c>
      <c r="BC492" s="219">
        <f t="shared" si="228"/>
        <v>0.4</v>
      </c>
      <c r="BD492" s="31">
        <f t="shared" si="229"/>
        <v>0</v>
      </c>
      <c r="BE492" s="219">
        <f t="shared" si="230"/>
        <v>0</v>
      </c>
      <c r="BF492" s="31">
        <f t="shared" si="231"/>
        <v>0</v>
      </c>
      <c r="BG492" s="219">
        <f t="shared" si="232"/>
        <v>0</v>
      </c>
      <c r="BH492" s="31">
        <f t="shared" si="233"/>
        <v>0</v>
      </c>
      <c r="BI492" s="219">
        <f t="shared" si="234"/>
        <v>0</v>
      </c>
      <c r="BJ492" s="31">
        <f t="shared" si="235"/>
        <v>0</v>
      </c>
      <c r="BK492" s="219">
        <f t="shared" si="236"/>
        <v>0</v>
      </c>
      <c r="BL492" s="31">
        <f t="shared" si="237"/>
        <v>0</v>
      </c>
      <c r="BM492" s="219">
        <f t="shared" si="238"/>
        <v>0</v>
      </c>
      <c r="BN492" s="31">
        <f t="shared" si="239"/>
        <v>0</v>
      </c>
      <c r="BO492" s="219">
        <f t="shared" si="240"/>
        <v>0</v>
      </c>
    </row>
    <row r="493" spans="1:67" x14ac:dyDescent="0.25">
      <c r="A493" s="31" t="s">
        <v>2151</v>
      </c>
      <c r="B493" s="176" t="str">
        <f>VLOOKUP(A493,kurspris!$A$1:$B$992,2,FALSE)</f>
        <v>Naturorienterande ämnen och teknik för lärare åk 4-6</v>
      </c>
      <c r="C493" s="31">
        <v>61602</v>
      </c>
      <c r="D493" s="31" t="s">
        <v>117</v>
      </c>
      <c r="F493" s="57" t="s">
        <v>2274</v>
      </c>
      <c r="H493" s="31" t="s">
        <v>2335</v>
      </c>
      <c r="I493" s="31" t="s">
        <v>2275</v>
      </c>
      <c r="L493" s="38"/>
      <c r="M493" s="244">
        <v>15</v>
      </c>
      <c r="P493" s="31">
        <v>13</v>
      </c>
      <c r="Q493" s="539">
        <v>3.25</v>
      </c>
      <c r="R493" s="38">
        <v>0.8</v>
      </c>
      <c r="S493" s="280">
        <f t="shared" si="213"/>
        <v>2.6</v>
      </c>
      <c r="T493" s="31">
        <f>VLOOKUP(A493,'Ansvar kurs'!$A$1:$C$1123,2,FALSE)</f>
        <v>5740</v>
      </c>
      <c r="U493" s="31" t="str">
        <f>VLOOKUP(T493,Orgenheter!$A$1:$C$166,2,FALSE)</f>
        <v>NMD</v>
      </c>
      <c r="V493" s="31" t="str">
        <f>VLOOKUP(T493,Orgenheter!$A$1:$C$166,3,FALSE)</f>
        <v>TekNat</v>
      </c>
      <c r="W493" s="35" t="str">
        <f>VLOOKUP(D493,Program!$A$1:$B$36,2,FALSE)</f>
        <v>Fristående och övriga kurser</v>
      </c>
      <c r="X493" s="40">
        <f>VLOOKUP(A493,kurspris!$A$1:$Q$913,15,FALSE)</f>
        <v>20757</v>
      </c>
      <c r="Y493" s="40">
        <f>VLOOKUP(A493,kurspris!$A$1:$Q$913,16,FALSE)</f>
        <v>36082</v>
      </c>
      <c r="Z493" s="40">
        <f t="shared" si="214"/>
        <v>161273.45000000001</v>
      </c>
      <c r="AA493" s="40">
        <f>VLOOKUP(A493,kurspris!$A$1:$Q$913,17,FALSE)</f>
        <v>22600</v>
      </c>
      <c r="AB493" s="40">
        <f t="shared" si="215"/>
        <v>73450</v>
      </c>
      <c r="AC493" s="40">
        <f t="shared" si="216"/>
        <v>234723.45</v>
      </c>
      <c r="AD493" s="31">
        <f>VLOOKUP($A493,kurspris!$A$1:$Q$950,3,FALSE)</f>
        <v>0</v>
      </c>
      <c r="AE493" s="31">
        <f>VLOOKUP($A493,kurspris!$A$1:$Q$950,4,FALSE)</f>
        <v>0</v>
      </c>
      <c r="AF493" s="31">
        <f>VLOOKUP($A493,kurspris!$A$1:$Q$950,5,FALSE)</f>
        <v>0</v>
      </c>
      <c r="AG493" s="31">
        <f>VLOOKUP($A493,kurspris!$A$1:$Q$950,6,FALSE)</f>
        <v>0</v>
      </c>
      <c r="AH493" s="31">
        <f>VLOOKUP($A493,kurspris!$A$1:$Q$950,7,FALSE)</f>
        <v>0</v>
      </c>
      <c r="AI493" s="31">
        <f>VLOOKUP($A493,kurspris!$A$1:$Q$950,8,FALSE)</f>
        <v>1</v>
      </c>
      <c r="AJ493" s="31">
        <f>VLOOKUP($A493,kurspris!$A$1:$Q$950,9,FALSE)</f>
        <v>0</v>
      </c>
      <c r="AK493" s="31">
        <f>VLOOKUP($A493,kurspris!$A$1:$Q$950,10,FALSE)</f>
        <v>0</v>
      </c>
      <c r="AL493" s="31">
        <f>VLOOKUP($A493,kurspris!$A$1:$Q$950,11,FALSE)</f>
        <v>0</v>
      </c>
      <c r="AM493" s="31">
        <f>VLOOKUP($A493,kurspris!$A$1:$Q$950,12,FALSE)</f>
        <v>0</v>
      </c>
      <c r="AN493" s="31">
        <f>VLOOKUP($A493,kurspris!$A$1:$Q$950,13,FALSE)</f>
        <v>0</v>
      </c>
      <c r="AO493" s="31">
        <f>VLOOKUP($A493,kurspris!$A$1:$Q$950,14,FALSE)</f>
        <v>0</v>
      </c>
      <c r="AP493" s="57" t="s">
        <v>2402</v>
      </c>
      <c r="AQ493" s="37" t="s">
        <v>2308</v>
      </c>
      <c r="AR493" s="31">
        <f t="shared" si="217"/>
        <v>0</v>
      </c>
      <c r="AS493" s="219">
        <f t="shared" si="218"/>
        <v>0</v>
      </c>
      <c r="AT493" s="31">
        <f t="shared" si="219"/>
        <v>0</v>
      </c>
      <c r="AU493" s="219">
        <f t="shared" si="220"/>
        <v>0</v>
      </c>
      <c r="AV493" s="31">
        <f t="shared" si="221"/>
        <v>0</v>
      </c>
      <c r="AW493" s="31">
        <f t="shared" si="222"/>
        <v>0</v>
      </c>
      <c r="AX493" s="31">
        <f t="shared" si="223"/>
        <v>0</v>
      </c>
      <c r="AY493" s="219">
        <f t="shared" si="224"/>
        <v>0</v>
      </c>
      <c r="AZ493" s="196">
        <f t="shared" si="225"/>
        <v>0</v>
      </c>
      <c r="BA493" s="219">
        <f t="shared" si="226"/>
        <v>0</v>
      </c>
      <c r="BB493" s="31">
        <f t="shared" si="227"/>
        <v>3.25</v>
      </c>
      <c r="BC493" s="219">
        <f t="shared" si="228"/>
        <v>2.6</v>
      </c>
      <c r="BD493" s="31">
        <f t="shared" si="229"/>
        <v>0</v>
      </c>
      <c r="BE493" s="219">
        <f t="shared" si="230"/>
        <v>0</v>
      </c>
      <c r="BF493" s="31">
        <f t="shared" si="231"/>
        <v>0</v>
      </c>
      <c r="BG493" s="219">
        <f t="shared" si="232"/>
        <v>0</v>
      </c>
      <c r="BH493" s="31">
        <f t="shared" si="233"/>
        <v>0</v>
      </c>
      <c r="BI493" s="219">
        <f t="shared" si="234"/>
        <v>0</v>
      </c>
      <c r="BJ493" s="31">
        <f t="shared" si="235"/>
        <v>0</v>
      </c>
      <c r="BK493" s="219">
        <f t="shared" si="236"/>
        <v>0</v>
      </c>
      <c r="BL493" s="31">
        <f t="shared" si="237"/>
        <v>0</v>
      </c>
      <c r="BM493" s="219">
        <f t="shared" si="238"/>
        <v>0</v>
      </c>
      <c r="BN493" s="31">
        <f t="shared" si="239"/>
        <v>0</v>
      </c>
      <c r="BO493" s="219">
        <f t="shared" si="240"/>
        <v>0</v>
      </c>
    </row>
    <row r="494" spans="1:67" x14ac:dyDescent="0.25">
      <c r="A494" s="157" t="s">
        <v>2151</v>
      </c>
      <c r="B494" s="176" t="str">
        <f>VLOOKUP(A494,kurspris!$A$1:$B$992,2,FALSE)</f>
        <v>Naturorienterande ämnen och teknik för lärare åk 4-6</v>
      </c>
      <c r="C494" s="35"/>
      <c r="D494" s="31" t="s">
        <v>117</v>
      </c>
      <c r="F494" s="31" t="s">
        <v>2273</v>
      </c>
      <c r="I494" s="31" t="s">
        <v>2275</v>
      </c>
      <c r="L494" s="38">
        <v>0.5</v>
      </c>
      <c r="M494" s="511">
        <v>15</v>
      </c>
      <c r="P494" s="173">
        <v>25</v>
      </c>
      <c r="Q494" s="196">
        <f>(M494/60)*P494</f>
        <v>6.25</v>
      </c>
      <c r="R494" s="38">
        <v>0.8</v>
      </c>
      <c r="S494" s="280">
        <f t="shared" si="213"/>
        <v>5</v>
      </c>
      <c r="T494" s="31">
        <f>VLOOKUP(A494,'Ansvar kurs'!$A$1:$C$1123,2,FALSE)</f>
        <v>5740</v>
      </c>
      <c r="U494" s="31" t="str">
        <f>VLOOKUP(T494,Orgenheter!$A$1:$C$166,2,FALSE)</f>
        <v>NMD</v>
      </c>
      <c r="V494" s="31" t="str">
        <f>VLOOKUP(T494,Orgenheter!$A$1:$C$166,3,FALSE)</f>
        <v>TekNat</v>
      </c>
      <c r="W494" s="35" t="str">
        <f>VLOOKUP(D494,Program!$A$1:$B$36,2,FALSE)</f>
        <v>Fristående och övriga kurser</v>
      </c>
      <c r="X494" s="40">
        <f>VLOOKUP(A494,kurspris!$A$1:$Q$913,15,FALSE)</f>
        <v>20757</v>
      </c>
      <c r="Y494" s="40">
        <f>VLOOKUP(A494,kurspris!$A$1:$Q$913,16,FALSE)</f>
        <v>36082</v>
      </c>
      <c r="Z494" s="40">
        <f t="shared" si="214"/>
        <v>310141.25</v>
      </c>
      <c r="AA494" s="40">
        <f>VLOOKUP(A494,kurspris!$A$1:$Q$913,17,FALSE)</f>
        <v>22600</v>
      </c>
      <c r="AB494" s="40">
        <f t="shared" si="215"/>
        <v>141250</v>
      </c>
      <c r="AC494" s="40">
        <f t="shared" si="216"/>
        <v>451391.25</v>
      </c>
      <c r="AD494" s="31">
        <f>VLOOKUP($A494,kurspris!$A$1:$Q$950,3,FALSE)</f>
        <v>0</v>
      </c>
      <c r="AE494" s="31">
        <f>VLOOKUP($A494,kurspris!$A$1:$Q$950,4,FALSE)</f>
        <v>0</v>
      </c>
      <c r="AF494" s="31">
        <f>VLOOKUP($A494,kurspris!$A$1:$Q$950,5,FALSE)</f>
        <v>0</v>
      </c>
      <c r="AG494" s="31">
        <f>VLOOKUP($A494,kurspris!$A$1:$Q$950,6,FALSE)</f>
        <v>0</v>
      </c>
      <c r="AH494" s="31">
        <f>VLOOKUP($A494,kurspris!$A$1:$Q$950,7,FALSE)</f>
        <v>0</v>
      </c>
      <c r="AI494" s="31">
        <f>VLOOKUP($A494,kurspris!$A$1:$Q$950,8,FALSE)</f>
        <v>1</v>
      </c>
      <c r="AJ494" s="31">
        <f>VLOOKUP($A494,kurspris!$A$1:$Q$950,9,FALSE)</f>
        <v>0</v>
      </c>
      <c r="AK494" s="31">
        <f>VLOOKUP($A494,kurspris!$A$1:$Q$950,10,FALSE)</f>
        <v>0</v>
      </c>
      <c r="AL494" s="31">
        <f>VLOOKUP($A494,kurspris!$A$1:$Q$950,11,FALSE)</f>
        <v>0</v>
      </c>
      <c r="AM494" s="31">
        <f>VLOOKUP($A494,kurspris!$A$1:$Q$950,12,FALSE)</f>
        <v>0</v>
      </c>
      <c r="AN494" s="31">
        <f>VLOOKUP($A494,kurspris!$A$1:$Q$950,13,FALSE)</f>
        <v>0</v>
      </c>
      <c r="AO494" s="31">
        <f>VLOOKUP($A494,kurspris!$A$1:$Q$950,14,FALSE)</f>
        <v>0</v>
      </c>
      <c r="AP494" s="57" t="s">
        <v>2267</v>
      </c>
      <c r="AQ494" s="37" t="s">
        <v>2308</v>
      </c>
      <c r="AR494" s="31">
        <f t="shared" si="217"/>
        <v>0</v>
      </c>
      <c r="AS494" s="219">
        <f t="shared" si="218"/>
        <v>0</v>
      </c>
      <c r="AT494" s="31">
        <f t="shared" si="219"/>
        <v>0</v>
      </c>
      <c r="AU494" s="219">
        <f t="shared" si="220"/>
        <v>0</v>
      </c>
      <c r="AV494" s="31">
        <f t="shared" si="221"/>
        <v>0</v>
      </c>
      <c r="AW494" s="31">
        <f t="shared" si="222"/>
        <v>0</v>
      </c>
      <c r="AX494" s="31">
        <f t="shared" si="223"/>
        <v>0</v>
      </c>
      <c r="AY494" s="219">
        <f t="shared" si="224"/>
        <v>0</v>
      </c>
      <c r="AZ494" s="196">
        <f t="shared" si="225"/>
        <v>0</v>
      </c>
      <c r="BA494" s="219">
        <f t="shared" si="226"/>
        <v>0</v>
      </c>
      <c r="BB494" s="31">
        <f t="shared" si="227"/>
        <v>6.25</v>
      </c>
      <c r="BC494" s="219">
        <f t="shared" si="228"/>
        <v>5</v>
      </c>
      <c r="BD494" s="31">
        <f t="shared" si="229"/>
        <v>0</v>
      </c>
      <c r="BE494" s="219">
        <f t="shared" si="230"/>
        <v>0</v>
      </c>
      <c r="BF494" s="31">
        <f t="shared" si="231"/>
        <v>0</v>
      </c>
      <c r="BG494" s="219">
        <f t="shared" si="232"/>
        <v>0</v>
      </c>
      <c r="BH494" s="31">
        <f t="shared" si="233"/>
        <v>0</v>
      </c>
      <c r="BI494" s="219">
        <f t="shared" si="234"/>
        <v>0</v>
      </c>
      <c r="BJ494" s="31">
        <f t="shared" si="235"/>
        <v>0</v>
      </c>
      <c r="BK494" s="219">
        <f t="shared" si="236"/>
        <v>0</v>
      </c>
      <c r="BL494" s="31">
        <f t="shared" si="237"/>
        <v>0</v>
      </c>
      <c r="BM494" s="219">
        <f t="shared" si="238"/>
        <v>0</v>
      </c>
      <c r="BN494" s="31">
        <f t="shared" si="239"/>
        <v>0</v>
      </c>
      <c r="BO494" s="219">
        <f t="shared" si="240"/>
        <v>0</v>
      </c>
    </row>
    <row r="495" spans="1:67" x14ac:dyDescent="0.25">
      <c r="A495" s="31" t="s">
        <v>140</v>
      </c>
      <c r="B495" s="176" t="str">
        <f>VLOOKUP(A495,kurspris!$A$1:$B$992,2,FALSE)</f>
        <v>Examensarbete för Studie- och yrkesvägledarprogrammet</v>
      </c>
      <c r="C495" s="31">
        <v>68726</v>
      </c>
      <c r="D495" s="60" t="s">
        <v>85</v>
      </c>
      <c r="E495" s="60"/>
      <c r="F495" s="57" t="s">
        <v>2274</v>
      </c>
      <c r="H495" s="31" t="s">
        <v>2335</v>
      </c>
      <c r="I495" s="31" t="s">
        <v>2275</v>
      </c>
      <c r="J495" s="31" t="s">
        <v>1501</v>
      </c>
      <c r="L495" s="38"/>
      <c r="M495">
        <v>15</v>
      </c>
      <c r="P495" s="31">
        <v>28</v>
      </c>
      <c r="Q495" s="539">
        <v>7</v>
      </c>
      <c r="R495" s="38">
        <v>0.85</v>
      </c>
      <c r="S495" s="280">
        <f t="shared" si="213"/>
        <v>5.95</v>
      </c>
      <c r="T495" s="31">
        <f>VLOOKUP(A495,'Ansvar kurs'!$A$1:$C$1123,2,FALSE)</f>
        <v>2193</v>
      </c>
      <c r="U495" s="31" t="str">
        <f>VLOOKUP(T495,Orgenheter!$A$1:$C$166,2,FALSE)</f>
        <v xml:space="preserve">TUV </v>
      </c>
      <c r="V495" s="31" t="str">
        <f>VLOOKUP(T495,Orgenheter!$A$1:$C$166,3,FALSE)</f>
        <v>Sam</v>
      </c>
      <c r="W495" s="35" t="str">
        <f>VLOOKUP(D495,Program!$A$1:$B$36,2,FALSE)</f>
        <v>Studie- och yrkesvägledarprogram</v>
      </c>
      <c r="X495" s="40">
        <f>VLOOKUP(A495,kurspris!$A$1:$Q$913,15,FALSE)</f>
        <v>20766</v>
      </c>
      <c r="Y495" s="40">
        <f>VLOOKUP(A495,kurspris!$A$1:$Q$913,16,FALSE)</f>
        <v>17442</v>
      </c>
      <c r="Z495" s="40">
        <f t="shared" si="214"/>
        <v>249141.90000000002</v>
      </c>
      <c r="AA495" s="40">
        <f>VLOOKUP(A495,kurspris!$A$1:$Q$913,17,FALSE)</f>
        <v>6000</v>
      </c>
      <c r="AB495" s="40">
        <f t="shared" si="215"/>
        <v>42000</v>
      </c>
      <c r="AC495" s="40">
        <f t="shared" si="216"/>
        <v>291141.90000000002</v>
      </c>
      <c r="AD495" s="31">
        <f>VLOOKUP($A495,kurspris!$A$1:$Q$950,3,FALSE)</f>
        <v>0</v>
      </c>
      <c r="AE495" s="31">
        <f>VLOOKUP($A495,kurspris!$A$1:$Q$950,4,FALSE)</f>
        <v>0</v>
      </c>
      <c r="AF495" s="31">
        <f>VLOOKUP($A495,kurspris!$A$1:$Q$950,5,FALSE)</f>
        <v>0</v>
      </c>
      <c r="AG495" s="31">
        <f>VLOOKUP($A495,kurspris!$A$1:$Q$950,6,FALSE)</f>
        <v>0</v>
      </c>
      <c r="AH495" s="31">
        <f>VLOOKUP($A495,kurspris!$A$1:$Q$950,7,FALSE)</f>
        <v>0</v>
      </c>
      <c r="AI495" s="31">
        <f>VLOOKUP($A495,kurspris!$A$1:$Q$950,8,FALSE)</f>
        <v>0</v>
      </c>
      <c r="AJ495" s="31">
        <f>VLOOKUP($A495,kurspris!$A$1:$Q$950,9,FALSE)</f>
        <v>1</v>
      </c>
      <c r="AK495" s="31">
        <f>VLOOKUP($A495,kurspris!$A$1:$Q$950,10,FALSE)</f>
        <v>0</v>
      </c>
      <c r="AL495" s="31">
        <f>VLOOKUP($A495,kurspris!$A$1:$Q$950,11,FALSE)</f>
        <v>0</v>
      </c>
      <c r="AM495" s="31">
        <f>VLOOKUP($A495,kurspris!$A$1:$Q$950,12,FALSE)</f>
        <v>0</v>
      </c>
      <c r="AN495" s="31">
        <f>VLOOKUP($A495,kurspris!$A$1:$Q$950,13,FALSE)</f>
        <v>0</v>
      </c>
      <c r="AO495" s="31">
        <f>VLOOKUP($A495,kurspris!$A$1:$Q$950,14,FALSE)</f>
        <v>0</v>
      </c>
      <c r="AP495" s="57" t="s">
        <v>2402</v>
      </c>
      <c r="AQ495"/>
      <c r="AR495" s="31">
        <f t="shared" si="217"/>
        <v>0</v>
      </c>
      <c r="AS495" s="219">
        <f t="shared" si="218"/>
        <v>0</v>
      </c>
      <c r="AT495" s="31">
        <f t="shared" si="219"/>
        <v>0</v>
      </c>
      <c r="AU495" s="219">
        <f t="shared" si="220"/>
        <v>0</v>
      </c>
      <c r="AV495" s="31">
        <f t="shared" si="221"/>
        <v>0</v>
      </c>
      <c r="AW495" s="31">
        <f t="shared" si="222"/>
        <v>0</v>
      </c>
      <c r="AX495" s="31">
        <f t="shared" si="223"/>
        <v>0</v>
      </c>
      <c r="AY495" s="219">
        <f t="shared" si="224"/>
        <v>0</v>
      </c>
      <c r="AZ495" s="196">
        <f t="shared" si="225"/>
        <v>0</v>
      </c>
      <c r="BA495" s="219">
        <f t="shared" si="226"/>
        <v>0</v>
      </c>
      <c r="BB495" s="31">
        <f t="shared" si="227"/>
        <v>0</v>
      </c>
      <c r="BC495" s="219">
        <f t="shared" si="228"/>
        <v>0</v>
      </c>
      <c r="BD495" s="31">
        <f t="shared" si="229"/>
        <v>7</v>
      </c>
      <c r="BE495" s="219">
        <f t="shared" si="230"/>
        <v>5.95</v>
      </c>
      <c r="BF495" s="31">
        <f t="shared" si="231"/>
        <v>0</v>
      </c>
      <c r="BG495" s="219">
        <f t="shared" si="232"/>
        <v>0</v>
      </c>
      <c r="BH495" s="31">
        <f t="shared" si="233"/>
        <v>0</v>
      </c>
      <c r="BI495" s="219">
        <f t="shared" si="234"/>
        <v>0</v>
      </c>
      <c r="BJ495" s="31">
        <f t="shared" si="235"/>
        <v>0</v>
      </c>
      <c r="BK495" s="219">
        <f t="shared" si="236"/>
        <v>0</v>
      </c>
      <c r="BL495" s="31">
        <f t="shared" si="237"/>
        <v>0</v>
      </c>
      <c r="BM495" s="219">
        <f t="shared" si="238"/>
        <v>0</v>
      </c>
      <c r="BN495" s="31">
        <f t="shared" si="239"/>
        <v>0</v>
      </c>
      <c r="BO495" s="219">
        <f t="shared" si="240"/>
        <v>0</v>
      </c>
    </row>
    <row r="496" spans="1:67" x14ac:dyDescent="0.25">
      <c r="A496" s="31" t="s">
        <v>140</v>
      </c>
      <c r="B496" s="176" t="str">
        <f>VLOOKUP(A496,kurspris!$A$1:$B$992,2,FALSE)</f>
        <v>Examensarbete för Studie- och yrkesvägledarprogrammet</v>
      </c>
      <c r="C496" s="31">
        <v>68726</v>
      </c>
      <c r="D496" s="60" t="s">
        <v>85</v>
      </c>
      <c r="E496" s="60"/>
      <c r="F496" s="57" t="s">
        <v>2274</v>
      </c>
      <c r="H496" s="31" t="s">
        <v>2335</v>
      </c>
      <c r="I496" s="31" t="s">
        <v>2275</v>
      </c>
      <c r="J496" s="31" t="s">
        <v>624</v>
      </c>
      <c r="L496" s="38"/>
      <c r="M496">
        <v>15</v>
      </c>
      <c r="P496" s="31">
        <v>21</v>
      </c>
      <c r="Q496" s="539">
        <v>5.25</v>
      </c>
      <c r="R496" s="38">
        <v>0.85</v>
      </c>
      <c r="S496" s="280">
        <f t="shared" si="213"/>
        <v>4.4624999999999995</v>
      </c>
      <c r="T496" s="31">
        <f>VLOOKUP(A496,'Ansvar kurs'!$A$1:$C$1123,2,FALSE)</f>
        <v>2193</v>
      </c>
      <c r="U496" s="31" t="str">
        <f>VLOOKUP(T496,Orgenheter!$A$1:$C$166,2,FALSE)</f>
        <v xml:space="preserve">TUV </v>
      </c>
      <c r="V496" s="31" t="str">
        <f>VLOOKUP(T496,Orgenheter!$A$1:$C$166,3,FALSE)</f>
        <v>Sam</v>
      </c>
      <c r="W496" s="35" t="str">
        <f>VLOOKUP(D496,Program!$A$1:$B$36,2,FALSE)</f>
        <v>Studie- och yrkesvägledarprogram</v>
      </c>
      <c r="X496" s="40">
        <f>VLOOKUP(A496,kurspris!$A$1:$Q$913,15,FALSE)</f>
        <v>20766</v>
      </c>
      <c r="Y496" s="40">
        <f>VLOOKUP(A496,kurspris!$A$1:$Q$913,16,FALSE)</f>
        <v>17442</v>
      </c>
      <c r="Z496" s="40">
        <f t="shared" si="214"/>
        <v>186856.42499999999</v>
      </c>
      <c r="AA496" s="40">
        <f>VLOOKUP(A496,kurspris!$A$1:$Q$913,17,FALSE)</f>
        <v>6000</v>
      </c>
      <c r="AB496" s="40">
        <f t="shared" si="215"/>
        <v>31500</v>
      </c>
      <c r="AC496" s="40">
        <f t="shared" si="216"/>
        <v>218356.42499999999</v>
      </c>
      <c r="AD496" s="31">
        <f>VLOOKUP($A496,kurspris!$A$1:$Q$950,3,FALSE)</f>
        <v>0</v>
      </c>
      <c r="AE496" s="31">
        <f>VLOOKUP($A496,kurspris!$A$1:$Q$950,4,FALSE)</f>
        <v>0</v>
      </c>
      <c r="AF496" s="31">
        <f>VLOOKUP($A496,kurspris!$A$1:$Q$950,5,FALSE)</f>
        <v>0</v>
      </c>
      <c r="AG496" s="31">
        <f>VLOOKUP($A496,kurspris!$A$1:$Q$950,6,FALSE)</f>
        <v>0</v>
      </c>
      <c r="AH496" s="31">
        <f>VLOOKUP($A496,kurspris!$A$1:$Q$950,7,FALSE)</f>
        <v>0</v>
      </c>
      <c r="AI496" s="31">
        <f>VLOOKUP($A496,kurspris!$A$1:$Q$950,8,FALSE)</f>
        <v>0</v>
      </c>
      <c r="AJ496" s="31">
        <f>VLOOKUP($A496,kurspris!$A$1:$Q$950,9,FALSE)</f>
        <v>1</v>
      </c>
      <c r="AK496" s="31">
        <f>VLOOKUP($A496,kurspris!$A$1:$Q$950,10,FALSE)</f>
        <v>0</v>
      </c>
      <c r="AL496" s="31">
        <f>VLOOKUP($A496,kurspris!$A$1:$Q$950,11,FALSE)</f>
        <v>0</v>
      </c>
      <c r="AM496" s="31">
        <f>VLOOKUP($A496,kurspris!$A$1:$Q$950,12,FALSE)</f>
        <v>0</v>
      </c>
      <c r="AN496" s="31">
        <f>VLOOKUP($A496,kurspris!$A$1:$Q$950,13,FALSE)</f>
        <v>0</v>
      </c>
      <c r="AO496" s="31">
        <f>VLOOKUP($A496,kurspris!$A$1:$Q$950,14,FALSE)</f>
        <v>0</v>
      </c>
      <c r="AP496" s="57" t="s">
        <v>2402</v>
      </c>
      <c r="AQ496"/>
      <c r="AR496" s="31">
        <f t="shared" si="217"/>
        <v>0</v>
      </c>
      <c r="AS496" s="219">
        <f t="shared" si="218"/>
        <v>0</v>
      </c>
      <c r="AT496" s="31">
        <f t="shared" si="219"/>
        <v>0</v>
      </c>
      <c r="AU496" s="219">
        <f t="shared" si="220"/>
        <v>0</v>
      </c>
      <c r="AV496" s="31">
        <f t="shared" si="221"/>
        <v>0</v>
      </c>
      <c r="AW496" s="31">
        <f t="shared" si="222"/>
        <v>0</v>
      </c>
      <c r="AX496" s="31">
        <f t="shared" si="223"/>
        <v>0</v>
      </c>
      <c r="AY496" s="219">
        <f t="shared" si="224"/>
        <v>0</v>
      </c>
      <c r="AZ496" s="196">
        <f t="shared" si="225"/>
        <v>0</v>
      </c>
      <c r="BA496" s="219">
        <f t="shared" si="226"/>
        <v>0</v>
      </c>
      <c r="BB496" s="31">
        <f t="shared" si="227"/>
        <v>0</v>
      </c>
      <c r="BC496" s="219">
        <f t="shared" si="228"/>
        <v>0</v>
      </c>
      <c r="BD496" s="31">
        <f t="shared" si="229"/>
        <v>5.25</v>
      </c>
      <c r="BE496" s="219">
        <f t="shared" si="230"/>
        <v>4.4624999999999995</v>
      </c>
      <c r="BF496" s="31">
        <f t="shared" si="231"/>
        <v>0</v>
      </c>
      <c r="BG496" s="219">
        <f t="shared" si="232"/>
        <v>0</v>
      </c>
      <c r="BH496" s="31">
        <f t="shared" si="233"/>
        <v>0</v>
      </c>
      <c r="BI496" s="219">
        <f t="shared" si="234"/>
        <v>0</v>
      </c>
      <c r="BJ496" s="31">
        <f t="shared" si="235"/>
        <v>0</v>
      </c>
      <c r="BK496" s="219">
        <f t="shared" si="236"/>
        <v>0</v>
      </c>
      <c r="BL496" s="31">
        <f t="shared" si="237"/>
        <v>0</v>
      </c>
      <c r="BM496" s="219">
        <f t="shared" si="238"/>
        <v>0</v>
      </c>
      <c r="BN496" s="31">
        <f t="shared" si="239"/>
        <v>0</v>
      </c>
      <c r="BO496" s="219">
        <f t="shared" si="240"/>
        <v>0</v>
      </c>
    </row>
    <row r="497" spans="1:67" x14ac:dyDescent="0.25">
      <c r="A497" s="31" t="s">
        <v>140</v>
      </c>
      <c r="B497" s="176" t="str">
        <f>VLOOKUP(A497,kurspris!$A$1:$B$992,2,FALSE)</f>
        <v>Examensarbete för Studie- och yrkesvägledarprogrammet</v>
      </c>
      <c r="C497" s="31">
        <v>68727</v>
      </c>
      <c r="D497" s="31" t="s">
        <v>85</v>
      </c>
      <c r="F497" s="57" t="s">
        <v>2274</v>
      </c>
      <c r="H497" s="31" t="s">
        <v>2335</v>
      </c>
      <c r="I497" s="31" t="s">
        <v>2399</v>
      </c>
      <c r="J497" s="31" t="s">
        <v>1500</v>
      </c>
      <c r="L497" s="38"/>
      <c r="M497">
        <v>15</v>
      </c>
      <c r="P497" s="31">
        <v>20</v>
      </c>
      <c r="Q497" s="539">
        <v>5</v>
      </c>
      <c r="R497" s="38">
        <v>0.85</v>
      </c>
      <c r="S497" s="280">
        <f t="shared" si="213"/>
        <v>4.25</v>
      </c>
      <c r="T497" s="31">
        <f>VLOOKUP(A497,'Ansvar kurs'!$A$1:$C$1123,2,FALSE)</f>
        <v>2193</v>
      </c>
      <c r="U497" s="31" t="str">
        <f>VLOOKUP(T497,Orgenheter!$A$1:$C$166,2,FALSE)</f>
        <v xml:space="preserve">TUV </v>
      </c>
      <c r="V497" s="31" t="str">
        <f>VLOOKUP(T497,Orgenheter!$A$1:$C$166,3,FALSE)</f>
        <v>Sam</v>
      </c>
      <c r="W497" s="35" t="str">
        <f>VLOOKUP(D497,Program!$A$1:$B$36,2,FALSE)</f>
        <v>Studie- och yrkesvägledarprogram</v>
      </c>
      <c r="X497" s="40">
        <f>VLOOKUP(A497,kurspris!$A$1:$Q$913,15,FALSE)</f>
        <v>20766</v>
      </c>
      <c r="Y497" s="40">
        <f>VLOOKUP(A497,kurspris!$A$1:$Q$913,16,FALSE)</f>
        <v>17442</v>
      </c>
      <c r="Z497" s="40">
        <f t="shared" si="214"/>
        <v>177958.5</v>
      </c>
      <c r="AA497" s="40">
        <f>VLOOKUP(A497,kurspris!$A$1:$Q$913,17,FALSE)</f>
        <v>6000</v>
      </c>
      <c r="AB497" s="40">
        <f t="shared" si="215"/>
        <v>30000</v>
      </c>
      <c r="AC497" s="40">
        <f t="shared" si="216"/>
        <v>207958.5</v>
      </c>
      <c r="AD497" s="31">
        <f>VLOOKUP($A497,kurspris!$A$1:$Q$950,3,FALSE)</f>
        <v>0</v>
      </c>
      <c r="AE497" s="31">
        <f>VLOOKUP($A497,kurspris!$A$1:$Q$950,4,FALSE)</f>
        <v>0</v>
      </c>
      <c r="AF497" s="31">
        <f>VLOOKUP($A497,kurspris!$A$1:$Q$950,5,FALSE)</f>
        <v>0</v>
      </c>
      <c r="AG497" s="31">
        <f>VLOOKUP($A497,kurspris!$A$1:$Q$950,6,FALSE)</f>
        <v>0</v>
      </c>
      <c r="AH497" s="31">
        <f>VLOOKUP($A497,kurspris!$A$1:$Q$950,7,FALSE)</f>
        <v>0</v>
      </c>
      <c r="AI497" s="31">
        <f>VLOOKUP($A497,kurspris!$A$1:$Q$950,8,FALSE)</f>
        <v>0</v>
      </c>
      <c r="AJ497" s="31">
        <f>VLOOKUP($A497,kurspris!$A$1:$Q$950,9,FALSE)</f>
        <v>1</v>
      </c>
      <c r="AK497" s="31">
        <f>VLOOKUP($A497,kurspris!$A$1:$Q$950,10,FALSE)</f>
        <v>0</v>
      </c>
      <c r="AL497" s="31">
        <f>VLOOKUP($A497,kurspris!$A$1:$Q$950,11,FALSE)</f>
        <v>0</v>
      </c>
      <c r="AM497" s="31">
        <f>VLOOKUP($A497,kurspris!$A$1:$Q$950,12,FALSE)</f>
        <v>0</v>
      </c>
      <c r="AN497" s="31">
        <f>VLOOKUP($A497,kurspris!$A$1:$Q$950,13,FALSE)</f>
        <v>0</v>
      </c>
      <c r="AO497" s="31">
        <f>VLOOKUP($A497,kurspris!$A$1:$Q$950,14,FALSE)</f>
        <v>0</v>
      </c>
      <c r="AP497" s="57" t="s">
        <v>2402</v>
      </c>
      <c r="AQ497" s="37"/>
      <c r="AR497" s="31">
        <f t="shared" si="217"/>
        <v>0</v>
      </c>
      <c r="AS497" s="219">
        <f t="shared" si="218"/>
        <v>0</v>
      </c>
      <c r="AT497" s="31">
        <f t="shared" si="219"/>
        <v>0</v>
      </c>
      <c r="AU497" s="219">
        <f t="shared" si="220"/>
        <v>0</v>
      </c>
      <c r="AV497" s="31">
        <f t="shared" si="221"/>
        <v>0</v>
      </c>
      <c r="AW497" s="31">
        <f t="shared" si="222"/>
        <v>0</v>
      </c>
      <c r="AX497" s="31">
        <f t="shared" si="223"/>
        <v>0</v>
      </c>
      <c r="AY497" s="219">
        <f t="shared" si="224"/>
        <v>0</v>
      </c>
      <c r="AZ497" s="196">
        <f t="shared" si="225"/>
        <v>0</v>
      </c>
      <c r="BA497" s="219">
        <f t="shared" si="226"/>
        <v>0</v>
      </c>
      <c r="BB497" s="31">
        <f t="shared" si="227"/>
        <v>0</v>
      </c>
      <c r="BC497" s="219">
        <f t="shared" si="228"/>
        <v>0</v>
      </c>
      <c r="BD497" s="31">
        <f t="shared" si="229"/>
        <v>5</v>
      </c>
      <c r="BE497" s="219">
        <f t="shared" si="230"/>
        <v>4.25</v>
      </c>
      <c r="BF497" s="31">
        <f t="shared" si="231"/>
        <v>0</v>
      </c>
      <c r="BG497" s="219">
        <f t="shared" si="232"/>
        <v>0</v>
      </c>
      <c r="BH497" s="31">
        <f t="shared" si="233"/>
        <v>0</v>
      </c>
      <c r="BI497" s="219">
        <f t="shared" si="234"/>
        <v>0</v>
      </c>
      <c r="BJ497" s="31">
        <f t="shared" si="235"/>
        <v>0</v>
      </c>
      <c r="BK497" s="219">
        <f t="shared" si="236"/>
        <v>0</v>
      </c>
      <c r="BL497" s="31">
        <f t="shared" si="237"/>
        <v>0</v>
      </c>
      <c r="BM497" s="219">
        <f t="shared" si="238"/>
        <v>0</v>
      </c>
      <c r="BN497" s="31">
        <f t="shared" si="239"/>
        <v>0</v>
      </c>
      <c r="BO497" s="219">
        <f t="shared" si="240"/>
        <v>0</v>
      </c>
    </row>
    <row r="498" spans="1:67" x14ac:dyDescent="0.25">
      <c r="A498" s="31" t="s">
        <v>140</v>
      </c>
      <c r="B498" s="176" t="str">
        <f>VLOOKUP(A498,kurspris!$A$1:$B$992,2,FALSE)</f>
        <v>Examensarbete för Studie- och yrkesvägledarprogrammet</v>
      </c>
      <c r="C498" s="31">
        <v>68726</v>
      </c>
      <c r="D498" s="60" t="s">
        <v>85</v>
      </c>
      <c r="E498" s="60"/>
      <c r="F498" s="57" t="s">
        <v>2274</v>
      </c>
      <c r="H498" s="31" t="s">
        <v>2335</v>
      </c>
      <c r="I498" s="31" t="s">
        <v>2275</v>
      </c>
      <c r="L498" s="38"/>
      <c r="M498">
        <v>15</v>
      </c>
      <c r="P498" s="31">
        <v>1</v>
      </c>
      <c r="Q498" s="539">
        <v>0.25</v>
      </c>
      <c r="R498" s="38">
        <v>0.85</v>
      </c>
      <c r="S498" s="280">
        <f t="shared" si="213"/>
        <v>0.21249999999999999</v>
      </c>
      <c r="T498" s="31">
        <f>VLOOKUP(A498,'Ansvar kurs'!$A$1:$C$1123,2,FALSE)</f>
        <v>2193</v>
      </c>
      <c r="U498" s="31" t="str">
        <f>VLOOKUP(T498,Orgenheter!$A$1:$C$166,2,FALSE)</f>
        <v xml:space="preserve">TUV </v>
      </c>
      <c r="V498" s="31" t="str">
        <f>VLOOKUP(T498,Orgenheter!$A$1:$C$166,3,FALSE)</f>
        <v>Sam</v>
      </c>
      <c r="W498" s="35" t="str">
        <f>VLOOKUP(D498,Program!$A$1:$B$36,2,FALSE)</f>
        <v>Studie- och yrkesvägledarprogram</v>
      </c>
      <c r="X498" s="40">
        <f>VLOOKUP(A498,kurspris!$A$1:$Q$913,15,FALSE)</f>
        <v>20766</v>
      </c>
      <c r="Y498" s="40">
        <f>VLOOKUP(A498,kurspris!$A$1:$Q$913,16,FALSE)</f>
        <v>17442</v>
      </c>
      <c r="Z498" s="40">
        <f t="shared" si="214"/>
        <v>8897.9249999999993</v>
      </c>
      <c r="AA498" s="40">
        <f>VLOOKUP(A498,kurspris!$A$1:$Q$913,17,FALSE)</f>
        <v>6000</v>
      </c>
      <c r="AB498" s="40">
        <f t="shared" si="215"/>
        <v>1500</v>
      </c>
      <c r="AC498" s="40">
        <f t="shared" si="216"/>
        <v>10397.924999999999</v>
      </c>
      <c r="AD498" s="31">
        <f>VLOOKUP($A498,kurspris!$A$1:$Q$950,3,FALSE)</f>
        <v>0</v>
      </c>
      <c r="AE498" s="31">
        <f>VLOOKUP($A498,kurspris!$A$1:$Q$950,4,FALSE)</f>
        <v>0</v>
      </c>
      <c r="AF498" s="31">
        <f>VLOOKUP($A498,kurspris!$A$1:$Q$950,5,FALSE)</f>
        <v>0</v>
      </c>
      <c r="AG498" s="31">
        <f>VLOOKUP($A498,kurspris!$A$1:$Q$950,6,FALSE)</f>
        <v>0</v>
      </c>
      <c r="AH498" s="31">
        <f>VLOOKUP($A498,kurspris!$A$1:$Q$950,7,FALSE)</f>
        <v>0</v>
      </c>
      <c r="AI498" s="31">
        <f>VLOOKUP($A498,kurspris!$A$1:$Q$950,8,FALSE)</f>
        <v>0</v>
      </c>
      <c r="AJ498" s="31">
        <f>VLOOKUP($A498,kurspris!$A$1:$Q$950,9,FALSE)</f>
        <v>1</v>
      </c>
      <c r="AK498" s="31">
        <f>VLOOKUP($A498,kurspris!$A$1:$Q$950,10,FALSE)</f>
        <v>0</v>
      </c>
      <c r="AL498" s="31">
        <f>VLOOKUP($A498,kurspris!$A$1:$Q$950,11,FALSE)</f>
        <v>0</v>
      </c>
      <c r="AM498" s="31">
        <f>VLOOKUP($A498,kurspris!$A$1:$Q$950,12,FALSE)</f>
        <v>0</v>
      </c>
      <c r="AN498" s="31">
        <f>VLOOKUP($A498,kurspris!$A$1:$Q$950,13,FALSE)</f>
        <v>0</v>
      </c>
      <c r="AO498" s="31">
        <f>VLOOKUP($A498,kurspris!$A$1:$Q$950,14,FALSE)</f>
        <v>0</v>
      </c>
      <c r="AP498" s="57" t="s">
        <v>2402</v>
      </c>
      <c r="AQ498"/>
      <c r="AR498" s="31">
        <f t="shared" si="217"/>
        <v>0</v>
      </c>
      <c r="AS498" s="219">
        <f t="shared" si="218"/>
        <v>0</v>
      </c>
      <c r="AT498" s="31">
        <f t="shared" si="219"/>
        <v>0</v>
      </c>
      <c r="AU498" s="219">
        <f t="shared" si="220"/>
        <v>0</v>
      </c>
      <c r="AV498" s="31">
        <f t="shared" si="221"/>
        <v>0</v>
      </c>
      <c r="AW498" s="31">
        <f t="shared" si="222"/>
        <v>0</v>
      </c>
      <c r="AX498" s="31">
        <f t="shared" si="223"/>
        <v>0</v>
      </c>
      <c r="AY498" s="219">
        <f t="shared" si="224"/>
        <v>0</v>
      </c>
      <c r="AZ498" s="196">
        <f t="shared" si="225"/>
        <v>0</v>
      </c>
      <c r="BA498" s="219">
        <f t="shared" si="226"/>
        <v>0</v>
      </c>
      <c r="BB498" s="31">
        <f t="shared" si="227"/>
        <v>0</v>
      </c>
      <c r="BC498" s="219">
        <f t="shared" si="228"/>
        <v>0</v>
      </c>
      <c r="BD498" s="31">
        <f t="shared" si="229"/>
        <v>0.25</v>
      </c>
      <c r="BE498" s="219">
        <f t="shared" si="230"/>
        <v>0.21249999999999999</v>
      </c>
      <c r="BF498" s="31">
        <f t="shared" si="231"/>
        <v>0</v>
      </c>
      <c r="BG498" s="219">
        <f t="shared" si="232"/>
        <v>0</v>
      </c>
      <c r="BH498" s="31">
        <f t="shared" si="233"/>
        <v>0</v>
      </c>
      <c r="BI498" s="219">
        <f t="shared" si="234"/>
        <v>0</v>
      </c>
      <c r="BJ498" s="31">
        <f t="shared" si="235"/>
        <v>0</v>
      </c>
      <c r="BK498" s="219">
        <f t="shared" si="236"/>
        <v>0</v>
      </c>
      <c r="BL498" s="31">
        <f t="shared" si="237"/>
        <v>0</v>
      </c>
      <c r="BM498" s="219">
        <f t="shared" si="238"/>
        <v>0</v>
      </c>
      <c r="BN498" s="31">
        <f t="shared" si="239"/>
        <v>0</v>
      </c>
      <c r="BO498" s="219">
        <f t="shared" si="240"/>
        <v>0</v>
      </c>
    </row>
    <row r="499" spans="1:67" x14ac:dyDescent="0.25">
      <c r="A499" s="31" t="s">
        <v>505</v>
      </c>
      <c r="B499" s="176" t="str">
        <f>VLOOKUP(A499,kurspris!$A$1:$B$992,2,FALSE)</f>
        <v>Grupprocesser och samverkan ur ett fritidshemsperspektiv</v>
      </c>
      <c r="D499" s="60" t="s">
        <v>484</v>
      </c>
      <c r="E499" s="576" t="s">
        <v>2432</v>
      </c>
      <c r="F499" s="31" t="s">
        <v>2273</v>
      </c>
      <c r="G499" t="s">
        <v>2448</v>
      </c>
      <c r="H499" t="s">
        <v>2335</v>
      </c>
      <c r="I499" s="31" t="s">
        <v>2276</v>
      </c>
      <c r="L499" s="38">
        <v>1</v>
      </c>
      <c r="M499">
        <v>7.5</v>
      </c>
      <c r="P499" s="31">
        <v>18</v>
      </c>
      <c r="Q499" s="196">
        <f>(M499/60)*P499</f>
        <v>2.25</v>
      </c>
      <c r="R499" s="38">
        <v>0.85</v>
      </c>
      <c r="S499" s="280">
        <f t="shared" si="213"/>
        <v>1.9124999999999999</v>
      </c>
      <c r="T499" s="31">
        <f>VLOOKUP(A499,'Ansvar kurs'!$A$1:$C$1123,2,FALSE)</f>
        <v>2193</v>
      </c>
      <c r="U499" s="31" t="str">
        <f>VLOOKUP(T499,Orgenheter!$A$1:$C$166,2,FALSE)</f>
        <v xml:space="preserve">TUV </v>
      </c>
      <c r="V499" s="31" t="str">
        <f>VLOOKUP(T499,Orgenheter!$A$1:$C$166,3,FALSE)</f>
        <v>Sam</v>
      </c>
      <c r="W499" s="35" t="str">
        <f>VLOOKUP(D499,Program!$A$1:$B$36,2,FALSE)</f>
        <v>Grundlärarprogrammet - fritidshem</v>
      </c>
      <c r="X499" s="40">
        <f>VLOOKUP(A499,kurspris!$A$1:$Q$913,15,FALSE)</f>
        <v>20766</v>
      </c>
      <c r="Y499" s="40">
        <f>VLOOKUP(A499,kurspris!$A$1:$Q$913,16,FALSE)</f>
        <v>17442</v>
      </c>
      <c r="Z499" s="40">
        <f t="shared" si="214"/>
        <v>80081.324999999997</v>
      </c>
      <c r="AA499" s="40">
        <f>VLOOKUP(A499,kurspris!$A$1:$Q$913,17,FALSE)</f>
        <v>6000</v>
      </c>
      <c r="AB499" s="40">
        <f t="shared" si="215"/>
        <v>13500</v>
      </c>
      <c r="AC499" s="40">
        <f t="shared" si="216"/>
        <v>93581.324999999997</v>
      </c>
      <c r="AD499" s="31">
        <f>VLOOKUP($A499,kurspris!$A$1:$Q$950,3,FALSE)</f>
        <v>0</v>
      </c>
      <c r="AE499" s="31">
        <f>VLOOKUP($A499,kurspris!$A$1:$Q$950,4,FALSE)</f>
        <v>0</v>
      </c>
      <c r="AF499" s="31">
        <f>VLOOKUP($A499,kurspris!$A$1:$Q$950,5,FALSE)</f>
        <v>0</v>
      </c>
      <c r="AG499" s="31">
        <f>VLOOKUP($A499,kurspris!$A$1:$Q$950,6,FALSE)</f>
        <v>0</v>
      </c>
      <c r="AH499" s="31">
        <f>VLOOKUP($A499,kurspris!$A$1:$Q$950,7,FALSE)</f>
        <v>0</v>
      </c>
      <c r="AI499" s="31">
        <f>VLOOKUP($A499,kurspris!$A$1:$Q$950,8,FALSE)</f>
        <v>0</v>
      </c>
      <c r="AJ499" s="31">
        <f>VLOOKUP($A499,kurspris!$A$1:$Q$950,9,FALSE)</f>
        <v>1</v>
      </c>
      <c r="AK499" s="31">
        <f>VLOOKUP($A499,kurspris!$A$1:$Q$950,10,FALSE)</f>
        <v>0</v>
      </c>
      <c r="AL499" s="31">
        <f>VLOOKUP($A499,kurspris!$A$1:$Q$950,11,FALSE)</f>
        <v>0</v>
      </c>
      <c r="AM499" s="31">
        <f>VLOOKUP($A499,kurspris!$A$1:$Q$950,12,FALSE)</f>
        <v>0</v>
      </c>
      <c r="AN499" s="31">
        <f>VLOOKUP($A499,kurspris!$A$1:$Q$950,13,FALSE)</f>
        <v>0</v>
      </c>
      <c r="AO499" s="31">
        <f>VLOOKUP($A499,kurspris!$A$1:$Q$950,14,FALSE)</f>
        <v>0</v>
      </c>
      <c r="AP499" s="57" t="s">
        <v>2504</v>
      </c>
      <c r="AQ499"/>
      <c r="AR499" s="31">
        <f t="shared" si="217"/>
        <v>0</v>
      </c>
      <c r="AS499" s="219">
        <f t="shared" si="218"/>
        <v>0</v>
      </c>
      <c r="AT499" s="31">
        <f t="shared" si="219"/>
        <v>0</v>
      </c>
      <c r="AU499" s="219">
        <f t="shared" si="220"/>
        <v>0</v>
      </c>
      <c r="AV499" s="31">
        <f t="shared" si="221"/>
        <v>0</v>
      </c>
      <c r="AW499" s="31">
        <f t="shared" si="222"/>
        <v>0</v>
      </c>
      <c r="AX499" s="31">
        <f t="shared" si="223"/>
        <v>0</v>
      </c>
      <c r="AY499" s="219">
        <f t="shared" si="224"/>
        <v>0</v>
      </c>
      <c r="AZ499" s="196">
        <f t="shared" si="225"/>
        <v>0</v>
      </c>
      <c r="BA499" s="219">
        <f t="shared" si="226"/>
        <v>0</v>
      </c>
      <c r="BB499" s="31">
        <f t="shared" si="227"/>
        <v>0</v>
      </c>
      <c r="BC499" s="219">
        <f t="shared" si="228"/>
        <v>0</v>
      </c>
      <c r="BD499" s="31">
        <f t="shared" si="229"/>
        <v>2.25</v>
      </c>
      <c r="BE499" s="219">
        <f t="shared" si="230"/>
        <v>1.9124999999999999</v>
      </c>
      <c r="BF499" s="31">
        <f t="shared" si="231"/>
        <v>0</v>
      </c>
      <c r="BG499" s="219">
        <f t="shared" si="232"/>
        <v>0</v>
      </c>
      <c r="BH499" s="31">
        <f t="shared" si="233"/>
        <v>0</v>
      </c>
      <c r="BI499" s="219">
        <f t="shared" si="234"/>
        <v>0</v>
      </c>
      <c r="BJ499" s="31">
        <f t="shared" si="235"/>
        <v>0</v>
      </c>
      <c r="BK499" s="219">
        <f t="shared" si="236"/>
        <v>0</v>
      </c>
      <c r="BL499" s="31">
        <f t="shared" si="237"/>
        <v>0</v>
      </c>
      <c r="BM499" s="219">
        <f t="shared" si="238"/>
        <v>0</v>
      </c>
      <c r="BN499" s="31">
        <f t="shared" si="239"/>
        <v>0</v>
      </c>
      <c r="BO499" s="219">
        <f t="shared" si="240"/>
        <v>0</v>
      </c>
    </row>
    <row r="500" spans="1:67" x14ac:dyDescent="0.25">
      <c r="A500" s="31" t="s">
        <v>860</v>
      </c>
      <c r="B500" s="176" t="str">
        <f>VLOOKUP(A500,kurspris!$A$1:$B$992,2,FALSE)</f>
        <v>Examensarbete grundlärare - fritidshem</v>
      </c>
      <c r="C500" s="31">
        <v>68728</v>
      </c>
      <c r="D500" s="60" t="s">
        <v>484</v>
      </c>
      <c r="E500" s="60"/>
      <c r="F500" s="57" t="s">
        <v>2274</v>
      </c>
      <c r="H500" s="31" t="s">
        <v>2335</v>
      </c>
      <c r="I500" s="31" t="s">
        <v>2399</v>
      </c>
      <c r="L500" s="38"/>
      <c r="M500">
        <v>15</v>
      </c>
      <c r="P500" s="31">
        <v>22</v>
      </c>
      <c r="Q500" s="539">
        <v>5.5</v>
      </c>
      <c r="R500" s="38">
        <v>0.85</v>
      </c>
      <c r="S500" s="280">
        <f t="shared" si="213"/>
        <v>4.6749999999999998</v>
      </c>
      <c r="T500" s="31">
        <f>VLOOKUP(A500,'Ansvar kurs'!$A$1:$C$1123,2,FALSE)</f>
        <v>2193</v>
      </c>
      <c r="U500" s="31" t="str">
        <f>VLOOKUP(T500,Orgenheter!$A$1:$C$166,2,FALSE)</f>
        <v xml:space="preserve">TUV </v>
      </c>
      <c r="V500" s="31" t="str">
        <f>VLOOKUP(T500,Orgenheter!$A$1:$C$166,3,FALSE)</f>
        <v>Sam</v>
      </c>
      <c r="W500" s="35" t="str">
        <f>VLOOKUP(D500,Program!$A$1:$B$36,2,FALSE)</f>
        <v>Grundlärarprogrammet - fritidshem</v>
      </c>
      <c r="X500" s="40">
        <f>VLOOKUP(A500,kurspris!$A$1:$Q$913,15,FALSE)</f>
        <v>20766</v>
      </c>
      <c r="Y500" s="40">
        <f>VLOOKUP(A500,kurspris!$A$1:$Q$913,16,FALSE)</f>
        <v>17442</v>
      </c>
      <c r="Z500" s="40">
        <f t="shared" si="214"/>
        <v>195754.34999999998</v>
      </c>
      <c r="AA500" s="40">
        <f>VLOOKUP(A500,kurspris!$A$1:$Q$913,17,FALSE)</f>
        <v>6000</v>
      </c>
      <c r="AB500" s="40">
        <f t="shared" si="215"/>
        <v>33000</v>
      </c>
      <c r="AC500" s="40">
        <f t="shared" si="216"/>
        <v>228754.34999999998</v>
      </c>
      <c r="AD500" s="31">
        <f>VLOOKUP($A500,kurspris!$A$1:$Q$950,3,FALSE)</f>
        <v>0</v>
      </c>
      <c r="AE500" s="31">
        <f>VLOOKUP($A500,kurspris!$A$1:$Q$950,4,FALSE)</f>
        <v>0</v>
      </c>
      <c r="AF500" s="31">
        <f>VLOOKUP($A500,kurspris!$A$1:$Q$950,5,FALSE)</f>
        <v>0</v>
      </c>
      <c r="AG500" s="31">
        <f>VLOOKUP($A500,kurspris!$A$1:$Q$950,6,FALSE)</f>
        <v>0</v>
      </c>
      <c r="AH500" s="31">
        <f>VLOOKUP($A500,kurspris!$A$1:$Q$950,7,FALSE)</f>
        <v>0</v>
      </c>
      <c r="AI500" s="31">
        <f>VLOOKUP($A500,kurspris!$A$1:$Q$950,8,FALSE)</f>
        <v>0</v>
      </c>
      <c r="AJ500" s="31">
        <f>VLOOKUP($A500,kurspris!$A$1:$Q$950,9,FALSE)</f>
        <v>1</v>
      </c>
      <c r="AK500" s="31">
        <f>VLOOKUP($A500,kurspris!$A$1:$Q$950,10,FALSE)</f>
        <v>0</v>
      </c>
      <c r="AL500" s="31">
        <f>VLOOKUP($A500,kurspris!$A$1:$Q$950,11,FALSE)</f>
        <v>0</v>
      </c>
      <c r="AM500" s="31">
        <f>VLOOKUP($A500,kurspris!$A$1:$Q$950,12,FALSE)</f>
        <v>0</v>
      </c>
      <c r="AN500" s="31">
        <f>VLOOKUP($A500,kurspris!$A$1:$Q$950,13,FALSE)</f>
        <v>0</v>
      </c>
      <c r="AO500" s="31">
        <f>VLOOKUP($A500,kurspris!$A$1:$Q$950,14,FALSE)</f>
        <v>0</v>
      </c>
      <c r="AP500" s="57" t="s">
        <v>2402</v>
      </c>
      <c r="AQ500"/>
      <c r="AR500" s="31">
        <f t="shared" si="217"/>
        <v>0</v>
      </c>
      <c r="AS500" s="219">
        <f t="shared" si="218"/>
        <v>0</v>
      </c>
      <c r="AT500" s="31">
        <f t="shared" si="219"/>
        <v>0</v>
      </c>
      <c r="AU500" s="219">
        <f t="shared" si="220"/>
        <v>0</v>
      </c>
      <c r="AV500" s="31">
        <f t="shared" si="221"/>
        <v>0</v>
      </c>
      <c r="AW500" s="31">
        <f t="shared" si="222"/>
        <v>0</v>
      </c>
      <c r="AX500" s="31">
        <f t="shared" si="223"/>
        <v>0</v>
      </c>
      <c r="AY500" s="219">
        <f t="shared" si="224"/>
        <v>0</v>
      </c>
      <c r="AZ500" s="196">
        <f t="shared" si="225"/>
        <v>0</v>
      </c>
      <c r="BA500" s="219">
        <f t="shared" si="226"/>
        <v>0</v>
      </c>
      <c r="BB500" s="31">
        <f t="shared" si="227"/>
        <v>0</v>
      </c>
      <c r="BC500" s="219">
        <f t="shared" si="228"/>
        <v>0</v>
      </c>
      <c r="BD500" s="31">
        <f t="shared" si="229"/>
        <v>5.5</v>
      </c>
      <c r="BE500" s="219">
        <f t="shared" si="230"/>
        <v>4.6749999999999998</v>
      </c>
      <c r="BF500" s="31">
        <f t="shared" si="231"/>
        <v>0</v>
      </c>
      <c r="BG500" s="219">
        <f t="shared" si="232"/>
        <v>0</v>
      </c>
      <c r="BH500" s="31">
        <f t="shared" si="233"/>
        <v>0</v>
      </c>
      <c r="BI500" s="219">
        <f t="shared" si="234"/>
        <v>0</v>
      </c>
      <c r="BJ500" s="31">
        <f t="shared" si="235"/>
        <v>0</v>
      </c>
      <c r="BK500" s="219">
        <f t="shared" si="236"/>
        <v>0</v>
      </c>
      <c r="BL500" s="31">
        <f t="shared" si="237"/>
        <v>0</v>
      </c>
      <c r="BM500" s="219">
        <f t="shared" si="238"/>
        <v>0</v>
      </c>
      <c r="BN500" s="31">
        <f t="shared" si="239"/>
        <v>0</v>
      </c>
      <c r="BO500" s="219">
        <f t="shared" si="240"/>
        <v>0</v>
      </c>
    </row>
    <row r="501" spans="1:67" x14ac:dyDescent="0.25">
      <c r="A501" s="31" t="s">
        <v>951</v>
      </c>
      <c r="B501" s="176" t="str">
        <f>VLOOKUP(A501,kurspris!$A$1:$B$992,2,FALSE)</f>
        <v>Vetenskapsteori och vetenskaplig metod</v>
      </c>
      <c r="C501" s="31">
        <v>68718</v>
      </c>
      <c r="D501" s="60" t="s">
        <v>117</v>
      </c>
      <c r="E501" s="60"/>
      <c r="F501" s="57" t="s">
        <v>2274</v>
      </c>
      <c r="H501" s="31" t="s">
        <v>2395</v>
      </c>
      <c r="I501" s="31" t="s">
        <v>2275</v>
      </c>
      <c r="L501" s="38"/>
      <c r="M501">
        <v>15</v>
      </c>
      <c r="P501" s="31">
        <v>23</v>
      </c>
      <c r="Q501" s="539">
        <v>5.75</v>
      </c>
      <c r="R501" s="38">
        <v>0.8</v>
      </c>
      <c r="S501" s="280">
        <f t="shared" si="213"/>
        <v>4.6000000000000005</v>
      </c>
      <c r="T501" s="31">
        <f>VLOOKUP(A501,'Ansvar kurs'!$A$1:$C$1123,2,FALSE)</f>
        <v>2193</v>
      </c>
      <c r="U501" s="31" t="str">
        <f>VLOOKUP(T501,Orgenheter!$A$1:$C$166,2,FALSE)</f>
        <v xml:space="preserve">TUV </v>
      </c>
      <c r="V501" s="31" t="str">
        <f>VLOOKUP(T501,Orgenheter!$A$1:$C$166,3,FALSE)</f>
        <v>Sam</v>
      </c>
      <c r="W501" s="35" t="str">
        <f>VLOOKUP(D501,Program!$A$1:$B$36,2,FALSE)</f>
        <v>Fristående och övriga kurser</v>
      </c>
      <c r="X501" s="40">
        <f>VLOOKUP(A501,kurspris!$A$1:$Q$913,15,FALSE)</f>
        <v>20766</v>
      </c>
      <c r="Y501" s="40">
        <f>VLOOKUP(A501,kurspris!$A$1:$Q$913,16,FALSE)</f>
        <v>17442</v>
      </c>
      <c r="Z501" s="40">
        <f t="shared" si="214"/>
        <v>199637.7</v>
      </c>
      <c r="AA501" s="40">
        <f>VLOOKUP(A501,kurspris!$A$1:$Q$913,17,FALSE)</f>
        <v>6000</v>
      </c>
      <c r="AB501" s="40">
        <f t="shared" si="215"/>
        <v>34500</v>
      </c>
      <c r="AC501" s="40">
        <f t="shared" si="216"/>
        <v>234137.7</v>
      </c>
      <c r="AD501" s="31">
        <f>VLOOKUP($A501,kurspris!$A$1:$Q$950,3,FALSE)</f>
        <v>0</v>
      </c>
      <c r="AE501" s="31">
        <f>VLOOKUP($A501,kurspris!$A$1:$Q$950,4,FALSE)</f>
        <v>0</v>
      </c>
      <c r="AF501" s="31">
        <f>VLOOKUP($A501,kurspris!$A$1:$Q$950,5,FALSE)</f>
        <v>0</v>
      </c>
      <c r="AG501" s="31">
        <f>VLOOKUP($A501,kurspris!$A$1:$Q$950,6,FALSE)</f>
        <v>0</v>
      </c>
      <c r="AH501" s="31">
        <f>VLOOKUP($A501,kurspris!$A$1:$Q$950,7,FALSE)</f>
        <v>0</v>
      </c>
      <c r="AI501" s="31">
        <f>VLOOKUP($A501,kurspris!$A$1:$Q$950,8,FALSE)</f>
        <v>0</v>
      </c>
      <c r="AJ501" s="31">
        <f>VLOOKUP($A501,kurspris!$A$1:$Q$950,9,FALSE)</f>
        <v>1</v>
      </c>
      <c r="AK501" s="31">
        <f>VLOOKUP($A501,kurspris!$A$1:$Q$950,10,FALSE)</f>
        <v>0</v>
      </c>
      <c r="AL501" s="31">
        <f>VLOOKUP($A501,kurspris!$A$1:$Q$950,11,FALSE)</f>
        <v>0</v>
      </c>
      <c r="AM501" s="31">
        <f>VLOOKUP($A501,kurspris!$A$1:$Q$950,12,FALSE)</f>
        <v>0</v>
      </c>
      <c r="AN501" s="31">
        <f>VLOOKUP($A501,kurspris!$A$1:$Q$950,13,FALSE)</f>
        <v>0</v>
      </c>
      <c r="AO501" s="31">
        <f>VLOOKUP($A501,kurspris!$A$1:$Q$950,14,FALSE)</f>
        <v>0</v>
      </c>
      <c r="AP501" s="57" t="s">
        <v>2402</v>
      </c>
      <c r="AQ501"/>
      <c r="AR501" s="31">
        <f t="shared" si="217"/>
        <v>0</v>
      </c>
      <c r="AS501" s="219">
        <f t="shared" si="218"/>
        <v>0</v>
      </c>
      <c r="AT501" s="31">
        <f t="shared" si="219"/>
        <v>0</v>
      </c>
      <c r="AU501" s="219">
        <f t="shared" si="220"/>
        <v>0</v>
      </c>
      <c r="AV501" s="31">
        <f t="shared" si="221"/>
        <v>0</v>
      </c>
      <c r="AW501" s="31">
        <f t="shared" si="222"/>
        <v>0</v>
      </c>
      <c r="AX501" s="31">
        <f t="shared" si="223"/>
        <v>0</v>
      </c>
      <c r="AY501" s="219">
        <f t="shared" si="224"/>
        <v>0</v>
      </c>
      <c r="AZ501" s="196">
        <f t="shared" si="225"/>
        <v>0</v>
      </c>
      <c r="BA501" s="219">
        <f t="shared" si="226"/>
        <v>0</v>
      </c>
      <c r="BB501" s="31">
        <f t="shared" si="227"/>
        <v>0</v>
      </c>
      <c r="BC501" s="219">
        <f t="shared" si="228"/>
        <v>0</v>
      </c>
      <c r="BD501" s="31">
        <f t="shared" si="229"/>
        <v>5.75</v>
      </c>
      <c r="BE501" s="219">
        <f t="shared" si="230"/>
        <v>4.6000000000000005</v>
      </c>
      <c r="BF501" s="31">
        <f t="shared" si="231"/>
        <v>0</v>
      </c>
      <c r="BG501" s="219">
        <f t="shared" si="232"/>
        <v>0</v>
      </c>
      <c r="BH501" s="31">
        <f t="shared" si="233"/>
        <v>0</v>
      </c>
      <c r="BI501" s="219">
        <f t="shared" si="234"/>
        <v>0</v>
      </c>
      <c r="BJ501" s="31">
        <f t="shared" si="235"/>
        <v>0</v>
      </c>
      <c r="BK501" s="219">
        <f t="shared" si="236"/>
        <v>0</v>
      </c>
      <c r="BL501" s="31">
        <f t="shared" si="237"/>
        <v>0</v>
      </c>
      <c r="BM501" s="219">
        <f t="shared" si="238"/>
        <v>0</v>
      </c>
      <c r="BN501" s="31">
        <f t="shared" si="239"/>
        <v>0</v>
      </c>
      <c r="BO501" s="219">
        <f t="shared" si="240"/>
        <v>0</v>
      </c>
    </row>
    <row r="502" spans="1:67" x14ac:dyDescent="0.25">
      <c r="A502" s="31" t="s">
        <v>1068</v>
      </c>
      <c r="B502" s="176" t="str">
        <f>VLOOKUP(A502,kurspris!$A$1:$B$992,2,FALSE)</f>
        <v>Utbildningsvetenskap i pedagogisk praktik</v>
      </c>
      <c r="D502" s="31" t="s">
        <v>117</v>
      </c>
      <c r="F502" s="60" t="s">
        <v>2273</v>
      </c>
      <c r="I502" s="31" t="s">
        <v>2275</v>
      </c>
      <c r="L502" s="38">
        <v>0.5</v>
      </c>
      <c r="M502" s="325">
        <v>15</v>
      </c>
      <c r="P502" s="31">
        <v>30</v>
      </c>
      <c r="Q502" s="196">
        <f>(M502/60)*P502</f>
        <v>7.5</v>
      </c>
      <c r="R502" s="38">
        <v>0.8</v>
      </c>
      <c r="S502" s="280">
        <f t="shared" si="213"/>
        <v>6</v>
      </c>
      <c r="T502" s="31">
        <f>VLOOKUP(A502,'Ansvar kurs'!$A$1:$C$1123,2,FALSE)</f>
        <v>2193</v>
      </c>
      <c r="U502" s="31" t="str">
        <f>VLOOKUP(T502,Orgenheter!$A$1:$C$166,2,FALSE)</f>
        <v xml:space="preserve">TUV </v>
      </c>
      <c r="V502" s="31" t="str">
        <f>VLOOKUP(T502,Orgenheter!$A$1:$C$166,3,FALSE)</f>
        <v>Sam</v>
      </c>
      <c r="W502" s="35" t="str">
        <f>VLOOKUP(D502,Program!$A$1:$B$36,2,FALSE)</f>
        <v>Fristående och övriga kurser</v>
      </c>
      <c r="X502" s="40">
        <f>VLOOKUP(A502,kurspris!$A$1:$Q$913,15,FALSE)</f>
        <v>20766</v>
      </c>
      <c r="Y502" s="40">
        <f>VLOOKUP(A502,kurspris!$A$1:$Q$913,16,FALSE)</f>
        <v>17442</v>
      </c>
      <c r="Z502" s="40">
        <f t="shared" si="214"/>
        <v>260397</v>
      </c>
      <c r="AA502" s="40">
        <f>VLOOKUP(A502,kurspris!$A$1:$Q$913,17,FALSE)</f>
        <v>6000</v>
      </c>
      <c r="AB502" s="40">
        <f t="shared" si="215"/>
        <v>45000</v>
      </c>
      <c r="AC502" s="40">
        <f t="shared" si="216"/>
        <v>305397</v>
      </c>
      <c r="AD502" s="31">
        <f>VLOOKUP($A502,kurspris!$A$1:$Q$950,3,FALSE)</f>
        <v>0</v>
      </c>
      <c r="AE502" s="31">
        <f>VLOOKUP($A502,kurspris!$A$1:$Q$950,4,FALSE)</f>
        <v>0</v>
      </c>
      <c r="AF502" s="31">
        <f>VLOOKUP($A502,kurspris!$A$1:$Q$950,5,FALSE)</f>
        <v>0</v>
      </c>
      <c r="AG502" s="31">
        <f>VLOOKUP($A502,kurspris!$A$1:$Q$950,6,FALSE)</f>
        <v>0</v>
      </c>
      <c r="AH502" s="31">
        <f>VLOOKUP($A502,kurspris!$A$1:$Q$950,7,FALSE)</f>
        <v>0</v>
      </c>
      <c r="AI502" s="31">
        <f>VLOOKUP($A502,kurspris!$A$1:$Q$950,8,FALSE)</f>
        <v>0</v>
      </c>
      <c r="AJ502" s="31">
        <f>VLOOKUP($A502,kurspris!$A$1:$Q$950,9,FALSE)</f>
        <v>1</v>
      </c>
      <c r="AK502" s="31">
        <f>VLOOKUP($A502,kurspris!$A$1:$Q$950,10,FALSE)</f>
        <v>0</v>
      </c>
      <c r="AL502" s="31">
        <f>VLOOKUP($A502,kurspris!$A$1:$Q$950,11,FALSE)</f>
        <v>0</v>
      </c>
      <c r="AM502" s="31">
        <f>VLOOKUP($A502,kurspris!$A$1:$Q$950,12,FALSE)</f>
        <v>0</v>
      </c>
      <c r="AN502" s="31">
        <f>VLOOKUP($A502,kurspris!$A$1:$Q$950,13,FALSE)</f>
        <v>0</v>
      </c>
      <c r="AO502" s="31">
        <f>VLOOKUP($A502,kurspris!$A$1:$Q$950,14,FALSE)</f>
        <v>0</v>
      </c>
      <c r="AP502" s="57" t="s">
        <v>2267</v>
      </c>
      <c r="AQ502"/>
      <c r="AR502" s="31">
        <f t="shared" si="217"/>
        <v>0</v>
      </c>
      <c r="AS502" s="219">
        <f t="shared" si="218"/>
        <v>0</v>
      </c>
      <c r="AT502" s="31">
        <f t="shared" si="219"/>
        <v>0</v>
      </c>
      <c r="AU502" s="219">
        <f t="shared" si="220"/>
        <v>0</v>
      </c>
      <c r="AV502" s="31">
        <f t="shared" si="221"/>
        <v>0</v>
      </c>
      <c r="AW502" s="31">
        <f t="shared" si="222"/>
        <v>0</v>
      </c>
      <c r="AX502" s="31">
        <f t="shared" si="223"/>
        <v>0</v>
      </c>
      <c r="AY502" s="219">
        <f t="shared" si="224"/>
        <v>0</v>
      </c>
      <c r="AZ502" s="196">
        <f t="shared" si="225"/>
        <v>0</v>
      </c>
      <c r="BA502" s="219">
        <f t="shared" si="226"/>
        <v>0</v>
      </c>
      <c r="BB502" s="31">
        <f t="shared" si="227"/>
        <v>0</v>
      </c>
      <c r="BC502" s="219">
        <f t="shared" si="228"/>
        <v>0</v>
      </c>
      <c r="BD502" s="31">
        <f t="shared" si="229"/>
        <v>7.5</v>
      </c>
      <c r="BE502" s="219">
        <f t="shared" si="230"/>
        <v>6</v>
      </c>
      <c r="BF502" s="31">
        <f t="shared" si="231"/>
        <v>0</v>
      </c>
      <c r="BG502" s="219">
        <f t="shared" si="232"/>
        <v>0</v>
      </c>
      <c r="BH502" s="31">
        <f t="shared" si="233"/>
        <v>0</v>
      </c>
      <c r="BI502" s="219">
        <f t="shared" si="234"/>
        <v>0</v>
      </c>
      <c r="BJ502" s="31">
        <f t="shared" si="235"/>
        <v>0</v>
      </c>
      <c r="BK502" s="219">
        <f t="shared" si="236"/>
        <v>0</v>
      </c>
      <c r="BL502" s="31">
        <f t="shared" si="237"/>
        <v>0</v>
      </c>
      <c r="BM502" s="219">
        <f t="shared" si="238"/>
        <v>0</v>
      </c>
      <c r="BN502" s="31">
        <f t="shared" si="239"/>
        <v>0</v>
      </c>
      <c r="BO502" s="219">
        <f t="shared" si="240"/>
        <v>0</v>
      </c>
    </row>
    <row r="503" spans="1:67" x14ac:dyDescent="0.25">
      <c r="A503" s="31" t="s">
        <v>1086</v>
      </c>
      <c r="B503" s="176" t="str">
        <f>VLOOKUP(A503,kurspris!$A$1:$B$992,2,FALSE)</f>
        <v>Samhällsorientering, F-3</v>
      </c>
      <c r="C503" s="31">
        <v>64509</v>
      </c>
      <c r="D503" s="60" t="s">
        <v>485</v>
      </c>
      <c r="E503" s="60"/>
      <c r="F503" s="57" t="s">
        <v>2274</v>
      </c>
      <c r="H503" s="31" t="s">
        <v>2335</v>
      </c>
      <c r="I503" s="31" t="s">
        <v>2399</v>
      </c>
      <c r="L503" s="38"/>
      <c r="M503">
        <v>15</v>
      </c>
      <c r="P503" s="31">
        <v>42</v>
      </c>
      <c r="Q503" s="539">
        <v>10.5</v>
      </c>
      <c r="R503" s="38">
        <v>0.85</v>
      </c>
      <c r="S503" s="280">
        <f t="shared" si="213"/>
        <v>8.9249999999999989</v>
      </c>
      <c r="T503" s="31">
        <f>VLOOKUP(A503,'Ansvar kurs'!$A$1:$C$1123,2,FALSE)</f>
        <v>2180</v>
      </c>
      <c r="U503" s="31" t="str">
        <f>VLOOKUP(T503,Orgenheter!$A$1:$C$166,2,FALSE)</f>
        <v xml:space="preserve">Pedagogik                     </v>
      </c>
      <c r="V503" s="31" t="str">
        <f>VLOOKUP(T503,Orgenheter!$A$1:$C$166,3,FALSE)</f>
        <v>Sam</v>
      </c>
      <c r="W503" s="35" t="str">
        <f>VLOOKUP(D503,Program!$A$1:$B$36,2,FALSE)</f>
        <v>Grundlärarprogrammet - förskoleklass och åk 1-3</v>
      </c>
      <c r="X503" s="40">
        <f>VLOOKUP(A503,kurspris!$A$1:$Q$913,15,FALSE)</f>
        <v>20766</v>
      </c>
      <c r="Y503" s="40">
        <f>VLOOKUP(A503,kurspris!$A$1:$Q$913,16,FALSE)</f>
        <v>17442</v>
      </c>
      <c r="Z503" s="40">
        <f t="shared" si="214"/>
        <v>373712.85</v>
      </c>
      <c r="AA503" s="40">
        <f>VLOOKUP(A503,kurspris!$A$1:$Q$913,17,FALSE)</f>
        <v>6000</v>
      </c>
      <c r="AB503" s="40">
        <f t="shared" si="215"/>
        <v>63000</v>
      </c>
      <c r="AC503" s="40">
        <f t="shared" si="216"/>
        <v>436712.85</v>
      </c>
      <c r="AD503" s="31">
        <f>VLOOKUP($A503,kurspris!$A$1:$Q$950,3,FALSE)</f>
        <v>0</v>
      </c>
      <c r="AE503" s="31">
        <f>VLOOKUP($A503,kurspris!$A$1:$Q$950,4,FALSE)</f>
        <v>0</v>
      </c>
      <c r="AF503" s="31">
        <f>VLOOKUP($A503,kurspris!$A$1:$Q$950,5,FALSE)</f>
        <v>0</v>
      </c>
      <c r="AG503" s="31">
        <f>VLOOKUP($A503,kurspris!$A$1:$Q$950,6,FALSE)</f>
        <v>0</v>
      </c>
      <c r="AH503" s="31">
        <f>VLOOKUP($A503,kurspris!$A$1:$Q$950,7,FALSE)</f>
        <v>0</v>
      </c>
      <c r="AI503" s="31">
        <f>VLOOKUP($A503,kurspris!$A$1:$Q$950,8,FALSE)</f>
        <v>0</v>
      </c>
      <c r="AJ503" s="31">
        <f>VLOOKUP($A503,kurspris!$A$1:$Q$950,9,FALSE)</f>
        <v>1</v>
      </c>
      <c r="AK503" s="31">
        <f>VLOOKUP($A503,kurspris!$A$1:$Q$950,10,FALSE)</f>
        <v>0</v>
      </c>
      <c r="AL503" s="31">
        <f>VLOOKUP($A503,kurspris!$A$1:$Q$950,11,FALSE)</f>
        <v>0</v>
      </c>
      <c r="AM503" s="31">
        <f>VLOOKUP($A503,kurspris!$A$1:$Q$950,12,FALSE)</f>
        <v>0</v>
      </c>
      <c r="AN503" s="31">
        <f>VLOOKUP($A503,kurspris!$A$1:$Q$950,13,FALSE)</f>
        <v>0</v>
      </c>
      <c r="AO503" s="31">
        <f>VLOOKUP($A503,kurspris!$A$1:$Q$950,14,FALSE)</f>
        <v>0</v>
      </c>
      <c r="AP503" s="57" t="s">
        <v>2402</v>
      </c>
      <c r="AQ503"/>
      <c r="AR503" s="31">
        <f t="shared" si="217"/>
        <v>0</v>
      </c>
      <c r="AS503" s="219">
        <f t="shared" si="218"/>
        <v>0</v>
      </c>
      <c r="AT503" s="31">
        <f t="shared" si="219"/>
        <v>0</v>
      </c>
      <c r="AU503" s="219">
        <f t="shared" si="220"/>
        <v>0</v>
      </c>
      <c r="AV503" s="31">
        <f t="shared" si="221"/>
        <v>0</v>
      </c>
      <c r="AW503" s="31">
        <f t="shared" si="222"/>
        <v>0</v>
      </c>
      <c r="AX503" s="31">
        <f t="shared" si="223"/>
        <v>0</v>
      </c>
      <c r="AY503" s="219">
        <f t="shared" si="224"/>
        <v>0</v>
      </c>
      <c r="AZ503" s="196">
        <f t="shared" si="225"/>
        <v>0</v>
      </c>
      <c r="BA503" s="219">
        <f t="shared" si="226"/>
        <v>0</v>
      </c>
      <c r="BB503" s="31">
        <f t="shared" si="227"/>
        <v>0</v>
      </c>
      <c r="BC503" s="219">
        <f t="shared" si="228"/>
        <v>0</v>
      </c>
      <c r="BD503" s="31">
        <f t="shared" si="229"/>
        <v>10.5</v>
      </c>
      <c r="BE503" s="219">
        <f t="shared" si="230"/>
        <v>8.9249999999999989</v>
      </c>
      <c r="BF503" s="31">
        <f t="shared" si="231"/>
        <v>0</v>
      </c>
      <c r="BG503" s="219">
        <f t="shared" si="232"/>
        <v>0</v>
      </c>
      <c r="BH503" s="31">
        <f t="shared" si="233"/>
        <v>0</v>
      </c>
      <c r="BI503" s="219">
        <f t="shared" si="234"/>
        <v>0</v>
      </c>
      <c r="BJ503" s="31">
        <f t="shared" si="235"/>
        <v>0</v>
      </c>
      <c r="BK503" s="219">
        <f t="shared" si="236"/>
        <v>0</v>
      </c>
      <c r="BL503" s="31">
        <f t="shared" si="237"/>
        <v>0</v>
      </c>
      <c r="BM503" s="219">
        <f t="shared" si="238"/>
        <v>0</v>
      </c>
      <c r="BN503" s="31">
        <f t="shared" si="239"/>
        <v>0</v>
      </c>
      <c r="BO503" s="219">
        <f t="shared" si="240"/>
        <v>0</v>
      </c>
    </row>
    <row r="504" spans="1:67" x14ac:dyDescent="0.25">
      <c r="A504" s="157" t="s">
        <v>1103</v>
      </c>
      <c r="B504" s="176" t="str">
        <f>VLOOKUP(A504,kurspris!$A$1:$B$992,2,FALSE)</f>
        <v>Sex och samlevnad, 7,5 hp</v>
      </c>
      <c r="C504" s="35"/>
      <c r="D504" s="31" t="s">
        <v>117</v>
      </c>
      <c r="E504" s="60"/>
      <c r="F504" s="57" t="s">
        <v>2273</v>
      </c>
      <c r="I504" s="60" t="s">
        <v>2276</v>
      </c>
      <c r="L504" s="38">
        <v>0.25</v>
      </c>
      <c r="M504" s="325">
        <v>7.5</v>
      </c>
      <c r="P504" s="31">
        <v>15</v>
      </c>
      <c r="Q504" s="196">
        <f>(M504/60)*P504</f>
        <v>1.875</v>
      </c>
      <c r="R504" s="38">
        <v>0.8</v>
      </c>
      <c r="S504" s="280">
        <f t="shared" si="213"/>
        <v>1.5</v>
      </c>
      <c r="T504" s="31">
        <f>VLOOKUP(A504,'Ansvar kurs'!$A$1:$C$1123,2,FALSE)</f>
        <v>5740</v>
      </c>
      <c r="U504" s="31" t="str">
        <f>VLOOKUP(T504,Orgenheter!$A$1:$C$166,2,FALSE)</f>
        <v>NMD</v>
      </c>
      <c r="V504" s="31" t="str">
        <f>VLOOKUP(T504,Orgenheter!$A$1:$C$166,3,FALSE)</f>
        <v>TekNat</v>
      </c>
      <c r="W504" s="35" t="str">
        <f>VLOOKUP(D504,Program!$A$1:$B$36,2,FALSE)</f>
        <v>Fristående och övriga kurser</v>
      </c>
      <c r="X504" s="40">
        <f>VLOOKUP(A504,kurspris!$A$1:$Q$913,15,FALSE)</f>
        <v>20757</v>
      </c>
      <c r="Y504" s="40">
        <f>VLOOKUP(A504,kurspris!$A$1:$Q$913,16,FALSE)</f>
        <v>36082</v>
      </c>
      <c r="Z504" s="40">
        <f t="shared" si="214"/>
        <v>93042.375</v>
      </c>
      <c r="AA504" s="40">
        <f>VLOOKUP(A504,kurspris!$A$1:$Q$913,17,FALSE)</f>
        <v>22600</v>
      </c>
      <c r="AB504" s="40">
        <f t="shared" si="215"/>
        <v>42375</v>
      </c>
      <c r="AC504" s="40">
        <f t="shared" si="216"/>
        <v>135417.375</v>
      </c>
      <c r="AD504" s="31">
        <f>VLOOKUP($A504,kurspris!$A$1:$Q$950,3,FALSE)</f>
        <v>0</v>
      </c>
      <c r="AE504" s="31">
        <f>VLOOKUP($A504,kurspris!$A$1:$Q$950,4,FALSE)</f>
        <v>0</v>
      </c>
      <c r="AF504" s="31">
        <f>VLOOKUP($A504,kurspris!$A$1:$Q$950,5,FALSE)</f>
        <v>0</v>
      </c>
      <c r="AG504" s="31">
        <f>VLOOKUP($A504,kurspris!$A$1:$Q$950,6,FALSE)</f>
        <v>0</v>
      </c>
      <c r="AH504" s="31">
        <f>VLOOKUP($A504,kurspris!$A$1:$Q$950,7,FALSE)</f>
        <v>0</v>
      </c>
      <c r="AI504" s="31">
        <f>VLOOKUP($A504,kurspris!$A$1:$Q$950,8,FALSE)</f>
        <v>1</v>
      </c>
      <c r="AJ504" s="31">
        <f>VLOOKUP($A504,kurspris!$A$1:$Q$950,9,FALSE)</f>
        <v>0</v>
      </c>
      <c r="AK504" s="31">
        <f>VLOOKUP($A504,kurspris!$A$1:$Q$950,10,FALSE)</f>
        <v>0</v>
      </c>
      <c r="AL504" s="31">
        <f>VLOOKUP($A504,kurspris!$A$1:$Q$950,11,FALSE)</f>
        <v>0</v>
      </c>
      <c r="AM504" s="31">
        <f>VLOOKUP($A504,kurspris!$A$1:$Q$950,12,FALSE)</f>
        <v>0</v>
      </c>
      <c r="AN504" s="31">
        <f>VLOOKUP($A504,kurspris!$A$1:$Q$950,13,FALSE)</f>
        <v>0</v>
      </c>
      <c r="AO504" s="31">
        <f>VLOOKUP($A504,kurspris!$A$1:$Q$950,14,FALSE)</f>
        <v>0</v>
      </c>
      <c r="AP504" s="57" t="s">
        <v>2267</v>
      </c>
      <c r="AQ504" s="37"/>
      <c r="AR504" s="31">
        <f t="shared" si="217"/>
        <v>0</v>
      </c>
      <c r="AS504" s="219">
        <f t="shared" si="218"/>
        <v>0</v>
      </c>
      <c r="AT504" s="31">
        <f t="shared" si="219"/>
        <v>0</v>
      </c>
      <c r="AU504" s="219">
        <f t="shared" si="220"/>
        <v>0</v>
      </c>
      <c r="AV504" s="31">
        <f t="shared" si="221"/>
        <v>0</v>
      </c>
      <c r="AW504" s="31">
        <f t="shared" si="222"/>
        <v>0</v>
      </c>
      <c r="AX504" s="31">
        <f t="shared" si="223"/>
        <v>0</v>
      </c>
      <c r="AY504" s="219">
        <f t="shared" si="224"/>
        <v>0</v>
      </c>
      <c r="AZ504" s="196">
        <f t="shared" si="225"/>
        <v>0</v>
      </c>
      <c r="BA504" s="219">
        <f t="shared" si="226"/>
        <v>0</v>
      </c>
      <c r="BB504" s="31">
        <f t="shared" si="227"/>
        <v>1.875</v>
      </c>
      <c r="BC504" s="219">
        <f t="shared" si="228"/>
        <v>1.5</v>
      </c>
      <c r="BD504" s="31">
        <f t="shared" si="229"/>
        <v>0</v>
      </c>
      <c r="BE504" s="219">
        <f t="shared" si="230"/>
        <v>0</v>
      </c>
      <c r="BF504" s="31">
        <f t="shared" si="231"/>
        <v>0</v>
      </c>
      <c r="BG504" s="219">
        <f t="shared" si="232"/>
        <v>0</v>
      </c>
      <c r="BH504" s="31">
        <f t="shared" si="233"/>
        <v>0</v>
      </c>
      <c r="BI504" s="219">
        <f t="shared" si="234"/>
        <v>0</v>
      </c>
      <c r="BJ504" s="31">
        <f t="shared" si="235"/>
        <v>0</v>
      </c>
      <c r="BK504" s="219">
        <f t="shared" si="236"/>
        <v>0</v>
      </c>
      <c r="BL504" s="31">
        <f t="shared" si="237"/>
        <v>0</v>
      </c>
      <c r="BM504" s="219">
        <f t="shared" si="238"/>
        <v>0</v>
      </c>
      <c r="BN504" s="31">
        <f t="shared" si="239"/>
        <v>0</v>
      </c>
      <c r="BO504" s="219">
        <f t="shared" si="240"/>
        <v>0</v>
      </c>
    </row>
    <row r="505" spans="1:67" x14ac:dyDescent="0.25">
      <c r="A505" s="31" t="s">
        <v>1103</v>
      </c>
      <c r="B505" s="176" t="str">
        <f>VLOOKUP(A505,kurspris!$A$1:$B$992,2,FALSE)</f>
        <v>Sex och samlevnad, 7,5 hp</v>
      </c>
      <c r="D505" s="60" t="s">
        <v>482</v>
      </c>
      <c r="E505" s="576" t="s">
        <v>2432</v>
      </c>
      <c r="F505" s="31" t="s">
        <v>2273</v>
      </c>
      <c r="G505" t="s">
        <v>2458</v>
      </c>
      <c r="H505" t="s">
        <v>2335</v>
      </c>
      <c r="J505" s="31" t="s">
        <v>2235</v>
      </c>
      <c r="L505" s="38">
        <v>0.25</v>
      </c>
      <c r="M505">
        <v>7.5</v>
      </c>
      <c r="P505" s="31">
        <v>1</v>
      </c>
      <c r="Q505" s="196">
        <f>(M505/60)*P505</f>
        <v>0.125</v>
      </c>
      <c r="R505" s="38">
        <v>0.85</v>
      </c>
      <c r="S505" s="280">
        <f t="shared" si="213"/>
        <v>0.10625</v>
      </c>
      <c r="T505" s="31">
        <f>VLOOKUP(A505,'Ansvar kurs'!$A$1:$C$1123,2,FALSE)</f>
        <v>5740</v>
      </c>
      <c r="U505" s="31" t="str">
        <f>VLOOKUP(T505,Orgenheter!$A$1:$C$166,2,FALSE)</f>
        <v>NMD</v>
      </c>
      <c r="V505" s="31" t="str">
        <f>VLOOKUP(T505,Orgenheter!$A$1:$C$166,3,FALSE)</f>
        <v>TekNat</v>
      </c>
      <c r="W505" s="35" t="str">
        <f>VLOOKUP(D505,Program!$A$1:$B$36,2,FALSE)</f>
        <v>Ämneslärarprogrammet - Gy</v>
      </c>
      <c r="X505" s="40">
        <f>VLOOKUP(A505,kurspris!$A$1:$Q$913,15,FALSE)</f>
        <v>20757</v>
      </c>
      <c r="Y505" s="40">
        <f>VLOOKUP(A505,kurspris!$A$1:$Q$913,16,FALSE)</f>
        <v>36082</v>
      </c>
      <c r="Z505" s="40">
        <f t="shared" si="214"/>
        <v>6428.3374999999996</v>
      </c>
      <c r="AA505" s="40">
        <f>VLOOKUP(A505,kurspris!$A$1:$Q$913,17,FALSE)</f>
        <v>22600</v>
      </c>
      <c r="AB505" s="40">
        <f t="shared" si="215"/>
        <v>2825</v>
      </c>
      <c r="AC505" s="40">
        <f t="shared" si="216"/>
        <v>9253.3374999999996</v>
      </c>
      <c r="AD505" s="31">
        <f>VLOOKUP($A505,kurspris!$A$1:$Q$950,3,FALSE)</f>
        <v>0</v>
      </c>
      <c r="AE505" s="31">
        <f>VLOOKUP($A505,kurspris!$A$1:$Q$950,4,FALSE)</f>
        <v>0</v>
      </c>
      <c r="AF505" s="31">
        <f>VLOOKUP($A505,kurspris!$A$1:$Q$950,5,FALSE)</f>
        <v>0</v>
      </c>
      <c r="AG505" s="31">
        <f>VLOOKUP($A505,kurspris!$A$1:$Q$950,6,FALSE)</f>
        <v>0</v>
      </c>
      <c r="AH505" s="31">
        <f>VLOOKUP($A505,kurspris!$A$1:$Q$950,7,FALSE)</f>
        <v>0</v>
      </c>
      <c r="AI505" s="31">
        <f>VLOOKUP($A505,kurspris!$A$1:$Q$950,8,FALSE)</f>
        <v>1</v>
      </c>
      <c r="AJ505" s="31">
        <f>VLOOKUP($A505,kurspris!$A$1:$Q$950,9,FALSE)</f>
        <v>0</v>
      </c>
      <c r="AK505" s="31">
        <f>VLOOKUP($A505,kurspris!$A$1:$Q$950,10,FALSE)</f>
        <v>0</v>
      </c>
      <c r="AL505" s="31">
        <f>VLOOKUP($A505,kurspris!$A$1:$Q$950,11,FALSE)</f>
        <v>0</v>
      </c>
      <c r="AM505" s="31">
        <f>VLOOKUP($A505,kurspris!$A$1:$Q$950,12,FALSE)</f>
        <v>0</v>
      </c>
      <c r="AN505" s="31">
        <f>VLOOKUP($A505,kurspris!$A$1:$Q$950,13,FALSE)</f>
        <v>0</v>
      </c>
      <c r="AO505" s="31">
        <f>VLOOKUP($A505,kurspris!$A$1:$Q$950,14,FALSE)</f>
        <v>0</v>
      </c>
      <c r="AP505" s="57" t="s">
        <v>2506</v>
      </c>
      <c r="AQ505"/>
      <c r="AR505" s="31">
        <f t="shared" si="217"/>
        <v>0</v>
      </c>
      <c r="AS505" s="219">
        <f t="shared" si="218"/>
        <v>0</v>
      </c>
      <c r="AT505" s="31">
        <f t="shared" si="219"/>
        <v>0</v>
      </c>
      <c r="AU505" s="219">
        <f t="shared" si="220"/>
        <v>0</v>
      </c>
      <c r="AV505" s="31">
        <f t="shared" si="221"/>
        <v>0</v>
      </c>
      <c r="AW505" s="31">
        <f t="shared" si="222"/>
        <v>0</v>
      </c>
      <c r="AX505" s="31">
        <f t="shared" si="223"/>
        <v>0</v>
      </c>
      <c r="AY505" s="219">
        <f t="shared" si="224"/>
        <v>0</v>
      </c>
      <c r="AZ505" s="196">
        <f t="shared" si="225"/>
        <v>0</v>
      </c>
      <c r="BA505" s="219">
        <f t="shared" si="226"/>
        <v>0</v>
      </c>
      <c r="BB505" s="31">
        <f t="shared" si="227"/>
        <v>0.125</v>
      </c>
      <c r="BC505" s="219">
        <f t="shared" si="228"/>
        <v>0.10625</v>
      </c>
      <c r="BD505" s="31">
        <f t="shared" si="229"/>
        <v>0</v>
      </c>
      <c r="BE505" s="219">
        <f t="shared" si="230"/>
        <v>0</v>
      </c>
      <c r="BF505" s="31">
        <f t="shared" si="231"/>
        <v>0</v>
      </c>
      <c r="BG505" s="219">
        <f t="shared" si="232"/>
        <v>0</v>
      </c>
      <c r="BH505" s="31">
        <f t="shared" si="233"/>
        <v>0</v>
      </c>
      <c r="BI505" s="219">
        <f t="shared" si="234"/>
        <v>0</v>
      </c>
      <c r="BJ505" s="31">
        <f t="shared" si="235"/>
        <v>0</v>
      </c>
      <c r="BK505" s="219">
        <f t="shared" si="236"/>
        <v>0</v>
      </c>
      <c r="BL505" s="31">
        <f t="shared" si="237"/>
        <v>0</v>
      </c>
      <c r="BM505" s="219">
        <f t="shared" si="238"/>
        <v>0</v>
      </c>
      <c r="BN505" s="31">
        <f t="shared" si="239"/>
        <v>0</v>
      </c>
      <c r="BO505" s="219">
        <f t="shared" si="240"/>
        <v>0</v>
      </c>
    </row>
    <row r="506" spans="1:67" x14ac:dyDescent="0.25">
      <c r="A506" s="31" t="s">
        <v>1103</v>
      </c>
      <c r="B506" s="176" t="str">
        <f>VLOOKUP(A506,kurspris!$A$1:$B$992,2,FALSE)</f>
        <v>Sex och samlevnad, 7,5 hp</v>
      </c>
      <c r="D506" s="60" t="s">
        <v>482</v>
      </c>
      <c r="E506" s="576" t="s">
        <v>2433</v>
      </c>
      <c r="F506" s="31" t="s">
        <v>2273</v>
      </c>
      <c r="G506" t="s">
        <v>2458</v>
      </c>
      <c r="H506" t="s">
        <v>2335</v>
      </c>
      <c r="J506" s="31" t="s">
        <v>2233</v>
      </c>
      <c r="L506" s="38">
        <v>0.25</v>
      </c>
      <c r="M506">
        <v>7.5</v>
      </c>
      <c r="P506" s="31">
        <v>1</v>
      </c>
      <c r="Q506" s="196">
        <f>(M506/60)*P506</f>
        <v>0.125</v>
      </c>
      <c r="R506" s="38">
        <v>0.85</v>
      </c>
      <c r="S506" s="280">
        <f t="shared" si="213"/>
        <v>0.10625</v>
      </c>
      <c r="T506" s="31">
        <f>VLOOKUP(A506,'Ansvar kurs'!$A$1:$C$1123,2,FALSE)</f>
        <v>5740</v>
      </c>
      <c r="U506" s="31" t="str">
        <f>VLOOKUP(T506,Orgenheter!$A$1:$C$166,2,FALSE)</f>
        <v>NMD</v>
      </c>
      <c r="V506" s="31" t="str">
        <f>VLOOKUP(T506,Orgenheter!$A$1:$C$166,3,FALSE)</f>
        <v>TekNat</v>
      </c>
      <c r="W506" s="35" t="str">
        <f>VLOOKUP(D506,Program!$A$1:$B$36,2,FALSE)</f>
        <v>Ämneslärarprogrammet - Gy</v>
      </c>
      <c r="X506" s="40">
        <f>VLOOKUP(A506,kurspris!$A$1:$Q$913,15,FALSE)</f>
        <v>20757</v>
      </c>
      <c r="Y506" s="40">
        <f>VLOOKUP(A506,kurspris!$A$1:$Q$913,16,FALSE)</f>
        <v>36082</v>
      </c>
      <c r="Z506" s="40">
        <f t="shared" si="214"/>
        <v>6428.3374999999996</v>
      </c>
      <c r="AA506" s="40">
        <f>VLOOKUP(A506,kurspris!$A$1:$Q$913,17,FALSE)</f>
        <v>22600</v>
      </c>
      <c r="AB506" s="40">
        <f t="shared" si="215"/>
        <v>2825</v>
      </c>
      <c r="AC506" s="40">
        <f t="shared" si="216"/>
        <v>9253.3374999999996</v>
      </c>
      <c r="AD506" s="31">
        <f>VLOOKUP($A506,kurspris!$A$1:$Q$950,3,FALSE)</f>
        <v>0</v>
      </c>
      <c r="AE506" s="31">
        <f>VLOOKUP($A506,kurspris!$A$1:$Q$950,4,FALSE)</f>
        <v>0</v>
      </c>
      <c r="AF506" s="31">
        <f>VLOOKUP($A506,kurspris!$A$1:$Q$950,5,FALSE)</f>
        <v>0</v>
      </c>
      <c r="AG506" s="31">
        <f>VLOOKUP($A506,kurspris!$A$1:$Q$950,6,FALSE)</f>
        <v>0</v>
      </c>
      <c r="AH506" s="31">
        <f>VLOOKUP($A506,kurspris!$A$1:$Q$950,7,FALSE)</f>
        <v>0</v>
      </c>
      <c r="AI506" s="31">
        <f>VLOOKUP($A506,kurspris!$A$1:$Q$950,8,FALSE)</f>
        <v>1</v>
      </c>
      <c r="AJ506" s="31">
        <f>VLOOKUP($A506,kurspris!$A$1:$Q$950,9,FALSE)</f>
        <v>0</v>
      </c>
      <c r="AK506" s="31">
        <f>VLOOKUP($A506,kurspris!$A$1:$Q$950,10,FALSE)</f>
        <v>0</v>
      </c>
      <c r="AL506" s="31">
        <f>VLOOKUP($A506,kurspris!$A$1:$Q$950,11,FALSE)</f>
        <v>0</v>
      </c>
      <c r="AM506" s="31">
        <f>VLOOKUP($A506,kurspris!$A$1:$Q$950,12,FALSE)</f>
        <v>0</v>
      </c>
      <c r="AN506" s="31">
        <f>VLOOKUP($A506,kurspris!$A$1:$Q$950,13,FALSE)</f>
        <v>0</v>
      </c>
      <c r="AO506" s="31">
        <f>VLOOKUP($A506,kurspris!$A$1:$Q$950,14,FALSE)</f>
        <v>0</v>
      </c>
      <c r="AP506" s="57" t="s">
        <v>2506</v>
      </c>
      <c r="AQ506"/>
      <c r="AR506" s="31">
        <f t="shared" si="217"/>
        <v>0</v>
      </c>
      <c r="AS506" s="219">
        <f t="shared" si="218"/>
        <v>0</v>
      </c>
      <c r="AT506" s="31">
        <f t="shared" si="219"/>
        <v>0</v>
      </c>
      <c r="AU506" s="219">
        <f t="shared" si="220"/>
        <v>0</v>
      </c>
      <c r="AV506" s="31">
        <f t="shared" si="221"/>
        <v>0</v>
      </c>
      <c r="AW506" s="31">
        <f t="shared" si="222"/>
        <v>0</v>
      </c>
      <c r="AX506" s="31">
        <f t="shared" si="223"/>
        <v>0</v>
      </c>
      <c r="AY506" s="219">
        <f t="shared" si="224"/>
        <v>0</v>
      </c>
      <c r="AZ506" s="196">
        <f t="shared" si="225"/>
        <v>0</v>
      </c>
      <c r="BA506" s="219">
        <f t="shared" si="226"/>
        <v>0</v>
      </c>
      <c r="BB506" s="31">
        <f t="shared" si="227"/>
        <v>0.125</v>
      </c>
      <c r="BC506" s="219">
        <f t="shared" si="228"/>
        <v>0.10625</v>
      </c>
      <c r="BD506" s="31">
        <f t="shared" si="229"/>
        <v>0</v>
      </c>
      <c r="BE506" s="219">
        <f t="shared" si="230"/>
        <v>0</v>
      </c>
      <c r="BF506" s="31">
        <f t="shared" si="231"/>
        <v>0</v>
      </c>
      <c r="BG506" s="219">
        <f t="shared" si="232"/>
        <v>0</v>
      </c>
      <c r="BH506" s="31">
        <f t="shared" si="233"/>
        <v>0</v>
      </c>
      <c r="BI506" s="219">
        <f t="shared" si="234"/>
        <v>0</v>
      </c>
      <c r="BJ506" s="31">
        <f t="shared" si="235"/>
        <v>0</v>
      </c>
      <c r="BK506" s="219">
        <f t="shared" si="236"/>
        <v>0</v>
      </c>
      <c r="BL506" s="31">
        <f t="shared" si="237"/>
        <v>0</v>
      </c>
      <c r="BM506" s="219">
        <f t="shared" si="238"/>
        <v>0</v>
      </c>
      <c r="BN506" s="31">
        <f t="shared" si="239"/>
        <v>0</v>
      </c>
      <c r="BO506" s="219">
        <f t="shared" si="240"/>
        <v>0</v>
      </c>
    </row>
    <row r="507" spans="1:67" x14ac:dyDescent="0.25">
      <c r="A507" s="31" t="s">
        <v>1122</v>
      </c>
      <c r="B507" s="176" t="str">
        <f>VLOOKUP(A507,kurspris!$A$1:$B$992,2,FALSE)</f>
        <v>Förskollärare som profession</v>
      </c>
      <c r="D507" s="60" t="s">
        <v>483</v>
      </c>
      <c r="E507" s="576" t="s">
        <v>2432</v>
      </c>
      <c r="F507" s="60" t="s">
        <v>2273</v>
      </c>
      <c r="G507" t="s">
        <v>2457</v>
      </c>
      <c r="H507" t="s">
        <v>2335</v>
      </c>
      <c r="I507" s="31" t="s">
        <v>2276</v>
      </c>
      <c r="L507" s="38">
        <v>1</v>
      </c>
      <c r="M507">
        <v>6</v>
      </c>
      <c r="P507" s="31">
        <v>1</v>
      </c>
      <c r="Q507" s="196">
        <f>(M507/60)*P507</f>
        <v>0.1</v>
      </c>
      <c r="R507" s="38">
        <v>0.85</v>
      </c>
      <c r="S507" s="280">
        <f t="shared" si="213"/>
        <v>8.5000000000000006E-2</v>
      </c>
      <c r="T507" s="31">
        <f>VLOOKUP(A507,'Ansvar kurs'!$A$1:$C$1123,2,FALSE)</f>
        <v>2193</v>
      </c>
      <c r="U507" s="31" t="str">
        <f>VLOOKUP(T507,Orgenheter!$A$1:$C$166,2,FALSE)</f>
        <v xml:space="preserve">TUV </v>
      </c>
      <c r="V507" s="31" t="str">
        <f>VLOOKUP(T507,Orgenheter!$A$1:$C$166,3,FALSE)</f>
        <v>Sam</v>
      </c>
      <c r="W507" s="35" t="str">
        <f>VLOOKUP(D507,Program!$A$1:$B$36,2,FALSE)</f>
        <v>Förskollärarprogrammet</v>
      </c>
      <c r="X507" s="40">
        <f>VLOOKUP(A507,kurspris!$A$1:$Q$913,15,FALSE)</f>
        <v>26554</v>
      </c>
      <c r="Y507" s="40">
        <f>VLOOKUP(A507,kurspris!$A$1:$Q$913,16,FALSE)</f>
        <v>33465</v>
      </c>
      <c r="Z507" s="40">
        <f t="shared" si="214"/>
        <v>5499.9250000000002</v>
      </c>
      <c r="AA507" s="40">
        <f>VLOOKUP(A507,kurspris!$A$1:$Q$913,17,FALSE)</f>
        <v>6000</v>
      </c>
      <c r="AB507" s="40">
        <f t="shared" si="215"/>
        <v>600</v>
      </c>
      <c r="AC507" s="40">
        <f t="shared" si="216"/>
        <v>6099.9250000000002</v>
      </c>
      <c r="AD507" s="31">
        <f>VLOOKUP($A507,kurspris!$A$1:$Q$950,3,FALSE)</f>
        <v>0</v>
      </c>
      <c r="AE507" s="31">
        <f>VLOOKUP($A507,kurspris!$A$1:$Q$950,4,FALSE)</f>
        <v>0</v>
      </c>
      <c r="AF507" s="31">
        <f>VLOOKUP($A507,kurspris!$A$1:$Q$950,5,FALSE)</f>
        <v>0</v>
      </c>
      <c r="AG507" s="31">
        <f>VLOOKUP($A507,kurspris!$A$1:$Q$950,6,FALSE)</f>
        <v>1</v>
      </c>
      <c r="AH507" s="31">
        <f>VLOOKUP($A507,kurspris!$A$1:$Q$950,7,FALSE)</f>
        <v>0</v>
      </c>
      <c r="AI507" s="31">
        <f>VLOOKUP($A507,kurspris!$A$1:$Q$950,8,FALSE)</f>
        <v>0</v>
      </c>
      <c r="AJ507" s="31">
        <f>VLOOKUP($A507,kurspris!$A$1:$Q$950,9,FALSE)</f>
        <v>0</v>
      </c>
      <c r="AK507" s="31">
        <f>VLOOKUP($A507,kurspris!$A$1:$Q$950,10,FALSE)</f>
        <v>0</v>
      </c>
      <c r="AL507" s="31">
        <f>VLOOKUP($A507,kurspris!$A$1:$Q$950,11,FALSE)</f>
        <v>0</v>
      </c>
      <c r="AM507" s="31">
        <f>VLOOKUP($A507,kurspris!$A$1:$Q$950,12,FALSE)</f>
        <v>0</v>
      </c>
      <c r="AN507" s="31">
        <f>VLOOKUP($A507,kurspris!$A$1:$Q$950,13,FALSE)</f>
        <v>0</v>
      </c>
      <c r="AO507" s="31">
        <f>VLOOKUP($A507,kurspris!$A$1:$Q$950,14,FALSE)</f>
        <v>0</v>
      </c>
      <c r="AP507" s="57" t="s">
        <v>2506</v>
      </c>
      <c r="AQ507"/>
      <c r="AR507" s="31">
        <f t="shared" si="217"/>
        <v>0</v>
      </c>
      <c r="AS507" s="219">
        <f t="shared" si="218"/>
        <v>0</v>
      </c>
      <c r="AT507" s="31">
        <f t="shared" si="219"/>
        <v>0</v>
      </c>
      <c r="AU507" s="219">
        <f t="shared" si="220"/>
        <v>0</v>
      </c>
      <c r="AV507" s="31">
        <f t="shared" si="221"/>
        <v>0</v>
      </c>
      <c r="AW507" s="31">
        <f t="shared" si="222"/>
        <v>0</v>
      </c>
      <c r="AX507" s="31">
        <f t="shared" si="223"/>
        <v>0.1</v>
      </c>
      <c r="AY507" s="219">
        <f t="shared" si="224"/>
        <v>8.5000000000000006E-2</v>
      </c>
      <c r="AZ507" s="196">
        <f t="shared" si="225"/>
        <v>0</v>
      </c>
      <c r="BA507" s="219">
        <f t="shared" si="226"/>
        <v>0</v>
      </c>
      <c r="BB507" s="31">
        <f t="shared" si="227"/>
        <v>0</v>
      </c>
      <c r="BC507" s="219">
        <f t="shared" si="228"/>
        <v>0</v>
      </c>
      <c r="BD507" s="31">
        <f t="shared" si="229"/>
        <v>0</v>
      </c>
      <c r="BE507" s="219">
        <f t="shared" si="230"/>
        <v>0</v>
      </c>
      <c r="BF507" s="31">
        <f t="shared" si="231"/>
        <v>0</v>
      </c>
      <c r="BG507" s="219">
        <f t="shared" si="232"/>
        <v>0</v>
      </c>
      <c r="BH507" s="31">
        <f t="shared" si="233"/>
        <v>0</v>
      </c>
      <c r="BI507" s="219">
        <f t="shared" si="234"/>
        <v>0</v>
      </c>
      <c r="BJ507" s="31">
        <f t="shared" si="235"/>
        <v>0</v>
      </c>
      <c r="BK507" s="219">
        <f t="shared" si="236"/>
        <v>0</v>
      </c>
      <c r="BL507" s="31">
        <f t="shared" si="237"/>
        <v>0</v>
      </c>
      <c r="BM507" s="219">
        <f t="shared" si="238"/>
        <v>0</v>
      </c>
      <c r="BN507" s="31">
        <f t="shared" si="239"/>
        <v>0</v>
      </c>
      <c r="BO507" s="219">
        <f t="shared" si="240"/>
        <v>0</v>
      </c>
    </row>
    <row r="508" spans="1:67" x14ac:dyDescent="0.25">
      <c r="A508" s="283" t="s">
        <v>1122</v>
      </c>
      <c r="B508" s="362" t="str">
        <f>VLOOKUP(A508,kurspris!$A$1:$B$992,2,FALSE)</f>
        <v>Förskollärare som profession</v>
      </c>
      <c r="C508" s="244"/>
      <c r="D508" s="538" t="s">
        <v>483</v>
      </c>
      <c r="E508" s="538" t="s">
        <v>2203</v>
      </c>
      <c r="F508" s="244" t="s">
        <v>2273</v>
      </c>
      <c r="G508" s="244"/>
      <c r="H508" s="244">
        <v>2480</v>
      </c>
      <c r="I508" s="244"/>
      <c r="J508" s="244"/>
      <c r="K508" s="244"/>
      <c r="L508" s="518"/>
      <c r="M508" s="325">
        <v>6</v>
      </c>
      <c r="P508" s="573">
        <v>53</v>
      </c>
      <c r="Q508" s="196">
        <f>(M508/60)*P508</f>
        <v>5.3000000000000007</v>
      </c>
      <c r="R508" s="38">
        <v>0.85</v>
      </c>
      <c r="S508" s="280">
        <f t="shared" si="213"/>
        <v>4.5050000000000008</v>
      </c>
      <c r="T508" s="31">
        <f>VLOOKUP(A508,'Ansvar kurs'!$A$1:$C$1123,2,FALSE)</f>
        <v>2193</v>
      </c>
      <c r="U508" s="31" t="str">
        <f>VLOOKUP(T508,Orgenheter!$A$1:$C$166,2,FALSE)</f>
        <v xml:space="preserve">TUV </v>
      </c>
      <c r="V508" s="31" t="str">
        <f>VLOOKUP(T508,Orgenheter!$A$1:$C$166,3,FALSE)</f>
        <v>Sam</v>
      </c>
      <c r="W508" s="35" t="str">
        <f>VLOOKUP(D508,Program!$A$1:$B$36,2,FALSE)</f>
        <v>Förskollärarprogrammet</v>
      </c>
      <c r="X508" s="40">
        <f>VLOOKUP(A508,kurspris!$A$1:$Q$913,15,FALSE)</f>
        <v>26554</v>
      </c>
      <c r="Y508" s="40">
        <f>VLOOKUP(A508,kurspris!$A$1:$Q$913,16,FALSE)</f>
        <v>33465</v>
      </c>
      <c r="Z508" s="40">
        <f t="shared" si="214"/>
        <v>291496.02500000002</v>
      </c>
      <c r="AA508" s="40">
        <f>VLOOKUP(A508,kurspris!$A$1:$Q$913,17,FALSE)</f>
        <v>6000</v>
      </c>
      <c r="AB508" s="40">
        <f t="shared" si="215"/>
        <v>31800.000000000004</v>
      </c>
      <c r="AC508" s="40">
        <f t="shared" si="216"/>
        <v>323296.02500000002</v>
      </c>
      <c r="AD508" s="31">
        <f>VLOOKUP($A508,kurspris!$A$1:$Q$950,3,FALSE)</f>
        <v>0</v>
      </c>
      <c r="AE508" s="31">
        <f>VLOOKUP($A508,kurspris!$A$1:$Q$950,4,FALSE)</f>
        <v>0</v>
      </c>
      <c r="AF508" s="31">
        <f>VLOOKUP($A508,kurspris!$A$1:$Q$950,5,FALSE)</f>
        <v>0</v>
      </c>
      <c r="AG508" s="31">
        <f>VLOOKUP($A508,kurspris!$A$1:$Q$950,6,FALSE)</f>
        <v>1</v>
      </c>
      <c r="AH508" s="31">
        <f>VLOOKUP($A508,kurspris!$A$1:$Q$950,7,FALSE)</f>
        <v>0</v>
      </c>
      <c r="AI508" s="31">
        <f>VLOOKUP($A508,kurspris!$A$1:$Q$950,8,FALSE)</f>
        <v>0</v>
      </c>
      <c r="AJ508" s="31">
        <f>VLOOKUP($A508,kurspris!$A$1:$Q$950,9,FALSE)</f>
        <v>0</v>
      </c>
      <c r="AK508" s="31">
        <f>VLOOKUP($A508,kurspris!$A$1:$Q$950,10,FALSE)</f>
        <v>0</v>
      </c>
      <c r="AL508" s="31">
        <f>VLOOKUP($A508,kurspris!$A$1:$Q$950,11,FALSE)</f>
        <v>0</v>
      </c>
      <c r="AM508" s="31">
        <f>VLOOKUP($A508,kurspris!$A$1:$Q$950,12,FALSE)</f>
        <v>0</v>
      </c>
      <c r="AN508" s="31">
        <f>VLOOKUP($A508,kurspris!$A$1:$Q$950,13,FALSE)</f>
        <v>0</v>
      </c>
      <c r="AO508" s="31">
        <f>VLOOKUP($A508,kurspris!$A$1:$Q$950,14,FALSE)</f>
        <v>0</v>
      </c>
      <c r="AP508" s="57" t="s">
        <v>2498</v>
      </c>
      <c r="AQ508" s="37"/>
      <c r="AR508" s="31">
        <f t="shared" si="217"/>
        <v>0</v>
      </c>
      <c r="AS508" s="219">
        <f t="shared" si="218"/>
        <v>0</v>
      </c>
      <c r="AT508" s="31">
        <f t="shared" si="219"/>
        <v>0</v>
      </c>
      <c r="AU508" s="219">
        <f t="shared" si="220"/>
        <v>0</v>
      </c>
      <c r="AV508" s="31">
        <f t="shared" si="221"/>
        <v>0</v>
      </c>
      <c r="AW508" s="31">
        <f t="shared" si="222"/>
        <v>0</v>
      </c>
      <c r="AX508" s="31">
        <f t="shared" si="223"/>
        <v>5.3000000000000007</v>
      </c>
      <c r="AY508" s="219">
        <f t="shared" si="224"/>
        <v>4.5050000000000008</v>
      </c>
      <c r="AZ508" s="196">
        <f t="shared" si="225"/>
        <v>0</v>
      </c>
      <c r="BA508" s="219">
        <f t="shared" si="226"/>
        <v>0</v>
      </c>
      <c r="BB508" s="31">
        <f t="shared" si="227"/>
        <v>0</v>
      </c>
      <c r="BC508" s="219">
        <f t="shared" si="228"/>
        <v>0</v>
      </c>
      <c r="BD508" s="31">
        <f t="shared" si="229"/>
        <v>0</v>
      </c>
      <c r="BE508" s="219">
        <f t="shared" si="230"/>
        <v>0</v>
      </c>
      <c r="BF508" s="31">
        <f t="shared" si="231"/>
        <v>0</v>
      </c>
      <c r="BG508" s="219">
        <f t="shared" si="232"/>
        <v>0</v>
      </c>
      <c r="BH508" s="31">
        <f t="shared" si="233"/>
        <v>0</v>
      </c>
      <c r="BI508" s="219">
        <f t="shared" si="234"/>
        <v>0</v>
      </c>
      <c r="BJ508" s="31">
        <f t="shared" si="235"/>
        <v>0</v>
      </c>
      <c r="BK508" s="219">
        <f t="shared" si="236"/>
        <v>0</v>
      </c>
      <c r="BL508" s="31">
        <f t="shared" si="237"/>
        <v>0</v>
      </c>
      <c r="BM508" s="219">
        <f t="shared" si="238"/>
        <v>0</v>
      </c>
      <c r="BN508" s="31">
        <f t="shared" si="239"/>
        <v>0</v>
      </c>
      <c r="BO508" s="219">
        <f t="shared" si="240"/>
        <v>0</v>
      </c>
    </row>
    <row r="509" spans="1:67" x14ac:dyDescent="0.25">
      <c r="A509" s="31" t="s">
        <v>1122</v>
      </c>
      <c r="B509" s="176" t="str">
        <f>VLOOKUP(A509,kurspris!$A$1:$B$992,2,FALSE)</f>
        <v>Förskollärare som profession</v>
      </c>
      <c r="C509" s="31">
        <v>68714</v>
      </c>
      <c r="D509" s="60" t="s">
        <v>483</v>
      </c>
      <c r="E509" s="60"/>
      <c r="F509" s="57" t="s">
        <v>2274</v>
      </c>
      <c r="H509" s="31" t="s">
        <v>2335</v>
      </c>
      <c r="I509" s="31" t="s">
        <v>2399</v>
      </c>
      <c r="L509" s="38"/>
      <c r="M509">
        <v>6</v>
      </c>
      <c r="P509" s="31">
        <v>34</v>
      </c>
      <c r="Q509" s="539">
        <v>3.4</v>
      </c>
      <c r="R509" s="38">
        <v>0.85</v>
      </c>
      <c r="S509" s="280">
        <f t="shared" si="213"/>
        <v>2.8899999999999997</v>
      </c>
      <c r="T509" s="31">
        <f>VLOOKUP(A509,'Ansvar kurs'!$A$1:$C$1123,2,FALSE)</f>
        <v>2193</v>
      </c>
      <c r="U509" s="31" t="str">
        <f>VLOOKUP(T509,Orgenheter!$A$1:$C$166,2,FALSE)</f>
        <v xml:space="preserve">TUV </v>
      </c>
      <c r="V509" s="31" t="str">
        <f>VLOOKUP(T509,Orgenheter!$A$1:$C$166,3,FALSE)</f>
        <v>Sam</v>
      </c>
      <c r="W509" s="35" t="str">
        <f>VLOOKUP(D509,Program!$A$1:$B$36,2,FALSE)</f>
        <v>Förskollärarprogrammet</v>
      </c>
      <c r="X509" s="40">
        <f>VLOOKUP(A509,kurspris!$A$1:$Q$913,15,FALSE)</f>
        <v>26554</v>
      </c>
      <c r="Y509" s="40">
        <f>VLOOKUP(A509,kurspris!$A$1:$Q$913,16,FALSE)</f>
        <v>33465</v>
      </c>
      <c r="Z509" s="40">
        <f t="shared" si="214"/>
        <v>186997.44999999998</v>
      </c>
      <c r="AA509" s="40">
        <f>VLOOKUP(A509,kurspris!$A$1:$Q$913,17,FALSE)</f>
        <v>6000</v>
      </c>
      <c r="AB509" s="40">
        <f t="shared" si="215"/>
        <v>20400</v>
      </c>
      <c r="AC509" s="40">
        <f t="shared" si="216"/>
        <v>207397.44999999998</v>
      </c>
      <c r="AD509" s="31">
        <f>VLOOKUP($A509,kurspris!$A$1:$Q$950,3,FALSE)</f>
        <v>0</v>
      </c>
      <c r="AE509" s="31">
        <f>VLOOKUP($A509,kurspris!$A$1:$Q$950,4,FALSE)</f>
        <v>0</v>
      </c>
      <c r="AF509" s="31">
        <f>VLOOKUP($A509,kurspris!$A$1:$Q$950,5,FALSE)</f>
        <v>0</v>
      </c>
      <c r="AG509" s="31">
        <f>VLOOKUP($A509,kurspris!$A$1:$Q$950,6,FALSE)</f>
        <v>1</v>
      </c>
      <c r="AH509" s="31">
        <f>VLOOKUP($A509,kurspris!$A$1:$Q$950,7,FALSE)</f>
        <v>0</v>
      </c>
      <c r="AI509" s="31">
        <f>VLOOKUP($A509,kurspris!$A$1:$Q$950,8,FALSE)</f>
        <v>0</v>
      </c>
      <c r="AJ509" s="31">
        <f>VLOOKUP($A509,kurspris!$A$1:$Q$950,9,FALSE)</f>
        <v>0</v>
      </c>
      <c r="AK509" s="31">
        <f>VLOOKUP($A509,kurspris!$A$1:$Q$950,10,FALSE)</f>
        <v>0</v>
      </c>
      <c r="AL509" s="31">
        <f>VLOOKUP($A509,kurspris!$A$1:$Q$950,11,FALSE)</f>
        <v>0</v>
      </c>
      <c r="AM509" s="31">
        <f>VLOOKUP($A509,kurspris!$A$1:$Q$950,12,FALSE)</f>
        <v>0</v>
      </c>
      <c r="AN509" s="31">
        <f>VLOOKUP($A509,kurspris!$A$1:$Q$950,13,FALSE)</f>
        <v>0</v>
      </c>
      <c r="AO509" s="31">
        <f>VLOOKUP($A509,kurspris!$A$1:$Q$950,14,FALSE)</f>
        <v>0</v>
      </c>
      <c r="AP509" s="57" t="s">
        <v>2402</v>
      </c>
      <c r="AQ509"/>
      <c r="AR509" s="31">
        <f t="shared" si="217"/>
        <v>0</v>
      </c>
      <c r="AS509" s="219">
        <f t="shared" si="218"/>
        <v>0</v>
      </c>
      <c r="AT509" s="31">
        <f t="shared" si="219"/>
        <v>0</v>
      </c>
      <c r="AU509" s="219">
        <f t="shared" si="220"/>
        <v>0</v>
      </c>
      <c r="AV509" s="31">
        <f t="shared" si="221"/>
        <v>0</v>
      </c>
      <c r="AW509" s="31">
        <f t="shared" si="222"/>
        <v>0</v>
      </c>
      <c r="AX509" s="31">
        <f t="shared" si="223"/>
        <v>3.4</v>
      </c>
      <c r="AY509" s="219">
        <f t="shared" si="224"/>
        <v>2.8899999999999997</v>
      </c>
      <c r="AZ509" s="196">
        <f t="shared" si="225"/>
        <v>0</v>
      </c>
      <c r="BA509" s="219">
        <f t="shared" si="226"/>
        <v>0</v>
      </c>
      <c r="BB509" s="31">
        <f t="shared" si="227"/>
        <v>0</v>
      </c>
      <c r="BC509" s="219">
        <f t="shared" si="228"/>
        <v>0</v>
      </c>
      <c r="BD509" s="31">
        <f t="shared" si="229"/>
        <v>0</v>
      </c>
      <c r="BE509" s="219">
        <f t="shared" si="230"/>
        <v>0</v>
      </c>
      <c r="BF509" s="31">
        <f t="shared" si="231"/>
        <v>0</v>
      </c>
      <c r="BG509" s="219">
        <f t="shared" si="232"/>
        <v>0</v>
      </c>
      <c r="BH509" s="31">
        <f t="shared" si="233"/>
        <v>0</v>
      </c>
      <c r="BI509" s="219">
        <f t="shared" si="234"/>
        <v>0</v>
      </c>
      <c r="BJ509" s="31">
        <f t="shared" si="235"/>
        <v>0</v>
      </c>
      <c r="BK509" s="219">
        <f t="shared" si="236"/>
        <v>0</v>
      </c>
      <c r="BL509" s="31">
        <f t="shared" si="237"/>
        <v>0</v>
      </c>
      <c r="BM509" s="219">
        <f t="shared" si="238"/>
        <v>0</v>
      </c>
      <c r="BN509" s="31">
        <f t="shared" si="239"/>
        <v>0</v>
      </c>
      <c r="BO509" s="219">
        <f t="shared" si="240"/>
        <v>0</v>
      </c>
    </row>
    <row r="510" spans="1:67" x14ac:dyDescent="0.25">
      <c r="A510" s="244" t="s">
        <v>1123</v>
      </c>
      <c r="B510" s="362" t="str">
        <f>VLOOKUP(A510,kurspris!$A$1:$B$992,2,FALSE)</f>
        <v>Att vara förskollärare (VFU)</v>
      </c>
      <c r="C510" s="244"/>
      <c r="D510" s="538" t="s">
        <v>483</v>
      </c>
      <c r="E510" s="538" t="s">
        <v>2203</v>
      </c>
      <c r="F510" s="244" t="s">
        <v>2273</v>
      </c>
      <c r="G510" s="244"/>
      <c r="H510" s="244">
        <v>2480</v>
      </c>
      <c r="I510" s="244"/>
      <c r="J510" s="244"/>
      <c r="K510" s="244"/>
      <c r="L510" s="518"/>
      <c r="M510" s="325">
        <v>1.5</v>
      </c>
      <c r="N510" s="38">
        <v>-0.05</v>
      </c>
      <c r="O510" s="31">
        <v>53</v>
      </c>
      <c r="P510" s="31">
        <f>O510+(O510*N510)</f>
        <v>50.35</v>
      </c>
      <c r="Q510" s="196">
        <f>(M510/60)*P510</f>
        <v>1.25875</v>
      </c>
      <c r="R510" s="38">
        <v>0.85</v>
      </c>
      <c r="S510" s="280">
        <f t="shared" si="213"/>
        <v>1.0699375</v>
      </c>
      <c r="T510" s="31">
        <f>VLOOKUP(A510,'Ansvar kurs'!$A$1:$C$1123,2,FALSE)</f>
        <v>2193</v>
      </c>
      <c r="U510" s="31" t="str">
        <f>VLOOKUP(T510,Orgenheter!$A$1:$C$166,2,FALSE)</f>
        <v xml:space="preserve">TUV </v>
      </c>
      <c r="V510" s="31" t="str">
        <f>VLOOKUP(T510,Orgenheter!$A$1:$C$166,3,FALSE)</f>
        <v>Sam</v>
      </c>
      <c r="W510" s="35" t="str">
        <f>VLOOKUP(D510,Program!$A$1:$B$36,2,FALSE)</f>
        <v>Förskollärarprogrammet</v>
      </c>
      <c r="X510" s="40">
        <f>VLOOKUP(A510,kurspris!$A$1:$Q$913,15,FALSE)</f>
        <v>25235</v>
      </c>
      <c r="Y510" s="40">
        <f>VLOOKUP(A510,kurspris!$A$1:$Q$913,16,FALSE)</f>
        <v>27976</v>
      </c>
      <c r="Z510" s="40">
        <f t="shared" si="214"/>
        <v>61697.12775</v>
      </c>
      <c r="AA510" s="40">
        <f>VLOOKUP(A510,kurspris!$A$1:$Q$913,17,FALSE)</f>
        <v>3600</v>
      </c>
      <c r="AB510" s="40">
        <f t="shared" si="215"/>
        <v>4531.5</v>
      </c>
      <c r="AC510" s="40">
        <f t="shared" si="216"/>
        <v>66228.62775</v>
      </c>
      <c r="AD510" s="31">
        <f>VLOOKUP($A510,kurspris!$A$1:$Q$950,3,FALSE)</f>
        <v>0</v>
      </c>
      <c r="AE510" s="31">
        <f>VLOOKUP($A510,kurspris!$A$1:$Q$950,4,FALSE)</f>
        <v>0</v>
      </c>
      <c r="AF510" s="31">
        <f>VLOOKUP($A510,kurspris!$A$1:$Q$950,5,FALSE)</f>
        <v>0</v>
      </c>
      <c r="AG510" s="31">
        <f>VLOOKUP($A510,kurspris!$A$1:$Q$950,6,FALSE)</f>
        <v>0</v>
      </c>
      <c r="AH510" s="31">
        <f>VLOOKUP($A510,kurspris!$A$1:$Q$950,7,FALSE)</f>
        <v>0</v>
      </c>
      <c r="AI510" s="31">
        <f>VLOOKUP($A510,kurspris!$A$1:$Q$950,8,FALSE)</f>
        <v>0</v>
      </c>
      <c r="AJ510" s="31">
        <f>VLOOKUP($A510,kurspris!$A$1:$Q$950,9,FALSE)</f>
        <v>0</v>
      </c>
      <c r="AK510" s="31">
        <f>VLOOKUP($A510,kurspris!$A$1:$Q$950,10,FALSE)</f>
        <v>0</v>
      </c>
      <c r="AL510" s="31">
        <f>VLOOKUP($A510,kurspris!$A$1:$Q$950,11,FALSE)</f>
        <v>1</v>
      </c>
      <c r="AM510" s="31">
        <f>VLOOKUP($A510,kurspris!$A$1:$Q$950,12,FALSE)</f>
        <v>0</v>
      </c>
      <c r="AN510" s="31">
        <f>VLOOKUP($A510,kurspris!$A$1:$Q$950,13,FALSE)</f>
        <v>0</v>
      </c>
      <c r="AO510" s="31">
        <f>VLOOKUP($A510,kurspris!$A$1:$Q$950,14,FALSE)</f>
        <v>0</v>
      </c>
      <c r="AP510" s="57" t="s">
        <v>2222</v>
      </c>
      <c r="AQ510"/>
      <c r="AR510" s="31">
        <f t="shared" si="217"/>
        <v>0</v>
      </c>
      <c r="AS510" s="219">
        <f t="shared" si="218"/>
        <v>0</v>
      </c>
      <c r="AT510" s="31">
        <f t="shared" si="219"/>
        <v>0</v>
      </c>
      <c r="AU510" s="219">
        <f t="shared" si="220"/>
        <v>0</v>
      </c>
      <c r="AV510" s="31">
        <f t="shared" si="221"/>
        <v>0</v>
      </c>
      <c r="AW510" s="31">
        <f t="shared" si="222"/>
        <v>0</v>
      </c>
      <c r="AX510" s="31">
        <f t="shared" si="223"/>
        <v>0</v>
      </c>
      <c r="AY510" s="219">
        <f t="shared" si="224"/>
        <v>0</v>
      </c>
      <c r="AZ510" s="196">
        <f t="shared" si="225"/>
        <v>0</v>
      </c>
      <c r="BA510" s="219">
        <f t="shared" si="226"/>
        <v>0</v>
      </c>
      <c r="BB510" s="31">
        <f t="shared" si="227"/>
        <v>0</v>
      </c>
      <c r="BC510" s="219">
        <f t="shared" si="228"/>
        <v>0</v>
      </c>
      <c r="BD510" s="31">
        <f t="shared" si="229"/>
        <v>0</v>
      </c>
      <c r="BE510" s="219">
        <f t="shared" si="230"/>
        <v>0</v>
      </c>
      <c r="BF510" s="31">
        <f t="shared" si="231"/>
        <v>0</v>
      </c>
      <c r="BG510" s="219">
        <f t="shared" si="232"/>
        <v>0</v>
      </c>
      <c r="BH510" s="31">
        <f t="shared" si="233"/>
        <v>1.25875</v>
      </c>
      <c r="BI510" s="219">
        <f t="shared" si="234"/>
        <v>1.0699375</v>
      </c>
      <c r="BJ510" s="31">
        <f t="shared" si="235"/>
        <v>0</v>
      </c>
      <c r="BK510" s="219">
        <f t="shared" si="236"/>
        <v>0</v>
      </c>
      <c r="BL510" s="31">
        <f t="shared" si="237"/>
        <v>0</v>
      </c>
      <c r="BM510" s="219">
        <f t="shared" si="238"/>
        <v>0</v>
      </c>
      <c r="BN510" s="31">
        <f t="shared" si="239"/>
        <v>0</v>
      </c>
      <c r="BO510" s="219">
        <f t="shared" si="240"/>
        <v>0</v>
      </c>
    </row>
    <row r="511" spans="1:67" x14ac:dyDescent="0.25">
      <c r="A511" s="31" t="s">
        <v>1123</v>
      </c>
      <c r="B511" s="176" t="str">
        <f>VLOOKUP(A511,kurspris!$A$1:$B$992,2,FALSE)</f>
        <v>Att vara förskollärare (VFU)</v>
      </c>
      <c r="C511" s="31">
        <v>68715</v>
      </c>
      <c r="D511" s="60" t="s">
        <v>483</v>
      </c>
      <c r="E511" s="60"/>
      <c r="F511" s="57" t="s">
        <v>2274</v>
      </c>
      <c r="H511" s="31" t="s">
        <v>2335</v>
      </c>
      <c r="I511" s="31" t="s">
        <v>2399</v>
      </c>
      <c r="L511" s="38"/>
      <c r="M511">
        <v>1.5</v>
      </c>
      <c r="P511" s="31">
        <v>29</v>
      </c>
      <c r="Q511" s="539">
        <v>0.72499999999999998</v>
      </c>
      <c r="R511" s="38">
        <v>0.85</v>
      </c>
      <c r="S511" s="280">
        <f t="shared" si="213"/>
        <v>0.61624999999999996</v>
      </c>
      <c r="T511" s="31">
        <f>VLOOKUP(A511,'Ansvar kurs'!$A$1:$C$1123,2,FALSE)</f>
        <v>2193</v>
      </c>
      <c r="U511" s="31" t="str">
        <f>VLOOKUP(T511,Orgenheter!$A$1:$C$166,2,FALSE)</f>
        <v xml:space="preserve">TUV </v>
      </c>
      <c r="V511" s="31" t="str">
        <f>VLOOKUP(T511,Orgenheter!$A$1:$C$166,3,FALSE)</f>
        <v>Sam</v>
      </c>
      <c r="W511" s="35" t="str">
        <f>VLOOKUP(D511,Program!$A$1:$B$36,2,FALSE)</f>
        <v>Förskollärarprogrammet</v>
      </c>
      <c r="X511" s="40">
        <f>VLOOKUP(A511,kurspris!$A$1:$Q$913,15,FALSE)</f>
        <v>25235</v>
      </c>
      <c r="Y511" s="40">
        <f>VLOOKUP(A511,kurspris!$A$1:$Q$913,16,FALSE)</f>
        <v>27976</v>
      </c>
      <c r="Z511" s="40">
        <f t="shared" si="214"/>
        <v>35535.584999999999</v>
      </c>
      <c r="AA511" s="40">
        <f>VLOOKUP(A511,kurspris!$A$1:$Q$913,17,FALSE)</f>
        <v>3600</v>
      </c>
      <c r="AB511" s="40">
        <f t="shared" si="215"/>
        <v>2610</v>
      </c>
      <c r="AC511" s="40">
        <f t="shared" si="216"/>
        <v>38145.584999999999</v>
      </c>
      <c r="AD511" s="31">
        <f>VLOOKUP($A511,kurspris!$A$1:$Q$950,3,FALSE)</f>
        <v>0</v>
      </c>
      <c r="AE511" s="31">
        <f>VLOOKUP($A511,kurspris!$A$1:$Q$950,4,FALSE)</f>
        <v>0</v>
      </c>
      <c r="AF511" s="31">
        <f>VLOOKUP($A511,kurspris!$A$1:$Q$950,5,FALSE)</f>
        <v>0</v>
      </c>
      <c r="AG511" s="31">
        <f>VLOOKUP($A511,kurspris!$A$1:$Q$950,6,FALSE)</f>
        <v>0</v>
      </c>
      <c r="AH511" s="31">
        <f>VLOOKUP($A511,kurspris!$A$1:$Q$950,7,FALSE)</f>
        <v>0</v>
      </c>
      <c r="AI511" s="31">
        <f>VLOOKUP($A511,kurspris!$A$1:$Q$950,8,FALSE)</f>
        <v>0</v>
      </c>
      <c r="AJ511" s="31">
        <f>VLOOKUP($A511,kurspris!$A$1:$Q$950,9,FALSE)</f>
        <v>0</v>
      </c>
      <c r="AK511" s="31">
        <f>VLOOKUP($A511,kurspris!$A$1:$Q$950,10,FALSE)</f>
        <v>0</v>
      </c>
      <c r="AL511" s="31">
        <f>VLOOKUP($A511,kurspris!$A$1:$Q$950,11,FALSE)</f>
        <v>1</v>
      </c>
      <c r="AM511" s="31">
        <f>VLOOKUP($A511,kurspris!$A$1:$Q$950,12,FALSE)</f>
        <v>0</v>
      </c>
      <c r="AN511" s="31">
        <f>VLOOKUP($A511,kurspris!$A$1:$Q$950,13,FALSE)</f>
        <v>0</v>
      </c>
      <c r="AO511" s="31">
        <f>VLOOKUP($A511,kurspris!$A$1:$Q$950,14,FALSE)</f>
        <v>0</v>
      </c>
      <c r="AP511" s="57" t="s">
        <v>2402</v>
      </c>
      <c r="AQ511"/>
      <c r="AR511" s="31">
        <f t="shared" si="217"/>
        <v>0</v>
      </c>
      <c r="AS511" s="219">
        <f t="shared" si="218"/>
        <v>0</v>
      </c>
      <c r="AT511" s="31">
        <f t="shared" si="219"/>
        <v>0</v>
      </c>
      <c r="AU511" s="219">
        <f t="shared" si="220"/>
        <v>0</v>
      </c>
      <c r="AV511" s="31">
        <f t="shared" si="221"/>
        <v>0</v>
      </c>
      <c r="AW511" s="31">
        <f t="shared" si="222"/>
        <v>0</v>
      </c>
      <c r="AX511" s="31">
        <f t="shared" si="223"/>
        <v>0</v>
      </c>
      <c r="AY511" s="219">
        <f t="shared" si="224"/>
        <v>0</v>
      </c>
      <c r="AZ511" s="196">
        <f t="shared" si="225"/>
        <v>0</v>
      </c>
      <c r="BA511" s="219">
        <f t="shared" si="226"/>
        <v>0</v>
      </c>
      <c r="BB511" s="31">
        <f t="shared" si="227"/>
        <v>0</v>
      </c>
      <c r="BC511" s="219">
        <f t="shared" si="228"/>
        <v>0</v>
      </c>
      <c r="BD511" s="31">
        <f t="shared" si="229"/>
        <v>0</v>
      </c>
      <c r="BE511" s="219">
        <f t="shared" si="230"/>
        <v>0</v>
      </c>
      <c r="BF511" s="31">
        <f t="shared" si="231"/>
        <v>0</v>
      </c>
      <c r="BG511" s="219">
        <f t="shared" si="232"/>
        <v>0</v>
      </c>
      <c r="BH511" s="31">
        <f t="shared" si="233"/>
        <v>0.72499999999999998</v>
      </c>
      <c r="BI511" s="219">
        <f t="shared" si="234"/>
        <v>0.61624999999999996</v>
      </c>
      <c r="BJ511" s="31">
        <f t="shared" si="235"/>
        <v>0</v>
      </c>
      <c r="BK511" s="219">
        <f t="shared" si="236"/>
        <v>0</v>
      </c>
      <c r="BL511" s="31">
        <f t="shared" si="237"/>
        <v>0</v>
      </c>
      <c r="BM511" s="219">
        <f t="shared" si="238"/>
        <v>0</v>
      </c>
      <c r="BN511" s="31">
        <f t="shared" si="239"/>
        <v>0</v>
      </c>
      <c r="BO511" s="219">
        <f t="shared" si="240"/>
        <v>0</v>
      </c>
    </row>
    <row r="512" spans="1:67" x14ac:dyDescent="0.25">
      <c r="A512" s="283" t="s">
        <v>1254</v>
      </c>
      <c r="B512" s="362" t="str">
        <f>VLOOKUP(A512,kurspris!$A$1:$B$992,2,FALSE)</f>
        <v>Ämneslärare som profession</v>
      </c>
      <c r="C512" s="244"/>
      <c r="D512" s="538" t="s">
        <v>2330</v>
      </c>
      <c r="E512" s="538" t="s">
        <v>2203</v>
      </c>
      <c r="F512" s="244" t="s">
        <v>2273</v>
      </c>
      <c r="G512" s="244"/>
      <c r="H512" s="244">
        <v>2480</v>
      </c>
      <c r="I512" s="244"/>
      <c r="J512" s="244"/>
      <c r="K512" s="244"/>
      <c r="L512" s="518"/>
      <c r="M512" s="325">
        <v>6</v>
      </c>
      <c r="P512" s="574">
        <v>149</v>
      </c>
      <c r="Q512" s="196">
        <f t="shared" ref="Q512:Q519" si="241">(M512/60)*P512</f>
        <v>14.9</v>
      </c>
      <c r="R512" s="38">
        <v>0.85</v>
      </c>
      <c r="S512" s="280">
        <f t="shared" si="213"/>
        <v>12.664999999999999</v>
      </c>
      <c r="T512" s="31">
        <f>VLOOKUP(A512,'Ansvar kurs'!$A$1:$C$1123,2,FALSE)</f>
        <v>2180</v>
      </c>
      <c r="U512" s="31" t="str">
        <f>VLOOKUP(T512,Orgenheter!$A$1:$C$166,2,FALSE)</f>
        <v xml:space="preserve">Pedagogik                     </v>
      </c>
      <c r="V512" s="31" t="str">
        <f>VLOOKUP(T512,Orgenheter!$A$1:$C$166,3,FALSE)</f>
        <v>Sam</v>
      </c>
      <c r="W512" s="35" t="str">
        <f>VLOOKUP(D512,Program!$A$1:$B$36,2,FALSE)</f>
        <v>Ämneslärarprogrammet - Gy</v>
      </c>
      <c r="X512" s="40">
        <f>VLOOKUP(A512,kurspris!$A$1:$Q$913,15,FALSE)</f>
        <v>26554</v>
      </c>
      <c r="Y512" s="40">
        <f>VLOOKUP(A512,kurspris!$A$1:$Q$913,16,FALSE)</f>
        <v>33465</v>
      </c>
      <c r="Z512" s="40">
        <f t="shared" si="214"/>
        <v>819488.82499999995</v>
      </c>
      <c r="AA512" s="40">
        <f>VLOOKUP(A512,kurspris!$A$1:$Q$913,17,FALSE)</f>
        <v>6000</v>
      </c>
      <c r="AB512" s="40">
        <f t="shared" si="215"/>
        <v>89400</v>
      </c>
      <c r="AC512" s="40">
        <f t="shared" si="216"/>
        <v>908888.82499999995</v>
      </c>
      <c r="AD512" s="31">
        <f>VLOOKUP($A512,kurspris!$A$1:$Q$950,3,FALSE)</f>
        <v>0</v>
      </c>
      <c r="AE512" s="31">
        <f>VLOOKUP($A512,kurspris!$A$1:$Q$950,4,FALSE)</f>
        <v>0</v>
      </c>
      <c r="AF512" s="31">
        <f>VLOOKUP($A512,kurspris!$A$1:$Q$950,5,FALSE)</f>
        <v>0</v>
      </c>
      <c r="AG512" s="31">
        <f>VLOOKUP($A512,kurspris!$A$1:$Q$950,6,FALSE)</f>
        <v>1</v>
      </c>
      <c r="AH512" s="31">
        <f>VLOOKUP($A512,kurspris!$A$1:$Q$950,7,FALSE)</f>
        <v>0</v>
      </c>
      <c r="AI512" s="31">
        <f>VLOOKUP($A512,kurspris!$A$1:$Q$950,8,FALSE)</f>
        <v>0</v>
      </c>
      <c r="AJ512" s="31">
        <f>VLOOKUP($A512,kurspris!$A$1:$Q$950,9,FALSE)</f>
        <v>0</v>
      </c>
      <c r="AK512" s="31">
        <f>VLOOKUP($A512,kurspris!$A$1:$Q$950,10,FALSE)</f>
        <v>0</v>
      </c>
      <c r="AL512" s="31">
        <f>VLOOKUP($A512,kurspris!$A$1:$Q$950,11,FALSE)</f>
        <v>0</v>
      </c>
      <c r="AM512" s="31">
        <f>VLOOKUP($A512,kurspris!$A$1:$Q$950,12,FALSE)</f>
        <v>0</v>
      </c>
      <c r="AN512" s="31">
        <f>VLOOKUP($A512,kurspris!$A$1:$Q$950,13,FALSE)</f>
        <v>0</v>
      </c>
      <c r="AO512" s="31">
        <f>VLOOKUP($A512,kurspris!$A$1:$Q$950,14,FALSE)</f>
        <v>0</v>
      </c>
      <c r="AP512" s="57" t="s">
        <v>2498</v>
      </c>
      <c r="AQ512"/>
      <c r="AR512" s="31">
        <f t="shared" si="217"/>
        <v>0</v>
      </c>
      <c r="AS512" s="219">
        <f t="shared" si="218"/>
        <v>0</v>
      </c>
      <c r="AT512" s="31">
        <f t="shared" si="219"/>
        <v>0</v>
      </c>
      <c r="AU512" s="219">
        <f t="shared" si="220"/>
        <v>0</v>
      </c>
      <c r="AV512" s="31">
        <f t="shared" si="221"/>
        <v>0</v>
      </c>
      <c r="AW512" s="31">
        <f t="shared" si="222"/>
        <v>0</v>
      </c>
      <c r="AX512" s="31">
        <f t="shared" si="223"/>
        <v>14.9</v>
      </c>
      <c r="AY512" s="219">
        <f t="shared" si="224"/>
        <v>12.664999999999999</v>
      </c>
      <c r="AZ512" s="196">
        <f t="shared" si="225"/>
        <v>0</v>
      </c>
      <c r="BA512" s="219">
        <f t="shared" si="226"/>
        <v>0</v>
      </c>
      <c r="BB512" s="31">
        <f t="shared" si="227"/>
        <v>0</v>
      </c>
      <c r="BC512" s="219">
        <f t="shared" si="228"/>
        <v>0</v>
      </c>
      <c r="BD512" s="31">
        <f t="shared" si="229"/>
        <v>0</v>
      </c>
      <c r="BE512" s="219">
        <f t="shared" si="230"/>
        <v>0</v>
      </c>
      <c r="BF512" s="31">
        <f t="shared" si="231"/>
        <v>0</v>
      </c>
      <c r="BG512" s="219">
        <f t="shared" si="232"/>
        <v>0</v>
      </c>
      <c r="BH512" s="31">
        <f t="shared" si="233"/>
        <v>0</v>
      </c>
      <c r="BI512" s="219">
        <f t="shared" si="234"/>
        <v>0</v>
      </c>
      <c r="BJ512" s="31">
        <f t="shared" si="235"/>
        <v>0</v>
      </c>
      <c r="BK512" s="219">
        <f t="shared" si="236"/>
        <v>0</v>
      </c>
      <c r="BL512" s="31">
        <f t="shared" si="237"/>
        <v>0</v>
      </c>
      <c r="BM512" s="219">
        <f t="shared" si="238"/>
        <v>0</v>
      </c>
      <c r="BN512" s="31">
        <f t="shared" si="239"/>
        <v>0</v>
      </c>
      <c r="BO512" s="219">
        <f t="shared" si="240"/>
        <v>0</v>
      </c>
    </row>
    <row r="513" spans="1:67" x14ac:dyDescent="0.25">
      <c r="A513" s="31" t="s">
        <v>1254</v>
      </c>
      <c r="B513" s="176" t="str">
        <f>VLOOKUP(A513,kurspris!$A$1:$B$992,2,FALSE)</f>
        <v>Ämneslärare som profession</v>
      </c>
      <c r="D513" s="60" t="s">
        <v>482</v>
      </c>
      <c r="E513" s="576" t="s">
        <v>2434</v>
      </c>
      <c r="F513" s="31" t="s">
        <v>2273</v>
      </c>
      <c r="G513" t="s">
        <v>2457</v>
      </c>
      <c r="H513" t="s">
        <v>2335</v>
      </c>
      <c r="J513" s="31" t="s">
        <v>2233</v>
      </c>
      <c r="L513" s="38">
        <v>1</v>
      </c>
      <c r="M513">
        <v>6</v>
      </c>
      <c r="P513" s="31">
        <v>1</v>
      </c>
      <c r="Q513" s="196">
        <f t="shared" si="241"/>
        <v>0.1</v>
      </c>
      <c r="R513" s="38">
        <v>0.85</v>
      </c>
      <c r="S513" s="280">
        <f t="shared" si="213"/>
        <v>8.5000000000000006E-2</v>
      </c>
      <c r="T513" s="31">
        <f>VLOOKUP(A513,'Ansvar kurs'!$A$1:$C$1123,2,FALSE)</f>
        <v>2180</v>
      </c>
      <c r="U513" s="31" t="str">
        <f>VLOOKUP(T513,Orgenheter!$A$1:$C$166,2,FALSE)</f>
        <v xml:space="preserve">Pedagogik                     </v>
      </c>
      <c r="V513" s="31" t="str">
        <f>VLOOKUP(T513,Orgenheter!$A$1:$C$166,3,FALSE)</f>
        <v>Sam</v>
      </c>
      <c r="W513" s="35" t="str">
        <f>VLOOKUP(D513,Program!$A$1:$B$36,2,FALSE)</f>
        <v>Ämneslärarprogrammet - Gy</v>
      </c>
      <c r="X513" s="40">
        <f>VLOOKUP(A513,kurspris!$A$1:$Q$913,15,FALSE)</f>
        <v>26554</v>
      </c>
      <c r="Y513" s="40">
        <f>VLOOKUP(A513,kurspris!$A$1:$Q$913,16,FALSE)</f>
        <v>33465</v>
      </c>
      <c r="Z513" s="40">
        <f t="shared" si="214"/>
        <v>5499.9250000000002</v>
      </c>
      <c r="AA513" s="40">
        <f>VLOOKUP(A513,kurspris!$A$1:$Q$913,17,FALSE)</f>
        <v>6000</v>
      </c>
      <c r="AB513" s="40">
        <f t="shared" si="215"/>
        <v>600</v>
      </c>
      <c r="AC513" s="40">
        <f t="shared" si="216"/>
        <v>6099.9250000000002</v>
      </c>
      <c r="AD513" s="31">
        <f>VLOOKUP($A513,kurspris!$A$1:$Q$950,3,FALSE)</f>
        <v>0</v>
      </c>
      <c r="AE513" s="31">
        <f>VLOOKUP($A513,kurspris!$A$1:$Q$950,4,FALSE)</f>
        <v>0</v>
      </c>
      <c r="AF513" s="31">
        <f>VLOOKUP($A513,kurspris!$A$1:$Q$950,5,FALSE)</f>
        <v>0</v>
      </c>
      <c r="AG513" s="31">
        <f>VLOOKUP($A513,kurspris!$A$1:$Q$950,6,FALSE)</f>
        <v>1</v>
      </c>
      <c r="AH513" s="31">
        <f>VLOOKUP($A513,kurspris!$A$1:$Q$950,7,FALSE)</f>
        <v>0</v>
      </c>
      <c r="AI513" s="31">
        <f>VLOOKUP($A513,kurspris!$A$1:$Q$950,8,FALSE)</f>
        <v>0</v>
      </c>
      <c r="AJ513" s="31">
        <f>VLOOKUP($A513,kurspris!$A$1:$Q$950,9,FALSE)</f>
        <v>0</v>
      </c>
      <c r="AK513" s="31">
        <f>VLOOKUP($A513,kurspris!$A$1:$Q$950,10,FALSE)</f>
        <v>0</v>
      </c>
      <c r="AL513" s="31">
        <f>VLOOKUP($A513,kurspris!$A$1:$Q$950,11,FALSE)</f>
        <v>0</v>
      </c>
      <c r="AM513" s="31">
        <f>VLOOKUP($A513,kurspris!$A$1:$Q$950,12,FALSE)</f>
        <v>0</v>
      </c>
      <c r="AN513" s="31">
        <f>VLOOKUP($A513,kurspris!$A$1:$Q$950,13,FALSE)</f>
        <v>0</v>
      </c>
      <c r="AO513" s="31">
        <f>VLOOKUP($A513,kurspris!$A$1:$Q$950,14,FALSE)</f>
        <v>0</v>
      </c>
      <c r="AP513" s="57" t="s">
        <v>2506</v>
      </c>
      <c r="AQ513"/>
      <c r="AR513" s="31">
        <f t="shared" si="217"/>
        <v>0</v>
      </c>
      <c r="AS513" s="219">
        <f t="shared" si="218"/>
        <v>0</v>
      </c>
      <c r="AT513" s="31">
        <f t="shared" si="219"/>
        <v>0</v>
      </c>
      <c r="AU513" s="219">
        <f t="shared" si="220"/>
        <v>0</v>
      </c>
      <c r="AV513" s="31">
        <f t="shared" si="221"/>
        <v>0</v>
      </c>
      <c r="AW513" s="31">
        <f t="shared" si="222"/>
        <v>0</v>
      </c>
      <c r="AX513" s="31">
        <f t="shared" si="223"/>
        <v>0.1</v>
      </c>
      <c r="AY513" s="219">
        <f t="shared" si="224"/>
        <v>8.5000000000000006E-2</v>
      </c>
      <c r="AZ513" s="196">
        <f t="shared" si="225"/>
        <v>0</v>
      </c>
      <c r="BA513" s="219">
        <f t="shared" si="226"/>
        <v>0</v>
      </c>
      <c r="BB513" s="31">
        <f t="shared" si="227"/>
        <v>0</v>
      </c>
      <c r="BC513" s="219">
        <f t="shared" si="228"/>
        <v>0</v>
      </c>
      <c r="BD513" s="31">
        <f t="shared" si="229"/>
        <v>0</v>
      </c>
      <c r="BE513" s="219">
        <f t="shared" si="230"/>
        <v>0</v>
      </c>
      <c r="BF513" s="31">
        <f t="shared" si="231"/>
        <v>0</v>
      </c>
      <c r="BG513" s="219">
        <f t="shared" si="232"/>
        <v>0</v>
      </c>
      <c r="BH513" s="31">
        <f t="shared" si="233"/>
        <v>0</v>
      </c>
      <c r="BI513" s="219">
        <f t="shared" si="234"/>
        <v>0</v>
      </c>
      <c r="BJ513" s="31">
        <f t="shared" si="235"/>
        <v>0</v>
      </c>
      <c r="BK513" s="219">
        <f t="shared" si="236"/>
        <v>0</v>
      </c>
      <c r="BL513" s="31">
        <f t="shared" si="237"/>
        <v>0</v>
      </c>
      <c r="BM513" s="219">
        <f t="shared" si="238"/>
        <v>0</v>
      </c>
      <c r="BN513" s="31">
        <f t="shared" si="239"/>
        <v>0</v>
      </c>
      <c r="BO513" s="219">
        <f t="shared" si="240"/>
        <v>0</v>
      </c>
    </row>
    <row r="514" spans="1:67" x14ac:dyDescent="0.25">
      <c r="A514" s="283" t="s">
        <v>1255</v>
      </c>
      <c r="B514" s="362" t="str">
        <f>VLOOKUP(A514,kurspris!$A$1:$B$992,2,FALSE)</f>
        <v>Att vara ämneslärare (VFU)</v>
      </c>
      <c r="C514" s="244"/>
      <c r="D514" s="538" t="s">
        <v>2330</v>
      </c>
      <c r="E514" s="538" t="s">
        <v>2203</v>
      </c>
      <c r="F514" s="244" t="s">
        <v>2273</v>
      </c>
      <c r="G514" s="244"/>
      <c r="H514" s="244">
        <v>2480</v>
      </c>
      <c r="I514" s="244"/>
      <c r="J514" s="244"/>
      <c r="K514" s="244"/>
      <c r="L514" s="518"/>
      <c r="M514" s="325">
        <v>1.5</v>
      </c>
      <c r="N514" s="38"/>
      <c r="P514" s="31">
        <v>145</v>
      </c>
      <c r="Q514" s="196">
        <f t="shared" si="241"/>
        <v>3.625</v>
      </c>
      <c r="R514" s="38">
        <v>0.85</v>
      </c>
      <c r="S514" s="280">
        <f t="shared" ref="S514:S577" si="242">Q514*R514</f>
        <v>3.0812499999999998</v>
      </c>
      <c r="T514" s="31">
        <f>VLOOKUP(A514,'Ansvar kurs'!$A$1:$C$1123,2,FALSE)</f>
        <v>2180</v>
      </c>
      <c r="U514" s="31" t="str">
        <f>VLOOKUP(T514,Orgenheter!$A$1:$C$166,2,FALSE)</f>
        <v xml:space="preserve">Pedagogik                     </v>
      </c>
      <c r="V514" s="31" t="str">
        <f>VLOOKUP(T514,Orgenheter!$A$1:$C$166,3,FALSE)</f>
        <v>Sam</v>
      </c>
      <c r="W514" s="35" t="str">
        <f>VLOOKUP(D514,Program!$A$1:$B$36,2,FALSE)</f>
        <v>Ämneslärarprogrammet - Gy</v>
      </c>
      <c r="X514" s="40">
        <f>VLOOKUP(A514,kurspris!$A$1:$Q$913,15,FALSE)</f>
        <v>25235</v>
      </c>
      <c r="Y514" s="40">
        <f>VLOOKUP(A514,kurspris!$A$1:$Q$913,16,FALSE)</f>
        <v>27976</v>
      </c>
      <c r="Z514" s="40">
        <f t="shared" ref="Z514:Z577" si="243">X514*Q514+S514*Y514</f>
        <v>177677.92499999999</v>
      </c>
      <c r="AA514" s="40">
        <f>VLOOKUP(A514,kurspris!$A$1:$Q$913,17,FALSE)</f>
        <v>3600</v>
      </c>
      <c r="AB514" s="40">
        <f t="shared" ref="AB514:AB577" si="244">AA514*Q514</f>
        <v>13050</v>
      </c>
      <c r="AC514" s="40">
        <f t="shared" ref="AC514:AC577" si="245">Z514+AB514</f>
        <v>190727.92499999999</v>
      </c>
      <c r="AD514" s="31">
        <f>VLOOKUP($A514,kurspris!$A$1:$Q$950,3,FALSE)</f>
        <v>0</v>
      </c>
      <c r="AE514" s="31">
        <f>VLOOKUP($A514,kurspris!$A$1:$Q$950,4,FALSE)</f>
        <v>0</v>
      </c>
      <c r="AF514" s="31">
        <f>VLOOKUP($A514,kurspris!$A$1:$Q$950,5,FALSE)</f>
        <v>0</v>
      </c>
      <c r="AG514" s="31">
        <f>VLOOKUP($A514,kurspris!$A$1:$Q$950,6,FALSE)</f>
        <v>0</v>
      </c>
      <c r="AH514" s="31">
        <f>VLOOKUP($A514,kurspris!$A$1:$Q$950,7,FALSE)</f>
        <v>0</v>
      </c>
      <c r="AI514" s="31">
        <f>VLOOKUP($A514,kurspris!$A$1:$Q$950,8,FALSE)</f>
        <v>0</v>
      </c>
      <c r="AJ514" s="31">
        <f>VLOOKUP($A514,kurspris!$A$1:$Q$950,9,FALSE)</f>
        <v>0</v>
      </c>
      <c r="AK514" s="31">
        <f>VLOOKUP($A514,kurspris!$A$1:$Q$950,10,FALSE)</f>
        <v>0</v>
      </c>
      <c r="AL514" s="31">
        <f>VLOOKUP($A514,kurspris!$A$1:$Q$950,11,FALSE)</f>
        <v>1</v>
      </c>
      <c r="AM514" s="31">
        <f>VLOOKUP($A514,kurspris!$A$1:$Q$950,12,FALSE)</f>
        <v>0</v>
      </c>
      <c r="AN514" s="31">
        <f>VLOOKUP($A514,kurspris!$A$1:$Q$950,13,FALSE)</f>
        <v>0</v>
      </c>
      <c r="AO514" s="31">
        <f>VLOOKUP($A514,kurspris!$A$1:$Q$950,14,FALSE)</f>
        <v>0</v>
      </c>
      <c r="AP514" s="57" t="s">
        <v>2222</v>
      </c>
      <c r="AQ514" s="37"/>
      <c r="AR514" s="31">
        <f t="shared" ref="AR514:AR577" si="246">$Q514*AD514</f>
        <v>0</v>
      </c>
      <c r="AS514" s="219">
        <f t="shared" ref="AS514:AS577" si="247">$S514*AD514</f>
        <v>0</v>
      </c>
      <c r="AT514" s="31">
        <f t="shared" ref="AT514:AT577" si="248">$Q514*AE514</f>
        <v>0</v>
      </c>
      <c r="AU514" s="219">
        <f t="shared" ref="AU514:AU577" si="249">$S514*AE514</f>
        <v>0</v>
      </c>
      <c r="AV514" s="31">
        <f t="shared" ref="AV514:AV577" si="250">$Q514*AF514</f>
        <v>0</v>
      </c>
      <c r="AW514" s="31">
        <f t="shared" ref="AW514:AW577" si="251">$S514*AF514</f>
        <v>0</v>
      </c>
      <c r="AX514" s="31">
        <f t="shared" ref="AX514:AX577" si="252">$Q514*AG514</f>
        <v>0</v>
      </c>
      <c r="AY514" s="219">
        <f t="shared" ref="AY514:AY577" si="253">$S514*AG514</f>
        <v>0</v>
      </c>
      <c r="AZ514" s="196">
        <f t="shared" ref="AZ514:AZ577" si="254">$Q514*AH514</f>
        <v>0</v>
      </c>
      <c r="BA514" s="219">
        <f t="shared" ref="BA514:BA577" si="255">$S514*AH514</f>
        <v>0</v>
      </c>
      <c r="BB514" s="31">
        <f t="shared" ref="BB514:BB577" si="256">$Q514*AI514</f>
        <v>0</v>
      </c>
      <c r="BC514" s="219">
        <f t="shared" ref="BC514:BC577" si="257">$S514*AI514</f>
        <v>0</v>
      </c>
      <c r="BD514" s="31">
        <f t="shared" ref="BD514:BD577" si="258">$Q514*AJ514</f>
        <v>0</v>
      </c>
      <c r="BE514" s="219">
        <f t="shared" ref="BE514:BE577" si="259">$S514*AJ514</f>
        <v>0</v>
      </c>
      <c r="BF514" s="31">
        <f t="shared" ref="BF514:BF577" si="260">$Q514*AK514</f>
        <v>0</v>
      </c>
      <c r="BG514" s="219">
        <f t="shared" ref="BG514:BG577" si="261">$S514*AK514</f>
        <v>0</v>
      </c>
      <c r="BH514" s="31">
        <f t="shared" ref="BH514:BH577" si="262">$Q514*AL514</f>
        <v>3.625</v>
      </c>
      <c r="BI514" s="219">
        <f t="shared" ref="BI514:BI577" si="263">$S514*AL514</f>
        <v>3.0812499999999998</v>
      </c>
      <c r="BJ514" s="31">
        <f t="shared" ref="BJ514:BJ577" si="264">$Q514*AM514</f>
        <v>0</v>
      </c>
      <c r="BK514" s="219">
        <f t="shared" ref="BK514:BK577" si="265">$S514*AM514</f>
        <v>0</v>
      </c>
      <c r="BL514" s="31">
        <f t="shared" ref="BL514:BL577" si="266">$Q514*AN514</f>
        <v>0</v>
      </c>
      <c r="BM514" s="219">
        <f t="shared" ref="BM514:BM577" si="267">$S514*AN514</f>
        <v>0</v>
      </c>
      <c r="BN514" s="31">
        <f t="shared" ref="BN514:BN577" si="268">$Q514*AO514</f>
        <v>0</v>
      </c>
      <c r="BO514" s="219">
        <f t="shared" ref="BO514:BO577" si="269">$S514*AO514</f>
        <v>0</v>
      </c>
    </row>
    <row r="515" spans="1:67" x14ac:dyDescent="0.25">
      <c r="A515" s="31" t="s">
        <v>1255</v>
      </c>
      <c r="B515" s="176" t="str">
        <f>VLOOKUP(A515,kurspris!$A$1:$B$992,2,FALSE)</f>
        <v>Att vara ämneslärare (VFU)</v>
      </c>
      <c r="D515" s="60" t="s">
        <v>482</v>
      </c>
      <c r="E515" s="576" t="s">
        <v>2434</v>
      </c>
      <c r="F515" s="31" t="s">
        <v>2273</v>
      </c>
      <c r="G515" t="s">
        <v>2471</v>
      </c>
      <c r="H515" t="s">
        <v>2335</v>
      </c>
      <c r="J515" s="31" t="s">
        <v>2240</v>
      </c>
      <c r="L515" s="38">
        <v>1</v>
      </c>
      <c r="M515">
        <v>1.5</v>
      </c>
      <c r="P515" s="31">
        <v>1</v>
      </c>
      <c r="Q515" s="196">
        <f t="shared" si="241"/>
        <v>2.5000000000000001E-2</v>
      </c>
      <c r="R515" s="38">
        <v>0.85</v>
      </c>
      <c r="S515" s="280">
        <f t="shared" si="242"/>
        <v>2.1250000000000002E-2</v>
      </c>
      <c r="T515" s="31">
        <f>VLOOKUP(A515,'Ansvar kurs'!$A$1:$C$1123,2,FALSE)</f>
        <v>2180</v>
      </c>
      <c r="U515" s="31" t="str">
        <f>VLOOKUP(T515,Orgenheter!$A$1:$C$166,2,FALSE)</f>
        <v xml:space="preserve">Pedagogik                     </v>
      </c>
      <c r="V515" s="31" t="str">
        <f>VLOOKUP(T515,Orgenheter!$A$1:$C$166,3,FALSE)</f>
        <v>Sam</v>
      </c>
      <c r="W515" s="35" t="str">
        <f>VLOOKUP(D515,Program!$A$1:$B$36,2,FALSE)</f>
        <v>Ämneslärarprogrammet - Gy</v>
      </c>
      <c r="X515" s="40">
        <f>VLOOKUP(A515,kurspris!$A$1:$Q$913,15,FALSE)</f>
        <v>25235</v>
      </c>
      <c r="Y515" s="40">
        <f>VLOOKUP(A515,kurspris!$A$1:$Q$913,16,FALSE)</f>
        <v>27976</v>
      </c>
      <c r="Z515" s="40">
        <f t="shared" si="243"/>
        <v>1225.365</v>
      </c>
      <c r="AA515" s="40">
        <f>VLOOKUP(A515,kurspris!$A$1:$Q$913,17,FALSE)</f>
        <v>3600</v>
      </c>
      <c r="AB515" s="40">
        <f t="shared" si="244"/>
        <v>90</v>
      </c>
      <c r="AC515" s="40">
        <f t="shared" si="245"/>
        <v>1315.365</v>
      </c>
      <c r="AD515" s="31">
        <f>VLOOKUP($A515,kurspris!$A$1:$Q$950,3,FALSE)</f>
        <v>0</v>
      </c>
      <c r="AE515" s="31">
        <f>VLOOKUP($A515,kurspris!$A$1:$Q$950,4,FALSE)</f>
        <v>0</v>
      </c>
      <c r="AF515" s="31">
        <f>VLOOKUP($A515,kurspris!$A$1:$Q$950,5,FALSE)</f>
        <v>0</v>
      </c>
      <c r="AG515" s="31">
        <f>VLOOKUP($A515,kurspris!$A$1:$Q$950,6,FALSE)</f>
        <v>0</v>
      </c>
      <c r="AH515" s="31">
        <f>VLOOKUP($A515,kurspris!$A$1:$Q$950,7,FALSE)</f>
        <v>0</v>
      </c>
      <c r="AI515" s="31">
        <f>VLOOKUP($A515,kurspris!$A$1:$Q$950,8,FALSE)</f>
        <v>0</v>
      </c>
      <c r="AJ515" s="31">
        <f>VLOOKUP($A515,kurspris!$A$1:$Q$950,9,FALSE)</f>
        <v>0</v>
      </c>
      <c r="AK515" s="31">
        <f>VLOOKUP($A515,kurspris!$A$1:$Q$950,10,FALSE)</f>
        <v>0</v>
      </c>
      <c r="AL515" s="31">
        <f>VLOOKUP($A515,kurspris!$A$1:$Q$950,11,FALSE)</f>
        <v>1</v>
      </c>
      <c r="AM515" s="31">
        <f>VLOOKUP($A515,kurspris!$A$1:$Q$950,12,FALSE)</f>
        <v>0</v>
      </c>
      <c r="AN515" s="31">
        <f>VLOOKUP($A515,kurspris!$A$1:$Q$950,13,FALSE)</f>
        <v>0</v>
      </c>
      <c r="AO515" s="31">
        <f>VLOOKUP($A515,kurspris!$A$1:$Q$950,14,FALSE)</f>
        <v>0</v>
      </c>
      <c r="AP515" s="57" t="s">
        <v>2506</v>
      </c>
      <c r="AQ515"/>
      <c r="AR515" s="31">
        <f t="shared" si="246"/>
        <v>0</v>
      </c>
      <c r="AS515" s="219">
        <f t="shared" si="247"/>
        <v>0</v>
      </c>
      <c r="AT515" s="31">
        <f t="shared" si="248"/>
        <v>0</v>
      </c>
      <c r="AU515" s="219">
        <f t="shared" si="249"/>
        <v>0</v>
      </c>
      <c r="AV515" s="31">
        <f t="shared" si="250"/>
        <v>0</v>
      </c>
      <c r="AW515" s="31">
        <f t="shared" si="251"/>
        <v>0</v>
      </c>
      <c r="AX515" s="31">
        <f t="shared" si="252"/>
        <v>0</v>
      </c>
      <c r="AY515" s="219">
        <f t="shared" si="253"/>
        <v>0</v>
      </c>
      <c r="AZ515" s="196">
        <f t="shared" si="254"/>
        <v>0</v>
      </c>
      <c r="BA515" s="219">
        <f t="shared" si="255"/>
        <v>0</v>
      </c>
      <c r="BB515" s="31">
        <f t="shared" si="256"/>
        <v>0</v>
      </c>
      <c r="BC515" s="219">
        <f t="shared" si="257"/>
        <v>0</v>
      </c>
      <c r="BD515" s="31">
        <f t="shared" si="258"/>
        <v>0</v>
      </c>
      <c r="BE515" s="219">
        <f t="shared" si="259"/>
        <v>0</v>
      </c>
      <c r="BF515" s="31">
        <f t="shared" si="260"/>
        <v>0</v>
      </c>
      <c r="BG515" s="219">
        <f t="shared" si="261"/>
        <v>0</v>
      </c>
      <c r="BH515" s="31">
        <f t="shared" si="262"/>
        <v>2.5000000000000001E-2</v>
      </c>
      <c r="BI515" s="219">
        <f t="shared" si="263"/>
        <v>2.1250000000000002E-2</v>
      </c>
      <c r="BJ515" s="31">
        <f t="shared" si="264"/>
        <v>0</v>
      </c>
      <c r="BK515" s="219">
        <f t="shared" si="265"/>
        <v>0</v>
      </c>
      <c r="BL515" s="31">
        <f t="shared" si="266"/>
        <v>0</v>
      </c>
      <c r="BM515" s="219">
        <f t="shared" si="267"/>
        <v>0</v>
      </c>
      <c r="BN515" s="31">
        <f t="shared" si="268"/>
        <v>0</v>
      </c>
      <c r="BO515" s="219">
        <f t="shared" si="269"/>
        <v>0</v>
      </c>
    </row>
    <row r="516" spans="1:67" x14ac:dyDescent="0.25">
      <c r="A516" s="244" t="s">
        <v>1252</v>
      </c>
      <c r="B516" s="362" t="str">
        <f>VLOOKUP(A516,kurspris!$A$1:$B$992,2,FALSE)</f>
        <v>Lärande och undervisning</v>
      </c>
      <c r="C516" s="244"/>
      <c r="D516" s="538" t="s">
        <v>2330</v>
      </c>
      <c r="E516" s="538" t="s">
        <v>2203</v>
      </c>
      <c r="F516" s="244" t="s">
        <v>2273</v>
      </c>
      <c r="G516" s="244"/>
      <c r="H516" s="244">
        <v>2480</v>
      </c>
      <c r="I516" s="244"/>
      <c r="J516" s="244"/>
      <c r="K516" s="244"/>
      <c r="L516" s="518"/>
      <c r="M516" s="325">
        <v>7.5</v>
      </c>
      <c r="P516" s="31">
        <v>145</v>
      </c>
      <c r="Q516" s="196">
        <f t="shared" si="241"/>
        <v>18.125</v>
      </c>
      <c r="R516" s="38">
        <v>0.85</v>
      </c>
      <c r="S516" s="280">
        <f t="shared" si="242"/>
        <v>15.40625</v>
      </c>
      <c r="T516" s="31">
        <f>VLOOKUP(A516,'Ansvar kurs'!$A$1:$C$1123,2,FALSE)</f>
        <v>2180</v>
      </c>
      <c r="U516" s="31" t="str">
        <f>VLOOKUP(T516,Orgenheter!$A$1:$C$166,2,FALSE)</f>
        <v xml:space="preserve">Pedagogik                     </v>
      </c>
      <c r="V516" s="31" t="str">
        <f>VLOOKUP(T516,Orgenheter!$A$1:$C$166,3,FALSE)</f>
        <v>Sam</v>
      </c>
      <c r="W516" s="35" t="str">
        <f>VLOOKUP(D516,Program!$A$1:$B$36,2,FALSE)</f>
        <v>Ämneslärarprogrammet - Gy</v>
      </c>
      <c r="X516" s="40">
        <f>VLOOKUP(A516,kurspris!$A$1:$Q$913,15,FALSE)</f>
        <v>26554</v>
      </c>
      <c r="Y516" s="40">
        <f>VLOOKUP(A516,kurspris!$A$1:$Q$913,16,FALSE)</f>
        <v>33465</v>
      </c>
      <c r="Z516" s="40">
        <f t="shared" si="243"/>
        <v>996861.40625</v>
      </c>
      <c r="AA516" s="40">
        <f>VLOOKUP(A516,kurspris!$A$1:$Q$913,17,FALSE)</f>
        <v>6000</v>
      </c>
      <c r="AB516" s="40">
        <f t="shared" si="244"/>
        <v>108750</v>
      </c>
      <c r="AC516" s="40">
        <f t="shared" si="245"/>
        <v>1105611.40625</v>
      </c>
      <c r="AD516" s="31">
        <f>VLOOKUP($A516,kurspris!$A$1:$Q$950,3,FALSE)</f>
        <v>0</v>
      </c>
      <c r="AE516" s="31">
        <f>VLOOKUP($A516,kurspris!$A$1:$Q$950,4,FALSE)</f>
        <v>0</v>
      </c>
      <c r="AF516" s="31">
        <f>VLOOKUP($A516,kurspris!$A$1:$Q$950,5,FALSE)</f>
        <v>0</v>
      </c>
      <c r="AG516" s="31">
        <f>VLOOKUP($A516,kurspris!$A$1:$Q$950,6,FALSE)</f>
        <v>1</v>
      </c>
      <c r="AH516" s="31">
        <f>VLOOKUP($A516,kurspris!$A$1:$Q$950,7,FALSE)</f>
        <v>0</v>
      </c>
      <c r="AI516" s="31">
        <f>VLOOKUP($A516,kurspris!$A$1:$Q$950,8,FALSE)</f>
        <v>0</v>
      </c>
      <c r="AJ516" s="31">
        <f>VLOOKUP($A516,kurspris!$A$1:$Q$950,9,FALSE)</f>
        <v>0</v>
      </c>
      <c r="AK516" s="31">
        <f>VLOOKUP($A516,kurspris!$A$1:$Q$950,10,FALSE)</f>
        <v>0</v>
      </c>
      <c r="AL516" s="31">
        <f>VLOOKUP($A516,kurspris!$A$1:$Q$950,11,FALSE)</f>
        <v>0</v>
      </c>
      <c r="AM516" s="31">
        <f>VLOOKUP($A516,kurspris!$A$1:$Q$950,12,FALSE)</f>
        <v>0</v>
      </c>
      <c r="AN516" s="31">
        <f>VLOOKUP($A516,kurspris!$A$1:$Q$950,13,FALSE)</f>
        <v>0</v>
      </c>
      <c r="AO516" s="31">
        <f>VLOOKUP($A516,kurspris!$A$1:$Q$950,14,FALSE)</f>
        <v>0</v>
      </c>
      <c r="AP516" s="57" t="s">
        <v>2222</v>
      </c>
      <c r="AQ516"/>
      <c r="AR516" s="31">
        <f t="shared" si="246"/>
        <v>0</v>
      </c>
      <c r="AS516" s="219">
        <f t="shared" si="247"/>
        <v>0</v>
      </c>
      <c r="AT516" s="31">
        <f t="shared" si="248"/>
        <v>0</v>
      </c>
      <c r="AU516" s="219">
        <f t="shared" si="249"/>
        <v>0</v>
      </c>
      <c r="AV516" s="31">
        <f t="shared" si="250"/>
        <v>0</v>
      </c>
      <c r="AW516" s="31">
        <f t="shared" si="251"/>
        <v>0</v>
      </c>
      <c r="AX516" s="31">
        <f t="shared" si="252"/>
        <v>18.125</v>
      </c>
      <c r="AY516" s="219">
        <f t="shared" si="253"/>
        <v>15.40625</v>
      </c>
      <c r="AZ516" s="196">
        <f t="shared" si="254"/>
        <v>0</v>
      </c>
      <c r="BA516" s="219">
        <f t="shared" si="255"/>
        <v>0</v>
      </c>
      <c r="BB516" s="31">
        <f t="shared" si="256"/>
        <v>0</v>
      </c>
      <c r="BC516" s="219">
        <f t="shared" si="257"/>
        <v>0</v>
      </c>
      <c r="BD516" s="31">
        <f t="shared" si="258"/>
        <v>0</v>
      </c>
      <c r="BE516" s="219">
        <f t="shared" si="259"/>
        <v>0</v>
      </c>
      <c r="BF516" s="31">
        <f t="shared" si="260"/>
        <v>0</v>
      </c>
      <c r="BG516" s="219">
        <f t="shared" si="261"/>
        <v>0</v>
      </c>
      <c r="BH516" s="31">
        <f t="shared" si="262"/>
        <v>0</v>
      </c>
      <c r="BI516" s="219">
        <f t="shared" si="263"/>
        <v>0</v>
      </c>
      <c r="BJ516" s="31">
        <f t="shared" si="264"/>
        <v>0</v>
      </c>
      <c r="BK516" s="219">
        <f t="shared" si="265"/>
        <v>0</v>
      </c>
      <c r="BL516" s="31">
        <f t="shared" si="266"/>
        <v>0</v>
      </c>
      <c r="BM516" s="219">
        <f t="shared" si="267"/>
        <v>0</v>
      </c>
      <c r="BN516" s="31">
        <f t="shared" si="268"/>
        <v>0</v>
      </c>
      <c r="BO516" s="219">
        <f t="shared" si="269"/>
        <v>0</v>
      </c>
    </row>
    <row r="517" spans="1:67" x14ac:dyDescent="0.25">
      <c r="A517" s="157" t="s">
        <v>1252</v>
      </c>
      <c r="B517" s="176" t="str">
        <f>VLOOKUP(A517,kurspris!$A$1:$B$992,2,FALSE)</f>
        <v>Lärande och undervisning</v>
      </c>
      <c r="D517" s="60" t="s">
        <v>483</v>
      </c>
      <c r="E517" s="576" t="s">
        <v>2432</v>
      </c>
      <c r="F517" s="31" t="s">
        <v>2273</v>
      </c>
      <c r="G517" s="31" t="s">
        <v>2441</v>
      </c>
      <c r="H517" t="s">
        <v>2335</v>
      </c>
      <c r="I517" s="31" t="s">
        <v>2276</v>
      </c>
      <c r="L517" s="38">
        <v>1</v>
      </c>
      <c r="M517" s="325">
        <v>7.5</v>
      </c>
      <c r="P517" s="31">
        <v>1</v>
      </c>
      <c r="Q517" s="196">
        <f t="shared" si="241"/>
        <v>0.125</v>
      </c>
      <c r="R517" s="38">
        <v>0.85</v>
      </c>
      <c r="S517" s="280">
        <f t="shared" si="242"/>
        <v>0.10625</v>
      </c>
      <c r="T517" s="31">
        <f>VLOOKUP(A517,'Ansvar kurs'!$A$1:$C$1123,2,FALSE)</f>
        <v>2180</v>
      </c>
      <c r="U517" s="31" t="str">
        <f>VLOOKUP(T517,Orgenheter!$A$1:$C$166,2,FALSE)</f>
        <v xml:space="preserve">Pedagogik                     </v>
      </c>
      <c r="V517" s="31" t="str">
        <f>VLOOKUP(T517,Orgenheter!$A$1:$C$166,3,FALSE)</f>
        <v>Sam</v>
      </c>
      <c r="W517" s="35" t="str">
        <f>VLOOKUP(D517,Program!$A$1:$B$36,2,FALSE)</f>
        <v>Förskollärarprogrammet</v>
      </c>
      <c r="X517" s="40">
        <f>VLOOKUP(A517,kurspris!$A$1:$Q$913,15,FALSE)</f>
        <v>26554</v>
      </c>
      <c r="Y517" s="40">
        <f>VLOOKUP(A517,kurspris!$A$1:$Q$913,16,FALSE)</f>
        <v>33465</v>
      </c>
      <c r="Z517" s="40">
        <f t="shared" si="243"/>
        <v>6874.90625</v>
      </c>
      <c r="AA517" s="40">
        <f>VLOOKUP(A517,kurspris!$A$1:$Q$913,17,FALSE)</f>
        <v>6000</v>
      </c>
      <c r="AB517" s="40">
        <f t="shared" si="244"/>
        <v>750</v>
      </c>
      <c r="AC517" s="40">
        <f t="shared" si="245"/>
        <v>7624.90625</v>
      </c>
      <c r="AD517" s="31">
        <f>VLOOKUP($A517,kurspris!$A$1:$Q$950,3,FALSE)</f>
        <v>0</v>
      </c>
      <c r="AE517" s="31">
        <f>VLOOKUP($A517,kurspris!$A$1:$Q$950,4,FALSE)</f>
        <v>0</v>
      </c>
      <c r="AF517" s="31">
        <f>VLOOKUP($A517,kurspris!$A$1:$Q$950,5,FALSE)</f>
        <v>0</v>
      </c>
      <c r="AG517" s="31">
        <f>VLOOKUP($A517,kurspris!$A$1:$Q$950,6,FALSE)</f>
        <v>1</v>
      </c>
      <c r="AH517" s="31">
        <f>VLOOKUP($A517,kurspris!$A$1:$Q$950,7,FALSE)</f>
        <v>0</v>
      </c>
      <c r="AI517" s="31">
        <f>VLOOKUP($A517,kurspris!$A$1:$Q$950,8,FALSE)</f>
        <v>0</v>
      </c>
      <c r="AJ517" s="31">
        <f>VLOOKUP($A517,kurspris!$A$1:$Q$950,9,FALSE)</f>
        <v>0</v>
      </c>
      <c r="AK517" s="31">
        <f>VLOOKUP($A517,kurspris!$A$1:$Q$950,10,FALSE)</f>
        <v>0</v>
      </c>
      <c r="AL517" s="31">
        <f>VLOOKUP($A517,kurspris!$A$1:$Q$950,11,FALSE)</f>
        <v>0</v>
      </c>
      <c r="AM517" s="31">
        <f>VLOOKUP($A517,kurspris!$A$1:$Q$950,12,FALSE)</f>
        <v>0</v>
      </c>
      <c r="AN517" s="31">
        <f>VLOOKUP($A517,kurspris!$A$1:$Q$950,13,FALSE)</f>
        <v>0</v>
      </c>
      <c r="AO517" s="31">
        <f>VLOOKUP($A517,kurspris!$A$1:$Q$950,14,FALSE)</f>
        <v>0</v>
      </c>
      <c r="AP517" s="57" t="s">
        <v>2506</v>
      </c>
      <c r="AQ517"/>
      <c r="AR517" s="31">
        <f t="shared" si="246"/>
        <v>0</v>
      </c>
      <c r="AS517" s="219">
        <f t="shared" si="247"/>
        <v>0</v>
      </c>
      <c r="AT517" s="31">
        <f t="shared" si="248"/>
        <v>0</v>
      </c>
      <c r="AU517" s="219">
        <f t="shared" si="249"/>
        <v>0</v>
      </c>
      <c r="AV517" s="31">
        <f t="shared" si="250"/>
        <v>0</v>
      </c>
      <c r="AW517" s="31">
        <f t="shared" si="251"/>
        <v>0</v>
      </c>
      <c r="AX517" s="31">
        <f t="shared" si="252"/>
        <v>0.125</v>
      </c>
      <c r="AY517" s="219">
        <f t="shared" si="253"/>
        <v>0.10625</v>
      </c>
      <c r="AZ517" s="196">
        <f t="shared" si="254"/>
        <v>0</v>
      </c>
      <c r="BA517" s="219">
        <f t="shared" si="255"/>
        <v>0</v>
      </c>
      <c r="BB517" s="31">
        <f t="shared" si="256"/>
        <v>0</v>
      </c>
      <c r="BC517" s="219">
        <f t="shared" si="257"/>
        <v>0</v>
      </c>
      <c r="BD517" s="31">
        <f t="shared" si="258"/>
        <v>0</v>
      </c>
      <c r="BE517" s="219">
        <f t="shared" si="259"/>
        <v>0</v>
      </c>
      <c r="BF517" s="31">
        <f t="shared" si="260"/>
        <v>0</v>
      </c>
      <c r="BG517" s="219">
        <f t="shared" si="261"/>
        <v>0</v>
      </c>
      <c r="BH517" s="31">
        <f t="shared" si="262"/>
        <v>0</v>
      </c>
      <c r="BI517" s="219">
        <f t="shared" si="263"/>
        <v>0</v>
      </c>
      <c r="BJ517" s="31">
        <f t="shared" si="264"/>
        <v>0</v>
      </c>
      <c r="BK517" s="219">
        <f t="shared" si="265"/>
        <v>0</v>
      </c>
      <c r="BL517" s="31">
        <f t="shared" si="266"/>
        <v>0</v>
      </c>
      <c r="BM517" s="219">
        <f t="shared" si="267"/>
        <v>0</v>
      </c>
      <c r="BN517" s="31">
        <f t="shared" si="268"/>
        <v>0</v>
      </c>
      <c r="BO517" s="219">
        <f t="shared" si="269"/>
        <v>0</v>
      </c>
    </row>
    <row r="518" spans="1:67" x14ac:dyDescent="0.25">
      <c r="A518" s="283" t="s">
        <v>1252</v>
      </c>
      <c r="B518" s="362" t="str">
        <f>VLOOKUP(A518,kurspris!$A$1:$B$992,2,FALSE)</f>
        <v>Lärande och undervisning</v>
      </c>
      <c r="C518" s="244"/>
      <c r="D518" s="538" t="s">
        <v>483</v>
      </c>
      <c r="E518" s="538" t="s">
        <v>2203</v>
      </c>
      <c r="F518" s="244" t="s">
        <v>2273</v>
      </c>
      <c r="G518" s="244"/>
      <c r="H518" s="244">
        <v>2480</v>
      </c>
      <c r="I518" s="244"/>
      <c r="J518" s="244"/>
      <c r="K518" s="244"/>
      <c r="L518" s="518"/>
      <c r="M518" s="325">
        <v>7.5</v>
      </c>
      <c r="N518" s="38">
        <v>-0.08</v>
      </c>
      <c r="O518" s="31">
        <v>53</v>
      </c>
      <c r="P518" s="31">
        <f>O518+(O518*N518)</f>
        <v>48.76</v>
      </c>
      <c r="Q518" s="196">
        <f t="shared" si="241"/>
        <v>6.0949999999999998</v>
      </c>
      <c r="R518" s="38">
        <v>0.85</v>
      </c>
      <c r="S518" s="280">
        <f t="shared" si="242"/>
        <v>5.1807499999999997</v>
      </c>
      <c r="T518" s="31">
        <f>VLOOKUP(A518,'Ansvar kurs'!$A$1:$C$1123,2,FALSE)</f>
        <v>2180</v>
      </c>
      <c r="U518" s="31" t="str">
        <f>VLOOKUP(T518,Orgenheter!$A$1:$C$166,2,FALSE)</f>
        <v xml:space="preserve">Pedagogik                     </v>
      </c>
      <c r="V518" s="31" t="str">
        <f>VLOOKUP(T518,Orgenheter!$A$1:$C$166,3,FALSE)</f>
        <v>Sam</v>
      </c>
      <c r="W518" s="35" t="str">
        <f>VLOOKUP(D518,Program!$A$1:$B$36,2,FALSE)</f>
        <v>Förskollärarprogrammet</v>
      </c>
      <c r="X518" s="40">
        <f>VLOOKUP(A518,kurspris!$A$1:$Q$913,15,FALSE)</f>
        <v>26554</v>
      </c>
      <c r="Y518" s="40">
        <f>VLOOKUP(A518,kurspris!$A$1:$Q$913,16,FALSE)</f>
        <v>33465</v>
      </c>
      <c r="Z518" s="40">
        <f t="shared" si="243"/>
        <v>335220.42874999996</v>
      </c>
      <c r="AA518" s="40">
        <f>VLOOKUP(A518,kurspris!$A$1:$Q$913,17,FALSE)</f>
        <v>6000</v>
      </c>
      <c r="AB518" s="40">
        <f t="shared" si="244"/>
        <v>36570</v>
      </c>
      <c r="AC518" s="40">
        <f t="shared" si="245"/>
        <v>371790.42874999996</v>
      </c>
      <c r="AD518" s="31">
        <f>VLOOKUP($A518,kurspris!$A$1:$Q$950,3,FALSE)</f>
        <v>0</v>
      </c>
      <c r="AE518" s="31">
        <f>VLOOKUP($A518,kurspris!$A$1:$Q$950,4,FALSE)</f>
        <v>0</v>
      </c>
      <c r="AF518" s="31">
        <f>VLOOKUP($A518,kurspris!$A$1:$Q$950,5,FALSE)</f>
        <v>0</v>
      </c>
      <c r="AG518" s="31">
        <f>VLOOKUP($A518,kurspris!$A$1:$Q$950,6,FALSE)</f>
        <v>1</v>
      </c>
      <c r="AH518" s="31">
        <f>VLOOKUP($A518,kurspris!$A$1:$Q$950,7,FALSE)</f>
        <v>0</v>
      </c>
      <c r="AI518" s="31">
        <f>VLOOKUP($A518,kurspris!$A$1:$Q$950,8,FALSE)</f>
        <v>0</v>
      </c>
      <c r="AJ518" s="31">
        <f>VLOOKUP($A518,kurspris!$A$1:$Q$950,9,FALSE)</f>
        <v>0</v>
      </c>
      <c r="AK518" s="31">
        <f>VLOOKUP($A518,kurspris!$A$1:$Q$950,10,FALSE)</f>
        <v>0</v>
      </c>
      <c r="AL518" s="31">
        <f>VLOOKUP($A518,kurspris!$A$1:$Q$950,11,FALSE)</f>
        <v>0</v>
      </c>
      <c r="AM518" s="31">
        <f>VLOOKUP($A518,kurspris!$A$1:$Q$950,12,FALSE)</f>
        <v>0</v>
      </c>
      <c r="AN518" s="31">
        <f>VLOOKUP($A518,kurspris!$A$1:$Q$950,13,FALSE)</f>
        <v>0</v>
      </c>
      <c r="AO518" s="31">
        <f>VLOOKUP($A518,kurspris!$A$1:$Q$950,14,FALSE)</f>
        <v>0</v>
      </c>
      <c r="AP518" s="57" t="s">
        <v>2222</v>
      </c>
      <c r="AQ518"/>
      <c r="AR518" s="31">
        <f t="shared" si="246"/>
        <v>0</v>
      </c>
      <c r="AS518" s="219">
        <f t="shared" si="247"/>
        <v>0</v>
      </c>
      <c r="AT518" s="31">
        <f t="shared" si="248"/>
        <v>0</v>
      </c>
      <c r="AU518" s="219">
        <f t="shared" si="249"/>
        <v>0</v>
      </c>
      <c r="AV518" s="31">
        <f t="shared" si="250"/>
        <v>0</v>
      </c>
      <c r="AW518" s="31">
        <f t="shared" si="251"/>
        <v>0</v>
      </c>
      <c r="AX518" s="31">
        <f t="shared" si="252"/>
        <v>6.0949999999999998</v>
      </c>
      <c r="AY518" s="219">
        <f t="shared" si="253"/>
        <v>5.1807499999999997</v>
      </c>
      <c r="AZ518" s="196">
        <f t="shared" si="254"/>
        <v>0</v>
      </c>
      <c r="BA518" s="219">
        <f t="shared" si="255"/>
        <v>0</v>
      </c>
      <c r="BB518" s="31">
        <f t="shared" si="256"/>
        <v>0</v>
      </c>
      <c r="BC518" s="219">
        <f t="shared" si="257"/>
        <v>0</v>
      </c>
      <c r="BD518" s="31">
        <f t="shared" si="258"/>
        <v>0</v>
      </c>
      <c r="BE518" s="219">
        <f t="shared" si="259"/>
        <v>0</v>
      </c>
      <c r="BF518" s="31">
        <f t="shared" si="260"/>
        <v>0</v>
      </c>
      <c r="BG518" s="219">
        <f t="shared" si="261"/>
        <v>0</v>
      </c>
      <c r="BH518" s="31">
        <f t="shared" si="262"/>
        <v>0</v>
      </c>
      <c r="BI518" s="219">
        <f t="shared" si="263"/>
        <v>0</v>
      </c>
      <c r="BJ518" s="31">
        <f t="shared" si="264"/>
        <v>0</v>
      </c>
      <c r="BK518" s="219">
        <f t="shared" si="265"/>
        <v>0</v>
      </c>
      <c r="BL518" s="31">
        <f t="shared" si="266"/>
        <v>0</v>
      </c>
      <c r="BM518" s="219">
        <f t="shared" si="267"/>
        <v>0</v>
      </c>
      <c r="BN518" s="31">
        <f t="shared" si="268"/>
        <v>0</v>
      </c>
      <c r="BO518" s="219">
        <f t="shared" si="269"/>
        <v>0</v>
      </c>
    </row>
    <row r="519" spans="1:67" x14ac:dyDescent="0.25">
      <c r="A519" s="31" t="s">
        <v>1252</v>
      </c>
      <c r="B519" s="176" t="str">
        <f>VLOOKUP(A519,kurspris!$A$1:$B$992,2,FALSE)</f>
        <v>Lärande och undervisning</v>
      </c>
      <c r="D519" s="60" t="s">
        <v>483</v>
      </c>
      <c r="E519" s="576" t="s">
        <v>2433</v>
      </c>
      <c r="F519" s="31" t="s">
        <v>2273</v>
      </c>
      <c r="G519" t="s">
        <v>2441</v>
      </c>
      <c r="H519" t="s">
        <v>2335</v>
      </c>
      <c r="I519" s="31" t="s">
        <v>2276</v>
      </c>
      <c r="L519" s="38">
        <v>1</v>
      </c>
      <c r="M519">
        <v>7.5</v>
      </c>
      <c r="P519" s="31">
        <v>2</v>
      </c>
      <c r="Q519" s="196">
        <f t="shared" si="241"/>
        <v>0.25</v>
      </c>
      <c r="R519" s="38">
        <v>0.85</v>
      </c>
      <c r="S519" s="280">
        <f t="shared" si="242"/>
        <v>0.21249999999999999</v>
      </c>
      <c r="T519" s="31">
        <f>VLOOKUP(A519,'Ansvar kurs'!$A$1:$C$1123,2,FALSE)</f>
        <v>2180</v>
      </c>
      <c r="U519" s="31" t="str">
        <f>VLOOKUP(T519,Orgenheter!$A$1:$C$166,2,FALSE)</f>
        <v xml:space="preserve">Pedagogik                     </v>
      </c>
      <c r="V519" s="31" t="str">
        <f>VLOOKUP(T519,Orgenheter!$A$1:$C$166,3,FALSE)</f>
        <v>Sam</v>
      </c>
      <c r="W519" s="35" t="str">
        <f>VLOOKUP(D519,Program!$A$1:$B$36,2,FALSE)</f>
        <v>Förskollärarprogrammet</v>
      </c>
      <c r="X519" s="40">
        <f>VLOOKUP(A519,kurspris!$A$1:$Q$913,15,FALSE)</f>
        <v>26554</v>
      </c>
      <c r="Y519" s="40">
        <f>VLOOKUP(A519,kurspris!$A$1:$Q$913,16,FALSE)</f>
        <v>33465</v>
      </c>
      <c r="Z519" s="40">
        <f t="shared" si="243"/>
        <v>13749.8125</v>
      </c>
      <c r="AA519" s="40">
        <f>VLOOKUP(A519,kurspris!$A$1:$Q$913,17,FALSE)</f>
        <v>6000</v>
      </c>
      <c r="AB519" s="40">
        <f t="shared" si="244"/>
        <v>1500</v>
      </c>
      <c r="AC519" s="40">
        <f t="shared" si="245"/>
        <v>15249.8125</v>
      </c>
      <c r="AD519" s="31">
        <f>VLOOKUP($A519,kurspris!$A$1:$Q$950,3,FALSE)</f>
        <v>0</v>
      </c>
      <c r="AE519" s="31">
        <f>VLOOKUP($A519,kurspris!$A$1:$Q$950,4,FALSE)</f>
        <v>0</v>
      </c>
      <c r="AF519" s="31">
        <f>VLOOKUP($A519,kurspris!$A$1:$Q$950,5,FALSE)</f>
        <v>0</v>
      </c>
      <c r="AG519" s="31">
        <f>VLOOKUP($A519,kurspris!$A$1:$Q$950,6,FALSE)</f>
        <v>1</v>
      </c>
      <c r="AH519" s="31">
        <f>VLOOKUP($A519,kurspris!$A$1:$Q$950,7,FALSE)</f>
        <v>0</v>
      </c>
      <c r="AI519" s="31">
        <f>VLOOKUP($A519,kurspris!$A$1:$Q$950,8,FALSE)</f>
        <v>0</v>
      </c>
      <c r="AJ519" s="31">
        <f>VLOOKUP($A519,kurspris!$A$1:$Q$950,9,FALSE)</f>
        <v>0</v>
      </c>
      <c r="AK519" s="31">
        <f>VLOOKUP($A519,kurspris!$A$1:$Q$950,10,FALSE)</f>
        <v>0</v>
      </c>
      <c r="AL519" s="31">
        <f>VLOOKUP($A519,kurspris!$A$1:$Q$950,11,FALSE)</f>
        <v>0</v>
      </c>
      <c r="AM519" s="31">
        <f>VLOOKUP($A519,kurspris!$A$1:$Q$950,12,FALSE)</f>
        <v>0</v>
      </c>
      <c r="AN519" s="31">
        <f>VLOOKUP($A519,kurspris!$A$1:$Q$950,13,FALSE)</f>
        <v>0</v>
      </c>
      <c r="AO519" s="31">
        <f>VLOOKUP($A519,kurspris!$A$1:$Q$950,14,FALSE)</f>
        <v>0</v>
      </c>
      <c r="AP519" s="57" t="s">
        <v>2506</v>
      </c>
      <c r="AQ519"/>
      <c r="AR519" s="31">
        <f t="shared" si="246"/>
        <v>0</v>
      </c>
      <c r="AS519" s="219">
        <f t="shared" si="247"/>
        <v>0</v>
      </c>
      <c r="AT519" s="31">
        <f t="shared" si="248"/>
        <v>0</v>
      </c>
      <c r="AU519" s="219">
        <f t="shared" si="249"/>
        <v>0</v>
      </c>
      <c r="AV519" s="31">
        <f t="shared" si="250"/>
        <v>0</v>
      </c>
      <c r="AW519" s="31">
        <f t="shared" si="251"/>
        <v>0</v>
      </c>
      <c r="AX519" s="31">
        <f t="shared" si="252"/>
        <v>0.25</v>
      </c>
      <c r="AY519" s="219">
        <f t="shared" si="253"/>
        <v>0.21249999999999999</v>
      </c>
      <c r="AZ519" s="196">
        <f t="shared" si="254"/>
        <v>0</v>
      </c>
      <c r="BA519" s="219">
        <f t="shared" si="255"/>
        <v>0</v>
      </c>
      <c r="BB519" s="31">
        <f t="shared" si="256"/>
        <v>0</v>
      </c>
      <c r="BC519" s="219">
        <f t="shared" si="257"/>
        <v>0</v>
      </c>
      <c r="BD519" s="31">
        <f t="shared" si="258"/>
        <v>0</v>
      </c>
      <c r="BE519" s="219">
        <f t="shared" si="259"/>
        <v>0</v>
      </c>
      <c r="BF519" s="31">
        <f t="shared" si="260"/>
        <v>0</v>
      </c>
      <c r="BG519" s="219">
        <f t="shared" si="261"/>
        <v>0</v>
      </c>
      <c r="BH519" s="31">
        <f t="shared" si="262"/>
        <v>0</v>
      </c>
      <c r="BI519" s="219">
        <f t="shared" si="263"/>
        <v>0</v>
      </c>
      <c r="BJ519" s="31">
        <f t="shared" si="264"/>
        <v>0</v>
      </c>
      <c r="BK519" s="219">
        <f t="shared" si="265"/>
        <v>0</v>
      </c>
      <c r="BL519" s="31">
        <f t="shared" si="266"/>
        <v>0</v>
      </c>
      <c r="BM519" s="219">
        <f t="shared" si="267"/>
        <v>0</v>
      </c>
      <c r="BN519" s="31">
        <f t="shared" si="268"/>
        <v>0</v>
      </c>
      <c r="BO519" s="219">
        <f t="shared" si="269"/>
        <v>0</v>
      </c>
    </row>
    <row r="520" spans="1:67" x14ac:dyDescent="0.25">
      <c r="A520" s="31" t="s">
        <v>1252</v>
      </c>
      <c r="B520" s="176" t="str">
        <f>VLOOKUP(A520,kurspris!$A$1:$B$992,2,FALSE)</f>
        <v>Lärande och undervisning</v>
      </c>
      <c r="C520" s="31">
        <v>64501</v>
      </c>
      <c r="D520" s="60" t="s">
        <v>483</v>
      </c>
      <c r="E520" s="60"/>
      <c r="F520" s="57" t="s">
        <v>2274</v>
      </c>
      <c r="H520" s="31" t="s">
        <v>2335</v>
      </c>
      <c r="I520" s="31" t="s">
        <v>2399</v>
      </c>
      <c r="L520" s="38"/>
      <c r="M520">
        <v>7.5</v>
      </c>
      <c r="P520" s="31">
        <v>29</v>
      </c>
      <c r="Q520" s="539">
        <v>3.625</v>
      </c>
      <c r="R520" s="38">
        <v>0.85</v>
      </c>
      <c r="S520" s="280">
        <f t="shared" si="242"/>
        <v>3.0812499999999998</v>
      </c>
      <c r="T520" s="31">
        <f>VLOOKUP(A520,'Ansvar kurs'!$A$1:$C$1123,2,FALSE)</f>
        <v>2180</v>
      </c>
      <c r="U520" s="31" t="str">
        <f>VLOOKUP(T520,Orgenheter!$A$1:$C$166,2,FALSE)</f>
        <v xml:space="preserve">Pedagogik                     </v>
      </c>
      <c r="V520" s="31" t="str">
        <f>VLOOKUP(T520,Orgenheter!$A$1:$C$166,3,FALSE)</f>
        <v>Sam</v>
      </c>
      <c r="W520" s="35" t="str">
        <f>VLOOKUP(D520,Program!$A$1:$B$36,2,FALSE)</f>
        <v>Förskollärarprogrammet</v>
      </c>
      <c r="X520" s="40">
        <f>VLOOKUP(A520,kurspris!$A$1:$Q$913,15,FALSE)</f>
        <v>26554</v>
      </c>
      <c r="Y520" s="40">
        <f>VLOOKUP(A520,kurspris!$A$1:$Q$913,16,FALSE)</f>
        <v>33465</v>
      </c>
      <c r="Z520" s="40">
        <f t="shared" si="243"/>
        <v>199372.28125</v>
      </c>
      <c r="AA520" s="40">
        <f>VLOOKUP(A520,kurspris!$A$1:$Q$913,17,FALSE)</f>
        <v>6000</v>
      </c>
      <c r="AB520" s="40">
        <f t="shared" si="244"/>
        <v>21750</v>
      </c>
      <c r="AC520" s="40">
        <f t="shared" si="245"/>
        <v>221122.28125</v>
      </c>
      <c r="AD520" s="31">
        <f>VLOOKUP($A520,kurspris!$A$1:$Q$950,3,FALSE)</f>
        <v>0</v>
      </c>
      <c r="AE520" s="31">
        <f>VLOOKUP($A520,kurspris!$A$1:$Q$950,4,FALSE)</f>
        <v>0</v>
      </c>
      <c r="AF520" s="31">
        <f>VLOOKUP($A520,kurspris!$A$1:$Q$950,5,FALSE)</f>
        <v>0</v>
      </c>
      <c r="AG520" s="31">
        <f>VLOOKUP($A520,kurspris!$A$1:$Q$950,6,FALSE)</f>
        <v>1</v>
      </c>
      <c r="AH520" s="31">
        <f>VLOOKUP($A520,kurspris!$A$1:$Q$950,7,FALSE)</f>
        <v>0</v>
      </c>
      <c r="AI520" s="31">
        <f>VLOOKUP($A520,kurspris!$A$1:$Q$950,8,FALSE)</f>
        <v>0</v>
      </c>
      <c r="AJ520" s="31">
        <f>VLOOKUP($A520,kurspris!$A$1:$Q$950,9,FALSE)</f>
        <v>0</v>
      </c>
      <c r="AK520" s="31">
        <f>VLOOKUP($A520,kurspris!$A$1:$Q$950,10,FALSE)</f>
        <v>0</v>
      </c>
      <c r="AL520" s="31">
        <f>VLOOKUP($A520,kurspris!$A$1:$Q$950,11,FALSE)</f>
        <v>0</v>
      </c>
      <c r="AM520" s="31">
        <f>VLOOKUP($A520,kurspris!$A$1:$Q$950,12,FALSE)</f>
        <v>0</v>
      </c>
      <c r="AN520" s="31">
        <f>VLOOKUP($A520,kurspris!$A$1:$Q$950,13,FALSE)</f>
        <v>0</v>
      </c>
      <c r="AO520" s="31">
        <f>VLOOKUP($A520,kurspris!$A$1:$Q$950,14,FALSE)</f>
        <v>0</v>
      </c>
      <c r="AP520" s="57" t="s">
        <v>2402</v>
      </c>
      <c r="AQ520"/>
      <c r="AR520" s="31">
        <f t="shared" si="246"/>
        <v>0</v>
      </c>
      <c r="AS520" s="219">
        <f t="shared" si="247"/>
        <v>0</v>
      </c>
      <c r="AT520" s="31">
        <f t="shared" si="248"/>
        <v>0</v>
      </c>
      <c r="AU520" s="219">
        <f t="shared" si="249"/>
        <v>0</v>
      </c>
      <c r="AV520" s="31">
        <f t="shared" si="250"/>
        <v>0</v>
      </c>
      <c r="AW520" s="31">
        <f t="shared" si="251"/>
        <v>0</v>
      </c>
      <c r="AX520" s="31">
        <f t="shared" si="252"/>
        <v>3.625</v>
      </c>
      <c r="AY520" s="219">
        <f t="shared" si="253"/>
        <v>3.0812499999999998</v>
      </c>
      <c r="AZ520" s="196">
        <f t="shared" si="254"/>
        <v>0</v>
      </c>
      <c r="BA520" s="219">
        <f t="shared" si="255"/>
        <v>0</v>
      </c>
      <c r="BB520" s="31">
        <f t="shared" si="256"/>
        <v>0</v>
      </c>
      <c r="BC520" s="219">
        <f t="shared" si="257"/>
        <v>0</v>
      </c>
      <c r="BD520" s="31">
        <f t="shared" si="258"/>
        <v>0</v>
      </c>
      <c r="BE520" s="219">
        <f t="shared" si="259"/>
        <v>0</v>
      </c>
      <c r="BF520" s="31">
        <f t="shared" si="260"/>
        <v>0</v>
      </c>
      <c r="BG520" s="219">
        <f t="shared" si="261"/>
        <v>0</v>
      </c>
      <c r="BH520" s="31">
        <f t="shared" si="262"/>
        <v>0</v>
      </c>
      <c r="BI520" s="219">
        <f t="shared" si="263"/>
        <v>0</v>
      </c>
      <c r="BJ520" s="31">
        <f t="shared" si="264"/>
        <v>0</v>
      </c>
      <c r="BK520" s="219">
        <f t="shared" si="265"/>
        <v>0</v>
      </c>
      <c r="BL520" s="31">
        <f t="shared" si="266"/>
        <v>0</v>
      </c>
      <c r="BM520" s="219">
        <f t="shared" si="267"/>
        <v>0</v>
      </c>
      <c r="BN520" s="31">
        <f t="shared" si="268"/>
        <v>0</v>
      </c>
      <c r="BO520" s="219">
        <f t="shared" si="269"/>
        <v>0</v>
      </c>
    </row>
    <row r="521" spans="1:67" x14ac:dyDescent="0.25">
      <c r="A521" s="244" t="s">
        <v>1252</v>
      </c>
      <c r="B521" s="362" t="str">
        <f>VLOOKUP(A521,kurspris!$A$1:$B$992,2,FALSE)</f>
        <v>Lärande och undervisning</v>
      </c>
      <c r="C521" s="244"/>
      <c r="D521" s="538" t="s">
        <v>484</v>
      </c>
      <c r="E521" s="538" t="s">
        <v>2203</v>
      </c>
      <c r="F521" s="244" t="s">
        <v>2273</v>
      </c>
      <c r="G521" s="244"/>
      <c r="H521" s="244">
        <v>2480</v>
      </c>
      <c r="I521" s="244"/>
      <c r="J521" s="244"/>
      <c r="K521" s="244"/>
      <c r="L521" s="518"/>
      <c r="M521" s="325">
        <v>7.5</v>
      </c>
      <c r="N521" s="38">
        <v>-0.08</v>
      </c>
      <c r="O521" s="31">
        <v>24</v>
      </c>
      <c r="P521" s="31">
        <f>O521+(O521*N521)</f>
        <v>22.08</v>
      </c>
      <c r="Q521" s="196">
        <f>(M521/60)*P521</f>
        <v>2.76</v>
      </c>
      <c r="R521" s="38">
        <v>0.85</v>
      </c>
      <c r="S521" s="280">
        <f t="shared" si="242"/>
        <v>2.3459999999999996</v>
      </c>
      <c r="T521" s="31">
        <f>VLOOKUP(A521,'Ansvar kurs'!$A$1:$C$1123,2,FALSE)</f>
        <v>2180</v>
      </c>
      <c r="U521" s="31" t="str">
        <f>VLOOKUP(T521,Orgenheter!$A$1:$C$166,2,FALSE)</f>
        <v xml:space="preserve">Pedagogik                     </v>
      </c>
      <c r="V521" s="31" t="str">
        <f>VLOOKUP(T521,Orgenheter!$A$1:$C$166,3,FALSE)</f>
        <v>Sam</v>
      </c>
      <c r="W521" s="35" t="str">
        <f>VLOOKUP(D521,Program!$A$1:$B$36,2,FALSE)</f>
        <v>Grundlärarprogrammet - fritidshem</v>
      </c>
      <c r="X521" s="40">
        <f>VLOOKUP(A521,kurspris!$A$1:$Q$913,15,FALSE)</f>
        <v>26554</v>
      </c>
      <c r="Y521" s="40">
        <f>VLOOKUP(A521,kurspris!$A$1:$Q$913,16,FALSE)</f>
        <v>33465</v>
      </c>
      <c r="Z521" s="40">
        <f t="shared" si="243"/>
        <v>151797.93</v>
      </c>
      <c r="AA521" s="40">
        <f>VLOOKUP(A521,kurspris!$A$1:$Q$913,17,FALSE)</f>
        <v>6000</v>
      </c>
      <c r="AB521" s="40">
        <f t="shared" si="244"/>
        <v>16560</v>
      </c>
      <c r="AC521" s="40">
        <f t="shared" si="245"/>
        <v>168357.93</v>
      </c>
      <c r="AD521" s="31">
        <f>VLOOKUP($A521,kurspris!$A$1:$Q$950,3,FALSE)</f>
        <v>0</v>
      </c>
      <c r="AE521" s="31">
        <f>VLOOKUP($A521,kurspris!$A$1:$Q$950,4,FALSE)</f>
        <v>0</v>
      </c>
      <c r="AF521" s="31">
        <f>VLOOKUP($A521,kurspris!$A$1:$Q$950,5,FALSE)</f>
        <v>0</v>
      </c>
      <c r="AG521" s="31">
        <f>VLOOKUP($A521,kurspris!$A$1:$Q$950,6,FALSE)</f>
        <v>1</v>
      </c>
      <c r="AH521" s="31">
        <f>VLOOKUP($A521,kurspris!$A$1:$Q$950,7,FALSE)</f>
        <v>0</v>
      </c>
      <c r="AI521" s="31">
        <f>VLOOKUP($A521,kurspris!$A$1:$Q$950,8,FALSE)</f>
        <v>0</v>
      </c>
      <c r="AJ521" s="31">
        <f>VLOOKUP($A521,kurspris!$A$1:$Q$950,9,FALSE)</f>
        <v>0</v>
      </c>
      <c r="AK521" s="31">
        <f>VLOOKUP($A521,kurspris!$A$1:$Q$950,10,FALSE)</f>
        <v>0</v>
      </c>
      <c r="AL521" s="31">
        <f>VLOOKUP($A521,kurspris!$A$1:$Q$950,11,FALSE)</f>
        <v>0</v>
      </c>
      <c r="AM521" s="31">
        <f>VLOOKUP($A521,kurspris!$A$1:$Q$950,12,FALSE)</f>
        <v>0</v>
      </c>
      <c r="AN521" s="31">
        <f>VLOOKUP($A521,kurspris!$A$1:$Q$950,13,FALSE)</f>
        <v>0</v>
      </c>
      <c r="AO521" s="31">
        <f>VLOOKUP($A521,kurspris!$A$1:$Q$950,14,FALSE)</f>
        <v>0</v>
      </c>
      <c r="AP521" s="57" t="s">
        <v>2222</v>
      </c>
      <c r="AQ521"/>
      <c r="AR521" s="31">
        <f t="shared" si="246"/>
        <v>0</v>
      </c>
      <c r="AS521" s="219">
        <f t="shared" si="247"/>
        <v>0</v>
      </c>
      <c r="AT521" s="31">
        <f t="shared" si="248"/>
        <v>0</v>
      </c>
      <c r="AU521" s="219">
        <f t="shared" si="249"/>
        <v>0</v>
      </c>
      <c r="AV521" s="31">
        <f t="shared" si="250"/>
        <v>0</v>
      </c>
      <c r="AW521" s="31">
        <f t="shared" si="251"/>
        <v>0</v>
      </c>
      <c r="AX521" s="31">
        <f t="shared" si="252"/>
        <v>2.76</v>
      </c>
      <c r="AY521" s="219">
        <f t="shared" si="253"/>
        <v>2.3459999999999996</v>
      </c>
      <c r="AZ521" s="196">
        <f t="shared" si="254"/>
        <v>0</v>
      </c>
      <c r="BA521" s="219">
        <f t="shared" si="255"/>
        <v>0</v>
      </c>
      <c r="BB521" s="31">
        <f t="shared" si="256"/>
        <v>0</v>
      </c>
      <c r="BC521" s="219">
        <f t="shared" si="257"/>
        <v>0</v>
      </c>
      <c r="BD521" s="31">
        <f t="shared" si="258"/>
        <v>0</v>
      </c>
      <c r="BE521" s="219">
        <f t="shared" si="259"/>
        <v>0</v>
      </c>
      <c r="BF521" s="31">
        <f t="shared" si="260"/>
        <v>0</v>
      </c>
      <c r="BG521" s="219">
        <f t="shared" si="261"/>
        <v>0</v>
      </c>
      <c r="BH521" s="31">
        <f t="shared" si="262"/>
        <v>0</v>
      </c>
      <c r="BI521" s="219">
        <f t="shared" si="263"/>
        <v>0</v>
      </c>
      <c r="BJ521" s="31">
        <f t="shared" si="264"/>
        <v>0</v>
      </c>
      <c r="BK521" s="219">
        <f t="shared" si="265"/>
        <v>0</v>
      </c>
      <c r="BL521" s="31">
        <f t="shared" si="266"/>
        <v>0</v>
      </c>
      <c r="BM521" s="219">
        <f t="shared" si="267"/>
        <v>0</v>
      </c>
      <c r="BN521" s="31">
        <f t="shared" si="268"/>
        <v>0</v>
      </c>
      <c r="BO521" s="219">
        <f t="shared" si="269"/>
        <v>0</v>
      </c>
    </row>
    <row r="522" spans="1:67" x14ac:dyDescent="0.25">
      <c r="A522" s="283" t="s">
        <v>1252</v>
      </c>
      <c r="B522" s="362" t="str">
        <f>VLOOKUP(A522,kurspris!$A$1:$B$992,2,FALSE)</f>
        <v>Lärande och undervisning</v>
      </c>
      <c r="C522" s="244"/>
      <c r="D522" s="538" t="s">
        <v>485</v>
      </c>
      <c r="E522" s="538" t="s">
        <v>2203</v>
      </c>
      <c r="F522" s="244" t="s">
        <v>2273</v>
      </c>
      <c r="G522" s="244"/>
      <c r="H522" s="244">
        <v>2480</v>
      </c>
      <c r="I522" s="244"/>
      <c r="J522" s="244"/>
      <c r="K522" s="244"/>
      <c r="L522" s="518"/>
      <c r="M522" s="325">
        <v>7.5</v>
      </c>
      <c r="N522" s="38">
        <v>-0.05</v>
      </c>
      <c r="O522" s="31">
        <v>41</v>
      </c>
      <c r="P522" s="31">
        <f>O522+(O522*N522)</f>
        <v>38.950000000000003</v>
      </c>
      <c r="Q522" s="196">
        <f>(M522/60)*P522</f>
        <v>4.8687500000000004</v>
      </c>
      <c r="R522" s="38">
        <v>0.85</v>
      </c>
      <c r="S522" s="280">
        <f t="shared" si="242"/>
        <v>4.1384375000000002</v>
      </c>
      <c r="T522" s="31">
        <f>VLOOKUP(A522,'Ansvar kurs'!$A$1:$C$1123,2,FALSE)</f>
        <v>2180</v>
      </c>
      <c r="U522" s="31" t="str">
        <f>VLOOKUP(T522,Orgenheter!$A$1:$C$166,2,FALSE)</f>
        <v xml:space="preserve">Pedagogik                     </v>
      </c>
      <c r="V522" s="31" t="str">
        <f>VLOOKUP(T522,Orgenheter!$A$1:$C$166,3,FALSE)</f>
        <v>Sam</v>
      </c>
      <c r="W522" s="35" t="str">
        <f>VLOOKUP(D522,Program!$A$1:$B$36,2,FALSE)</f>
        <v>Grundlärarprogrammet - förskoleklass och åk 1-3</v>
      </c>
      <c r="X522" s="40">
        <f>VLOOKUP(A522,kurspris!$A$1:$Q$913,15,FALSE)</f>
        <v>26554</v>
      </c>
      <c r="Y522" s="40">
        <f>VLOOKUP(A522,kurspris!$A$1:$Q$913,16,FALSE)</f>
        <v>33465</v>
      </c>
      <c r="Z522" s="40">
        <f t="shared" si="243"/>
        <v>267777.59843750001</v>
      </c>
      <c r="AA522" s="40">
        <f>VLOOKUP(A522,kurspris!$A$1:$Q$913,17,FALSE)</f>
        <v>6000</v>
      </c>
      <c r="AB522" s="40">
        <f t="shared" si="244"/>
        <v>29212.500000000004</v>
      </c>
      <c r="AC522" s="40">
        <f t="shared" si="245"/>
        <v>296990.09843750001</v>
      </c>
      <c r="AD522" s="31">
        <f>VLOOKUP($A522,kurspris!$A$1:$Q$950,3,FALSE)</f>
        <v>0</v>
      </c>
      <c r="AE522" s="31">
        <f>VLOOKUP($A522,kurspris!$A$1:$Q$950,4,FALSE)</f>
        <v>0</v>
      </c>
      <c r="AF522" s="31">
        <f>VLOOKUP($A522,kurspris!$A$1:$Q$950,5,FALSE)</f>
        <v>0</v>
      </c>
      <c r="AG522" s="31">
        <f>VLOOKUP($A522,kurspris!$A$1:$Q$950,6,FALSE)</f>
        <v>1</v>
      </c>
      <c r="AH522" s="31">
        <f>VLOOKUP($A522,kurspris!$A$1:$Q$950,7,FALSE)</f>
        <v>0</v>
      </c>
      <c r="AI522" s="31">
        <f>VLOOKUP($A522,kurspris!$A$1:$Q$950,8,FALSE)</f>
        <v>0</v>
      </c>
      <c r="AJ522" s="31">
        <f>VLOOKUP($A522,kurspris!$A$1:$Q$950,9,FALSE)</f>
        <v>0</v>
      </c>
      <c r="AK522" s="31">
        <f>VLOOKUP($A522,kurspris!$A$1:$Q$950,10,FALSE)</f>
        <v>0</v>
      </c>
      <c r="AL522" s="31">
        <f>VLOOKUP($A522,kurspris!$A$1:$Q$950,11,FALSE)</f>
        <v>0</v>
      </c>
      <c r="AM522" s="31">
        <f>VLOOKUP($A522,kurspris!$A$1:$Q$950,12,FALSE)</f>
        <v>0</v>
      </c>
      <c r="AN522" s="31">
        <f>VLOOKUP($A522,kurspris!$A$1:$Q$950,13,FALSE)</f>
        <v>0</v>
      </c>
      <c r="AO522" s="31">
        <f>VLOOKUP($A522,kurspris!$A$1:$Q$950,14,FALSE)</f>
        <v>0</v>
      </c>
      <c r="AP522" s="57" t="s">
        <v>2222</v>
      </c>
      <c r="AQ522"/>
      <c r="AR522" s="31">
        <f t="shared" si="246"/>
        <v>0</v>
      </c>
      <c r="AS522" s="219">
        <f t="shared" si="247"/>
        <v>0</v>
      </c>
      <c r="AT522" s="31">
        <f t="shared" si="248"/>
        <v>0</v>
      </c>
      <c r="AU522" s="219">
        <f t="shared" si="249"/>
        <v>0</v>
      </c>
      <c r="AV522" s="31">
        <f t="shared" si="250"/>
        <v>0</v>
      </c>
      <c r="AW522" s="31">
        <f t="shared" si="251"/>
        <v>0</v>
      </c>
      <c r="AX522" s="31">
        <f t="shared" si="252"/>
        <v>4.8687500000000004</v>
      </c>
      <c r="AY522" s="219">
        <f t="shared" si="253"/>
        <v>4.1384375000000002</v>
      </c>
      <c r="AZ522" s="196">
        <f t="shared" si="254"/>
        <v>0</v>
      </c>
      <c r="BA522" s="219">
        <f t="shared" si="255"/>
        <v>0</v>
      </c>
      <c r="BB522" s="31">
        <f t="shared" si="256"/>
        <v>0</v>
      </c>
      <c r="BC522" s="219">
        <f t="shared" si="257"/>
        <v>0</v>
      </c>
      <c r="BD522" s="31">
        <f t="shared" si="258"/>
        <v>0</v>
      </c>
      <c r="BE522" s="219">
        <f t="shared" si="259"/>
        <v>0</v>
      </c>
      <c r="BF522" s="31">
        <f t="shared" si="260"/>
        <v>0</v>
      </c>
      <c r="BG522" s="219">
        <f t="shared" si="261"/>
        <v>0</v>
      </c>
      <c r="BH522" s="31">
        <f t="shared" si="262"/>
        <v>0</v>
      </c>
      <c r="BI522" s="219">
        <f t="shared" si="263"/>
        <v>0</v>
      </c>
      <c r="BJ522" s="31">
        <f t="shared" si="264"/>
        <v>0</v>
      </c>
      <c r="BK522" s="219">
        <f t="shared" si="265"/>
        <v>0</v>
      </c>
      <c r="BL522" s="31">
        <f t="shared" si="266"/>
        <v>0</v>
      </c>
      <c r="BM522" s="219">
        <f t="shared" si="267"/>
        <v>0</v>
      </c>
      <c r="BN522" s="31">
        <f t="shared" si="268"/>
        <v>0</v>
      </c>
      <c r="BO522" s="219">
        <f t="shared" si="269"/>
        <v>0</v>
      </c>
    </row>
    <row r="523" spans="1:67" x14ac:dyDescent="0.25">
      <c r="A523" s="283" t="s">
        <v>1252</v>
      </c>
      <c r="B523" s="362" t="str">
        <f>VLOOKUP(A523,kurspris!$A$1:$B$992,2,FALSE)</f>
        <v>Lärande och undervisning</v>
      </c>
      <c r="C523" s="244"/>
      <c r="D523" s="538" t="s">
        <v>523</v>
      </c>
      <c r="E523" s="538" t="s">
        <v>2203</v>
      </c>
      <c r="F523" s="244" t="s">
        <v>2273</v>
      </c>
      <c r="G523" s="244"/>
      <c r="H523" s="244">
        <v>2480</v>
      </c>
      <c r="I523" s="244"/>
      <c r="J523" s="244" t="s">
        <v>2332</v>
      </c>
      <c r="K523" s="244"/>
      <c r="L523" s="518">
        <v>0.75</v>
      </c>
      <c r="M523" s="325">
        <v>7.5</v>
      </c>
      <c r="N523" s="38">
        <v>-0.05</v>
      </c>
      <c r="O523" s="31">
        <v>23</v>
      </c>
      <c r="P523" s="31">
        <f>O523+(O523*N523)</f>
        <v>21.85</v>
      </c>
      <c r="Q523" s="196">
        <f>(M523/60)*P523</f>
        <v>2.7312500000000002</v>
      </c>
      <c r="R523" s="38">
        <v>0.85</v>
      </c>
      <c r="S523" s="280">
        <f t="shared" si="242"/>
        <v>2.3215625000000002</v>
      </c>
      <c r="T523" s="31">
        <f>VLOOKUP(A523,'Ansvar kurs'!$A$1:$C$1123,2,FALSE)</f>
        <v>2180</v>
      </c>
      <c r="U523" s="31" t="str">
        <f>VLOOKUP(T523,Orgenheter!$A$1:$C$166,2,FALSE)</f>
        <v xml:space="preserve">Pedagogik                     </v>
      </c>
      <c r="V523" s="31" t="str">
        <f>VLOOKUP(T523,Orgenheter!$A$1:$C$166,3,FALSE)</f>
        <v>Sam</v>
      </c>
      <c r="W523" s="35" t="str">
        <f>VLOOKUP(D523,Program!$A$1:$B$36,2,FALSE)</f>
        <v>Grundlärarprogrammet - grundskolans åk 4-6</v>
      </c>
      <c r="X523" s="40">
        <f>VLOOKUP(A523,kurspris!$A$1:$Q$913,15,FALSE)</f>
        <v>26554</v>
      </c>
      <c r="Y523" s="40">
        <f>VLOOKUP(A523,kurspris!$A$1:$Q$913,16,FALSE)</f>
        <v>33465</v>
      </c>
      <c r="Z523" s="40">
        <f t="shared" si="243"/>
        <v>150216.70156250001</v>
      </c>
      <c r="AA523" s="40">
        <f>VLOOKUP(A523,kurspris!$A$1:$Q$913,17,FALSE)</f>
        <v>6000</v>
      </c>
      <c r="AB523" s="40">
        <f t="shared" si="244"/>
        <v>16387.5</v>
      </c>
      <c r="AC523" s="40">
        <f t="shared" si="245"/>
        <v>166604.20156250001</v>
      </c>
      <c r="AD523" s="31">
        <f>VLOOKUP($A523,kurspris!$A$1:$Q$950,3,FALSE)</f>
        <v>0</v>
      </c>
      <c r="AE523" s="31">
        <f>VLOOKUP($A523,kurspris!$A$1:$Q$950,4,FALSE)</f>
        <v>0</v>
      </c>
      <c r="AF523" s="31">
        <f>VLOOKUP($A523,kurspris!$A$1:$Q$950,5,FALSE)</f>
        <v>0</v>
      </c>
      <c r="AG523" s="31">
        <f>VLOOKUP($A523,kurspris!$A$1:$Q$950,6,FALSE)</f>
        <v>1</v>
      </c>
      <c r="AH523" s="31">
        <f>VLOOKUP($A523,kurspris!$A$1:$Q$950,7,FALSE)</f>
        <v>0</v>
      </c>
      <c r="AI523" s="31">
        <f>VLOOKUP($A523,kurspris!$A$1:$Q$950,8,FALSE)</f>
        <v>0</v>
      </c>
      <c r="AJ523" s="31">
        <f>VLOOKUP($A523,kurspris!$A$1:$Q$950,9,FALSE)</f>
        <v>0</v>
      </c>
      <c r="AK523" s="31">
        <f>VLOOKUP($A523,kurspris!$A$1:$Q$950,10,FALSE)</f>
        <v>0</v>
      </c>
      <c r="AL523" s="31">
        <f>VLOOKUP($A523,kurspris!$A$1:$Q$950,11,FALSE)</f>
        <v>0</v>
      </c>
      <c r="AM523" s="31">
        <f>VLOOKUP($A523,kurspris!$A$1:$Q$950,12,FALSE)</f>
        <v>0</v>
      </c>
      <c r="AN523" s="31">
        <f>VLOOKUP($A523,kurspris!$A$1:$Q$950,13,FALSE)</f>
        <v>0</v>
      </c>
      <c r="AO523" s="31">
        <f>VLOOKUP($A523,kurspris!$A$1:$Q$950,14,FALSE)</f>
        <v>0</v>
      </c>
      <c r="AP523" s="57" t="s">
        <v>2222</v>
      </c>
      <c r="AQ523" s="37"/>
      <c r="AR523" s="31">
        <f t="shared" si="246"/>
        <v>0</v>
      </c>
      <c r="AS523" s="219">
        <f t="shared" si="247"/>
        <v>0</v>
      </c>
      <c r="AT523" s="31">
        <f t="shared" si="248"/>
        <v>0</v>
      </c>
      <c r="AU523" s="219">
        <f t="shared" si="249"/>
        <v>0</v>
      </c>
      <c r="AV523" s="31">
        <f t="shared" si="250"/>
        <v>0</v>
      </c>
      <c r="AW523" s="31">
        <f t="shared" si="251"/>
        <v>0</v>
      </c>
      <c r="AX523" s="31">
        <f t="shared" si="252"/>
        <v>2.7312500000000002</v>
      </c>
      <c r="AY523" s="219">
        <f t="shared" si="253"/>
        <v>2.3215625000000002</v>
      </c>
      <c r="AZ523" s="196">
        <f t="shared" si="254"/>
        <v>0</v>
      </c>
      <c r="BA523" s="219">
        <f t="shared" si="255"/>
        <v>0</v>
      </c>
      <c r="BB523" s="31">
        <f t="shared" si="256"/>
        <v>0</v>
      </c>
      <c r="BC523" s="219">
        <f t="shared" si="257"/>
        <v>0</v>
      </c>
      <c r="BD523" s="31">
        <f t="shared" si="258"/>
        <v>0</v>
      </c>
      <c r="BE523" s="219">
        <f t="shared" si="259"/>
        <v>0</v>
      </c>
      <c r="BF523" s="31">
        <f t="shared" si="260"/>
        <v>0</v>
      </c>
      <c r="BG523" s="219">
        <f t="shared" si="261"/>
        <v>0</v>
      </c>
      <c r="BH523" s="31">
        <f t="shared" si="262"/>
        <v>0</v>
      </c>
      <c r="BI523" s="219">
        <f t="shared" si="263"/>
        <v>0</v>
      </c>
      <c r="BJ523" s="31">
        <f t="shared" si="264"/>
        <v>0</v>
      </c>
      <c r="BK523" s="219">
        <f t="shared" si="265"/>
        <v>0</v>
      </c>
      <c r="BL523" s="31">
        <f t="shared" si="266"/>
        <v>0</v>
      </c>
      <c r="BM523" s="219">
        <f t="shared" si="267"/>
        <v>0</v>
      </c>
      <c r="BN523" s="31">
        <f t="shared" si="268"/>
        <v>0</v>
      </c>
      <c r="BO523" s="219">
        <f t="shared" si="269"/>
        <v>0</v>
      </c>
    </row>
    <row r="524" spans="1:67" x14ac:dyDescent="0.25">
      <c r="A524" s="283" t="s">
        <v>1252</v>
      </c>
      <c r="B524" s="362" t="str">
        <f>VLOOKUP(A524,kurspris!$A$1:$B$992,2,FALSE)</f>
        <v>Lärande och undervisning</v>
      </c>
      <c r="C524" s="244"/>
      <c r="D524" s="538" t="s">
        <v>523</v>
      </c>
      <c r="E524" s="538" t="s">
        <v>2203</v>
      </c>
      <c r="F524" s="244" t="s">
        <v>2273</v>
      </c>
      <c r="G524" s="244"/>
      <c r="H524" s="244">
        <v>2480</v>
      </c>
      <c r="I524" s="244"/>
      <c r="J524" s="244"/>
      <c r="K524" s="244"/>
      <c r="L524" s="518"/>
      <c r="M524" s="325">
        <v>7.5</v>
      </c>
      <c r="N524" s="38">
        <v>-0.08</v>
      </c>
      <c r="O524" s="31">
        <v>43</v>
      </c>
      <c r="P524" s="31">
        <f>O524+(O524*N524)</f>
        <v>39.56</v>
      </c>
      <c r="Q524" s="196">
        <f>(M524/60)*P524</f>
        <v>4.9450000000000003</v>
      </c>
      <c r="R524" s="38">
        <v>0.85</v>
      </c>
      <c r="S524" s="280">
        <f t="shared" si="242"/>
        <v>4.2032499999999997</v>
      </c>
      <c r="T524" s="31">
        <f>VLOOKUP(A524,'Ansvar kurs'!$A$1:$C$1123,2,FALSE)</f>
        <v>2180</v>
      </c>
      <c r="U524" s="31" t="str">
        <f>VLOOKUP(T524,Orgenheter!$A$1:$C$166,2,FALSE)</f>
        <v xml:space="preserve">Pedagogik                     </v>
      </c>
      <c r="V524" s="31" t="str">
        <f>VLOOKUP(T524,Orgenheter!$A$1:$C$166,3,FALSE)</f>
        <v>Sam</v>
      </c>
      <c r="W524" s="35" t="str">
        <f>VLOOKUP(D524,Program!$A$1:$B$36,2,FALSE)</f>
        <v>Grundlärarprogrammet - grundskolans åk 4-6</v>
      </c>
      <c r="X524" s="40">
        <f>VLOOKUP(A524,kurspris!$A$1:$Q$913,15,FALSE)</f>
        <v>26554</v>
      </c>
      <c r="Y524" s="40">
        <f>VLOOKUP(A524,kurspris!$A$1:$Q$913,16,FALSE)</f>
        <v>33465</v>
      </c>
      <c r="Z524" s="40">
        <f t="shared" si="243"/>
        <v>271971.29125000001</v>
      </c>
      <c r="AA524" s="40">
        <f>VLOOKUP(A524,kurspris!$A$1:$Q$913,17,FALSE)</f>
        <v>6000</v>
      </c>
      <c r="AB524" s="40">
        <f t="shared" si="244"/>
        <v>29670</v>
      </c>
      <c r="AC524" s="40">
        <f t="shared" si="245"/>
        <v>301641.29125000001</v>
      </c>
      <c r="AD524" s="31">
        <f>VLOOKUP($A524,kurspris!$A$1:$Q$950,3,FALSE)</f>
        <v>0</v>
      </c>
      <c r="AE524" s="31">
        <f>VLOOKUP($A524,kurspris!$A$1:$Q$950,4,FALSE)</f>
        <v>0</v>
      </c>
      <c r="AF524" s="31">
        <f>VLOOKUP($A524,kurspris!$A$1:$Q$950,5,FALSE)</f>
        <v>0</v>
      </c>
      <c r="AG524" s="31">
        <f>VLOOKUP($A524,kurspris!$A$1:$Q$950,6,FALSE)</f>
        <v>1</v>
      </c>
      <c r="AH524" s="31">
        <f>VLOOKUP($A524,kurspris!$A$1:$Q$950,7,FALSE)</f>
        <v>0</v>
      </c>
      <c r="AI524" s="31">
        <f>VLOOKUP($A524,kurspris!$A$1:$Q$950,8,FALSE)</f>
        <v>0</v>
      </c>
      <c r="AJ524" s="31">
        <f>VLOOKUP($A524,kurspris!$A$1:$Q$950,9,FALSE)</f>
        <v>0</v>
      </c>
      <c r="AK524" s="31">
        <f>VLOOKUP($A524,kurspris!$A$1:$Q$950,10,FALSE)</f>
        <v>0</v>
      </c>
      <c r="AL524" s="31">
        <f>VLOOKUP($A524,kurspris!$A$1:$Q$950,11,FALSE)</f>
        <v>0</v>
      </c>
      <c r="AM524" s="31">
        <f>VLOOKUP($A524,kurspris!$A$1:$Q$950,12,FALSE)</f>
        <v>0</v>
      </c>
      <c r="AN524" s="31">
        <f>VLOOKUP($A524,kurspris!$A$1:$Q$950,13,FALSE)</f>
        <v>0</v>
      </c>
      <c r="AO524" s="31">
        <f>VLOOKUP($A524,kurspris!$A$1:$Q$950,14,FALSE)</f>
        <v>0</v>
      </c>
      <c r="AP524" s="57" t="s">
        <v>2222</v>
      </c>
      <c r="AQ524" s="37"/>
      <c r="AR524" s="31">
        <f t="shared" si="246"/>
        <v>0</v>
      </c>
      <c r="AS524" s="219">
        <f t="shared" si="247"/>
        <v>0</v>
      </c>
      <c r="AT524" s="31">
        <f t="shared" si="248"/>
        <v>0</v>
      </c>
      <c r="AU524" s="219">
        <f t="shared" si="249"/>
        <v>0</v>
      </c>
      <c r="AV524" s="31">
        <f t="shared" si="250"/>
        <v>0</v>
      </c>
      <c r="AW524" s="31">
        <f t="shared" si="251"/>
        <v>0</v>
      </c>
      <c r="AX524" s="31">
        <f t="shared" si="252"/>
        <v>4.9450000000000003</v>
      </c>
      <c r="AY524" s="219">
        <f t="shared" si="253"/>
        <v>4.2032499999999997</v>
      </c>
      <c r="AZ524" s="196">
        <f t="shared" si="254"/>
        <v>0</v>
      </c>
      <c r="BA524" s="219">
        <f t="shared" si="255"/>
        <v>0</v>
      </c>
      <c r="BB524" s="31">
        <f t="shared" si="256"/>
        <v>0</v>
      </c>
      <c r="BC524" s="219">
        <f t="shared" si="257"/>
        <v>0</v>
      </c>
      <c r="BD524" s="31">
        <f t="shared" si="258"/>
        <v>0</v>
      </c>
      <c r="BE524" s="219">
        <f t="shared" si="259"/>
        <v>0</v>
      </c>
      <c r="BF524" s="31">
        <f t="shared" si="260"/>
        <v>0</v>
      </c>
      <c r="BG524" s="219">
        <f t="shared" si="261"/>
        <v>0</v>
      </c>
      <c r="BH524" s="31">
        <f t="shared" si="262"/>
        <v>0</v>
      </c>
      <c r="BI524" s="219">
        <f t="shared" si="263"/>
        <v>0</v>
      </c>
      <c r="BJ524" s="31">
        <f t="shared" si="264"/>
        <v>0</v>
      </c>
      <c r="BK524" s="219">
        <f t="shared" si="265"/>
        <v>0</v>
      </c>
      <c r="BL524" s="31">
        <f t="shared" si="266"/>
        <v>0</v>
      </c>
      <c r="BM524" s="219">
        <f t="shared" si="267"/>
        <v>0</v>
      </c>
      <c r="BN524" s="31">
        <f t="shared" si="268"/>
        <v>0</v>
      </c>
      <c r="BO524" s="219">
        <f t="shared" si="269"/>
        <v>0</v>
      </c>
    </row>
    <row r="525" spans="1:67" x14ac:dyDescent="0.25">
      <c r="A525" s="157" t="s">
        <v>1334</v>
      </c>
      <c r="B525" s="176" t="str">
        <f>VLOOKUP(A525,kurspris!$A$1:$B$992,2,FALSE)</f>
        <v>Undervisning och lärande inom det svenska skolsystemet</v>
      </c>
      <c r="C525" s="35"/>
      <c r="D525" s="31" t="s">
        <v>117</v>
      </c>
      <c r="F525" s="60" t="s">
        <v>2273</v>
      </c>
      <c r="I525" s="31" t="s">
        <v>2276</v>
      </c>
      <c r="L525" s="38">
        <v>1</v>
      </c>
      <c r="M525" s="325">
        <v>7.5</v>
      </c>
      <c r="P525" s="31">
        <v>25</v>
      </c>
      <c r="Q525" s="196">
        <f>(M525/60)*P525</f>
        <v>3.125</v>
      </c>
      <c r="R525" s="38">
        <v>0.8</v>
      </c>
      <c r="S525" s="280">
        <f t="shared" si="242"/>
        <v>2.5</v>
      </c>
      <c r="T525" s="31">
        <f>VLOOKUP(A525,'Ansvar kurs'!$A$1:$C$1123,2,FALSE)</f>
        <v>2180</v>
      </c>
      <c r="U525" s="31" t="str">
        <f>VLOOKUP(T525,Orgenheter!$A$1:$C$166,2,FALSE)</f>
        <v xml:space="preserve">Pedagogik                     </v>
      </c>
      <c r="V525" s="31" t="str">
        <f>VLOOKUP(T525,Orgenheter!$A$1:$C$166,3,FALSE)</f>
        <v>Sam</v>
      </c>
      <c r="W525" s="35" t="str">
        <f>VLOOKUP(D525,Program!$A$1:$B$36,2,FALSE)</f>
        <v>Fristående och övriga kurser</v>
      </c>
      <c r="X525" s="40">
        <f>VLOOKUP(A525,kurspris!$A$1:$Q$913,15,FALSE)</f>
        <v>24341.200000000001</v>
      </c>
      <c r="Y525" s="40">
        <f>VLOOKUP(A525,kurspris!$A$1:$Q$913,16,FALSE)</f>
        <v>25869.200000000004</v>
      </c>
      <c r="Z525" s="40">
        <f t="shared" si="243"/>
        <v>140739.25</v>
      </c>
      <c r="AA525" s="40">
        <f>VLOOKUP(A525,kurspris!$A$1:$Q$913,17,FALSE)</f>
        <v>4080</v>
      </c>
      <c r="AB525" s="40">
        <f t="shared" si="244"/>
        <v>12750</v>
      </c>
      <c r="AC525" s="40">
        <f t="shared" si="245"/>
        <v>153489.25</v>
      </c>
      <c r="AD525" s="31">
        <f>VLOOKUP($A525,kurspris!$A$1:$Q$950,3,FALSE)</f>
        <v>0</v>
      </c>
      <c r="AE525" s="31">
        <f>VLOOKUP($A525,kurspris!$A$1:$Q$950,4,FALSE)</f>
        <v>0</v>
      </c>
      <c r="AF525" s="31">
        <f>VLOOKUP($A525,kurspris!$A$1:$Q$950,5,FALSE)</f>
        <v>0</v>
      </c>
      <c r="AG525" s="31">
        <f>VLOOKUP($A525,kurspris!$A$1:$Q$950,6,FALSE)</f>
        <v>0</v>
      </c>
      <c r="AH525" s="31">
        <f>VLOOKUP($A525,kurspris!$A$1:$Q$950,7,FALSE)</f>
        <v>0</v>
      </c>
      <c r="AI525" s="31">
        <f>VLOOKUP($A525,kurspris!$A$1:$Q$950,8,FALSE)</f>
        <v>0</v>
      </c>
      <c r="AJ525" s="31">
        <f>VLOOKUP($A525,kurspris!$A$1:$Q$950,9,FALSE)</f>
        <v>0.2</v>
      </c>
      <c r="AK525" s="31">
        <f>VLOOKUP($A525,kurspris!$A$1:$Q$950,10,FALSE)</f>
        <v>0</v>
      </c>
      <c r="AL525" s="31">
        <f>VLOOKUP($A525,kurspris!$A$1:$Q$950,11,FALSE)</f>
        <v>0.8</v>
      </c>
      <c r="AM525" s="31">
        <f>VLOOKUP($A525,kurspris!$A$1:$Q$950,12,FALSE)</f>
        <v>0</v>
      </c>
      <c r="AN525" s="31">
        <f>VLOOKUP($A525,kurspris!$A$1:$Q$950,13,FALSE)</f>
        <v>0</v>
      </c>
      <c r="AO525" s="31">
        <f>VLOOKUP($A525,kurspris!$A$1:$Q$950,14,FALSE)</f>
        <v>0</v>
      </c>
      <c r="AP525" s="57" t="s">
        <v>2267</v>
      </c>
      <c r="AQ525" s="37"/>
      <c r="AR525" s="31">
        <f t="shared" si="246"/>
        <v>0</v>
      </c>
      <c r="AS525" s="219">
        <f t="shared" si="247"/>
        <v>0</v>
      </c>
      <c r="AT525" s="31">
        <f t="shared" si="248"/>
        <v>0</v>
      </c>
      <c r="AU525" s="219">
        <f t="shared" si="249"/>
        <v>0</v>
      </c>
      <c r="AV525" s="31">
        <f t="shared" si="250"/>
        <v>0</v>
      </c>
      <c r="AW525" s="31">
        <f t="shared" si="251"/>
        <v>0</v>
      </c>
      <c r="AX525" s="31">
        <f t="shared" si="252"/>
        <v>0</v>
      </c>
      <c r="AY525" s="219">
        <f t="shared" si="253"/>
        <v>0</v>
      </c>
      <c r="AZ525" s="196">
        <f t="shared" si="254"/>
        <v>0</v>
      </c>
      <c r="BA525" s="219">
        <f t="shared" si="255"/>
        <v>0</v>
      </c>
      <c r="BB525" s="31">
        <f t="shared" si="256"/>
        <v>0</v>
      </c>
      <c r="BC525" s="219">
        <f t="shared" si="257"/>
        <v>0</v>
      </c>
      <c r="BD525" s="31">
        <f t="shared" si="258"/>
        <v>0.625</v>
      </c>
      <c r="BE525" s="219">
        <f t="shared" si="259"/>
        <v>0.5</v>
      </c>
      <c r="BF525" s="31">
        <f t="shared" si="260"/>
        <v>0</v>
      </c>
      <c r="BG525" s="219">
        <f t="shared" si="261"/>
        <v>0</v>
      </c>
      <c r="BH525" s="31">
        <f t="shared" si="262"/>
        <v>2.5</v>
      </c>
      <c r="BI525" s="219">
        <f t="shared" si="263"/>
        <v>2</v>
      </c>
      <c r="BJ525" s="31">
        <f t="shared" si="264"/>
        <v>0</v>
      </c>
      <c r="BK525" s="219">
        <f t="shared" si="265"/>
        <v>0</v>
      </c>
      <c r="BL525" s="31">
        <f t="shared" si="266"/>
        <v>0</v>
      </c>
      <c r="BM525" s="219">
        <f t="shared" si="267"/>
        <v>0</v>
      </c>
      <c r="BN525" s="31">
        <f t="shared" si="268"/>
        <v>0</v>
      </c>
      <c r="BO525" s="219">
        <f t="shared" si="269"/>
        <v>0</v>
      </c>
    </row>
    <row r="526" spans="1:67" x14ac:dyDescent="0.25">
      <c r="A526" s="31" t="s">
        <v>1336</v>
      </c>
      <c r="B526" s="176" t="str">
        <f>VLOOKUP(A526,kurspris!$A$1:$B$992,2,FALSE)</f>
        <v>Utbildning: Undervisning och lärande i en internationell kontext</v>
      </c>
      <c r="C526" s="31">
        <v>64507</v>
      </c>
      <c r="D526" s="31" t="s">
        <v>117</v>
      </c>
      <c r="F526" s="57" t="s">
        <v>2274</v>
      </c>
      <c r="H526" s="31" t="s">
        <v>2335</v>
      </c>
      <c r="I526" s="31" t="s">
        <v>2399</v>
      </c>
      <c r="L526" s="38"/>
      <c r="M526">
        <v>7.5</v>
      </c>
      <c r="P526" s="31">
        <v>9</v>
      </c>
      <c r="Q526" s="539">
        <v>1.125</v>
      </c>
      <c r="R526" s="38">
        <v>0.8</v>
      </c>
      <c r="S526" s="280">
        <f t="shared" si="242"/>
        <v>0.9</v>
      </c>
      <c r="T526" s="31">
        <f>VLOOKUP(A526,'Ansvar kurs'!$A$1:$C$1123,2,FALSE)</f>
        <v>2180</v>
      </c>
      <c r="U526" s="31" t="str">
        <f>VLOOKUP(T526,Orgenheter!$A$1:$C$166,2,FALSE)</f>
        <v xml:space="preserve">Pedagogik                     </v>
      </c>
      <c r="V526" s="31" t="str">
        <f>VLOOKUP(T526,Orgenheter!$A$1:$C$166,3,FALSE)</f>
        <v>Sam</v>
      </c>
      <c r="W526" s="35" t="str">
        <f>VLOOKUP(D526,Program!$A$1:$B$36,2,FALSE)</f>
        <v>Fristående och övriga kurser</v>
      </c>
      <c r="X526" s="40">
        <f>VLOOKUP(A526,kurspris!$A$1:$Q$913,15,FALSE)</f>
        <v>20766</v>
      </c>
      <c r="Y526" s="40">
        <f>VLOOKUP(A526,kurspris!$A$1:$Q$913,16,FALSE)</f>
        <v>17442</v>
      </c>
      <c r="Z526" s="40">
        <f t="shared" si="243"/>
        <v>39059.550000000003</v>
      </c>
      <c r="AA526" s="40">
        <f>VLOOKUP(A526,kurspris!$A$1:$Q$913,17,FALSE)</f>
        <v>6000</v>
      </c>
      <c r="AB526" s="40">
        <f t="shared" si="244"/>
        <v>6750</v>
      </c>
      <c r="AC526" s="40">
        <f t="shared" si="245"/>
        <v>45809.55</v>
      </c>
      <c r="AD526" s="31">
        <f>VLOOKUP($A526,kurspris!$A$1:$Q$950,3,FALSE)</f>
        <v>0</v>
      </c>
      <c r="AE526" s="31">
        <f>VLOOKUP($A526,kurspris!$A$1:$Q$950,4,FALSE)</f>
        <v>0</v>
      </c>
      <c r="AF526" s="31">
        <f>VLOOKUP($A526,kurspris!$A$1:$Q$950,5,FALSE)</f>
        <v>0</v>
      </c>
      <c r="AG526" s="31">
        <f>VLOOKUP($A526,kurspris!$A$1:$Q$950,6,FALSE)</f>
        <v>0</v>
      </c>
      <c r="AH526" s="31">
        <f>VLOOKUP($A526,kurspris!$A$1:$Q$950,7,FALSE)</f>
        <v>0</v>
      </c>
      <c r="AI526" s="31">
        <f>VLOOKUP($A526,kurspris!$A$1:$Q$950,8,FALSE)</f>
        <v>0</v>
      </c>
      <c r="AJ526" s="31">
        <f>VLOOKUP($A526,kurspris!$A$1:$Q$950,9,FALSE)</f>
        <v>1</v>
      </c>
      <c r="AK526" s="31">
        <f>VLOOKUP($A526,kurspris!$A$1:$Q$950,10,FALSE)</f>
        <v>0</v>
      </c>
      <c r="AL526" s="31">
        <f>VLOOKUP($A526,kurspris!$A$1:$Q$950,11,FALSE)</f>
        <v>0</v>
      </c>
      <c r="AM526" s="31">
        <f>VLOOKUP($A526,kurspris!$A$1:$Q$950,12,FALSE)</f>
        <v>0</v>
      </c>
      <c r="AN526" s="31">
        <f>VLOOKUP($A526,kurspris!$A$1:$Q$950,13,FALSE)</f>
        <v>0</v>
      </c>
      <c r="AO526" s="31">
        <f>VLOOKUP($A526,kurspris!$A$1:$Q$950,14,FALSE)</f>
        <v>0</v>
      </c>
      <c r="AP526" s="57" t="s">
        <v>2402</v>
      </c>
      <c r="AQ526" s="37"/>
      <c r="AR526" s="31">
        <f t="shared" si="246"/>
        <v>0</v>
      </c>
      <c r="AS526" s="219">
        <f t="shared" si="247"/>
        <v>0</v>
      </c>
      <c r="AT526" s="31">
        <f t="shared" si="248"/>
        <v>0</v>
      </c>
      <c r="AU526" s="219">
        <f t="shared" si="249"/>
        <v>0</v>
      </c>
      <c r="AV526" s="31">
        <f t="shared" si="250"/>
        <v>0</v>
      </c>
      <c r="AW526" s="31">
        <f t="shared" si="251"/>
        <v>0</v>
      </c>
      <c r="AX526" s="31">
        <f t="shared" si="252"/>
        <v>0</v>
      </c>
      <c r="AY526" s="219">
        <f t="shared" si="253"/>
        <v>0</v>
      </c>
      <c r="AZ526" s="196">
        <f t="shared" si="254"/>
        <v>0</v>
      </c>
      <c r="BA526" s="219">
        <f t="shared" si="255"/>
        <v>0</v>
      </c>
      <c r="BB526" s="31">
        <f t="shared" si="256"/>
        <v>0</v>
      </c>
      <c r="BC526" s="219">
        <f t="shared" si="257"/>
        <v>0</v>
      </c>
      <c r="BD526" s="31">
        <f t="shared" si="258"/>
        <v>1.125</v>
      </c>
      <c r="BE526" s="219">
        <f t="shared" si="259"/>
        <v>0.9</v>
      </c>
      <c r="BF526" s="31">
        <f t="shared" si="260"/>
        <v>0</v>
      </c>
      <c r="BG526" s="219">
        <f t="shared" si="261"/>
        <v>0</v>
      </c>
      <c r="BH526" s="31">
        <f t="shared" si="262"/>
        <v>0</v>
      </c>
      <c r="BI526" s="219">
        <f t="shared" si="263"/>
        <v>0</v>
      </c>
      <c r="BJ526" s="31">
        <f t="shared" si="264"/>
        <v>0</v>
      </c>
      <c r="BK526" s="219">
        <f t="shared" si="265"/>
        <v>0</v>
      </c>
      <c r="BL526" s="31">
        <f t="shared" si="266"/>
        <v>0</v>
      </c>
      <c r="BM526" s="219">
        <f t="shared" si="267"/>
        <v>0</v>
      </c>
      <c r="BN526" s="31">
        <f t="shared" si="268"/>
        <v>0</v>
      </c>
      <c r="BO526" s="219">
        <f t="shared" si="269"/>
        <v>0</v>
      </c>
    </row>
    <row r="527" spans="1:67" x14ac:dyDescent="0.25">
      <c r="A527" s="31" t="s">
        <v>1336</v>
      </c>
      <c r="B527" s="176" t="str">
        <f>VLOOKUP(A527,kurspris!$A$1:$B$992,2,FALSE)</f>
        <v>Utbildning: Undervisning och lärande i en internationell kontext</v>
      </c>
      <c r="C527" s="31" t="s">
        <v>2387</v>
      </c>
      <c r="D527" s="60" t="s">
        <v>117</v>
      </c>
      <c r="E527" s="60"/>
      <c r="F527" s="57" t="s">
        <v>2274</v>
      </c>
      <c r="H527" s="31" t="s">
        <v>2335</v>
      </c>
      <c r="I527" s="31" t="s">
        <v>2399</v>
      </c>
      <c r="L527" s="38"/>
      <c r="M527">
        <v>7.5</v>
      </c>
      <c r="P527" s="31">
        <v>7</v>
      </c>
      <c r="Q527" s="539">
        <v>0.875</v>
      </c>
      <c r="R527" s="38">
        <v>0.8</v>
      </c>
      <c r="S527" s="280">
        <f t="shared" si="242"/>
        <v>0.70000000000000007</v>
      </c>
      <c r="T527" s="31">
        <f>VLOOKUP(A527,'Ansvar kurs'!$A$1:$C$1123,2,FALSE)</f>
        <v>2180</v>
      </c>
      <c r="U527" s="31" t="str">
        <f>VLOOKUP(T527,Orgenheter!$A$1:$C$166,2,FALSE)</f>
        <v xml:space="preserve">Pedagogik                     </v>
      </c>
      <c r="V527" s="31" t="str">
        <f>VLOOKUP(T527,Orgenheter!$A$1:$C$166,3,FALSE)</f>
        <v>Sam</v>
      </c>
      <c r="W527" s="35" t="str">
        <f>VLOOKUP(D527,Program!$A$1:$B$36,2,FALSE)</f>
        <v>Fristående och övriga kurser</v>
      </c>
      <c r="X527" s="40">
        <f>VLOOKUP(A527,kurspris!$A$1:$Q$913,15,FALSE)</f>
        <v>20766</v>
      </c>
      <c r="Y527" s="40">
        <f>VLOOKUP(A527,kurspris!$A$1:$Q$913,16,FALSE)</f>
        <v>17442</v>
      </c>
      <c r="Z527" s="40">
        <f t="shared" si="243"/>
        <v>30379.65</v>
      </c>
      <c r="AA527" s="40">
        <f>VLOOKUP(A527,kurspris!$A$1:$Q$913,17,FALSE)</f>
        <v>6000</v>
      </c>
      <c r="AB527" s="40">
        <f t="shared" si="244"/>
        <v>5250</v>
      </c>
      <c r="AC527" s="40">
        <f t="shared" si="245"/>
        <v>35629.65</v>
      </c>
      <c r="AD527" s="31">
        <f>VLOOKUP($A527,kurspris!$A$1:$Q$950,3,FALSE)</f>
        <v>0</v>
      </c>
      <c r="AE527" s="31">
        <f>VLOOKUP($A527,kurspris!$A$1:$Q$950,4,FALSE)</f>
        <v>0</v>
      </c>
      <c r="AF527" s="31">
        <f>VLOOKUP($A527,kurspris!$A$1:$Q$950,5,FALSE)</f>
        <v>0</v>
      </c>
      <c r="AG527" s="31">
        <f>VLOOKUP($A527,kurspris!$A$1:$Q$950,6,FALSE)</f>
        <v>0</v>
      </c>
      <c r="AH527" s="31">
        <f>VLOOKUP($A527,kurspris!$A$1:$Q$950,7,FALSE)</f>
        <v>0</v>
      </c>
      <c r="AI527" s="31">
        <f>VLOOKUP($A527,kurspris!$A$1:$Q$950,8,FALSE)</f>
        <v>0</v>
      </c>
      <c r="AJ527" s="31">
        <f>VLOOKUP($A527,kurspris!$A$1:$Q$950,9,FALSE)</f>
        <v>1</v>
      </c>
      <c r="AK527" s="31">
        <f>VLOOKUP($A527,kurspris!$A$1:$Q$950,10,FALSE)</f>
        <v>0</v>
      </c>
      <c r="AL527" s="31">
        <f>VLOOKUP($A527,kurspris!$A$1:$Q$950,11,FALSE)</f>
        <v>0</v>
      </c>
      <c r="AM527" s="31">
        <f>VLOOKUP($A527,kurspris!$A$1:$Q$950,12,FALSE)</f>
        <v>0</v>
      </c>
      <c r="AN527" s="31">
        <f>VLOOKUP($A527,kurspris!$A$1:$Q$950,13,FALSE)</f>
        <v>0</v>
      </c>
      <c r="AO527" s="31">
        <f>VLOOKUP($A527,kurspris!$A$1:$Q$950,14,FALSE)</f>
        <v>0</v>
      </c>
      <c r="AP527" s="57" t="s">
        <v>2402</v>
      </c>
      <c r="AQ527"/>
      <c r="AR527" s="31">
        <f t="shared" si="246"/>
        <v>0</v>
      </c>
      <c r="AS527" s="219">
        <f t="shared" si="247"/>
        <v>0</v>
      </c>
      <c r="AT527" s="31">
        <f t="shared" si="248"/>
        <v>0</v>
      </c>
      <c r="AU527" s="219">
        <f t="shared" si="249"/>
        <v>0</v>
      </c>
      <c r="AV527" s="31">
        <f t="shared" si="250"/>
        <v>0</v>
      </c>
      <c r="AW527" s="31">
        <f t="shared" si="251"/>
        <v>0</v>
      </c>
      <c r="AX527" s="31">
        <f t="shared" si="252"/>
        <v>0</v>
      </c>
      <c r="AY527" s="219">
        <f t="shared" si="253"/>
        <v>0</v>
      </c>
      <c r="AZ527" s="196">
        <f t="shared" si="254"/>
        <v>0</v>
      </c>
      <c r="BA527" s="219">
        <f t="shared" si="255"/>
        <v>0</v>
      </c>
      <c r="BB527" s="31">
        <f t="shared" si="256"/>
        <v>0</v>
      </c>
      <c r="BC527" s="219">
        <f t="shared" si="257"/>
        <v>0</v>
      </c>
      <c r="BD527" s="31">
        <f t="shared" si="258"/>
        <v>0.875</v>
      </c>
      <c r="BE527" s="219">
        <f t="shared" si="259"/>
        <v>0.70000000000000007</v>
      </c>
      <c r="BF527" s="31">
        <f t="shared" si="260"/>
        <v>0</v>
      </c>
      <c r="BG527" s="219">
        <f t="shared" si="261"/>
        <v>0</v>
      </c>
      <c r="BH527" s="31">
        <f t="shared" si="262"/>
        <v>0</v>
      </c>
      <c r="BI527" s="219">
        <f t="shared" si="263"/>
        <v>0</v>
      </c>
      <c r="BJ527" s="31">
        <f t="shared" si="264"/>
        <v>0</v>
      </c>
      <c r="BK527" s="219">
        <f t="shared" si="265"/>
        <v>0</v>
      </c>
      <c r="BL527" s="31">
        <f t="shared" si="266"/>
        <v>0</v>
      </c>
      <c r="BM527" s="219">
        <f t="shared" si="267"/>
        <v>0</v>
      </c>
      <c r="BN527" s="31">
        <f t="shared" si="268"/>
        <v>0</v>
      </c>
      <c r="BO527" s="219">
        <f t="shared" si="269"/>
        <v>0</v>
      </c>
    </row>
    <row r="528" spans="1:67" x14ac:dyDescent="0.25">
      <c r="A528" s="31" t="s">
        <v>1336</v>
      </c>
      <c r="B528" s="176" t="str">
        <f>VLOOKUP(A528,kurspris!$A$1:$B$992,2,FALSE)</f>
        <v>Utbildning: Undervisning och lärande i en internationell kontext</v>
      </c>
      <c r="C528" s="31" t="s">
        <v>2388</v>
      </c>
      <c r="D528" s="60" t="s">
        <v>117</v>
      </c>
      <c r="E528" s="60"/>
      <c r="F528" s="57" t="s">
        <v>2274</v>
      </c>
      <c r="H528" s="31" t="s">
        <v>2335</v>
      </c>
      <c r="I528" s="31" t="s">
        <v>2399</v>
      </c>
      <c r="L528" s="38"/>
      <c r="M528">
        <v>7.5</v>
      </c>
      <c r="P528" s="31">
        <v>1</v>
      </c>
      <c r="Q528" s="539">
        <v>0.125</v>
      </c>
      <c r="R528" s="38">
        <v>0.8</v>
      </c>
      <c r="S528" s="280">
        <f t="shared" si="242"/>
        <v>0.1</v>
      </c>
      <c r="T528" s="31">
        <f>VLOOKUP(A528,'Ansvar kurs'!$A$1:$C$1123,2,FALSE)</f>
        <v>2180</v>
      </c>
      <c r="U528" s="31" t="str">
        <f>VLOOKUP(T528,Orgenheter!$A$1:$C$166,2,FALSE)</f>
        <v xml:space="preserve">Pedagogik                     </v>
      </c>
      <c r="V528" s="31" t="str">
        <f>VLOOKUP(T528,Orgenheter!$A$1:$C$166,3,FALSE)</f>
        <v>Sam</v>
      </c>
      <c r="W528" s="35" t="str">
        <f>VLOOKUP(D528,Program!$A$1:$B$36,2,FALSE)</f>
        <v>Fristående och övriga kurser</v>
      </c>
      <c r="X528" s="40">
        <f>VLOOKUP(A528,kurspris!$A$1:$Q$913,15,FALSE)</f>
        <v>20766</v>
      </c>
      <c r="Y528" s="40">
        <f>VLOOKUP(A528,kurspris!$A$1:$Q$913,16,FALSE)</f>
        <v>17442</v>
      </c>
      <c r="Z528" s="40">
        <f t="shared" si="243"/>
        <v>4339.95</v>
      </c>
      <c r="AA528" s="40">
        <f>VLOOKUP(A528,kurspris!$A$1:$Q$913,17,FALSE)</f>
        <v>6000</v>
      </c>
      <c r="AB528" s="40">
        <f t="shared" si="244"/>
        <v>750</v>
      </c>
      <c r="AC528" s="40">
        <f t="shared" si="245"/>
        <v>5089.95</v>
      </c>
      <c r="AD528" s="31">
        <f>VLOOKUP($A528,kurspris!$A$1:$Q$950,3,FALSE)</f>
        <v>0</v>
      </c>
      <c r="AE528" s="31">
        <f>VLOOKUP($A528,kurspris!$A$1:$Q$950,4,FALSE)</f>
        <v>0</v>
      </c>
      <c r="AF528" s="31">
        <f>VLOOKUP($A528,kurspris!$A$1:$Q$950,5,FALSE)</f>
        <v>0</v>
      </c>
      <c r="AG528" s="31">
        <f>VLOOKUP($A528,kurspris!$A$1:$Q$950,6,FALSE)</f>
        <v>0</v>
      </c>
      <c r="AH528" s="31">
        <f>VLOOKUP($A528,kurspris!$A$1:$Q$950,7,FALSE)</f>
        <v>0</v>
      </c>
      <c r="AI528" s="31">
        <f>VLOOKUP($A528,kurspris!$A$1:$Q$950,8,FALSE)</f>
        <v>0</v>
      </c>
      <c r="AJ528" s="31">
        <f>VLOOKUP($A528,kurspris!$A$1:$Q$950,9,FALSE)</f>
        <v>1</v>
      </c>
      <c r="AK528" s="31">
        <f>VLOOKUP($A528,kurspris!$A$1:$Q$950,10,FALSE)</f>
        <v>0</v>
      </c>
      <c r="AL528" s="31">
        <f>VLOOKUP($A528,kurspris!$A$1:$Q$950,11,FALSE)</f>
        <v>0</v>
      </c>
      <c r="AM528" s="31">
        <f>VLOOKUP($A528,kurspris!$A$1:$Q$950,12,FALSE)</f>
        <v>0</v>
      </c>
      <c r="AN528" s="31">
        <f>VLOOKUP($A528,kurspris!$A$1:$Q$950,13,FALSE)</f>
        <v>0</v>
      </c>
      <c r="AO528" s="31">
        <f>VLOOKUP($A528,kurspris!$A$1:$Q$950,14,FALSE)</f>
        <v>0</v>
      </c>
      <c r="AP528" s="57" t="s">
        <v>2402</v>
      </c>
      <c r="AQ528"/>
      <c r="AR528" s="31">
        <f t="shared" si="246"/>
        <v>0</v>
      </c>
      <c r="AS528" s="219">
        <f t="shared" si="247"/>
        <v>0</v>
      </c>
      <c r="AT528" s="31">
        <f t="shared" si="248"/>
        <v>0</v>
      </c>
      <c r="AU528" s="219">
        <f t="shared" si="249"/>
        <v>0</v>
      </c>
      <c r="AV528" s="31">
        <f t="shared" si="250"/>
        <v>0</v>
      </c>
      <c r="AW528" s="31">
        <f t="shared" si="251"/>
        <v>0</v>
      </c>
      <c r="AX528" s="31">
        <f t="shared" si="252"/>
        <v>0</v>
      </c>
      <c r="AY528" s="219">
        <f t="shared" si="253"/>
        <v>0</v>
      </c>
      <c r="AZ528" s="196">
        <f t="shared" si="254"/>
        <v>0</v>
      </c>
      <c r="BA528" s="219">
        <f t="shared" si="255"/>
        <v>0</v>
      </c>
      <c r="BB528" s="31">
        <f t="shared" si="256"/>
        <v>0</v>
      </c>
      <c r="BC528" s="219">
        <f t="shared" si="257"/>
        <v>0</v>
      </c>
      <c r="BD528" s="31">
        <f t="shared" si="258"/>
        <v>0.125</v>
      </c>
      <c r="BE528" s="219">
        <f t="shared" si="259"/>
        <v>0.1</v>
      </c>
      <c r="BF528" s="31">
        <f t="shared" si="260"/>
        <v>0</v>
      </c>
      <c r="BG528" s="219">
        <f t="shared" si="261"/>
        <v>0</v>
      </c>
      <c r="BH528" s="31">
        <f t="shared" si="262"/>
        <v>0</v>
      </c>
      <c r="BI528" s="219">
        <f t="shared" si="263"/>
        <v>0</v>
      </c>
      <c r="BJ528" s="31">
        <f t="shared" si="264"/>
        <v>0</v>
      </c>
      <c r="BK528" s="219">
        <f t="shared" si="265"/>
        <v>0</v>
      </c>
      <c r="BL528" s="31">
        <f t="shared" si="266"/>
        <v>0</v>
      </c>
      <c r="BM528" s="219">
        <f t="shared" si="267"/>
        <v>0</v>
      </c>
      <c r="BN528" s="31">
        <f t="shared" si="268"/>
        <v>0</v>
      </c>
      <c r="BO528" s="219">
        <f t="shared" si="269"/>
        <v>0</v>
      </c>
    </row>
    <row r="529" spans="1:67" x14ac:dyDescent="0.25">
      <c r="A529" s="157" t="s">
        <v>1336</v>
      </c>
      <c r="B529" s="176" t="str">
        <f>VLOOKUP(A529,kurspris!$A$1:$B$992,2,FALSE)</f>
        <v>Utbildning: Undervisning och lärande i en internationell kontext</v>
      </c>
      <c r="C529" s="35"/>
      <c r="D529" s="31" t="s">
        <v>117</v>
      </c>
      <c r="F529" s="60" t="s">
        <v>2273</v>
      </c>
      <c r="I529" s="31" t="s">
        <v>2276</v>
      </c>
      <c r="L529" s="38">
        <v>1</v>
      </c>
      <c r="M529" s="325">
        <v>7.5</v>
      </c>
      <c r="P529" s="31">
        <v>30</v>
      </c>
      <c r="Q529" s="196">
        <f>(M529/60)*P529</f>
        <v>3.75</v>
      </c>
      <c r="R529" s="38">
        <v>0.8</v>
      </c>
      <c r="S529" s="280">
        <f t="shared" si="242"/>
        <v>3</v>
      </c>
      <c r="T529" s="31">
        <f>VLOOKUP(A529,'Ansvar kurs'!$A$1:$C$1123,2,FALSE)</f>
        <v>2180</v>
      </c>
      <c r="U529" s="31" t="str">
        <f>VLOOKUP(T529,Orgenheter!$A$1:$C$166,2,FALSE)</f>
        <v xml:space="preserve">Pedagogik                     </v>
      </c>
      <c r="V529" s="31" t="str">
        <f>VLOOKUP(T529,Orgenheter!$A$1:$C$166,3,FALSE)</f>
        <v>Sam</v>
      </c>
      <c r="W529" s="35" t="str">
        <f>VLOOKUP(D529,Program!$A$1:$B$36,2,FALSE)</f>
        <v>Fristående och övriga kurser</v>
      </c>
      <c r="X529" s="40">
        <f>VLOOKUP(A529,kurspris!$A$1:$Q$913,15,FALSE)</f>
        <v>20766</v>
      </c>
      <c r="Y529" s="40">
        <f>VLOOKUP(A529,kurspris!$A$1:$Q$913,16,FALSE)</f>
        <v>17442</v>
      </c>
      <c r="Z529" s="40">
        <f t="shared" si="243"/>
        <v>130198.5</v>
      </c>
      <c r="AA529" s="40">
        <f>VLOOKUP(A529,kurspris!$A$1:$Q$913,17,FALSE)</f>
        <v>6000</v>
      </c>
      <c r="AB529" s="40">
        <f t="shared" si="244"/>
        <v>22500</v>
      </c>
      <c r="AC529" s="40">
        <f t="shared" si="245"/>
        <v>152698.5</v>
      </c>
      <c r="AD529" s="31">
        <f>VLOOKUP($A529,kurspris!$A$1:$Q$950,3,FALSE)</f>
        <v>0</v>
      </c>
      <c r="AE529" s="31">
        <f>VLOOKUP($A529,kurspris!$A$1:$Q$950,4,FALSE)</f>
        <v>0</v>
      </c>
      <c r="AF529" s="31">
        <f>VLOOKUP($A529,kurspris!$A$1:$Q$950,5,FALSE)</f>
        <v>0</v>
      </c>
      <c r="AG529" s="31">
        <f>VLOOKUP($A529,kurspris!$A$1:$Q$950,6,FALSE)</f>
        <v>0</v>
      </c>
      <c r="AH529" s="31">
        <f>VLOOKUP($A529,kurspris!$A$1:$Q$950,7,FALSE)</f>
        <v>0</v>
      </c>
      <c r="AI529" s="31">
        <f>VLOOKUP($A529,kurspris!$A$1:$Q$950,8,FALSE)</f>
        <v>0</v>
      </c>
      <c r="AJ529" s="31">
        <f>VLOOKUP($A529,kurspris!$A$1:$Q$950,9,FALSE)</f>
        <v>1</v>
      </c>
      <c r="AK529" s="31">
        <f>VLOOKUP($A529,kurspris!$A$1:$Q$950,10,FALSE)</f>
        <v>0</v>
      </c>
      <c r="AL529" s="31">
        <f>VLOOKUP($A529,kurspris!$A$1:$Q$950,11,FALSE)</f>
        <v>0</v>
      </c>
      <c r="AM529" s="31">
        <f>VLOOKUP($A529,kurspris!$A$1:$Q$950,12,FALSE)</f>
        <v>0</v>
      </c>
      <c r="AN529" s="31">
        <f>VLOOKUP($A529,kurspris!$A$1:$Q$950,13,FALSE)</f>
        <v>0</v>
      </c>
      <c r="AO529" s="31">
        <f>VLOOKUP($A529,kurspris!$A$1:$Q$950,14,FALSE)</f>
        <v>0</v>
      </c>
      <c r="AP529" s="57" t="s">
        <v>2267</v>
      </c>
      <c r="AQ529" s="37"/>
      <c r="AR529" s="31">
        <f t="shared" si="246"/>
        <v>0</v>
      </c>
      <c r="AS529" s="219">
        <f t="shared" si="247"/>
        <v>0</v>
      </c>
      <c r="AT529" s="31">
        <f t="shared" si="248"/>
        <v>0</v>
      </c>
      <c r="AU529" s="219">
        <f t="shared" si="249"/>
        <v>0</v>
      </c>
      <c r="AV529" s="31">
        <f t="shared" si="250"/>
        <v>0</v>
      </c>
      <c r="AW529" s="31">
        <f t="shared" si="251"/>
        <v>0</v>
      </c>
      <c r="AX529" s="31">
        <f t="shared" si="252"/>
        <v>0</v>
      </c>
      <c r="AY529" s="219">
        <f t="shared" si="253"/>
        <v>0</v>
      </c>
      <c r="AZ529" s="196">
        <f t="shared" si="254"/>
        <v>0</v>
      </c>
      <c r="BA529" s="219">
        <f t="shared" si="255"/>
        <v>0</v>
      </c>
      <c r="BB529" s="31">
        <f t="shared" si="256"/>
        <v>0</v>
      </c>
      <c r="BC529" s="219">
        <f t="shared" si="257"/>
        <v>0</v>
      </c>
      <c r="BD529" s="31">
        <f t="shared" si="258"/>
        <v>3.75</v>
      </c>
      <c r="BE529" s="219">
        <f t="shared" si="259"/>
        <v>3</v>
      </c>
      <c r="BF529" s="31">
        <f t="shared" si="260"/>
        <v>0</v>
      </c>
      <c r="BG529" s="219">
        <f t="shared" si="261"/>
        <v>0</v>
      </c>
      <c r="BH529" s="31">
        <f t="shared" si="262"/>
        <v>0</v>
      </c>
      <c r="BI529" s="219">
        <f t="shared" si="263"/>
        <v>0</v>
      </c>
      <c r="BJ529" s="31">
        <f t="shared" si="264"/>
        <v>0</v>
      </c>
      <c r="BK529" s="219">
        <f t="shared" si="265"/>
        <v>0</v>
      </c>
      <c r="BL529" s="31">
        <f t="shared" si="266"/>
        <v>0</v>
      </c>
      <c r="BM529" s="219">
        <f t="shared" si="267"/>
        <v>0</v>
      </c>
      <c r="BN529" s="31">
        <f t="shared" si="268"/>
        <v>0</v>
      </c>
      <c r="BO529" s="219">
        <f t="shared" si="269"/>
        <v>0</v>
      </c>
    </row>
    <row r="530" spans="1:67" x14ac:dyDescent="0.25">
      <c r="A530" s="31" t="s">
        <v>1335</v>
      </c>
      <c r="B530" s="176" t="str">
        <f>VLOOKUP(A530,kurspris!$A$1:$B$992,2,FALSE)</f>
        <v>Demokrati, mänskliga rättigheter och hållbar utveckling: globala perspektiv i utbildning</v>
      </c>
      <c r="C530" s="31">
        <v>64500</v>
      </c>
      <c r="D530" s="60" t="s">
        <v>117</v>
      </c>
      <c r="E530" s="60"/>
      <c r="F530" s="57" t="s">
        <v>2274</v>
      </c>
      <c r="H530" s="31" t="s">
        <v>2395</v>
      </c>
      <c r="I530" s="31" t="s">
        <v>2275</v>
      </c>
      <c r="L530" s="38"/>
      <c r="M530">
        <v>7.5</v>
      </c>
      <c r="P530" s="31">
        <v>27</v>
      </c>
      <c r="Q530" s="539">
        <v>3.375</v>
      </c>
      <c r="R530" s="38">
        <v>0.8</v>
      </c>
      <c r="S530" s="280">
        <f t="shared" si="242"/>
        <v>2.7</v>
      </c>
      <c r="T530" s="31">
        <f>VLOOKUP(A530,'Ansvar kurs'!$A$1:$C$1123,2,FALSE)</f>
        <v>2180</v>
      </c>
      <c r="U530" s="31" t="str">
        <f>VLOOKUP(T530,Orgenheter!$A$1:$C$166,2,FALSE)</f>
        <v xml:space="preserve">Pedagogik                     </v>
      </c>
      <c r="V530" s="31" t="str">
        <f>VLOOKUP(T530,Orgenheter!$A$1:$C$166,3,FALSE)</f>
        <v>Sam</v>
      </c>
      <c r="W530" s="35" t="str">
        <f>VLOOKUP(D530,Program!$A$1:$B$36,2,FALSE)</f>
        <v>Fristående och övriga kurser</v>
      </c>
      <c r="X530" s="40">
        <f>VLOOKUP(A530,kurspris!$A$1:$Q$913,15,FALSE)</f>
        <v>20766</v>
      </c>
      <c r="Y530" s="40">
        <f>VLOOKUP(A530,kurspris!$A$1:$Q$913,16,FALSE)</f>
        <v>17442</v>
      </c>
      <c r="Z530" s="40">
        <f t="shared" si="243"/>
        <v>117178.65</v>
      </c>
      <c r="AA530" s="40">
        <f>VLOOKUP(A530,kurspris!$A$1:$Q$913,17,FALSE)</f>
        <v>6000</v>
      </c>
      <c r="AB530" s="40">
        <f t="shared" si="244"/>
        <v>20250</v>
      </c>
      <c r="AC530" s="40">
        <f t="shared" si="245"/>
        <v>137428.65</v>
      </c>
      <c r="AD530" s="31">
        <f>VLOOKUP($A530,kurspris!$A$1:$Q$950,3,FALSE)</f>
        <v>0</v>
      </c>
      <c r="AE530" s="31">
        <f>VLOOKUP($A530,kurspris!$A$1:$Q$950,4,FALSE)</f>
        <v>0</v>
      </c>
      <c r="AF530" s="31">
        <f>VLOOKUP($A530,kurspris!$A$1:$Q$950,5,FALSE)</f>
        <v>0</v>
      </c>
      <c r="AG530" s="31">
        <f>VLOOKUP($A530,kurspris!$A$1:$Q$950,6,FALSE)</f>
        <v>0</v>
      </c>
      <c r="AH530" s="31">
        <f>VLOOKUP($A530,kurspris!$A$1:$Q$950,7,FALSE)</f>
        <v>0</v>
      </c>
      <c r="AI530" s="31">
        <f>VLOOKUP($A530,kurspris!$A$1:$Q$950,8,FALSE)</f>
        <v>0</v>
      </c>
      <c r="AJ530" s="31">
        <f>VLOOKUP($A530,kurspris!$A$1:$Q$950,9,FALSE)</f>
        <v>1</v>
      </c>
      <c r="AK530" s="31">
        <f>VLOOKUP($A530,kurspris!$A$1:$Q$950,10,FALSE)</f>
        <v>0</v>
      </c>
      <c r="AL530" s="31">
        <f>VLOOKUP($A530,kurspris!$A$1:$Q$950,11,FALSE)</f>
        <v>0</v>
      </c>
      <c r="AM530" s="31">
        <f>VLOOKUP($A530,kurspris!$A$1:$Q$950,12,FALSE)</f>
        <v>0</v>
      </c>
      <c r="AN530" s="31">
        <f>VLOOKUP($A530,kurspris!$A$1:$Q$950,13,FALSE)</f>
        <v>0</v>
      </c>
      <c r="AO530" s="31">
        <f>VLOOKUP($A530,kurspris!$A$1:$Q$950,14,FALSE)</f>
        <v>0</v>
      </c>
      <c r="AP530" s="57" t="s">
        <v>2402</v>
      </c>
      <c r="AQ530"/>
      <c r="AR530" s="31">
        <f t="shared" si="246"/>
        <v>0</v>
      </c>
      <c r="AS530" s="219">
        <f t="shared" si="247"/>
        <v>0</v>
      </c>
      <c r="AT530" s="31">
        <f t="shared" si="248"/>
        <v>0</v>
      </c>
      <c r="AU530" s="219">
        <f t="shared" si="249"/>
        <v>0</v>
      </c>
      <c r="AV530" s="31">
        <f t="shared" si="250"/>
        <v>0</v>
      </c>
      <c r="AW530" s="31">
        <f t="shared" si="251"/>
        <v>0</v>
      </c>
      <c r="AX530" s="31">
        <f t="shared" si="252"/>
        <v>0</v>
      </c>
      <c r="AY530" s="219">
        <f t="shared" si="253"/>
        <v>0</v>
      </c>
      <c r="AZ530" s="196">
        <f t="shared" si="254"/>
        <v>0</v>
      </c>
      <c r="BA530" s="219">
        <f t="shared" si="255"/>
        <v>0</v>
      </c>
      <c r="BB530" s="31">
        <f t="shared" si="256"/>
        <v>0</v>
      </c>
      <c r="BC530" s="219">
        <f t="shared" si="257"/>
        <v>0</v>
      </c>
      <c r="BD530" s="31">
        <f t="shared" si="258"/>
        <v>3.375</v>
      </c>
      <c r="BE530" s="219">
        <f t="shared" si="259"/>
        <v>2.7</v>
      </c>
      <c r="BF530" s="31">
        <f t="shared" si="260"/>
        <v>0</v>
      </c>
      <c r="BG530" s="219">
        <f t="shared" si="261"/>
        <v>0</v>
      </c>
      <c r="BH530" s="31">
        <f t="shared" si="262"/>
        <v>0</v>
      </c>
      <c r="BI530" s="219">
        <f t="shared" si="263"/>
        <v>0</v>
      </c>
      <c r="BJ530" s="31">
        <f t="shared" si="264"/>
        <v>0</v>
      </c>
      <c r="BK530" s="219">
        <f t="shared" si="265"/>
        <v>0</v>
      </c>
      <c r="BL530" s="31">
        <f t="shared" si="266"/>
        <v>0</v>
      </c>
      <c r="BM530" s="219">
        <f t="shared" si="267"/>
        <v>0</v>
      </c>
      <c r="BN530" s="31">
        <f t="shared" si="268"/>
        <v>0</v>
      </c>
      <c r="BO530" s="219">
        <f t="shared" si="269"/>
        <v>0</v>
      </c>
    </row>
    <row r="531" spans="1:67" x14ac:dyDescent="0.25">
      <c r="A531" s="31" t="s">
        <v>1335</v>
      </c>
      <c r="B531" s="176" t="str">
        <f>VLOOKUP(A531,kurspris!$A$1:$B$992,2,FALSE)</f>
        <v>Demokrati, mänskliga rättigheter och hållbar utveckling: globala perspektiv i utbildning</v>
      </c>
      <c r="C531" s="31">
        <v>64505</v>
      </c>
      <c r="D531" s="60" t="s">
        <v>117</v>
      </c>
      <c r="E531" s="60"/>
      <c r="F531" s="57" t="s">
        <v>2274</v>
      </c>
      <c r="H531" s="31" t="s">
        <v>2335</v>
      </c>
      <c r="I531" s="31" t="s">
        <v>2399</v>
      </c>
      <c r="L531" s="38"/>
      <c r="M531">
        <v>7.5</v>
      </c>
      <c r="P531" s="31">
        <v>1</v>
      </c>
      <c r="Q531" s="539">
        <v>0.125</v>
      </c>
      <c r="R531" s="38">
        <v>0.8</v>
      </c>
      <c r="S531" s="280">
        <f t="shared" si="242"/>
        <v>0.1</v>
      </c>
      <c r="T531" s="31">
        <f>VLOOKUP(A531,'Ansvar kurs'!$A$1:$C$1123,2,FALSE)</f>
        <v>2180</v>
      </c>
      <c r="U531" s="31" t="str">
        <f>VLOOKUP(T531,Orgenheter!$A$1:$C$166,2,FALSE)</f>
        <v xml:space="preserve">Pedagogik                     </v>
      </c>
      <c r="V531" s="31" t="str">
        <f>VLOOKUP(T531,Orgenheter!$A$1:$C$166,3,FALSE)</f>
        <v>Sam</v>
      </c>
      <c r="W531" s="35" t="str">
        <f>VLOOKUP(D531,Program!$A$1:$B$36,2,FALSE)</f>
        <v>Fristående och övriga kurser</v>
      </c>
      <c r="X531" s="40">
        <f>VLOOKUP(A531,kurspris!$A$1:$Q$913,15,FALSE)</f>
        <v>20766</v>
      </c>
      <c r="Y531" s="40">
        <f>VLOOKUP(A531,kurspris!$A$1:$Q$913,16,FALSE)</f>
        <v>17442</v>
      </c>
      <c r="Z531" s="40">
        <f t="shared" si="243"/>
        <v>4339.95</v>
      </c>
      <c r="AA531" s="40">
        <f>VLOOKUP(A531,kurspris!$A$1:$Q$913,17,FALSE)</f>
        <v>6000</v>
      </c>
      <c r="AB531" s="40">
        <f t="shared" si="244"/>
        <v>750</v>
      </c>
      <c r="AC531" s="40">
        <f t="shared" si="245"/>
        <v>5089.95</v>
      </c>
      <c r="AD531" s="31">
        <f>VLOOKUP($A531,kurspris!$A$1:$Q$950,3,FALSE)</f>
        <v>0</v>
      </c>
      <c r="AE531" s="31">
        <f>VLOOKUP($A531,kurspris!$A$1:$Q$950,4,FALSE)</f>
        <v>0</v>
      </c>
      <c r="AF531" s="31">
        <f>VLOOKUP($A531,kurspris!$A$1:$Q$950,5,FALSE)</f>
        <v>0</v>
      </c>
      <c r="AG531" s="31">
        <f>VLOOKUP($A531,kurspris!$A$1:$Q$950,6,FALSE)</f>
        <v>0</v>
      </c>
      <c r="AH531" s="31">
        <f>VLOOKUP($A531,kurspris!$A$1:$Q$950,7,FALSE)</f>
        <v>0</v>
      </c>
      <c r="AI531" s="31">
        <f>VLOOKUP($A531,kurspris!$A$1:$Q$950,8,FALSE)</f>
        <v>0</v>
      </c>
      <c r="AJ531" s="31">
        <f>VLOOKUP($A531,kurspris!$A$1:$Q$950,9,FALSE)</f>
        <v>1</v>
      </c>
      <c r="AK531" s="31">
        <f>VLOOKUP($A531,kurspris!$A$1:$Q$950,10,FALSE)</f>
        <v>0</v>
      </c>
      <c r="AL531" s="31">
        <f>VLOOKUP($A531,kurspris!$A$1:$Q$950,11,FALSE)</f>
        <v>0</v>
      </c>
      <c r="AM531" s="31">
        <f>VLOOKUP($A531,kurspris!$A$1:$Q$950,12,FALSE)</f>
        <v>0</v>
      </c>
      <c r="AN531" s="31">
        <f>VLOOKUP($A531,kurspris!$A$1:$Q$950,13,FALSE)</f>
        <v>0</v>
      </c>
      <c r="AO531" s="31">
        <f>VLOOKUP($A531,kurspris!$A$1:$Q$950,14,FALSE)</f>
        <v>0</v>
      </c>
      <c r="AP531" s="57" t="s">
        <v>2402</v>
      </c>
      <c r="AQ531"/>
      <c r="AR531" s="31">
        <f t="shared" si="246"/>
        <v>0</v>
      </c>
      <c r="AS531" s="219">
        <f t="shared" si="247"/>
        <v>0</v>
      </c>
      <c r="AT531" s="31">
        <f t="shared" si="248"/>
        <v>0</v>
      </c>
      <c r="AU531" s="219">
        <f t="shared" si="249"/>
        <v>0</v>
      </c>
      <c r="AV531" s="31">
        <f t="shared" si="250"/>
        <v>0</v>
      </c>
      <c r="AW531" s="31">
        <f t="shared" si="251"/>
        <v>0</v>
      </c>
      <c r="AX531" s="31">
        <f t="shared" si="252"/>
        <v>0</v>
      </c>
      <c r="AY531" s="219">
        <f t="shared" si="253"/>
        <v>0</v>
      </c>
      <c r="AZ531" s="196">
        <f t="shared" si="254"/>
        <v>0</v>
      </c>
      <c r="BA531" s="219">
        <f t="shared" si="255"/>
        <v>0</v>
      </c>
      <c r="BB531" s="31">
        <f t="shared" si="256"/>
        <v>0</v>
      </c>
      <c r="BC531" s="219">
        <f t="shared" si="257"/>
        <v>0</v>
      </c>
      <c r="BD531" s="31">
        <f t="shared" si="258"/>
        <v>0.125</v>
      </c>
      <c r="BE531" s="219">
        <f t="shared" si="259"/>
        <v>0.1</v>
      </c>
      <c r="BF531" s="31">
        <f t="shared" si="260"/>
        <v>0</v>
      </c>
      <c r="BG531" s="219">
        <f t="shared" si="261"/>
        <v>0</v>
      </c>
      <c r="BH531" s="31">
        <f t="shared" si="262"/>
        <v>0</v>
      </c>
      <c r="BI531" s="219">
        <f t="shared" si="263"/>
        <v>0</v>
      </c>
      <c r="BJ531" s="31">
        <f t="shared" si="264"/>
        <v>0</v>
      </c>
      <c r="BK531" s="219">
        <f t="shared" si="265"/>
        <v>0</v>
      </c>
      <c r="BL531" s="31">
        <f t="shared" si="266"/>
        <v>0</v>
      </c>
      <c r="BM531" s="219">
        <f t="shared" si="267"/>
        <v>0</v>
      </c>
      <c r="BN531" s="31">
        <f t="shared" si="268"/>
        <v>0</v>
      </c>
      <c r="BO531" s="219">
        <f t="shared" si="269"/>
        <v>0</v>
      </c>
    </row>
    <row r="532" spans="1:67" x14ac:dyDescent="0.25">
      <c r="A532" s="31" t="s">
        <v>1335</v>
      </c>
      <c r="B532" s="176" t="str">
        <f>VLOOKUP(A532,kurspris!$A$1:$B$992,2,FALSE)</f>
        <v>Demokrati, mänskliga rättigheter och hållbar utveckling: globala perspektiv i utbildning</v>
      </c>
      <c r="C532" s="31" t="s">
        <v>2389</v>
      </c>
      <c r="D532" s="60" t="s">
        <v>117</v>
      </c>
      <c r="E532" s="60"/>
      <c r="F532" s="57" t="s">
        <v>2274</v>
      </c>
      <c r="H532" s="31" t="s">
        <v>2335</v>
      </c>
      <c r="I532" s="31" t="s">
        <v>2399</v>
      </c>
      <c r="L532" s="38"/>
      <c r="M532">
        <v>7.5</v>
      </c>
      <c r="P532" s="31">
        <v>14</v>
      </c>
      <c r="Q532" s="539">
        <v>1.75</v>
      </c>
      <c r="R532" s="38">
        <v>0.8</v>
      </c>
      <c r="S532" s="280">
        <f t="shared" si="242"/>
        <v>1.4000000000000001</v>
      </c>
      <c r="T532" s="31">
        <f>VLOOKUP(A532,'Ansvar kurs'!$A$1:$C$1123,2,FALSE)</f>
        <v>2180</v>
      </c>
      <c r="U532" s="31" t="str">
        <f>VLOOKUP(T532,Orgenheter!$A$1:$C$166,2,FALSE)</f>
        <v xml:space="preserve">Pedagogik                     </v>
      </c>
      <c r="V532" s="31" t="str">
        <f>VLOOKUP(T532,Orgenheter!$A$1:$C$166,3,FALSE)</f>
        <v>Sam</v>
      </c>
      <c r="W532" s="35" t="str">
        <f>VLOOKUP(D532,Program!$A$1:$B$36,2,FALSE)</f>
        <v>Fristående och övriga kurser</v>
      </c>
      <c r="X532" s="40">
        <f>VLOOKUP(A532,kurspris!$A$1:$Q$913,15,FALSE)</f>
        <v>20766</v>
      </c>
      <c r="Y532" s="40">
        <f>VLOOKUP(A532,kurspris!$A$1:$Q$913,16,FALSE)</f>
        <v>17442</v>
      </c>
      <c r="Z532" s="40">
        <f t="shared" si="243"/>
        <v>60759.3</v>
      </c>
      <c r="AA532" s="40">
        <f>VLOOKUP(A532,kurspris!$A$1:$Q$913,17,FALSE)</f>
        <v>6000</v>
      </c>
      <c r="AB532" s="40">
        <f t="shared" si="244"/>
        <v>10500</v>
      </c>
      <c r="AC532" s="40">
        <f t="shared" si="245"/>
        <v>71259.3</v>
      </c>
      <c r="AD532" s="31">
        <f>VLOOKUP($A532,kurspris!$A$1:$Q$950,3,FALSE)</f>
        <v>0</v>
      </c>
      <c r="AE532" s="31">
        <f>VLOOKUP($A532,kurspris!$A$1:$Q$950,4,FALSE)</f>
        <v>0</v>
      </c>
      <c r="AF532" s="31">
        <f>VLOOKUP($A532,kurspris!$A$1:$Q$950,5,FALSE)</f>
        <v>0</v>
      </c>
      <c r="AG532" s="31">
        <f>VLOOKUP($A532,kurspris!$A$1:$Q$950,6,FALSE)</f>
        <v>0</v>
      </c>
      <c r="AH532" s="31">
        <f>VLOOKUP($A532,kurspris!$A$1:$Q$950,7,FALSE)</f>
        <v>0</v>
      </c>
      <c r="AI532" s="31">
        <f>VLOOKUP($A532,kurspris!$A$1:$Q$950,8,FALSE)</f>
        <v>0</v>
      </c>
      <c r="AJ532" s="31">
        <f>VLOOKUP($A532,kurspris!$A$1:$Q$950,9,FALSE)</f>
        <v>1</v>
      </c>
      <c r="AK532" s="31">
        <f>VLOOKUP($A532,kurspris!$A$1:$Q$950,10,FALSE)</f>
        <v>0</v>
      </c>
      <c r="AL532" s="31">
        <f>VLOOKUP($A532,kurspris!$A$1:$Q$950,11,FALSE)</f>
        <v>0</v>
      </c>
      <c r="AM532" s="31">
        <f>VLOOKUP($A532,kurspris!$A$1:$Q$950,12,FALSE)</f>
        <v>0</v>
      </c>
      <c r="AN532" s="31">
        <f>VLOOKUP($A532,kurspris!$A$1:$Q$950,13,FALSE)</f>
        <v>0</v>
      </c>
      <c r="AO532" s="31">
        <f>VLOOKUP($A532,kurspris!$A$1:$Q$950,14,FALSE)</f>
        <v>0</v>
      </c>
      <c r="AP532" s="57" t="s">
        <v>2402</v>
      </c>
      <c r="AQ532"/>
      <c r="AR532" s="31">
        <f t="shared" si="246"/>
        <v>0</v>
      </c>
      <c r="AS532" s="219">
        <f t="shared" si="247"/>
        <v>0</v>
      </c>
      <c r="AT532" s="31">
        <f t="shared" si="248"/>
        <v>0</v>
      </c>
      <c r="AU532" s="219">
        <f t="shared" si="249"/>
        <v>0</v>
      </c>
      <c r="AV532" s="31">
        <f t="shared" si="250"/>
        <v>0</v>
      </c>
      <c r="AW532" s="31">
        <f t="shared" si="251"/>
        <v>0</v>
      </c>
      <c r="AX532" s="31">
        <f t="shared" si="252"/>
        <v>0</v>
      </c>
      <c r="AY532" s="219">
        <f t="shared" si="253"/>
        <v>0</v>
      </c>
      <c r="AZ532" s="196">
        <f t="shared" si="254"/>
        <v>0</v>
      </c>
      <c r="BA532" s="219">
        <f t="shared" si="255"/>
        <v>0</v>
      </c>
      <c r="BB532" s="31">
        <f t="shared" si="256"/>
        <v>0</v>
      </c>
      <c r="BC532" s="219">
        <f t="shared" si="257"/>
        <v>0</v>
      </c>
      <c r="BD532" s="31">
        <f t="shared" si="258"/>
        <v>1.75</v>
      </c>
      <c r="BE532" s="219">
        <f t="shared" si="259"/>
        <v>1.4000000000000001</v>
      </c>
      <c r="BF532" s="31">
        <f t="shared" si="260"/>
        <v>0</v>
      </c>
      <c r="BG532" s="219">
        <f t="shared" si="261"/>
        <v>0</v>
      </c>
      <c r="BH532" s="31">
        <f t="shared" si="262"/>
        <v>0</v>
      </c>
      <c r="BI532" s="219">
        <f t="shared" si="263"/>
        <v>0</v>
      </c>
      <c r="BJ532" s="31">
        <f t="shared" si="264"/>
        <v>0</v>
      </c>
      <c r="BK532" s="219">
        <f t="shared" si="265"/>
        <v>0</v>
      </c>
      <c r="BL532" s="31">
        <f t="shared" si="266"/>
        <v>0</v>
      </c>
      <c r="BM532" s="219">
        <f t="shared" si="267"/>
        <v>0</v>
      </c>
      <c r="BN532" s="31">
        <f t="shared" si="268"/>
        <v>0</v>
      </c>
      <c r="BO532" s="219">
        <f t="shared" si="269"/>
        <v>0</v>
      </c>
    </row>
    <row r="533" spans="1:67" x14ac:dyDescent="0.25">
      <c r="A533" s="31" t="s">
        <v>1335</v>
      </c>
      <c r="B533" s="176" t="str">
        <f>VLOOKUP(A533,kurspris!$A$1:$B$992,2,FALSE)</f>
        <v>Demokrati, mänskliga rättigheter och hållbar utveckling: globala perspektiv i utbildning</v>
      </c>
      <c r="C533" s="31" t="s">
        <v>2390</v>
      </c>
      <c r="D533" s="60" t="s">
        <v>117</v>
      </c>
      <c r="E533" s="60"/>
      <c r="F533" s="57" t="s">
        <v>2274</v>
      </c>
      <c r="H533" s="31" t="s">
        <v>2335</v>
      </c>
      <c r="I533" s="31" t="s">
        <v>2399</v>
      </c>
      <c r="L533" s="38"/>
      <c r="M533">
        <v>7.5</v>
      </c>
      <c r="P533" s="31">
        <v>3</v>
      </c>
      <c r="Q533" s="539">
        <v>0.375</v>
      </c>
      <c r="R533" s="38">
        <v>0.8</v>
      </c>
      <c r="S533" s="280">
        <f t="shared" si="242"/>
        <v>0.30000000000000004</v>
      </c>
      <c r="T533" s="31">
        <f>VLOOKUP(A533,'Ansvar kurs'!$A$1:$C$1123,2,FALSE)</f>
        <v>2180</v>
      </c>
      <c r="U533" s="31" t="str">
        <f>VLOOKUP(T533,Orgenheter!$A$1:$C$166,2,FALSE)</f>
        <v xml:space="preserve">Pedagogik                     </v>
      </c>
      <c r="V533" s="31" t="str">
        <f>VLOOKUP(T533,Orgenheter!$A$1:$C$166,3,FALSE)</f>
        <v>Sam</v>
      </c>
      <c r="W533" s="35" t="str">
        <f>VLOOKUP(D533,Program!$A$1:$B$36,2,FALSE)</f>
        <v>Fristående och övriga kurser</v>
      </c>
      <c r="X533" s="40">
        <f>VLOOKUP(A533,kurspris!$A$1:$Q$913,15,FALSE)</f>
        <v>20766</v>
      </c>
      <c r="Y533" s="40">
        <f>VLOOKUP(A533,kurspris!$A$1:$Q$913,16,FALSE)</f>
        <v>17442</v>
      </c>
      <c r="Z533" s="40">
        <f t="shared" si="243"/>
        <v>13019.85</v>
      </c>
      <c r="AA533" s="40">
        <f>VLOOKUP(A533,kurspris!$A$1:$Q$913,17,FALSE)</f>
        <v>6000</v>
      </c>
      <c r="AB533" s="40">
        <f t="shared" si="244"/>
        <v>2250</v>
      </c>
      <c r="AC533" s="40">
        <f t="shared" si="245"/>
        <v>15269.85</v>
      </c>
      <c r="AD533" s="31">
        <f>VLOOKUP($A533,kurspris!$A$1:$Q$950,3,FALSE)</f>
        <v>0</v>
      </c>
      <c r="AE533" s="31">
        <f>VLOOKUP($A533,kurspris!$A$1:$Q$950,4,FALSE)</f>
        <v>0</v>
      </c>
      <c r="AF533" s="31">
        <f>VLOOKUP($A533,kurspris!$A$1:$Q$950,5,FALSE)</f>
        <v>0</v>
      </c>
      <c r="AG533" s="31">
        <f>VLOOKUP($A533,kurspris!$A$1:$Q$950,6,FALSE)</f>
        <v>0</v>
      </c>
      <c r="AH533" s="31">
        <f>VLOOKUP($A533,kurspris!$A$1:$Q$950,7,FALSE)</f>
        <v>0</v>
      </c>
      <c r="AI533" s="31">
        <f>VLOOKUP($A533,kurspris!$A$1:$Q$950,8,FALSE)</f>
        <v>0</v>
      </c>
      <c r="AJ533" s="31">
        <f>VLOOKUP($A533,kurspris!$A$1:$Q$950,9,FALSE)</f>
        <v>1</v>
      </c>
      <c r="AK533" s="31">
        <f>VLOOKUP($A533,kurspris!$A$1:$Q$950,10,FALSE)</f>
        <v>0</v>
      </c>
      <c r="AL533" s="31">
        <f>VLOOKUP($A533,kurspris!$A$1:$Q$950,11,FALSE)</f>
        <v>0</v>
      </c>
      <c r="AM533" s="31">
        <f>VLOOKUP($A533,kurspris!$A$1:$Q$950,12,FALSE)</f>
        <v>0</v>
      </c>
      <c r="AN533" s="31">
        <f>VLOOKUP($A533,kurspris!$A$1:$Q$950,13,FALSE)</f>
        <v>0</v>
      </c>
      <c r="AO533" s="31">
        <f>VLOOKUP($A533,kurspris!$A$1:$Q$950,14,FALSE)</f>
        <v>0</v>
      </c>
      <c r="AP533" s="57" t="s">
        <v>2402</v>
      </c>
      <c r="AQ533"/>
      <c r="AR533" s="31">
        <f t="shared" si="246"/>
        <v>0</v>
      </c>
      <c r="AS533" s="219">
        <f t="shared" si="247"/>
        <v>0</v>
      </c>
      <c r="AT533" s="31">
        <f t="shared" si="248"/>
        <v>0</v>
      </c>
      <c r="AU533" s="219">
        <f t="shared" si="249"/>
        <v>0</v>
      </c>
      <c r="AV533" s="31">
        <f t="shared" si="250"/>
        <v>0</v>
      </c>
      <c r="AW533" s="31">
        <f t="shared" si="251"/>
        <v>0</v>
      </c>
      <c r="AX533" s="31">
        <f t="shared" si="252"/>
        <v>0</v>
      </c>
      <c r="AY533" s="219">
        <f t="shared" si="253"/>
        <v>0</v>
      </c>
      <c r="AZ533" s="196">
        <f t="shared" si="254"/>
        <v>0</v>
      </c>
      <c r="BA533" s="219">
        <f t="shared" si="255"/>
        <v>0</v>
      </c>
      <c r="BB533" s="31">
        <f t="shared" si="256"/>
        <v>0</v>
      </c>
      <c r="BC533" s="219">
        <f t="shared" si="257"/>
        <v>0</v>
      </c>
      <c r="BD533" s="31">
        <f t="shared" si="258"/>
        <v>0.375</v>
      </c>
      <c r="BE533" s="219">
        <f t="shared" si="259"/>
        <v>0.30000000000000004</v>
      </c>
      <c r="BF533" s="31">
        <f t="shared" si="260"/>
        <v>0</v>
      </c>
      <c r="BG533" s="219">
        <f t="shared" si="261"/>
        <v>0</v>
      </c>
      <c r="BH533" s="31">
        <f t="shared" si="262"/>
        <v>0</v>
      </c>
      <c r="BI533" s="219">
        <f t="shared" si="263"/>
        <v>0</v>
      </c>
      <c r="BJ533" s="31">
        <f t="shared" si="264"/>
        <v>0</v>
      </c>
      <c r="BK533" s="219">
        <f t="shared" si="265"/>
        <v>0</v>
      </c>
      <c r="BL533" s="31">
        <f t="shared" si="266"/>
        <v>0</v>
      </c>
      <c r="BM533" s="219">
        <f t="shared" si="267"/>
        <v>0</v>
      </c>
      <c r="BN533" s="31">
        <f t="shared" si="268"/>
        <v>0</v>
      </c>
      <c r="BO533" s="219">
        <f t="shared" si="269"/>
        <v>0</v>
      </c>
    </row>
    <row r="534" spans="1:67" x14ac:dyDescent="0.25">
      <c r="A534" s="157" t="s">
        <v>1335</v>
      </c>
      <c r="B534" s="176" t="str">
        <f>VLOOKUP(A534,kurspris!$A$1:$B$992,2,FALSE)</f>
        <v>Demokrati, mänskliga rättigheter och hållbar utveckling: globala perspektiv i utbildning</v>
      </c>
      <c r="C534" s="35"/>
      <c r="D534" s="31" t="s">
        <v>117</v>
      </c>
      <c r="F534" s="31" t="s">
        <v>2273</v>
      </c>
      <c r="I534" s="31" t="s">
        <v>2276</v>
      </c>
      <c r="L534" s="38">
        <v>1</v>
      </c>
      <c r="M534" s="325">
        <v>7.5</v>
      </c>
      <c r="P534" s="31">
        <v>30</v>
      </c>
      <c r="Q534" s="196">
        <f>(M534/60)*P534</f>
        <v>3.75</v>
      </c>
      <c r="R534" s="38">
        <v>0.8</v>
      </c>
      <c r="S534" s="280">
        <f t="shared" si="242"/>
        <v>3</v>
      </c>
      <c r="T534" s="31">
        <f>VLOOKUP(A534,'Ansvar kurs'!$A$1:$C$1123,2,FALSE)</f>
        <v>2180</v>
      </c>
      <c r="U534" s="31" t="str">
        <f>VLOOKUP(T534,Orgenheter!$A$1:$C$166,2,FALSE)</f>
        <v xml:space="preserve">Pedagogik                     </v>
      </c>
      <c r="V534" s="31" t="str">
        <f>VLOOKUP(T534,Orgenheter!$A$1:$C$166,3,FALSE)</f>
        <v>Sam</v>
      </c>
      <c r="W534" s="35" t="str">
        <f>VLOOKUP(D534,Program!$A$1:$B$36,2,FALSE)</f>
        <v>Fristående och övriga kurser</v>
      </c>
      <c r="X534" s="40">
        <f>VLOOKUP(A534,kurspris!$A$1:$Q$913,15,FALSE)</f>
        <v>20766</v>
      </c>
      <c r="Y534" s="40">
        <f>VLOOKUP(A534,kurspris!$A$1:$Q$913,16,FALSE)</f>
        <v>17442</v>
      </c>
      <c r="Z534" s="40">
        <f t="shared" si="243"/>
        <v>130198.5</v>
      </c>
      <c r="AA534" s="40">
        <f>VLOOKUP(A534,kurspris!$A$1:$Q$913,17,FALSE)</f>
        <v>6000</v>
      </c>
      <c r="AB534" s="40">
        <f t="shared" si="244"/>
        <v>22500</v>
      </c>
      <c r="AC534" s="40">
        <f t="shared" si="245"/>
        <v>152698.5</v>
      </c>
      <c r="AD534" s="31">
        <f>VLOOKUP($A534,kurspris!$A$1:$Q$950,3,FALSE)</f>
        <v>0</v>
      </c>
      <c r="AE534" s="31">
        <f>VLOOKUP($A534,kurspris!$A$1:$Q$950,4,FALSE)</f>
        <v>0</v>
      </c>
      <c r="AF534" s="31">
        <f>VLOOKUP($A534,kurspris!$A$1:$Q$950,5,FALSE)</f>
        <v>0</v>
      </c>
      <c r="AG534" s="31">
        <f>VLOOKUP($A534,kurspris!$A$1:$Q$950,6,FALSE)</f>
        <v>0</v>
      </c>
      <c r="AH534" s="31">
        <f>VLOOKUP($A534,kurspris!$A$1:$Q$950,7,FALSE)</f>
        <v>0</v>
      </c>
      <c r="AI534" s="31">
        <f>VLOOKUP($A534,kurspris!$A$1:$Q$950,8,FALSE)</f>
        <v>0</v>
      </c>
      <c r="AJ534" s="31">
        <f>VLOOKUP($A534,kurspris!$A$1:$Q$950,9,FALSE)</f>
        <v>1</v>
      </c>
      <c r="AK534" s="31">
        <f>VLOOKUP($A534,kurspris!$A$1:$Q$950,10,FALSE)</f>
        <v>0</v>
      </c>
      <c r="AL534" s="31">
        <f>VLOOKUP($A534,kurspris!$A$1:$Q$950,11,FALSE)</f>
        <v>0</v>
      </c>
      <c r="AM534" s="31">
        <f>VLOOKUP($A534,kurspris!$A$1:$Q$950,12,FALSE)</f>
        <v>0</v>
      </c>
      <c r="AN534" s="31">
        <f>VLOOKUP($A534,kurspris!$A$1:$Q$950,13,FALSE)</f>
        <v>0</v>
      </c>
      <c r="AO534" s="31">
        <f>VLOOKUP($A534,kurspris!$A$1:$Q$950,14,FALSE)</f>
        <v>0</v>
      </c>
      <c r="AP534" s="57" t="s">
        <v>2267</v>
      </c>
      <c r="AQ534" s="37"/>
      <c r="AR534" s="31">
        <f t="shared" si="246"/>
        <v>0</v>
      </c>
      <c r="AS534" s="219">
        <f t="shared" si="247"/>
        <v>0</v>
      </c>
      <c r="AT534" s="31">
        <f t="shared" si="248"/>
        <v>0</v>
      </c>
      <c r="AU534" s="219">
        <f t="shared" si="249"/>
        <v>0</v>
      </c>
      <c r="AV534" s="31">
        <f t="shared" si="250"/>
        <v>0</v>
      </c>
      <c r="AW534" s="31">
        <f t="shared" si="251"/>
        <v>0</v>
      </c>
      <c r="AX534" s="31">
        <f t="shared" si="252"/>
        <v>0</v>
      </c>
      <c r="AY534" s="219">
        <f t="shared" si="253"/>
        <v>0</v>
      </c>
      <c r="AZ534" s="196">
        <f t="shared" si="254"/>
        <v>0</v>
      </c>
      <c r="BA534" s="219">
        <f t="shared" si="255"/>
        <v>0</v>
      </c>
      <c r="BB534" s="31">
        <f t="shared" si="256"/>
        <v>0</v>
      </c>
      <c r="BC534" s="219">
        <f t="shared" si="257"/>
        <v>0</v>
      </c>
      <c r="BD534" s="31">
        <f t="shared" si="258"/>
        <v>3.75</v>
      </c>
      <c r="BE534" s="219">
        <f t="shared" si="259"/>
        <v>3</v>
      </c>
      <c r="BF534" s="31">
        <f t="shared" si="260"/>
        <v>0</v>
      </c>
      <c r="BG534" s="219">
        <f t="shared" si="261"/>
        <v>0</v>
      </c>
      <c r="BH534" s="31">
        <f t="shared" si="262"/>
        <v>0</v>
      </c>
      <c r="BI534" s="219">
        <f t="shared" si="263"/>
        <v>0</v>
      </c>
      <c r="BJ534" s="31">
        <f t="shared" si="264"/>
        <v>0</v>
      </c>
      <c r="BK534" s="219">
        <f t="shared" si="265"/>
        <v>0</v>
      </c>
      <c r="BL534" s="31">
        <f t="shared" si="266"/>
        <v>0</v>
      </c>
      <c r="BM534" s="219">
        <f t="shared" si="267"/>
        <v>0</v>
      </c>
      <c r="BN534" s="31">
        <f t="shared" si="268"/>
        <v>0</v>
      </c>
      <c r="BO534" s="219">
        <f t="shared" si="269"/>
        <v>0</v>
      </c>
    </row>
    <row r="535" spans="1:67" x14ac:dyDescent="0.25">
      <c r="A535" s="157" t="s">
        <v>1337</v>
      </c>
      <c r="B535" s="176" t="str">
        <f>VLOOKUP(A535,kurspris!$A$1:$B$992,2,FALSE)</f>
        <v>Forskningsdesign och metod inom utbildningsvetenskap</v>
      </c>
      <c r="C535" s="35"/>
      <c r="D535" s="31" t="s">
        <v>117</v>
      </c>
      <c r="E535" s="57"/>
      <c r="F535" s="57" t="s">
        <v>2273</v>
      </c>
      <c r="I535" s="31" t="s">
        <v>2276</v>
      </c>
      <c r="L535" s="38">
        <v>1</v>
      </c>
      <c r="M535" s="325">
        <v>7.5</v>
      </c>
      <c r="N535" s="38"/>
      <c r="P535" s="324">
        <v>15</v>
      </c>
      <c r="Q535" s="196">
        <f>(M535/60)*P535</f>
        <v>1.875</v>
      </c>
      <c r="R535" s="38">
        <v>0.8</v>
      </c>
      <c r="S535" s="280">
        <f t="shared" si="242"/>
        <v>1.5</v>
      </c>
      <c r="T535" s="31">
        <f>VLOOKUP(A535,'Ansvar kurs'!$A$1:$C$1123,2,FALSE)</f>
        <v>2180</v>
      </c>
      <c r="U535" s="31" t="str">
        <f>VLOOKUP(T535,Orgenheter!$A$1:$C$166,2,FALSE)</f>
        <v xml:space="preserve">Pedagogik                     </v>
      </c>
      <c r="V535" s="31" t="str">
        <f>VLOOKUP(T535,Orgenheter!$A$1:$C$166,3,FALSE)</f>
        <v>Sam</v>
      </c>
      <c r="W535" s="35" t="str">
        <f>VLOOKUP(D535,Program!$A$1:$B$36,2,FALSE)</f>
        <v>Fristående och övriga kurser</v>
      </c>
      <c r="X535" s="40">
        <f>VLOOKUP(A535,kurspris!$A$1:$Q$913,15,FALSE)</f>
        <v>20766</v>
      </c>
      <c r="Y535" s="40">
        <f>VLOOKUP(A535,kurspris!$A$1:$Q$913,16,FALSE)</f>
        <v>17442</v>
      </c>
      <c r="Z535" s="40">
        <f t="shared" si="243"/>
        <v>65099.25</v>
      </c>
      <c r="AA535" s="40">
        <f>VLOOKUP(A535,kurspris!$A$1:$Q$913,17,FALSE)</f>
        <v>6000</v>
      </c>
      <c r="AB535" s="40">
        <f t="shared" si="244"/>
        <v>11250</v>
      </c>
      <c r="AC535" s="40">
        <f t="shared" si="245"/>
        <v>76349.25</v>
      </c>
      <c r="AD535" s="31">
        <f>VLOOKUP($A535,kurspris!$A$1:$Q$950,3,FALSE)</f>
        <v>0</v>
      </c>
      <c r="AE535" s="31">
        <f>VLOOKUP($A535,kurspris!$A$1:$Q$950,4,FALSE)</f>
        <v>0</v>
      </c>
      <c r="AF535" s="31">
        <f>VLOOKUP($A535,kurspris!$A$1:$Q$950,5,FALSE)</f>
        <v>0</v>
      </c>
      <c r="AG535" s="31">
        <f>VLOOKUP($A535,kurspris!$A$1:$Q$950,6,FALSE)</f>
        <v>0</v>
      </c>
      <c r="AH535" s="31">
        <f>VLOOKUP($A535,kurspris!$A$1:$Q$950,7,FALSE)</f>
        <v>0</v>
      </c>
      <c r="AI535" s="31">
        <f>VLOOKUP($A535,kurspris!$A$1:$Q$950,8,FALSE)</f>
        <v>0</v>
      </c>
      <c r="AJ535" s="31">
        <f>VLOOKUP($A535,kurspris!$A$1:$Q$950,9,FALSE)</f>
        <v>1</v>
      </c>
      <c r="AK535" s="31">
        <f>VLOOKUP($A535,kurspris!$A$1:$Q$950,10,FALSE)</f>
        <v>0</v>
      </c>
      <c r="AL535" s="31">
        <f>VLOOKUP($A535,kurspris!$A$1:$Q$950,11,FALSE)</f>
        <v>0</v>
      </c>
      <c r="AM535" s="31">
        <f>VLOOKUP($A535,kurspris!$A$1:$Q$950,12,FALSE)</f>
        <v>0</v>
      </c>
      <c r="AN535" s="31">
        <f>VLOOKUP($A535,kurspris!$A$1:$Q$950,13,FALSE)</f>
        <v>0</v>
      </c>
      <c r="AO535" s="31">
        <f>VLOOKUP($A535,kurspris!$A$1:$Q$950,14,FALSE)</f>
        <v>0</v>
      </c>
      <c r="AP535" s="57" t="s">
        <v>2267</v>
      </c>
      <c r="AQ535" s="37"/>
      <c r="AR535" s="31">
        <f t="shared" si="246"/>
        <v>0</v>
      </c>
      <c r="AS535" s="219">
        <f t="shared" si="247"/>
        <v>0</v>
      </c>
      <c r="AT535" s="31">
        <f t="shared" si="248"/>
        <v>0</v>
      </c>
      <c r="AU535" s="219">
        <f t="shared" si="249"/>
        <v>0</v>
      </c>
      <c r="AV535" s="31">
        <f t="shared" si="250"/>
        <v>0</v>
      </c>
      <c r="AW535" s="31">
        <f t="shared" si="251"/>
        <v>0</v>
      </c>
      <c r="AX535" s="31">
        <f t="shared" si="252"/>
        <v>0</v>
      </c>
      <c r="AY535" s="219">
        <f t="shared" si="253"/>
        <v>0</v>
      </c>
      <c r="AZ535" s="196">
        <f t="shared" si="254"/>
        <v>0</v>
      </c>
      <c r="BA535" s="219">
        <f t="shared" si="255"/>
        <v>0</v>
      </c>
      <c r="BB535" s="31">
        <f t="shared" si="256"/>
        <v>0</v>
      </c>
      <c r="BC535" s="219">
        <f t="shared" si="257"/>
        <v>0</v>
      </c>
      <c r="BD535" s="31">
        <f t="shared" si="258"/>
        <v>1.875</v>
      </c>
      <c r="BE535" s="219">
        <f t="shared" si="259"/>
        <v>1.5</v>
      </c>
      <c r="BF535" s="31">
        <f t="shared" si="260"/>
        <v>0</v>
      </c>
      <c r="BG535" s="219">
        <f t="shared" si="261"/>
        <v>0</v>
      </c>
      <c r="BH535" s="31">
        <f t="shared" si="262"/>
        <v>0</v>
      </c>
      <c r="BI535" s="219">
        <f t="shared" si="263"/>
        <v>0</v>
      </c>
      <c r="BJ535" s="31">
        <f t="shared" si="264"/>
        <v>0</v>
      </c>
      <c r="BK535" s="219">
        <f t="shared" si="265"/>
        <v>0</v>
      </c>
      <c r="BL535" s="31">
        <f t="shared" si="266"/>
        <v>0</v>
      </c>
      <c r="BM535" s="219">
        <f t="shared" si="267"/>
        <v>0</v>
      </c>
      <c r="BN535" s="31">
        <f t="shared" si="268"/>
        <v>0</v>
      </c>
      <c r="BO535" s="219">
        <f t="shared" si="269"/>
        <v>0</v>
      </c>
    </row>
    <row r="536" spans="1:67" x14ac:dyDescent="0.25">
      <c r="A536" s="31" t="s">
        <v>1503</v>
      </c>
      <c r="B536" s="176" t="str">
        <f>VLOOKUP(A536,kurspris!$A$1:$B$992,2,FALSE)</f>
        <v>Matematikutveckling och lärande i ett specialpedagogiskt perspektiv</v>
      </c>
      <c r="C536" s="31">
        <v>61911</v>
      </c>
      <c r="D536" s="31" t="s">
        <v>115</v>
      </c>
      <c r="F536" s="57" t="s">
        <v>2274</v>
      </c>
      <c r="H536" s="31" t="s">
        <v>2335</v>
      </c>
      <c r="I536" s="31" t="s">
        <v>2275</v>
      </c>
      <c r="J536" s="31" t="s">
        <v>2259</v>
      </c>
      <c r="L536" s="38"/>
      <c r="M536">
        <v>8</v>
      </c>
      <c r="P536" s="31">
        <v>9</v>
      </c>
      <c r="Q536" s="539">
        <v>1.2</v>
      </c>
      <c r="R536" s="38">
        <v>0.85</v>
      </c>
      <c r="S536" s="280">
        <f t="shared" si="242"/>
        <v>1.02</v>
      </c>
      <c r="T536" s="31">
        <f>VLOOKUP(A536,'Ansvar kurs'!$A$1:$C$1123,2,FALSE)</f>
        <v>5740</v>
      </c>
      <c r="U536" s="31" t="str">
        <f>VLOOKUP(T536,Orgenheter!$A$1:$C$166,2,FALSE)</f>
        <v>NMD</v>
      </c>
      <c r="V536" s="31" t="str">
        <f>VLOOKUP(T536,Orgenheter!$A$1:$C$166,3,FALSE)</f>
        <v>TekNat</v>
      </c>
      <c r="W536" s="35" t="str">
        <f>VLOOKUP(D536,Program!$A$1:$B$36,2,FALSE)</f>
        <v>Speciallärarprogrammet</v>
      </c>
      <c r="X536" s="40">
        <f>VLOOKUP(A536,kurspris!$A$1:$Q$913,15,FALSE)</f>
        <v>20757</v>
      </c>
      <c r="Y536" s="40">
        <f>VLOOKUP(A536,kurspris!$A$1:$Q$913,16,FALSE)</f>
        <v>36082</v>
      </c>
      <c r="Z536" s="40">
        <f t="shared" si="243"/>
        <v>61712.039999999994</v>
      </c>
      <c r="AA536" s="40">
        <f>VLOOKUP(A536,kurspris!$A$1:$Q$913,17,FALSE)</f>
        <v>22600</v>
      </c>
      <c r="AB536" s="40">
        <f t="shared" si="244"/>
        <v>27120</v>
      </c>
      <c r="AC536" s="40">
        <f t="shared" si="245"/>
        <v>88832.04</v>
      </c>
      <c r="AD536" s="31">
        <f>VLOOKUP($A536,kurspris!$A$1:$Q$950,3,FALSE)</f>
        <v>0</v>
      </c>
      <c r="AE536" s="31">
        <f>VLOOKUP($A536,kurspris!$A$1:$Q$950,4,FALSE)</f>
        <v>0</v>
      </c>
      <c r="AF536" s="31">
        <f>VLOOKUP($A536,kurspris!$A$1:$Q$950,5,FALSE)</f>
        <v>0</v>
      </c>
      <c r="AG536" s="31">
        <f>VLOOKUP($A536,kurspris!$A$1:$Q$950,6,FALSE)</f>
        <v>0</v>
      </c>
      <c r="AH536" s="31">
        <f>VLOOKUP($A536,kurspris!$A$1:$Q$950,7,FALSE)</f>
        <v>0</v>
      </c>
      <c r="AI536" s="31">
        <f>VLOOKUP($A536,kurspris!$A$1:$Q$950,8,FALSE)</f>
        <v>1</v>
      </c>
      <c r="AJ536" s="31">
        <f>VLOOKUP($A536,kurspris!$A$1:$Q$950,9,FALSE)</f>
        <v>0</v>
      </c>
      <c r="AK536" s="31">
        <f>VLOOKUP($A536,kurspris!$A$1:$Q$950,10,FALSE)</f>
        <v>0</v>
      </c>
      <c r="AL536" s="31">
        <f>VLOOKUP($A536,kurspris!$A$1:$Q$950,11,FALSE)</f>
        <v>0</v>
      </c>
      <c r="AM536" s="31">
        <f>VLOOKUP($A536,kurspris!$A$1:$Q$950,12,FALSE)</f>
        <v>0</v>
      </c>
      <c r="AN536" s="31">
        <f>VLOOKUP($A536,kurspris!$A$1:$Q$950,13,FALSE)</f>
        <v>0</v>
      </c>
      <c r="AO536" s="31">
        <f>VLOOKUP($A536,kurspris!$A$1:$Q$950,14,FALSE)</f>
        <v>0</v>
      </c>
      <c r="AP536" s="57" t="s">
        <v>2402</v>
      </c>
      <c r="AQ536" s="37"/>
      <c r="AR536" s="31">
        <f t="shared" si="246"/>
        <v>0</v>
      </c>
      <c r="AS536" s="219">
        <f t="shared" si="247"/>
        <v>0</v>
      </c>
      <c r="AT536" s="31">
        <f t="shared" si="248"/>
        <v>0</v>
      </c>
      <c r="AU536" s="219">
        <f t="shared" si="249"/>
        <v>0</v>
      </c>
      <c r="AV536" s="31">
        <f t="shared" si="250"/>
        <v>0</v>
      </c>
      <c r="AW536" s="31">
        <f t="shared" si="251"/>
        <v>0</v>
      </c>
      <c r="AX536" s="31">
        <f t="shared" si="252"/>
        <v>0</v>
      </c>
      <c r="AY536" s="219">
        <f t="shared" si="253"/>
        <v>0</v>
      </c>
      <c r="AZ536" s="196">
        <f t="shared" si="254"/>
        <v>0</v>
      </c>
      <c r="BA536" s="219">
        <f t="shared" si="255"/>
        <v>0</v>
      </c>
      <c r="BB536" s="31">
        <f t="shared" si="256"/>
        <v>1.2</v>
      </c>
      <c r="BC536" s="219">
        <f t="shared" si="257"/>
        <v>1.02</v>
      </c>
      <c r="BD536" s="31">
        <f t="shared" si="258"/>
        <v>0</v>
      </c>
      <c r="BE536" s="219">
        <f t="shared" si="259"/>
        <v>0</v>
      </c>
      <c r="BF536" s="31">
        <f t="shared" si="260"/>
        <v>0</v>
      </c>
      <c r="BG536" s="219">
        <f t="shared" si="261"/>
        <v>0</v>
      </c>
      <c r="BH536" s="31">
        <f t="shared" si="262"/>
        <v>0</v>
      </c>
      <c r="BI536" s="219">
        <f t="shared" si="263"/>
        <v>0</v>
      </c>
      <c r="BJ536" s="31">
        <f t="shared" si="264"/>
        <v>0</v>
      </c>
      <c r="BK536" s="219">
        <f t="shared" si="265"/>
        <v>0</v>
      </c>
      <c r="BL536" s="31">
        <f t="shared" si="266"/>
        <v>0</v>
      </c>
      <c r="BM536" s="219">
        <f t="shared" si="267"/>
        <v>0</v>
      </c>
      <c r="BN536" s="31">
        <f t="shared" si="268"/>
        <v>0</v>
      </c>
      <c r="BO536" s="219">
        <f t="shared" si="269"/>
        <v>0</v>
      </c>
    </row>
    <row r="537" spans="1:67" x14ac:dyDescent="0.25">
      <c r="A537" s="31" t="s">
        <v>1504</v>
      </c>
      <c r="B537" s="176" t="str">
        <f>VLOOKUP(A537,kurspris!$A$1:$B$992,2,FALSE)</f>
        <v>Identifiering och kartläggning av undervisning och lärande med fokus på elever i behov av särskilda utbildningsinsatser</v>
      </c>
      <c r="C537" s="31">
        <v>61910</v>
      </c>
      <c r="D537" s="60" t="s">
        <v>115</v>
      </c>
      <c r="E537" s="60"/>
      <c r="F537" s="57" t="s">
        <v>2274</v>
      </c>
      <c r="H537" s="31" t="s">
        <v>2335</v>
      </c>
      <c r="I537" s="31" t="s">
        <v>2275</v>
      </c>
      <c r="J537" s="31" t="s">
        <v>2259</v>
      </c>
      <c r="L537" s="38"/>
      <c r="M537">
        <v>12</v>
      </c>
      <c r="P537" s="31">
        <v>9</v>
      </c>
      <c r="Q537" s="539">
        <v>1.8</v>
      </c>
      <c r="R537" s="38">
        <v>0.85</v>
      </c>
      <c r="S537" s="280">
        <f t="shared" si="242"/>
        <v>1.53</v>
      </c>
      <c r="T537" s="31">
        <f>VLOOKUP(A537,'Ansvar kurs'!$A$1:$C$1123,2,FALSE)</f>
        <v>5740</v>
      </c>
      <c r="U537" s="31" t="str">
        <f>VLOOKUP(T537,Orgenheter!$A$1:$C$166,2,FALSE)</f>
        <v>NMD</v>
      </c>
      <c r="V537" s="31" t="str">
        <f>VLOOKUP(T537,Orgenheter!$A$1:$C$166,3,FALSE)</f>
        <v>TekNat</v>
      </c>
      <c r="W537" s="35" t="str">
        <f>VLOOKUP(D537,Program!$A$1:$B$36,2,FALSE)</f>
        <v>Speciallärarprogrammet</v>
      </c>
      <c r="X537" s="40">
        <f>VLOOKUP(A537,kurspris!$A$1:$Q$913,15,FALSE)</f>
        <v>20757</v>
      </c>
      <c r="Y537" s="40">
        <f>VLOOKUP(A537,kurspris!$A$1:$Q$913,16,FALSE)</f>
        <v>36082</v>
      </c>
      <c r="Z537" s="40">
        <f t="shared" si="243"/>
        <v>92568.06</v>
      </c>
      <c r="AA537" s="40">
        <f>VLOOKUP(A537,kurspris!$A$1:$Q$913,17,FALSE)</f>
        <v>22600</v>
      </c>
      <c r="AB537" s="40">
        <f t="shared" si="244"/>
        <v>40680</v>
      </c>
      <c r="AC537" s="40">
        <f t="shared" si="245"/>
        <v>133248.06</v>
      </c>
      <c r="AD537" s="31">
        <f>VLOOKUP($A537,kurspris!$A$1:$Q$950,3,FALSE)</f>
        <v>0</v>
      </c>
      <c r="AE537" s="31">
        <f>VLOOKUP($A537,kurspris!$A$1:$Q$950,4,FALSE)</f>
        <v>0</v>
      </c>
      <c r="AF537" s="31">
        <f>VLOOKUP($A537,kurspris!$A$1:$Q$950,5,FALSE)</f>
        <v>0</v>
      </c>
      <c r="AG537" s="31">
        <f>VLOOKUP($A537,kurspris!$A$1:$Q$950,6,FALSE)</f>
        <v>0</v>
      </c>
      <c r="AH537" s="31">
        <f>VLOOKUP($A537,kurspris!$A$1:$Q$950,7,FALSE)</f>
        <v>0</v>
      </c>
      <c r="AI537" s="31">
        <f>VLOOKUP($A537,kurspris!$A$1:$Q$950,8,FALSE)</f>
        <v>1</v>
      </c>
      <c r="AJ537" s="31">
        <f>VLOOKUP($A537,kurspris!$A$1:$Q$950,9,FALSE)</f>
        <v>0</v>
      </c>
      <c r="AK537" s="31">
        <f>VLOOKUP($A537,kurspris!$A$1:$Q$950,10,FALSE)</f>
        <v>0</v>
      </c>
      <c r="AL537" s="31">
        <f>VLOOKUP($A537,kurspris!$A$1:$Q$950,11,FALSE)</f>
        <v>0</v>
      </c>
      <c r="AM537" s="31">
        <f>VLOOKUP($A537,kurspris!$A$1:$Q$950,12,FALSE)</f>
        <v>0</v>
      </c>
      <c r="AN537" s="31">
        <f>VLOOKUP($A537,kurspris!$A$1:$Q$950,13,FALSE)</f>
        <v>0</v>
      </c>
      <c r="AO537" s="31">
        <f>VLOOKUP($A537,kurspris!$A$1:$Q$950,14,FALSE)</f>
        <v>0</v>
      </c>
      <c r="AP537" s="57" t="s">
        <v>2402</v>
      </c>
      <c r="AQ537"/>
      <c r="AR537" s="31">
        <f t="shared" si="246"/>
        <v>0</v>
      </c>
      <c r="AS537" s="219">
        <f t="shared" si="247"/>
        <v>0</v>
      </c>
      <c r="AT537" s="31">
        <f t="shared" si="248"/>
        <v>0</v>
      </c>
      <c r="AU537" s="219">
        <f t="shared" si="249"/>
        <v>0</v>
      </c>
      <c r="AV537" s="31">
        <f t="shared" si="250"/>
        <v>0</v>
      </c>
      <c r="AW537" s="31">
        <f t="shared" si="251"/>
        <v>0</v>
      </c>
      <c r="AX537" s="31">
        <f t="shared" si="252"/>
        <v>0</v>
      </c>
      <c r="AY537" s="219">
        <f t="shared" si="253"/>
        <v>0</v>
      </c>
      <c r="AZ537" s="196">
        <f t="shared" si="254"/>
        <v>0</v>
      </c>
      <c r="BA537" s="219">
        <f t="shared" si="255"/>
        <v>0</v>
      </c>
      <c r="BB537" s="31">
        <f t="shared" si="256"/>
        <v>1.8</v>
      </c>
      <c r="BC537" s="219">
        <f t="shared" si="257"/>
        <v>1.53</v>
      </c>
      <c r="BD537" s="31">
        <f t="shared" si="258"/>
        <v>0</v>
      </c>
      <c r="BE537" s="219">
        <f t="shared" si="259"/>
        <v>0</v>
      </c>
      <c r="BF537" s="31">
        <f t="shared" si="260"/>
        <v>0</v>
      </c>
      <c r="BG537" s="219">
        <f t="shared" si="261"/>
        <v>0</v>
      </c>
      <c r="BH537" s="31">
        <f t="shared" si="262"/>
        <v>0</v>
      </c>
      <c r="BI537" s="219">
        <f t="shared" si="263"/>
        <v>0</v>
      </c>
      <c r="BJ537" s="31">
        <f t="shared" si="264"/>
        <v>0</v>
      </c>
      <c r="BK537" s="219">
        <f t="shared" si="265"/>
        <v>0</v>
      </c>
      <c r="BL537" s="31">
        <f t="shared" si="266"/>
        <v>0</v>
      </c>
      <c r="BM537" s="219">
        <f t="shared" si="267"/>
        <v>0</v>
      </c>
      <c r="BN537" s="31">
        <f t="shared" si="268"/>
        <v>0</v>
      </c>
      <c r="BO537" s="219">
        <f t="shared" si="269"/>
        <v>0</v>
      </c>
    </row>
    <row r="538" spans="1:67" x14ac:dyDescent="0.25">
      <c r="A538" s="31" t="s">
        <v>1505</v>
      </c>
      <c r="B538" s="176" t="str">
        <f>VLOOKUP(A538,kurspris!$A$1:$B$992,2,FALSE)</f>
        <v>Stöd och stimulans i arbetet med elever i behov av särskilda utbildningsinsatser</v>
      </c>
      <c r="C538" s="31">
        <v>61913</v>
      </c>
      <c r="D538" s="60" t="s">
        <v>115</v>
      </c>
      <c r="E538" s="60"/>
      <c r="F538" s="57" t="s">
        <v>2274</v>
      </c>
      <c r="H538" s="31" t="s">
        <v>2335</v>
      </c>
      <c r="I538" s="31" t="s">
        <v>2275</v>
      </c>
      <c r="J538" s="31" t="s">
        <v>2259</v>
      </c>
      <c r="L538" s="38"/>
      <c r="M538">
        <v>10</v>
      </c>
      <c r="P538" s="31">
        <v>9</v>
      </c>
      <c r="Q538" s="539">
        <v>1.5</v>
      </c>
      <c r="R538" s="38">
        <v>0.85</v>
      </c>
      <c r="S538" s="280">
        <f t="shared" si="242"/>
        <v>1.2749999999999999</v>
      </c>
      <c r="T538" s="31">
        <f>VLOOKUP(A538,'Ansvar kurs'!$A$1:$C$1123,2,FALSE)</f>
        <v>5740</v>
      </c>
      <c r="U538" s="31" t="str">
        <f>VLOOKUP(T538,Orgenheter!$A$1:$C$166,2,FALSE)</f>
        <v>NMD</v>
      </c>
      <c r="V538" s="31" t="str">
        <f>VLOOKUP(T538,Orgenheter!$A$1:$C$166,3,FALSE)</f>
        <v>TekNat</v>
      </c>
      <c r="W538" s="35" t="str">
        <f>VLOOKUP(D538,Program!$A$1:$B$36,2,FALSE)</f>
        <v>Speciallärarprogrammet</v>
      </c>
      <c r="X538" s="40">
        <f>VLOOKUP(A538,kurspris!$A$1:$Q$913,15,FALSE)</f>
        <v>20757</v>
      </c>
      <c r="Y538" s="40">
        <f>VLOOKUP(A538,kurspris!$A$1:$Q$913,16,FALSE)</f>
        <v>36082</v>
      </c>
      <c r="Z538" s="40">
        <f t="shared" si="243"/>
        <v>77140.049999999988</v>
      </c>
      <c r="AA538" s="40">
        <f>VLOOKUP(A538,kurspris!$A$1:$Q$913,17,FALSE)</f>
        <v>22600</v>
      </c>
      <c r="AB538" s="40">
        <f t="shared" si="244"/>
        <v>33900</v>
      </c>
      <c r="AC538" s="40">
        <f t="shared" si="245"/>
        <v>111040.04999999999</v>
      </c>
      <c r="AD538" s="31">
        <f>VLOOKUP($A538,kurspris!$A$1:$Q$950,3,FALSE)</f>
        <v>0</v>
      </c>
      <c r="AE538" s="31">
        <f>VLOOKUP($A538,kurspris!$A$1:$Q$950,4,FALSE)</f>
        <v>0</v>
      </c>
      <c r="AF538" s="31">
        <f>VLOOKUP($A538,kurspris!$A$1:$Q$950,5,FALSE)</f>
        <v>0</v>
      </c>
      <c r="AG538" s="31">
        <f>VLOOKUP($A538,kurspris!$A$1:$Q$950,6,FALSE)</f>
        <v>0</v>
      </c>
      <c r="AH538" s="31">
        <f>VLOOKUP($A538,kurspris!$A$1:$Q$950,7,FALSE)</f>
        <v>0</v>
      </c>
      <c r="AI538" s="31">
        <f>VLOOKUP($A538,kurspris!$A$1:$Q$950,8,FALSE)</f>
        <v>1</v>
      </c>
      <c r="AJ538" s="31">
        <f>VLOOKUP($A538,kurspris!$A$1:$Q$950,9,FALSE)</f>
        <v>0</v>
      </c>
      <c r="AK538" s="31">
        <f>VLOOKUP($A538,kurspris!$A$1:$Q$950,10,FALSE)</f>
        <v>0</v>
      </c>
      <c r="AL538" s="31">
        <f>VLOOKUP($A538,kurspris!$A$1:$Q$950,11,FALSE)</f>
        <v>0</v>
      </c>
      <c r="AM538" s="31">
        <f>VLOOKUP($A538,kurspris!$A$1:$Q$950,12,FALSE)</f>
        <v>0</v>
      </c>
      <c r="AN538" s="31">
        <f>VLOOKUP($A538,kurspris!$A$1:$Q$950,13,FALSE)</f>
        <v>0</v>
      </c>
      <c r="AO538" s="31">
        <f>VLOOKUP($A538,kurspris!$A$1:$Q$950,14,FALSE)</f>
        <v>0</v>
      </c>
      <c r="AP538" s="57" t="s">
        <v>2402</v>
      </c>
      <c r="AQ538"/>
      <c r="AR538" s="31">
        <f t="shared" si="246"/>
        <v>0</v>
      </c>
      <c r="AS538" s="219">
        <f t="shared" si="247"/>
        <v>0</v>
      </c>
      <c r="AT538" s="31">
        <f t="shared" si="248"/>
        <v>0</v>
      </c>
      <c r="AU538" s="219">
        <f t="shared" si="249"/>
        <v>0</v>
      </c>
      <c r="AV538" s="31">
        <f t="shared" si="250"/>
        <v>0</v>
      </c>
      <c r="AW538" s="31">
        <f t="shared" si="251"/>
        <v>0</v>
      </c>
      <c r="AX538" s="31">
        <f t="shared" si="252"/>
        <v>0</v>
      </c>
      <c r="AY538" s="219">
        <f t="shared" si="253"/>
        <v>0</v>
      </c>
      <c r="AZ538" s="196">
        <f t="shared" si="254"/>
        <v>0</v>
      </c>
      <c r="BA538" s="219">
        <f t="shared" si="255"/>
        <v>0</v>
      </c>
      <c r="BB538" s="31">
        <f t="shared" si="256"/>
        <v>1.5</v>
      </c>
      <c r="BC538" s="219">
        <f t="shared" si="257"/>
        <v>1.2749999999999999</v>
      </c>
      <c r="BD538" s="31">
        <f t="shared" si="258"/>
        <v>0</v>
      </c>
      <c r="BE538" s="219">
        <f t="shared" si="259"/>
        <v>0</v>
      </c>
      <c r="BF538" s="31">
        <f t="shared" si="260"/>
        <v>0</v>
      </c>
      <c r="BG538" s="219">
        <f t="shared" si="261"/>
        <v>0</v>
      </c>
      <c r="BH538" s="31">
        <f t="shared" si="262"/>
        <v>0</v>
      </c>
      <c r="BI538" s="219">
        <f t="shared" si="263"/>
        <v>0</v>
      </c>
      <c r="BJ538" s="31">
        <f t="shared" si="264"/>
        <v>0</v>
      </c>
      <c r="BK538" s="219">
        <f t="shared" si="265"/>
        <v>0</v>
      </c>
      <c r="BL538" s="31">
        <f t="shared" si="266"/>
        <v>0</v>
      </c>
      <c r="BM538" s="219">
        <f t="shared" si="267"/>
        <v>0</v>
      </c>
      <c r="BN538" s="31">
        <f t="shared" si="268"/>
        <v>0</v>
      </c>
      <c r="BO538" s="219">
        <f t="shared" si="269"/>
        <v>0</v>
      </c>
    </row>
    <row r="539" spans="1:67" x14ac:dyDescent="0.25">
      <c r="A539" s="31" t="s">
        <v>1403</v>
      </c>
      <c r="B539" s="176" t="str">
        <f>VLOOKUP(A539,kurspris!$A$1:$B$992,2,FALSE)</f>
        <v>Läraryrkets dimensioner - ingångsämne idrott och hälsa</v>
      </c>
      <c r="D539" s="60" t="s">
        <v>482</v>
      </c>
      <c r="E539" s="576" t="s">
        <v>2429</v>
      </c>
      <c r="F539" s="31" t="s">
        <v>2273</v>
      </c>
      <c r="G539" t="s">
        <v>2456</v>
      </c>
      <c r="H539" t="s">
        <v>2335</v>
      </c>
      <c r="J539" s="31" t="s">
        <v>2232</v>
      </c>
      <c r="L539" s="38">
        <v>1</v>
      </c>
      <c r="M539">
        <v>22.5</v>
      </c>
      <c r="P539" s="31">
        <v>3</v>
      </c>
      <c r="Q539" s="196">
        <f>(M539/60)*P539</f>
        <v>1.125</v>
      </c>
      <c r="R539" s="38">
        <v>0.85</v>
      </c>
      <c r="S539" s="280">
        <f t="shared" si="242"/>
        <v>0.95624999999999993</v>
      </c>
      <c r="T539" s="31">
        <f>VLOOKUP(A539,'Ansvar kurs'!$A$1:$C$1123,2,FALSE)</f>
        <v>2180</v>
      </c>
      <c r="U539" s="31" t="str">
        <f>VLOOKUP(T539,Orgenheter!$A$1:$C$166,2,FALSE)</f>
        <v xml:space="preserve">Pedagogik                     </v>
      </c>
      <c r="V539" s="31" t="str">
        <f>VLOOKUP(T539,Orgenheter!$A$1:$C$166,3,FALSE)</f>
        <v>Sam</v>
      </c>
      <c r="W539" s="35" t="str">
        <f>VLOOKUP(D539,Program!$A$1:$B$36,2,FALSE)</f>
        <v>Ämneslärarprogrammet - Gy</v>
      </c>
      <c r="X539" s="40">
        <f>VLOOKUP(A539,kurspris!$A$1:$Q$913,15,FALSE)</f>
        <v>25235</v>
      </c>
      <c r="Y539" s="40">
        <f>VLOOKUP(A539,kurspris!$A$1:$Q$913,16,FALSE)</f>
        <v>27976</v>
      </c>
      <c r="Z539" s="40">
        <f t="shared" si="243"/>
        <v>55141.425000000003</v>
      </c>
      <c r="AA539" s="40">
        <f>VLOOKUP(A539,kurspris!$A$1:$Q$913,17,FALSE)</f>
        <v>3600</v>
      </c>
      <c r="AB539" s="40">
        <f t="shared" si="244"/>
        <v>4050</v>
      </c>
      <c r="AC539" s="40">
        <f t="shared" si="245"/>
        <v>59191.425000000003</v>
      </c>
      <c r="AD539" s="31">
        <f>VLOOKUP($A539,kurspris!$A$1:$Q$950,3,FALSE)</f>
        <v>0</v>
      </c>
      <c r="AE539" s="31">
        <f>VLOOKUP($A539,kurspris!$A$1:$Q$950,4,FALSE)</f>
        <v>0</v>
      </c>
      <c r="AF539" s="31">
        <f>VLOOKUP($A539,kurspris!$A$1:$Q$950,5,FALSE)</f>
        <v>0</v>
      </c>
      <c r="AG539" s="31">
        <f>VLOOKUP($A539,kurspris!$A$1:$Q$950,6,FALSE)</f>
        <v>0</v>
      </c>
      <c r="AH539" s="31">
        <f>VLOOKUP($A539,kurspris!$A$1:$Q$950,7,FALSE)</f>
        <v>0</v>
      </c>
      <c r="AI539" s="31">
        <f>VLOOKUP($A539,kurspris!$A$1:$Q$950,8,FALSE)</f>
        <v>0</v>
      </c>
      <c r="AJ539" s="31">
        <f>VLOOKUP($A539,kurspris!$A$1:$Q$950,9,FALSE)</f>
        <v>0</v>
      </c>
      <c r="AK539" s="31">
        <f>VLOOKUP($A539,kurspris!$A$1:$Q$950,10,FALSE)</f>
        <v>0</v>
      </c>
      <c r="AL539" s="31">
        <f>VLOOKUP($A539,kurspris!$A$1:$Q$950,11,FALSE)</f>
        <v>1</v>
      </c>
      <c r="AM539" s="31">
        <f>VLOOKUP($A539,kurspris!$A$1:$Q$950,12,FALSE)</f>
        <v>0</v>
      </c>
      <c r="AN539" s="31">
        <f>VLOOKUP($A539,kurspris!$A$1:$Q$950,13,FALSE)</f>
        <v>0</v>
      </c>
      <c r="AO539" s="31">
        <f>VLOOKUP($A539,kurspris!$A$1:$Q$950,14,FALSE)</f>
        <v>0</v>
      </c>
      <c r="AP539" s="57" t="s">
        <v>2506</v>
      </c>
      <c r="AQ539"/>
      <c r="AR539" s="31">
        <f t="shared" si="246"/>
        <v>0</v>
      </c>
      <c r="AS539" s="219">
        <f t="shared" si="247"/>
        <v>0</v>
      </c>
      <c r="AT539" s="31">
        <f t="shared" si="248"/>
        <v>0</v>
      </c>
      <c r="AU539" s="219">
        <f t="shared" si="249"/>
        <v>0</v>
      </c>
      <c r="AV539" s="31">
        <f t="shared" si="250"/>
        <v>0</v>
      </c>
      <c r="AW539" s="31">
        <f t="shared" si="251"/>
        <v>0</v>
      </c>
      <c r="AX539" s="31">
        <f t="shared" si="252"/>
        <v>0</v>
      </c>
      <c r="AY539" s="219">
        <f t="shared" si="253"/>
        <v>0</v>
      </c>
      <c r="AZ539" s="196">
        <f t="shared" si="254"/>
        <v>0</v>
      </c>
      <c r="BA539" s="219">
        <f t="shared" si="255"/>
        <v>0</v>
      </c>
      <c r="BB539" s="31">
        <f t="shared" si="256"/>
        <v>0</v>
      </c>
      <c r="BC539" s="219">
        <f t="shared" si="257"/>
        <v>0</v>
      </c>
      <c r="BD539" s="31">
        <f t="shared" si="258"/>
        <v>0</v>
      </c>
      <c r="BE539" s="219">
        <f t="shared" si="259"/>
        <v>0</v>
      </c>
      <c r="BF539" s="31">
        <f t="shared" si="260"/>
        <v>0</v>
      </c>
      <c r="BG539" s="219">
        <f t="shared" si="261"/>
        <v>0</v>
      </c>
      <c r="BH539" s="31">
        <f t="shared" si="262"/>
        <v>1.125</v>
      </c>
      <c r="BI539" s="219">
        <f t="shared" si="263"/>
        <v>0.95624999999999993</v>
      </c>
      <c r="BJ539" s="31">
        <f t="shared" si="264"/>
        <v>0</v>
      </c>
      <c r="BK539" s="219">
        <f t="shared" si="265"/>
        <v>0</v>
      </c>
      <c r="BL539" s="31">
        <f t="shared" si="266"/>
        <v>0</v>
      </c>
      <c r="BM539" s="219">
        <f t="shared" si="267"/>
        <v>0</v>
      </c>
      <c r="BN539" s="31">
        <f t="shared" si="268"/>
        <v>0</v>
      </c>
      <c r="BO539" s="219">
        <f t="shared" si="269"/>
        <v>0</v>
      </c>
    </row>
    <row r="540" spans="1:67" x14ac:dyDescent="0.25">
      <c r="A540" s="31" t="s">
        <v>1403</v>
      </c>
      <c r="B540" s="176" t="str">
        <f>VLOOKUP(A540,kurspris!$A$1:$B$992,2,FALSE)</f>
        <v>Läraryrkets dimensioner - ingångsämne idrott och hälsa</v>
      </c>
      <c r="D540" s="60" t="s">
        <v>482</v>
      </c>
      <c r="E540" s="576" t="s">
        <v>2227</v>
      </c>
      <c r="F540" s="31" t="s">
        <v>2273</v>
      </c>
      <c r="G540" t="s">
        <v>2456</v>
      </c>
      <c r="H540" t="s">
        <v>2335</v>
      </c>
      <c r="J540" s="31" t="s">
        <v>2232</v>
      </c>
      <c r="L540" s="38">
        <v>1</v>
      </c>
      <c r="M540">
        <v>22.5</v>
      </c>
      <c r="P540" s="31">
        <v>2</v>
      </c>
      <c r="Q540" s="196">
        <f>(M540/60)*P540</f>
        <v>0.75</v>
      </c>
      <c r="R540" s="38">
        <v>0.85</v>
      </c>
      <c r="S540" s="280">
        <f t="shared" si="242"/>
        <v>0.63749999999999996</v>
      </c>
      <c r="T540" s="31">
        <f>VLOOKUP(A540,'Ansvar kurs'!$A$1:$C$1123,2,FALSE)</f>
        <v>2180</v>
      </c>
      <c r="U540" s="31" t="str">
        <f>VLOOKUP(T540,Orgenheter!$A$1:$C$166,2,FALSE)</f>
        <v xml:space="preserve">Pedagogik                     </v>
      </c>
      <c r="V540" s="31" t="str">
        <f>VLOOKUP(T540,Orgenheter!$A$1:$C$166,3,FALSE)</f>
        <v>Sam</v>
      </c>
      <c r="W540" s="35" t="str">
        <f>VLOOKUP(D540,Program!$A$1:$B$36,2,FALSE)</f>
        <v>Ämneslärarprogrammet - Gy</v>
      </c>
      <c r="X540" s="40">
        <f>VLOOKUP(A540,kurspris!$A$1:$Q$913,15,FALSE)</f>
        <v>25235</v>
      </c>
      <c r="Y540" s="40">
        <f>VLOOKUP(A540,kurspris!$A$1:$Q$913,16,FALSE)</f>
        <v>27976</v>
      </c>
      <c r="Z540" s="40">
        <f t="shared" si="243"/>
        <v>36760.949999999997</v>
      </c>
      <c r="AA540" s="40">
        <f>VLOOKUP(A540,kurspris!$A$1:$Q$913,17,FALSE)</f>
        <v>3600</v>
      </c>
      <c r="AB540" s="40">
        <f t="shared" si="244"/>
        <v>2700</v>
      </c>
      <c r="AC540" s="40">
        <f t="shared" si="245"/>
        <v>39460.949999999997</v>
      </c>
      <c r="AD540" s="31">
        <f>VLOOKUP($A540,kurspris!$A$1:$Q$950,3,FALSE)</f>
        <v>0</v>
      </c>
      <c r="AE540" s="31">
        <f>VLOOKUP($A540,kurspris!$A$1:$Q$950,4,FALSE)</f>
        <v>0</v>
      </c>
      <c r="AF540" s="31">
        <f>VLOOKUP($A540,kurspris!$A$1:$Q$950,5,FALSE)</f>
        <v>0</v>
      </c>
      <c r="AG540" s="31">
        <f>VLOOKUP($A540,kurspris!$A$1:$Q$950,6,FALSE)</f>
        <v>0</v>
      </c>
      <c r="AH540" s="31">
        <f>VLOOKUP($A540,kurspris!$A$1:$Q$950,7,FALSE)</f>
        <v>0</v>
      </c>
      <c r="AI540" s="31">
        <f>VLOOKUP($A540,kurspris!$A$1:$Q$950,8,FALSE)</f>
        <v>0</v>
      </c>
      <c r="AJ540" s="31">
        <f>VLOOKUP($A540,kurspris!$A$1:$Q$950,9,FALSE)</f>
        <v>0</v>
      </c>
      <c r="AK540" s="31">
        <f>VLOOKUP($A540,kurspris!$A$1:$Q$950,10,FALSE)</f>
        <v>0</v>
      </c>
      <c r="AL540" s="31">
        <f>VLOOKUP($A540,kurspris!$A$1:$Q$950,11,FALSE)</f>
        <v>1</v>
      </c>
      <c r="AM540" s="31">
        <f>VLOOKUP($A540,kurspris!$A$1:$Q$950,12,FALSE)</f>
        <v>0</v>
      </c>
      <c r="AN540" s="31">
        <f>VLOOKUP($A540,kurspris!$A$1:$Q$950,13,FALSE)</f>
        <v>0</v>
      </c>
      <c r="AO540" s="31">
        <f>VLOOKUP($A540,kurspris!$A$1:$Q$950,14,FALSE)</f>
        <v>0</v>
      </c>
      <c r="AP540" s="57" t="s">
        <v>2506</v>
      </c>
      <c r="AQ540"/>
      <c r="AR540" s="31">
        <f t="shared" si="246"/>
        <v>0</v>
      </c>
      <c r="AS540" s="219">
        <f t="shared" si="247"/>
        <v>0</v>
      </c>
      <c r="AT540" s="31">
        <f t="shared" si="248"/>
        <v>0</v>
      </c>
      <c r="AU540" s="219">
        <f t="shared" si="249"/>
        <v>0</v>
      </c>
      <c r="AV540" s="31">
        <f t="shared" si="250"/>
        <v>0</v>
      </c>
      <c r="AW540" s="31">
        <f t="shared" si="251"/>
        <v>0</v>
      </c>
      <c r="AX540" s="31">
        <f t="shared" si="252"/>
        <v>0</v>
      </c>
      <c r="AY540" s="219">
        <f t="shared" si="253"/>
        <v>0</v>
      </c>
      <c r="AZ540" s="196">
        <f t="shared" si="254"/>
        <v>0</v>
      </c>
      <c r="BA540" s="219">
        <f t="shared" si="255"/>
        <v>0</v>
      </c>
      <c r="BB540" s="31">
        <f t="shared" si="256"/>
        <v>0</v>
      </c>
      <c r="BC540" s="219">
        <f t="shared" si="257"/>
        <v>0</v>
      </c>
      <c r="BD540" s="31">
        <f t="shared" si="258"/>
        <v>0</v>
      </c>
      <c r="BE540" s="219">
        <f t="shared" si="259"/>
        <v>0</v>
      </c>
      <c r="BF540" s="31">
        <f t="shared" si="260"/>
        <v>0</v>
      </c>
      <c r="BG540" s="219">
        <f t="shared" si="261"/>
        <v>0</v>
      </c>
      <c r="BH540" s="31">
        <f t="shared" si="262"/>
        <v>0.75</v>
      </c>
      <c r="BI540" s="219">
        <f t="shared" si="263"/>
        <v>0.63749999999999996</v>
      </c>
      <c r="BJ540" s="31">
        <f t="shared" si="264"/>
        <v>0</v>
      </c>
      <c r="BK540" s="219">
        <f t="shared" si="265"/>
        <v>0</v>
      </c>
      <c r="BL540" s="31">
        <f t="shared" si="266"/>
        <v>0</v>
      </c>
      <c r="BM540" s="219">
        <f t="shared" si="267"/>
        <v>0</v>
      </c>
      <c r="BN540" s="31">
        <f t="shared" si="268"/>
        <v>0</v>
      </c>
      <c r="BO540" s="219">
        <f t="shared" si="269"/>
        <v>0</v>
      </c>
    </row>
    <row r="541" spans="1:67" x14ac:dyDescent="0.25">
      <c r="A541" s="31" t="s">
        <v>1403</v>
      </c>
      <c r="B541" s="176" t="str">
        <f>VLOOKUP(A541,kurspris!$A$1:$B$992,2,FALSE)</f>
        <v>Läraryrkets dimensioner - ingångsämne idrott och hälsa</v>
      </c>
      <c r="D541" s="60" t="s">
        <v>482</v>
      </c>
      <c r="E541" s="576" t="s">
        <v>2226</v>
      </c>
      <c r="F541" s="31" t="s">
        <v>2273</v>
      </c>
      <c r="G541" t="s">
        <v>2456</v>
      </c>
      <c r="H541" t="s">
        <v>2335</v>
      </c>
      <c r="J541" s="31" t="s">
        <v>2232</v>
      </c>
      <c r="L541" s="38">
        <v>1</v>
      </c>
      <c r="M541">
        <v>22.5</v>
      </c>
      <c r="P541" s="31">
        <v>14</v>
      </c>
      <c r="Q541" s="196">
        <f>(M541/60)*P541</f>
        <v>5.25</v>
      </c>
      <c r="R541" s="38">
        <v>0.85</v>
      </c>
      <c r="S541" s="280">
        <f t="shared" si="242"/>
        <v>4.4624999999999995</v>
      </c>
      <c r="T541" s="31">
        <f>VLOOKUP(A541,'Ansvar kurs'!$A$1:$C$1123,2,FALSE)</f>
        <v>2180</v>
      </c>
      <c r="U541" s="31" t="str">
        <f>VLOOKUP(T541,Orgenheter!$A$1:$C$166,2,FALSE)</f>
        <v xml:space="preserve">Pedagogik                     </v>
      </c>
      <c r="V541" s="31" t="str">
        <f>VLOOKUP(T541,Orgenheter!$A$1:$C$166,3,FALSE)</f>
        <v>Sam</v>
      </c>
      <c r="W541" s="35" t="str">
        <f>VLOOKUP(D541,Program!$A$1:$B$36,2,FALSE)</f>
        <v>Ämneslärarprogrammet - Gy</v>
      </c>
      <c r="X541" s="40">
        <f>VLOOKUP(A541,kurspris!$A$1:$Q$913,15,FALSE)</f>
        <v>25235</v>
      </c>
      <c r="Y541" s="40">
        <f>VLOOKUP(A541,kurspris!$A$1:$Q$913,16,FALSE)</f>
        <v>27976</v>
      </c>
      <c r="Z541" s="40">
        <f t="shared" si="243"/>
        <v>257326.64999999997</v>
      </c>
      <c r="AA541" s="40">
        <f>VLOOKUP(A541,kurspris!$A$1:$Q$913,17,FALSE)</f>
        <v>3600</v>
      </c>
      <c r="AB541" s="40">
        <f t="shared" si="244"/>
        <v>18900</v>
      </c>
      <c r="AC541" s="40">
        <f t="shared" si="245"/>
        <v>276226.64999999997</v>
      </c>
      <c r="AD541" s="31">
        <f>VLOOKUP($A541,kurspris!$A$1:$Q$950,3,FALSE)</f>
        <v>0</v>
      </c>
      <c r="AE541" s="31">
        <f>VLOOKUP($A541,kurspris!$A$1:$Q$950,4,FALSE)</f>
        <v>0</v>
      </c>
      <c r="AF541" s="31">
        <f>VLOOKUP($A541,kurspris!$A$1:$Q$950,5,FALSE)</f>
        <v>0</v>
      </c>
      <c r="AG541" s="31">
        <f>VLOOKUP($A541,kurspris!$A$1:$Q$950,6,FALSE)</f>
        <v>0</v>
      </c>
      <c r="AH541" s="31">
        <f>VLOOKUP($A541,kurspris!$A$1:$Q$950,7,FALSE)</f>
        <v>0</v>
      </c>
      <c r="AI541" s="31">
        <f>VLOOKUP($A541,kurspris!$A$1:$Q$950,8,FALSE)</f>
        <v>0</v>
      </c>
      <c r="AJ541" s="31">
        <f>VLOOKUP($A541,kurspris!$A$1:$Q$950,9,FALSE)</f>
        <v>0</v>
      </c>
      <c r="AK541" s="31">
        <f>VLOOKUP($A541,kurspris!$A$1:$Q$950,10,FALSE)</f>
        <v>0</v>
      </c>
      <c r="AL541" s="31">
        <f>VLOOKUP($A541,kurspris!$A$1:$Q$950,11,FALSE)</f>
        <v>1</v>
      </c>
      <c r="AM541" s="31">
        <f>VLOOKUP($A541,kurspris!$A$1:$Q$950,12,FALSE)</f>
        <v>0</v>
      </c>
      <c r="AN541" s="31">
        <f>VLOOKUP($A541,kurspris!$A$1:$Q$950,13,FALSE)</f>
        <v>0</v>
      </c>
      <c r="AO541" s="31">
        <f>VLOOKUP($A541,kurspris!$A$1:$Q$950,14,FALSE)</f>
        <v>0</v>
      </c>
      <c r="AP541" s="57" t="s">
        <v>2506</v>
      </c>
      <c r="AQ541"/>
      <c r="AR541" s="31">
        <f t="shared" si="246"/>
        <v>0</v>
      </c>
      <c r="AS541" s="219">
        <f t="shared" si="247"/>
        <v>0</v>
      </c>
      <c r="AT541" s="31">
        <f t="shared" si="248"/>
        <v>0</v>
      </c>
      <c r="AU541" s="219">
        <f t="shared" si="249"/>
        <v>0</v>
      </c>
      <c r="AV541" s="31">
        <f t="shared" si="250"/>
        <v>0</v>
      </c>
      <c r="AW541" s="31">
        <f t="shared" si="251"/>
        <v>0</v>
      </c>
      <c r="AX541" s="31">
        <f t="shared" si="252"/>
        <v>0</v>
      </c>
      <c r="AY541" s="219">
        <f t="shared" si="253"/>
        <v>0</v>
      </c>
      <c r="AZ541" s="196">
        <f t="shared" si="254"/>
        <v>0</v>
      </c>
      <c r="BA541" s="219">
        <f t="shared" si="255"/>
        <v>0</v>
      </c>
      <c r="BB541" s="31">
        <f t="shared" si="256"/>
        <v>0</v>
      </c>
      <c r="BC541" s="219">
        <f t="shared" si="257"/>
        <v>0</v>
      </c>
      <c r="BD541" s="31">
        <f t="shared" si="258"/>
        <v>0</v>
      </c>
      <c r="BE541" s="219">
        <f t="shared" si="259"/>
        <v>0</v>
      </c>
      <c r="BF541" s="31">
        <f t="shared" si="260"/>
        <v>0</v>
      </c>
      <c r="BG541" s="219">
        <f t="shared" si="261"/>
        <v>0</v>
      </c>
      <c r="BH541" s="31">
        <f t="shared" si="262"/>
        <v>5.25</v>
      </c>
      <c r="BI541" s="219">
        <f t="shared" si="263"/>
        <v>4.4624999999999995</v>
      </c>
      <c r="BJ541" s="31">
        <f t="shared" si="264"/>
        <v>0</v>
      </c>
      <c r="BK541" s="219">
        <f t="shared" si="265"/>
        <v>0</v>
      </c>
      <c r="BL541" s="31">
        <f t="shared" si="266"/>
        <v>0</v>
      </c>
      <c r="BM541" s="219">
        <f t="shared" si="267"/>
        <v>0</v>
      </c>
      <c r="BN541" s="31">
        <f t="shared" si="268"/>
        <v>0</v>
      </c>
      <c r="BO541" s="219">
        <f t="shared" si="269"/>
        <v>0</v>
      </c>
    </row>
    <row r="542" spans="1:67" x14ac:dyDescent="0.25">
      <c r="A542" s="31" t="s">
        <v>1403</v>
      </c>
      <c r="B542" s="176" t="str">
        <f>VLOOKUP(A542,kurspris!$A$1:$B$992,2,FALSE)</f>
        <v>Läraryrkets dimensioner - ingångsämne idrott och hälsa</v>
      </c>
      <c r="C542" s="31">
        <v>64512</v>
      </c>
      <c r="D542" s="60" t="s">
        <v>482</v>
      </c>
      <c r="E542" s="60"/>
      <c r="F542" s="57" t="s">
        <v>2274</v>
      </c>
      <c r="H542" s="31" t="s">
        <v>2335</v>
      </c>
      <c r="I542" s="31" t="s">
        <v>2399</v>
      </c>
      <c r="J542" s="31" t="s">
        <v>2232</v>
      </c>
      <c r="L542" s="38"/>
      <c r="M542">
        <v>22.5</v>
      </c>
      <c r="P542" s="31">
        <v>13</v>
      </c>
      <c r="Q542" s="539">
        <v>4.875</v>
      </c>
      <c r="R542" s="38">
        <v>0.85</v>
      </c>
      <c r="S542" s="280">
        <f t="shared" si="242"/>
        <v>4.1437499999999998</v>
      </c>
      <c r="T542" s="31">
        <f>VLOOKUP(A542,'Ansvar kurs'!$A$1:$C$1123,2,FALSE)</f>
        <v>2180</v>
      </c>
      <c r="U542" s="31" t="str">
        <f>VLOOKUP(T542,Orgenheter!$A$1:$C$166,2,FALSE)</f>
        <v xml:space="preserve">Pedagogik                     </v>
      </c>
      <c r="V542" s="31" t="str">
        <f>VLOOKUP(T542,Orgenheter!$A$1:$C$166,3,FALSE)</f>
        <v>Sam</v>
      </c>
      <c r="W542" s="35" t="str">
        <f>VLOOKUP(D542,Program!$A$1:$B$36,2,FALSE)</f>
        <v>Ämneslärarprogrammet - Gy</v>
      </c>
      <c r="X542" s="40">
        <f>VLOOKUP(A542,kurspris!$A$1:$Q$913,15,FALSE)</f>
        <v>25235</v>
      </c>
      <c r="Y542" s="40">
        <f>VLOOKUP(A542,kurspris!$A$1:$Q$913,16,FALSE)</f>
        <v>27976</v>
      </c>
      <c r="Z542" s="40">
        <f t="shared" si="243"/>
        <v>238946.17499999999</v>
      </c>
      <c r="AA542" s="40">
        <f>VLOOKUP(A542,kurspris!$A$1:$Q$913,17,FALSE)</f>
        <v>3600</v>
      </c>
      <c r="AB542" s="40">
        <f t="shared" si="244"/>
        <v>17550</v>
      </c>
      <c r="AC542" s="40">
        <f t="shared" si="245"/>
        <v>256496.17499999999</v>
      </c>
      <c r="AD542" s="31">
        <f>VLOOKUP($A542,kurspris!$A$1:$Q$950,3,FALSE)</f>
        <v>0</v>
      </c>
      <c r="AE542" s="31">
        <f>VLOOKUP($A542,kurspris!$A$1:$Q$950,4,FALSE)</f>
        <v>0</v>
      </c>
      <c r="AF542" s="31">
        <f>VLOOKUP($A542,kurspris!$A$1:$Q$950,5,FALSE)</f>
        <v>0</v>
      </c>
      <c r="AG542" s="31">
        <f>VLOOKUP($A542,kurspris!$A$1:$Q$950,6,FALSE)</f>
        <v>0</v>
      </c>
      <c r="AH542" s="31">
        <f>VLOOKUP($A542,kurspris!$A$1:$Q$950,7,FALSE)</f>
        <v>0</v>
      </c>
      <c r="AI542" s="31">
        <f>VLOOKUP($A542,kurspris!$A$1:$Q$950,8,FALSE)</f>
        <v>0</v>
      </c>
      <c r="AJ542" s="31">
        <f>VLOOKUP($A542,kurspris!$A$1:$Q$950,9,FALSE)</f>
        <v>0</v>
      </c>
      <c r="AK542" s="31">
        <f>VLOOKUP($A542,kurspris!$A$1:$Q$950,10,FALSE)</f>
        <v>0</v>
      </c>
      <c r="AL542" s="31">
        <f>VLOOKUP($A542,kurspris!$A$1:$Q$950,11,FALSE)</f>
        <v>1</v>
      </c>
      <c r="AM542" s="31">
        <f>VLOOKUP($A542,kurspris!$A$1:$Q$950,12,FALSE)</f>
        <v>0</v>
      </c>
      <c r="AN542" s="31">
        <f>VLOOKUP($A542,kurspris!$A$1:$Q$950,13,FALSE)</f>
        <v>0</v>
      </c>
      <c r="AO542" s="31">
        <f>VLOOKUP($A542,kurspris!$A$1:$Q$950,14,FALSE)</f>
        <v>0</v>
      </c>
      <c r="AP542" s="57" t="s">
        <v>2402</v>
      </c>
      <c r="AQ542"/>
      <c r="AR542" s="31">
        <f t="shared" si="246"/>
        <v>0</v>
      </c>
      <c r="AS542" s="219">
        <f t="shared" si="247"/>
        <v>0</v>
      </c>
      <c r="AT542" s="31">
        <f t="shared" si="248"/>
        <v>0</v>
      </c>
      <c r="AU542" s="219">
        <f t="shared" si="249"/>
        <v>0</v>
      </c>
      <c r="AV542" s="31">
        <f t="shared" si="250"/>
        <v>0</v>
      </c>
      <c r="AW542" s="31">
        <f t="shared" si="251"/>
        <v>0</v>
      </c>
      <c r="AX542" s="31">
        <f t="shared" si="252"/>
        <v>0</v>
      </c>
      <c r="AY542" s="219">
        <f t="shared" si="253"/>
        <v>0</v>
      </c>
      <c r="AZ542" s="196">
        <f t="shared" si="254"/>
        <v>0</v>
      </c>
      <c r="BA542" s="219">
        <f t="shared" si="255"/>
        <v>0</v>
      </c>
      <c r="BB542" s="31">
        <f t="shared" si="256"/>
        <v>0</v>
      </c>
      <c r="BC542" s="219">
        <f t="shared" si="257"/>
        <v>0</v>
      </c>
      <c r="BD542" s="31">
        <f t="shared" si="258"/>
        <v>0</v>
      </c>
      <c r="BE542" s="219">
        <f t="shared" si="259"/>
        <v>0</v>
      </c>
      <c r="BF542" s="31">
        <f t="shared" si="260"/>
        <v>0</v>
      </c>
      <c r="BG542" s="219">
        <f t="shared" si="261"/>
        <v>0</v>
      </c>
      <c r="BH542" s="31">
        <f t="shared" si="262"/>
        <v>4.875</v>
      </c>
      <c r="BI542" s="219">
        <f t="shared" si="263"/>
        <v>4.1437499999999998</v>
      </c>
      <c r="BJ542" s="31">
        <f t="shared" si="264"/>
        <v>0</v>
      </c>
      <c r="BK542" s="219">
        <f t="shared" si="265"/>
        <v>0</v>
      </c>
      <c r="BL542" s="31">
        <f t="shared" si="266"/>
        <v>0</v>
      </c>
      <c r="BM542" s="219">
        <f t="shared" si="267"/>
        <v>0</v>
      </c>
      <c r="BN542" s="31">
        <f t="shared" si="268"/>
        <v>0</v>
      </c>
      <c r="BO542" s="219">
        <f t="shared" si="269"/>
        <v>0</v>
      </c>
    </row>
    <row r="543" spans="1:67" x14ac:dyDescent="0.25">
      <c r="A543" s="157" t="s">
        <v>1407</v>
      </c>
      <c r="B543" s="176" t="str">
        <f>VLOOKUP(A543,kurspris!$A$1:$B$992,2,FALSE)</f>
        <v>Barns lärande och omsorg</v>
      </c>
      <c r="D543" s="60" t="s">
        <v>483</v>
      </c>
      <c r="E543" s="576" t="s">
        <v>2434</v>
      </c>
      <c r="F543" s="31" t="s">
        <v>2273</v>
      </c>
      <c r="G543" t="s">
        <v>2440</v>
      </c>
      <c r="H543" t="s">
        <v>2335</v>
      </c>
      <c r="I543" s="31" t="s">
        <v>2276</v>
      </c>
      <c r="L543" s="38">
        <v>1</v>
      </c>
      <c r="M543" s="325">
        <v>15</v>
      </c>
      <c r="P543" s="31">
        <v>1</v>
      </c>
      <c r="Q543" s="196">
        <f>(M543/60)*P543</f>
        <v>0.25</v>
      </c>
      <c r="R543" s="38">
        <v>0.85</v>
      </c>
      <c r="S543" s="280">
        <f t="shared" si="242"/>
        <v>0.21249999999999999</v>
      </c>
      <c r="T543" s="31">
        <f>VLOOKUP(A543,'Ansvar kurs'!$A$1:$C$1123,2,FALSE)</f>
        <v>2193</v>
      </c>
      <c r="U543" s="31" t="str">
        <f>VLOOKUP(T543,Orgenheter!$A$1:$C$166,2,FALSE)</f>
        <v xml:space="preserve">TUV </v>
      </c>
      <c r="V543" s="31" t="str">
        <f>VLOOKUP(T543,Orgenheter!$A$1:$C$166,3,FALSE)</f>
        <v>Sam</v>
      </c>
      <c r="W543" s="35" t="str">
        <f>VLOOKUP(D543,Program!$A$1:$B$36,2,FALSE)</f>
        <v>Förskollärarprogrammet</v>
      </c>
      <c r="X543" s="40">
        <f>VLOOKUP(A543,kurspris!$A$1:$Q$913,15,FALSE)</f>
        <v>20766</v>
      </c>
      <c r="Y543" s="40">
        <f>VLOOKUP(A543,kurspris!$A$1:$Q$913,16,FALSE)</f>
        <v>17442</v>
      </c>
      <c r="Z543" s="40">
        <f t="shared" si="243"/>
        <v>8897.9249999999993</v>
      </c>
      <c r="AA543" s="40">
        <f>VLOOKUP(A543,kurspris!$A$1:$Q$913,17,FALSE)</f>
        <v>6000</v>
      </c>
      <c r="AB543" s="40">
        <f t="shared" si="244"/>
        <v>1500</v>
      </c>
      <c r="AC543" s="40">
        <f t="shared" si="245"/>
        <v>10397.924999999999</v>
      </c>
      <c r="AD543" s="31">
        <f>VLOOKUP($A543,kurspris!$A$1:$Q$950,3,FALSE)</f>
        <v>0</v>
      </c>
      <c r="AE543" s="31">
        <f>VLOOKUP($A543,kurspris!$A$1:$Q$950,4,FALSE)</f>
        <v>0</v>
      </c>
      <c r="AF543" s="31">
        <f>VLOOKUP($A543,kurspris!$A$1:$Q$950,5,FALSE)</f>
        <v>0</v>
      </c>
      <c r="AG543" s="31">
        <f>VLOOKUP($A543,kurspris!$A$1:$Q$950,6,FALSE)</f>
        <v>0</v>
      </c>
      <c r="AH543" s="31">
        <f>VLOOKUP($A543,kurspris!$A$1:$Q$950,7,FALSE)</f>
        <v>0</v>
      </c>
      <c r="AI543" s="31">
        <f>VLOOKUP($A543,kurspris!$A$1:$Q$950,8,FALSE)</f>
        <v>0</v>
      </c>
      <c r="AJ543" s="31">
        <f>VLOOKUP($A543,kurspris!$A$1:$Q$950,9,FALSE)</f>
        <v>1</v>
      </c>
      <c r="AK543" s="31">
        <f>VLOOKUP($A543,kurspris!$A$1:$Q$950,10,FALSE)</f>
        <v>0</v>
      </c>
      <c r="AL543" s="31">
        <f>VLOOKUP($A543,kurspris!$A$1:$Q$950,11,FALSE)</f>
        <v>0</v>
      </c>
      <c r="AM543" s="31">
        <f>VLOOKUP($A543,kurspris!$A$1:$Q$950,12,FALSE)</f>
        <v>0</v>
      </c>
      <c r="AN543" s="31">
        <f>VLOOKUP($A543,kurspris!$A$1:$Q$950,13,FALSE)</f>
        <v>0</v>
      </c>
      <c r="AO543" s="31">
        <f>VLOOKUP($A543,kurspris!$A$1:$Q$950,14,FALSE)</f>
        <v>0</v>
      </c>
      <c r="AP543" s="57" t="s">
        <v>2506</v>
      </c>
      <c r="AQ543"/>
      <c r="AR543" s="31">
        <f t="shared" si="246"/>
        <v>0</v>
      </c>
      <c r="AS543" s="219">
        <f t="shared" si="247"/>
        <v>0</v>
      </c>
      <c r="AT543" s="31">
        <f t="shared" si="248"/>
        <v>0</v>
      </c>
      <c r="AU543" s="219">
        <f t="shared" si="249"/>
        <v>0</v>
      </c>
      <c r="AV543" s="31">
        <f t="shared" si="250"/>
        <v>0</v>
      </c>
      <c r="AW543" s="31">
        <f t="shared" si="251"/>
        <v>0</v>
      </c>
      <c r="AX543" s="31">
        <f t="shared" si="252"/>
        <v>0</v>
      </c>
      <c r="AY543" s="219">
        <f t="shared" si="253"/>
        <v>0</v>
      </c>
      <c r="AZ543" s="196">
        <f t="shared" si="254"/>
        <v>0</v>
      </c>
      <c r="BA543" s="219">
        <f t="shared" si="255"/>
        <v>0</v>
      </c>
      <c r="BB543" s="31">
        <f t="shared" si="256"/>
        <v>0</v>
      </c>
      <c r="BC543" s="219">
        <f t="shared" si="257"/>
        <v>0</v>
      </c>
      <c r="BD543" s="31">
        <f t="shared" si="258"/>
        <v>0.25</v>
      </c>
      <c r="BE543" s="219">
        <f t="shared" si="259"/>
        <v>0.21249999999999999</v>
      </c>
      <c r="BF543" s="31">
        <f t="shared" si="260"/>
        <v>0</v>
      </c>
      <c r="BG543" s="219">
        <f t="shared" si="261"/>
        <v>0</v>
      </c>
      <c r="BH543" s="31">
        <f t="shared" si="262"/>
        <v>0</v>
      </c>
      <c r="BI543" s="219">
        <f t="shared" si="263"/>
        <v>0</v>
      </c>
      <c r="BJ543" s="31">
        <f t="shared" si="264"/>
        <v>0</v>
      </c>
      <c r="BK543" s="219">
        <f t="shared" si="265"/>
        <v>0</v>
      </c>
      <c r="BL543" s="31">
        <f t="shared" si="266"/>
        <v>0</v>
      </c>
      <c r="BM543" s="219">
        <f t="shared" si="267"/>
        <v>0</v>
      </c>
      <c r="BN543" s="31">
        <f t="shared" si="268"/>
        <v>0</v>
      </c>
      <c r="BO543" s="219">
        <f t="shared" si="269"/>
        <v>0</v>
      </c>
    </row>
    <row r="544" spans="1:67" x14ac:dyDescent="0.25">
      <c r="A544" s="31" t="s">
        <v>1407</v>
      </c>
      <c r="B544" s="176" t="str">
        <f>VLOOKUP(A544,kurspris!$A$1:$B$992,2,FALSE)</f>
        <v>Barns lärande och omsorg</v>
      </c>
      <c r="D544" s="60" t="s">
        <v>483</v>
      </c>
      <c r="E544" s="576" t="s">
        <v>2432</v>
      </c>
      <c r="F544" s="31" t="s">
        <v>2273</v>
      </c>
      <c r="G544" t="s">
        <v>2440</v>
      </c>
      <c r="H544" t="s">
        <v>2335</v>
      </c>
      <c r="I544" s="31" t="s">
        <v>2276</v>
      </c>
      <c r="L544" s="38">
        <v>1</v>
      </c>
      <c r="M544">
        <v>15</v>
      </c>
      <c r="P544" s="31">
        <v>2</v>
      </c>
      <c r="Q544" s="196">
        <f>(M544/60)*P544</f>
        <v>0.5</v>
      </c>
      <c r="R544" s="38">
        <v>0.85</v>
      </c>
      <c r="S544" s="280">
        <f t="shared" si="242"/>
        <v>0.42499999999999999</v>
      </c>
      <c r="T544" s="31">
        <f>VLOOKUP(A544,'Ansvar kurs'!$A$1:$C$1123,2,FALSE)</f>
        <v>2193</v>
      </c>
      <c r="U544" s="31" t="str">
        <f>VLOOKUP(T544,Orgenheter!$A$1:$C$166,2,FALSE)</f>
        <v xml:space="preserve">TUV </v>
      </c>
      <c r="V544" s="31" t="str">
        <f>VLOOKUP(T544,Orgenheter!$A$1:$C$166,3,FALSE)</f>
        <v>Sam</v>
      </c>
      <c r="W544" s="35" t="str">
        <f>VLOOKUP(D544,Program!$A$1:$B$36,2,FALSE)</f>
        <v>Förskollärarprogrammet</v>
      </c>
      <c r="X544" s="40">
        <f>VLOOKUP(A544,kurspris!$A$1:$Q$913,15,FALSE)</f>
        <v>20766</v>
      </c>
      <c r="Y544" s="40">
        <f>VLOOKUP(A544,kurspris!$A$1:$Q$913,16,FALSE)</f>
        <v>17442</v>
      </c>
      <c r="Z544" s="40">
        <f t="shared" si="243"/>
        <v>17795.849999999999</v>
      </c>
      <c r="AA544" s="40">
        <f>VLOOKUP(A544,kurspris!$A$1:$Q$913,17,FALSE)</f>
        <v>6000</v>
      </c>
      <c r="AB544" s="40">
        <f t="shared" si="244"/>
        <v>3000</v>
      </c>
      <c r="AC544" s="40">
        <f t="shared" si="245"/>
        <v>20795.849999999999</v>
      </c>
      <c r="AD544" s="31">
        <f>VLOOKUP($A544,kurspris!$A$1:$Q$950,3,FALSE)</f>
        <v>0</v>
      </c>
      <c r="AE544" s="31">
        <f>VLOOKUP($A544,kurspris!$A$1:$Q$950,4,FALSE)</f>
        <v>0</v>
      </c>
      <c r="AF544" s="31">
        <f>VLOOKUP($A544,kurspris!$A$1:$Q$950,5,FALSE)</f>
        <v>0</v>
      </c>
      <c r="AG544" s="31">
        <f>VLOOKUP($A544,kurspris!$A$1:$Q$950,6,FALSE)</f>
        <v>0</v>
      </c>
      <c r="AH544" s="31">
        <f>VLOOKUP($A544,kurspris!$A$1:$Q$950,7,FALSE)</f>
        <v>0</v>
      </c>
      <c r="AI544" s="31">
        <f>VLOOKUP($A544,kurspris!$A$1:$Q$950,8,FALSE)</f>
        <v>0</v>
      </c>
      <c r="AJ544" s="31">
        <f>VLOOKUP($A544,kurspris!$A$1:$Q$950,9,FALSE)</f>
        <v>1</v>
      </c>
      <c r="AK544" s="31">
        <f>VLOOKUP($A544,kurspris!$A$1:$Q$950,10,FALSE)</f>
        <v>0</v>
      </c>
      <c r="AL544" s="31">
        <f>VLOOKUP($A544,kurspris!$A$1:$Q$950,11,FALSE)</f>
        <v>0</v>
      </c>
      <c r="AM544" s="31">
        <f>VLOOKUP($A544,kurspris!$A$1:$Q$950,12,FALSE)</f>
        <v>0</v>
      </c>
      <c r="AN544" s="31">
        <f>VLOOKUP($A544,kurspris!$A$1:$Q$950,13,FALSE)</f>
        <v>0</v>
      </c>
      <c r="AO544" s="31">
        <f>VLOOKUP($A544,kurspris!$A$1:$Q$950,14,FALSE)</f>
        <v>0</v>
      </c>
      <c r="AP544" s="57" t="s">
        <v>2506</v>
      </c>
      <c r="AQ544"/>
      <c r="AR544" s="31">
        <f t="shared" si="246"/>
        <v>0</v>
      </c>
      <c r="AS544" s="219">
        <f t="shared" si="247"/>
        <v>0</v>
      </c>
      <c r="AT544" s="31">
        <f t="shared" si="248"/>
        <v>0</v>
      </c>
      <c r="AU544" s="219">
        <f t="shared" si="249"/>
        <v>0</v>
      </c>
      <c r="AV544" s="31">
        <f t="shared" si="250"/>
        <v>0</v>
      </c>
      <c r="AW544" s="31">
        <f t="shared" si="251"/>
        <v>0</v>
      </c>
      <c r="AX544" s="31">
        <f t="shared" si="252"/>
        <v>0</v>
      </c>
      <c r="AY544" s="219">
        <f t="shared" si="253"/>
        <v>0</v>
      </c>
      <c r="AZ544" s="196">
        <f t="shared" si="254"/>
        <v>0</v>
      </c>
      <c r="BA544" s="219">
        <f t="shared" si="255"/>
        <v>0</v>
      </c>
      <c r="BB544" s="31">
        <f t="shared" si="256"/>
        <v>0</v>
      </c>
      <c r="BC544" s="219">
        <f t="shared" si="257"/>
        <v>0</v>
      </c>
      <c r="BD544" s="31">
        <f t="shared" si="258"/>
        <v>0.5</v>
      </c>
      <c r="BE544" s="219">
        <f t="shared" si="259"/>
        <v>0.42499999999999999</v>
      </c>
      <c r="BF544" s="31">
        <f t="shared" si="260"/>
        <v>0</v>
      </c>
      <c r="BG544" s="219">
        <f t="shared" si="261"/>
        <v>0</v>
      </c>
      <c r="BH544" s="31">
        <f t="shared" si="262"/>
        <v>0</v>
      </c>
      <c r="BI544" s="219">
        <f t="shared" si="263"/>
        <v>0</v>
      </c>
      <c r="BJ544" s="31">
        <f t="shared" si="264"/>
        <v>0</v>
      </c>
      <c r="BK544" s="219">
        <f t="shared" si="265"/>
        <v>0</v>
      </c>
      <c r="BL544" s="31">
        <f t="shared" si="266"/>
        <v>0</v>
      </c>
      <c r="BM544" s="219">
        <f t="shared" si="267"/>
        <v>0</v>
      </c>
      <c r="BN544" s="31">
        <f t="shared" si="268"/>
        <v>0</v>
      </c>
      <c r="BO544" s="219">
        <f t="shared" si="269"/>
        <v>0</v>
      </c>
    </row>
    <row r="545" spans="1:67" x14ac:dyDescent="0.25">
      <c r="A545" s="31" t="s">
        <v>1407</v>
      </c>
      <c r="B545" s="176" t="str">
        <f>VLOOKUP(A545,kurspris!$A$1:$B$992,2,FALSE)</f>
        <v>Barns lärande och omsorg</v>
      </c>
      <c r="D545" s="60" t="s">
        <v>483</v>
      </c>
      <c r="E545" s="576" t="s">
        <v>2433</v>
      </c>
      <c r="F545" s="31" t="s">
        <v>2273</v>
      </c>
      <c r="G545" t="s">
        <v>2440</v>
      </c>
      <c r="H545" t="s">
        <v>2335</v>
      </c>
      <c r="I545" s="31" t="s">
        <v>2276</v>
      </c>
      <c r="L545" s="38">
        <v>1</v>
      </c>
      <c r="M545">
        <v>15</v>
      </c>
      <c r="P545" s="31">
        <v>24</v>
      </c>
      <c r="Q545" s="196">
        <f>(M545/60)*P545</f>
        <v>6</v>
      </c>
      <c r="R545" s="38">
        <v>0.85</v>
      </c>
      <c r="S545" s="280">
        <f t="shared" si="242"/>
        <v>5.0999999999999996</v>
      </c>
      <c r="T545" s="31">
        <f>VLOOKUP(A545,'Ansvar kurs'!$A$1:$C$1123,2,FALSE)</f>
        <v>2193</v>
      </c>
      <c r="U545" s="31" t="str">
        <f>VLOOKUP(T545,Orgenheter!$A$1:$C$166,2,FALSE)</f>
        <v xml:space="preserve">TUV </v>
      </c>
      <c r="V545" s="31" t="str">
        <f>VLOOKUP(T545,Orgenheter!$A$1:$C$166,3,FALSE)</f>
        <v>Sam</v>
      </c>
      <c r="W545" s="35" t="str">
        <f>VLOOKUP(D545,Program!$A$1:$B$36,2,FALSE)</f>
        <v>Förskollärarprogrammet</v>
      </c>
      <c r="X545" s="40">
        <f>VLOOKUP(A545,kurspris!$A$1:$Q$913,15,FALSE)</f>
        <v>20766</v>
      </c>
      <c r="Y545" s="40">
        <f>VLOOKUP(A545,kurspris!$A$1:$Q$913,16,FALSE)</f>
        <v>17442</v>
      </c>
      <c r="Z545" s="40">
        <f t="shared" si="243"/>
        <v>213550.2</v>
      </c>
      <c r="AA545" s="40">
        <f>VLOOKUP(A545,kurspris!$A$1:$Q$913,17,FALSE)</f>
        <v>6000</v>
      </c>
      <c r="AB545" s="40">
        <f t="shared" si="244"/>
        <v>36000</v>
      </c>
      <c r="AC545" s="40">
        <f t="shared" si="245"/>
        <v>249550.2</v>
      </c>
      <c r="AD545" s="31">
        <f>VLOOKUP($A545,kurspris!$A$1:$Q$950,3,FALSE)</f>
        <v>0</v>
      </c>
      <c r="AE545" s="31">
        <f>VLOOKUP($A545,kurspris!$A$1:$Q$950,4,FALSE)</f>
        <v>0</v>
      </c>
      <c r="AF545" s="31">
        <f>VLOOKUP($A545,kurspris!$A$1:$Q$950,5,FALSE)</f>
        <v>0</v>
      </c>
      <c r="AG545" s="31">
        <f>VLOOKUP($A545,kurspris!$A$1:$Q$950,6,FALSE)</f>
        <v>0</v>
      </c>
      <c r="AH545" s="31">
        <f>VLOOKUP($A545,kurspris!$A$1:$Q$950,7,FALSE)</f>
        <v>0</v>
      </c>
      <c r="AI545" s="31">
        <f>VLOOKUP($A545,kurspris!$A$1:$Q$950,8,FALSE)</f>
        <v>0</v>
      </c>
      <c r="AJ545" s="31">
        <f>VLOOKUP($A545,kurspris!$A$1:$Q$950,9,FALSE)</f>
        <v>1</v>
      </c>
      <c r="AK545" s="31">
        <f>VLOOKUP($A545,kurspris!$A$1:$Q$950,10,FALSE)</f>
        <v>0</v>
      </c>
      <c r="AL545" s="31">
        <f>VLOOKUP($A545,kurspris!$A$1:$Q$950,11,FALSE)</f>
        <v>0</v>
      </c>
      <c r="AM545" s="31">
        <f>VLOOKUP($A545,kurspris!$A$1:$Q$950,12,FALSE)</f>
        <v>0</v>
      </c>
      <c r="AN545" s="31">
        <f>VLOOKUP($A545,kurspris!$A$1:$Q$950,13,FALSE)</f>
        <v>0</v>
      </c>
      <c r="AO545" s="31">
        <f>VLOOKUP($A545,kurspris!$A$1:$Q$950,14,FALSE)</f>
        <v>0</v>
      </c>
      <c r="AP545" s="57" t="s">
        <v>2506</v>
      </c>
      <c r="AQ545"/>
      <c r="AR545" s="31">
        <f t="shared" si="246"/>
        <v>0</v>
      </c>
      <c r="AS545" s="219">
        <f t="shared" si="247"/>
        <v>0</v>
      </c>
      <c r="AT545" s="31">
        <f t="shared" si="248"/>
        <v>0</v>
      </c>
      <c r="AU545" s="219">
        <f t="shared" si="249"/>
        <v>0</v>
      </c>
      <c r="AV545" s="31">
        <f t="shared" si="250"/>
        <v>0</v>
      </c>
      <c r="AW545" s="31">
        <f t="shared" si="251"/>
        <v>0</v>
      </c>
      <c r="AX545" s="31">
        <f t="shared" si="252"/>
        <v>0</v>
      </c>
      <c r="AY545" s="219">
        <f t="shared" si="253"/>
        <v>0</v>
      </c>
      <c r="AZ545" s="196">
        <f t="shared" si="254"/>
        <v>0</v>
      </c>
      <c r="BA545" s="219">
        <f t="shared" si="255"/>
        <v>0</v>
      </c>
      <c r="BB545" s="31">
        <f t="shared" si="256"/>
        <v>0</v>
      </c>
      <c r="BC545" s="219">
        <f t="shared" si="257"/>
        <v>0</v>
      </c>
      <c r="BD545" s="31">
        <f t="shared" si="258"/>
        <v>6</v>
      </c>
      <c r="BE545" s="219">
        <f t="shared" si="259"/>
        <v>5.0999999999999996</v>
      </c>
      <c r="BF545" s="31">
        <f t="shared" si="260"/>
        <v>0</v>
      </c>
      <c r="BG545" s="219">
        <f t="shared" si="261"/>
        <v>0</v>
      </c>
      <c r="BH545" s="31">
        <f t="shared" si="262"/>
        <v>0</v>
      </c>
      <c r="BI545" s="219">
        <f t="shared" si="263"/>
        <v>0</v>
      </c>
      <c r="BJ545" s="31">
        <f t="shared" si="264"/>
        <v>0</v>
      </c>
      <c r="BK545" s="219">
        <f t="shared" si="265"/>
        <v>0</v>
      </c>
      <c r="BL545" s="31">
        <f t="shared" si="266"/>
        <v>0</v>
      </c>
      <c r="BM545" s="219">
        <f t="shared" si="267"/>
        <v>0</v>
      </c>
      <c r="BN545" s="31">
        <f t="shared" si="268"/>
        <v>0</v>
      </c>
      <c r="BO545" s="219">
        <f t="shared" si="269"/>
        <v>0</v>
      </c>
    </row>
    <row r="546" spans="1:67" x14ac:dyDescent="0.25">
      <c r="A546" s="31" t="s">
        <v>1407</v>
      </c>
      <c r="B546" s="176" t="str">
        <f>VLOOKUP(A546,kurspris!$A$1:$B$992,2,FALSE)</f>
        <v>Barns lärande och omsorg</v>
      </c>
      <c r="C546" s="31">
        <v>68709</v>
      </c>
      <c r="D546" s="60" t="s">
        <v>483</v>
      </c>
      <c r="E546" s="60"/>
      <c r="F546" s="57" t="s">
        <v>2274</v>
      </c>
      <c r="H546" s="31" t="s">
        <v>2335</v>
      </c>
      <c r="I546" s="31" t="s">
        <v>2399</v>
      </c>
      <c r="L546" s="38"/>
      <c r="M546">
        <v>15</v>
      </c>
      <c r="P546" s="31">
        <v>44</v>
      </c>
      <c r="Q546" s="539">
        <v>11</v>
      </c>
      <c r="R546" s="38">
        <v>0.85</v>
      </c>
      <c r="S546" s="280">
        <f t="shared" si="242"/>
        <v>9.35</v>
      </c>
      <c r="T546" s="31">
        <f>VLOOKUP(A546,'Ansvar kurs'!$A$1:$C$1123,2,FALSE)</f>
        <v>2193</v>
      </c>
      <c r="U546" s="31" t="str">
        <f>VLOOKUP(T546,Orgenheter!$A$1:$C$166,2,FALSE)</f>
        <v xml:space="preserve">TUV </v>
      </c>
      <c r="V546" s="31" t="str">
        <f>VLOOKUP(T546,Orgenheter!$A$1:$C$166,3,FALSE)</f>
        <v>Sam</v>
      </c>
      <c r="W546" s="35" t="str">
        <f>VLOOKUP(D546,Program!$A$1:$B$36,2,FALSE)</f>
        <v>Förskollärarprogrammet</v>
      </c>
      <c r="X546" s="40">
        <f>VLOOKUP(A546,kurspris!$A$1:$Q$913,15,FALSE)</f>
        <v>20766</v>
      </c>
      <c r="Y546" s="40">
        <f>VLOOKUP(A546,kurspris!$A$1:$Q$913,16,FALSE)</f>
        <v>17442</v>
      </c>
      <c r="Z546" s="40">
        <f t="shared" si="243"/>
        <v>391508.69999999995</v>
      </c>
      <c r="AA546" s="40">
        <f>VLOOKUP(A546,kurspris!$A$1:$Q$913,17,FALSE)</f>
        <v>6000</v>
      </c>
      <c r="AB546" s="40">
        <f t="shared" si="244"/>
        <v>66000</v>
      </c>
      <c r="AC546" s="40">
        <f t="shared" si="245"/>
        <v>457508.69999999995</v>
      </c>
      <c r="AD546" s="31">
        <f>VLOOKUP($A546,kurspris!$A$1:$Q$950,3,FALSE)</f>
        <v>0</v>
      </c>
      <c r="AE546" s="31">
        <f>VLOOKUP($A546,kurspris!$A$1:$Q$950,4,FALSE)</f>
        <v>0</v>
      </c>
      <c r="AF546" s="31">
        <f>VLOOKUP($A546,kurspris!$A$1:$Q$950,5,FALSE)</f>
        <v>0</v>
      </c>
      <c r="AG546" s="31">
        <f>VLOOKUP($A546,kurspris!$A$1:$Q$950,6,FALSE)</f>
        <v>0</v>
      </c>
      <c r="AH546" s="31">
        <f>VLOOKUP($A546,kurspris!$A$1:$Q$950,7,FALSE)</f>
        <v>0</v>
      </c>
      <c r="AI546" s="31">
        <f>VLOOKUP($A546,kurspris!$A$1:$Q$950,8,FALSE)</f>
        <v>0</v>
      </c>
      <c r="AJ546" s="31">
        <f>VLOOKUP($A546,kurspris!$A$1:$Q$950,9,FALSE)</f>
        <v>1</v>
      </c>
      <c r="AK546" s="31">
        <f>VLOOKUP($A546,kurspris!$A$1:$Q$950,10,FALSE)</f>
        <v>0</v>
      </c>
      <c r="AL546" s="31">
        <f>VLOOKUP($A546,kurspris!$A$1:$Q$950,11,FALSE)</f>
        <v>0</v>
      </c>
      <c r="AM546" s="31">
        <f>VLOOKUP($A546,kurspris!$A$1:$Q$950,12,FALSE)</f>
        <v>0</v>
      </c>
      <c r="AN546" s="31">
        <f>VLOOKUP($A546,kurspris!$A$1:$Q$950,13,FALSE)</f>
        <v>0</v>
      </c>
      <c r="AO546" s="31">
        <f>VLOOKUP($A546,kurspris!$A$1:$Q$950,14,FALSE)</f>
        <v>0</v>
      </c>
      <c r="AP546" s="57" t="s">
        <v>2402</v>
      </c>
      <c r="AQ546"/>
      <c r="AR546" s="31">
        <f t="shared" si="246"/>
        <v>0</v>
      </c>
      <c r="AS546" s="219">
        <f t="shared" si="247"/>
        <v>0</v>
      </c>
      <c r="AT546" s="31">
        <f t="shared" si="248"/>
        <v>0</v>
      </c>
      <c r="AU546" s="219">
        <f t="shared" si="249"/>
        <v>0</v>
      </c>
      <c r="AV546" s="31">
        <f t="shared" si="250"/>
        <v>0</v>
      </c>
      <c r="AW546" s="31">
        <f t="shared" si="251"/>
        <v>0</v>
      </c>
      <c r="AX546" s="31">
        <f t="shared" si="252"/>
        <v>0</v>
      </c>
      <c r="AY546" s="219">
        <f t="shared" si="253"/>
        <v>0</v>
      </c>
      <c r="AZ546" s="196">
        <f t="shared" si="254"/>
        <v>0</v>
      </c>
      <c r="BA546" s="219">
        <f t="shared" si="255"/>
        <v>0</v>
      </c>
      <c r="BB546" s="31">
        <f t="shared" si="256"/>
        <v>0</v>
      </c>
      <c r="BC546" s="219">
        <f t="shared" si="257"/>
        <v>0</v>
      </c>
      <c r="BD546" s="31">
        <f t="shared" si="258"/>
        <v>11</v>
      </c>
      <c r="BE546" s="219">
        <f t="shared" si="259"/>
        <v>9.35</v>
      </c>
      <c r="BF546" s="31">
        <f t="shared" si="260"/>
        <v>0</v>
      </c>
      <c r="BG546" s="219">
        <f t="shared" si="261"/>
        <v>0</v>
      </c>
      <c r="BH546" s="31">
        <f t="shared" si="262"/>
        <v>0</v>
      </c>
      <c r="BI546" s="219">
        <f t="shared" si="263"/>
        <v>0</v>
      </c>
      <c r="BJ546" s="31">
        <f t="shared" si="264"/>
        <v>0</v>
      </c>
      <c r="BK546" s="219">
        <f t="shared" si="265"/>
        <v>0</v>
      </c>
      <c r="BL546" s="31">
        <f t="shared" si="266"/>
        <v>0</v>
      </c>
      <c r="BM546" s="219">
        <f t="shared" si="267"/>
        <v>0</v>
      </c>
      <c r="BN546" s="31">
        <f t="shared" si="268"/>
        <v>0</v>
      </c>
      <c r="BO546" s="219">
        <f t="shared" si="269"/>
        <v>0</v>
      </c>
    </row>
    <row r="547" spans="1:67" x14ac:dyDescent="0.25">
      <c r="A547" s="31" t="s">
        <v>1408</v>
      </c>
      <c r="B547" s="176" t="str">
        <f>VLOOKUP(A547,kurspris!$A$1:$B$992,2,FALSE)</f>
        <v>Förskolans uppdrag och arbetssätt 1</v>
      </c>
      <c r="D547" s="60" t="s">
        <v>483</v>
      </c>
      <c r="E547" s="576" t="s">
        <v>2434</v>
      </c>
      <c r="F547" s="60" t="s">
        <v>2273</v>
      </c>
      <c r="G547" t="s">
        <v>2442</v>
      </c>
      <c r="H547" t="s">
        <v>2335</v>
      </c>
      <c r="I547" s="31" t="s">
        <v>2276</v>
      </c>
      <c r="L547" s="38">
        <v>1</v>
      </c>
      <c r="M547">
        <v>5</v>
      </c>
      <c r="P547" s="31">
        <v>2</v>
      </c>
      <c r="Q547" s="196">
        <f>(M547/60)*P547</f>
        <v>0.16666666666666666</v>
      </c>
      <c r="R547" s="38">
        <v>0.85</v>
      </c>
      <c r="S547" s="280">
        <f t="shared" si="242"/>
        <v>0.14166666666666666</v>
      </c>
      <c r="T547" s="31">
        <f>VLOOKUP(A547,'Ansvar kurs'!$A$1:$C$1123,2,FALSE)</f>
        <v>2193</v>
      </c>
      <c r="U547" s="31" t="str">
        <f>VLOOKUP(T547,Orgenheter!$A$1:$C$166,2,FALSE)</f>
        <v xml:space="preserve">TUV </v>
      </c>
      <c r="V547" s="31" t="str">
        <f>VLOOKUP(T547,Orgenheter!$A$1:$C$166,3,FALSE)</f>
        <v>Sam</v>
      </c>
      <c r="W547" s="35" t="str">
        <f>VLOOKUP(D547,Program!$A$1:$B$36,2,FALSE)</f>
        <v>Förskollärarprogrammet</v>
      </c>
      <c r="X547" s="40">
        <f>VLOOKUP(A547,kurspris!$A$1:$Q$913,15,FALSE)</f>
        <v>20766</v>
      </c>
      <c r="Y547" s="40">
        <f>VLOOKUP(A547,kurspris!$A$1:$Q$913,16,FALSE)</f>
        <v>17442</v>
      </c>
      <c r="Z547" s="40">
        <f t="shared" si="243"/>
        <v>5931.95</v>
      </c>
      <c r="AA547" s="40">
        <f>VLOOKUP(A547,kurspris!$A$1:$Q$913,17,FALSE)</f>
        <v>6000</v>
      </c>
      <c r="AB547" s="40">
        <f t="shared" si="244"/>
        <v>1000</v>
      </c>
      <c r="AC547" s="40">
        <f t="shared" si="245"/>
        <v>6931.95</v>
      </c>
      <c r="AD547" s="31">
        <f>VLOOKUP($A547,kurspris!$A$1:$Q$950,3,FALSE)</f>
        <v>0</v>
      </c>
      <c r="AE547" s="31">
        <f>VLOOKUP($A547,kurspris!$A$1:$Q$950,4,FALSE)</f>
        <v>0</v>
      </c>
      <c r="AF547" s="31">
        <f>VLOOKUP($A547,kurspris!$A$1:$Q$950,5,FALSE)</f>
        <v>0</v>
      </c>
      <c r="AG547" s="31">
        <f>VLOOKUP($A547,kurspris!$A$1:$Q$950,6,FALSE)</f>
        <v>0</v>
      </c>
      <c r="AH547" s="31">
        <f>VLOOKUP($A547,kurspris!$A$1:$Q$950,7,FALSE)</f>
        <v>0</v>
      </c>
      <c r="AI547" s="31">
        <f>VLOOKUP($A547,kurspris!$A$1:$Q$950,8,FALSE)</f>
        <v>0</v>
      </c>
      <c r="AJ547" s="31">
        <f>VLOOKUP($A547,kurspris!$A$1:$Q$950,9,FALSE)</f>
        <v>1</v>
      </c>
      <c r="AK547" s="31">
        <f>VLOOKUP($A547,kurspris!$A$1:$Q$950,10,FALSE)</f>
        <v>0</v>
      </c>
      <c r="AL547" s="31">
        <f>VLOOKUP($A547,kurspris!$A$1:$Q$950,11,FALSE)</f>
        <v>0</v>
      </c>
      <c r="AM547" s="31">
        <f>VLOOKUP($A547,kurspris!$A$1:$Q$950,12,FALSE)</f>
        <v>0</v>
      </c>
      <c r="AN547" s="31">
        <f>VLOOKUP($A547,kurspris!$A$1:$Q$950,13,FALSE)</f>
        <v>0</v>
      </c>
      <c r="AO547" s="31">
        <f>VLOOKUP($A547,kurspris!$A$1:$Q$950,14,FALSE)</f>
        <v>0</v>
      </c>
      <c r="AP547" s="57" t="s">
        <v>2506</v>
      </c>
      <c r="AQ547"/>
      <c r="AR547" s="31">
        <f t="shared" si="246"/>
        <v>0</v>
      </c>
      <c r="AS547" s="219">
        <f t="shared" si="247"/>
        <v>0</v>
      </c>
      <c r="AT547" s="31">
        <f t="shared" si="248"/>
        <v>0</v>
      </c>
      <c r="AU547" s="219">
        <f t="shared" si="249"/>
        <v>0</v>
      </c>
      <c r="AV547" s="31">
        <f t="shared" si="250"/>
        <v>0</v>
      </c>
      <c r="AW547" s="31">
        <f t="shared" si="251"/>
        <v>0</v>
      </c>
      <c r="AX547" s="31">
        <f t="shared" si="252"/>
        <v>0</v>
      </c>
      <c r="AY547" s="219">
        <f t="shared" si="253"/>
        <v>0</v>
      </c>
      <c r="AZ547" s="196">
        <f t="shared" si="254"/>
        <v>0</v>
      </c>
      <c r="BA547" s="219">
        <f t="shared" si="255"/>
        <v>0</v>
      </c>
      <c r="BB547" s="31">
        <f t="shared" si="256"/>
        <v>0</v>
      </c>
      <c r="BC547" s="219">
        <f t="shared" si="257"/>
        <v>0</v>
      </c>
      <c r="BD547" s="31">
        <f t="shared" si="258"/>
        <v>0.16666666666666666</v>
      </c>
      <c r="BE547" s="219">
        <f t="shared" si="259"/>
        <v>0.14166666666666666</v>
      </c>
      <c r="BF547" s="31">
        <f t="shared" si="260"/>
        <v>0</v>
      </c>
      <c r="BG547" s="219">
        <f t="shared" si="261"/>
        <v>0</v>
      </c>
      <c r="BH547" s="31">
        <f t="shared" si="262"/>
        <v>0</v>
      </c>
      <c r="BI547" s="219">
        <f t="shared" si="263"/>
        <v>0</v>
      </c>
      <c r="BJ547" s="31">
        <f t="shared" si="264"/>
        <v>0</v>
      </c>
      <c r="BK547" s="219">
        <f t="shared" si="265"/>
        <v>0</v>
      </c>
      <c r="BL547" s="31">
        <f t="shared" si="266"/>
        <v>0</v>
      </c>
      <c r="BM547" s="219">
        <f t="shared" si="267"/>
        <v>0</v>
      </c>
      <c r="BN547" s="31">
        <f t="shared" si="268"/>
        <v>0</v>
      </c>
      <c r="BO547" s="219">
        <f t="shared" si="269"/>
        <v>0</v>
      </c>
    </row>
    <row r="548" spans="1:67" x14ac:dyDescent="0.25">
      <c r="A548" s="31" t="s">
        <v>1408</v>
      </c>
      <c r="B548" s="176" t="str">
        <f>VLOOKUP(A548,kurspris!$A$1:$B$992,2,FALSE)</f>
        <v>Förskolans uppdrag och arbetssätt 1</v>
      </c>
      <c r="D548" s="60" t="s">
        <v>483</v>
      </c>
      <c r="E548" s="576" t="s">
        <v>2432</v>
      </c>
      <c r="F548" s="31" t="s">
        <v>2273</v>
      </c>
      <c r="G548" t="s">
        <v>2442</v>
      </c>
      <c r="H548" t="s">
        <v>2335</v>
      </c>
      <c r="I548" s="31" t="s">
        <v>2276</v>
      </c>
      <c r="L548" s="38">
        <v>1</v>
      </c>
      <c r="M548">
        <v>5</v>
      </c>
      <c r="P548" s="31">
        <v>1</v>
      </c>
      <c r="Q548" s="196">
        <f>(M548/60)*P548</f>
        <v>8.3333333333333329E-2</v>
      </c>
      <c r="R548" s="38">
        <v>0.85</v>
      </c>
      <c r="S548" s="280">
        <f t="shared" si="242"/>
        <v>7.0833333333333331E-2</v>
      </c>
      <c r="T548" s="31">
        <f>VLOOKUP(A548,'Ansvar kurs'!$A$1:$C$1123,2,FALSE)</f>
        <v>2193</v>
      </c>
      <c r="U548" s="31" t="str">
        <f>VLOOKUP(T548,Orgenheter!$A$1:$C$166,2,FALSE)</f>
        <v xml:space="preserve">TUV </v>
      </c>
      <c r="V548" s="31" t="str">
        <f>VLOOKUP(T548,Orgenheter!$A$1:$C$166,3,FALSE)</f>
        <v>Sam</v>
      </c>
      <c r="W548" s="35" t="str">
        <f>VLOOKUP(D548,Program!$A$1:$B$36,2,FALSE)</f>
        <v>Förskollärarprogrammet</v>
      </c>
      <c r="X548" s="40">
        <f>VLOOKUP(A548,kurspris!$A$1:$Q$913,15,FALSE)</f>
        <v>20766</v>
      </c>
      <c r="Y548" s="40">
        <f>VLOOKUP(A548,kurspris!$A$1:$Q$913,16,FALSE)</f>
        <v>17442</v>
      </c>
      <c r="Z548" s="40">
        <f t="shared" si="243"/>
        <v>2965.9749999999999</v>
      </c>
      <c r="AA548" s="40">
        <f>VLOOKUP(A548,kurspris!$A$1:$Q$913,17,FALSE)</f>
        <v>6000</v>
      </c>
      <c r="AB548" s="40">
        <f t="shared" si="244"/>
        <v>500</v>
      </c>
      <c r="AC548" s="40">
        <f t="shared" si="245"/>
        <v>3465.9749999999999</v>
      </c>
      <c r="AD548" s="31">
        <f>VLOOKUP($A548,kurspris!$A$1:$Q$950,3,FALSE)</f>
        <v>0</v>
      </c>
      <c r="AE548" s="31">
        <f>VLOOKUP($A548,kurspris!$A$1:$Q$950,4,FALSE)</f>
        <v>0</v>
      </c>
      <c r="AF548" s="31">
        <f>VLOOKUP($A548,kurspris!$A$1:$Q$950,5,FALSE)</f>
        <v>0</v>
      </c>
      <c r="AG548" s="31">
        <f>VLOOKUP($A548,kurspris!$A$1:$Q$950,6,FALSE)</f>
        <v>0</v>
      </c>
      <c r="AH548" s="31">
        <f>VLOOKUP($A548,kurspris!$A$1:$Q$950,7,FALSE)</f>
        <v>0</v>
      </c>
      <c r="AI548" s="31">
        <f>VLOOKUP($A548,kurspris!$A$1:$Q$950,8,FALSE)</f>
        <v>0</v>
      </c>
      <c r="AJ548" s="31">
        <f>VLOOKUP($A548,kurspris!$A$1:$Q$950,9,FALSE)</f>
        <v>1</v>
      </c>
      <c r="AK548" s="31">
        <f>VLOOKUP($A548,kurspris!$A$1:$Q$950,10,FALSE)</f>
        <v>0</v>
      </c>
      <c r="AL548" s="31">
        <f>VLOOKUP($A548,kurspris!$A$1:$Q$950,11,FALSE)</f>
        <v>0</v>
      </c>
      <c r="AM548" s="31">
        <f>VLOOKUP($A548,kurspris!$A$1:$Q$950,12,FALSE)</f>
        <v>0</v>
      </c>
      <c r="AN548" s="31">
        <f>VLOOKUP($A548,kurspris!$A$1:$Q$950,13,FALSE)</f>
        <v>0</v>
      </c>
      <c r="AO548" s="31">
        <f>VLOOKUP($A548,kurspris!$A$1:$Q$950,14,FALSE)</f>
        <v>0</v>
      </c>
      <c r="AP548" s="57" t="s">
        <v>2506</v>
      </c>
      <c r="AQ548"/>
      <c r="AR548" s="31">
        <f t="shared" si="246"/>
        <v>0</v>
      </c>
      <c r="AS548" s="219">
        <f t="shared" si="247"/>
        <v>0</v>
      </c>
      <c r="AT548" s="31">
        <f t="shared" si="248"/>
        <v>0</v>
      </c>
      <c r="AU548" s="219">
        <f t="shared" si="249"/>
        <v>0</v>
      </c>
      <c r="AV548" s="31">
        <f t="shared" si="250"/>
        <v>0</v>
      </c>
      <c r="AW548" s="31">
        <f t="shared" si="251"/>
        <v>0</v>
      </c>
      <c r="AX548" s="31">
        <f t="shared" si="252"/>
        <v>0</v>
      </c>
      <c r="AY548" s="219">
        <f t="shared" si="253"/>
        <v>0</v>
      </c>
      <c r="AZ548" s="196">
        <f t="shared" si="254"/>
        <v>0</v>
      </c>
      <c r="BA548" s="219">
        <f t="shared" si="255"/>
        <v>0</v>
      </c>
      <c r="BB548" s="31">
        <f t="shared" si="256"/>
        <v>0</v>
      </c>
      <c r="BC548" s="219">
        <f t="shared" si="257"/>
        <v>0</v>
      </c>
      <c r="BD548" s="31">
        <f t="shared" si="258"/>
        <v>8.3333333333333329E-2</v>
      </c>
      <c r="BE548" s="219">
        <f t="shared" si="259"/>
        <v>7.0833333333333331E-2</v>
      </c>
      <c r="BF548" s="31">
        <f t="shared" si="260"/>
        <v>0</v>
      </c>
      <c r="BG548" s="219">
        <f t="shared" si="261"/>
        <v>0</v>
      </c>
      <c r="BH548" s="31">
        <f t="shared" si="262"/>
        <v>0</v>
      </c>
      <c r="BI548" s="219">
        <f t="shared" si="263"/>
        <v>0</v>
      </c>
      <c r="BJ548" s="31">
        <f t="shared" si="264"/>
        <v>0</v>
      </c>
      <c r="BK548" s="219">
        <f t="shared" si="265"/>
        <v>0</v>
      </c>
      <c r="BL548" s="31">
        <f t="shared" si="266"/>
        <v>0</v>
      </c>
      <c r="BM548" s="219">
        <f t="shared" si="267"/>
        <v>0</v>
      </c>
      <c r="BN548" s="31">
        <f t="shared" si="268"/>
        <v>0</v>
      </c>
      <c r="BO548" s="219">
        <f t="shared" si="269"/>
        <v>0</v>
      </c>
    </row>
    <row r="549" spans="1:67" x14ac:dyDescent="0.25">
      <c r="A549" s="31" t="s">
        <v>1408</v>
      </c>
      <c r="B549" s="176" t="str">
        <f>VLOOKUP(A549,kurspris!$A$1:$B$992,2,FALSE)</f>
        <v>Förskolans uppdrag och arbetssätt 1</v>
      </c>
      <c r="D549" s="60" t="s">
        <v>483</v>
      </c>
      <c r="E549" s="576" t="s">
        <v>2433</v>
      </c>
      <c r="F549" s="31" t="s">
        <v>2273</v>
      </c>
      <c r="G549" t="s">
        <v>2442</v>
      </c>
      <c r="H549" t="s">
        <v>2335</v>
      </c>
      <c r="I549" s="31" t="s">
        <v>2276</v>
      </c>
      <c r="L549" s="38">
        <v>1</v>
      </c>
      <c r="M549">
        <v>5</v>
      </c>
      <c r="P549" s="31">
        <v>24</v>
      </c>
      <c r="Q549" s="196">
        <f>(M549/60)*P549</f>
        <v>2</v>
      </c>
      <c r="R549" s="38">
        <v>0.85</v>
      </c>
      <c r="S549" s="280">
        <f t="shared" si="242"/>
        <v>1.7</v>
      </c>
      <c r="T549" s="31">
        <f>VLOOKUP(A549,'Ansvar kurs'!$A$1:$C$1123,2,FALSE)</f>
        <v>2193</v>
      </c>
      <c r="U549" s="31" t="str">
        <f>VLOOKUP(T549,Orgenheter!$A$1:$C$166,2,FALSE)</f>
        <v xml:space="preserve">TUV </v>
      </c>
      <c r="V549" s="31" t="str">
        <f>VLOOKUP(T549,Orgenheter!$A$1:$C$166,3,FALSE)</f>
        <v>Sam</v>
      </c>
      <c r="W549" s="35" t="str">
        <f>VLOOKUP(D549,Program!$A$1:$B$36,2,FALSE)</f>
        <v>Förskollärarprogrammet</v>
      </c>
      <c r="X549" s="40">
        <f>VLOOKUP(A549,kurspris!$A$1:$Q$913,15,FALSE)</f>
        <v>20766</v>
      </c>
      <c r="Y549" s="40">
        <f>VLOOKUP(A549,kurspris!$A$1:$Q$913,16,FALSE)</f>
        <v>17442</v>
      </c>
      <c r="Z549" s="40">
        <f t="shared" si="243"/>
        <v>71183.399999999994</v>
      </c>
      <c r="AA549" s="40">
        <f>VLOOKUP(A549,kurspris!$A$1:$Q$913,17,FALSE)</f>
        <v>6000</v>
      </c>
      <c r="AB549" s="40">
        <f t="shared" si="244"/>
        <v>12000</v>
      </c>
      <c r="AC549" s="40">
        <f t="shared" si="245"/>
        <v>83183.399999999994</v>
      </c>
      <c r="AD549" s="31">
        <f>VLOOKUP($A549,kurspris!$A$1:$Q$950,3,FALSE)</f>
        <v>0</v>
      </c>
      <c r="AE549" s="31">
        <f>VLOOKUP($A549,kurspris!$A$1:$Q$950,4,FALSE)</f>
        <v>0</v>
      </c>
      <c r="AF549" s="31">
        <f>VLOOKUP($A549,kurspris!$A$1:$Q$950,5,FALSE)</f>
        <v>0</v>
      </c>
      <c r="AG549" s="31">
        <f>VLOOKUP($A549,kurspris!$A$1:$Q$950,6,FALSE)</f>
        <v>0</v>
      </c>
      <c r="AH549" s="31">
        <f>VLOOKUP($A549,kurspris!$A$1:$Q$950,7,FALSE)</f>
        <v>0</v>
      </c>
      <c r="AI549" s="31">
        <f>VLOOKUP($A549,kurspris!$A$1:$Q$950,8,FALSE)</f>
        <v>0</v>
      </c>
      <c r="AJ549" s="31">
        <f>VLOOKUP($A549,kurspris!$A$1:$Q$950,9,FALSE)</f>
        <v>1</v>
      </c>
      <c r="AK549" s="31">
        <f>VLOOKUP($A549,kurspris!$A$1:$Q$950,10,FALSE)</f>
        <v>0</v>
      </c>
      <c r="AL549" s="31">
        <f>VLOOKUP($A549,kurspris!$A$1:$Q$950,11,FALSE)</f>
        <v>0</v>
      </c>
      <c r="AM549" s="31">
        <f>VLOOKUP($A549,kurspris!$A$1:$Q$950,12,FALSE)</f>
        <v>0</v>
      </c>
      <c r="AN549" s="31">
        <f>VLOOKUP($A549,kurspris!$A$1:$Q$950,13,FALSE)</f>
        <v>0</v>
      </c>
      <c r="AO549" s="31">
        <f>VLOOKUP($A549,kurspris!$A$1:$Q$950,14,FALSE)</f>
        <v>0</v>
      </c>
      <c r="AP549" s="57" t="s">
        <v>2506</v>
      </c>
      <c r="AQ549"/>
      <c r="AR549" s="31">
        <f t="shared" si="246"/>
        <v>0</v>
      </c>
      <c r="AS549" s="219">
        <f t="shared" si="247"/>
        <v>0</v>
      </c>
      <c r="AT549" s="31">
        <f t="shared" si="248"/>
        <v>0</v>
      </c>
      <c r="AU549" s="219">
        <f t="shared" si="249"/>
        <v>0</v>
      </c>
      <c r="AV549" s="31">
        <f t="shared" si="250"/>
        <v>0</v>
      </c>
      <c r="AW549" s="31">
        <f t="shared" si="251"/>
        <v>0</v>
      </c>
      <c r="AX549" s="31">
        <f t="shared" si="252"/>
        <v>0</v>
      </c>
      <c r="AY549" s="219">
        <f t="shared" si="253"/>
        <v>0</v>
      </c>
      <c r="AZ549" s="196">
        <f t="shared" si="254"/>
        <v>0</v>
      </c>
      <c r="BA549" s="219">
        <f t="shared" si="255"/>
        <v>0</v>
      </c>
      <c r="BB549" s="31">
        <f t="shared" si="256"/>
        <v>0</v>
      </c>
      <c r="BC549" s="219">
        <f t="shared" si="257"/>
        <v>0</v>
      </c>
      <c r="BD549" s="31">
        <f t="shared" si="258"/>
        <v>2</v>
      </c>
      <c r="BE549" s="219">
        <f t="shared" si="259"/>
        <v>1.7</v>
      </c>
      <c r="BF549" s="31">
        <f t="shared" si="260"/>
        <v>0</v>
      </c>
      <c r="BG549" s="219">
        <f t="shared" si="261"/>
        <v>0</v>
      </c>
      <c r="BH549" s="31">
        <f t="shared" si="262"/>
        <v>0</v>
      </c>
      <c r="BI549" s="219">
        <f t="shared" si="263"/>
        <v>0</v>
      </c>
      <c r="BJ549" s="31">
        <f t="shared" si="264"/>
        <v>0</v>
      </c>
      <c r="BK549" s="219">
        <f t="shared" si="265"/>
        <v>0</v>
      </c>
      <c r="BL549" s="31">
        <f t="shared" si="266"/>
        <v>0</v>
      </c>
      <c r="BM549" s="219">
        <f t="shared" si="267"/>
        <v>0</v>
      </c>
      <c r="BN549" s="31">
        <f t="shared" si="268"/>
        <v>0</v>
      </c>
      <c r="BO549" s="219">
        <f t="shared" si="269"/>
        <v>0</v>
      </c>
    </row>
    <row r="550" spans="1:67" x14ac:dyDescent="0.25">
      <c r="A550" s="31" t="s">
        <v>1408</v>
      </c>
      <c r="B550" s="176" t="str">
        <f>VLOOKUP(A550,kurspris!$A$1:$B$992,2,FALSE)</f>
        <v>Förskolans uppdrag och arbetssätt 1</v>
      </c>
      <c r="C550" s="31">
        <v>68705</v>
      </c>
      <c r="D550" s="60" t="s">
        <v>483</v>
      </c>
      <c r="E550" s="60"/>
      <c r="F550" s="57" t="s">
        <v>2274</v>
      </c>
      <c r="H550" s="31" t="s">
        <v>2335</v>
      </c>
      <c r="I550" s="31" t="s">
        <v>2399</v>
      </c>
      <c r="L550" s="38"/>
      <c r="M550">
        <v>5</v>
      </c>
      <c r="P550" s="31">
        <v>40</v>
      </c>
      <c r="Q550" s="539">
        <v>3.3330000000000002</v>
      </c>
      <c r="R550" s="38">
        <v>0.85</v>
      </c>
      <c r="S550" s="280">
        <f t="shared" si="242"/>
        <v>2.8330500000000001</v>
      </c>
      <c r="T550" s="31">
        <f>VLOOKUP(A550,'Ansvar kurs'!$A$1:$C$1123,2,FALSE)</f>
        <v>2193</v>
      </c>
      <c r="U550" s="31" t="str">
        <f>VLOOKUP(T550,Orgenheter!$A$1:$C$166,2,FALSE)</f>
        <v xml:space="preserve">TUV </v>
      </c>
      <c r="V550" s="31" t="str">
        <f>VLOOKUP(T550,Orgenheter!$A$1:$C$166,3,FALSE)</f>
        <v>Sam</v>
      </c>
      <c r="W550" s="35" t="str">
        <f>VLOOKUP(D550,Program!$A$1:$B$36,2,FALSE)</f>
        <v>Förskollärarprogrammet</v>
      </c>
      <c r="X550" s="40">
        <f>VLOOKUP(A550,kurspris!$A$1:$Q$913,15,FALSE)</f>
        <v>20766</v>
      </c>
      <c r="Y550" s="40">
        <f>VLOOKUP(A550,kurspris!$A$1:$Q$913,16,FALSE)</f>
        <v>17442</v>
      </c>
      <c r="Z550" s="40">
        <f t="shared" si="243"/>
        <v>118627.1361</v>
      </c>
      <c r="AA550" s="40">
        <f>VLOOKUP(A550,kurspris!$A$1:$Q$913,17,FALSE)</f>
        <v>6000</v>
      </c>
      <c r="AB550" s="40">
        <f t="shared" si="244"/>
        <v>19998</v>
      </c>
      <c r="AC550" s="40">
        <f t="shared" si="245"/>
        <v>138625.1361</v>
      </c>
      <c r="AD550" s="31">
        <f>VLOOKUP($A550,kurspris!$A$1:$Q$950,3,FALSE)</f>
        <v>0</v>
      </c>
      <c r="AE550" s="31">
        <f>VLOOKUP($A550,kurspris!$A$1:$Q$950,4,FALSE)</f>
        <v>0</v>
      </c>
      <c r="AF550" s="31">
        <f>VLOOKUP($A550,kurspris!$A$1:$Q$950,5,FALSE)</f>
        <v>0</v>
      </c>
      <c r="AG550" s="31">
        <f>VLOOKUP($A550,kurspris!$A$1:$Q$950,6,FALSE)</f>
        <v>0</v>
      </c>
      <c r="AH550" s="31">
        <f>VLOOKUP($A550,kurspris!$A$1:$Q$950,7,FALSE)</f>
        <v>0</v>
      </c>
      <c r="AI550" s="31">
        <f>VLOOKUP($A550,kurspris!$A$1:$Q$950,8,FALSE)</f>
        <v>0</v>
      </c>
      <c r="AJ550" s="31">
        <f>VLOOKUP($A550,kurspris!$A$1:$Q$950,9,FALSE)</f>
        <v>1</v>
      </c>
      <c r="AK550" s="31">
        <f>VLOOKUP($A550,kurspris!$A$1:$Q$950,10,FALSE)</f>
        <v>0</v>
      </c>
      <c r="AL550" s="31">
        <f>VLOOKUP($A550,kurspris!$A$1:$Q$950,11,FALSE)</f>
        <v>0</v>
      </c>
      <c r="AM550" s="31">
        <f>VLOOKUP($A550,kurspris!$A$1:$Q$950,12,FALSE)</f>
        <v>0</v>
      </c>
      <c r="AN550" s="31">
        <f>VLOOKUP($A550,kurspris!$A$1:$Q$950,13,FALSE)</f>
        <v>0</v>
      </c>
      <c r="AO550" s="31">
        <f>VLOOKUP($A550,kurspris!$A$1:$Q$950,14,FALSE)</f>
        <v>0</v>
      </c>
      <c r="AP550" s="57" t="s">
        <v>2402</v>
      </c>
      <c r="AQ550"/>
      <c r="AR550" s="31">
        <f t="shared" si="246"/>
        <v>0</v>
      </c>
      <c r="AS550" s="219">
        <f t="shared" si="247"/>
        <v>0</v>
      </c>
      <c r="AT550" s="31">
        <f t="shared" si="248"/>
        <v>0</v>
      </c>
      <c r="AU550" s="219">
        <f t="shared" si="249"/>
        <v>0</v>
      </c>
      <c r="AV550" s="31">
        <f t="shared" si="250"/>
        <v>0</v>
      </c>
      <c r="AW550" s="31">
        <f t="shared" si="251"/>
        <v>0</v>
      </c>
      <c r="AX550" s="31">
        <f t="shared" si="252"/>
        <v>0</v>
      </c>
      <c r="AY550" s="219">
        <f t="shared" si="253"/>
        <v>0</v>
      </c>
      <c r="AZ550" s="196">
        <f t="shared" si="254"/>
        <v>0</v>
      </c>
      <c r="BA550" s="219">
        <f t="shared" si="255"/>
        <v>0</v>
      </c>
      <c r="BB550" s="31">
        <f t="shared" si="256"/>
        <v>0</v>
      </c>
      <c r="BC550" s="219">
        <f t="shared" si="257"/>
        <v>0</v>
      </c>
      <c r="BD550" s="31">
        <f t="shared" si="258"/>
        <v>3.3330000000000002</v>
      </c>
      <c r="BE550" s="219">
        <f t="shared" si="259"/>
        <v>2.8330500000000001</v>
      </c>
      <c r="BF550" s="31">
        <f t="shared" si="260"/>
        <v>0</v>
      </c>
      <c r="BG550" s="219">
        <f t="shared" si="261"/>
        <v>0</v>
      </c>
      <c r="BH550" s="31">
        <f t="shared" si="262"/>
        <v>0</v>
      </c>
      <c r="BI550" s="219">
        <f t="shared" si="263"/>
        <v>0</v>
      </c>
      <c r="BJ550" s="31">
        <f t="shared" si="264"/>
        <v>0</v>
      </c>
      <c r="BK550" s="219">
        <f t="shared" si="265"/>
        <v>0</v>
      </c>
      <c r="BL550" s="31">
        <f t="shared" si="266"/>
        <v>0</v>
      </c>
      <c r="BM550" s="219">
        <f t="shared" si="267"/>
        <v>0</v>
      </c>
      <c r="BN550" s="31">
        <f t="shared" si="268"/>
        <v>0</v>
      </c>
      <c r="BO550" s="219">
        <f t="shared" si="269"/>
        <v>0</v>
      </c>
    </row>
    <row r="551" spans="1:67" x14ac:dyDescent="0.25">
      <c r="A551" s="31" t="s">
        <v>1477</v>
      </c>
      <c r="B551" s="176" t="str">
        <f>VLOOKUP(A551,kurspris!$A$1:$B$992,2,FALSE)</f>
        <v>Läraryrkets dimensioner - ingångsämne Samhällskunskap</v>
      </c>
      <c r="D551" s="60" t="s">
        <v>482</v>
      </c>
      <c r="E551" s="576" t="s">
        <v>2227</v>
      </c>
      <c r="F551" s="31" t="s">
        <v>2273</v>
      </c>
      <c r="G551" t="s">
        <v>2456</v>
      </c>
      <c r="H551" t="s">
        <v>2335</v>
      </c>
      <c r="J551" s="31" t="s">
        <v>2242</v>
      </c>
      <c r="L551" s="38">
        <v>1</v>
      </c>
      <c r="M551">
        <v>22.5</v>
      </c>
      <c r="P551" s="31">
        <v>2</v>
      </c>
      <c r="Q551" s="196">
        <f>(M551/60)*P551</f>
        <v>0.75</v>
      </c>
      <c r="R551" s="38">
        <v>0.85</v>
      </c>
      <c r="S551" s="280">
        <f t="shared" si="242"/>
        <v>0.63749999999999996</v>
      </c>
      <c r="T551" s="31">
        <f>VLOOKUP(A551,'Ansvar kurs'!$A$1:$C$1123,2,FALSE)</f>
        <v>2180</v>
      </c>
      <c r="U551" s="31" t="str">
        <f>VLOOKUP(T551,Orgenheter!$A$1:$C$166,2,FALSE)</f>
        <v xml:space="preserve">Pedagogik                     </v>
      </c>
      <c r="V551" s="31" t="str">
        <f>VLOOKUP(T551,Orgenheter!$A$1:$C$166,3,FALSE)</f>
        <v>Sam</v>
      </c>
      <c r="W551" s="35" t="str">
        <f>VLOOKUP(D551,Program!$A$1:$B$36,2,FALSE)</f>
        <v>Ämneslärarprogrammet - Gy</v>
      </c>
      <c r="X551" s="40">
        <f>VLOOKUP(A551,kurspris!$A$1:$Q$913,15,FALSE)</f>
        <v>25235</v>
      </c>
      <c r="Y551" s="40">
        <f>VLOOKUP(A551,kurspris!$A$1:$Q$913,16,FALSE)</f>
        <v>27976</v>
      </c>
      <c r="Z551" s="40">
        <f t="shared" si="243"/>
        <v>36760.949999999997</v>
      </c>
      <c r="AA551" s="40">
        <f>VLOOKUP(A551,kurspris!$A$1:$Q$913,17,FALSE)</f>
        <v>3600</v>
      </c>
      <c r="AB551" s="40">
        <f t="shared" si="244"/>
        <v>2700</v>
      </c>
      <c r="AC551" s="40">
        <f t="shared" si="245"/>
        <v>39460.949999999997</v>
      </c>
      <c r="AD551" s="31">
        <f>VLOOKUP($A551,kurspris!$A$1:$Q$950,3,FALSE)</f>
        <v>0</v>
      </c>
      <c r="AE551" s="31">
        <f>VLOOKUP($A551,kurspris!$A$1:$Q$950,4,FALSE)</f>
        <v>0</v>
      </c>
      <c r="AF551" s="31">
        <f>VLOOKUP($A551,kurspris!$A$1:$Q$950,5,FALSE)</f>
        <v>0</v>
      </c>
      <c r="AG551" s="31">
        <f>VLOOKUP($A551,kurspris!$A$1:$Q$950,6,FALSE)</f>
        <v>0</v>
      </c>
      <c r="AH551" s="31">
        <f>VLOOKUP($A551,kurspris!$A$1:$Q$950,7,FALSE)</f>
        <v>0</v>
      </c>
      <c r="AI551" s="31">
        <f>VLOOKUP($A551,kurspris!$A$1:$Q$950,8,FALSE)</f>
        <v>0</v>
      </c>
      <c r="AJ551" s="31">
        <f>VLOOKUP($A551,kurspris!$A$1:$Q$950,9,FALSE)</f>
        <v>0</v>
      </c>
      <c r="AK551" s="31">
        <f>VLOOKUP($A551,kurspris!$A$1:$Q$950,10,FALSE)</f>
        <v>0</v>
      </c>
      <c r="AL551" s="31">
        <f>VLOOKUP($A551,kurspris!$A$1:$Q$950,11,FALSE)</f>
        <v>1</v>
      </c>
      <c r="AM551" s="31">
        <f>VLOOKUP($A551,kurspris!$A$1:$Q$950,12,FALSE)</f>
        <v>0</v>
      </c>
      <c r="AN551" s="31">
        <f>VLOOKUP($A551,kurspris!$A$1:$Q$950,13,FALSE)</f>
        <v>0</v>
      </c>
      <c r="AO551" s="31">
        <f>VLOOKUP($A551,kurspris!$A$1:$Q$950,14,FALSE)</f>
        <v>0</v>
      </c>
      <c r="AP551" s="57" t="s">
        <v>2506</v>
      </c>
      <c r="AQ551"/>
      <c r="AR551" s="31">
        <f t="shared" si="246"/>
        <v>0</v>
      </c>
      <c r="AS551" s="219">
        <f t="shared" si="247"/>
        <v>0</v>
      </c>
      <c r="AT551" s="31">
        <f t="shared" si="248"/>
        <v>0</v>
      </c>
      <c r="AU551" s="219">
        <f t="shared" si="249"/>
        <v>0</v>
      </c>
      <c r="AV551" s="31">
        <f t="shared" si="250"/>
        <v>0</v>
      </c>
      <c r="AW551" s="31">
        <f t="shared" si="251"/>
        <v>0</v>
      </c>
      <c r="AX551" s="31">
        <f t="shared" si="252"/>
        <v>0</v>
      </c>
      <c r="AY551" s="219">
        <f t="shared" si="253"/>
        <v>0</v>
      </c>
      <c r="AZ551" s="196">
        <f t="shared" si="254"/>
        <v>0</v>
      </c>
      <c r="BA551" s="219">
        <f t="shared" si="255"/>
        <v>0</v>
      </c>
      <c r="BB551" s="31">
        <f t="shared" si="256"/>
        <v>0</v>
      </c>
      <c r="BC551" s="219">
        <f t="shared" si="257"/>
        <v>0</v>
      </c>
      <c r="BD551" s="31">
        <f t="shared" si="258"/>
        <v>0</v>
      </c>
      <c r="BE551" s="219">
        <f t="shared" si="259"/>
        <v>0</v>
      </c>
      <c r="BF551" s="31">
        <f t="shared" si="260"/>
        <v>0</v>
      </c>
      <c r="BG551" s="219">
        <f t="shared" si="261"/>
        <v>0</v>
      </c>
      <c r="BH551" s="31">
        <f t="shared" si="262"/>
        <v>0.75</v>
      </c>
      <c r="BI551" s="219">
        <f t="shared" si="263"/>
        <v>0.63749999999999996</v>
      </c>
      <c r="BJ551" s="31">
        <f t="shared" si="264"/>
        <v>0</v>
      </c>
      <c r="BK551" s="219">
        <f t="shared" si="265"/>
        <v>0</v>
      </c>
      <c r="BL551" s="31">
        <f t="shared" si="266"/>
        <v>0</v>
      </c>
      <c r="BM551" s="219">
        <f t="shared" si="267"/>
        <v>0</v>
      </c>
      <c r="BN551" s="31">
        <f t="shared" si="268"/>
        <v>0</v>
      </c>
      <c r="BO551" s="219">
        <f t="shared" si="269"/>
        <v>0</v>
      </c>
    </row>
    <row r="552" spans="1:67" x14ac:dyDescent="0.25">
      <c r="A552" s="31" t="s">
        <v>1477</v>
      </c>
      <c r="B552" s="176" t="str">
        <f>VLOOKUP(A552,kurspris!$A$1:$B$992,2,FALSE)</f>
        <v>Läraryrkets dimensioner - ingångsämne Samhällskunskap</v>
      </c>
      <c r="D552" s="60" t="s">
        <v>482</v>
      </c>
      <c r="E552" s="576" t="s">
        <v>2226</v>
      </c>
      <c r="F552" s="31" t="s">
        <v>2273</v>
      </c>
      <c r="G552" t="s">
        <v>2456</v>
      </c>
      <c r="H552" t="s">
        <v>2335</v>
      </c>
      <c r="J552" s="31" t="s">
        <v>2242</v>
      </c>
      <c r="L552" s="38">
        <v>1</v>
      </c>
      <c r="M552">
        <v>22.5</v>
      </c>
      <c r="P552" s="31">
        <v>6</v>
      </c>
      <c r="Q552" s="196">
        <f>(M552/60)*P552</f>
        <v>2.25</v>
      </c>
      <c r="R552" s="38">
        <v>0.85</v>
      </c>
      <c r="S552" s="280">
        <f t="shared" si="242"/>
        <v>1.9124999999999999</v>
      </c>
      <c r="T552" s="31">
        <f>VLOOKUP(A552,'Ansvar kurs'!$A$1:$C$1123,2,FALSE)</f>
        <v>2180</v>
      </c>
      <c r="U552" s="31" t="str">
        <f>VLOOKUP(T552,Orgenheter!$A$1:$C$166,2,FALSE)</f>
        <v xml:space="preserve">Pedagogik                     </v>
      </c>
      <c r="V552" s="31" t="str">
        <f>VLOOKUP(T552,Orgenheter!$A$1:$C$166,3,FALSE)</f>
        <v>Sam</v>
      </c>
      <c r="W552" s="35" t="str">
        <f>VLOOKUP(D552,Program!$A$1:$B$36,2,FALSE)</f>
        <v>Ämneslärarprogrammet - Gy</v>
      </c>
      <c r="X552" s="40">
        <f>VLOOKUP(A552,kurspris!$A$1:$Q$913,15,FALSE)</f>
        <v>25235</v>
      </c>
      <c r="Y552" s="40">
        <f>VLOOKUP(A552,kurspris!$A$1:$Q$913,16,FALSE)</f>
        <v>27976</v>
      </c>
      <c r="Z552" s="40">
        <f t="shared" si="243"/>
        <v>110282.85</v>
      </c>
      <c r="AA552" s="40">
        <f>VLOOKUP(A552,kurspris!$A$1:$Q$913,17,FALSE)</f>
        <v>3600</v>
      </c>
      <c r="AB552" s="40">
        <f t="shared" si="244"/>
        <v>8100</v>
      </c>
      <c r="AC552" s="40">
        <f t="shared" si="245"/>
        <v>118382.85</v>
      </c>
      <c r="AD552" s="31">
        <f>VLOOKUP($A552,kurspris!$A$1:$Q$950,3,FALSE)</f>
        <v>0</v>
      </c>
      <c r="AE552" s="31">
        <f>VLOOKUP($A552,kurspris!$A$1:$Q$950,4,FALSE)</f>
        <v>0</v>
      </c>
      <c r="AF552" s="31">
        <f>VLOOKUP($A552,kurspris!$A$1:$Q$950,5,FALSE)</f>
        <v>0</v>
      </c>
      <c r="AG552" s="31">
        <f>VLOOKUP($A552,kurspris!$A$1:$Q$950,6,FALSE)</f>
        <v>0</v>
      </c>
      <c r="AH552" s="31">
        <f>VLOOKUP($A552,kurspris!$A$1:$Q$950,7,FALSE)</f>
        <v>0</v>
      </c>
      <c r="AI552" s="31">
        <f>VLOOKUP($A552,kurspris!$A$1:$Q$950,8,FALSE)</f>
        <v>0</v>
      </c>
      <c r="AJ552" s="31">
        <f>VLOOKUP($A552,kurspris!$A$1:$Q$950,9,FALSE)</f>
        <v>0</v>
      </c>
      <c r="AK552" s="31">
        <f>VLOOKUP($A552,kurspris!$A$1:$Q$950,10,FALSE)</f>
        <v>0</v>
      </c>
      <c r="AL552" s="31">
        <f>VLOOKUP($A552,kurspris!$A$1:$Q$950,11,FALSE)</f>
        <v>1</v>
      </c>
      <c r="AM552" s="31">
        <f>VLOOKUP($A552,kurspris!$A$1:$Q$950,12,FALSE)</f>
        <v>0</v>
      </c>
      <c r="AN552" s="31">
        <f>VLOOKUP($A552,kurspris!$A$1:$Q$950,13,FALSE)</f>
        <v>0</v>
      </c>
      <c r="AO552" s="31">
        <f>VLOOKUP($A552,kurspris!$A$1:$Q$950,14,FALSE)</f>
        <v>0</v>
      </c>
      <c r="AP552" s="57" t="s">
        <v>2506</v>
      </c>
      <c r="AQ552"/>
      <c r="AR552" s="31">
        <f t="shared" si="246"/>
        <v>0</v>
      </c>
      <c r="AS552" s="219">
        <f t="shared" si="247"/>
        <v>0</v>
      </c>
      <c r="AT552" s="31">
        <f t="shared" si="248"/>
        <v>0</v>
      </c>
      <c r="AU552" s="219">
        <f t="shared" si="249"/>
        <v>0</v>
      </c>
      <c r="AV552" s="31">
        <f t="shared" si="250"/>
        <v>0</v>
      </c>
      <c r="AW552" s="31">
        <f t="shared" si="251"/>
        <v>0</v>
      </c>
      <c r="AX552" s="31">
        <f t="shared" si="252"/>
        <v>0</v>
      </c>
      <c r="AY552" s="219">
        <f t="shared" si="253"/>
        <v>0</v>
      </c>
      <c r="AZ552" s="196">
        <f t="shared" si="254"/>
        <v>0</v>
      </c>
      <c r="BA552" s="219">
        <f t="shared" si="255"/>
        <v>0</v>
      </c>
      <c r="BB552" s="31">
        <f t="shared" si="256"/>
        <v>0</v>
      </c>
      <c r="BC552" s="219">
        <f t="shared" si="257"/>
        <v>0</v>
      </c>
      <c r="BD552" s="31">
        <f t="shared" si="258"/>
        <v>0</v>
      </c>
      <c r="BE552" s="219">
        <f t="shared" si="259"/>
        <v>0</v>
      </c>
      <c r="BF552" s="31">
        <f t="shared" si="260"/>
        <v>0</v>
      </c>
      <c r="BG552" s="219">
        <f t="shared" si="261"/>
        <v>0</v>
      </c>
      <c r="BH552" s="31">
        <f t="shared" si="262"/>
        <v>2.25</v>
      </c>
      <c r="BI552" s="219">
        <f t="shared" si="263"/>
        <v>1.9124999999999999</v>
      </c>
      <c r="BJ552" s="31">
        <f t="shared" si="264"/>
        <v>0</v>
      </c>
      <c r="BK552" s="219">
        <f t="shared" si="265"/>
        <v>0</v>
      </c>
      <c r="BL552" s="31">
        <f t="shared" si="266"/>
        <v>0</v>
      </c>
      <c r="BM552" s="219">
        <f t="shared" si="267"/>
        <v>0</v>
      </c>
      <c r="BN552" s="31">
        <f t="shared" si="268"/>
        <v>0</v>
      </c>
      <c r="BO552" s="219">
        <f t="shared" si="269"/>
        <v>0</v>
      </c>
    </row>
    <row r="553" spans="1:67" x14ac:dyDescent="0.25">
      <c r="A553" s="31" t="s">
        <v>1477</v>
      </c>
      <c r="B553" s="176" t="str">
        <f>VLOOKUP(A553,kurspris!$A$1:$B$992,2,FALSE)</f>
        <v>Läraryrkets dimensioner - ingångsämne Samhällskunskap</v>
      </c>
      <c r="D553" s="60" t="s">
        <v>482</v>
      </c>
      <c r="E553" s="576" t="s">
        <v>2434</v>
      </c>
      <c r="F553" s="31" t="s">
        <v>2273</v>
      </c>
      <c r="G553" t="s">
        <v>2456</v>
      </c>
      <c r="H553" t="s">
        <v>2335</v>
      </c>
      <c r="J553" s="31" t="s">
        <v>2242</v>
      </c>
      <c r="L553" s="38">
        <v>1</v>
      </c>
      <c r="M553">
        <v>22.5</v>
      </c>
      <c r="P553" s="31">
        <v>1</v>
      </c>
      <c r="Q553" s="196">
        <f>(M553/60)*P553</f>
        <v>0.375</v>
      </c>
      <c r="R553" s="38">
        <v>0.85</v>
      </c>
      <c r="S553" s="280">
        <f t="shared" si="242"/>
        <v>0.31874999999999998</v>
      </c>
      <c r="T553" s="31">
        <f>VLOOKUP(A553,'Ansvar kurs'!$A$1:$C$1123,2,FALSE)</f>
        <v>2180</v>
      </c>
      <c r="U553" s="31" t="str">
        <f>VLOOKUP(T553,Orgenheter!$A$1:$C$166,2,FALSE)</f>
        <v xml:space="preserve">Pedagogik                     </v>
      </c>
      <c r="V553" s="31" t="str">
        <f>VLOOKUP(T553,Orgenheter!$A$1:$C$166,3,FALSE)</f>
        <v>Sam</v>
      </c>
      <c r="W553" s="35" t="str">
        <f>VLOOKUP(D553,Program!$A$1:$B$36,2,FALSE)</f>
        <v>Ämneslärarprogrammet - Gy</v>
      </c>
      <c r="X553" s="40">
        <f>VLOOKUP(A553,kurspris!$A$1:$Q$913,15,FALSE)</f>
        <v>25235</v>
      </c>
      <c r="Y553" s="40">
        <f>VLOOKUP(A553,kurspris!$A$1:$Q$913,16,FALSE)</f>
        <v>27976</v>
      </c>
      <c r="Z553" s="40">
        <f t="shared" si="243"/>
        <v>18380.474999999999</v>
      </c>
      <c r="AA553" s="40">
        <f>VLOOKUP(A553,kurspris!$A$1:$Q$913,17,FALSE)</f>
        <v>3600</v>
      </c>
      <c r="AB553" s="40">
        <f t="shared" si="244"/>
        <v>1350</v>
      </c>
      <c r="AC553" s="40">
        <f t="shared" si="245"/>
        <v>19730.474999999999</v>
      </c>
      <c r="AD553" s="31">
        <f>VLOOKUP($A553,kurspris!$A$1:$Q$950,3,FALSE)</f>
        <v>0</v>
      </c>
      <c r="AE553" s="31">
        <f>VLOOKUP($A553,kurspris!$A$1:$Q$950,4,FALSE)</f>
        <v>0</v>
      </c>
      <c r="AF553" s="31">
        <f>VLOOKUP($A553,kurspris!$A$1:$Q$950,5,FALSE)</f>
        <v>0</v>
      </c>
      <c r="AG553" s="31">
        <f>VLOOKUP($A553,kurspris!$A$1:$Q$950,6,FALSE)</f>
        <v>0</v>
      </c>
      <c r="AH553" s="31">
        <f>VLOOKUP($A553,kurspris!$A$1:$Q$950,7,FALSE)</f>
        <v>0</v>
      </c>
      <c r="AI553" s="31">
        <f>VLOOKUP($A553,kurspris!$A$1:$Q$950,8,FALSE)</f>
        <v>0</v>
      </c>
      <c r="AJ553" s="31">
        <f>VLOOKUP($A553,kurspris!$A$1:$Q$950,9,FALSE)</f>
        <v>0</v>
      </c>
      <c r="AK553" s="31">
        <f>VLOOKUP($A553,kurspris!$A$1:$Q$950,10,FALSE)</f>
        <v>0</v>
      </c>
      <c r="AL553" s="31">
        <f>VLOOKUP($A553,kurspris!$A$1:$Q$950,11,FALSE)</f>
        <v>1</v>
      </c>
      <c r="AM553" s="31">
        <f>VLOOKUP($A553,kurspris!$A$1:$Q$950,12,FALSE)</f>
        <v>0</v>
      </c>
      <c r="AN553" s="31">
        <f>VLOOKUP($A553,kurspris!$A$1:$Q$950,13,FALSE)</f>
        <v>0</v>
      </c>
      <c r="AO553" s="31">
        <f>VLOOKUP($A553,kurspris!$A$1:$Q$950,14,FALSE)</f>
        <v>0</v>
      </c>
      <c r="AP553" s="57" t="s">
        <v>2506</v>
      </c>
      <c r="AQ553"/>
      <c r="AR553" s="31">
        <f t="shared" si="246"/>
        <v>0</v>
      </c>
      <c r="AS553" s="219">
        <f t="shared" si="247"/>
        <v>0</v>
      </c>
      <c r="AT553" s="31">
        <f t="shared" si="248"/>
        <v>0</v>
      </c>
      <c r="AU553" s="219">
        <f t="shared" si="249"/>
        <v>0</v>
      </c>
      <c r="AV553" s="31">
        <f t="shared" si="250"/>
        <v>0</v>
      </c>
      <c r="AW553" s="31">
        <f t="shared" si="251"/>
        <v>0</v>
      </c>
      <c r="AX553" s="31">
        <f t="shared" si="252"/>
        <v>0</v>
      </c>
      <c r="AY553" s="219">
        <f t="shared" si="253"/>
        <v>0</v>
      </c>
      <c r="AZ553" s="196">
        <f t="shared" si="254"/>
        <v>0</v>
      </c>
      <c r="BA553" s="219">
        <f t="shared" si="255"/>
        <v>0</v>
      </c>
      <c r="BB553" s="31">
        <f t="shared" si="256"/>
        <v>0</v>
      </c>
      <c r="BC553" s="219">
        <f t="shared" si="257"/>
        <v>0</v>
      </c>
      <c r="BD553" s="31">
        <f t="shared" si="258"/>
        <v>0</v>
      </c>
      <c r="BE553" s="219">
        <f t="shared" si="259"/>
        <v>0</v>
      </c>
      <c r="BF553" s="31">
        <f t="shared" si="260"/>
        <v>0</v>
      </c>
      <c r="BG553" s="219">
        <f t="shared" si="261"/>
        <v>0</v>
      </c>
      <c r="BH553" s="31">
        <f t="shared" si="262"/>
        <v>0.375</v>
      </c>
      <c r="BI553" s="219">
        <f t="shared" si="263"/>
        <v>0.31874999999999998</v>
      </c>
      <c r="BJ553" s="31">
        <f t="shared" si="264"/>
        <v>0</v>
      </c>
      <c r="BK553" s="219">
        <f t="shared" si="265"/>
        <v>0</v>
      </c>
      <c r="BL553" s="31">
        <f t="shared" si="266"/>
        <v>0</v>
      </c>
      <c r="BM553" s="219">
        <f t="shared" si="267"/>
        <v>0</v>
      </c>
      <c r="BN553" s="31">
        <f t="shared" si="268"/>
        <v>0</v>
      </c>
      <c r="BO553" s="219">
        <f t="shared" si="269"/>
        <v>0</v>
      </c>
    </row>
    <row r="554" spans="1:67" x14ac:dyDescent="0.25">
      <c r="A554" s="31" t="s">
        <v>1477</v>
      </c>
      <c r="B554" s="176" t="str">
        <f>VLOOKUP(A554,kurspris!$A$1:$B$992,2,FALSE)</f>
        <v>Läraryrkets dimensioner - ingångsämne Samhällskunskap</v>
      </c>
      <c r="C554" s="31">
        <v>64510</v>
      </c>
      <c r="D554" s="60" t="s">
        <v>482</v>
      </c>
      <c r="E554" s="60"/>
      <c r="F554" s="57" t="s">
        <v>2274</v>
      </c>
      <c r="H554" s="31" t="s">
        <v>2335</v>
      </c>
      <c r="I554" s="31" t="s">
        <v>2399</v>
      </c>
      <c r="J554" s="31" t="s">
        <v>2242</v>
      </c>
      <c r="L554" s="38"/>
      <c r="M554">
        <v>22.5</v>
      </c>
      <c r="P554" s="31">
        <v>3</v>
      </c>
      <c r="Q554" s="539">
        <v>1.125</v>
      </c>
      <c r="R554" s="38">
        <v>0.85</v>
      </c>
      <c r="S554" s="280">
        <f t="shared" si="242"/>
        <v>0.95624999999999993</v>
      </c>
      <c r="T554" s="31">
        <f>VLOOKUP(A554,'Ansvar kurs'!$A$1:$C$1123,2,FALSE)</f>
        <v>2180</v>
      </c>
      <c r="U554" s="31" t="str">
        <f>VLOOKUP(T554,Orgenheter!$A$1:$C$166,2,FALSE)</f>
        <v xml:space="preserve">Pedagogik                     </v>
      </c>
      <c r="V554" s="31" t="str">
        <f>VLOOKUP(T554,Orgenheter!$A$1:$C$166,3,FALSE)</f>
        <v>Sam</v>
      </c>
      <c r="W554" s="35" t="str">
        <f>VLOOKUP(D554,Program!$A$1:$B$36,2,FALSE)</f>
        <v>Ämneslärarprogrammet - Gy</v>
      </c>
      <c r="X554" s="40">
        <f>VLOOKUP(A554,kurspris!$A$1:$Q$913,15,FALSE)</f>
        <v>25235</v>
      </c>
      <c r="Y554" s="40">
        <f>VLOOKUP(A554,kurspris!$A$1:$Q$913,16,FALSE)</f>
        <v>27976</v>
      </c>
      <c r="Z554" s="40">
        <f t="shared" si="243"/>
        <v>55141.425000000003</v>
      </c>
      <c r="AA554" s="40">
        <f>VLOOKUP(A554,kurspris!$A$1:$Q$913,17,FALSE)</f>
        <v>3600</v>
      </c>
      <c r="AB554" s="40">
        <f t="shared" si="244"/>
        <v>4050</v>
      </c>
      <c r="AC554" s="40">
        <f t="shared" si="245"/>
        <v>59191.425000000003</v>
      </c>
      <c r="AD554" s="31">
        <f>VLOOKUP($A554,kurspris!$A$1:$Q$950,3,FALSE)</f>
        <v>0</v>
      </c>
      <c r="AE554" s="31">
        <f>VLOOKUP($A554,kurspris!$A$1:$Q$950,4,FALSE)</f>
        <v>0</v>
      </c>
      <c r="AF554" s="31">
        <f>VLOOKUP($A554,kurspris!$A$1:$Q$950,5,FALSE)</f>
        <v>0</v>
      </c>
      <c r="AG554" s="31">
        <f>VLOOKUP($A554,kurspris!$A$1:$Q$950,6,FALSE)</f>
        <v>0</v>
      </c>
      <c r="AH554" s="31">
        <f>VLOOKUP($A554,kurspris!$A$1:$Q$950,7,FALSE)</f>
        <v>0</v>
      </c>
      <c r="AI554" s="31">
        <f>VLOOKUP($A554,kurspris!$A$1:$Q$950,8,FALSE)</f>
        <v>0</v>
      </c>
      <c r="AJ554" s="31">
        <f>VLOOKUP($A554,kurspris!$A$1:$Q$950,9,FALSE)</f>
        <v>0</v>
      </c>
      <c r="AK554" s="31">
        <f>VLOOKUP($A554,kurspris!$A$1:$Q$950,10,FALSE)</f>
        <v>0</v>
      </c>
      <c r="AL554" s="31">
        <f>VLOOKUP($A554,kurspris!$A$1:$Q$950,11,FALSE)</f>
        <v>1</v>
      </c>
      <c r="AM554" s="31">
        <f>VLOOKUP($A554,kurspris!$A$1:$Q$950,12,FALSE)</f>
        <v>0</v>
      </c>
      <c r="AN554" s="31">
        <f>VLOOKUP($A554,kurspris!$A$1:$Q$950,13,FALSE)</f>
        <v>0</v>
      </c>
      <c r="AO554" s="31">
        <f>VLOOKUP($A554,kurspris!$A$1:$Q$950,14,FALSE)</f>
        <v>0</v>
      </c>
      <c r="AP554" s="57" t="s">
        <v>2402</v>
      </c>
      <c r="AQ554"/>
      <c r="AR554" s="31">
        <f t="shared" si="246"/>
        <v>0</v>
      </c>
      <c r="AS554" s="219">
        <f t="shared" si="247"/>
        <v>0</v>
      </c>
      <c r="AT554" s="31">
        <f t="shared" si="248"/>
        <v>0</v>
      </c>
      <c r="AU554" s="219">
        <f t="shared" si="249"/>
        <v>0</v>
      </c>
      <c r="AV554" s="31">
        <f t="shared" si="250"/>
        <v>0</v>
      </c>
      <c r="AW554" s="31">
        <f t="shared" si="251"/>
        <v>0</v>
      </c>
      <c r="AX554" s="31">
        <f t="shared" si="252"/>
        <v>0</v>
      </c>
      <c r="AY554" s="219">
        <f t="shared" si="253"/>
        <v>0</v>
      </c>
      <c r="AZ554" s="196">
        <f t="shared" si="254"/>
        <v>0</v>
      </c>
      <c r="BA554" s="219">
        <f t="shared" si="255"/>
        <v>0</v>
      </c>
      <c r="BB554" s="31">
        <f t="shared" si="256"/>
        <v>0</v>
      </c>
      <c r="BC554" s="219">
        <f t="shared" si="257"/>
        <v>0</v>
      </c>
      <c r="BD554" s="31">
        <f t="shared" si="258"/>
        <v>0</v>
      </c>
      <c r="BE554" s="219">
        <f t="shared" si="259"/>
        <v>0</v>
      </c>
      <c r="BF554" s="31">
        <f t="shared" si="260"/>
        <v>0</v>
      </c>
      <c r="BG554" s="219">
        <f t="shared" si="261"/>
        <v>0</v>
      </c>
      <c r="BH554" s="31">
        <f t="shared" si="262"/>
        <v>1.125</v>
      </c>
      <c r="BI554" s="219">
        <f t="shared" si="263"/>
        <v>0.95624999999999993</v>
      </c>
      <c r="BJ554" s="31">
        <f t="shared" si="264"/>
        <v>0</v>
      </c>
      <c r="BK554" s="219">
        <f t="shared" si="265"/>
        <v>0</v>
      </c>
      <c r="BL554" s="31">
        <f t="shared" si="266"/>
        <v>0</v>
      </c>
      <c r="BM554" s="219">
        <f t="shared" si="267"/>
        <v>0</v>
      </c>
      <c r="BN554" s="31">
        <f t="shared" si="268"/>
        <v>0</v>
      </c>
      <c r="BO554" s="219">
        <f t="shared" si="269"/>
        <v>0</v>
      </c>
    </row>
    <row r="555" spans="1:67" x14ac:dyDescent="0.25">
      <c r="A555" s="31" t="s">
        <v>1448</v>
      </c>
      <c r="B555" s="176" t="str">
        <f>VLOOKUP(A555,kurspris!$A$1:$B$992,2,FALSE)</f>
        <v>Handledarutbildning för VFU-handledare, bedömning</v>
      </c>
      <c r="C555" s="31">
        <v>61901</v>
      </c>
      <c r="D555" s="31" t="s">
        <v>117</v>
      </c>
      <c r="F555" s="57" t="s">
        <v>2274</v>
      </c>
      <c r="H555" s="31" t="s">
        <v>2395</v>
      </c>
      <c r="I555" s="31" t="s">
        <v>2275</v>
      </c>
      <c r="L555" s="38"/>
      <c r="M555">
        <v>3.5</v>
      </c>
      <c r="P555" s="31">
        <v>33</v>
      </c>
      <c r="Q555" s="539">
        <v>1.925</v>
      </c>
      <c r="R555" s="38">
        <v>0.8</v>
      </c>
      <c r="S555" s="280">
        <f t="shared" si="242"/>
        <v>1.54</v>
      </c>
      <c r="T555" s="31">
        <f>VLOOKUP(A555,'Ansvar kurs'!$A$1:$C$1123,2,FALSE)</f>
        <v>5740</v>
      </c>
      <c r="U555" s="31" t="str">
        <f>VLOOKUP(T555,Orgenheter!$A$1:$C$166,2,FALSE)</f>
        <v>NMD</v>
      </c>
      <c r="V555" s="31" t="str">
        <f>VLOOKUP(T555,Orgenheter!$A$1:$C$166,3,FALSE)</f>
        <v>TekNat</v>
      </c>
      <c r="W555" s="35" t="str">
        <f>VLOOKUP(D555,Program!$A$1:$B$36,2,FALSE)</f>
        <v>Fristående och övriga kurser</v>
      </c>
      <c r="X555" s="40">
        <f>VLOOKUP(A555,kurspris!$A$1:$Q$913,15,FALSE)</f>
        <v>20757</v>
      </c>
      <c r="Y555" s="40">
        <f>VLOOKUP(A555,kurspris!$A$1:$Q$913,16,FALSE)</f>
        <v>36082</v>
      </c>
      <c r="Z555" s="40">
        <f t="shared" si="243"/>
        <v>95523.505000000005</v>
      </c>
      <c r="AA555" s="40">
        <f>VLOOKUP(A555,kurspris!$A$1:$Q$913,17,FALSE)</f>
        <v>22600</v>
      </c>
      <c r="AB555" s="40">
        <f t="shared" si="244"/>
        <v>43505</v>
      </c>
      <c r="AC555" s="40">
        <f t="shared" si="245"/>
        <v>139028.505</v>
      </c>
      <c r="AD555" s="31">
        <f>VLOOKUP($A555,kurspris!$A$1:$Q$950,3,FALSE)</f>
        <v>0</v>
      </c>
      <c r="AE555" s="31">
        <f>VLOOKUP($A555,kurspris!$A$1:$Q$950,4,FALSE)</f>
        <v>0</v>
      </c>
      <c r="AF555" s="31">
        <f>VLOOKUP($A555,kurspris!$A$1:$Q$950,5,FALSE)</f>
        <v>0</v>
      </c>
      <c r="AG555" s="31">
        <f>VLOOKUP($A555,kurspris!$A$1:$Q$950,6,FALSE)</f>
        <v>0</v>
      </c>
      <c r="AH555" s="31">
        <f>VLOOKUP($A555,kurspris!$A$1:$Q$950,7,FALSE)</f>
        <v>0</v>
      </c>
      <c r="AI555" s="31">
        <f>VLOOKUP($A555,kurspris!$A$1:$Q$950,8,FALSE)</f>
        <v>1</v>
      </c>
      <c r="AJ555" s="31">
        <f>VLOOKUP($A555,kurspris!$A$1:$Q$950,9,FALSE)</f>
        <v>0</v>
      </c>
      <c r="AK555" s="31">
        <f>VLOOKUP($A555,kurspris!$A$1:$Q$950,10,FALSE)</f>
        <v>0</v>
      </c>
      <c r="AL555" s="31">
        <f>VLOOKUP($A555,kurspris!$A$1:$Q$950,11,FALSE)</f>
        <v>0</v>
      </c>
      <c r="AM555" s="31">
        <f>VLOOKUP($A555,kurspris!$A$1:$Q$950,12,FALSE)</f>
        <v>0</v>
      </c>
      <c r="AN555" s="31">
        <f>VLOOKUP($A555,kurspris!$A$1:$Q$950,13,FALSE)</f>
        <v>0</v>
      </c>
      <c r="AO555" s="31">
        <f>VLOOKUP($A555,kurspris!$A$1:$Q$950,14,FALSE)</f>
        <v>0</v>
      </c>
      <c r="AP555" s="57" t="s">
        <v>2402</v>
      </c>
      <c r="AQ555" s="37"/>
      <c r="AR555" s="31">
        <f t="shared" si="246"/>
        <v>0</v>
      </c>
      <c r="AS555" s="219">
        <f t="shared" si="247"/>
        <v>0</v>
      </c>
      <c r="AT555" s="31">
        <f t="shared" si="248"/>
        <v>0</v>
      </c>
      <c r="AU555" s="219">
        <f t="shared" si="249"/>
        <v>0</v>
      </c>
      <c r="AV555" s="31">
        <f t="shared" si="250"/>
        <v>0</v>
      </c>
      <c r="AW555" s="31">
        <f t="shared" si="251"/>
        <v>0</v>
      </c>
      <c r="AX555" s="31">
        <f t="shared" si="252"/>
        <v>0</v>
      </c>
      <c r="AY555" s="219">
        <f t="shared" si="253"/>
        <v>0</v>
      </c>
      <c r="AZ555" s="196">
        <f t="shared" si="254"/>
        <v>0</v>
      </c>
      <c r="BA555" s="219">
        <f t="shared" si="255"/>
        <v>0</v>
      </c>
      <c r="BB555" s="31">
        <f t="shared" si="256"/>
        <v>1.925</v>
      </c>
      <c r="BC555" s="219">
        <f t="shared" si="257"/>
        <v>1.54</v>
      </c>
      <c r="BD555" s="31">
        <f t="shared" si="258"/>
        <v>0</v>
      </c>
      <c r="BE555" s="219">
        <f t="shared" si="259"/>
        <v>0</v>
      </c>
      <c r="BF555" s="31">
        <f t="shared" si="260"/>
        <v>0</v>
      </c>
      <c r="BG555" s="219">
        <f t="shared" si="261"/>
        <v>0</v>
      </c>
      <c r="BH555" s="31">
        <f t="shared" si="262"/>
        <v>0</v>
      </c>
      <c r="BI555" s="219">
        <f t="shared" si="263"/>
        <v>0</v>
      </c>
      <c r="BJ555" s="31">
        <f t="shared" si="264"/>
        <v>0</v>
      </c>
      <c r="BK555" s="219">
        <f t="shared" si="265"/>
        <v>0</v>
      </c>
      <c r="BL555" s="31">
        <f t="shared" si="266"/>
        <v>0</v>
      </c>
      <c r="BM555" s="219">
        <f t="shared" si="267"/>
        <v>0</v>
      </c>
      <c r="BN555" s="31">
        <f t="shared" si="268"/>
        <v>0</v>
      </c>
      <c r="BO555" s="219">
        <f t="shared" si="269"/>
        <v>0</v>
      </c>
    </row>
    <row r="556" spans="1:67" x14ac:dyDescent="0.25">
      <c r="A556" s="31" t="s">
        <v>1448</v>
      </c>
      <c r="B556" s="176" t="str">
        <f>VLOOKUP(A556,kurspris!$A$1:$B$992,2,FALSE)</f>
        <v>Handledarutbildning för VFU-handledare, bedömning</v>
      </c>
      <c r="D556" s="31" t="s">
        <v>117</v>
      </c>
      <c r="F556" s="31" t="s">
        <v>2273</v>
      </c>
      <c r="I556" s="31" t="s">
        <v>2275</v>
      </c>
      <c r="L556" s="38">
        <v>0.25</v>
      </c>
      <c r="M556" s="325">
        <v>3.5</v>
      </c>
      <c r="P556" s="31">
        <v>40</v>
      </c>
      <c r="Q556" s="196">
        <f>(M556/60)*P556</f>
        <v>2.3333333333333335</v>
      </c>
      <c r="R556" s="38">
        <v>0.8</v>
      </c>
      <c r="S556" s="280">
        <f t="shared" si="242"/>
        <v>1.8666666666666669</v>
      </c>
      <c r="T556" s="31">
        <f>VLOOKUP(A556,'Ansvar kurs'!$A$1:$C$1123,2,FALSE)</f>
        <v>5740</v>
      </c>
      <c r="U556" s="31" t="str">
        <f>VLOOKUP(T556,Orgenheter!$A$1:$C$166,2,FALSE)</f>
        <v>NMD</v>
      </c>
      <c r="V556" s="31" t="str">
        <f>VLOOKUP(T556,Orgenheter!$A$1:$C$166,3,FALSE)</f>
        <v>TekNat</v>
      </c>
      <c r="W556" s="35" t="str">
        <f>VLOOKUP(D556,Program!$A$1:$B$36,2,FALSE)</f>
        <v>Fristående och övriga kurser</v>
      </c>
      <c r="X556" s="40">
        <f>VLOOKUP(A556,kurspris!$A$1:$Q$913,15,FALSE)</f>
        <v>20757</v>
      </c>
      <c r="Y556" s="40">
        <f>VLOOKUP(A556,kurspris!$A$1:$Q$913,16,FALSE)</f>
        <v>36082</v>
      </c>
      <c r="Z556" s="40">
        <f t="shared" si="243"/>
        <v>115786.06666666668</v>
      </c>
      <c r="AA556" s="40">
        <f>VLOOKUP(A556,kurspris!$A$1:$Q$913,17,FALSE)</f>
        <v>22600</v>
      </c>
      <c r="AB556" s="40">
        <f t="shared" si="244"/>
        <v>52733.333333333336</v>
      </c>
      <c r="AC556" s="40">
        <f t="shared" si="245"/>
        <v>168519.40000000002</v>
      </c>
      <c r="AD556" s="31">
        <f>VLOOKUP($A556,kurspris!$A$1:$Q$950,3,FALSE)</f>
        <v>0</v>
      </c>
      <c r="AE556" s="31">
        <f>VLOOKUP($A556,kurspris!$A$1:$Q$950,4,FALSE)</f>
        <v>0</v>
      </c>
      <c r="AF556" s="31">
        <f>VLOOKUP($A556,kurspris!$A$1:$Q$950,5,FALSE)</f>
        <v>0</v>
      </c>
      <c r="AG556" s="31">
        <f>VLOOKUP($A556,kurspris!$A$1:$Q$950,6,FALSE)</f>
        <v>0</v>
      </c>
      <c r="AH556" s="31">
        <f>VLOOKUP($A556,kurspris!$A$1:$Q$950,7,FALSE)</f>
        <v>0</v>
      </c>
      <c r="AI556" s="31">
        <f>VLOOKUP($A556,kurspris!$A$1:$Q$950,8,FALSE)</f>
        <v>1</v>
      </c>
      <c r="AJ556" s="31">
        <f>VLOOKUP($A556,kurspris!$A$1:$Q$950,9,FALSE)</f>
        <v>0</v>
      </c>
      <c r="AK556" s="31">
        <f>VLOOKUP($A556,kurspris!$A$1:$Q$950,10,FALSE)</f>
        <v>0</v>
      </c>
      <c r="AL556" s="31">
        <f>VLOOKUP($A556,kurspris!$A$1:$Q$950,11,FALSE)</f>
        <v>0</v>
      </c>
      <c r="AM556" s="31">
        <f>VLOOKUP($A556,kurspris!$A$1:$Q$950,12,FALSE)</f>
        <v>0</v>
      </c>
      <c r="AN556" s="31">
        <f>VLOOKUP($A556,kurspris!$A$1:$Q$950,13,FALSE)</f>
        <v>0</v>
      </c>
      <c r="AO556" s="31">
        <f>VLOOKUP($A556,kurspris!$A$1:$Q$950,14,FALSE)</f>
        <v>0</v>
      </c>
      <c r="AP556" s="57" t="s">
        <v>2267</v>
      </c>
      <c r="AQ556" s="37" t="s">
        <v>2307</v>
      </c>
      <c r="AR556" s="31">
        <f t="shared" si="246"/>
        <v>0</v>
      </c>
      <c r="AS556" s="219">
        <f t="shared" si="247"/>
        <v>0</v>
      </c>
      <c r="AT556" s="31">
        <f t="shared" si="248"/>
        <v>0</v>
      </c>
      <c r="AU556" s="219">
        <f t="shared" si="249"/>
        <v>0</v>
      </c>
      <c r="AV556" s="31">
        <f t="shared" si="250"/>
        <v>0</v>
      </c>
      <c r="AW556" s="31">
        <f t="shared" si="251"/>
        <v>0</v>
      </c>
      <c r="AX556" s="31">
        <f t="shared" si="252"/>
        <v>0</v>
      </c>
      <c r="AY556" s="219">
        <f t="shared" si="253"/>
        <v>0</v>
      </c>
      <c r="AZ556" s="196">
        <f t="shared" si="254"/>
        <v>0</v>
      </c>
      <c r="BA556" s="219">
        <f t="shared" si="255"/>
        <v>0</v>
      </c>
      <c r="BB556" s="31">
        <f t="shared" si="256"/>
        <v>2.3333333333333335</v>
      </c>
      <c r="BC556" s="219">
        <f t="shared" si="257"/>
        <v>1.8666666666666669</v>
      </c>
      <c r="BD556" s="31">
        <f t="shared" si="258"/>
        <v>0</v>
      </c>
      <c r="BE556" s="219">
        <f t="shared" si="259"/>
        <v>0</v>
      </c>
      <c r="BF556" s="31">
        <f t="shared" si="260"/>
        <v>0</v>
      </c>
      <c r="BG556" s="219">
        <f t="shared" si="261"/>
        <v>0</v>
      </c>
      <c r="BH556" s="31">
        <f t="shared" si="262"/>
        <v>0</v>
      </c>
      <c r="BI556" s="219">
        <f t="shared" si="263"/>
        <v>0</v>
      </c>
      <c r="BJ556" s="31">
        <f t="shared" si="264"/>
        <v>0</v>
      </c>
      <c r="BK556" s="219">
        <f t="shared" si="265"/>
        <v>0</v>
      </c>
      <c r="BL556" s="31">
        <f t="shared" si="266"/>
        <v>0</v>
      </c>
      <c r="BM556" s="219">
        <f t="shared" si="267"/>
        <v>0</v>
      </c>
      <c r="BN556" s="31">
        <f t="shared" si="268"/>
        <v>0</v>
      </c>
      <c r="BO556" s="219">
        <f t="shared" si="269"/>
        <v>0</v>
      </c>
    </row>
    <row r="557" spans="1:67" x14ac:dyDescent="0.25">
      <c r="A557" s="31" t="s">
        <v>1478</v>
      </c>
      <c r="B557" s="176" t="str">
        <f>VLOOKUP(A557,kurspris!$A$1:$B$992,2,FALSE)</f>
        <v>Att undervisa i fritidshem (VFU)</v>
      </c>
      <c r="D557" s="60" t="s">
        <v>484</v>
      </c>
      <c r="E557" s="576" t="s">
        <v>2434</v>
      </c>
      <c r="F557" s="31" t="s">
        <v>2273</v>
      </c>
      <c r="G557" t="s">
        <v>2453</v>
      </c>
      <c r="H557" t="s">
        <v>2335</v>
      </c>
      <c r="I557" s="31" t="s">
        <v>2276</v>
      </c>
      <c r="L557" s="38">
        <v>1</v>
      </c>
      <c r="M557">
        <v>7.5</v>
      </c>
      <c r="P557" s="31">
        <v>2</v>
      </c>
      <c r="Q557" s="196">
        <f>(M557/60)*P557</f>
        <v>0.25</v>
      </c>
      <c r="R557" s="38">
        <v>0.85</v>
      </c>
      <c r="S557" s="280">
        <f t="shared" si="242"/>
        <v>0.21249999999999999</v>
      </c>
      <c r="T557" s="31">
        <f>VLOOKUP(A557,'Ansvar kurs'!$A$1:$C$1123,2,FALSE)</f>
        <v>2193</v>
      </c>
      <c r="U557" s="31" t="str">
        <f>VLOOKUP(T557,Orgenheter!$A$1:$C$166,2,FALSE)</f>
        <v xml:space="preserve">TUV </v>
      </c>
      <c r="V557" s="31" t="str">
        <f>VLOOKUP(T557,Orgenheter!$A$1:$C$166,3,FALSE)</f>
        <v>Sam</v>
      </c>
      <c r="W557" s="35" t="str">
        <f>VLOOKUP(D557,Program!$A$1:$B$36,2,FALSE)</f>
        <v>Grundlärarprogrammet - fritidshem</v>
      </c>
      <c r="X557" s="40">
        <f>VLOOKUP(A557,kurspris!$A$1:$Q$913,15,FALSE)</f>
        <v>25235</v>
      </c>
      <c r="Y557" s="40">
        <f>VLOOKUP(A557,kurspris!$A$1:$Q$913,16,FALSE)</f>
        <v>27976</v>
      </c>
      <c r="Z557" s="40">
        <f t="shared" si="243"/>
        <v>12253.65</v>
      </c>
      <c r="AA557" s="40">
        <f>VLOOKUP(A557,kurspris!$A$1:$Q$913,17,FALSE)</f>
        <v>3600</v>
      </c>
      <c r="AB557" s="40">
        <f t="shared" si="244"/>
        <v>900</v>
      </c>
      <c r="AC557" s="40">
        <f t="shared" si="245"/>
        <v>13153.65</v>
      </c>
      <c r="AD557" s="31">
        <f>VLOOKUP($A557,kurspris!$A$1:$Q$950,3,FALSE)</f>
        <v>0</v>
      </c>
      <c r="AE557" s="31">
        <f>VLOOKUP($A557,kurspris!$A$1:$Q$950,4,FALSE)</f>
        <v>0</v>
      </c>
      <c r="AF557" s="31">
        <f>VLOOKUP($A557,kurspris!$A$1:$Q$950,5,FALSE)</f>
        <v>0</v>
      </c>
      <c r="AG557" s="31">
        <f>VLOOKUP($A557,kurspris!$A$1:$Q$950,6,FALSE)</f>
        <v>0</v>
      </c>
      <c r="AH557" s="31">
        <f>VLOOKUP($A557,kurspris!$A$1:$Q$950,7,FALSE)</f>
        <v>0</v>
      </c>
      <c r="AI557" s="31">
        <f>VLOOKUP($A557,kurspris!$A$1:$Q$950,8,FALSE)</f>
        <v>0</v>
      </c>
      <c r="AJ557" s="31">
        <f>VLOOKUP($A557,kurspris!$A$1:$Q$950,9,FALSE)</f>
        <v>0</v>
      </c>
      <c r="AK557" s="31">
        <f>VLOOKUP($A557,kurspris!$A$1:$Q$950,10,FALSE)</f>
        <v>0</v>
      </c>
      <c r="AL557" s="31">
        <f>VLOOKUP($A557,kurspris!$A$1:$Q$950,11,FALSE)</f>
        <v>1</v>
      </c>
      <c r="AM557" s="31">
        <f>VLOOKUP($A557,kurspris!$A$1:$Q$950,12,FALSE)</f>
        <v>0</v>
      </c>
      <c r="AN557" s="31">
        <f>VLOOKUP($A557,kurspris!$A$1:$Q$950,13,FALSE)</f>
        <v>0</v>
      </c>
      <c r="AO557" s="31">
        <f>VLOOKUP($A557,kurspris!$A$1:$Q$950,14,FALSE)</f>
        <v>0</v>
      </c>
      <c r="AP557" s="57" t="s">
        <v>2505</v>
      </c>
      <c r="AQ557"/>
      <c r="AR557" s="31">
        <f t="shared" si="246"/>
        <v>0</v>
      </c>
      <c r="AS557" s="219">
        <f t="shared" si="247"/>
        <v>0</v>
      </c>
      <c r="AT557" s="31">
        <f t="shared" si="248"/>
        <v>0</v>
      </c>
      <c r="AU557" s="219">
        <f t="shared" si="249"/>
        <v>0</v>
      </c>
      <c r="AV557" s="31">
        <f t="shared" si="250"/>
        <v>0</v>
      </c>
      <c r="AW557" s="31">
        <f t="shared" si="251"/>
        <v>0</v>
      </c>
      <c r="AX557" s="31">
        <f t="shared" si="252"/>
        <v>0</v>
      </c>
      <c r="AY557" s="219">
        <f t="shared" si="253"/>
        <v>0</v>
      </c>
      <c r="AZ557" s="196">
        <f t="shared" si="254"/>
        <v>0</v>
      </c>
      <c r="BA557" s="219">
        <f t="shared" si="255"/>
        <v>0</v>
      </c>
      <c r="BB557" s="31">
        <f t="shared" si="256"/>
        <v>0</v>
      </c>
      <c r="BC557" s="219">
        <f t="shared" si="257"/>
        <v>0</v>
      </c>
      <c r="BD557" s="31">
        <f t="shared" si="258"/>
        <v>0</v>
      </c>
      <c r="BE557" s="219">
        <f t="shared" si="259"/>
        <v>0</v>
      </c>
      <c r="BF557" s="31">
        <f t="shared" si="260"/>
        <v>0</v>
      </c>
      <c r="BG557" s="219">
        <f t="shared" si="261"/>
        <v>0</v>
      </c>
      <c r="BH557" s="31">
        <f t="shared" si="262"/>
        <v>0.25</v>
      </c>
      <c r="BI557" s="219">
        <f t="shared" si="263"/>
        <v>0.21249999999999999</v>
      </c>
      <c r="BJ557" s="31">
        <f t="shared" si="264"/>
        <v>0</v>
      </c>
      <c r="BK557" s="219">
        <f t="shared" si="265"/>
        <v>0</v>
      </c>
      <c r="BL557" s="31">
        <f t="shared" si="266"/>
        <v>0</v>
      </c>
      <c r="BM557" s="219">
        <f t="shared" si="267"/>
        <v>0</v>
      </c>
      <c r="BN557" s="31">
        <f t="shared" si="268"/>
        <v>0</v>
      </c>
      <c r="BO557" s="219">
        <f t="shared" si="269"/>
        <v>0</v>
      </c>
    </row>
    <row r="558" spans="1:67" x14ac:dyDescent="0.25">
      <c r="A558" s="31" t="s">
        <v>1478</v>
      </c>
      <c r="B558" s="176" t="str">
        <f>VLOOKUP(A558,kurspris!$A$1:$B$992,2,FALSE)</f>
        <v>Att undervisa i fritidshem (VFU)</v>
      </c>
      <c r="D558" s="60" t="s">
        <v>484</v>
      </c>
      <c r="E558" s="576" t="s">
        <v>2432</v>
      </c>
      <c r="F558" s="31" t="s">
        <v>2273</v>
      </c>
      <c r="G558" t="s">
        <v>2453</v>
      </c>
      <c r="H558" t="s">
        <v>2335</v>
      </c>
      <c r="I558" s="31" t="s">
        <v>2276</v>
      </c>
      <c r="L558" s="38">
        <v>1</v>
      </c>
      <c r="M558">
        <v>7.5</v>
      </c>
      <c r="P558" s="31">
        <v>17</v>
      </c>
      <c r="Q558" s="196">
        <f>(M558/60)*P558</f>
        <v>2.125</v>
      </c>
      <c r="R558" s="38">
        <v>0.85</v>
      </c>
      <c r="S558" s="280">
        <f t="shared" si="242"/>
        <v>1.8062499999999999</v>
      </c>
      <c r="T558" s="31">
        <f>VLOOKUP(A558,'Ansvar kurs'!$A$1:$C$1123,2,FALSE)</f>
        <v>2193</v>
      </c>
      <c r="U558" s="31" t="str">
        <f>VLOOKUP(T558,Orgenheter!$A$1:$C$166,2,FALSE)</f>
        <v xml:space="preserve">TUV </v>
      </c>
      <c r="V558" s="31" t="str">
        <f>VLOOKUP(T558,Orgenheter!$A$1:$C$166,3,FALSE)</f>
        <v>Sam</v>
      </c>
      <c r="W558" s="35" t="str">
        <f>VLOOKUP(D558,Program!$A$1:$B$36,2,FALSE)</f>
        <v>Grundlärarprogrammet - fritidshem</v>
      </c>
      <c r="X558" s="40">
        <f>VLOOKUP(A558,kurspris!$A$1:$Q$913,15,FALSE)</f>
        <v>25235</v>
      </c>
      <c r="Y558" s="40">
        <f>VLOOKUP(A558,kurspris!$A$1:$Q$913,16,FALSE)</f>
        <v>27976</v>
      </c>
      <c r="Z558" s="40">
        <f t="shared" si="243"/>
        <v>104156.02499999999</v>
      </c>
      <c r="AA558" s="40">
        <f>VLOOKUP(A558,kurspris!$A$1:$Q$913,17,FALSE)</f>
        <v>3600</v>
      </c>
      <c r="AB558" s="40">
        <f t="shared" si="244"/>
        <v>7650</v>
      </c>
      <c r="AC558" s="40">
        <f t="shared" si="245"/>
        <v>111806.02499999999</v>
      </c>
      <c r="AD558" s="31">
        <f>VLOOKUP($A558,kurspris!$A$1:$Q$950,3,FALSE)</f>
        <v>0</v>
      </c>
      <c r="AE558" s="31">
        <f>VLOOKUP($A558,kurspris!$A$1:$Q$950,4,FALSE)</f>
        <v>0</v>
      </c>
      <c r="AF558" s="31">
        <f>VLOOKUP($A558,kurspris!$A$1:$Q$950,5,FALSE)</f>
        <v>0</v>
      </c>
      <c r="AG558" s="31">
        <f>VLOOKUP($A558,kurspris!$A$1:$Q$950,6,FALSE)</f>
        <v>0</v>
      </c>
      <c r="AH558" s="31">
        <f>VLOOKUP($A558,kurspris!$A$1:$Q$950,7,FALSE)</f>
        <v>0</v>
      </c>
      <c r="AI558" s="31">
        <f>VLOOKUP($A558,kurspris!$A$1:$Q$950,8,FALSE)</f>
        <v>0</v>
      </c>
      <c r="AJ558" s="31">
        <f>VLOOKUP($A558,kurspris!$A$1:$Q$950,9,FALSE)</f>
        <v>0</v>
      </c>
      <c r="AK558" s="31">
        <f>VLOOKUP($A558,kurspris!$A$1:$Q$950,10,FALSE)</f>
        <v>0</v>
      </c>
      <c r="AL558" s="31">
        <f>VLOOKUP($A558,kurspris!$A$1:$Q$950,11,FALSE)</f>
        <v>1</v>
      </c>
      <c r="AM558" s="31">
        <f>VLOOKUP($A558,kurspris!$A$1:$Q$950,12,FALSE)</f>
        <v>0</v>
      </c>
      <c r="AN558" s="31">
        <f>VLOOKUP($A558,kurspris!$A$1:$Q$950,13,FALSE)</f>
        <v>0</v>
      </c>
      <c r="AO558" s="31">
        <f>VLOOKUP($A558,kurspris!$A$1:$Q$950,14,FALSE)</f>
        <v>0</v>
      </c>
      <c r="AP558" s="57" t="s">
        <v>2505</v>
      </c>
      <c r="AQ558"/>
      <c r="AR558" s="31">
        <f t="shared" si="246"/>
        <v>0</v>
      </c>
      <c r="AS558" s="219">
        <f t="shared" si="247"/>
        <v>0</v>
      </c>
      <c r="AT558" s="31">
        <f t="shared" si="248"/>
        <v>0</v>
      </c>
      <c r="AU558" s="219">
        <f t="shared" si="249"/>
        <v>0</v>
      </c>
      <c r="AV558" s="31">
        <f t="shared" si="250"/>
        <v>0</v>
      </c>
      <c r="AW558" s="31">
        <f t="shared" si="251"/>
        <v>0</v>
      </c>
      <c r="AX558" s="31">
        <f t="shared" si="252"/>
        <v>0</v>
      </c>
      <c r="AY558" s="219">
        <f t="shared" si="253"/>
        <v>0</v>
      </c>
      <c r="AZ558" s="196">
        <f t="shared" si="254"/>
        <v>0</v>
      </c>
      <c r="BA558" s="219">
        <f t="shared" si="255"/>
        <v>0</v>
      </c>
      <c r="BB558" s="31">
        <f t="shared" si="256"/>
        <v>0</v>
      </c>
      <c r="BC558" s="219">
        <f t="shared" si="257"/>
        <v>0</v>
      </c>
      <c r="BD558" s="31">
        <f t="shared" si="258"/>
        <v>0</v>
      </c>
      <c r="BE558" s="219">
        <f t="shared" si="259"/>
        <v>0</v>
      </c>
      <c r="BF558" s="31">
        <f t="shared" si="260"/>
        <v>0</v>
      </c>
      <c r="BG558" s="219">
        <f t="shared" si="261"/>
        <v>0</v>
      </c>
      <c r="BH558" s="31">
        <f t="shared" si="262"/>
        <v>2.125</v>
      </c>
      <c r="BI558" s="219">
        <f t="shared" si="263"/>
        <v>1.8062499999999999</v>
      </c>
      <c r="BJ558" s="31">
        <f t="shared" si="264"/>
        <v>0</v>
      </c>
      <c r="BK558" s="219">
        <f t="shared" si="265"/>
        <v>0</v>
      </c>
      <c r="BL558" s="31">
        <f t="shared" si="266"/>
        <v>0</v>
      </c>
      <c r="BM558" s="219">
        <f t="shared" si="267"/>
        <v>0</v>
      </c>
      <c r="BN558" s="31">
        <f t="shared" si="268"/>
        <v>0</v>
      </c>
      <c r="BO558" s="219">
        <f t="shared" si="269"/>
        <v>0</v>
      </c>
    </row>
    <row r="559" spans="1:67" x14ac:dyDescent="0.25">
      <c r="A559" s="31" t="s">
        <v>1861</v>
      </c>
      <c r="B559" s="176" t="str">
        <f>VLOOKUP(A559,kurspris!$A$1:$B$992,2,FALSE)</f>
        <v>Handledarutbildning för VFU-handledare, handledningssamtal</v>
      </c>
      <c r="C559" s="31">
        <v>68702</v>
      </c>
      <c r="D559" s="60" t="s">
        <v>117</v>
      </c>
      <c r="E559" s="60"/>
      <c r="F559" s="57" t="s">
        <v>2274</v>
      </c>
      <c r="H559" s="31" t="s">
        <v>2395</v>
      </c>
      <c r="I559" s="31" t="s">
        <v>2275</v>
      </c>
      <c r="L559" s="38"/>
      <c r="M559">
        <v>4</v>
      </c>
      <c r="P559" s="31">
        <v>47</v>
      </c>
      <c r="Q559" s="539">
        <v>3.133</v>
      </c>
      <c r="R559" s="38">
        <v>0.8</v>
      </c>
      <c r="S559" s="280">
        <f t="shared" si="242"/>
        <v>2.5064000000000002</v>
      </c>
      <c r="T559" s="31">
        <f>VLOOKUP(A559,'Ansvar kurs'!$A$1:$C$1123,2,FALSE)</f>
        <v>2193</v>
      </c>
      <c r="U559" s="31" t="str">
        <f>VLOOKUP(T559,Orgenheter!$A$1:$C$166,2,FALSE)</f>
        <v xml:space="preserve">TUV </v>
      </c>
      <c r="V559" s="31" t="str">
        <f>VLOOKUP(T559,Orgenheter!$A$1:$C$166,3,FALSE)</f>
        <v>Sam</v>
      </c>
      <c r="W559" s="35" t="str">
        <f>VLOOKUP(D559,Program!$A$1:$B$36,2,FALSE)</f>
        <v>Fristående och övriga kurser</v>
      </c>
      <c r="X559" s="40">
        <f>VLOOKUP(A559,kurspris!$A$1:$Q$913,15,FALSE)</f>
        <v>20766</v>
      </c>
      <c r="Y559" s="40">
        <f>VLOOKUP(A559,kurspris!$A$1:$Q$913,16,FALSE)</f>
        <v>17442</v>
      </c>
      <c r="Z559" s="40">
        <f t="shared" si="243"/>
        <v>108776.5068</v>
      </c>
      <c r="AA559" s="40">
        <f>VLOOKUP(A559,kurspris!$A$1:$Q$913,17,FALSE)</f>
        <v>6000</v>
      </c>
      <c r="AB559" s="40">
        <f t="shared" si="244"/>
        <v>18798</v>
      </c>
      <c r="AC559" s="40">
        <f t="shared" si="245"/>
        <v>127574.5068</v>
      </c>
      <c r="AD559" s="31">
        <f>VLOOKUP($A559,kurspris!$A$1:$Q$950,3,FALSE)</f>
        <v>0</v>
      </c>
      <c r="AE559" s="31">
        <f>VLOOKUP($A559,kurspris!$A$1:$Q$950,4,FALSE)</f>
        <v>0</v>
      </c>
      <c r="AF559" s="31">
        <f>VLOOKUP($A559,kurspris!$A$1:$Q$950,5,FALSE)</f>
        <v>0</v>
      </c>
      <c r="AG559" s="31">
        <f>VLOOKUP($A559,kurspris!$A$1:$Q$950,6,FALSE)</f>
        <v>0</v>
      </c>
      <c r="AH559" s="31">
        <f>VLOOKUP($A559,kurspris!$A$1:$Q$950,7,FALSE)</f>
        <v>0</v>
      </c>
      <c r="AI559" s="31">
        <f>VLOOKUP($A559,kurspris!$A$1:$Q$950,8,FALSE)</f>
        <v>0</v>
      </c>
      <c r="AJ559" s="31">
        <f>VLOOKUP($A559,kurspris!$A$1:$Q$950,9,FALSE)</f>
        <v>1</v>
      </c>
      <c r="AK559" s="31">
        <f>VLOOKUP($A559,kurspris!$A$1:$Q$950,10,FALSE)</f>
        <v>0</v>
      </c>
      <c r="AL559" s="31">
        <f>VLOOKUP($A559,kurspris!$A$1:$Q$950,11,FALSE)</f>
        <v>0</v>
      </c>
      <c r="AM559" s="31">
        <f>VLOOKUP($A559,kurspris!$A$1:$Q$950,12,FALSE)</f>
        <v>0</v>
      </c>
      <c r="AN559" s="31">
        <f>VLOOKUP($A559,kurspris!$A$1:$Q$950,13,FALSE)</f>
        <v>0</v>
      </c>
      <c r="AO559" s="31">
        <f>VLOOKUP($A559,kurspris!$A$1:$Q$950,14,FALSE)</f>
        <v>0</v>
      </c>
      <c r="AP559" s="57" t="s">
        <v>2402</v>
      </c>
      <c r="AQ559"/>
      <c r="AR559" s="31">
        <f t="shared" si="246"/>
        <v>0</v>
      </c>
      <c r="AS559" s="219">
        <f t="shared" si="247"/>
        <v>0</v>
      </c>
      <c r="AT559" s="31">
        <f t="shared" si="248"/>
        <v>0</v>
      </c>
      <c r="AU559" s="219">
        <f t="shared" si="249"/>
        <v>0</v>
      </c>
      <c r="AV559" s="31">
        <f t="shared" si="250"/>
        <v>0</v>
      </c>
      <c r="AW559" s="31">
        <f t="shared" si="251"/>
        <v>0</v>
      </c>
      <c r="AX559" s="31">
        <f t="shared" si="252"/>
        <v>0</v>
      </c>
      <c r="AY559" s="219">
        <f t="shared" si="253"/>
        <v>0</v>
      </c>
      <c r="AZ559" s="196">
        <f t="shared" si="254"/>
        <v>0</v>
      </c>
      <c r="BA559" s="219">
        <f t="shared" si="255"/>
        <v>0</v>
      </c>
      <c r="BB559" s="31">
        <f t="shared" si="256"/>
        <v>0</v>
      </c>
      <c r="BC559" s="219">
        <f t="shared" si="257"/>
        <v>0</v>
      </c>
      <c r="BD559" s="31">
        <f t="shared" si="258"/>
        <v>3.133</v>
      </c>
      <c r="BE559" s="219">
        <f t="shared" si="259"/>
        <v>2.5064000000000002</v>
      </c>
      <c r="BF559" s="31">
        <f t="shared" si="260"/>
        <v>0</v>
      </c>
      <c r="BG559" s="219">
        <f t="shared" si="261"/>
        <v>0</v>
      </c>
      <c r="BH559" s="31">
        <f t="shared" si="262"/>
        <v>0</v>
      </c>
      <c r="BI559" s="219">
        <f t="shared" si="263"/>
        <v>0</v>
      </c>
      <c r="BJ559" s="31">
        <f t="shared" si="264"/>
        <v>0</v>
      </c>
      <c r="BK559" s="219">
        <f t="shared" si="265"/>
        <v>0</v>
      </c>
      <c r="BL559" s="31">
        <f t="shared" si="266"/>
        <v>0</v>
      </c>
      <c r="BM559" s="219">
        <f t="shared" si="267"/>
        <v>0</v>
      </c>
      <c r="BN559" s="31">
        <f t="shared" si="268"/>
        <v>0</v>
      </c>
      <c r="BO559" s="219">
        <f t="shared" si="269"/>
        <v>0</v>
      </c>
    </row>
    <row r="560" spans="1:67" x14ac:dyDescent="0.25">
      <c r="A560" s="31" t="s">
        <v>1861</v>
      </c>
      <c r="B560" s="176" t="str">
        <f>VLOOKUP(A560,kurspris!$A$1:$B$992,2,FALSE)</f>
        <v>Handledarutbildning för VFU-handledare, handledningssamtal</v>
      </c>
      <c r="D560" s="31" t="s">
        <v>117</v>
      </c>
      <c r="F560" s="31" t="s">
        <v>2273</v>
      </c>
      <c r="I560" s="31" t="s">
        <v>2275</v>
      </c>
      <c r="L560" s="38">
        <v>0.25</v>
      </c>
      <c r="M560" s="325">
        <v>4</v>
      </c>
      <c r="P560" s="31">
        <v>40</v>
      </c>
      <c r="Q560" s="196">
        <f>(M560/60)*P560</f>
        <v>2.6666666666666665</v>
      </c>
      <c r="R560" s="38">
        <v>0.8</v>
      </c>
      <c r="S560" s="280">
        <f t="shared" si="242"/>
        <v>2.1333333333333333</v>
      </c>
      <c r="T560" s="31">
        <f>VLOOKUP(A560,'Ansvar kurs'!$A$1:$C$1123,2,FALSE)</f>
        <v>2193</v>
      </c>
      <c r="U560" s="31" t="str">
        <f>VLOOKUP(T560,Orgenheter!$A$1:$C$166,2,FALSE)</f>
        <v xml:space="preserve">TUV </v>
      </c>
      <c r="V560" s="31" t="str">
        <f>VLOOKUP(T560,Orgenheter!$A$1:$C$166,3,FALSE)</f>
        <v>Sam</v>
      </c>
      <c r="W560" s="35" t="str">
        <f>VLOOKUP(D560,Program!$A$1:$B$36,2,FALSE)</f>
        <v>Fristående och övriga kurser</v>
      </c>
      <c r="X560" s="40">
        <f>VLOOKUP(A560,kurspris!$A$1:$Q$913,15,FALSE)</f>
        <v>20766</v>
      </c>
      <c r="Y560" s="40">
        <f>VLOOKUP(A560,kurspris!$A$1:$Q$913,16,FALSE)</f>
        <v>17442</v>
      </c>
      <c r="Z560" s="40">
        <f t="shared" si="243"/>
        <v>92585.600000000006</v>
      </c>
      <c r="AA560" s="40">
        <f>VLOOKUP(A560,kurspris!$A$1:$Q$913,17,FALSE)</f>
        <v>6000</v>
      </c>
      <c r="AB560" s="40">
        <f t="shared" si="244"/>
        <v>16000</v>
      </c>
      <c r="AC560" s="40">
        <f t="shared" si="245"/>
        <v>108585.60000000001</v>
      </c>
      <c r="AD560" s="31">
        <f>VLOOKUP($A560,kurspris!$A$1:$Q$950,3,FALSE)</f>
        <v>0</v>
      </c>
      <c r="AE560" s="31">
        <f>VLOOKUP($A560,kurspris!$A$1:$Q$950,4,FALSE)</f>
        <v>0</v>
      </c>
      <c r="AF560" s="31">
        <f>VLOOKUP($A560,kurspris!$A$1:$Q$950,5,FALSE)</f>
        <v>0</v>
      </c>
      <c r="AG560" s="31">
        <f>VLOOKUP($A560,kurspris!$A$1:$Q$950,6,FALSE)</f>
        <v>0</v>
      </c>
      <c r="AH560" s="31">
        <f>VLOOKUP($A560,kurspris!$A$1:$Q$950,7,FALSE)</f>
        <v>0</v>
      </c>
      <c r="AI560" s="31">
        <f>VLOOKUP($A560,kurspris!$A$1:$Q$950,8,FALSE)</f>
        <v>0</v>
      </c>
      <c r="AJ560" s="31">
        <f>VLOOKUP($A560,kurspris!$A$1:$Q$950,9,FALSE)</f>
        <v>1</v>
      </c>
      <c r="AK560" s="31">
        <f>VLOOKUP($A560,kurspris!$A$1:$Q$950,10,FALSE)</f>
        <v>0</v>
      </c>
      <c r="AL560" s="31">
        <f>VLOOKUP($A560,kurspris!$A$1:$Q$950,11,FALSE)</f>
        <v>0</v>
      </c>
      <c r="AM560" s="31">
        <f>VLOOKUP($A560,kurspris!$A$1:$Q$950,12,FALSE)</f>
        <v>0</v>
      </c>
      <c r="AN560" s="31">
        <f>VLOOKUP($A560,kurspris!$A$1:$Q$950,13,FALSE)</f>
        <v>0</v>
      </c>
      <c r="AO560" s="31">
        <f>VLOOKUP($A560,kurspris!$A$1:$Q$950,14,FALSE)</f>
        <v>0</v>
      </c>
      <c r="AP560" s="57" t="s">
        <v>2267</v>
      </c>
      <c r="AQ560" t="s">
        <v>2307</v>
      </c>
      <c r="AR560" s="31">
        <f t="shared" si="246"/>
        <v>0</v>
      </c>
      <c r="AS560" s="219">
        <f t="shared" si="247"/>
        <v>0</v>
      </c>
      <c r="AT560" s="31">
        <f t="shared" si="248"/>
        <v>0</v>
      </c>
      <c r="AU560" s="219">
        <f t="shared" si="249"/>
        <v>0</v>
      </c>
      <c r="AV560" s="31">
        <f t="shared" si="250"/>
        <v>0</v>
      </c>
      <c r="AW560" s="31">
        <f t="shared" si="251"/>
        <v>0</v>
      </c>
      <c r="AX560" s="31">
        <f t="shared" si="252"/>
        <v>0</v>
      </c>
      <c r="AY560" s="219">
        <f t="shared" si="253"/>
        <v>0</v>
      </c>
      <c r="AZ560" s="196">
        <f t="shared" si="254"/>
        <v>0</v>
      </c>
      <c r="BA560" s="219">
        <f t="shared" si="255"/>
        <v>0</v>
      </c>
      <c r="BB560" s="31">
        <f t="shared" si="256"/>
        <v>0</v>
      </c>
      <c r="BC560" s="219">
        <f t="shared" si="257"/>
        <v>0</v>
      </c>
      <c r="BD560" s="31">
        <f t="shared" si="258"/>
        <v>2.6666666666666665</v>
      </c>
      <c r="BE560" s="219">
        <f t="shared" si="259"/>
        <v>2.1333333333333333</v>
      </c>
      <c r="BF560" s="31">
        <f t="shared" si="260"/>
        <v>0</v>
      </c>
      <c r="BG560" s="219">
        <f t="shared" si="261"/>
        <v>0</v>
      </c>
      <c r="BH560" s="31">
        <f t="shared" si="262"/>
        <v>0</v>
      </c>
      <c r="BI560" s="219">
        <f t="shared" si="263"/>
        <v>0</v>
      </c>
      <c r="BJ560" s="31">
        <f t="shared" si="264"/>
        <v>0</v>
      </c>
      <c r="BK560" s="219">
        <f t="shared" si="265"/>
        <v>0</v>
      </c>
      <c r="BL560" s="31">
        <f t="shared" si="266"/>
        <v>0</v>
      </c>
      <c r="BM560" s="219">
        <f t="shared" si="267"/>
        <v>0</v>
      </c>
      <c r="BN560" s="31">
        <f t="shared" si="268"/>
        <v>0</v>
      </c>
      <c r="BO560" s="219">
        <f t="shared" si="269"/>
        <v>0</v>
      </c>
    </row>
    <row r="561" spans="1:67" x14ac:dyDescent="0.25">
      <c r="A561" s="31" t="s">
        <v>1446</v>
      </c>
      <c r="B561" s="176" t="str">
        <f>VLOOKUP(A561,kurspris!$A$1:$B$992,2,FALSE)</f>
        <v>Examensarbete för grundlärarexamen med inriktning mot förskoleklass och grundskolans år 1-3</v>
      </c>
      <c r="D561" s="60" t="s">
        <v>485</v>
      </c>
      <c r="E561" s="576" t="s">
        <v>2226</v>
      </c>
      <c r="F561" s="31" t="s">
        <v>2273</v>
      </c>
      <c r="G561" s="244" t="s">
        <v>2454</v>
      </c>
      <c r="H561" t="s">
        <v>2335</v>
      </c>
      <c r="I561" s="31" t="s">
        <v>2276</v>
      </c>
      <c r="L561" s="38">
        <v>1</v>
      </c>
      <c r="M561" s="244">
        <v>7.5</v>
      </c>
      <c r="P561" s="31">
        <v>2</v>
      </c>
      <c r="Q561" s="196">
        <f>(M561/60)*P561</f>
        <v>0.25</v>
      </c>
      <c r="R561" s="38">
        <v>0.85</v>
      </c>
      <c r="S561" s="280">
        <f t="shared" si="242"/>
        <v>0.21249999999999999</v>
      </c>
      <c r="T561" s="31">
        <f>VLOOKUP(A561,'Ansvar kurs'!$A$1:$C$1123,2,FALSE)</f>
        <v>5740</v>
      </c>
      <c r="U561" s="31" t="str">
        <f>VLOOKUP(T561,Orgenheter!$A$1:$C$166,2,FALSE)</f>
        <v>NMD</v>
      </c>
      <c r="V561" s="31" t="str">
        <f>VLOOKUP(T561,Orgenheter!$A$1:$C$166,3,FALSE)</f>
        <v>TekNat</v>
      </c>
      <c r="W561" s="35" t="str">
        <f>VLOOKUP(D561,Program!$A$1:$B$36,2,FALSE)</f>
        <v>Grundlärarprogrammet - förskoleklass och åk 1-3</v>
      </c>
      <c r="X561" s="40">
        <f>VLOOKUP(A561,kurspris!$A$1:$Q$913,15,FALSE)</f>
        <v>20757</v>
      </c>
      <c r="Y561" s="40">
        <f>VLOOKUP(A561,kurspris!$A$1:$Q$913,16,FALSE)</f>
        <v>36082</v>
      </c>
      <c r="Z561" s="40">
        <f t="shared" si="243"/>
        <v>12856.674999999999</v>
      </c>
      <c r="AA561" s="40">
        <f>VLOOKUP(A561,kurspris!$A$1:$Q$913,17,FALSE)</f>
        <v>22600</v>
      </c>
      <c r="AB561" s="40">
        <f t="shared" si="244"/>
        <v>5650</v>
      </c>
      <c r="AC561" s="40">
        <f t="shared" si="245"/>
        <v>18506.674999999999</v>
      </c>
      <c r="AD561" s="31">
        <f>VLOOKUP($A561,kurspris!$A$1:$Q$950,3,FALSE)</f>
        <v>0</v>
      </c>
      <c r="AE561" s="31">
        <f>VLOOKUP($A561,kurspris!$A$1:$Q$950,4,FALSE)</f>
        <v>0</v>
      </c>
      <c r="AF561" s="31">
        <f>VLOOKUP($A561,kurspris!$A$1:$Q$950,5,FALSE)</f>
        <v>0</v>
      </c>
      <c r="AG561" s="31">
        <f>VLOOKUP($A561,kurspris!$A$1:$Q$950,6,FALSE)</f>
        <v>0</v>
      </c>
      <c r="AH561" s="31">
        <f>VLOOKUP($A561,kurspris!$A$1:$Q$950,7,FALSE)</f>
        <v>0</v>
      </c>
      <c r="AI561" s="31">
        <f>VLOOKUP($A561,kurspris!$A$1:$Q$950,8,FALSE)</f>
        <v>1</v>
      </c>
      <c r="AJ561" s="31">
        <f>VLOOKUP($A561,kurspris!$A$1:$Q$950,9,FALSE)</f>
        <v>0</v>
      </c>
      <c r="AK561" s="31">
        <f>VLOOKUP($A561,kurspris!$A$1:$Q$950,10,FALSE)</f>
        <v>0</v>
      </c>
      <c r="AL561" s="31">
        <f>VLOOKUP($A561,kurspris!$A$1:$Q$950,11,FALSE)</f>
        <v>0</v>
      </c>
      <c r="AM561" s="31">
        <f>VLOOKUP($A561,kurspris!$A$1:$Q$950,12,FALSE)</f>
        <v>0</v>
      </c>
      <c r="AN561" s="31">
        <f>VLOOKUP($A561,kurspris!$A$1:$Q$950,13,FALSE)</f>
        <v>0</v>
      </c>
      <c r="AO561" s="31">
        <f>VLOOKUP($A561,kurspris!$A$1:$Q$950,14,FALSE)</f>
        <v>0</v>
      </c>
      <c r="AP561" s="57" t="s">
        <v>2504</v>
      </c>
      <c r="AQ561" t="s">
        <v>2311</v>
      </c>
      <c r="AR561" s="31">
        <f t="shared" si="246"/>
        <v>0</v>
      </c>
      <c r="AS561" s="219">
        <f t="shared" si="247"/>
        <v>0</v>
      </c>
      <c r="AT561" s="31">
        <f t="shared" si="248"/>
        <v>0</v>
      </c>
      <c r="AU561" s="219">
        <f t="shared" si="249"/>
        <v>0</v>
      </c>
      <c r="AV561" s="31">
        <f t="shared" si="250"/>
        <v>0</v>
      </c>
      <c r="AW561" s="31">
        <f t="shared" si="251"/>
        <v>0</v>
      </c>
      <c r="AX561" s="31">
        <f t="shared" si="252"/>
        <v>0</v>
      </c>
      <c r="AY561" s="219">
        <f t="shared" si="253"/>
        <v>0</v>
      </c>
      <c r="AZ561" s="196">
        <f t="shared" si="254"/>
        <v>0</v>
      </c>
      <c r="BA561" s="219">
        <f t="shared" si="255"/>
        <v>0</v>
      </c>
      <c r="BB561" s="31">
        <f t="shared" si="256"/>
        <v>0.25</v>
      </c>
      <c r="BC561" s="219">
        <f t="shared" si="257"/>
        <v>0.21249999999999999</v>
      </c>
      <c r="BD561" s="31">
        <f t="shared" si="258"/>
        <v>0</v>
      </c>
      <c r="BE561" s="219">
        <f t="shared" si="259"/>
        <v>0</v>
      </c>
      <c r="BF561" s="31">
        <f t="shared" si="260"/>
        <v>0</v>
      </c>
      <c r="BG561" s="219">
        <f t="shared" si="261"/>
        <v>0</v>
      </c>
      <c r="BH561" s="31">
        <f t="shared" si="262"/>
        <v>0</v>
      </c>
      <c r="BI561" s="219">
        <f t="shared" si="263"/>
        <v>0</v>
      </c>
      <c r="BJ561" s="31">
        <f t="shared" si="264"/>
        <v>0</v>
      </c>
      <c r="BK561" s="219">
        <f t="shared" si="265"/>
        <v>0</v>
      </c>
      <c r="BL561" s="31">
        <f t="shared" si="266"/>
        <v>0</v>
      </c>
      <c r="BM561" s="219">
        <f t="shared" si="267"/>
        <v>0</v>
      </c>
      <c r="BN561" s="31">
        <f t="shared" si="268"/>
        <v>0</v>
      </c>
      <c r="BO561" s="219">
        <f t="shared" si="269"/>
        <v>0</v>
      </c>
    </row>
    <row r="562" spans="1:67" x14ac:dyDescent="0.25">
      <c r="A562" s="31" t="s">
        <v>1446</v>
      </c>
      <c r="B562" s="176" t="str">
        <f>VLOOKUP(A562,kurspris!$A$1:$B$992,2,FALSE)</f>
        <v>Examensarbete för grundlärarexamen med inriktning mot förskoleklass och grundskolans år 1-3</v>
      </c>
      <c r="D562" s="60" t="s">
        <v>485</v>
      </c>
      <c r="E562" s="576" t="s">
        <v>2225</v>
      </c>
      <c r="F562" s="31" t="s">
        <v>2273</v>
      </c>
      <c r="G562" s="244" t="s">
        <v>2454</v>
      </c>
      <c r="H562" t="s">
        <v>2335</v>
      </c>
      <c r="I562" s="31" t="s">
        <v>2276</v>
      </c>
      <c r="L562" s="38">
        <v>1</v>
      </c>
      <c r="M562" s="244">
        <v>7.5</v>
      </c>
      <c r="P562" s="31">
        <v>39</v>
      </c>
      <c r="Q562" s="196">
        <f>(M562/60)*P562</f>
        <v>4.875</v>
      </c>
      <c r="R562" s="38">
        <v>0.85</v>
      </c>
      <c r="S562" s="280">
        <f t="shared" si="242"/>
        <v>4.1437499999999998</v>
      </c>
      <c r="T562" s="31">
        <f>VLOOKUP(A562,'Ansvar kurs'!$A$1:$C$1123,2,FALSE)</f>
        <v>5740</v>
      </c>
      <c r="U562" s="31" t="str">
        <f>VLOOKUP(T562,Orgenheter!$A$1:$C$166,2,FALSE)</f>
        <v>NMD</v>
      </c>
      <c r="V562" s="31" t="str">
        <f>VLOOKUP(T562,Orgenheter!$A$1:$C$166,3,FALSE)</f>
        <v>TekNat</v>
      </c>
      <c r="W562" s="35" t="str">
        <f>VLOOKUP(D562,Program!$A$1:$B$36,2,FALSE)</f>
        <v>Grundlärarprogrammet - förskoleklass och åk 1-3</v>
      </c>
      <c r="X562" s="40">
        <f>VLOOKUP(A562,kurspris!$A$1:$Q$913,15,FALSE)</f>
        <v>20757</v>
      </c>
      <c r="Y562" s="40">
        <f>VLOOKUP(A562,kurspris!$A$1:$Q$913,16,FALSE)</f>
        <v>36082</v>
      </c>
      <c r="Z562" s="40">
        <f t="shared" si="243"/>
        <v>250705.16250000001</v>
      </c>
      <c r="AA562" s="40">
        <f>VLOOKUP(A562,kurspris!$A$1:$Q$913,17,FALSE)</f>
        <v>22600</v>
      </c>
      <c r="AB562" s="40">
        <f t="shared" si="244"/>
        <v>110175</v>
      </c>
      <c r="AC562" s="40">
        <f t="shared" si="245"/>
        <v>360880.16249999998</v>
      </c>
      <c r="AD562" s="31">
        <f>VLOOKUP($A562,kurspris!$A$1:$Q$950,3,FALSE)</f>
        <v>0</v>
      </c>
      <c r="AE562" s="31">
        <f>VLOOKUP($A562,kurspris!$A$1:$Q$950,4,FALSE)</f>
        <v>0</v>
      </c>
      <c r="AF562" s="31">
        <f>VLOOKUP($A562,kurspris!$A$1:$Q$950,5,FALSE)</f>
        <v>0</v>
      </c>
      <c r="AG562" s="31">
        <f>VLOOKUP($A562,kurspris!$A$1:$Q$950,6,FALSE)</f>
        <v>0</v>
      </c>
      <c r="AH562" s="31">
        <f>VLOOKUP($A562,kurspris!$A$1:$Q$950,7,FALSE)</f>
        <v>0</v>
      </c>
      <c r="AI562" s="31">
        <f>VLOOKUP($A562,kurspris!$A$1:$Q$950,8,FALSE)</f>
        <v>1</v>
      </c>
      <c r="AJ562" s="31">
        <f>VLOOKUP($A562,kurspris!$A$1:$Q$950,9,FALSE)</f>
        <v>0</v>
      </c>
      <c r="AK562" s="31">
        <f>VLOOKUP($A562,kurspris!$A$1:$Q$950,10,FALSE)</f>
        <v>0</v>
      </c>
      <c r="AL562" s="31">
        <f>VLOOKUP($A562,kurspris!$A$1:$Q$950,11,FALSE)</f>
        <v>0</v>
      </c>
      <c r="AM562" s="31">
        <f>VLOOKUP($A562,kurspris!$A$1:$Q$950,12,FALSE)</f>
        <v>0</v>
      </c>
      <c r="AN562" s="31">
        <f>VLOOKUP($A562,kurspris!$A$1:$Q$950,13,FALSE)</f>
        <v>0</v>
      </c>
      <c r="AO562" s="31">
        <f>VLOOKUP($A562,kurspris!$A$1:$Q$950,14,FALSE)</f>
        <v>0</v>
      </c>
      <c r="AP562" s="57" t="s">
        <v>2504</v>
      </c>
      <c r="AQ562" t="s">
        <v>2311</v>
      </c>
      <c r="AR562" s="31">
        <f t="shared" si="246"/>
        <v>0</v>
      </c>
      <c r="AS562" s="219">
        <f t="shared" si="247"/>
        <v>0</v>
      </c>
      <c r="AT562" s="31">
        <f t="shared" si="248"/>
        <v>0</v>
      </c>
      <c r="AU562" s="219">
        <f t="shared" si="249"/>
        <v>0</v>
      </c>
      <c r="AV562" s="31">
        <f t="shared" si="250"/>
        <v>0</v>
      </c>
      <c r="AW562" s="31">
        <f t="shared" si="251"/>
        <v>0</v>
      </c>
      <c r="AX562" s="31">
        <f t="shared" si="252"/>
        <v>0</v>
      </c>
      <c r="AY562" s="219">
        <f t="shared" si="253"/>
        <v>0</v>
      </c>
      <c r="AZ562" s="196">
        <f t="shared" si="254"/>
        <v>0</v>
      </c>
      <c r="BA562" s="219">
        <f t="shared" si="255"/>
        <v>0</v>
      </c>
      <c r="BB562" s="31">
        <f t="shared" si="256"/>
        <v>4.875</v>
      </c>
      <c r="BC562" s="219">
        <f t="shared" si="257"/>
        <v>4.1437499999999998</v>
      </c>
      <c r="BD562" s="31">
        <f t="shared" si="258"/>
        <v>0</v>
      </c>
      <c r="BE562" s="219">
        <f t="shared" si="259"/>
        <v>0</v>
      </c>
      <c r="BF562" s="31">
        <f t="shared" si="260"/>
        <v>0</v>
      </c>
      <c r="BG562" s="219">
        <f t="shared" si="261"/>
        <v>0</v>
      </c>
      <c r="BH562" s="31">
        <f t="shared" si="262"/>
        <v>0</v>
      </c>
      <c r="BI562" s="219">
        <f t="shared" si="263"/>
        <v>0</v>
      </c>
      <c r="BJ562" s="31">
        <f t="shared" si="264"/>
        <v>0</v>
      </c>
      <c r="BK562" s="219">
        <f t="shared" si="265"/>
        <v>0</v>
      </c>
      <c r="BL562" s="31">
        <f t="shared" si="266"/>
        <v>0</v>
      </c>
      <c r="BM562" s="219">
        <f t="shared" si="267"/>
        <v>0</v>
      </c>
      <c r="BN562" s="31">
        <f t="shared" si="268"/>
        <v>0</v>
      </c>
      <c r="BO562" s="219">
        <f t="shared" si="269"/>
        <v>0</v>
      </c>
    </row>
    <row r="563" spans="1:67" x14ac:dyDescent="0.25">
      <c r="A563" s="31" t="s">
        <v>1446</v>
      </c>
      <c r="B563" s="176" t="str">
        <f>VLOOKUP(A563,kurspris!$A$1:$B$992,2,FALSE)</f>
        <v>Examensarbete för grundlärarexamen med inriktning mot förskoleklass och grundskolans år 1-3</v>
      </c>
      <c r="D563" s="60" t="s">
        <v>485</v>
      </c>
      <c r="E563" s="576" t="s">
        <v>2432</v>
      </c>
      <c r="F563" s="31" t="s">
        <v>2273</v>
      </c>
      <c r="G563" s="244" t="s">
        <v>2454</v>
      </c>
      <c r="H563" t="s">
        <v>2335</v>
      </c>
      <c r="I563" s="31" t="s">
        <v>2276</v>
      </c>
      <c r="L563" s="38">
        <v>1</v>
      </c>
      <c r="M563" s="244">
        <v>7.5</v>
      </c>
      <c r="P563" s="31">
        <v>1</v>
      </c>
      <c r="Q563" s="196">
        <f>(M563/60)*P563</f>
        <v>0.125</v>
      </c>
      <c r="R563" s="38">
        <v>0.85</v>
      </c>
      <c r="S563" s="280">
        <f t="shared" si="242"/>
        <v>0.10625</v>
      </c>
      <c r="T563" s="31">
        <f>VLOOKUP(A563,'Ansvar kurs'!$A$1:$C$1123,2,FALSE)</f>
        <v>5740</v>
      </c>
      <c r="U563" s="31" t="str">
        <f>VLOOKUP(T563,Orgenheter!$A$1:$C$166,2,FALSE)</f>
        <v>NMD</v>
      </c>
      <c r="V563" s="31" t="str">
        <f>VLOOKUP(T563,Orgenheter!$A$1:$C$166,3,FALSE)</f>
        <v>TekNat</v>
      </c>
      <c r="W563" s="35" t="str">
        <f>VLOOKUP(D563,Program!$A$1:$B$36,2,FALSE)</f>
        <v>Grundlärarprogrammet - förskoleklass och åk 1-3</v>
      </c>
      <c r="X563" s="40">
        <f>VLOOKUP(A563,kurspris!$A$1:$Q$913,15,FALSE)</f>
        <v>20757</v>
      </c>
      <c r="Y563" s="40">
        <f>VLOOKUP(A563,kurspris!$A$1:$Q$913,16,FALSE)</f>
        <v>36082</v>
      </c>
      <c r="Z563" s="40">
        <f t="shared" si="243"/>
        <v>6428.3374999999996</v>
      </c>
      <c r="AA563" s="40">
        <f>VLOOKUP(A563,kurspris!$A$1:$Q$913,17,FALSE)</f>
        <v>22600</v>
      </c>
      <c r="AB563" s="40">
        <f t="shared" si="244"/>
        <v>2825</v>
      </c>
      <c r="AC563" s="40">
        <f t="shared" si="245"/>
        <v>9253.3374999999996</v>
      </c>
      <c r="AD563" s="31">
        <f>VLOOKUP($A563,kurspris!$A$1:$Q$950,3,FALSE)</f>
        <v>0</v>
      </c>
      <c r="AE563" s="31">
        <f>VLOOKUP($A563,kurspris!$A$1:$Q$950,4,FALSE)</f>
        <v>0</v>
      </c>
      <c r="AF563" s="31">
        <f>VLOOKUP($A563,kurspris!$A$1:$Q$950,5,FALSE)</f>
        <v>0</v>
      </c>
      <c r="AG563" s="31">
        <f>VLOOKUP($A563,kurspris!$A$1:$Q$950,6,FALSE)</f>
        <v>0</v>
      </c>
      <c r="AH563" s="31">
        <f>VLOOKUP($A563,kurspris!$A$1:$Q$950,7,FALSE)</f>
        <v>0</v>
      </c>
      <c r="AI563" s="31">
        <f>VLOOKUP($A563,kurspris!$A$1:$Q$950,8,FALSE)</f>
        <v>1</v>
      </c>
      <c r="AJ563" s="31">
        <f>VLOOKUP($A563,kurspris!$A$1:$Q$950,9,FALSE)</f>
        <v>0</v>
      </c>
      <c r="AK563" s="31">
        <f>VLOOKUP($A563,kurspris!$A$1:$Q$950,10,FALSE)</f>
        <v>0</v>
      </c>
      <c r="AL563" s="31">
        <f>VLOOKUP($A563,kurspris!$A$1:$Q$950,11,FALSE)</f>
        <v>0</v>
      </c>
      <c r="AM563" s="31">
        <f>VLOOKUP($A563,kurspris!$A$1:$Q$950,12,FALSE)</f>
        <v>0</v>
      </c>
      <c r="AN563" s="31">
        <f>VLOOKUP($A563,kurspris!$A$1:$Q$950,13,FALSE)</f>
        <v>0</v>
      </c>
      <c r="AO563" s="31">
        <f>VLOOKUP($A563,kurspris!$A$1:$Q$950,14,FALSE)</f>
        <v>0</v>
      </c>
      <c r="AP563" s="57" t="s">
        <v>2504</v>
      </c>
      <c r="AQ563" t="s">
        <v>2311</v>
      </c>
      <c r="AR563" s="31">
        <f t="shared" si="246"/>
        <v>0</v>
      </c>
      <c r="AS563" s="219">
        <f t="shared" si="247"/>
        <v>0</v>
      </c>
      <c r="AT563" s="31">
        <f t="shared" si="248"/>
        <v>0</v>
      </c>
      <c r="AU563" s="219">
        <f t="shared" si="249"/>
        <v>0</v>
      </c>
      <c r="AV563" s="31">
        <f t="shared" si="250"/>
        <v>0</v>
      </c>
      <c r="AW563" s="31">
        <f t="shared" si="251"/>
        <v>0</v>
      </c>
      <c r="AX563" s="31">
        <f t="shared" si="252"/>
        <v>0</v>
      </c>
      <c r="AY563" s="219">
        <f t="shared" si="253"/>
        <v>0</v>
      </c>
      <c r="AZ563" s="196">
        <f t="shared" si="254"/>
        <v>0</v>
      </c>
      <c r="BA563" s="219">
        <f t="shared" si="255"/>
        <v>0</v>
      </c>
      <c r="BB563" s="31">
        <f t="shared" si="256"/>
        <v>0.125</v>
      </c>
      <c r="BC563" s="219">
        <f t="shared" si="257"/>
        <v>0.10625</v>
      </c>
      <c r="BD563" s="31">
        <f t="shared" si="258"/>
        <v>0</v>
      </c>
      <c r="BE563" s="219">
        <f t="shared" si="259"/>
        <v>0</v>
      </c>
      <c r="BF563" s="31">
        <f t="shared" si="260"/>
        <v>0</v>
      </c>
      <c r="BG563" s="219">
        <f t="shared" si="261"/>
        <v>0</v>
      </c>
      <c r="BH563" s="31">
        <f t="shared" si="262"/>
        <v>0</v>
      </c>
      <c r="BI563" s="219">
        <f t="shared" si="263"/>
        <v>0</v>
      </c>
      <c r="BJ563" s="31">
        <f t="shared" si="264"/>
        <v>0</v>
      </c>
      <c r="BK563" s="219">
        <f t="shared" si="265"/>
        <v>0</v>
      </c>
      <c r="BL563" s="31">
        <f t="shared" si="266"/>
        <v>0</v>
      </c>
      <c r="BM563" s="219">
        <f t="shared" si="267"/>
        <v>0</v>
      </c>
      <c r="BN563" s="31">
        <f t="shared" si="268"/>
        <v>0</v>
      </c>
      <c r="BO563" s="219">
        <f t="shared" si="269"/>
        <v>0</v>
      </c>
    </row>
    <row r="564" spans="1:67" x14ac:dyDescent="0.25">
      <c r="A564" s="31" t="s">
        <v>1446</v>
      </c>
      <c r="B564" s="176" t="str">
        <f>VLOOKUP(A564,kurspris!$A$1:$B$992,2,FALSE)</f>
        <v>Examensarbete för grundlärarexamen med inriktning mot förskoleklass och grundskolans år 1-3</v>
      </c>
      <c r="C564" s="31">
        <v>61801</v>
      </c>
      <c r="D564" s="60" t="s">
        <v>485</v>
      </c>
      <c r="E564" s="60"/>
      <c r="F564" s="57" t="s">
        <v>2274</v>
      </c>
      <c r="H564" s="31" t="s">
        <v>2335</v>
      </c>
      <c r="I564" s="31" t="s">
        <v>2399</v>
      </c>
      <c r="L564" s="38"/>
      <c r="M564" s="244">
        <v>22.5</v>
      </c>
      <c r="P564" s="31">
        <v>30</v>
      </c>
      <c r="Q564" s="539">
        <v>11.25</v>
      </c>
      <c r="R564" s="38">
        <v>0.85</v>
      </c>
      <c r="S564" s="280">
        <f t="shared" si="242"/>
        <v>9.5625</v>
      </c>
      <c r="T564" s="31">
        <f>VLOOKUP(A564,'Ansvar kurs'!$A$1:$C$1123,2,FALSE)</f>
        <v>5740</v>
      </c>
      <c r="U564" s="31" t="str">
        <f>VLOOKUP(T564,Orgenheter!$A$1:$C$166,2,FALSE)</f>
        <v>NMD</v>
      </c>
      <c r="V564" s="31" t="str">
        <f>VLOOKUP(T564,Orgenheter!$A$1:$C$166,3,FALSE)</f>
        <v>TekNat</v>
      </c>
      <c r="W564" s="35" t="str">
        <f>VLOOKUP(D564,Program!$A$1:$B$36,2,FALSE)</f>
        <v>Grundlärarprogrammet - förskoleklass och åk 1-3</v>
      </c>
      <c r="X564" s="40">
        <f>VLOOKUP(A564,kurspris!$A$1:$Q$913,15,FALSE)</f>
        <v>20757</v>
      </c>
      <c r="Y564" s="40">
        <f>VLOOKUP(A564,kurspris!$A$1:$Q$913,16,FALSE)</f>
        <v>36082</v>
      </c>
      <c r="Z564" s="40">
        <f t="shared" si="243"/>
        <v>578550.375</v>
      </c>
      <c r="AA564" s="40">
        <f>VLOOKUP(A564,kurspris!$A$1:$Q$913,17,FALSE)</f>
        <v>22600</v>
      </c>
      <c r="AB564" s="40">
        <f t="shared" si="244"/>
        <v>254250</v>
      </c>
      <c r="AC564" s="40">
        <f t="shared" si="245"/>
        <v>832800.375</v>
      </c>
      <c r="AD564" s="31">
        <f>VLOOKUP($A564,kurspris!$A$1:$Q$950,3,FALSE)</f>
        <v>0</v>
      </c>
      <c r="AE564" s="31">
        <f>VLOOKUP($A564,kurspris!$A$1:$Q$950,4,FALSE)</f>
        <v>0</v>
      </c>
      <c r="AF564" s="31">
        <f>VLOOKUP($A564,kurspris!$A$1:$Q$950,5,FALSE)</f>
        <v>0</v>
      </c>
      <c r="AG564" s="31">
        <f>VLOOKUP($A564,kurspris!$A$1:$Q$950,6,FALSE)</f>
        <v>0</v>
      </c>
      <c r="AH564" s="31">
        <f>VLOOKUP($A564,kurspris!$A$1:$Q$950,7,FALSE)</f>
        <v>0</v>
      </c>
      <c r="AI564" s="31">
        <f>VLOOKUP($A564,kurspris!$A$1:$Q$950,8,FALSE)</f>
        <v>1</v>
      </c>
      <c r="AJ564" s="31">
        <f>VLOOKUP($A564,kurspris!$A$1:$Q$950,9,FALSE)</f>
        <v>0</v>
      </c>
      <c r="AK564" s="31">
        <f>VLOOKUP($A564,kurspris!$A$1:$Q$950,10,FALSE)</f>
        <v>0</v>
      </c>
      <c r="AL564" s="31">
        <f>VLOOKUP($A564,kurspris!$A$1:$Q$950,11,FALSE)</f>
        <v>0</v>
      </c>
      <c r="AM564" s="31">
        <f>VLOOKUP($A564,kurspris!$A$1:$Q$950,12,FALSE)</f>
        <v>0</v>
      </c>
      <c r="AN564" s="31">
        <f>VLOOKUP($A564,kurspris!$A$1:$Q$950,13,FALSE)</f>
        <v>0</v>
      </c>
      <c r="AO564" s="31">
        <f>VLOOKUP($A564,kurspris!$A$1:$Q$950,14,FALSE)</f>
        <v>0</v>
      </c>
      <c r="AP564" s="57" t="s">
        <v>2402</v>
      </c>
      <c r="AQ564" t="s">
        <v>2309</v>
      </c>
      <c r="AR564" s="31">
        <f t="shared" si="246"/>
        <v>0</v>
      </c>
      <c r="AS564" s="219">
        <f t="shared" si="247"/>
        <v>0</v>
      </c>
      <c r="AT564" s="31">
        <f t="shared" si="248"/>
        <v>0</v>
      </c>
      <c r="AU564" s="219">
        <f t="shared" si="249"/>
        <v>0</v>
      </c>
      <c r="AV564" s="31">
        <f t="shared" si="250"/>
        <v>0</v>
      </c>
      <c r="AW564" s="31">
        <f t="shared" si="251"/>
        <v>0</v>
      </c>
      <c r="AX564" s="31">
        <f t="shared" si="252"/>
        <v>0</v>
      </c>
      <c r="AY564" s="219">
        <f t="shared" si="253"/>
        <v>0</v>
      </c>
      <c r="AZ564" s="196">
        <f t="shared" si="254"/>
        <v>0</v>
      </c>
      <c r="BA564" s="219">
        <f t="shared" si="255"/>
        <v>0</v>
      </c>
      <c r="BB564" s="31">
        <f t="shared" si="256"/>
        <v>11.25</v>
      </c>
      <c r="BC564" s="219">
        <f t="shared" si="257"/>
        <v>9.5625</v>
      </c>
      <c r="BD564" s="31">
        <f t="shared" si="258"/>
        <v>0</v>
      </c>
      <c r="BE564" s="219">
        <f t="shared" si="259"/>
        <v>0</v>
      </c>
      <c r="BF564" s="31">
        <f t="shared" si="260"/>
        <v>0</v>
      </c>
      <c r="BG564" s="219">
        <f t="shared" si="261"/>
        <v>0</v>
      </c>
      <c r="BH564" s="31">
        <f t="shared" si="262"/>
        <v>0</v>
      </c>
      <c r="BI564" s="219">
        <f t="shared" si="263"/>
        <v>0</v>
      </c>
      <c r="BJ564" s="31">
        <f t="shared" si="264"/>
        <v>0</v>
      </c>
      <c r="BK564" s="219">
        <f t="shared" si="265"/>
        <v>0</v>
      </c>
      <c r="BL564" s="31">
        <f t="shared" si="266"/>
        <v>0</v>
      </c>
      <c r="BM564" s="219">
        <f t="shared" si="267"/>
        <v>0</v>
      </c>
      <c r="BN564" s="31">
        <f t="shared" si="268"/>
        <v>0</v>
      </c>
      <c r="BO564" s="219">
        <f t="shared" si="269"/>
        <v>0</v>
      </c>
    </row>
    <row r="565" spans="1:67" x14ac:dyDescent="0.25">
      <c r="A565" s="31" t="s">
        <v>1447</v>
      </c>
      <c r="B565" s="176" t="str">
        <f>VLOOKUP(A565,kurspris!$A$1:$B$992,2,FALSE)</f>
        <v>Examensarbete för grundlärarexamen med inriktning mot grundskolans år 4-6</v>
      </c>
      <c r="D565" s="60" t="s">
        <v>523</v>
      </c>
      <c r="E565" s="576" t="s">
        <v>2225</v>
      </c>
      <c r="F565" s="31" t="s">
        <v>2273</v>
      </c>
      <c r="G565" s="244" t="s">
        <v>2454</v>
      </c>
      <c r="H565" t="s">
        <v>2335</v>
      </c>
      <c r="I565" s="31" t="s">
        <v>2276</v>
      </c>
      <c r="L565" s="38">
        <v>1</v>
      </c>
      <c r="M565" s="244">
        <v>7.5</v>
      </c>
      <c r="P565" s="31">
        <v>19</v>
      </c>
      <c r="Q565" s="196">
        <f>(M565/60)*P565</f>
        <v>2.375</v>
      </c>
      <c r="R565" s="38">
        <v>0.85</v>
      </c>
      <c r="S565" s="280">
        <f t="shared" si="242"/>
        <v>2.0187499999999998</v>
      </c>
      <c r="T565" s="31">
        <f>VLOOKUP(A565,'Ansvar kurs'!$A$1:$C$1123,2,FALSE)</f>
        <v>5740</v>
      </c>
      <c r="U565" s="31" t="str">
        <f>VLOOKUP(T565,Orgenheter!$A$1:$C$166,2,FALSE)</f>
        <v>NMD</v>
      </c>
      <c r="V565" s="31" t="str">
        <f>VLOOKUP(T565,Orgenheter!$A$1:$C$166,3,FALSE)</f>
        <v>TekNat</v>
      </c>
      <c r="W565" s="35" t="str">
        <f>VLOOKUP(D565,Program!$A$1:$B$36,2,FALSE)</f>
        <v>Grundlärarprogrammet - grundskolans åk 4-6</v>
      </c>
      <c r="X565" s="40">
        <f>VLOOKUP(A565,kurspris!$A$1:$Q$913,15,FALSE)</f>
        <v>20757</v>
      </c>
      <c r="Y565" s="40">
        <f>VLOOKUP(A565,kurspris!$A$1:$Q$913,16,FALSE)</f>
        <v>36082</v>
      </c>
      <c r="Z565" s="40">
        <f t="shared" si="243"/>
        <v>122138.41249999999</v>
      </c>
      <c r="AA565" s="40">
        <f>VLOOKUP(A565,kurspris!$A$1:$Q$913,17,FALSE)</f>
        <v>22600</v>
      </c>
      <c r="AB565" s="40">
        <f t="shared" si="244"/>
        <v>53675</v>
      </c>
      <c r="AC565" s="40">
        <f t="shared" si="245"/>
        <v>175813.41249999998</v>
      </c>
      <c r="AD565" s="31">
        <f>VLOOKUP($A565,kurspris!$A$1:$Q$950,3,FALSE)</f>
        <v>0</v>
      </c>
      <c r="AE565" s="31">
        <f>VLOOKUP($A565,kurspris!$A$1:$Q$950,4,FALSE)</f>
        <v>0</v>
      </c>
      <c r="AF565" s="31">
        <f>VLOOKUP($A565,kurspris!$A$1:$Q$950,5,FALSE)</f>
        <v>0</v>
      </c>
      <c r="AG565" s="31">
        <f>VLOOKUP($A565,kurspris!$A$1:$Q$950,6,FALSE)</f>
        <v>0</v>
      </c>
      <c r="AH565" s="31">
        <f>VLOOKUP($A565,kurspris!$A$1:$Q$950,7,FALSE)</f>
        <v>0</v>
      </c>
      <c r="AI565" s="31">
        <f>VLOOKUP($A565,kurspris!$A$1:$Q$950,8,FALSE)</f>
        <v>1</v>
      </c>
      <c r="AJ565" s="31">
        <f>VLOOKUP($A565,kurspris!$A$1:$Q$950,9,FALSE)</f>
        <v>0</v>
      </c>
      <c r="AK565" s="31">
        <f>VLOOKUP($A565,kurspris!$A$1:$Q$950,10,FALSE)</f>
        <v>0</v>
      </c>
      <c r="AL565" s="31">
        <f>VLOOKUP($A565,kurspris!$A$1:$Q$950,11,FALSE)</f>
        <v>0</v>
      </c>
      <c r="AM565" s="31">
        <f>VLOOKUP($A565,kurspris!$A$1:$Q$950,12,FALSE)</f>
        <v>0</v>
      </c>
      <c r="AN565" s="31">
        <f>VLOOKUP($A565,kurspris!$A$1:$Q$950,13,FALSE)</f>
        <v>0</v>
      </c>
      <c r="AO565" s="31">
        <f>VLOOKUP($A565,kurspris!$A$1:$Q$950,14,FALSE)</f>
        <v>0</v>
      </c>
      <c r="AP565" s="57" t="s">
        <v>2504</v>
      </c>
      <c r="AQ565" t="s">
        <v>2311</v>
      </c>
      <c r="AR565" s="31">
        <f t="shared" si="246"/>
        <v>0</v>
      </c>
      <c r="AS565" s="219">
        <f t="shared" si="247"/>
        <v>0</v>
      </c>
      <c r="AT565" s="31">
        <f t="shared" si="248"/>
        <v>0</v>
      </c>
      <c r="AU565" s="219">
        <f t="shared" si="249"/>
        <v>0</v>
      </c>
      <c r="AV565" s="31">
        <f t="shared" si="250"/>
        <v>0</v>
      </c>
      <c r="AW565" s="31">
        <f t="shared" si="251"/>
        <v>0</v>
      </c>
      <c r="AX565" s="31">
        <f t="shared" si="252"/>
        <v>0</v>
      </c>
      <c r="AY565" s="219">
        <f t="shared" si="253"/>
        <v>0</v>
      </c>
      <c r="AZ565" s="196">
        <f t="shared" si="254"/>
        <v>0</v>
      </c>
      <c r="BA565" s="219">
        <f t="shared" si="255"/>
        <v>0</v>
      </c>
      <c r="BB565" s="31">
        <f t="shared" si="256"/>
        <v>2.375</v>
      </c>
      <c r="BC565" s="219">
        <f t="shared" si="257"/>
        <v>2.0187499999999998</v>
      </c>
      <c r="BD565" s="31">
        <f t="shared" si="258"/>
        <v>0</v>
      </c>
      <c r="BE565" s="219">
        <f t="shared" si="259"/>
        <v>0</v>
      </c>
      <c r="BF565" s="31">
        <f t="shared" si="260"/>
        <v>0</v>
      </c>
      <c r="BG565" s="219">
        <f t="shared" si="261"/>
        <v>0</v>
      </c>
      <c r="BH565" s="31">
        <f t="shared" si="262"/>
        <v>0</v>
      </c>
      <c r="BI565" s="219">
        <f t="shared" si="263"/>
        <v>0</v>
      </c>
      <c r="BJ565" s="31">
        <f t="shared" si="264"/>
        <v>0</v>
      </c>
      <c r="BK565" s="219">
        <f t="shared" si="265"/>
        <v>0</v>
      </c>
      <c r="BL565" s="31">
        <f t="shared" si="266"/>
        <v>0</v>
      </c>
      <c r="BM565" s="219">
        <f t="shared" si="267"/>
        <v>0</v>
      </c>
      <c r="BN565" s="31">
        <f t="shared" si="268"/>
        <v>0</v>
      </c>
      <c r="BO565" s="219">
        <f t="shared" si="269"/>
        <v>0</v>
      </c>
    </row>
    <row r="566" spans="1:67" x14ac:dyDescent="0.25">
      <c r="A566" s="31" t="s">
        <v>1447</v>
      </c>
      <c r="B566" s="176" t="str">
        <f>VLOOKUP(A566,kurspris!$A$1:$B$992,2,FALSE)</f>
        <v>Examensarbete för grundlärarexamen med inriktning mot grundskolans år 4-6</v>
      </c>
      <c r="D566" s="60" t="s">
        <v>523</v>
      </c>
      <c r="E566" s="576" t="s">
        <v>2434</v>
      </c>
      <c r="F566" s="31" t="s">
        <v>2273</v>
      </c>
      <c r="G566" s="244" t="s">
        <v>2454</v>
      </c>
      <c r="H566" t="s">
        <v>2335</v>
      </c>
      <c r="I566" s="31" t="s">
        <v>2276</v>
      </c>
      <c r="L566" s="38">
        <v>1</v>
      </c>
      <c r="M566" s="244">
        <v>7.5</v>
      </c>
      <c r="P566" s="31">
        <v>1</v>
      </c>
      <c r="Q566" s="196">
        <f>(M566/60)*P566</f>
        <v>0.125</v>
      </c>
      <c r="R566" s="38">
        <v>0.85</v>
      </c>
      <c r="S566" s="280">
        <f t="shared" si="242"/>
        <v>0.10625</v>
      </c>
      <c r="T566" s="31">
        <f>VLOOKUP(A566,'Ansvar kurs'!$A$1:$C$1123,2,FALSE)</f>
        <v>5740</v>
      </c>
      <c r="U566" s="31" t="str">
        <f>VLOOKUP(T566,Orgenheter!$A$1:$C$166,2,FALSE)</f>
        <v>NMD</v>
      </c>
      <c r="V566" s="31" t="str">
        <f>VLOOKUP(T566,Orgenheter!$A$1:$C$166,3,FALSE)</f>
        <v>TekNat</v>
      </c>
      <c r="W566" s="35" t="str">
        <f>VLOOKUP(D566,Program!$A$1:$B$36,2,FALSE)</f>
        <v>Grundlärarprogrammet - grundskolans åk 4-6</v>
      </c>
      <c r="X566" s="40">
        <f>VLOOKUP(A566,kurspris!$A$1:$Q$913,15,FALSE)</f>
        <v>20757</v>
      </c>
      <c r="Y566" s="40">
        <f>VLOOKUP(A566,kurspris!$A$1:$Q$913,16,FALSE)</f>
        <v>36082</v>
      </c>
      <c r="Z566" s="40">
        <f t="shared" si="243"/>
        <v>6428.3374999999996</v>
      </c>
      <c r="AA566" s="40">
        <f>VLOOKUP(A566,kurspris!$A$1:$Q$913,17,FALSE)</f>
        <v>22600</v>
      </c>
      <c r="AB566" s="40">
        <f t="shared" si="244"/>
        <v>2825</v>
      </c>
      <c r="AC566" s="40">
        <f t="shared" si="245"/>
        <v>9253.3374999999996</v>
      </c>
      <c r="AD566" s="31">
        <f>VLOOKUP($A566,kurspris!$A$1:$Q$950,3,FALSE)</f>
        <v>0</v>
      </c>
      <c r="AE566" s="31">
        <f>VLOOKUP($A566,kurspris!$A$1:$Q$950,4,FALSE)</f>
        <v>0</v>
      </c>
      <c r="AF566" s="31">
        <f>VLOOKUP($A566,kurspris!$A$1:$Q$950,5,FALSE)</f>
        <v>0</v>
      </c>
      <c r="AG566" s="31">
        <f>VLOOKUP($A566,kurspris!$A$1:$Q$950,6,FALSE)</f>
        <v>0</v>
      </c>
      <c r="AH566" s="31">
        <f>VLOOKUP($A566,kurspris!$A$1:$Q$950,7,FALSE)</f>
        <v>0</v>
      </c>
      <c r="AI566" s="31">
        <f>VLOOKUP($A566,kurspris!$A$1:$Q$950,8,FALSE)</f>
        <v>1</v>
      </c>
      <c r="AJ566" s="31">
        <f>VLOOKUP($A566,kurspris!$A$1:$Q$950,9,FALSE)</f>
        <v>0</v>
      </c>
      <c r="AK566" s="31">
        <f>VLOOKUP($A566,kurspris!$A$1:$Q$950,10,FALSE)</f>
        <v>0</v>
      </c>
      <c r="AL566" s="31">
        <f>VLOOKUP($A566,kurspris!$A$1:$Q$950,11,FALSE)</f>
        <v>0</v>
      </c>
      <c r="AM566" s="31">
        <f>VLOOKUP($A566,kurspris!$A$1:$Q$950,12,FALSE)</f>
        <v>0</v>
      </c>
      <c r="AN566" s="31">
        <f>VLOOKUP($A566,kurspris!$A$1:$Q$950,13,FALSE)</f>
        <v>0</v>
      </c>
      <c r="AO566" s="31">
        <f>VLOOKUP($A566,kurspris!$A$1:$Q$950,14,FALSE)</f>
        <v>0</v>
      </c>
      <c r="AP566" s="57" t="s">
        <v>2504</v>
      </c>
      <c r="AQ566" t="s">
        <v>2311</v>
      </c>
      <c r="AR566" s="31">
        <f t="shared" si="246"/>
        <v>0</v>
      </c>
      <c r="AS566" s="219">
        <f t="shared" si="247"/>
        <v>0</v>
      </c>
      <c r="AT566" s="31">
        <f t="shared" si="248"/>
        <v>0</v>
      </c>
      <c r="AU566" s="219">
        <f t="shared" si="249"/>
        <v>0</v>
      </c>
      <c r="AV566" s="31">
        <f t="shared" si="250"/>
        <v>0</v>
      </c>
      <c r="AW566" s="31">
        <f t="shared" si="251"/>
        <v>0</v>
      </c>
      <c r="AX566" s="31">
        <f t="shared" si="252"/>
        <v>0</v>
      </c>
      <c r="AY566" s="219">
        <f t="shared" si="253"/>
        <v>0</v>
      </c>
      <c r="AZ566" s="196">
        <f t="shared" si="254"/>
        <v>0</v>
      </c>
      <c r="BA566" s="219">
        <f t="shared" si="255"/>
        <v>0</v>
      </c>
      <c r="BB566" s="31">
        <f t="shared" si="256"/>
        <v>0.125</v>
      </c>
      <c r="BC566" s="219">
        <f t="shared" si="257"/>
        <v>0.10625</v>
      </c>
      <c r="BD566" s="31">
        <f t="shared" si="258"/>
        <v>0</v>
      </c>
      <c r="BE566" s="219">
        <f t="shared" si="259"/>
        <v>0</v>
      </c>
      <c r="BF566" s="31">
        <f t="shared" si="260"/>
        <v>0</v>
      </c>
      <c r="BG566" s="219">
        <f t="shared" si="261"/>
        <v>0</v>
      </c>
      <c r="BH566" s="31">
        <f t="shared" si="262"/>
        <v>0</v>
      </c>
      <c r="BI566" s="219">
        <f t="shared" si="263"/>
        <v>0</v>
      </c>
      <c r="BJ566" s="31">
        <f t="shared" si="264"/>
        <v>0</v>
      </c>
      <c r="BK566" s="219">
        <f t="shared" si="265"/>
        <v>0</v>
      </c>
      <c r="BL566" s="31">
        <f t="shared" si="266"/>
        <v>0</v>
      </c>
      <c r="BM566" s="219">
        <f t="shared" si="267"/>
        <v>0</v>
      </c>
      <c r="BN566" s="31">
        <f t="shared" si="268"/>
        <v>0</v>
      </c>
      <c r="BO566" s="219">
        <f t="shared" si="269"/>
        <v>0</v>
      </c>
    </row>
    <row r="567" spans="1:67" x14ac:dyDescent="0.25">
      <c r="A567" s="31" t="s">
        <v>1447</v>
      </c>
      <c r="B567" s="176" t="str">
        <f>VLOOKUP(A567,kurspris!$A$1:$B$992,2,FALSE)</f>
        <v>Examensarbete för grundlärarexamen med inriktning mot grundskolans år 4-6</v>
      </c>
      <c r="C567" s="31">
        <v>61804</v>
      </c>
      <c r="D567" s="31" t="s">
        <v>523</v>
      </c>
      <c r="F567" s="57" t="s">
        <v>2274</v>
      </c>
      <c r="H567" s="31" t="s">
        <v>2335</v>
      </c>
      <c r="I567" s="31" t="s">
        <v>2399</v>
      </c>
      <c r="L567" s="38"/>
      <c r="M567" s="244">
        <v>22.5</v>
      </c>
      <c r="P567" s="31">
        <v>27</v>
      </c>
      <c r="Q567" s="539">
        <v>10.125</v>
      </c>
      <c r="R567" s="38">
        <v>0.85</v>
      </c>
      <c r="S567" s="280">
        <f t="shared" si="242"/>
        <v>8.6062499999999993</v>
      </c>
      <c r="T567" s="31">
        <f>VLOOKUP(A567,'Ansvar kurs'!$A$1:$C$1123,2,FALSE)</f>
        <v>5740</v>
      </c>
      <c r="U567" s="31" t="str">
        <f>VLOOKUP(T567,Orgenheter!$A$1:$C$166,2,FALSE)</f>
        <v>NMD</v>
      </c>
      <c r="V567" s="31" t="str">
        <f>VLOOKUP(T567,Orgenheter!$A$1:$C$166,3,FALSE)</f>
        <v>TekNat</v>
      </c>
      <c r="W567" s="35" t="str">
        <f>VLOOKUP(D567,Program!$A$1:$B$36,2,FALSE)</f>
        <v>Grundlärarprogrammet - grundskolans åk 4-6</v>
      </c>
      <c r="X567" s="40">
        <f>VLOOKUP(A567,kurspris!$A$1:$Q$913,15,FALSE)</f>
        <v>20757</v>
      </c>
      <c r="Y567" s="40">
        <f>VLOOKUP(A567,kurspris!$A$1:$Q$913,16,FALSE)</f>
        <v>36082</v>
      </c>
      <c r="Z567" s="40">
        <f t="shared" si="243"/>
        <v>520695.33749999997</v>
      </c>
      <c r="AA567" s="40">
        <f>VLOOKUP(A567,kurspris!$A$1:$Q$913,17,FALSE)</f>
        <v>22600</v>
      </c>
      <c r="AB567" s="40">
        <f t="shared" si="244"/>
        <v>228825</v>
      </c>
      <c r="AC567" s="40">
        <f t="shared" si="245"/>
        <v>749520.33749999991</v>
      </c>
      <c r="AD567" s="31">
        <f>VLOOKUP($A567,kurspris!$A$1:$Q$950,3,FALSE)</f>
        <v>0</v>
      </c>
      <c r="AE567" s="31">
        <f>VLOOKUP($A567,kurspris!$A$1:$Q$950,4,FALSE)</f>
        <v>0</v>
      </c>
      <c r="AF567" s="31">
        <f>VLOOKUP($A567,kurspris!$A$1:$Q$950,5,FALSE)</f>
        <v>0</v>
      </c>
      <c r="AG567" s="31">
        <f>VLOOKUP($A567,kurspris!$A$1:$Q$950,6,FALSE)</f>
        <v>0</v>
      </c>
      <c r="AH567" s="31">
        <f>VLOOKUP($A567,kurspris!$A$1:$Q$950,7,FALSE)</f>
        <v>0</v>
      </c>
      <c r="AI567" s="31">
        <f>VLOOKUP($A567,kurspris!$A$1:$Q$950,8,FALSE)</f>
        <v>1</v>
      </c>
      <c r="AJ567" s="31">
        <f>VLOOKUP($A567,kurspris!$A$1:$Q$950,9,FALSE)</f>
        <v>0</v>
      </c>
      <c r="AK567" s="31">
        <f>VLOOKUP($A567,kurspris!$A$1:$Q$950,10,FALSE)</f>
        <v>0</v>
      </c>
      <c r="AL567" s="31">
        <f>VLOOKUP($A567,kurspris!$A$1:$Q$950,11,FALSE)</f>
        <v>0</v>
      </c>
      <c r="AM567" s="31">
        <f>VLOOKUP($A567,kurspris!$A$1:$Q$950,12,FALSE)</f>
        <v>0</v>
      </c>
      <c r="AN567" s="31">
        <f>VLOOKUP($A567,kurspris!$A$1:$Q$950,13,FALSE)</f>
        <v>0</v>
      </c>
      <c r="AO567" s="31">
        <f>VLOOKUP($A567,kurspris!$A$1:$Q$950,14,FALSE)</f>
        <v>0</v>
      </c>
      <c r="AP567" s="57" t="s">
        <v>2402</v>
      </c>
      <c r="AQ567" s="37" t="s">
        <v>2309</v>
      </c>
      <c r="AR567" s="31">
        <f t="shared" si="246"/>
        <v>0</v>
      </c>
      <c r="AS567" s="219">
        <f t="shared" si="247"/>
        <v>0</v>
      </c>
      <c r="AT567" s="31">
        <f t="shared" si="248"/>
        <v>0</v>
      </c>
      <c r="AU567" s="219">
        <f t="shared" si="249"/>
        <v>0</v>
      </c>
      <c r="AV567" s="31">
        <f t="shared" si="250"/>
        <v>0</v>
      </c>
      <c r="AW567" s="31">
        <f t="shared" si="251"/>
        <v>0</v>
      </c>
      <c r="AX567" s="31">
        <f t="shared" si="252"/>
        <v>0</v>
      </c>
      <c r="AY567" s="219">
        <f t="shared" si="253"/>
        <v>0</v>
      </c>
      <c r="AZ567" s="196">
        <f t="shared" si="254"/>
        <v>0</v>
      </c>
      <c r="BA567" s="219">
        <f t="shared" si="255"/>
        <v>0</v>
      </c>
      <c r="BB567" s="31">
        <f t="shared" si="256"/>
        <v>10.125</v>
      </c>
      <c r="BC567" s="219">
        <f t="shared" si="257"/>
        <v>8.6062499999999993</v>
      </c>
      <c r="BD567" s="31">
        <f t="shared" si="258"/>
        <v>0</v>
      </c>
      <c r="BE567" s="219">
        <f t="shared" si="259"/>
        <v>0</v>
      </c>
      <c r="BF567" s="31">
        <f t="shared" si="260"/>
        <v>0</v>
      </c>
      <c r="BG567" s="219">
        <f t="shared" si="261"/>
        <v>0</v>
      </c>
      <c r="BH567" s="31">
        <f t="shared" si="262"/>
        <v>0</v>
      </c>
      <c r="BI567" s="219">
        <f t="shared" si="263"/>
        <v>0</v>
      </c>
      <c r="BJ567" s="31">
        <f t="shared" si="264"/>
        <v>0</v>
      </c>
      <c r="BK567" s="219">
        <f t="shared" si="265"/>
        <v>0</v>
      </c>
      <c r="BL567" s="31">
        <f t="shared" si="266"/>
        <v>0</v>
      </c>
      <c r="BM567" s="219">
        <f t="shared" si="267"/>
        <v>0</v>
      </c>
      <c r="BN567" s="31">
        <f t="shared" si="268"/>
        <v>0</v>
      </c>
      <c r="BO567" s="219">
        <f t="shared" si="269"/>
        <v>0</v>
      </c>
    </row>
    <row r="568" spans="1:67" x14ac:dyDescent="0.25">
      <c r="A568" s="31" t="s">
        <v>1534</v>
      </c>
      <c r="B568" s="176" t="str">
        <f>VLOOKUP(A568,kurspris!$A$1:$B$992,2,FALSE)</f>
        <v>Utbildningsvetenskap, undervisning och lärande för förskolan (UK)</v>
      </c>
      <c r="D568" s="60" t="s">
        <v>483</v>
      </c>
      <c r="E568" s="576" t="s">
        <v>2227</v>
      </c>
      <c r="F568" s="31" t="s">
        <v>2273</v>
      </c>
      <c r="G568" t="s">
        <v>2443</v>
      </c>
      <c r="H568" t="s">
        <v>2335</v>
      </c>
      <c r="I568" s="31" t="s">
        <v>2276</v>
      </c>
      <c r="L568" s="38">
        <v>1</v>
      </c>
      <c r="M568">
        <v>8</v>
      </c>
      <c r="P568" s="31">
        <v>1</v>
      </c>
      <c r="Q568" s="196">
        <f>(M568/60)*P568</f>
        <v>0.13333333333333333</v>
      </c>
      <c r="R568" s="38">
        <v>0.85</v>
      </c>
      <c r="S568" s="280">
        <f t="shared" si="242"/>
        <v>0.11333333333333333</v>
      </c>
      <c r="T568" s="31">
        <f>VLOOKUP(A568,'Ansvar kurs'!$A$1:$C$1123,2,FALSE)</f>
        <v>2193</v>
      </c>
      <c r="U568" s="31" t="str">
        <f>VLOOKUP(T568,Orgenheter!$A$1:$C$166,2,FALSE)</f>
        <v xml:space="preserve">TUV </v>
      </c>
      <c r="V568" s="31" t="str">
        <f>VLOOKUP(T568,Orgenheter!$A$1:$C$166,3,FALSE)</f>
        <v>Sam</v>
      </c>
      <c r="W568" s="35" t="str">
        <f>VLOOKUP(D568,Program!$A$1:$B$36,2,FALSE)</f>
        <v>Förskollärarprogrammet</v>
      </c>
      <c r="X568" s="40">
        <f>VLOOKUP(A568,kurspris!$A$1:$Q$913,15,FALSE)</f>
        <v>26554</v>
      </c>
      <c r="Y568" s="40">
        <f>VLOOKUP(A568,kurspris!$A$1:$Q$913,16,FALSE)</f>
        <v>33465</v>
      </c>
      <c r="Z568" s="40">
        <f t="shared" si="243"/>
        <v>7333.2333333333336</v>
      </c>
      <c r="AA568" s="40">
        <f>VLOOKUP(A568,kurspris!$A$1:$Q$913,17,FALSE)</f>
        <v>6000</v>
      </c>
      <c r="AB568" s="40">
        <f t="shared" si="244"/>
        <v>800</v>
      </c>
      <c r="AC568" s="40">
        <f t="shared" si="245"/>
        <v>8133.2333333333336</v>
      </c>
      <c r="AD568" s="31">
        <f>VLOOKUP($A568,kurspris!$A$1:$Q$950,3,FALSE)</f>
        <v>0</v>
      </c>
      <c r="AE568" s="31">
        <f>VLOOKUP($A568,kurspris!$A$1:$Q$950,4,FALSE)</f>
        <v>0</v>
      </c>
      <c r="AF568" s="31">
        <f>VLOOKUP($A568,kurspris!$A$1:$Q$950,5,FALSE)</f>
        <v>0</v>
      </c>
      <c r="AG568" s="31">
        <f>VLOOKUP($A568,kurspris!$A$1:$Q$950,6,FALSE)</f>
        <v>1</v>
      </c>
      <c r="AH568" s="31">
        <f>VLOOKUP($A568,kurspris!$A$1:$Q$950,7,FALSE)</f>
        <v>0</v>
      </c>
      <c r="AI568" s="31">
        <f>VLOOKUP($A568,kurspris!$A$1:$Q$950,8,FALSE)</f>
        <v>0</v>
      </c>
      <c r="AJ568" s="31">
        <f>VLOOKUP($A568,kurspris!$A$1:$Q$950,9,FALSE)</f>
        <v>0</v>
      </c>
      <c r="AK568" s="31">
        <f>VLOOKUP($A568,kurspris!$A$1:$Q$950,10,FALSE)</f>
        <v>0</v>
      </c>
      <c r="AL568" s="31">
        <f>VLOOKUP($A568,kurspris!$A$1:$Q$950,11,FALSE)</f>
        <v>0</v>
      </c>
      <c r="AM568" s="31">
        <f>VLOOKUP($A568,kurspris!$A$1:$Q$950,12,FALSE)</f>
        <v>0</v>
      </c>
      <c r="AN568" s="31">
        <f>VLOOKUP($A568,kurspris!$A$1:$Q$950,13,FALSE)</f>
        <v>0</v>
      </c>
      <c r="AO568" s="31">
        <f>VLOOKUP($A568,kurspris!$A$1:$Q$950,14,FALSE)</f>
        <v>0</v>
      </c>
      <c r="AP568" s="57" t="s">
        <v>2506</v>
      </c>
      <c r="AQ568"/>
      <c r="AR568" s="31">
        <f t="shared" si="246"/>
        <v>0</v>
      </c>
      <c r="AS568" s="219">
        <f t="shared" si="247"/>
        <v>0</v>
      </c>
      <c r="AT568" s="31">
        <f t="shared" si="248"/>
        <v>0</v>
      </c>
      <c r="AU568" s="219">
        <f t="shared" si="249"/>
        <v>0</v>
      </c>
      <c r="AV568" s="31">
        <f t="shared" si="250"/>
        <v>0</v>
      </c>
      <c r="AW568" s="31">
        <f t="shared" si="251"/>
        <v>0</v>
      </c>
      <c r="AX568" s="31">
        <f t="shared" si="252"/>
        <v>0.13333333333333333</v>
      </c>
      <c r="AY568" s="219">
        <f t="shared" si="253"/>
        <v>0.11333333333333333</v>
      </c>
      <c r="AZ568" s="196">
        <f t="shared" si="254"/>
        <v>0</v>
      </c>
      <c r="BA568" s="219">
        <f t="shared" si="255"/>
        <v>0</v>
      </c>
      <c r="BB568" s="31">
        <f t="shared" si="256"/>
        <v>0</v>
      </c>
      <c r="BC568" s="219">
        <f t="shared" si="257"/>
        <v>0</v>
      </c>
      <c r="BD568" s="31">
        <f t="shared" si="258"/>
        <v>0</v>
      </c>
      <c r="BE568" s="219">
        <f t="shared" si="259"/>
        <v>0</v>
      </c>
      <c r="BF568" s="31">
        <f t="shared" si="260"/>
        <v>0</v>
      </c>
      <c r="BG568" s="219">
        <f t="shared" si="261"/>
        <v>0</v>
      </c>
      <c r="BH568" s="31">
        <f t="shared" si="262"/>
        <v>0</v>
      </c>
      <c r="BI568" s="219">
        <f t="shared" si="263"/>
        <v>0</v>
      </c>
      <c r="BJ568" s="31">
        <f t="shared" si="264"/>
        <v>0</v>
      </c>
      <c r="BK568" s="219">
        <f t="shared" si="265"/>
        <v>0</v>
      </c>
      <c r="BL568" s="31">
        <f t="shared" si="266"/>
        <v>0</v>
      </c>
      <c r="BM568" s="219">
        <f t="shared" si="267"/>
        <v>0</v>
      </c>
      <c r="BN568" s="31">
        <f t="shared" si="268"/>
        <v>0</v>
      </c>
      <c r="BO568" s="219">
        <f t="shared" si="269"/>
        <v>0</v>
      </c>
    </row>
    <row r="569" spans="1:67" x14ac:dyDescent="0.25">
      <c r="A569" s="31" t="s">
        <v>1534</v>
      </c>
      <c r="B569" s="176" t="str">
        <f>VLOOKUP(A569,kurspris!$A$1:$B$992,2,FALSE)</f>
        <v>Utbildningsvetenskap, undervisning och lärande för förskolan (UK)</v>
      </c>
      <c r="D569" s="60" t="s">
        <v>483</v>
      </c>
      <c r="E569" s="576" t="s">
        <v>2431</v>
      </c>
      <c r="F569" s="31" t="s">
        <v>2273</v>
      </c>
      <c r="G569" t="s">
        <v>2443</v>
      </c>
      <c r="H569" t="s">
        <v>2335</v>
      </c>
      <c r="I569" s="31" t="s">
        <v>2276</v>
      </c>
      <c r="L569" s="38">
        <v>1</v>
      </c>
      <c r="M569">
        <v>8</v>
      </c>
      <c r="P569" s="31">
        <v>1</v>
      </c>
      <c r="Q569" s="196">
        <f>(M569/60)*P569</f>
        <v>0.13333333333333333</v>
      </c>
      <c r="R569" s="38">
        <v>0.85</v>
      </c>
      <c r="S569" s="280">
        <f t="shared" si="242"/>
        <v>0.11333333333333333</v>
      </c>
      <c r="T569" s="31">
        <f>VLOOKUP(A569,'Ansvar kurs'!$A$1:$C$1123,2,FALSE)</f>
        <v>2193</v>
      </c>
      <c r="U569" s="31" t="str">
        <f>VLOOKUP(T569,Orgenheter!$A$1:$C$166,2,FALSE)</f>
        <v xml:space="preserve">TUV </v>
      </c>
      <c r="V569" s="31" t="str">
        <f>VLOOKUP(T569,Orgenheter!$A$1:$C$166,3,FALSE)</f>
        <v>Sam</v>
      </c>
      <c r="W569" s="35" t="str">
        <f>VLOOKUP(D569,Program!$A$1:$B$36,2,FALSE)</f>
        <v>Förskollärarprogrammet</v>
      </c>
      <c r="X569" s="40">
        <f>VLOOKUP(A569,kurspris!$A$1:$Q$913,15,FALSE)</f>
        <v>26554</v>
      </c>
      <c r="Y569" s="40">
        <f>VLOOKUP(A569,kurspris!$A$1:$Q$913,16,FALSE)</f>
        <v>33465</v>
      </c>
      <c r="Z569" s="40">
        <f t="shared" si="243"/>
        <v>7333.2333333333336</v>
      </c>
      <c r="AA569" s="40">
        <f>VLOOKUP(A569,kurspris!$A$1:$Q$913,17,FALSE)</f>
        <v>6000</v>
      </c>
      <c r="AB569" s="40">
        <f t="shared" si="244"/>
        <v>800</v>
      </c>
      <c r="AC569" s="40">
        <f t="shared" si="245"/>
        <v>8133.2333333333336</v>
      </c>
      <c r="AD569" s="31">
        <f>VLOOKUP($A569,kurspris!$A$1:$Q$950,3,FALSE)</f>
        <v>0</v>
      </c>
      <c r="AE569" s="31">
        <f>VLOOKUP($A569,kurspris!$A$1:$Q$950,4,FALSE)</f>
        <v>0</v>
      </c>
      <c r="AF569" s="31">
        <f>VLOOKUP($A569,kurspris!$A$1:$Q$950,5,FALSE)</f>
        <v>0</v>
      </c>
      <c r="AG569" s="31">
        <f>VLOOKUP($A569,kurspris!$A$1:$Q$950,6,FALSE)</f>
        <v>1</v>
      </c>
      <c r="AH569" s="31">
        <f>VLOOKUP($A569,kurspris!$A$1:$Q$950,7,FALSE)</f>
        <v>0</v>
      </c>
      <c r="AI569" s="31">
        <f>VLOOKUP($A569,kurspris!$A$1:$Q$950,8,FALSE)</f>
        <v>0</v>
      </c>
      <c r="AJ569" s="31">
        <f>VLOOKUP($A569,kurspris!$A$1:$Q$950,9,FALSE)</f>
        <v>0</v>
      </c>
      <c r="AK569" s="31">
        <f>VLOOKUP($A569,kurspris!$A$1:$Q$950,10,FALSE)</f>
        <v>0</v>
      </c>
      <c r="AL569" s="31">
        <f>VLOOKUP($A569,kurspris!$A$1:$Q$950,11,FALSE)</f>
        <v>0</v>
      </c>
      <c r="AM569" s="31">
        <f>VLOOKUP($A569,kurspris!$A$1:$Q$950,12,FALSE)</f>
        <v>0</v>
      </c>
      <c r="AN569" s="31">
        <f>VLOOKUP($A569,kurspris!$A$1:$Q$950,13,FALSE)</f>
        <v>0</v>
      </c>
      <c r="AO569" s="31">
        <f>VLOOKUP($A569,kurspris!$A$1:$Q$950,14,FALSE)</f>
        <v>0</v>
      </c>
      <c r="AP569" s="57" t="s">
        <v>2506</v>
      </c>
      <c r="AQ569"/>
      <c r="AR569" s="31">
        <f t="shared" si="246"/>
        <v>0</v>
      </c>
      <c r="AS569" s="219">
        <f t="shared" si="247"/>
        <v>0</v>
      </c>
      <c r="AT569" s="31">
        <f t="shared" si="248"/>
        <v>0</v>
      </c>
      <c r="AU569" s="219">
        <f t="shared" si="249"/>
        <v>0</v>
      </c>
      <c r="AV569" s="31">
        <f t="shared" si="250"/>
        <v>0</v>
      </c>
      <c r="AW569" s="31">
        <f t="shared" si="251"/>
        <v>0</v>
      </c>
      <c r="AX569" s="31">
        <f t="shared" si="252"/>
        <v>0.13333333333333333</v>
      </c>
      <c r="AY569" s="219">
        <f t="shared" si="253"/>
        <v>0.11333333333333333</v>
      </c>
      <c r="AZ569" s="196">
        <f t="shared" si="254"/>
        <v>0</v>
      </c>
      <c r="BA569" s="219">
        <f t="shared" si="255"/>
        <v>0</v>
      </c>
      <c r="BB569" s="31">
        <f t="shared" si="256"/>
        <v>0</v>
      </c>
      <c r="BC569" s="219">
        <f t="shared" si="257"/>
        <v>0</v>
      </c>
      <c r="BD569" s="31">
        <f t="shared" si="258"/>
        <v>0</v>
      </c>
      <c r="BE569" s="219">
        <f t="shared" si="259"/>
        <v>0</v>
      </c>
      <c r="BF569" s="31">
        <f t="shared" si="260"/>
        <v>0</v>
      </c>
      <c r="BG569" s="219">
        <f t="shared" si="261"/>
        <v>0</v>
      </c>
      <c r="BH569" s="31">
        <f t="shared" si="262"/>
        <v>0</v>
      </c>
      <c r="BI569" s="219">
        <f t="shared" si="263"/>
        <v>0</v>
      </c>
      <c r="BJ569" s="31">
        <f t="shared" si="264"/>
        <v>0</v>
      </c>
      <c r="BK569" s="219">
        <f t="shared" si="265"/>
        <v>0</v>
      </c>
      <c r="BL569" s="31">
        <f t="shared" si="266"/>
        <v>0</v>
      </c>
      <c r="BM569" s="219">
        <f t="shared" si="267"/>
        <v>0</v>
      </c>
      <c r="BN569" s="31">
        <f t="shared" si="268"/>
        <v>0</v>
      </c>
      <c r="BO569" s="219">
        <f t="shared" si="269"/>
        <v>0</v>
      </c>
    </row>
    <row r="570" spans="1:67" x14ac:dyDescent="0.25">
      <c r="A570" s="31" t="s">
        <v>1534</v>
      </c>
      <c r="B570" s="176" t="str">
        <f>VLOOKUP(A570,kurspris!$A$1:$B$992,2,FALSE)</f>
        <v>Utbildningsvetenskap, undervisning och lärande för förskolan (UK)</v>
      </c>
      <c r="D570" s="60" t="s">
        <v>483</v>
      </c>
      <c r="E570" s="576" t="s">
        <v>2436</v>
      </c>
      <c r="F570" s="31" t="s">
        <v>2273</v>
      </c>
      <c r="G570" t="s">
        <v>2443</v>
      </c>
      <c r="H570" t="s">
        <v>2335</v>
      </c>
      <c r="I570" s="31" t="s">
        <v>2276</v>
      </c>
      <c r="L570" s="38">
        <v>1</v>
      </c>
      <c r="M570">
        <v>8</v>
      </c>
      <c r="P570" s="31">
        <v>20</v>
      </c>
      <c r="Q570" s="196">
        <f>(M570/60)*P570</f>
        <v>2.6666666666666665</v>
      </c>
      <c r="R570" s="38">
        <v>0.85</v>
      </c>
      <c r="S570" s="280">
        <f t="shared" si="242"/>
        <v>2.2666666666666666</v>
      </c>
      <c r="T570" s="31">
        <f>VLOOKUP(A570,'Ansvar kurs'!$A$1:$C$1123,2,FALSE)</f>
        <v>2193</v>
      </c>
      <c r="U570" s="31" t="str">
        <f>VLOOKUP(T570,Orgenheter!$A$1:$C$166,2,FALSE)</f>
        <v xml:space="preserve">TUV </v>
      </c>
      <c r="V570" s="31" t="str">
        <f>VLOOKUP(T570,Orgenheter!$A$1:$C$166,3,FALSE)</f>
        <v>Sam</v>
      </c>
      <c r="W570" s="35" t="str">
        <f>VLOOKUP(D570,Program!$A$1:$B$36,2,FALSE)</f>
        <v>Förskollärarprogrammet</v>
      </c>
      <c r="X570" s="40">
        <f>VLOOKUP(A570,kurspris!$A$1:$Q$913,15,FALSE)</f>
        <v>26554</v>
      </c>
      <c r="Y570" s="40">
        <f>VLOOKUP(A570,kurspris!$A$1:$Q$913,16,FALSE)</f>
        <v>33465</v>
      </c>
      <c r="Z570" s="40">
        <f t="shared" si="243"/>
        <v>146664.66666666666</v>
      </c>
      <c r="AA570" s="40">
        <f>VLOOKUP(A570,kurspris!$A$1:$Q$913,17,FALSE)</f>
        <v>6000</v>
      </c>
      <c r="AB570" s="40">
        <f t="shared" si="244"/>
        <v>16000</v>
      </c>
      <c r="AC570" s="40">
        <f t="shared" si="245"/>
        <v>162664.66666666666</v>
      </c>
      <c r="AD570" s="31">
        <f>VLOOKUP($A570,kurspris!$A$1:$Q$950,3,FALSE)</f>
        <v>0</v>
      </c>
      <c r="AE570" s="31">
        <f>VLOOKUP($A570,kurspris!$A$1:$Q$950,4,FALSE)</f>
        <v>0</v>
      </c>
      <c r="AF570" s="31">
        <f>VLOOKUP($A570,kurspris!$A$1:$Q$950,5,FALSE)</f>
        <v>0</v>
      </c>
      <c r="AG570" s="31">
        <f>VLOOKUP($A570,kurspris!$A$1:$Q$950,6,FALSE)</f>
        <v>1</v>
      </c>
      <c r="AH570" s="31">
        <f>VLOOKUP($A570,kurspris!$A$1:$Q$950,7,FALSE)</f>
        <v>0</v>
      </c>
      <c r="AI570" s="31">
        <f>VLOOKUP($A570,kurspris!$A$1:$Q$950,8,FALSE)</f>
        <v>0</v>
      </c>
      <c r="AJ570" s="31">
        <f>VLOOKUP($A570,kurspris!$A$1:$Q$950,9,FALSE)</f>
        <v>0</v>
      </c>
      <c r="AK570" s="31">
        <f>VLOOKUP($A570,kurspris!$A$1:$Q$950,10,FALSE)</f>
        <v>0</v>
      </c>
      <c r="AL570" s="31">
        <f>VLOOKUP($A570,kurspris!$A$1:$Q$950,11,FALSE)</f>
        <v>0</v>
      </c>
      <c r="AM570" s="31">
        <f>VLOOKUP($A570,kurspris!$A$1:$Q$950,12,FALSE)</f>
        <v>0</v>
      </c>
      <c r="AN570" s="31">
        <f>VLOOKUP($A570,kurspris!$A$1:$Q$950,13,FALSE)</f>
        <v>0</v>
      </c>
      <c r="AO570" s="31">
        <f>VLOOKUP($A570,kurspris!$A$1:$Q$950,14,FALSE)</f>
        <v>0</v>
      </c>
      <c r="AP570" s="57" t="s">
        <v>2506</v>
      </c>
      <c r="AQ570"/>
      <c r="AR570" s="31">
        <f t="shared" si="246"/>
        <v>0</v>
      </c>
      <c r="AS570" s="219">
        <f t="shared" si="247"/>
        <v>0</v>
      </c>
      <c r="AT570" s="31">
        <f t="shared" si="248"/>
        <v>0</v>
      </c>
      <c r="AU570" s="219">
        <f t="shared" si="249"/>
        <v>0</v>
      </c>
      <c r="AV570" s="31">
        <f t="shared" si="250"/>
        <v>0</v>
      </c>
      <c r="AW570" s="31">
        <f t="shared" si="251"/>
        <v>0</v>
      </c>
      <c r="AX570" s="31">
        <f t="shared" si="252"/>
        <v>2.6666666666666665</v>
      </c>
      <c r="AY570" s="219">
        <f t="shared" si="253"/>
        <v>2.2666666666666666</v>
      </c>
      <c r="AZ570" s="196">
        <f t="shared" si="254"/>
        <v>0</v>
      </c>
      <c r="BA570" s="219">
        <f t="shared" si="255"/>
        <v>0</v>
      </c>
      <c r="BB570" s="31">
        <f t="shared" si="256"/>
        <v>0</v>
      </c>
      <c r="BC570" s="219">
        <f t="shared" si="257"/>
        <v>0</v>
      </c>
      <c r="BD570" s="31">
        <f t="shared" si="258"/>
        <v>0</v>
      </c>
      <c r="BE570" s="219">
        <f t="shared" si="259"/>
        <v>0</v>
      </c>
      <c r="BF570" s="31">
        <f t="shared" si="260"/>
        <v>0</v>
      </c>
      <c r="BG570" s="219">
        <f t="shared" si="261"/>
        <v>0</v>
      </c>
      <c r="BH570" s="31">
        <f t="shared" si="262"/>
        <v>0</v>
      </c>
      <c r="BI570" s="219">
        <f t="shared" si="263"/>
        <v>0</v>
      </c>
      <c r="BJ570" s="31">
        <f t="shared" si="264"/>
        <v>0</v>
      </c>
      <c r="BK570" s="219">
        <f t="shared" si="265"/>
        <v>0</v>
      </c>
      <c r="BL570" s="31">
        <f t="shared" si="266"/>
        <v>0</v>
      </c>
      <c r="BM570" s="219">
        <f t="shared" si="267"/>
        <v>0</v>
      </c>
      <c r="BN570" s="31">
        <f t="shared" si="268"/>
        <v>0</v>
      </c>
      <c r="BO570" s="219">
        <f t="shared" si="269"/>
        <v>0</v>
      </c>
    </row>
    <row r="571" spans="1:67" x14ac:dyDescent="0.25">
      <c r="A571" s="31" t="s">
        <v>1534</v>
      </c>
      <c r="B571" s="176" t="str">
        <f>VLOOKUP(A571,kurspris!$A$1:$B$992,2,FALSE)</f>
        <v>Utbildningsvetenskap, undervisning och lärande för förskolan (UK)</v>
      </c>
      <c r="C571" s="31">
        <v>68713</v>
      </c>
      <c r="D571" s="60" t="s">
        <v>483</v>
      </c>
      <c r="E571" s="60"/>
      <c r="F571" s="57" t="s">
        <v>2274</v>
      </c>
      <c r="H571" s="31" t="s">
        <v>2335</v>
      </c>
      <c r="I571" s="31" t="s">
        <v>2399</v>
      </c>
      <c r="L571" s="38"/>
      <c r="M571">
        <v>8</v>
      </c>
      <c r="P571" s="31">
        <v>37</v>
      </c>
      <c r="Q571" s="539">
        <v>4.9329999999999998</v>
      </c>
      <c r="R571" s="38">
        <v>0.85</v>
      </c>
      <c r="S571" s="280">
        <f t="shared" si="242"/>
        <v>4.1930499999999995</v>
      </c>
      <c r="T571" s="31">
        <f>VLOOKUP(A571,'Ansvar kurs'!$A$1:$C$1123,2,FALSE)</f>
        <v>2193</v>
      </c>
      <c r="U571" s="31" t="str">
        <f>VLOOKUP(T571,Orgenheter!$A$1:$C$166,2,FALSE)</f>
        <v xml:space="preserve">TUV </v>
      </c>
      <c r="V571" s="31" t="str">
        <f>VLOOKUP(T571,Orgenheter!$A$1:$C$166,3,FALSE)</f>
        <v>Sam</v>
      </c>
      <c r="W571" s="35" t="str">
        <f>VLOOKUP(D571,Program!$A$1:$B$36,2,FALSE)</f>
        <v>Förskollärarprogrammet</v>
      </c>
      <c r="X571" s="40">
        <f>VLOOKUP(A571,kurspris!$A$1:$Q$913,15,FALSE)</f>
        <v>26554</v>
      </c>
      <c r="Y571" s="40">
        <f>VLOOKUP(A571,kurspris!$A$1:$Q$913,16,FALSE)</f>
        <v>33465</v>
      </c>
      <c r="Z571" s="40">
        <f t="shared" si="243"/>
        <v>271311.30024999997</v>
      </c>
      <c r="AA571" s="40">
        <f>VLOOKUP(A571,kurspris!$A$1:$Q$913,17,FALSE)</f>
        <v>6000</v>
      </c>
      <c r="AB571" s="40">
        <f t="shared" si="244"/>
        <v>29598</v>
      </c>
      <c r="AC571" s="40">
        <f t="shared" si="245"/>
        <v>300909.30024999997</v>
      </c>
      <c r="AD571" s="31">
        <f>VLOOKUP($A571,kurspris!$A$1:$Q$950,3,FALSE)</f>
        <v>0</v>
      </c>
      <c r="AE571" s="31">
        <f>VLOOKUP($A571,kurspris!$A$1:$Q$950,4,FALSE)</f>
        <v>0</v>
      </c>
      <c r="AF571" s="31">
        <f>VLOOKUP($A571,kurspris!$A$1:$Q$950,5,FALSE)</f>
        <v>0</v>
      </c>
      <c r="AG571" s="31">
        <f>VLOOKUP($A571,kurspris!$A$1:$Q$950,6,FALSE)</f>
        <v>1</v>
      </c>
      <c r="AH571" s="31">
        <f>VLOOKUP($A571,kurspris!$A$1:$Q$950,7,FALSE)</f>
        <v>0</v>
      </c>
      <c r="AI571" s="31">
        <f>VLOOKUP($A571,kurspris!$A$1:$Q$950,8,FALSE)</f>
        <v>0</v>
      </c>
      <c r="AJ571" s="31">
        <f>VLOOKUP($A571,kurspris!$A$1:$Q$950,9,FALSE)</f>
        <v>0</v>
      </c>
      <c r="AK571" s="31">
        <f>VLOOKUP($A571,kurspris!$A$1:$Q$950,10,FALSE)</f>
        <v>0</v>
      </c>
      <c r="AL571" s="31">
        <f>VLOOKUP($A571,kurspris!$A$1:$Q$950,11,FALSE)</f>
        <v>0</v>
      </c>
      <c r="AM571" s="31">
        <f>VLOOKUP($A571,kurspris!$A$1:$Q$950,12,FALSE)</f>
        <v>0</v>
      </c>
      <c r="AN571" s="31">
        <f>VLOOKUP($A571,kurspris!$A$1:$Q$950,13,FALSE)</f>
        <v>0</v>
      </c>
      <c r="AO571" s="31">
        <f>VLOOKUP($A571,kurspris!$A$1:$Q$950,14,FALSE)</f>
        <v>0</v>
      </c>
      <c r="AP571" s="57" t="s">
        <v>2402</v>
      </c>
      <c r="AQ571"/>
      <c r="AR571" s="31">
        <f t="shared" si="246"/>
        <v>0</v>
      </c>
      <c r="AS571" s="219">
        <f t="shared" si="247"/>
        <v>0</v>
      </c>
      <c r="AT571" s="31">
        <f t="shared" si="248"/>
        <v>0</v>
      </c>
      <c r="AU571" s="219">
        <f t="shared" si="249"/>
        <v>0</v>
      </c>
      <c r="AV571" s="31">
        <f t="shared" si="250"/>
        <v>0</v>
      </c>
      <c r="AW571" s="31">
        <f t="shared" si="251"/>
        <v>0</v>
      </c>
      <c r="AX571" s="31">
        <f t="shared" si="252"/>
        <v>4.9329999999999998</v>
      </c>
      <c r="AY571" s="219">
        <f t="shared" si="253"/>
        <v>4.1930499999999995</v>
      </c>
      <c r="AZ571" s="196">
        <f t="shared" si="254"/>
        <v>0</v>
      </c>
      <c r="BA571" s="219">
        <f t="shared" si="255"/>
        <v>0</v>
      </c>
      <c r="BB571" s="31">
        <f t="shared" si="256"/>
        <v>0</v>
      </c>
      <c r="BC571" s="219">
        <f t="shared" si="257"/>
        <v>0</v>
      </c>
      <c r="BD571" s="31">
        <f t="shared" si="258"/>
        <v>0</v>
      </c>
      <c r="BE571" s="219">
        <f t="shared" si="259"/>
        <v>0</v>
      </c>
      <c r="BF571" s="31">
        <f t="shared" si="260"/>
        <v>0</v>
      </c>
      <c r="BG571" s="219">
        <f t="shared" si="261"/>
        <v>0</v>
      </c>
      <c r="BH571" s="31">
        <f t="shared" si="262"/>
        <v>0</v>
      </c>
      <c r="BI571" s="219">
        <f t="shared" si="263"/>
        <v>0</v>
      </c>
      <c r="BJ571" s="31">
        <f t="shared" si="264"/>
        <v>0</v>
      </c>
      <c r="BK571" s="219">
        <f t="shared" si="265"/>
        <v>0</v>
      </c>
      <c r="BL571" s="31">
        <f t="shared" si="266"/>
        <v>0</v>
      </c>
      <c r="BM571" s="219">
        <f t="shared" si="267"/>
        <v>0</v>
      </c>
      <c r="BN571" s="31">
        <f t="shared" si="268"/>
        <v>0</v>
      </c>
      <c r="BO571" s="219">
        <f t="shared" si="269"/>
        <v>0</v>
      </c>
    </row>
    <row r="572" spans="1:67" x14ac:dyDescent="0.25">
      <c r="A572" s="31" t="s">
        <v>1531</v>
      </c>
      <c r="B572" s="176" t="str">
        <f>VLOOKUP(A572,kurspris!$A$1:$B$992,2,FALSE)</f>
        <v>Specialpedagogik för förskolan (UK)</v>
      </c>
      <c r="D572" s="60" t="s">
        <v>483</v>
      </c>
      <c r="E572" s="576" t="s">
        <v>2227</v>
      </c>
      <c r="F572" s="31" t="s">
        <v>2273</v>
      </c>
      <c r="G572" t="s">
        <v>2444</v>
      </c>
      <c r="H572" t="s">
        <v>2335</v>
      </c>
      <c r="I572" s="31" t="s">
        <v>2276</v>
      </c>
      <c r="L572" s="38">
        <v>1</v>
      </c>
      <c r="M572">
        <v>6</v>
      </c>
      <c r="P572" s="31">
        <v>1</v>
      </c>
      <c r="Q572" s="196">
        <f>(M572/60)*P572</f>
        <v>0.1</v>
      </c>
      <c r="R572" s="38">
        <v>0.85</v>
      </c>
      <c r="S572" s="280">
        <f t="shared" si="242"/>
        <v>8.5000000000000006E-2</v>
      </c>
      <c r="T572" s="31">
        <f>VLOOKUP(A572,'Ansvar kurs'!$A$1:$C$1123,2,FALSE)</f>
        <v>2193</v>
      </c>
      <c r="U572" s="31" t="str">
        <f>VLOOKUP(T572,Orgenheter!$A$1:$C$166,2,FALSE)</f>
        <v xml:space="preserve">TUV </v>
      </c>
      <c r="V572" s="31" t="str">
        <f>VLOOKUP(T572,Orgenheter!$A$1:$C$166,3,FALSE)</f>
        <v>Sam</v>
      </c>
      <c r="W572" s="35" t="str">
        <f>VLOOKUP(D572,Program!$A$1:$B$36,2,FALSE)</f>
        <v>Förskollärarprogrammet</v>
      </c>
      <c r="X572" s="40">
        <f>VLOOKUP(A572,kurspris!$A$1:$Q$913,15,FALSE)</f>
        <v>26554</v>
      </c>
      <c r="Y572" s="40">
        <f>VLOOKUP(A572,kurspris!$A$1:$Q$913,16,FALSE)</f>
        <v>33465</v>
      </c>
      <c r="Z572" s="40">
        <f t="shared" si="243"/>
        <v>5499.9250000000002</v>
      </c>
      <c r="AA572" s="40">
        <f>VLOOKUP(A572,kurspris!$A$1:$Q$913,17,FALSE)</f>
        <v>6000</v>
      </c>
      <c r="AB572" s="40">
        <f t="shared" si="244"/>
        <v>600</v>
      </c>
      <c r="AC572" s="40">
        <f t="shared" si="245"/>
        <v>6099.9250000000002</v>
      </c>
      <c r="AD572" s="31">
        <f>VLOOKUP($A572,kurspris!$A$1:$Q$950,3,FALSE)</f>
        <v>0</v>
      </c>
      <c r="AE572" s="31">
        <f>VLOOKUP($A572,kurspris!$A$1:$Q$950,4,FALSE)</f>
        <v>0</v>
      </c>
      <c r="AF572" s="31">
        <f>VLOOKUP($A572,kurspris!$A$1:$Q$950,5,FALSE)</f>
        <v>0</v>
      </c>
      <c r="AG572" s="31">
        <f>VLOOKUP($A572,kurspris!$A$1:$Q$950,6,FALSE)</f>
        <v>1</v>
      </c>
      <c r="AH572" s="31">
        <f>VLOOKUP($A572,kurspris!$A$1:$Q$950,7,FALSE)</f>
        <v>0</v>
      </c>
      <c r="AI572" s="31">
        <f>VLOOKUP($A572,kurspris!$A$1:$Q$950,8,FALSE)</f>
        <v>0</v>
      </c>
      <c r="AJ572" s="31">
        <f>VLOOKUP($A572,kurspris!$A$1:$Q$950,9,FALSE)</f>
        <v>0</v>
      </c>
      <c r="AK572" s="31">
        <f>VLOOKUP($A572,kurspris!$A$1:$Q$950,10,FALSE)</f>
        <v>0</v>
      </c>
      <c r="AL572" s="31">
        <f>VLOOKUP($A572,kurspris!$A$1:$Q$950,11,FALSE)</f>
        <v>0</v>
      </c>
      <c r="AM572" s="31">
        <f>VLOOKUP($A572,kurspris!$A$1:$Q$950,12,FALSE)</f>
        <v>0</v>
      </c>
      <c r="AN572" s="31">
        <f>VLOOKUP($A572,kurspris!$A$1:$Q$950,13,FALSE)</f>
        <v>0</v>
      </c>
      <c r="AO572" s="31">
        <f>VLOOKUP($A572,kurspris!$A$1:$Q$950,14,FALSE)</f>
        <v>0</v>
      </c>
      <c r="AP572" s="57" t="s">
        <v>2506</v>
      </c>
      <c r="AQ572"/>
      <c r="AR572" s="31">
        <f t="shared" si="246"/>
        <v>0</v>
      </c>
      <c r="AS572" s="219">
        <f t="shared" si="247"/>
        <v>0</v>
      </c>
      <c r="AT572" s="31">
        <f t="shared" si="248"/>
        <v>0</v>
      </c>
      <c r="AU572" s="219">
        <f t="shared" si="249"/>
        <v>0</v>
      </c>
      <c r="AV572" s="31">
        <f t="shared" si="250"/>
        <v>0</v>
      </c>
      <c r="AW572" s="31">
        <f t="shared" si="251"/>
        <v>0</v>
      </c>
      <c r="AX572" s="31">
        <f t="shared" si="252"/>
        <v>0.1</v>
      </c>
      <c r="AY572" s="219">
        <f t="shared" si="253"/>
        <v>8.5000000000000006E-2</v>
      </c>
      <c r="AZ572" s="196">
        <f t="shared" si="254"/>
        <v>0</v>
      </c>
      <c r="BA572" s="219">
        <f t="shared" si="255"/>
        <v>0</v>
      </c>
      <c r="BB572" s="31">
        <f t="shared" si="256"/>
        <v>0</v>
      </c>
      <c r="BC572" s="219">
        <f t="shared" si="257"/>
        <v>0</v>
      </c>
      <c r="BD572" s="31">
        <f t="shared" si="258"/>
        <v>0</v>
      </c>
      <c r="BE572" s="219">
        <f t="shared" si="259"/>
        <v>0</v>
      </c>
      <c r="BF572" s="31">
        <f t="shared" si="260"/>
        <v>0</v>
      </c>
      <c r="BG572" s="219">
        <f t="shared" si="261"/>
        <v>0</v>
      </c>
      <c r="BH572" s="31">
        <f t="shared" si="262"/>
        <v>0</v>
      </c>
      <c r="BI572" s="219">
        <f t="shared" si="263"/>
        <v>0</v>
      </c>
      <c r="BJ572" s="31">
        <f t="shared" si="264"/>
        <v>0</v>
      </c>
      <c r="BK572" s="219">
        <f t="shared" si="265"/>
        <v>0</v>
      </c>
      <c r="BL572" s="31">
        <f t="shared" si="266"/>
        <v>0</v>
      </c>
      <c r="BM572" s="219">
        <f t="shared" si="267"/>
        <v>0</v>
      </c>
      <c r="BN572" s="31">
        <f t="shared" si="268"/>
        <v>0</v>
      </c>
      <c r="BO572" s="219">
        <f t="shared" si="269"/>
        <v>0</v>
      </c>
    </row>
    <row r="573" spans="1:67" x14ac:dyDescent="0.25">
      <c r="A573" s="31" t="s">
        <v>1531</v>
      </c>
      <c r="B573" s="176" t="str">
        <f>VLOOKUP(A573,kurspris!$A$1:$B$992,2,FALSE)</f>
        <v>Specialpedagogik för förskolan (UK)</v>
      </c>
      <c r="D573" s="60" t="s">
        <v>483</v>
      </c>
      <c r="E573" s="576" t="s">
        <v>2434</v>
      </c>
      <c r="F573" s="60" t="s">
        <v>2273</v>
      </c>
      <c r="G573" t="s">
        <v>2444</v>
      </c>
      <c r="H573" t="s">
        <v>2335</v>
      </c>
      <c r="I573" s="31" t="s">
        <v>2276</v>
      </c>
      <c r="L573" s="38">
        <v>1</v>
      </c>
      <c r="M573">
        <v>6</v>
      </c>
      <c r="P573" s="31">
        <v>1</v>
      </c>
      <c r="Q573" s="196">
        <f>(M573/60)*P573</f>
        <v>0.1</v>
      </c>
      <c r="R573" s="38">
        <v>0.85</v>
      </c>
      <c r="S573" s="280">
        <f t="shared" si="242"/>
        <v>8.5000000000000006E-2</v>
      </c>
      <c r="T573" s="31">
        <f>VLOOKUP(A573,'Ansvar kurs'!$A$1:$C$1123,2,FALSE)</f>
        <v>2193</v>
      </c>
      <c r="U573" s="31" t="str">
        <f>VLOOKUP(T573,Orgenheter!$A$1:$C$166,2,FALSE)</f>
        <v xml:space="preserve">TUV </v>
      </c>
      <c r="V573" s="31" t="str">
        <f>VLOOKUP(T573,Orgenheter!$A$1:$C$166,3,FALSE)</f>
        <v>Sam</v>
      </c>
      <c r="W573" s="35" t="str">
        <f>VLOOKUP(D573,Program!$A$1:$B$36,2,FALSE)</f>
        <v>Förskollärarprogrammet</v>
      </c>
      <c r="X573" s="40">
        <f>VLOOKUP(A573,kurspris!$A$1:$Q$913,15,FALSE)</f>
        <v>26554</v>
      </c>
      <c r="Y573" s="40">
        <f>VLOOKUP(A573,kurspris!$A$1:$Q$913,16,FALSE)</f>
        <v>33465</v>
      </c>
      <c r="Z573" s="40">
        <f t="shared" si="243"/>
        <v>5499.9250000000002</v>
      </c>
      <c r="AA573" s="40">
        <f>VLOOKUP(A573,kurspris!$A$1:$Q$913,17,FALSE)</f>
        <v>6000</v>
      </c>
      <c r="AB573" s="40">
        <f t="shared" si="244"/>
        <v>600</v>
      </c>
      <c r="AC573" s="40">
        <f t="shared" si="245"/>
        <v>6099.9250000000002</v>
      </c>
      <c r="AD573" s="31">
        <f>VLOOKUP($A573,kurspris!$A$1:$Q$950,3,FALSE)</f>
        <v>0</v>
      </c>
      <c r="AE573" s="31">
        <f>VLOOKUP($A573,kurspris!$A$1:$Q$950,4,FALSE)</f>
        <v>0</v>
      </c>
      <c r="AF573" s="31">
        <f>VLOOKUP($A573,kurspris!$A$1:$Q$950,5,FALSE)</f>
        <v>0</v>
      </c>
      <c r="AG573" s="31">
        <f>VLOOKUP($A573,kurspris!$A$1:$Q$950,6,FALSE)</f>
        <v>1</v>
      </c>
      <c r="AH573" s="31">
        <f>VLOOKUP($A573,kurspris!$A$1:$Q$950,7,FALSE)</f>
        <v>0</v>
      </c>
      <c r="AI573" s="31">
        <f>VLOOKUP($A573,kurspris!$A$1:$Q$950,8,FALSE)</f>
        <v>0</v>
      </c>
      <c r="AJ573" s="31">
        <f>VLOOKUP($A573,kurspris!$A$1:$Q$950,9,FALSE)</f>
        <v>0</v>
      </c>
      <c r="AK573" s="31">
        <f>VLOOKUP($A573,kurspris!$A$1:$Q$950,10,FALSE)</f>
        <v>0</v>
      </c>
      <c r="AL573" s="31">
        <f>VLOOKUP($A573,kurspris!$A$1:$Q$950,11,FALSE)</f>
        <v>0</v>
      </c>
      <c r="AM573" s="31">
        <f>VLOOKUP($A573,kurspris!$A$1:$Q$950,12,FALSE)</f>
        <v>0</v>
      </c>
      <c r="AN573" s="31">
        <f>VLOOKUP($A573,kurspris!$A$1:$Q$950,13,FALSE)</f>
        <v>0</v>
      </c>
      <c r="AO573" s="31">
        <f>VLOOKUP($A573,kurspris!$A$1:$Q$950,14,FALSE)</f>
        <v>0</v>
      </c>
      <c r="AP573" s="57" t="s">
        <v>2506</v>
      </c>
      <c r="AQ573"/>
      <c r="AR573" s="31">
        <f t="shared" si="246"/>
        <v>0</v>
      </c>
      <c r="AS573" s="219">
        <f t="shared" si="247"/>
        <v>0</v>
      </c>
      <c r="AT573" s="31">
        <f t="shared" si="248"/>
        <v>0</v>
      </c>
      <c r="AU573" s="219">
        <f t="shared" si="249"/>
        <v>0</v>
      </c>
      <c r="AV573" s="31">
        <f t="shared" si="250"/>
        <v>0</v>
      </c>
      <c r="AW573" s="31">
        <f t="shared" si="251"/>
        <v>0</v>
      </c>
      <c r="AX573" s="31">
        <f t="shared" si="252"/>
        <v>0.1</v>
      </c>
      <c r="AY573" s="219">
        <f t="shared" si="253"/>
        <v>8.5000000000000006E-2</v>
      </c>
      <c r="AZ573" s="196">
        <f t="shared" si="254"/>
        <v>0</v>
      </c>
      <c r="BA573" s="219">
        <f t="shared" si="255"/>
        <v>0</v>
      </c>
      <c r="BB573" s="31">
        <f t="shared" si="256"/>
        <v>0</v>
      </c>
      <c r="BC573" s="219">
        <f t="shared" si="257"/>
        <v>0</v>
      </c>
      <c r="BD573" s="31">
        <f t="shared" si="258"/>
        <v>0</v>
      </c>
      <c r="BE573" s="219">
        <f t="shared" si="259"/>
        <v>0</v>
      </c>
      <c r="BF573" s="31">
        <f t="shared" si="260"/>
        <v>0</v>
      </c>
      <c r="BG573" s="219">
        <f t="shared" si="261"/>
        <v>0</v>
      </c>
      <c r="BH573" s="31">
        <f t="shared" si="262"/>
        <v>0</v>
      </c>
      <c r="BI573" s="219">
        <f t="shared" si="263"/>
        <v>0</v>
      </c>
      <c r="BJ573" s="31">
        <f t="shared" si="264"/>
        <v>0</v>
      </c>
      <c r="BK573" s="219">
        <f t="shared" si="265"/>
        <v>0</v>
      </c>
      <c r="BL573" s="31">
        <f t="shared" si="266"/>
        <v>0</v>
      </c>
      <c r="BM573" s="219">
        <f t="shared" si="267"/>
        <v>0</v>
      </c>
      <c r="BN573" s="31">
        <f t="shared" si="268"/>
        <v>0</v>
      </c>
      <c r="BO573" s="219">
        <f t="shared" si="269"/>
        <v>0</v>
      </c>
    </row>
    <row r="574" spans="1:67" x14ac:dyDescent="0.25">
      <c r="A574" s="31" t="s">
        <v>1531</v>
      </c>
      <c r="B574" s="176" t="str">
        <f>VLOOKUP(A574,kurspris!$A$1:$B$992,2,FALSE)</f>
        <v>Specialpedagogik för förskolan (UK)</v>
      </c>
      <c r="D574" s="60" t="s">
        <v>483</v>
      </c>
      <c r="E574" s="576" t="s">
        <v>2431</v>
      </c>
      <c r="F574" s="31" t="s">
        <v>2273</v>
      </c>
      <c r="G574" t="s">
        <v>2444</v>
      </c>
      <c r="H574" t="s">
        <v>2335</v>
      </c>
      <c r="I574" s="31" t="s">
        <v>2276</v>
      </c>
      <c r="L574" s="38">
        <v>1</v>
      </c>
      <c r="M574">
        <v>6</v>
      </c>
      <c r="P574" s="31">
        <v>1</v>
      </c>
      <c r="Q574" s="196">
        <f>(M574/60)*P574</f>
        <v>0.1</v>
      </c>
      <c r="R574" s="38">
        <v>0.85</v>
      </c>
      <c r="S574" s="280">
        <f t="shared" si="242"/>
        <v>8.5000000000000006E-2</v>
      </c>
      <c r="T574" s="31">
        <f>VLOOKUP(A574,'Ansvar kurs'!$A$1:$C$1123,2,FALSE)</f>
        <v>2193</v>
      </c>
      <c r="U574" s="31" t="str">
        <f>VLOOKUP(T574,Orgenheter!$A$1:$C$166,2,FALSE)</f>
        <v xml:space="preserve">TUV </v>
      </c>
      <c r="V574" s="31" t="str">
        <f>VLOOKUP(T574,Orgenheter!$A$1:$C$166,3,FALSE)</f>
        <v>Sam</v>
      </c>
      <c r="W574" s="35" t="str">
        <f>VLOOKUP(D574,Program!$A$1:$B$36,2,FALSE)</f>
        <v>Förskollärarprogrammet</v>
      </c>
      <c r="X574" s="40">
        <f>VLOOKUP(A574,kurspris!$A$1:$Q$913,15,FALSE)</f>
        <v>26554</v>
      </c>
      <c r="Y574" s="40">
        <f>VLOOKUP(A574,kurspris!$A$1:$Q$913,16,FALSE)</f>
        <v>33465</v>
      </c>
      <c r="Z574" s="40">
        <f t="shared" si="243"/>
        <v>5499.9250000000002</v>
      </c>
      <c r="AA574" s="40">
        <f>VLOOKUP(A574,kurspris!$A$1:$Q$913,17,FALSE)</f>
        <v>6000</v>
      </c>
      <c r="AB574" s="40">
        <f t="shared" si="244"/>
        <v>600</v>
      </c>
      <c r="AC574" s="40">
        <f t="shared" si="245"/>
        <v>6099.9250000000002</v>
      </c>
      <c r="AD574" s="31">
        <f>VLOOKUP($A574,kurspris!$A$1:$Q$950,3,FALSE)</f>
        <v>0</v>
      </c>
      <c r="AE574" s="31">
        <f>VLOOKUP($A574,kurspris!$A$1:$Q$950,4,FALSE)</f>
        <v>0</v>
      </c>
      <c r="AF574" s="31">
        <f>VLOOKUP($A574,kurspris!$A$1:$Q$950,5,FALSE)</f>
        <v>0</v>
      </c>
      <c r="AG574" s="31">
        <f>VLOOKUP($A574,kurspris!$A$1:$Q$950,6,FALSE)</f>
        <v>1</v>
      </c>
      <c r="AH574" s="31">
        <f>VLOOKUP($A574,kurspris!$A$1:$Q$950,7,FALSE)</f>
        <v>0</v>
      </c>
      <c r="AI574" s="31">
        <f>VLOOKUP($A574,kurspris!$A$1:$Q$950,8,FALSE)</f>
        <v>0</v>
      </c>
      <c r="AJ574" s="31">
        <f>VLOOKUP($A574,kurspris!$A$1:$Q$950,9,FALSE)</f>
        <v>0</v>
      </c>
      <c r="AK574" s="31">
        <f>VLOOKUP($A574,kurspris!$A$1:$Q$950,10,FALSE)</f>
        <v>0</v>
      </c>
      <c r="AL574" s="31">
        <f>VLOOKUP($A574,kurspris!$A$1:$Q$950,11,FALSE)</f>
        <v>0</v>
      </c>
      <c r="AM574" s="31">
        <f>VLOOKUP($A574,kurspris!$A$1:$Q$950,12,FALSE)</f>
        <v>0</v>
      </c>
      <c r="AN574" s="31">
        <f>VLOOKUP($A574,kurspris!$A$1:$Q$950,13,FALSE)</f>
        <v>0</v>
      </c>
      <c r="AO574" s="31">
        <f>VLOOKUP($A574,kurspris!$A$1:$Q$950,14,FALSE)</f>
        <v>0</v>
      </c>
      <c r="AP574" s="57" t="s">
        <v>2506</v>
      </c>
      <c r="AQ574"/>
      <c r="AR574" s="31">
        <f t="shared" si="246"/>
        <v>0</v>
      </c>
      <c r="AS574" s="219">
        <f t="shared" si="247"/>
        <v>0</v>
      </c>
      <c r="AT574" s="31">
        <f t="shared" si="248"/>
        <v>0</v>
      </c>
      <c r="AU574" s="219">
        <f t="shared" si="249"/>
        <v>0</v>
      </c>
      <c r="AV574" s="31">
        <f t="shared" si="250"/>
        <v>0</v>
      </c>
      <c r="AW574" s="31">
        <f t="shared" si="251"/>
        <v>0</v>
      </c>
      <c r="AX574" s="31">
        <f t="shared" si="252"/>
        <v>0.1</v>
      </c>
      <c r="AY574" s="219">
        <f t="shared" si="253"/>
        <v>8.5000000000000006E-2</v>
      </c>
      <c r="AZ574" s="196">
        <f t="shared" si="254"/>
        <v>0</v>
      </c>
      <c r="BA574" s="219">
        <f t="shared" si="255"/>
        <v>0</v>
      </c>
      <c r="BB574" s="31">
        <f t="shared" si="256"/>
        <v>0</v>
      </c>
      <c r="BC574" s="219">
        <f t="shared" si="257"/>
        <v>0</v>
      </c>
      <c r="BD574" s="31">
        <f t="shared" si="258"/>
        <v>0</v>
      </c>
      <c r="BE574" s="219">
        <f t="shared" si="259"/>
        <v>0</v>
      </c>
      <c r="BF574" s="31">
        <f t="shared" si="260"/>
        <v>0</v>
      </c>
      <c r="BG574" s="219">
        <f t="shared" si="261"/>
        <v>0</v>
      </c>
      <c r="BH574" s="31">
        <f t="shared" si="262"/>
        <v>0</v>
      </c>
      <c r="BI574" s="219">
        <f t="shared" si="263"/>
        <v>0</v>
      </c>
      <c r="BJ574" s="31">
        <f t="shared" si="264"/>
        <v>0</v>
      </c>
      <c r="BK574" s="219">
        <f t="shared" si="265"/>
        <v>0</v>
      </c>
      <c r="BL574" s="31">
        <f t="shared" si="266"/>
        <v>0</v>
      </c>
      <c r="BM574" s="219">
        <f t="shared" si="267"/>
        <v>0</v>
      </c>
      <c r="BN574" s="31">
        <f t="shared" si="268"/>
        <v>0</v>
      </c>
      <c r="BO574" s="219">
        <f t="shared" si="269"/>
        <v>0</v>
      </c>
    </row>
    <row r="575" spans="1:67" x14ac:dyDescent="0.25">
      <c r="A575" s="31" t="s">
        <v>1531</v>
      </c>
      <c r="B575" s="176" t="str">
        <f>VLOOKUP(A575,kurspris!$A$1:$B$992,2,FALSE)</f>
        <v>Specialpedagogik för förskolan (UK)</v>
      </c>
      <c r="D575" s="60" t="s">
        <v>483</v>
      </c>
      <c r="E575" s="576" t="s">
        <v>2436</v>
      </c>
      <c r="F575" s="31" t="s">
        <v>2273</v>
      </c>
      <c r="G575" t="s">
        <v>2444</v>
      </c>
      <c r="H575" t="s">
        <v>2335</v>
      </c>
      <c r="I575" s="31" t="s">
        <v>2276</v>
      </c>
      <c r="L575" s="38">
        <v>1</v>
      </c>
      <c r="M575">
        <v>6</v>
      </c>
      <c r="P575" s="31">
        <v>21</v>
      </c>
      <c r="Q575" s="196">
        <f>(M575/60)*P575</f>
        <v>2.1</v>
      </c>
      <c r="R575" s="38">
        <v>0.85</v>
      </c>
      <c r="S575" s="280">
        <f t="shared" si="242"/>
        <v>1.7849999999999999</v>
      </c>
      <c r="T575" s="31">
        <f>VLOOKUP(A575,'Ansvar kurs'!$A$1:$C$1123,2,FALSE)</f>
        <v>2193</v>
      </c>
      <c r="U575" s="31" t="str">
        <f>VLOOKUP(T575,Orgenheter!$A$1:$C$166,2,FALSE)</f>
        <v xml:space="preserve">TUV </v>
      </c>
      <c r="V575" s="31" t="str">
        <f>VLOOKUP(T575,Orgenheter!$A$1:$C$166,3,FALSE)</f>
        <v>Sam</v>
      </c>
      <c r="W575" s="35" t="str">
        <f>VLOOKUP(D575,Program!$A$1:$B$36,2,FALSE)</f>
        <v>Förskollärarprogrammet</v>
      </c>
      <c r="X575" s="40">
        <f>VLOOKUP(A575,kurspris!$A$1:$Q$913,15,FALSE)</f>
        <v>26554</v>
      </c>
      <c r="Y575" s="40">
        <f>VLOOKUP(A575,kurspris!$A$1:$Q$913,16,FALSE)</f>
        <v>33465</v>
      </c>
      <c r="Z575" s="40">
        <f t="shared" si="243"/>
        <v>115498.42499999999</v>
      </c>
      <c r="AA575" s="40">
        <f>VLOOKUP(A575,kurspris!$A$1:$Q$913,17,FALSE)</f>
        <v>6000</v>
      </c>
      <c r="AB575" s="40">
        <f t="shared" si="244"/>
        <v>12600</v>
      </c>
      <c r="AC575" s="40">
        <f t="shared" si="245"/>
        <v>128098.42499999999</v>
      </c>
      <c r="AD575" s="31">
        <f>VLOOKUP($A575,kurspris!$A$1:$Q$950,3,FALSE)</f>
        <v>0</v>
      </c>
      <c r="AE575" s="31">
        <f>VLOOKUP($A575,kurspris!$A$1:$Q$950,4,FALSE)</f>
        <v>0</v>
      </c>
      <c r="AF575" s="31">
        <f>VLOOKUP($A575,kurspris!$A$1:$Q$950,5,FALSE)</f>
        <v>0</v>
      </c>
      <c r="AG575" s="31">
        <f>VLOOKUP($A575,kurspris!$A$1:$Q$950,6,FALSE)</f>
        <v>1</v>
      </c>
      <c r="AH575" s="31">
        <f>VLOOKUP($A575,kurspris!$A$1:$Q$950,7,FALSE)</f>
        <v>0</v>
      </c>
      <c r="AI575" s="31">
        <f>VLOOKUP($A575,kurspris!$A$1:$Q$950,8,FALSE)</f>
        <v>0</v>
      </c>
      <c r="AJ575" s="31">
        <f>VLOOKUP($A575,kurspris!$A$1:$Q$950,9,FALSE)</f>
        <v>0</v>
      </c>
      <c r="AK575" s="31">
        <f>VLOOKUP($A575,kurspris!$A$1:$Q$950,10,FALSE)</f>
        <v>0</v>
      </c>
      <c r="AL575" s="31">
        <f>VLOOKUP($A575,kurspris!$A$1:$Q$950,11,FALSE)</f>
        <v>0</v>
      </c>
      <c r="AM575" s="31">
        <f>VLOOKUP($A575,kurspris!$A$1:$Q$950,12,FALSE)</f>
        <v>0</v>
      </c>
      <c r="AN575" s="31">
        <f>VLOOKUP($A575,kurspris!$A$1:$Q$950,13,FALSE)</f>
        <v>0</v>
      </c>
      <c r="AO575" s="31">
        <f>VLOOKUP($A575,kurspris!$A$1:$Q$950,14,FALSE)</f>
        <v>0</v>
      </c>
      <c r="AP575" s="57" t="s">
        <v>2506</v>
      </c>
      <c r="AQ575"/>
      <c r="AR575" s="31">
        <f t="shared" si="246"/>
        <v>0</v>
      </c>
      <c r="AS575" s="219">
        <f t="shared" si="247"/>
        <v>0</v>
      </c>
      <c r="AT575" s="31">
        <f t="shared" si="248"/>
        <v>0</v>
      </c>
      <c r="AU575" s="219">
        <f t="shared" si="249"/>
        <v>0</v>
      </c>
      <c r="AV575" s="31">
        <f t="shared" si="250"/>
        <v>0</v>
      </c>
      <c r="AW575" s="31">
        <f t="shared" si="251"/>
        <v>0</v>
      </c>
      <c r="AX575" s="31">
        <f t="shared" si="252"/>
        <v>2.1</v>
      </c>
      <c r="AY575" s="219">
        <f t="shared" si="253"/>
        <v>1.7849999999999999</v>
      </c>
      <c r="AZ575" s="196">
        <f t="shared" si="254"/>
        <v>0</v>
      </c>
      <c r="BA575" s="219">
        <f t="shared" si="255"/>
        <v>0</v>
      </c>
      <c r="BB575" s="31">
        <f t="shared" si="256"/>
        <v>0</v>
      </c>
      <c r="BC575" s="219">
        <f t="shared" si="257"/>
        <v>0</v>
      </c>
      <c r="BD575" s="31">
        <f t="shared" si="258"/>
        <v>0</v>
      </c>
      <c r="BE575" s="219">
        <f t="shared" si="259"/>
        <v>0</v>
      </c>
      <c r="BF575" s="31">
        <f t="shared" si="260"/>
        <v>0</v>
      </c>
      <c r="BG575" s="219">
        <f t="shared" si="261"/>
        <v>0</v>
      </c>
      <c r="BH575" s="31">
        <f t="shared" si="262"/>
        <v>0</v>
      </c>
      <c r="BI575" s="219">
        <f t="shared" si="263"/>
        <v>0</v>
      </c>
      <c r="BJ575" s="31">
        <f t="shared" si="264"/>
        <v>0</v>
      </c>
      <c r="BK575" s="219">
        <f t="shared" si="265"/>
        <v>0</v>
      </c>
      <c r="BL575" s="31">
        <f t="shared" si="266"/>
        <v>0</v>
      </c>
      <c r="BM575" s="219">
        <f t="shared" si="267"/>
        <v>0</v>
      </c>
      <c r="BN575" s="31">
        <f t="shared" si="268"/>
        <v>0</v>
      </c>
      <c r="BO575" s="219">
        <f t="shared" si="269"/>
        <v>0</v>
      </c>
    </row>
    <row r="576" spans="1:67" x14ac:dyDescent="0.25">
      <c r="A576" s="31" t="s">
        <v>1531</v>
      </c>
      <c r="B576" s="176" t="str">
        <f>VLOOKUP(A576,kurspris!$A$1:$B$992,2,FALSE)</f>
        <v>Specialpedagogik för förskolan (UK)</v>
      </c>
      <c r="C576" s="31">
        <v>68711</v>
      </c>
      <c r="D576" s="31" t="s">
        <v>483</v>
      </c>
      <c r="F576" s="57" t="s">
        <v>2274</v>
      </c>
      <c r="H576" s="31" t="s">
        <v>2335</v>
      </c>
      <c r="I576" s="31" t="s">
        <v>2399</v>
      </c>
      <c r="L576" s="38"/>
      <c r="M576">
        <v>6</v>
      </c>
      <c r="P576" s="31">
        <v>38</v>
      </c>
      <c r="Q576" s="539">
        <v>3.8</v>
      </c>
      <c r="R576" s="38">
        <v>0.85</v>
      </c>
      <c r="S576" s="280">
        <f t="shared" si="242"/>
        <v>3.23</v>
      </c>
      <c r="T576" s="31">
        <f>VLOOKUP(A576,'Ansvar kurs'!$A$1:$C$1123,2,FALSE)</f>
        <v>2193</v>
      </c>
      <c r="U576" s="31" t="str">
        <f>VLOOKUP(T576,Orgenheter!$A$1:$C$166,2,FALSE)</f>
        <v xml:space="preserve">TUV </v>
      </c>
      <c r="V576" s="31" t="str">
        <f>VLOOKUP(T576,Orgenheter!$A$1:$C$166,3,FALSE)</f>
        <v>Sam</v>
      </c>
      <c r="W576" s="35" t="str">
        <f>VLOOKUP(D576,Program!$A$1:$B$36,2,FALSE)</f>
        <v>Förskollärarprogrammet</v>
      </c>
      <c r="X576" s="40">
        <f>VLOOKUP(A576,kurspris!$A$1:$Q$913,15,FALSE)</f>
        <v>26554</v>
      </c>
      <c r="Y576" s="40">
        <f>VLOOKUP(A576,kurspris!$A$1:$Q$913,16,FALSE)</f>
        <v>33465</v>
      </c>
      <c r="Z576" s="40">
        <f t="shared" si="243"/>
        <v>208997.15</v>
      </c>
      <c r="AA576" s="40">
        <f>VLOOKUP(A576,kurspris!$A$1:$Q$913,17,FALSE)</f>
        <v>6000</v>
      </c>
      <c r="AB576" s="40">
        <f t="shared" si="244"/>
        <v>22800</v>
      </c>
      <c r="AC576" s="40">
        <f t="shared" si="245"/>
        <v>231797.15</v>
      </c>
      <c r="AD576" s="31">
        <f>VLOOKUP($A576,kurspris!$A$1:$Q$950,3,FALSE)</f>
        <v>0</v>
      </c>
      <c r="AE576" s="31">
        <f>VLOOKUP($A576,kurspris!$A$1:$Q$950,4,FALSE)</f>
        <v>0</v>
      </c>
      <c r="AF576" s="31">
        <f>VLOOKUP($A576,kurspris!$A$1:$Q$950,5,FALSE)</f>
        <v>0</v>
      </c>
      <c r="AG576" s="31">
        <f>VLOOKUP($A576,kurspris!$A$1:$Q$950,6,FALSE)</f>
        <v>1</v>
      </c>
      <c r="AH576" s="31">
        <f>VLOOKUP($A576,kurspris!$A$1:$Q$950,7,FALSE)</f>
        <v>0</v>
      </c>
      <c r="AI576" s="31">
        <f>VLOOKUP($A576,kurspris!$A$1:$Q$950,8,FALSE)</f>
        <v>0</v>
      </c>
      <c r="AJ576" s="31">
        <f>VLOOKUP($A576,kurspris!$A$1:$Q$950,9,FALSE)</f>
        <v>0</v>
      </c>
      <c r="AK576" s="31">
        <f>VLOOKUP($A576,kurspris!$A$1:$Q$950,10,FALSE)</f>
        <v>0</v>
      </c>
      <c r="AL576" s="31">
        <f>VLOOKUP($A576,kurspris!$A$1:$Q$950,11,FALSE)</f>
        <v>0</v>
      </c>
      <c r="AM576" s="31">
        <f>VLOOKUP($A576,kurspris!$A$1:$Q$950,12,FALSE)</f>
        <v>0</v>
      </c>
      <c r="AN576" s="31">
        <f>VLOOKUP($A576,kurspris!$A$1:$Q$950,13,FALSE)</f>
        <v>0</v>
      </c>
      <c r="AO576" s="31">
        <f>VLOOKUP($A576,kurspris!$A$1:$Q$950,14,FALSE)</f>
        <v>0</v>
      </c>
      <c r="AP576" s="57" t="s">
        <v>2402</v>
      </c>
      <c r="AQ576" s="37"/>
      <c r="AR576" s="31">
        <f t="shared" si="246"/>
        <v>0</v>
      </c>
      <c r="AS576" s="219">
        <f t="shared" si="247"/>
        <v>0</v>
      </c>
      <c r="AT576" s="31">
        <f t="shared" si="248"/>
        <v>0</v>
      </c>
      <c r="AU576" s="219">
        <f t="shared" si="249"/>
        <v>0</v>
      </c>
      <c r="AV576" s="31">
        <f t="shared" si="250"/>
        <v>0</v>
      </c>
      <c r="AW576" s="31">
        <f t="shared" si="251"/>
        <v>0</v>
      </c>
      <c r="AX576" s="31">
        <f t="shared" si="252"/>
        <v>3.8</v>
      </c>
      <c r="AY576" s="219">
        <f t="shared" si="253"/>
        <v>3.23</v>
      </c>
      <c r="AZ576" s="196">
        <f t="shared" si="254"/>
        <v>0</v>
      </c>
      <c r="BA576" s="219">
        <f t="shared" si="255"/>
        <v>0</v>
      </c>
      <c r="BB576" s="31">
        <f t="shared" si="256"/>
        <v>0</v>
      </c>
      <c r="BC576" s="219">
        <f t="shared" si="257"/>
        <v>0</v>
      </c>
      <c r="BD576" s="31">
        <f t="shared" si="258"/>
        <v>0</v>
      </c>
      <c r="BE576" s="219">
        <f t="shared" si="259"/>
        <v>0</v>
      </c>
      <c r="BF576" s="31">
        <f t="shared" si="260"/>
        <v>0</v>
      </c>
      <c r="BG576" s="219">
        <f t="shared" si="261"/>
        <v>0</v>
      </c>
      <c r="BH576" s="31">
        <f t="shared" si="262"/>
        <v>0</v>
      </c>
      <c r="BI576" s="219">
        <f t="shared" si="263"/>
        <v>0</v>
      </c>
      <c r="BJ576" s="31">
        <f t="shared" si="264"/>
        <v>0</v>
      </c>
      <c r="BK576" s="219">
        <f t="shared" si="265"/>
        <v>0</v>
      </c>
      <c r="BL576" s="31">
        <f t="shared" si="266"/>
        <v>0</v>
      </c>
      <c r="BM576" s="219">
        <f t="shared" si="267"/>
        <v>0</v>
      </c>
      <c r="BN576" s="31">
        <f t="shared" si="268"/>
        <v>0</v>
      </c>
      <c r="BO576" s="219">
        <f t="shared" si="269"/>
        <v>0</v>
      </c>
    </row>
    <row r="577" spans="1:67" x14ac:dyDescent="0.25">
      <c r="A577" s="31" t="s">
        <v>1523</v>
      </c>
      <c r="B577" s="176" t="str">
        <f>VLOOKUP(A577,kurspris!$A$1:$B$992,2,FALSE)</f>
        <v>Specialpedagogik för grundskolan (UK)</v>
      </c>
      <c r="C577" s="31">
        <v>64508</v>
      </c>
      <c r="D577" s="60" t="s">
        <v>481</v>
      </c>
      <c r="E577" s="60"/>
      <c r="F577" s="57" t="s">
        <v>2274</v>
      </c>
      <c r="H577" s="31" t="s">
        <v>2335</v>
      </c>
      <c r="I577" s="31" t="s">
        <v>2399</v>
      </c>
      <c r="J577" s="31" t="s">
        <v>2245</v>
      </c>
      <c r="L577" s="38"/>
      <c r="M577" s="31">
        <v>5</v>
      </c>
      <c r="P577" s="31">
        <v>1</v>
      </c>
      <c r="Q577" s="539">
        <v>8.3000000000000004E-2</v>
      </c>
      <c r="R577" s="38">
        <v>0.85</v>
      </c>
      <c r="S577" s="280">
        <f t="shared" si="242"/>
        <v>7.0550000000000002E-2</v>
      </c>
      <c r="T577" s="31">
        <f>VLOOKUP(A577,'Ansvar kurs'!$A$1:$C$1123,2,FALSE)</f>
        <v>2180</v>
      </c>
      <c r="U577" s="31" t="str">
        <f>VLOOKUP(T577,Orgenheter!$A$1:$C$166,2,FALSE)</f>
        <v xml:space="preserve">Pedagogik                     </v>
      </c>
      <c r="V577" s="31" t="str">
        <f>VLOOKUP(T577,Orgenheter!$A$1:$C$166,3,FALSE)</f>
        <v>Sam</v>
      </c>
      <c r="W577" s="35" t="str">
        <f>VLOOKUP(D577,Program!$A$1:$B$36,2,FALSE)</f>
        <v>Ämneslärarprogrammet - åk 7-9</v>
      </c>
      <c r="X577" s="40">
        <f>VLOOKUP(A577,kurspris!$A$1:$Q$913,15,FALSE)</f>
        <v>26554</v>
      </c>
      <c r="Y577" s="40">
        <f>VLOOKUP(A577,kurspris!$A$1:$Q$913,16,FALSE)</f>
        <v>33465</v>
      </c>
      <c r="Z577" s="40">
        <f t="shared" si="243"/>
        <v>4564.9377500000001</v>
      </c>
      <c r="AA577" s="40">
        <f>VLOOKUP(A577,kurspris!$A$1:$Q$913,17,FALSE)</f>
        <v>6000</v>
      </c>
      <c r="AB577" s="40">
        <f t="shared" si="244"/>
        <v>498</v>
      </c>
      <c r="AC577" s="40">
        <f t="shared" si="245"/>
        <v>5062.9377500000001</v>
      </c>
      <c r="AD577" s="31">
        <f>VLOOKUP($A577,kurspris!$A$1:$Q$950,3,FALSE)</f>
        <v>0</v>
      </c>
      <c r="AE577" s="31">
        <f>VLOOKUP($A577,kurspris!$A$1:$Q$950,4,FALSE)</f>
        <v>0</v>
      </c>
      <c r="AF577" s="31">
        <f>VLOOKUP($A577,kurspris!$A$1:$Q$950,5,FALSE)</f>
        <v>0</v>
      </c>
      <c r="AG577" s="31">
        <f>VLOOKUP($A577,kurspris!$A$1:$Q$950,6,FALSE)</f>
        <v>1</v>
      </c>
      <c r="AH577" s="31">
        <f>VLOOKUP($A577,kurspris!$A$1:$Q$950,7,FALSE)</f>
        <v>0</v>
      </c>
      <c r="AI577" s="31">
        <f>VLOOKUP($A577,kurspris!$A$1:$Q$950,8,FALSE)</f>
        <v>0</v>
      </c>
      <c r="AJ577" s="31">
        <f>VLOOKUP($A577,kurspris!$A$1:$Q$950,9,FALSE)</f>
        <v>0</v>
      </c>
      <c r="AK577" s="31">
        <f>VLOOKUP($A577,kurspris!$A$1:$Q$950,10,FALSE)</f>
        <v>0</v>
      </c>
      <c r="AL577" s="31">
        <f>VLOOKUP($A577,kurspris!$A$1:$Q$950,11,FALSE)</f>
        <v>0</v>
      </c>
      <c r="AM577" s="31">
        <f>VLOOKUP($A577,kurspris!$A$1:$Q$950,12,FALSE)</f>
        <v>0</v>
      </c>
      <c r="AN577" s="31">
        <f>VLOOKUP($A577,kurspris!$A$1:$Q$950,13,FALSE)</f>
        <v>0</v>
      </c>
      <c r="AO577" s="31">
        <f>VLOOKUP($A577,kurspris!$A$1:$Q$950,14,FALSE)</f>
        <v>0</v>
      </c>
      <c r="AP577" s="57" t="s">
        <v>2402</v>
      </c>
      <c r="AQ577"/>
      <c r="AR577" s="31">
        <f t="shared" si="246"/>
        <v>0</v>
      </c>
      <c r="AS577" s="219">
        <f t="shared" si="247"/>
        <v>0</v>
      </c>
      <c r="AT577" s="31">
        <f t="shared" si="248"/>
        <v>0</v>
      </c>
      <c r="AU577" s="219">
        <f t="shared" si="249"/>
        <v>0</v>
      </c>
      <c r="AV577" s="31">
        <f t="shared" si="250"/>
        <v>0</v>
      </c>
      <c r="AW577" s="31">
        <f t="shared" si="251"/>
        <v>0</v>
      </c>
      <c r="AX577" s="31">
        <f t="shared" si="252"/>
        <v>8.3000000000000004E-2</v>
      </c>
      <c r="AY577" s="219">
        <f t="shared" si="253"/>
        <v>7.0550000000000002E-2</v>
      </c>
      <c r="AZ577" s="196">
        <f t="shared" si="254"/>
        <v>0</v>
      </c>
      <c r="BA577" s="219">
        <f t="shared" si="255"/>
        <v>0</v>
      </c>
      <c r="BB577" s="31">
        <f t="shared" si="256"/>
        <v>0</v>
      </c>
      <c r="BC577" s="219">
        <f t="shared" si="257"/>
        <v>0</v>
      </c>
      <c r="BD577" s="31">
        <f t="shared" si="258"/>
        <v>0</v>
      </c>
      <c r="BE577" s="219">
        <f t="shared" si="259"/>
        <v>0</v>
      </c>
      <c r="BF577" s="31">
        <f t="shared" si="260"/>
        <v>0</v>
      </c>
      <c r="BG577" s="219">
        <f t="shared" si="261"/>
        <v>0</v>
      </c>
      <c r="BH577" s="31">
        <f t="shared" si="262"/>
        <v>0</v>
      </c>
      <c r="BI577" s="219">
        <f t="shared" si="263"/>
        <v>0</v>
      </c>
      <c r="BJ577" s="31">
        <f t="shared" si="264"/>
        <v>0</v>
      </c>
      <c r="BK577" s="219">
        <f t="shared" si="265"/>
        <v>0</v>
      </c>
      <c r="BL577" s="31">
        <f t="shared" si="266"/>
        <v>0</v>
      </c>
      <c r="BM577" s="219">
        <f t="shared" si="267"/>
        <v>0</v>
      </c>
      <c r="BN577" s="31">
        <f t="shared" si="268"/>
        <v>0</v>
      </c>
      <c r="BO577" s="219">
        <f t="shared" si="269"/>
        <v>0</v>
      </c>
    </row>
    <row r="578" spans="1:67" x14ac:dyDescent="0.25">
      <c r="A578" s="31" t="s">
        <v>1523</v>
      </c>
      <c r="B578" s="176" t="str">
        <f>VLOOKUP(A578,kurspris!$A$1:$B$992,2,FALSE)</f>
        <v>Specialpedagogik för grundskolan (UK)</v>
      </c>
      <c r="D578" s="60" t="s">
        <v>484</v>
      </c>
      <c r="E578" s="576" t="s">
        <v>2434</v>
      </c>
      <c r="F578" s="31" t="s">
        <v>2273</v>
      </c>
      <c r="G578" t="s">
        <v>2455</v>
      </c>
      <c r="H578" t="s">
        <v>2335</v>
      </c>
      <c r="I578" s="31" t="s">
        <v>2276</v>
      </c>
      <c r="L578" s="38">
        <v>1</v>
      </c>
      <c r="M578">
        <v>5</v>
      </c>
      <c r="P578" s="31">
        <v>16</v>
      </c>
      <c r="Q578" s="196">
        <f>(M578/60)*P578</f>
        <v>1.3333333333333333</v>
      </c>
      <c r="R578" s="38">
        <v>0.85</v>
      </c>
      <c r="S578" s="280">
        <f t="shared" ref="S578:S641" si="270">Q578*R578</f>
        <v>1.1333333333333333</v>
      </c>
      <c r="T578" s="31">
        <f>VLOOKUP(A578,'Ansvar kurs'!$A$1:$C$1123,2,FALSE)</f>
        <v>2180</v>
      </c>
      <c r="U578" s="31" t="str">
        <f>VLOOKUP(T578,Orgenheter!$A$1:$C$166,2,FALSE)</f>
        <v xml:space="preserve">Pedagogik                     </v>
      </c>
      <c r="V578" s="31" t="str">
        <f>VLOOKUP(T578,Orgenheter!$A$1:$C$166,3,FALSE)</f>
        <v>Sam</v>
      </c>
      <c r="W578" s="35" t="str">
        <f>VLOOKUP(D578,Program!$A$1:$B$36,2,FALSE)</f>
        <v>Grundlärarprogrammet - fritidshem</v>
      </c>
      <c r="X578" s="40">
        <f>VLOOKUP(A578,kurspris!$A$1:$Q$913,15,FALSE)</f>
        <v>26554</v>
      </c>
      <c r="Y578" s="40">
        <f>VLOOKUP(A578,kurspris!$A$1:$Q$913,16,FALSE)</f>
        <v>33465</v>
      </c>
      <c r="Z578" s="40">
        <f t="shared" ref="Z578:Z641" si="271">X578*Q578+S578*Y578</f>
        <v>73332.333333333328</v>
      </c>
      <c r="AA578" s="40">
        <f>VLOOKUP(A578,kurspris!$A$1:$Q$913,17,FALSE)</f>
        <v>6000</v>
      </c>
      <c r="AB578" s="40">
        <f t="shared" ref="AB578:AB641" si="272">AA578*Q578</f>
        <v>8000</v>
      </c>
      <c r="AC578" s="40">
        <f t="shared" ref="AC578:AC641" si="273">Z578+AB578</f>
        <v>81332.333333333328</v>
      </c>
      <c r="AD578" s="31">
        <f>VLOOKUP($A578,kurspris!$A$1:$Q$950,3,FALSE)</f>
        <v>0</v>
      </c>
      <c r="AE578" s="31">
        <f>VLOOKUP($A578,kurspris!$A$1:$Q$950,4,FALSE)</f>
        <v>0</v>
      </c>
      <c r="AF578" s="31">
        <f>VLOOKUP($A578,kurspris!$A$1:$Q$950,5,FALSE)</f>
        <v>0</v>
      </c>
      <c r="AG578" s="31">
        <f>VLOOKUP($A578,kurspris!$A$1:$Q$950,6,FALSE)</f>
        <v>1</v>
      </c>
      <c r="AH578" s="31">
        <f>VLOOKUP($A578,kurspris!$A$1:$Q$950,7,FALSE)</f>
        <v>0</v>
      </c>
      <c r="AI578" s="31">
        <f>VLOOKUP($A578,kurspris!$A$1:$Q$950,8,FALSE)</f>
        <v>0</v>
      </c>
      <c r="AJ578" s="31">
        <f>VLOOKUP($A578,kurspris!$A$1:$Q$950,9,FALSE)</f>
        <v>0</v>
      </c>
      <c r="AK578" s="31">
        <f>VLOOKUP($A578,kurspris!$A$1:$Q$950,10,FALSE)</f>
        <v>0</v>
      </c>
      <c r="AL578" s="31">
        <f>VLOOKUP($A578,kurspris!$A$1:$Q$950,11,FALSE)</f>
        <v>0</v>
      </c>
      <c r="AM578" s="31">
        <f>VLOOKUP($A578,kurspris!$A$1:$Q$950,12,FALSE)</f>
        <v>0</v>
      </c>
      <c r="AN578" s="31">
        <f>VLOOKUP($A578,kurspris!$A$1:$Q$950,13,FALSE)</f>
        <v>0</v>
      </c>
      <c r="AO578" s="31">
        <f>VLOOKUP($A578,kurspris!$A$1:$Q$950,14,FALSE)</f>
        <v>0</v>
      </c>
      <c r="AP578" s="57" t="s">
        <v>2505</v>
      </c>
      <c r="AQ578"/>
      <c r="AR578" s="31">
        <f t="shared" ref="AR578:AR641" si="274">$Q578*AD578</f>
        <v>0</v>
      </c>
      <c r="AS578" s="219">
        <f t="shared" ref="AS578:AS641" si="275">$S578*AD578</f>
        <v>0</v>
      </c>
      <c r="AT578" s="31">
        <f t="shared" ref="AT578:AT641" si="276">$Q578*AE578</f>
        <v>0</v>
      </c>
      <c r="AU578" s="219">
        <f t="shared" ref="AU578:AU641" si="277">$S578*AE578</f>
        <v>0</v>
      </c>
      <c r="AV578" s="31">
        <f t="shared" ref="AV578:AV641" si="278">$Q578*AF578</f>
        <v>0</v>
      </c>
      <c r="AW578" s="31">
        <f t="shared" ref="AW578:AW641" si="279">$S578*AF578</f>
        <v>0</v>
      </c>
      <c r="AX578" s="31">
        <f t="shared" ref="AX578:AX641" si="280">$Q578*AG578</f>
        <v>1.3333333333333333</v>
      </c>
      <c r="AY578" s="219">
        <f t="shared" ref="AY578:AY641" si="281">$S578*AG578</f>
        <v>1.1333333333333333</v>
      </c>
      <c r="AZ578" s="196">
        <f t="shared" ref="AZ578:AZ641" si="282">$Q578*AH578</f>
        <v>0</v>
      </c>
      <c r="BA578" s="219">
        <f t="shared" ref="BA578:BA641" si="283">$S578*AH578</f>
        <v>0</v>
      </c>
      <c r="BB578" s="31">
        <f t="shared" ref="BB578:BB641" si="284">$Q578*AI578</f>
        <v>0</v>
      </c>
      <c r="BC578" s="219">
        <f t="shared" ref="BC578:BC641" si="285">$S578*AI578</f>
        <v>0</v>
      </c>
      <c r="BD578" s="31">
        <f t="shared" ref="BD578:BD641" si="286">$Q578*AJ578</f>
        <v>0</v>
      </c>
      <c r="BE578" s="219">
        <f t="shared" ref="BE578:BE641" si="287">$S578*AJ578</f>
        <v>0</v>
      </c>
      <c r="BF578" s="31">
        <f t="shared" ref="BF578:BF641" si="288">$Q578*AK578</f>
        <v>0</v>
      </c>
      <c r="BG578" s="219">
        <f t="shared" ref="BG578:BG641" si="289">$S578*AK578</f>
        <v>0</v>
      </c>
      <c r="BH578" s="31">
        <f t="shared" ref="BH578:BH641" si="290">$Q578*AL578</f>
        <v>0</v>
      </c>
      <c r="BI578" s="219">
        <f t="shared" ref="BI578:BI641" si="291">$S578*AL578</f>
        <v>0</v>
      </c>
      <c r="BJ578" s="31">
        <f t="shared" ref="BJ578:BJ641" si="292">$Q578*AM578</f>
        <v>0</v>
      </c>
      <c r="BK578" s="219">
        <f t="shared" ref="BK578:BK641" si="293">$S578*AM578</f>
        <v>0</v>
      </c>
      <c r="BL578" s="31">
        <f t="shared" ref="BL578:BL641" si="294">$Q578*AN578</f>
        <v>0</v>
      </c>
      <c r="BM578" s="219">
        <f t="shared" ref="BM578:BM641" si="295">$S578*AN578</f>
        <v>0</v>
      </c>
      <c r="BN578" s="31">
        <f t="shared" ref="BN578:BN641" si="296">$Q578*AO578</f>
        <v>0</v>
      </c>
      <c r="BO578" s="219">
        <f t="shared" ref="BO578:BO641" si="297">$S578*AO578</f>
        <v>0</v>
      </c>
    </row>
    <row r="579" spans="1:67" x14ac:dyDescent="0.25">
      <c r="A579" s="31" t="s">
        <v>1523</v>
      </c>
      <c r="B579" s="176" t="str">
        <f>VLOOKUP(A579,kurspris!$A$1:$B$992,2,FALSE)</f>
        <v>Specialpedagogik för grundskolan (UK)</v>
      </c>
      <c r="C579" s="31">
        <v>64508</v>
      </c>
      <c r="D579" s="60" t="s">
        <v>485</v>
      </c>
      <c r="E579" s="60"/>
      <c r="F579" s="57" t="s">
        <v>2274</v>
      </c>
      <c r="H579" s="31" t="s">
        <v>2335</v>
      </c>
      <c r="I579" s="31" t="s">
        <v>2399</v>
      </c>
      <c r="L579" s="38"/>
      <c r="M579" s="31">
        <v>5</v>
      </c>
      <c r="P579" s="31">
        <v>43</v>
      </c>
      <c r="Q579" s="539">
        <v>3.5830000000000002</v>
      </c>
      <c r="R579" s="38">
        <v>0.85</v>
      </c>
      <c r="S579" s="280">
        <f t="shared" si="270"/>
        <v>3.04555</v>
      </c>
      <c r="T579" s="31">
        <f>VLOOKUP(A579,'Ansvar kurs'!$A$1:$C$1123,2,FALSE)</f>
        <v>2180</v>
      </c>
      <c r="U579" s="31" t="str">
        <f>VLOOKUP(T579,Orgenheter!$A$1:$C$166,2,FALSE)</f>
        <v xml:space="preserve">Pedagogik                     </v>
      </c>
      <c r="V579" s="31" t="str">
        <f>VLOOKUP(T579,Orgenheter!$A$1:$C$166,3,FALSE)</f>
        <v>Sam</v>
      </c>
      <c r="W579" s="35" t="str">
        <f>VLOOKUP(D579,Program!$A$1:$B$36,2,FALSE)</f>
        <v>Grundlärarprogrammet - förskoleklass och åk 1-3</v>
      </c>
      <c r="X579" s="40">
        <f>VLOOKUP(A579,kurspris!$A$1:$Q$913,15,FALSE)</f>
        <v>26554</v>
      </c>
      <c r="Y579" s="40">
        <f>VLOOKUP(A579,kurspris!$A$1:$Q$913,16,FALSE)</f>
        <v>33465</v>
      </c>
      <c r="Z579" s="40">
        <f t="shared" si="271"/>
        <v>197062.31274999998</v>
      </c>
      <c r="AA579" s="40">
        <f>VLOOKUP(A579,kurspris!$A$1:$Q$913,17,FALSE)</f>
        <v>6000</v>
      </c>
      <c r="AB579" s="40">
        <f t="shared" si="272"/>
        <v>21498</v>
      </c>
      <c r="AC579" s="40">
        <f t="shared" si="273"/>
        <v>218560.31274999998</v>
      </c>
      <c r="AD579" s="31">
        <f>VLOOKUP($A579,kurspris!$A$1:$Q$950,3,FALSE)</f>
        <v>0</v>
      </c>
      <c r="AE579" s="31">
        <f>VLOOKUP($A579,kurspris!$A$1:$Q$950,4,FALSE)</f>
        <v>0</v>
      </c>
      <c r="AF579" s="31">
        <f>VLOOKUP($A579,kurspris!$A$1:$Q$950,5,FALSE)</f>
        <v>0</v>
      </c>
      <c r="AG579" s="31">
        <f>VLOOKUP($A579,kurspris!$A$1:$Q$950,6,FALSE)</f>
        <v>1</v>
      </c>
      <c r="AH579" s="31">
        <f>VLOOKUP($A579,kurspris!$A$1:$Q$950,7,FALSE)</f>
        <v>0</v>
      </c>
      <c r="AI579" s="31">
        <f>VLOOKUP($A579,kurspris!$A$1:$Q$950,8,FALSE)</f>
        <v>0</v>
      </c>
      <c r="AJ579" s="31">
        <f>VLOOKUP($A579,kurspris!$A$1:$Q$950,9,FALSE)</f>
        <v>0</v>
      </c>
      <c r="AK579" s="31">
        <f>VLOOKUP($A579,kurspris!$A$1:$Q$950,10,FALSE)</f>
        <v>0</v>
      </c>
      <c r="AL579" s="31">
        <f>VLOOKUP($A579,kurspris!$A$1:$Q$950,11,FALSE)</f>
        <v>0</v>
      </c>
      <c r="AM579" s="31">
        <f>VLOOKUP($A579,kurspris!$A$1:$Q$950,12,FALSE)</f>
        <v>0</v>
      </c>
      <c r="AN579" s="31">
        <f>VLOOKUP($A579,kurspris!$A$1:$Q$950,13,FALSE)</f>
        <v>0</v>
      </c>
      <c r="AO579" s="31">
        <f>VLOOKUP($A579,kurspris!$A$1:$Q$950,14,FALSE)</f>
        <v>0</v>
      </c>
      <c r="AP579" s="57" t="s">
        <v>2402</v>
      </c>
      <c r="AQ579"/>
      <c r="AR579" s="31">
        <f t="shared" si="274"/>
        <v>0</v>
      </c>
      <c r="AS579" s="219">
        <f t="shared" si="275"/>
        <v>0</v>
      </c>
      <c r="AT579" s="31">
        <f t="shared" si="276"/>
        <v>0</v>
      </c>
      <c r="AU579" s="219">
        <f t="shared" si="277"/>
        <v>0</v>
      </c>
      <c r="AV579" s="31">
        <f t="shared" si="278"/>
        <v>0</v>
      </c>
      <c r="AW579" s="31">
        <f t="shared" si="279"/>
        <v>0</v>
      </c>
      <c r="AX579" s="31">
        <f t="shared" si="280"/>
        <v>3.5830000000000002</v>
      </c>
      <c r="AY579" s="219">
        <f t="shared" si="281"/>
        <v>3.04555</v>
      </c>
      <c r="AZ579" s="196">
        <f t="shared" si="282"/>
        <v>0</v>
      </c>
      <c r="BA579" s="219">
        <f t="shared" si="283"/>
        <v>0</v>
      </c>
      <c r="BB579" s="31">
        <f t="shared" si="284"/>
        <v>0</v>
      </c>
      <c r="BC579" s="219">
        <f t="shared" si="285"/>
        <v>0</v>
      </c>
      <c r="BD579" s="31">
        <f t="shared" si="286"/>
        <v>0</v>
      </c>
      <c r="BE579" s="219">
        <f t="shared" si="287"/>
        <v>0</v>
      </c>
      <c r="BF579" s="31">
        <f t="shared" si="288"/>
        <v>0</v>
      </c>
      <c r="BG579" s="219">
        <f t="shared" si="289"/>
        <v>0</v>
      </c>
      <c r="BH579" s="31">
        <f t="shared" si="290"/>
        <v>0</v>
      </c>
      <c r="BI579" s="219">
        <f t="shared" si="291"/>
        <v>0</v>
      </c>
      <c r="BJ579" s="31">
        <f t="shared" si="292"/>
        <v>0</v>
      </c>
      <c r="BK579" s="219">
        <f t="shared" si="293"/>
        <v>0</v>
      </c>
      <c r="BL579" s="31">
        <f t="shared" si="294"/>
        <v>0</v>
      </c>
      <c r="BM579" s="219">
        <f t="shared" si="295"/>
        <v>0</v>
      </c>
      <c r="BN579" s="31">
        <f t="shared" si="296"/>
        <v>0</v>
      </c>
      <c r="BO579" s="219">
        <f t="shared" si="297"/>
        <v>0</v>
      </c>
    </row>
    <row r="580" spans="1:67" x14ac:dyDescent="0.25">
      <c r="A580" s="31" t="s">
        <v>1523</v>
      </c>
      <c r="B580" s="176" t="str">
        <f>VLOOKUP(A580,kurspris!$A$1:$B$992,2,FALSE)</f>
        <v>Specialpedagogik för grundskolan (UK)</v>
      </c>
      <c r="C580" s="31">
        <v>64508</v>
      </c>
      <c r="D580" s="31" t="s">
        <v>523</v>
      </c>
      <c r="F580" s="57" t="s">
        <v>2274</v>
      </c>
      <c r="H580" s="31" t="s">
        <v>2335</v>
      </c>
      <c r="I580" s="31" t="s">
        <v>2399</v>
      </c>
      <c r="L580" s="38"/>
      <c r="M580" s="31">
        <v>5</v>
      </c>
      <c r="P580" s="31">
        <v>21</v>
      </c>
      <c r="Q580" s="539">
        <v>1.75</v>
      </c>
      <c r="R580" s="38">
        <v>0.85</v>
      </c>
      <c r="S580" s="280">
        <f t="shared" si="270"/>
        <v>1.4875</v>
      </c>
      <c r="T580" s="31">
        <f>VLOOKUP(A580,'Ansvar kurs'!$A$1:$C$1123,2,FALSE)</f>
        <v>2180</v>
      </c>
      <c r="U580" s="31" t="str">
        <f>VLOOKUP(T580,Orgenheter!$A$1:$C$166,2,FALSE)</f>
        <v xml:space="preserve">Pedagogik                     </v>
      </c>
      <c r="V580" s="31" t="str">
        <f>VLOOKUP(T580,Orgenheter!$A$1:$C$166,3,FALSE)</f>
        <v>Sam</v>
      </c>
      <c r="W580" s="35" t="str">
        <f>VLOOKUP(D580,Program!$A$1:$B$36,2,FALSE)</f>
        <v>Grundlärarprogrammet - grundskolans åk 4-6</v>
      </c>
      <c r="X580" s="40">
        <f>VLOOKUP(A580,kurspris!$A$1:$Q$913,15,FALSE)</f>
        <v>26554</v>
      </c>
      <c r="Y580" s="40">
        <f>VLOOKUP(A580,kurspris!$A$1:$Q$913,16,FALSE)</f>
        <v>33465</v>
      </c>
      <c r="Z580" s="40">
        <f t="shared" si="271"/>
        <v>96248.6875</v>
      </c>
      <c r="AA580" s="40">
        <f>VLOOKUP(A580,kurspris!$A$1:$Q$913,17,FALSE)</f>
        <v>6000</v>
      </c>
      <c r="AB580" s="40">
        <f t="shared" si="272"/>
        <v>10500</v>
      </c>
      <c r="AC580" s="40">
        <f t="shared" si="273"/>
        <v>106748.6875</v>
      </c>
      <c r="AD580" s="31">
        <f>VLOOKUP($A580,kurspris!$A$1:$Q$950,3,FALSE)</f>
        <v>0</v>
      </c>
      <c r="AE580" s="31">
        <f>VLOOKUP($A580,kurspris!$A$1:$Q$950,4,FALSE)</f>
        <v>0</v>
      </c>
      <c r="AF580" s="31">
        <f>VLOOKUP($A580,kurspris!$A$1:$Q$950,5,FALSE)</f>
        <v>0</v>
      </c>
      <c r="AG580" s="31">
        <f>VLOOKUP($A580,kurspris!$A$1:$Q$950,6,FALSE)</f>
        <v>1</v>
      </c>
      <c r="AH580" s="31">
        <f>VLOOKUP($A580,kurspris!$A$1:$Q$950,7,FALSE)</f>
        <v>0</v>
      </c>
      <c r="AI580" s="31">
        <f>VLOOKUP($A580,kurspris!$A$1:$Q$950,8,FALSE)</f>
        <v>0</v>
      </c>
      <c r="AJ580" s="31">
        <f>VLOOKUP($A580,kurspris!$A$1:$Q$950,9,FALSE)</f>
        <v>0</v>
      </c>
      <c r="AK580" s="31">
        <f>VLOOKUP($A580,kurspris!$A$1:$Q$950,10,FALSE)</f>
        <v>0</v>
      </c>
      <c r="AL580" s="31">
        <f>VLOOKUP($A580,kurspris!$A$1:$Q$950,11,FALSE)</f>
        <v>0</v>
      </c>
      <c r="AM580" s="31">
        <f>VLOOKUP($A580,kurspris!$A$1:$Q$950,12,FALSE)</f>
        <v>0</v>
      </c>
      <c r="AN580" s="31">
        <f>VLOOKUP($A580,kurspris!$A$1:$Q$950,13,FALSE)</f>
        <v>0</v>
      </c>
      <c r="AO580" s="31">
        <f>VLOOKUP($A580,kurspris!$A$1:$Q$950,14,FALSE)</f>
        <v>0</v>
      </c>
      <c r="AP580" s="57" t="s">
        <v>2402</v>
      </c>
      <c r="AQ580" s="37"/>
      <c r="AR580" s="31">
        <f t="shared" si="274"/>
        <v>0</v>
      </c>
      <c r="AS580" s="219">
        <f t="shared" si="275"/>
        <v>0</v>
      </c>
      <c r="AT580" s="31">
        <f t="shared" si="276"/>
        <v>0</v>
      </c>
      <c r="AU580" s="219">
        <f t="shared" si="277"/>
        <v>0</v>
      </c>
      <c r="AV580" s="31">
        <f t="shared" si="278"/>
        <v>0</v>
      </c>
      <c r="AW580" s="31">
        <f t="shared" si="279"/>
        <v>0</v>
      </c>
      <c r="AX580" s="31">
        <f t="shared" si="280"/>
        <v>1.75</v>
      </c>
      <c r="AY580" s="219">
        <f t="shared" si="281"/>
        <v>1.4875</v>
      </c>
      <c r="AZ580" s="196">
        <f t="shared" si="282"/>
        <v>0</v>
      </c>
      <c r="BA580" s="219">
        <f t="shared" si="283"/>
        <v>0</v>
      </c>
      <c r="BB580" s="31">
        <f t="shared" si="284"/>
        <v>0</v>
      </c>
      <c r="BC580" s="219">
        <f t="shared" si="285"/>
        <v>0</v>
      </c>
      <c r="BD580" s="31">
        <f t="shared" si="286"/>
        <v>0</v>
      </c>
      <c r="BE580" s="219">
        <f t="shared" si="287"/>
        <v>0</v>
      </c>
      <c r="BF580" s="31">
        <f t="shared" si="288"/>
        <v>0</v>
      </c>
      <c r="BG580" s="219">
        <f t="shared" si="289"/>
        <v>0</v>
      </c>
      <c r="BH580" s="31">
        <f t="shared" si="290"/>
        <v>0</v>
      </c>
      <c r="BI580" s="219">
        <f t="shared" si="291"/>
        <v>0</v>
      </c>
      <c r="BJ580" s="31">
        <f t="shared" si="292"/>
        <v>0</v>
      </c>
      <c r="BK580" s="219">
        <f t="shared" si="293"/>
        <v>0</v>
      </c>
      <c r="BL580" s="31">
        <f t="shared" si="294"/>
        <v>0</v>
      </c>
      <c r="BM580" s="219">
        <f t="shared" si="295"/>
        <v>0</v>
      </c>
      <c r="BN580" s="31">
        <f t="shared" si="296"/>
        <v>0</v>
      </c>
      <c r="BO580" s="219">
        <f t="shared" si="297"/>
        <v>0</v>
      </c>
    </row>
    <row r="581" spans="1:67" x14ac:dyDescent="0.25">
      <c r="A581" s="31" t="s">
        <v>1610</v>
      </c>
      <c r="B581" s="176" t="str">
        <f>VLOOKUP(A581,kurspris!$A$1:$B$992,2,FALSE)</f>
        <v>Specialpedagogik - åk 7-9 och gymnasieskolan (UK)</v>
      </c>
      <c r="D581" s="60" t="s">
        <v>481</v>
      </c>
      <c r="E581" s="576" t="s">
        <v>2227</v>
      </c>
      <c r="F581" s="31" t="s">
        <v>2273</v>
      </c>
      <c r="G581" t="s">
        <v>2472</v>
      </c>
      <c r="H581" t="s">
        <v>2335</v>
      </c>
      <c r="J581" s="31" t="s">
        <v>2244</v>
      </c>
      <c r="L581" s="38">
        <v>1</v>
      </c>
      <c r="M581">
        <v>5</v>
      </c>
      <c r="P581" s="31">
        <v>1</v>
      </c>
      <c r="Q581" s="196">
        <f t="shared" ref="Q581:Q605" si="298">(M581/60)*P581</f>
        <v>8.3333333333333329E-2</v>
      </c>
      <c r="R581" s="38">
        <v>0.85</v>
      </c>
      <c r="S581" s="280">
        <f t="shared" si="270"/>
        <v>7.0833333333333331E-2</v>
      </c>
      <c r="T581" s="31">
        <f>VLOOKUP(A581,'Ansvar kurs'!$A$1:$C$1123,2,FALSE)</f>
        <v>2180</v>
      </c>
      <c r="U581" s="31" t="str">
        <f>VLOOKUP(T581,Orgenheter!$A$1:$C$166,2,FALSE)</f>
        <v xml:space="preserve">Pedagogik                     </v>
      </c>
      <c r="V581" s="31" t="str">
        <f>VLOOKUP(T581,Orgenheter!$A$1:$C$166,3,FALSE)</f>
        <v>Sam</v>
      </c>
      <c r="W581" s="35" t="str">
        <f>VLOOKUP(D581,Program!$A$1:$B$36,2,FALSE)</f>
        <v>Ämneslärarprogrammet - åk 7-9</v>
      </c>
      <c r="X581" s="40">
        <f>VLOOKUP(A581,kurspris!$A$1:$Q$913,15,FALSE)</f>
        <v>26554</v>
      </c>
      <c r="Y581" s="40">
        <f>VLOOKUP(A581,kurspris!$A$1:$Q$913,16,FALSE)</f>
        <v>33465</v>
      </c>
      <c r="Z581" s="40">
        <f t="shared" si="271"/>
        <v>4583.270833333333</v>
      </c>
      <c r="AA581" s="40">
        <f>VLOOKUP(A581,kurspris!$A$1:$Q$913,17,FALSE)</f>
        <v>6000</v>
      </c>
      <c r="AB581" s="40">
        <f t="shared" si="272"/>
        <v>500</v>
      </c>
      <c r="AC581" s="40">
        <f t="shared" si="273"/>
        <v>5083.270833333333</v>
      </c>
      <c r="AD581" s="31">
        <f>VLOOKUP($A581,kurspris!$A$1:$Q$950,3,FALSE)</f>
        <v>0</v>
      </c>
      <c r="AE581" s="31">
        <f>VLOOKUP($A581,kurspris!$A$1:$Q$950,4,FALSE)</f>
        <v>0</v>
      </c>
      <c r="AF581" s="31">
        <f>VLOOKUP($A581,kurspris!$A$1:$Q$950,5,FALSE)</f>
        <v>0</v>
      </c>
      <c r="AG581" s="31">
        <f>VLOOKUP($A581,kurspris!$A$1:$Q$950,6,FALSE)</f>
        <v>1</v>
      </c>
      <c r="AH581" s="31">
        <f>VLOOKUP($A581,kurspris!$A$1:$Q$950,7,FALSE)</f>
        <v>0</v>
      </c>
      <c r="AI581" s="31">
        <f>VLOOKUP($A581,kurspris!$A$1:$Q$950,8,FALSE)</f>
        <v>0</v>
      </c>
      <c r="AJ581" s="31">
        <f>VLOOKUP($A581,kurspris!$A$1:$Q$950,9,FALSE)</f>
        <v>0</v>
      </c>
      <c r="AK581" s="31">
        <f>VLOOKUP($A581,kurspris!$A$1:$Q$950,10,FALSE)</f>
        <v>0</v>
      </c>
      <c r="AL581" s="31">
        <f>VLOOKUP($A581,kurspris!$A$1:$Q$950,11,FALSE)</f>
        <v>0</v>
      </c>
      <c r="AM581" s="31">
        <f>VLOOKUP($A581,kurspris!$A$1:$Q$950,12,FALSE)</f>
        <v>0</v>
      </c>
      <c r="AN581" s="31">
        <f>VLOOKUP($A581,kurspris!$A$1:$Q$950,13,FALSE)</f>
        <v>0</v>
      </c>
      <c r="AO581" s="31">
        <f>VLOOKUP($A581,kurspris!$A$1:$Q$950,14,FALSE)</f>
        <v>0</v>
      </c>
      <c r="AP581" s="57" t="s">
        <v>2506</v>
      </c>
      <c r="AQ581"/>
      <c r="AR581" s="31">
        <f t="shared" si="274"/>
        <v>0</v>
      </c>
      <c r="AS581" s="219">
        <f t="shared" si="275"/>
        <v>0</v>
      </c>
      <c r="AT581" s="31">
        <f t="shared" si="276"/>
        <v>0</v>
      </c>
      <c r="AU581" s="219">
        <f t="shared" si="277"/>
        <v>0</v>
      </c>
      <c r="AV581" s="31">
        <f t="shared" si="278"/>
        <v>0</v>
      </c>
      <c r="AW581" s="31">
        <f t="shared" si="279"/>
        <v>0</v>
      </c>
      <c r="AX581" s="31">
        <f t="shared" si="280"/>
        <v>8.3333333333333329E-2</v>
      </c>
      <c r="AY581" s="219">
        <f t="shared" si="281"/>
        <v>7.0833333333333331E-2</v>
      </c>
      <c r="AZ581" s="196">
        <f t="shared" si="282"/>
        <v>0</v>
      </c>
      <c r="BA581" s="219">
        <f t="shared" si="283"/>
        <v>0</v>
      </c>
      <c r="BB581" s="31">
        <f t="shared" si="284"/>
        <v>0</v>
      </c>
      <c r="BC581" s="219">
        <f t="shared" si="285"/>
        <v>0</v>
      </c>
      <c r="BD581" s="31">
        <f t="shared" si="286"/>
        <v>0</v>
      </c>
      <c r="BE581" s="219">
        <f t="shared" si="287"/>
        <v>0</v>
      </c>
      <c r="BF581" s="31">
        <f t="shared" si="288"/>
        <v>0</v>
      </c>
      <c r="BG581" s="219">
        <f t="shared" si="289"/>
        <v>0</v>
      </c>
      <c r="BH581" s="31">
        <f t="shared" si="290"/>
        <v>0</v>
      </c>
      <c r="BI581" s="219">
        <f t="shared" si="291"/>
        <v>0</v>
      </c>
      <c r="BJ581" s="31">
        <f t="shared" si="292"/>
        <v>0</v>
      </c>
      <c r="BK581" s="219">
        <f t="shared" si="293"/>
        <v>0</v>
      </c>
      <c r="BL581" s="31">
        <f t="shared" si="294"/>
        <v>0</v>
      </c>
      <c r="BM581" s="219">
        <f t="shared" si="295"/>
        <v>0</v>
      </c>
      <c r="BN581" s="31">
        <f t="shared" si="296"/>
        <v>0</v>
      </c>
      <c r="BO581" s="219">
        <f t="shared" si="297"/>
        <v>0</v>
      </c>
    </row>
    <row r="582" spans="1:67" x14ac:dyDescent="0.25">
      <c r="A582" s="31" t="s">
        <v>1610</v>
      </c>
      <c r="B582" s="176" t="str">
        <f>VLOOKUP(A582,kurspris!$A$1:$B$992,2,FALSE)</f>
        <v>Specialpedagogik - åk 7-9 och gymnasieskolan (UK)</v>
      </c>
      <c r="D582" s="60" t="s">
        <v>482</v>
      </c>
      <c r="E582" s="576" t="s">
        <v>2429</v>
      </c>
      <c r="F582" s="31" t="s">
        <v>2273</v>
      </c>
      <c r="G582" t="s">
        <v>2472</v>
      </c>
      <c r="H582" t="s">
        <v>2335</v>
      </c>
      <c r="J582" s="31" t="s">
        <v>2232</v>
      </c>
      <c r="L582" s="38">
        <v>1</v>
      </c>
      <c r="M582">
        <v>5</v>
      </c>
      <c r="P582" s="31">
        <v>1</v>
      </c>
      <c r="Q582" s="196">
        <f t="shared" si="298"/>
        <v>8.3333333333333329E-2</v>
      </c>
      <c r="R582" s="38">
        <v>0.85</v>
      </c>
      <c r="S582" s="280">
        <f t="shared" si="270"/>
        <v>7.0833333333333331E-2</v>
      </c>
      <c r="T582" s="31">
        <f>VLOOKUP(A582,'Ansvar kurs'!$A$1:$C$1123,2,FALSE)</f>
        <v>2180</v>
      </c>
      <c r="U582" s="31" t="str">
        <f>VLOOKUP(T582,Orgenheter!$A$1:$C$166,2,FALSE)</f>
        <v xml:space="preserve">Pedagogik                     </v>
      </c>
      <c r="V582" s="31" t="str">
        <f>VLOOKUP(T582,Orgenheter!$A$1:$C$166,3,FALSE)</f>
        <v>Sam</v>
      </c>
      <c r="W582" s="35" t="str">
        <f>VLOOKUP(D582,Program!$A$1:$B$36,2,FALSE)</f>
        <v>Ämneslärarprogrammet - Gy</v>
      </c>
      <c r="X582" s="40">
        <f>VLOOKUP(A582,kurspris!$A$1:$Q$913,15,FALSE)</f>
        <v>26554</v>
      </c>
      <c r="Y582" s="40">
        <f>VLOOKUP(A582,kurspris!$A$1:$Q$913,16,FALSE)</f>
        <v>33465</v>
      </c>
      <c r="Z582" s="40">
        <f t="shared" si="271"/>
        <v>4583.270833333333</v>
      </c>
      <c r="AA582" s="40">
        <f>VLOOKUP(A582,kurspris!$A$1:$Q$913,17,FALSE)</f>
        <v>6000</v>
      </c>
      <c r="AB582" s="40">
        <f t="shared" si="272"/>
        <v>500</v>
      </c>
      <c r="AC582" s="40">
        <f t="shared" si="273"/>
        <v>5083.270833333333</v>
      </c>
      <c r="AD582" s="31">
        <f>VLOOKUP($A582,kurspris!$A$1:$Q$950,3,FALSE)</f>
        <v>0</v>
      </c>
      <c r="AE582" s="31">
        <f>VLOOKUP($A582,kurspris!$A$1:$Q$950,4,FALSE)</f>
        <v>0</v>
      </c>
      <c r="AF582" s="31">
        <f>VLOOKUP($A582,kurspris!$A$1:$Q$950,5,FALSE)</f>
        <v>0</v>
      </c>
      <c r="AG582" s="31">
        <f>VLOOKUP($A582,kurspris!$A$1:$Q$950,6,FALSE)</f>
        <v>1</v>
      </c>
      <c r="AH582" s="31">
        <f>VLOOKUP($A582,kurspris!$A$1:$Q$950,7,FALSE)</f>
        <v>0</v>
      </c>
      <c r="AI582" s="31">
        <f>VLOOKUP($A582,kurspris!$A$1:$Q$950,8,FALSE)</f>
        <v>0</v>
      </c>
      <c r="AJ582" s="31">
        <f>VLOOKUP($A582,kurspris!$A$1:$Q$950,9,FALSE)</f>
        <v>0</v>
      </c>
      <c r="AK582" s="31">
        <f>VLOOKUP($A582,kurspris!$A$1:$Q$950,10,FALSE)</f>
        <v>0</v>
      </c>
      <c r="AL582" s="31">
        <f>VLOOKUP($A582,kurspris!$A$1:$Q$950,11,FALSE)</f>
        <v>0</v>
      </c>
      <c r="AM582" s="31">
        <f>VLOOKUP($A582,kurspris!$A$1:$Q$950,12,FALSE)</f>
        <v>0</v>
      </c>
      <c r="AN582" s="31">
        <f>VLOOKUP($A582,kurspris!$A$1:$Q$950,13,FALSE)</f>
        <v>0</v>
      </c>
      <c r="AO582" s="31">
        <f>VLOOKUP($A582,kurspris!$A$1:$Q$950,14,FALSE)</f>
        <v>0</v>
      </c>
      <c r="AP582" s="57" t="s">
        <v>2506</v>
      </c>
      <c r="AQ582"/>
      <c r="AR582" s="31">
        <f t="shared" si="274"/>
        <v>0</v>
      </c>
      <c r="AS582" s="219">
        <f t="shared" si="275"/>
        <v>0</v>
      </c>
      <c r="AT582" s="31">
        <f t="shared" si="276"/>
        <v>0</v>
      </c>
      <c r="AU582" s="219">
        <f t="shared" si="277"/>
        <v>0</v>
      </c>
      <c r="AV582" s="31">
        <f t="shared" si="278"/>
        <v>0</v>
      </c>
      <c r="AW582" s="31">
        <f t="shared" si="279"/>
        <v>0</v>
      </c>
      <c r="AX582" s="31">
        <f t="shared" si="280"/>
        <v>8.3333333333333329E-2</v>
      </c>
      <c r="AY582" s="219">
        <f t="shared" si="281"/>
        <v>7.0833333333333331E-2</v>
      </c>
      <c r="AZ582" s="196">
        <f t="shared" si="282"/>
        <v>0</v>
      </c>
      <c r="BA582" s="219">
        <f t="shared" si="283"/>
        <v>0</v>
      </c>
      <c r="BB582" s="31">
        <f t="shared" si="284"/>
        <v>0</v>
      </c>
      <c r="BC582" s="219">
        <f t="shared" si="285"/>
        <v>0</v>
      </c>
      <c r="BD582" s="31">
        <f t="shared" si="286"/>
        <v>0</v>
      </c>
      <c r="BE582" s="219">
        <f t="shared" si="287"/>
        <v>0</v>
      </c>
      <c r="BF582" s="31">
        <f t="shared" si="288"/>
        <v>0</v>
      </c>
      <c r="BG582" s="219">
        <f t="shared" si="289"/>
        <v>0</v>
      </c>
      <c r="BH582" s="31">
        <f t="shared" si="290"/>
        <v>0</v>
      </c>
      <c r="BI582" s="219">
        <f t="shared" si="291"/>
        <v>0</v>
      </c>
      <c r="BJ582" s="31">
        <f t="shared" si="292"/>
        <v>0</v>
      </c>
      <c r="BK582" s="219">
        <f t="shared" si="293"/>
        <v>0</v>
      </c>
      <c r="BL582" s="31">
        <f t="shared" si="294"/>
        <v>0</v>
      </c>
      <c r="BM582" s="219">
        <f t="shared" si="295"/>
        <v>0</v>
      </c>
      <c r="BN582" s="31">
        <f t="shared" si="296"/>
        <v>0</v>
      </c>
      <c r="BO582" s="219">
        <f t="shared" si="297"/>
        <v>0</v>
      </c>
    </row>
    <row r="583" spans="1:67" x14ac:dyDescent="0.25">
      <c r="A583" s="31" t="s">
        <v>1610</v>
      </c>
      <c r="B583" s="176" t="str">
        <f>VLOOKUP(A583,kurspris!$A$1:$B$992,2,FALSE)</f>
        <v>Specialpedagogik - åk 7-9 och gymnasieskolan (UK)</v>
      </c>
      <c r="D583" s="60" t="s">
        <v>482</v>
      </c>
      <c r="E583" s="576" t="s">
        <v>2429</v>
      </c>
      <c r="F583" s="31" t="s">
        <v>2273</v>
      </c>
      <c r="G583" t="s">
        <v>2472</v>
      </c>
      <c r="H583" t="s">
        <v>2335</v>
      </c>
      <c r="J583" s="31" t="s">
        <v>2233</v>
      </c>
      <c r="L583" s="38">
        <v>1</v>
      </c>
      <c r="M583">
        <v>5</v>
      </c>
      <c r="P583" s="31">
        <v>1</v>
      </c>
      <c r="Q583" s="196">
        <f t="shared" si="298"/>
        <v>8.3333333333333329E-2</v>
      </c>
      <c r="R583" s="38">
        <v>0.85</v>
      </c>
      <c r="S583" s="280">
        <f t="shared" si="270"/>
        <v>7.0833333333333331E-2</v>
      </c>
      <c r="T583" s="31">
        <f>VLOOKUP(A583,'Ansvar kurs'!$A$1:$C$1123,2,FALSE)</f>
        <v>2180</v>
      </c>
      <c r="U583" s="31" t="str">
        <f>VLOOKUP(T583,Orgenheter!$A$1:$C$166,2,FALSE)</f>
        <v xml:space="preserve">Pedagogik                     </v>
      </c>
      <c r="V583" s="31" t="str">
        <f>VLOOKUP(T583,Orgenheter!$A$1:$C$166,3,FALSE)</f>
        <v>Sam</v>
      </c>
      <c r="W583" s="35" t="str">
        <f>VLOOKUP(D583,Program!$A$1:$B$36,2,FALSE)</f>
        <v>Ämneslärarprogrammet - Gy</v>
      </c>
      <c r="X583" s="40">
        <f>VLOOKUP(A583,kurspris!$A$1:$Q$913,15,FALSE)</f>
        <v>26554</v>
      </c>
      <c r="Y583" s="40">
        <f>VLOOKUP(A583,kurspris!$A$1:$Q$913,16,FALSE)</f>
        <v>33465</v>
      </c>
      <c r="Z583" s="40">
        <f t="shared" si="271"/>
        <v>4583.270833333333</v>
      </c>
      <c r="AA583" s="40">
        <f>VLOOKUP(A583,kurspris!$A$1:$Q$913,17,FALSE)</f>
        <v>6000</v>
      </c>
      <c r="AB583" s="40">
        <f t="shared" si="272"/>
        <v>500</v>
      </c>
      <c r="AC583" s="40">
        <f t="shared" si="273"/>
        <v>5083.270833333333</v>
      </c>
      <c r="AD583" s="31">
        <f>VLOOKUP($A583,kurspris!$A$1:$Q$950,3,FALSE)</f>
        <v>0</v>
      </c>
      <c r="AE583" s="31">
        <f>VLOOKUP($A583,kurspris!$A$1:$Q$950,4,FALSE)</f>
        <v>0</v>
      </c>
      <c r="AF583" s="31">
        <f>VLOOKUP($A583,kurspris!$A$1:$Q$950,5,FALSE)</f>
        <v>0</v>
      </c>
      <c r="AG583" s="31">
        <f>VLOOKUP($A583,kurspris!$A$1:$Q$950,6,FALSE)</f>
        <v>1</v>
      </c>
      <c r="AH583" s="31">
        <f>VLOOKUP($A583,kurspris!$A$1:$Q$950,7,FALSE)</f>
        <v>0</v>
      </c>
      <c r="AI583" s="31">
        <f>VLOOKUP($A583,kurspris!$A$1:$Q$950,8,FALSE)</f>
        <v>0</v>
      </c>
      <c r="AJ583" s="31">
        <f>VLOOKUP($A583,kurspris!$A$1:$Q$950,9,FALSE)</f>
        <v>0</v>
      </c>
      <c r="AK583" s="31">
        <f>VLOOKUP($A583,kurspris!$A$1:$Q$950,10,FALSE)</f>
        <v>0</v>
      </c>
      <c r="AL583" s="31">
        <f>VLOOKUP($A583,kurspris!$A$1:$Q$950,11,FALSE)</f>
        <v>0</v>
      </c>
      <c r="AM583" s="31">
        <f>VLOOKUP($A583,kurspris!$A$1:$Q$950,12,FALSE)</f>
        <v>0</v>
      </c>
      <c r="AN583" s="31">
        <f>VLOOKUP($A583,kurspris!$A$1:$Q$950,13,FALSE)</f>
        <v>0</v>
      </c>
      <c r="AO583" s="31">
        <f>VLOOKUP($A583,kurspris!$A$1:$Q$950,14,FALSE)</f>
        <v>0</v>
      </c>
      <c r="AP583" s="57" t="s">
        <v>2506</v>
      </c>
      <c r="AQ583"/>
      <c r="AR583" s="31">
        <f t="shared" si="274"/>
        <v>0</v>
      </c>
      <c r="AS583" s="219">
        <f t="shared" si="275"/>
        <v>0</v>
      </c>
      <c r="AT583" s="31">
        <f t="shared" si="276"/>
        <v>0</v>
      </c>
      <c r="AU583" s="219">
        <f t="shared" si="277"/>
        <v>0</v>
      </c>
      <c r="AV583" s="31">
        <f t="shared" si="278"/>
        <v>0</v>
      </c>
      <c r="AW583" s="31">
        <f t="shared" si="279"/>
        <v>0</v>
      </c>
      <c r="AX583" s="31">
        <f t="shared" si="280"/>
        <v>8.3333333333333329E-2</v>
      </c>
      <c r="AY583" s="219">
        <f t="shared" si="281"/>
        <v>7.0833333333333331E-2</v>
      </c>
      <c r="AZ583" s="196">
        <f t="shared" si="282"/>
        <v>0</v>
      </c>
      <c r="BA583" s="219">
        <f t="shared" si="283"/>
        <v>0</v>
      </c>
      <c r="BB583" s="31">
        <f t="shared" si="284"/>
        <v>0</v>
      </c>
      <c r="BC583" s="219">
        <f t="shared" si="285"/>
        <v>0</v>
      </c>
      <c r="BD583" s="31">
        <f t="shared" si="286"/>
        <v>0</v>
      </c>
      <c r="BE583" s="219">
        <f t="shared" si="287"/>
        <v>0</v>
      </c>
      <c r="BF583" s="31">
        <f t="shared" si="288"/>
        <v>0</v>
      </c>
      <c r="BG583" s="219">
        <f t="shared" si="289"/>
        <v>0</v>
      </c>
      <c r="BH583" s="31">
        <f t="shared" si="290"/>
        <v>0</v>
      </c>
      <c r="BI583" s="219">
        <f t="shared" si="291"/>
        <v>0</v>
      </c>
      <c r="BJ583" s="31">
        <f t="shared" si="292"/>
        <v>0</v>
      </c>
      <c r="BK583" s="219">
        <f t="shared" si="293"/>
        <v>0</v>
      </c>
      <c r="BL583" s="31">
        <f t="shared" si="294"/>
        <v>0</v>
      </c>
      <c r="BM583" s="219">
        <f t="shared" si="295"/>
        <v>0</v>
      </c>
      <c r="BN583" s="31">
        <f t="shared" si="296"/>
        <v>0</v>
      </c>
      <c r="BO583" s="219">
        <f t="shared" si="297"/>
        <v>0</v>
      </c>
    </row>
    <row r="584" spans="1:67" x14ac:dyDescent="0.25">
      <c r="A584" s="397" t="s">
        <v>1610</v>
      </c>
      <c r="B584" s="176" t="str">
        <f>VLOOKUP(A584,kurspris!$A$1:$B$992,2,FALSE)</f>
        <v>Specialpedagogik - åk 7-9 och gymnasieskolan (UK)</v>
      </c>
      <c r="D584" s="60" t="s">
        <v>482</v>
      </c>
      <c r="E584" s="576" t="s">
        <v>2225</v>
      </c>
      <c r="F584" s="31" t="s">
        <v>2273</v>
      </c>
      <c r="G584" t="s">
        <v>2472</v>
      </c>
      <c r="H584" t="s">
        <v>2335</v>
      </c>
      <c r="J584" s="31" t="s">
        <v>2237</v>
      </c>
      <c r="L584" s="38">
        <v>1</v>
      </c>
      <c r="M584">
        <v>5</v>
      </c>
      <c r="P584" s="31">
        <v>1</v>
      </c>
      <c r="Q584" s="196">
        <f t="shared" si="298"/>
        <v>8.3333333333333329E-2</v>
      </c>
      <c r="R584" s="38">
        <v>0.85</v>
      </c>
      <c r="S584" s="280">
        <f t="shared" si="270"/>
        <v>7.0833333333333331E-2</v>
      </c>
      <c r="T584" s="31">
        <f>VLOOKUP(A584,'Ansvar kurs'!$A$1:$C$1123,2,FALSE)</f>
        <v>2180</v>
      </c>
      <c r="U584" s="31" t="str">
        <f>VLOOKUP(T584,Orgenheter!$A$1:$C$166,2,FALSE)</f>
        <v xml:space="preserve">Pedagogik                     </v>
      </c>
      <c r="V584" s="31" t="str">
        <f>VLOOKUP(T584,Orgenheter!$A$1:$C$166,3,FALSE)</f>
        <v>Sam</v>
      </c>
      <c r="W584" s="35" t="str">
        <f>VLOOKUP(D584,Program!$A$1:$B$36,2,FALSE)</f>
        <v>Ämneslärarprogrammet - Gy</v>
      </c>
      <c r="X584" s="40">
        <f>VLOOKUP(A584,kurspris!$A$1:$Q$913,15,FALSE)</f>
        <v>26554</v>
      </c>
      <c r="Y584" s="40">
        <f>VLOOKUP(A584,kurspris!$A$1:$Q$913,16,FALSE)</f>
        <v>33465</v>
      </c>
      <c r="Z584" s="40">
        <f t="shared" si="271"/>
        <v>4583.270833333333</v>
      </c>
      <c r="AA584" s="40">
        <f>VLOOKUP(A584,kurspris!$A$1:$Q$913,17,FALSE)</f>
        <v>6000</v>
      </c>
      <c r="AB584" s="40">
        <f t="shared" si="272"/>
        <v>500</v>
      </c>
      <c r="AC584" s="40">
        <f t="shared" si="273"/>
        <v>5083.270833333333</v>
      </c>
      <c r="AD584" s="31">
        <f>VLOOKUP($A584,kurspris!$A$1:$Q$950,3,FALSE)</f>
        <v>0</v>
      </c>
      <c r="AE584" s="31">
        <f>VLOOKUP($A584,kurspris!$A$1:$Q$950,4,FALSE)</f>
        <v>0</v>
      </c>
      <c r="AF584" s="31">
        <f>VLOOKUP($A584,kurspris!$A$1:$Q$950,5,FALSE)</f>
        <v>0</v>
      </c>
      <c r="AG584" s="31">
        <f>VLOOKUP($A584,kurspris!$A$1:$Q$950,6,FALSE)</f>
        <v>1</v>
      </c>
      <c r="AH584" s="31">
        <f>VLOOKUP($A584,kurspris!$A$1:$Q$950,7,FALSE)</f>
        <v>0</v>
      </c>
      <c r="AI584" s="31">
        <f>VLOOKUP($A584,kurspris!$A$1:$Q$950,8,FALSE)</f>
        <v>0</v>
      </c>
      <c r="AJ584" s="31">
        <f>VLOOKUP($A584,kurspris!$A$1:$Q$950,9,FALSE)</f>
        <v>0</v>
      </c>
      <c r="AK584" s="31">
        <f>VLOOKUP($A584,kurspris!$A$1:$Q$950,10,FALSE)</f>
        <v>0</v>
      </c>
      <c r="AL584" s="31">
        <f>VLOOKUP($A584,kurspris!$A$1:$Q$950,11,FALSE)</f>
        <v>0</v>
      </c>
      <c r="AM584" s="31">
        <f>VLOOKUP($A584,kurspris!$A$1:$Q$950,12,FALSE)</f>
        <v>0</v>
      </c>
      <c r="AN584" s="31">
        <f>VLOOKUP($A584,kurspris!$A$1:$Q$950,13,FALSE)</f>
        <v>0</v>
      </c>
      <c r="AO584" s="31">
        <f>VLOOKUP($A584,kurspris!$A$1:$Q$950,14,FALSE)</f>
        <v>0</v>
      </c>
      <c r="AP584" s="57" t="s">
        <v>2506</v>
      </c>
      <c r="AQ584"/>
      <c r="AR584" s="31">
        <f t="shared" si="274"/>
        <v>0</v>
      </c>
      <c r="AS584" s="219">
        <f t="shared" si="275"/>
        <v>0</v>
      </c>
      <c r="AT584" s="31">
        <f t="shared" si="276"/>
        <v>0</v>
      </c>
      <c r="AU584" s="219">
        <f t="shared" si="277"/>
        <v>0</v>
      </c>
      <c r="AV584" s="31">
        <f t="shared" si="278"/>
        <v>0</v>
      </c>
      <c r="AW584" s="31">
        <f t="shared" si="279"/>
        <v>0</v>
      </c>
      <c r="AX584" s="31">
        <f t="shared" si="280"/>
        <v>8.3333333333333329E-2</v>
      </c>
      <c r="AY584" s="219">
        <f t="shared" si="281"/>
        <v>7.0833333333333331E-2</v>
      </c>
      <c r="AZ584" s="196">
        <f t="shared" si="282"/>
        <v>0</v>
      </c>
      <c r="BA584" s="219">
        <f t="shared" si="283"/>
        <v>0</v>
      </c>
      <c r="BB584" s="31">
        <f t="shared" si="284"/>
        <v>0</v>
      </c>
      <c r="BC584" s="219">
        <f t="shared" si="285"/>
        <v>0</v>
      </c>
      <c r="BD584" s="31">
        <f t="shared" si="286"/>
        <v>0</v>
      </c>
      <c r="BE584" s="219">
        <f t="shared" si="287"/>
        <v>0</v>
      </c>
      <c r="BF584" s="31">
        <f t="shared" si="288"/>
        <v>0</v>
      </c>
      <c r="BG584" s="219">
        <f t="shared" si="289"/>
        <v>0</v>
      </c>
      <c r="BH584" s="31">
        <f t="shared" si="290"/>
        <v>0</v>
      </c>
      <c r="BI584" s="219">
        <f t="shared" si="291"/>
        <v>0</v>
      </c>
      <c r="BJ584" s="31">
        <f t="shared" si="292"/>
        <v>0</v>
      </c>
      <c r="BK584" s="219">
        <f t="shared" si="293"/>
        <v>0</v>
      </c>
      <c r="BL584" s="31">
        <f t="shared" si="294"/>
        <v>0</v>
      </c>
      <c r="BM584" s="219">
        <f t="shared" si="295"/>
        <v>0</v>
      </c>
      <c r="BN584" s="31">
        <f t="shared" si="296"/>
        <v>0</v>
      </c>
      <c r="BO584" s="219">
        <f t="shared" si="297"/>
        <v>0</v>
      </c>
    </row>
    <row r="585" spans="1:67" x14ac:dyDescent="0.25">
      <c r="A585" s="31" t="s">
        <v>1610</v>
      </c>
      <c r="B585" s="176" t="str">
        <f>VLOOKUP(A585,kurspris!$A$1:$B$992,2,FALSE)</f>
        <v>Specialpedagogik - åk 7-9 och gymnasieskolan (UK)</v>
      </c>
      <c r="D585" s="60" t="s">
        <v>482</v>
      </c>
      <c r="E585" s="576" t="s">
        <v>2225</v>
      </c>
      <c r="F585" s="31" t="s">
        <v>2273</v>
      </c>
      <c r="G585" t="s">
        <v>2472</v>
      </c>
      <c r="H585" t="s">
        <v>2335</v>
      </c>
      <c r="J585" s="31" t="s">
        <v>2234</v>
      </c>
      <c r="L585" s="38">
        <v>1</v>
      </c>
      <c r="M585">
        <v>5</v>
      </c>
      <c r="P585" s="31">
        <v>2</v>
      </c>
      <c r="Q585" s="196">
        <f t="shared" si="298"/>
        <v>0.16666666666666666</v>
      </c>
      <c r="R585" s="38">
        <v>0.85</v>
      </c>
      <c r="S585" s="280">
        <f t="shared" si="270"/>
        <v>0.14166666666666666</v>
      </c>
      <c r="T585" s="31">
        <f>VLOOKUP(A585,'Ansvar kurs'!$A$1:$C$1123,2,FALSE)</f>
        <v>2180</v>
      </c>
      <c r="U585" s="31" t="str">
        <f>VLOOKUP(T585,Orgenheter!$A$1:$C$166,2,FALSE)</f>
        <v xml:space="preserve">Pedagogik                     </v>
      </c>
      <c r="V585" s="31" t="str">
        <f>VLOOKUP(T585,Orgenheter!$A$1:$C$166,3,FALSE)</f>
        <v>Sam</v>
      </c>
      <c r="W585" s="35" t="str">
        <f>VLOOKUP(D585,Program!$A$1:$B$36,2,FALSE)</f>
        <v>Ämneslärarprogrammet - Gy</v>
      </c>
      <c r="X585" s="40">
        <f>VLOOKUP(A585,kurspris!$A$1:$Q$913,15,FALSE)</f>
        <v>26554</v>
      </c>
      <c r="Y585" s="40">
        <f>VLOOKUP(A585,kurspris!$A$1:$Q$913,16,FALSE)</f>
        <v>33465</v>
      </c>
      <c r="Z585" s="40">
        <f t="shared" si="271"/>
        <v>9166.5416666666661</v>
      </c>
      <c r="AA585" s="40">
        <f>VLOOKUP(A585,kurspris!$A$1:$Q$913,17,FALSE)</f>
        <v>6000</v>
      </c>
      <c r="AB585" s="40">
        <f t="shared" si="272"/>
        <v>1000</v>
      </c>
      <c r="AC585" s="40">
        <f t="shared" si="273"/>
        <v>10166.541666666666</v>
      </c>
      <c r="AD585" s="31">
        <f>VLOOKUP($A585,kurspris!$A$1:$Q$950,3,FALSE)</f>
        <v>0</v>
      </c>
      <c r="AE585" s="31">
        <f>VLOOKUP($A585,kurspris!$A$1:$Q$950,4,FALSE)</f>
        <v>0</v>
      </c>
      <c r="AF585" s="31">
        <f>VLOOKUP($A585,kurspris!$A$1:$Q$950,5,FALSE)</f>
        <v>0</v>
      </c>
      <c r="AG585" s="31">
        <f>VLOOKUP($A585,kurspris!$A$1:$Q$950,6,FALSE)</f>
        <v>1</v>
      </c>
      <c r="AH585" s="31">
        <f>VLOOKUP($A585,kurspris!$A$1:$Q$950,7,FALSE)</f>
        <v>0</v>
      </c>
      <c r="AI585" s="31">
        <f>VLOOKUP($A585,kurspris!$A$1:$Q$950,8,FALSE)</f>
        <v>0</v>
      </c>
      <c r="AJ585" s="31">
        <f>VLOOKUP($A585,kurspris!$A$1:$Q$950,9,FALSE)</f>
        <v>0</v>
      </c>
      <c r="AK585" s="31">
        <f>VLOOKUP($A585,kurspris!$A$1:$Q$950,10,FALSE)</f>
        <v>0</v>
      </c>
      <c r="AL585" s="31">
        <f>VLOOKUP($A585,kurspris!$A$1:$Q$950,11,FALSE)</f>
        <v>0</v>
      </c>
      <c r="AM585" s="31">
        <f>VLOOKUP($A585,kurspris!$A$1:$Q$950,12,FALSE)</f>
        <v>0</v>
      </c>
      <c r="AN585" s="31">
        <f>VLOOKUP($A585,kurspris!$A$1:$Q$950,13,FALSE)</f>
        <v>0</v>
      </c>
      <c r="AO585" s="31">
        <f>VLOOKUP($A585,kurspris!$A$1:$Q$950,14,FALSE)</f>
        <v>0</v>
      </c>
      <c r="AP585" s="57" t="s">
        <v>2506</v>
      </c>
      <c r="AQ585"/>
      <c r="AR585" s="31">
        <f t="shared" si="274"/>
        <v>0</v>
      </c>
      <c r="AS585" s="219">
        <f t="shared" si="275"/>
        <v>0</v>
      </c>
      <c r="AT585" s="31">
        <f t="shared" si="276"/>
        <v>0</v>
      </c>
      <c r="AU585" s="219">
        <f t="shared" si="277"/>
        <v>0</v>
      </c>
      <c r="AV585" s="31">
        <f t="shared" si="278"/>
        <v>0</v>
      </c>
      <c r="AW585" s="31">
        <f t="shared" si="279"/>
        <v>0</v>
      </c>
      <c r="AX585" s="31">
        <f t="shared" si="280"/>
        <v>0.16666666666666666</v>
      </c>
      <c r="AY585" s="219">
        <f t="shared" si="281"/>
        <v>0.14166666666666666</v>
      </c>
      <c r="AZ585" s="196">
        <f t="shared" si="282"/>
        <v>0</v>
      </c>
      <c r="BA585" s="219">
        <f t="shared" si="283"/>
        <v>0</v>
      </c>
      <c r="BB585" s="31">
        <f t="shared" si="284"/>
        <v>0</v>
      </c>
      <c r="BC585" s="219">
        <f t="shared" si="285"/>
        <v>0</v>
      </c>
      <c r="BD585" s="31">
        <f t="shared" si="286"/>
        <v>0</v>
      </c>
      <c r="BE585" s="219">
        <f t="shared" si="287"/>
        <v>0</v>
      </c>
      <c r="BF585" s="31">
        <f t="shared" si="288"/>
        <v>0</v>
      </c>
      <c r="BG585" s="219">
        <f t="shared" si="289"/>
        <v>0</v>
      </c>
      <c r="BH585" s="31">
        <f t="shared" si="290"/>
        <v>0</v>
      </c>
      <c r="BI585" s="219">
        <f t="shared" si="291"/>
        <v>0</v>
      </c>
      <c r="BJ585" s="31">
        <f t="shared" si="292"/>
        <v>0</v>
      </c>
      <c r="BK585" s="219">
        <f t="shared" si="293"/>
        <v>0</v>
      </c>
      <c r="BL585" s="31">
        <f t="shared" si="294"/>
        <v>0</v>
      </c>
      <c r="BM585" s="219">
        <f t="shared" si="295"/>
        <v>0</v>
      </c>
      <c r="BN585" s="31">
        <f t="shared" si="296"/>
        <v>0</v>
      </c>
      <c r="BO585" s="219">
        <f t="shared" si="297"/>
        <v>0</v>
      </c>
    </row>
    <row r="586" spans="1:67" x14ac:dyDescent="0.25">
      <c r="A586" s="31" t="s">
        <v>1610</v>
      </c>
      <c r="B586" s="176" t="str">
        <f>VLOOKUP(A586,kurspris!$A$1:$B$992,2,FALSE)</f>
        <v>Specialpedagogik - åk 7-9 och gymnasieskolan (UK)</v>
      </c>
      <c r="D586" s="60" t="s">
        <v>482</v>
      </c>
      <c r="E586" s="576" t="s">
        <v>2225</v>
      </c>
      <c r="F586" s="31" t="s">
        <v>2273</v>
      </c>
      <c r="G586" t="s">
        <v>2472</v>
      </c>
      <c r="H586" t="s">
        <v>2335</v>
      </c>
      <c r="J586" s="31" t="s">
        <v>2231</v>
      </c>
      <c r="L586" s="38">
        <v>1</v>
      </c>
      <c r="M586">
        <v>5</v>
      </c>
      <c r="P586" s="31">
        <v>1</v>
      </c>
      <c r="Q586" s="196">
        <f t="shared" si="298"/>
        <v>8.3333333333333329E-2</v>
      </c>
      <c r="R586" s="38">
        <v>0.85</v>
      </c>
      <c r="S586" s="280">
        <f t="shared" si="270"/>
        <v>7.0833333333333331E-2</v>
      </c>
      <c r="T586" s="31">
        <f>VLOOKUP(A586,'Ansvar kurs'!$A$1:$C$1123,2,FALSE)</f>
        <v>2180</v>
      </c>
      <c r="U586" s="31" t="str">
        <f>VLOOKUP(T586,Orgenheter!$A$1:$C$166,2,FALSE)</f>
        <v xml:space="preserve">Pedagogik                     </v>
      </c>
      <c r="V586" s="31" t="str">
        <f>VLOOKUP(T586,Orgenheter!$A$1:$C$166,3,FALSE)</f>
        <v>Sam</v>
      </c>
      <c r="W586" s="35" t="str">
        <f>VLOOKUP(D586,Program!$A$1:$B$36,2,FALSE)</f>
        <v>Ämneslärarprogrammet - Gy</v>
      </c>
      <c r="X586" s="40">
        <f>VLOOKUP(A586,kurspris!$A$1:$Q$913,15,FALSE)</f>
        <v>26554</v>
      </c>
      <c r="Y586" s="40">
        <f>VLOOKUP(A586,kurspris!$A$1:$Q$913,16,FALSE)</f>
        <v>33465</v>
      </c>
      <c r="Z586" s="40">
        <f t="shared" si="271"/>
        <v>4583.270833333333</v>
      </c>
      <c r="AA586" s="40">
        <f>VLOOKUP(A586,kurspris!$A$1:$Q$913,17,FALSE)</f>
        <v>6000</v>
      </c>
      <c r="AB586" s="40">
        <f t="shared" si="272"/>
        <v>500</v>
      </c>
      <c r="AC586" s="40">
        <f t="shared" si="273"/>
        <v>5083.270833333333</v>
      </c>
      <c r="AD586" s="31">
        <f>VLOOKUP($A586,kurspris!$A$1:$Q$950,3,FALSE)</f>
        <v>0</v>
      </c>
      <c r="AE586" s="31">
        <f>VLOOKUP($A586,kurspris!$A$1:$Q$950,4,FALSE)</f>
        <v>0</v>
      </c>
      <c r="AF586" s="31">
        <f>VLOOKUP($A586,kurspris!$A$1:$Q$950,5,FALSE)</f>
        <v>0</v>
      </c>
      <c r="AG586" s="31">
        <f>VLOOKUP($A586,kurspris!$A$1:$Q$950,6,FALSE)</f>
        <v>1</v>
      </c>
      <c r="AH586" s="31">
        <f>VLOOKUP($A586,kurspris!$A$1:$Q$950,7,FALSE)</f>
        <v>0</v>
      </c>
      <c r="AI586" s="31">
        <f>VLOOKUP($A586,kurspris!$A$1:$Q$950,8,FALSE)</f>
        <v>0</v>
      </c>
      <c r="AJ586" s="31">
        <f>VLOOKUP($A586,kurspris!$A$1:$Q$950,9,FALSE)</f>
        <v>0</v>
      </c>
      <c r="AK586" s="31">
        <f>VLOOKUP($A586,kurspris!$A$1:$Q$950,10,FALSE)</f>
        <v>0</v>
      </c>
      <c r="AL586" s="31">
        <f>VLOOKUP($A586,kurspris!$A$1:$Q$950,11,FALSE)</f>
        <v>0</v>
      </c>
      <c r="AM586" s="31">
        <f>VLOOKUP($A586,kurspris!$A$1:$Q$950,12,FALSE)</f>
        <v>0</v>
      </c>
      <c r="AN586" s="31">
        <f>VLOOKUP($A586,kurspris!$A$1:$Q$950,13,FALSE)</f>
        <v>0</v>
      </c>
      <c r="AO586" s="31">
        <f>VLOOKUP($A586,kurspris!$A$1:$Q$950,14,FALSE)</f>
        <v>0</v>
      </c>
      <c r="AP586" s="57" t="s">
        <v>2506</v>
      </c>
      <c r="AQ586"/>
      <c r="AR586" s="31">
        <f t="shared" si="274"/>
        <v>0</v>
      </c>
      <c r="AS586" s="219">
        <f t="shared" si="275"/>
        <v>0</v>
      </c>
      <c r="AT586" s="31">
        <f t="shared" si="276"/>
        <v>0</v>
      </c>
      <c r="AU586" s="219">
        <f t="shared" si="277"/>
        <v>0</v>
      </c>
      <c r="AV586" s="31">
        <f t="shared" si="278"/>
        <v>0</v>
      </c>
      <c r="AW586" s="31">
        <f t="shared" si="279"/>
        <v>0</v>
      </c>
      <c r="AX586" s="31">
        <f t="shared" si="280"/>
        <v>8.3333333333333329E-2</v>
      </c>
      <c r="AY586" s="219">
        <f t="shared" si="281"/>
        <v>7.0833333333333331E-2</v>
      </c>
      <c r="AZ586" s="196">
        <f t="shared" si="282"/>
        <v>0</v>
      </c>
      <c r="BA586" s="219">
        <f t="shared" si="283"/>
        <v>0</v>
      </c>
      <c r="BB586" s="31">
        <f t="shared" si="284"/>
        <v>0</v>
      </c>
      <c r="BC586" s="219">
        <f t="shared" si="285"/>
        <v>0</v>
      </c>
      <c r="BD586" s="31">
        <f t="shared" si="286"/>
        <v>0</v>
      </c>
      <c r="BE586" s="219">
        <f t="shared" si="287"/>
        <v>0</v>
      </c>
      <c r="BF586" s="31">
        <f t="shared" si="288"/>
        <v>0</v>
      </c>
      <c r="BG586" s="219">
        <f t="shared" si="289"/>
        <v>0</v>
      </c>
      <c r="BH586" s="31">
        <f t="shared" si="290"/>
        <v>0</v>
      </c>
      <c r="BI586" s="219">
        <f t="shared" si="291"/>
        <v>0</v>
      </c>
      <c r="BJ586" s="31">
        <f t="shared" si="292"/>
        <v>0</v>
      </c>
      <c r="BK586" s="219">
        <f t="shared" si="293"/>
        <v>0</v>
      </c>
      <c r="BL586" s="31">
        <f t="shared" si="294"/>
        <v>0</v>
      </c>
      <c r="BM586" s="219">
        <f t="shared" si="295"/>
        <v>0</v>
      </c>
      <c r="BN586" s="31">
        <f t="shared" si="296"/>
        <v>0</v>
      </c>
      <c r="BO586" s="219">
        <f t="shared" si="297"/>
        <v>0</v>
      </c>
    </row>
    <row r="587" spans="1:67" x14ac:dyDescent="0.25">
      <c r="A587" s="31" t="s">
        <v>1610</v>
      </c>
      <c r="B587" s="176" t="str">
        <f>VLOOKUP(A587,kurspris!$A$1:$B$992,2,FALSE)</f>
        <v>Specialpedagogik - åk 7-9 och gymnasieskolan (UK)</v>
      </c>
      <c r="D587" s="60" t="s">
        <v>482</v>
      </c>
      <c r="E587" s="576" t="s">
        <v>2225</v>
      </c>
      <c r="F587" s="31" t="s">
        <v>2273</v>
      </c>
      <c r="G587" t="s">
        <v>2472</v>
      </c>
      <c r="H587" t="s">
        <v>2335</v>
      </c>
      <c r="J587" s="31" t="s">
        <v>2241</v>
      </c>
      <c r="L587" s="38">
        <v>1</v>
      </c>
      <c r="M587">
        <v>5</v>
      </c>
      <c r="P587" s="31">
        <v>2</v>
      </c>
      <c r="Q587" s="196">
        <f t="shared" si="298"/>
        <v>0.16666666666666666</v>
      </c>
      <c r="R587" s="38">
        <v>0.85</v>
      </c>
      <c r="S587" s="280">
        <f t="shared" si="270"/>
        <v>0.14166666666666666</v>
      </c>
      <c r="T587" s="31">
        <f>VLOOKUP(A587,'Ansvar kurs'!$A$1:$C$1123,2,FALSE)</f>
        <v>2180</v>
      </c>
      <c r="U587" s="31" t="str">
        <f>VLOOKUP(T587,Orgenheter!$A$1:$C$166,2,FALSE)</f>
        <v xml:space="preserve">Pedagogik                     </v>
      </c>
      <c r="V587" s="31" t="str">
        <f>VLOOKUP(T587,Orgenheter!$A$1:$C$166,3,FALSE)</f>
        <v>Sam</v>
      </c>
      <c r="W587" s="35" t="str">
        <f>VLOOKUP(D587,Program!$A$1:$B$36,2,FALSE)</f>
        <v>Ämneslärarprogrammet - Gy</v>
      </c>
      <c r="X587" s="40">
        <f>VLOOKUP(A587,kurspris!$A$1:$Q$913,15,FALSE)</f>
        <v>26554</v>
      </c>
      <c r="Y587" s="40">
        <f>VLOOKUP(A587,kurspris!$A$1:$Q$913,16,FALSE)</f>
        <v>33465</v>
      </c>
      <c r="Z587" s="40">
        <f t="shared" si="271"/>
        <v>9166.5416666666661</v>
      </c>
      <c r="AA587" s="40">
        <f>VLOOKUP(A587,kurspris!$A$1:$Q$913,17,FALSE)</f>
        <v>6000</v>
      </c>
      <c r="AB587" s="40">
        <f t="shared" si="272"/>
        <v>1000</v>
      </c>
      <c r="AC587" s="40">
        <f t="shared" si="273"/>
        <v>10166.541666666666</v>
      </c>
      <c r="AD587" s="31">
        <f>VLOOKUP($A587,kurspris!$A$1:$Q$950,3,FALSE)</f>
        <v>0</v>
      </c>
      <c r="AE587" s="31">
        <f>VLOOKUP($A587,kurspris!$A$1:$Q$950,4,FALSE)</f>
        <v>0</v>
      </c>
      <c r="AF587" s="31">
        <f>VLOOKUP($A587,kurspris!$A$1:$Q$950,5,FALSE)</f>
        <v>0</v>
      </c>
      <c r="AG587" s="31">
        <f>VLOOKUP($A587,kurspris!$A$1:$Q$950,6,FALSE)</f>
        <v>1</v>
      </c>
      <c r="AH587" s="31">
        <f>VLOOKUP($A587,kurspris!$A$1:$Q$950,7,FALSE)</f>
        <v>0</v>
      </c>
      <c r="AI587" s="31">
        <f>VLOOKUP($A587,kurspris!$A$1:$Q$950,8,FALSE)</f>
        <v>0</v>
      </c>
      <c r="AJ587" s="31">
        <f>VLOOKUP($A587,kurspris!$A$1:$Q$950,9,FALSE)</f>
        <v>0</v>
      </c>
      <c r="AK587" s="31">
        <f>VLOOKUP($A587,kurspris!$A$1:$Q$950,10,FALSE)</f>
        <v>0</v>
      </c>
      <c r="AL587" s="31">
        <f>VLOOKUP($A587,kurspris!$A$1:$Q$950,11,FALSE)</f>
        <v>0</v>
      </c>
      <c r="AM587" s="31">
        <f>VLOOKUP($A587,kurspris!$A$1:$Q$950,12,FALSE)</f>
        <v>0</v>
      </c>
      <c r="AN587" s="31">
        <f>VLOOKUP($A587,kurspris!$A$1:$Q$950,13,FALSE)</f>
        <v>0</v>
      </c>
      <c r="AO587" s="31">
        <f>VLOOKUP($A587,kurspris!$A$1:$Q$950,14,FALSE)</f>
        <v>0</v>
      </c>
      <c r="AP587" s="57" t="s">
        <v>2506</v>
      </c>
      <c r="AQ587"/>
      <c r="AR587" s="31">
        <f t="shared" si="274"/>
        <v>0</v>
      </c>
      <c r="AS587" s="219">
        <f t="shared" si="275"/>
        <v>0</v>
      </c>
      <c r="AT587" s="31">
        <f t="shared" si="276"/>
        <v>0</v>
      </c>
      <c r="AU587" s="219">
        <f t="shared" si="277"/>
        <v>0</v>
      </c>
      <c r="AV587" s="31">
        <f t="shared" si="278"/>
        <v>0</v>
      </c>
      <c r="AW587" s="31">
        <f t="shared" si="279"/>
        <v>0</v>
      </c>
      <c r="AX587" s="31">
        <f t="shared" si="280"/>
        <v>0.16666666666666666</v>
      </c>
      <c r="AY587" s="219">
        <f t="shared" si="281"/>
        <v>0.14166666666666666</v>
      </c>
      <c r="AZ587" s="196">
        <f t="shared" si="282"/>
        <v>0</v>
      </c>
      <c r="BA587" s="219">
        <f t="shared" si="283"/>
        <v>0</v>
      </c>
      <c r="BB587" s="31">
        <f t="shared" si="284"/>
        <v>0</v>
      </c>
      <c r="BC587" s="219">
        <f t="shared" si="285"/>
        <v>0</v>
      </c>
      <c r="BD587" s="31">
        <f t="shared" si="286"/>
        <v>0</v>
      </c>
      <c r="BE587" s="219">
        <f t="shared" si="287"/>
        <v>0</v>
      </c>
      <c r="BF587" s="31">
        <f t="shared" si="288"/>
        <v>0</v>
      </c>
      <c r="BG587" s="219">
        <f t="shared" si="289"/>
        <v>0</v>
      </c>
      <c r="BH587" s="31">
        <f t="shared" si="290"/>
        <v>0</v>
      </c>
      <c r="BI587" s="219">
        <f t="shared" si="291"/>
        <v>0</v>
      </c>
      <c r="BJ587" s="31">
        <f t="shared" si="292"/>
        <v>0</v>
      </c>
      <c r="BK587" s="219">
        <f t="shared" si="293"/>
        <v>0</v>
      </c>
      <c r="BL587" s="31">
        <f t="shared" si="294"/>
        <v>0</v>
      </c>
      <c r="BM587" s="219">
        <f t="shared" si="295"/>
        <v>0</v>
      </c>
      <c r="BN587" s="31">
        <f t="shared" si="296"/>
        <v>0</v>
      </c>
      <c r="BO587" s="219">
        <f t="shared" si="297"/>
        <v>0</v>
      </c>
    </row>
    <row r="588" spans="1:67" x14ac:dyDescent="0.25">
      <c r="A588" s="31" t="s">
        <v>1610</v>
      </c>
      <c r="B588" s="176" t="str">
        <f>VLOOKUP(A588,kurspris!$A$1:$B$992,2,FALSE)</f>
        <v>Specialpedagogik - åk 7-9 och gymnasieskolan (UK)</v>
      </c>
      <c r="D588" s="60" t="s">
        <v>482</v>
      </c>
      <c r="E588" s="576" t="s">
        <v>2225</v>
      </c>
      <c r="F588" s="31" t="s">
        <v>2273</v>
      </c>
      <c r="G588" t="s">
        <v>2472</v>
      </c>
      <c r="H588" t="s">
        <v>2335</v>
      </c>
      <c r="J588" s="31" t="s">
        <v>2232</v>
      </c>
      <c r="L588" s="38">
        <v>1</v>
      </c>
      <c r="M588">
        <v>5</v>
      </c>
      <c r="P588" s="31">
        <v>2</v>
      </c>
      <c r="Q588" s="196">
        <f t="shared" si="298"/>
        <v>0.16666666666666666</v>
      </c>
      <c r="R588" s="38">
        <v>0.85</v>
      </c>
      <c r="S588" s="280">
        <f t="shared" si="270"/>
        <v>0.14166666666666666</v>
      </c>
      <c r="T588" s="31">
        <f>VLOOKUP(A588,'Ansvar kurs'!$A$1:$C$1123,2,FALSE)</f>
        <v>2180</v>
      </c>
      <c r="U588" s="31" t="str">
        <f>VLOOKUP(T588,Orgenheter!$A$1:$C$166,2,FALSE)</f>
        <v xml:space="preserve">Pedagogik                     </v>
      </c>
      <c r="V588" s="31" t="str">
        <f>VLOOKUP(T588,Orgenheter!$A$1:$C$166,3,FALSE)</f>
        <v>Sam</v>
      </c>
      <c r="W588" s="35" t="str">
        <f>VLOOKUP(D588,Program!$A$1:$B$36,2,FALSE)</f>
        <v>Ämneslärarprogrammet - Gy</v>
      </c>
      <c r="X588" s="40">
        <f>VLOOKUP(A588,kurspris!$A$1:$Q$913,15,FALSE)</f>
        <v>26554</v>
      </c>
      <c r="Y588" s="40">
        <f>VLOOKUP(A588,kurspris!$A$1:$Q$913,16,FALSE)</f>
        <v>33465</v>
      </c>
      <c r="Z588" s="40">
        <f t="shared" si="271"/>
        <v>9166.5416666666661</v>
      </c>
      <c r="AA588" s="40">
        <f>VLOOKUP(A588,kurspris!$A$1:$Q$913,17,FALSE)</f>
        <v>6000</v>
      </c>
      <c r="AB588" s="40">
        <f t="shared" si="272"/>
        <v>1000</v>
      </c>
      <c r="AC588" s="40">
        <f t="shared" si="273"/>
        <v>10166.541666666666</v>
      </c>
      <c r="AD588" s="31">
        <f>VLOOKUP($A588,kurspris!$A$1:$Q$950,3,FALSE)</f>
        <v>0</v>
      </c>
      <c r="AE588" s="31">
        <f>VLOOKUP($A588,kurspris!$A$1:$Q$950,4,FALSE)</f>
        <v>0</v>
      </c>
      <c r="AF588" s="31">
        <f>VLOOKUP($A588,kurspris!$A$1:$Q$950,5,FALSE)</f>
        <v>0</v>
      </c>
      <c r="AG588" s="31">
        <f>VLOOKUP($A588,kurspris!$A$1:$Q$950,6,FALSE)</f>
        <v>1</v>
      </c>
      <c r="AH588" s="31">
        <f>VLOOKUP($A588,kurspris!$A$1:$Q$950,7,FALSE)</f>
        <v>0</v>
      </c>
      <c r="AI588" s="31">
        <f>VLOOKUP($A588,kurspris!$A$1:$Q$950,8,FALSE)</f>
        <v>0</v>
      </c>
      <c r="AJ588" s="31">
        <f>VLOOKUP($A588,kurspris!$A$1:$Q$950,9,FALSE)</f>
        <v>0</v>
      </c>
      <c r="AK588" s="31">
        <f>VLOOKUP($A588,kurspris!$A$1:$Q$950,10,FALSE)</f>
        <v>0</v>
      </c>
      <c r="AL588" s="31">
        <f>VLOOKUP($A588,kurspris!$A$1:$Q$950,11,FALSE)</f>
        <v>0</v>
      </c>
      <c r="AM588" s="31">
        <f>VLOOKUP($A588,kurspris!$A$1:$Q$950,12,FALSE)</f>
        <v>0</v>
      </c>
      <c r="AN588" s="31">
        <f>VLOOKUP($A588,kurspris!$A$1:$Q$950,13,FALSE)</f>
        <v>0</v>
      </c>
      <c r="AO588" s="31">
        <f>VLOOKUP($A588,kurspris!$A$1:$Q$950,14,FALSE)</f>
        <v>0</v>
      </c>
      <c r="AP588" s="57" t="s">
        <v>2506</v>
      </c>
      <c r="AQ588"/>
      <c r="AR588" s="31">
        <f t="shared" si="274"/>
        <v>0</v>
      </c>
      <c r="AS588" s="219">
        <f t="shared" si="275"/>
        <v>0</v>
      </c>
      <c r="AT588" s="31">
        <f t="shared" si="276"/>
        <v>0</v>
      </c>
      <c r="AU588" s="219">
        <f t="shared" si="277"/>
        <v>0</v>
      </c>
      <c r="AV588" s="31">
        <f t="shared" si="278"/>
        <v>0</v>
      </c>
      <c r="AW588" s="31">
        <f t="shared" si="279"/>
        <v>0</v>
      </c>
      <c r="AX588" s="31">
        <f t="shared" si="280"/>
        <v>0.16666666666666666</v>
      </c>
      <c r="AY588" s="219">
        <f t="shared" si="281"/>
        <v>0.14166666666666666</v>
      </c>
      <c r="AZ588" s="196">
        <f t="shared" si="282"/>
        <v>0</v>
      </c>
      <c r="BA588" s="219">
        <f t="shared" si="283"/>
        <v>0</v>
      </c>
      <c r="BB588" s="31">
        <f t="shared" si="284"/>
        <v>0</v>
      </c>
      <c r="BC588" s="219">
        <f t="shared" si="285"/>
        <v>0</v>
      </c>
      <c r="BD588" s="31">
        <f t="shared" si="286"/>
        <v>0</v>
      </c>
      <c r="BE588" s="219">
        <f t="shared" si="287"/>
        <v>0</v>
      </c>
      <c r="BF588" s="31">
        <f t="shared" si="288"/>
        <v>0</v>
      </c>
      <c r="BG588" s="219">
        <f t="shared" si="289"/>
        <v>0</v>
      </c>
      <c r="BH588" s="31">
        <f t="shared" si="290"/>
        <v>0</v>
      </c>
      <c r="BI588" s="219">
        <f t="shared" si="291"/>
        <v>0</v>
      </c>
      <c r="BJ588" s="31">
        <f t="shared" si="292"/>
        <v>0</v>
      </c>
      <c r="BK588" s="219">
        <f t="shared" si="293"/>
        <v>0</v>
      </c>
      <c r="BL588" s="31">
        <f t="shared" si="294"/>
        <v>0</v>
      </c>
      <c r="BM588" s="219">
        <f t="shared" si="295"/>
        <v>0</v>
      </c>
      <c r="BN588" s="31">
        <f t="shared" si="296"/>
        <v>0</v>
      </c>
      <c r="BO588" s="219">
        <f t="shared" si="297"/>
        <v>0</v>
      </c>
    </row>
    <row r="589" spans="1:67" x14ac:dyDescent="0.25">
      <c r="A589" s="31" t="s">
        <v>1610</v>
      </c>
      <c r="B589" s="176" t="str">
        <f>VLOOKUP(A589,kurspris!$A$1:$B$992,2,FALSE)</f>
        <v>Specialpedagogik - åk 7-9 och gymnasieskolan (UK)</v>
      </c>
      <c r="D589" s="60" t="s">
        <v>482</v>
      </c>
      <c r="E589" s="576" t="s">
        <v>2225</v>
      </c>
      <c r="F589" s="31" t="s">
        <v>2273</v>
      </c>
      <c r="G589" t="s">
        <v>2472</v>
      </c>
      <c r="H589" t="s">
        <v>2335</v>
      </c>
      <c r="J589" s="31" t="s">
        <v>2233</v>
      </c>
      <c r="L589" s="38">
        <v>1</v>
      </c>
      <c r="M589">
        <v>5</v>
      </c>
      <c r="P589" s="31">
        <v>1</v>
      </c>
      <c r="Q589" s="196">
        <f t="shared" si="298"/>
        <v>8.3333333333333329E-2</v>
      </c>
      <c r="R589" s="38">
        <v>0.85</v>
      </c>
      <c r="S589" s="280">
        <f t="shared" si="270"/>
        <v>7.0833333333333331E-2</v>
      </c>
      <c r="T589" s="31">
        <f>VLOOKUP(A589,'Ansvar kurs'!$A$1:$C$1123,2,FALSE)</f>
        <v>2180</v>
      </c>
      <c r="U589" s="31" t="str">
        <f>VLOOKUP(T589,Orgenheter!$A$1:$C$166,2,FALSE)</f>
        <v xml:space="preserve">Pedagogik                     </v>
      </c>
      <c r="V589" s="31" t="str">
        <f>VLOOKUP(T589,Orgenheter!$A$1:$C$166,3,FALSE)</f>
        <v>Sam</v>
      </c>
      <c r="W589" s="35" t="str">
        <f>VLOOKUP(D589,Program!$A$1:$B$36,2,FALSE)</f>
        <v>Ämneslärarprogrammet - Gy</v>
      </c>
      <c r="X589" s="40">
        <f>VLOOKUP(A589,kurspris!$A$1:$Q$913,15,FALSE)</f>
        <v>26554</v>
      </c>
      <c r="Y589" s="40">
        <f>VLOOKUP(A589,kurspris!$A$1:$Q$913,16,FALSE)</f>
        <v>33465</v>
      </c>
      <c r="Z589" s="40">
        <f t="shared" si="271"/>
        <v>4583.270833333333</v>
      </c>
      <c r="AA589" s="40">
        <f>VLOOKUP(A589,kurspris!$A$1:$Q$913,17,FALSE)</f>
        <v>6000</v>
      </c>
      <c r="AB589" s="40">
        <f t="shared" si="272"/>
        <v>500</v>
      </c>
      <c r="AC589" s="40">
        <f t="shared" si="273"/>
        <v>5083.270833333333</v>
      </c>
      <c r="AD589" s="31">
        <f>VLOOKUP($A589,kurspris!$A$1:$Q$950,3,FALSE)</f>
        <v>0</v>
      </c>
      <c r="AE589" s="31">
        <f>VLOOKUP($A589,kurspris!$A$1:$Q$950,4,FALSE)</f>
        <v>0</v>
      </c>
      <c r="AF589" s="31">
        <f>VLOOKUP($A589,kurspris!$A$1:$Q$950,5,FALSE)</f>
        <v>0</v>
      </c>
      <c r="AG589" s="31">
        <f>VLOOKUP($A589,kurspris!$A$1:$Q$950,6,FALSE)</f>
        <v>1</v>
      </c>
      <c r="AH589" s="31">
        <f>VLOOKUP($A589,kurspris!$A$1:$Q$950,7,FALSE)</f>
        <v>0</v>
      </c>
      <c r="AI589" s="31">
        <f>VLOOKUP($A589,kurspris!$A$1:$Q$950,8,FALSE)</f>
        <v>0</v>
      </c>
      <c r="AJ589" s="31">
        <f>VLOOKUP($A589,kurspris!$A$1:$Q$950,9,FALSE)</f>
        <v>0</v>
      </c>
      <c r="AK589" s="31">
        <f>VLOOKUP($A589,kurspris!$A$1:$Q$950,10,FALSE)</f>
        <v>0</v>
      </c>
      <c r="AL589" s="31">
        <f>VLOOKUP($A589,kurspris!$A$1:$Q$950,11,FALSE)</f>
        <v>0</v>
      </c>
      <c r="AM589" s="31">
        <f>VLOOKUP($A589,kurspris!$A$1:$Q$950,12,FALSE)</f>
        <v>0</v>
      </c>
      <c r="AN589" s="31">
        <f>VLOOKUP($A589,kurspris!$A$1:$Q$950,13,FALSE)</f>
        <v>0</v>
      </c>
      <c r="AO589" s="31">
        <f>VLOOKUP($A589,kurspris!$A$1:$Q$950,14,FALSE)</f>
        <v>0</v>
      </c>
      <c r="AP589" s="57" t="s">
        <v>2506</v>
      </c>
      <c r="AQ589"/>
      <c r="AR589" s="31">
        <f t="shared" si="274"/>
        <v>0</v>
      </c>
      <c r="AS589" s="219">
        <f t="shared" si="275"/>
        <v>0</v>
      </c>
      <c r="AT589" s="31">
        <f t="shared" si="276"/>
        <v>0</v>
      </c>
      <c r="AU589" s="219">
        <f t="shared" si="277"/>
        <v>0</v>
      </c>
      <c r="AV589" s="31">
        <f t="shared" si="278"/>
        <v>0</v>
      </c>
      <c r="AW589" s="31">
        <f t="shared" si="279"/>
        <v>0</v>
      </c>
      <c r="AX589" s="31">
        <f t="shared" si="280"/>
        <v>8.3333333333333329E-2</v>
      </c>
      <c r="AY589" s="219">
        <f t="shared" si="281"/>
        <v>7.0833333333333331E-2</v>
      </c>
      <c r="AZ589" s="196">
        <f t="shared" si="282"/>
        <v>0</v>
      </c>
      <c r="BA589" s="219">
        <f t="shared" si="283"/>
        <v>0</v>
      </c>
      <c r="BB589" s="31">
        <f t="shared" si="284"/>
        <v>0</v>
      </c>
      <c r="BC589" s="219">
        <f t="shared" si="285"/>
        <v>0</v>
      </c>
      <c r="BD589" s="31">
        <f t="shared" si="286"/>
        <v>0</v>
      </c>
      <c r="BE589" s="219">
        <f t="shared" si="287"/>
        <v>0</v>
      </c>
      <c r="BF589" s="31">
        <f t="shared" si="288"/>
        <v>0</v>
      </c>
      <c r="BG589" s="219">
        <f t="shared" si="289"/>
        <v>0</v>
      </c>
      <c r="BH589" s="31">
        <f t="shared" si="290"/>
        <v>0</v>
      </c>
      <c r="BI589" s="219">
        <f t="shared" si="291"/>
        <v>0</v>
      </c>
      <c r="BJ589" s="31">
        <f t="shared" si="292"/>
        <v>0</v>
      </c>
      <c r="BK589" s="219">
        <f t="shared" si="293"/>
        <v>0</v>
      </c>
      <c r="BL589" s="31">
        <f t="shared" si="294"/>
        <v>0</v>
      </c>
      <c r="BM589" s="219">
        <f t="shared" si="295"/>
        <v>0</v>
      </c>
      <c r="BN589" s="31">
        <f t="shared" si="296"/>
        <v>0</v>
      </c>
      <c r="BO589" s="219">
        <f t="shared" si="297"/>
        <v>0</v>
      </c>
    </row>
    <row r="590" spans="1:67" x14ac:dyDescent="0.25">
      <c r="A590" s="157" t="s">
        <v>1610</v>
      </c>
      <c r="B590" s="176" t="str">
        <f>VLOOKUP(A590,kurspris!$A$1:$B$992,2,FALSE)</f>
        <v>Specialpedagogik - åk 7-9 och gymnasieskolan (UK)</v>
      </c>
      <c r="D590" s="60" t="s">
        <v>482</v>
      </c>
      <c r="E590" s="576" t="s">
        <v>2225</v>
      </c>
      <c r="F590" s="31" t="s">
        <v>2273</v>
      </c>
      <c r="G590" t="s">
        <v>2472</v>
      </c>
      <c r="H590" t="s">
        <v>2335</v>
      </c>
      <c r="J590" s="31" t="s">
        <v>2239</v>
      </c>
      <c r="L590" s="38">
        <v>1</v>
      </c>
      <c r="M590">
        <v>5</v>
      </c>
      <c r="P590" s="31">
        <v>1</v>
      </c>
      <c r="Q590" s="196">
        <f t="shared" si="298"/>
        <v>8.3333333333333329E-2</v>
      </c>
      <c r="R590" s="38">
        <v>0.85</v>
      </c>
      <c r="S590" s="280">
        <f t="shared" si="270"/>
        <v>7.0833333333333331E-2</v>
      </c>
      <c r="T590" s="31">
        <f>VLOOKUP(A590,'Ansvar kurs'!$A$1:$C$1123,2,FALSE)</f>
        <v>2180</v>
      </c>
      <c r="U590" s="31" t="str">
        <f>VLOOKUP(T590,Orgenheter!$A$1:$C$166,2,FALSE)</f>
        <v xml:space="preserve">Pedagogik                     </v>
      </c>
      <c r="V590" s="31" t="str">
        <f>VLOOKUP(T590,Orgenheter!$A$1:$C$166,3,FALSE)</f>
        <v>Sam</v>
      </c>
      <c r="W590" s="35" t="str">
        <f>VLOOKUP(D590,Program!$A$1:$B$36,2,FALSE)</f>
        <v>Ämneslärarprogrammet - Gy</v>
      </c>
      <c r="X590" s="40">
        <f>VLOOKUP(A590,kurspris!$A$1:$Q$913,15,FALSE)</f>
        <v>26554</v>
      </c>
      <c r="Y590" s="40">
        <f>VLOOKUP(A590,kurspris!$A$1:$Q$913,16,FALSE)</f>
        <v>33465</v>
      </c>
      <c r="Z590" s="40">
        <f t="shared" si="271"/>
        <v>4583.270833333333</v>
      </c>
      <c r="AA590" s="40">
        <f>VLOOKUP(A590,kurspris!$A$1:$Q$913,17,FALSE)</f>
        <v>6000</v>
      </c>
      <c r="AB590" s="40">
        <f t="shared" si="272"/>
        <v>500</v>
      </c>
      <c r="AC590" s="40">
        <f t="shared" si="273"/>
        <v>5083.270833333333</v>
      </c>
      <c r="AD590" s="31">
        <f>VLOOKUP($A590,kurspris!$A$1:$Q$950,3,FALSE)</f>
        <v>0</v>
      </c>
      <c r="AE590" s="31">
        <f>VLOOKUP($A590,kurspris!$A$1:$Q$950,4,FALSE)</f>
        <v>0</v>
      </c>
      <c r="AF590" s="31">
        <f>VLOOKUP($A590,kurspris!$A$1:$Q$950,5,FALSE)</f>
        <v>0</v>
      </c>
      <c r="AG590" s="31">
        <f>VLOOKUP($A590,kurspris!$A$1:$Q$950,6,FALSE)</f>
        <v>1</v>
      </c>
      <c r="AH590" s="31">
        <f>VLOOKUP($A590,kurspris!$A$1:$Q$950,7,FALSE)</f>
        <v>0</v>
      </c>
      <c r="AI590" s="31">
        <f>VLOOKUP($A590,kurspris!$A$1:$Q$950,8,FALSE)</f>
        <v>0</v>
      </c>
      <c r="AJ590" s="31">
        <f>VLOOKUP($A590,kurspris!$A$1:$Q$950,9,FALSE)</f>
        <v>0</v>
      </c>
      <c r="AK590" s="31">
        <f>VLOOKUP($A590,kurspris!$A$1:$Q$950,10,FALSE)</f>
        <v>0</v>
      </c>
      <c r="AL590" s="31">
        <f>VLOOKUP($A590,kurspris!$A$1:$Q$950,11,FALSE)</f>
        <v>0</v>
      </c>
      <c r="AM590" s="31">
        <f>VLOOKUP($A590,kurspris!$A$1:$Q$950,12,FALSE)</f>
        <v>0</v>
      </c>
      <c r="AN590" s="31">
        <f>VLOOKUP($A590,kurspris!$A$1:$Q$950,13,FALSE)</f>
        <v>0</v>
      </c>
      <c r="AO590" s="31">
        <f>VLOOKUP($A590,kurspris!$A$1:$Q$950,14,FALSE)</f>
        <v>0</v>
      </c>
      <c r="AP590" s="57" t="s">
        <v>2506</v>
      </c>
      <c r="AQ590"/>
      <c r="AR590" s="31">
        <f t="shared" si="274"/>
        <v>0</v>
      </c>
      <c r="AS590" s="219">
        <f t="shared" si="275"/>
        <v>0</v>
      </c>
      <c r="AT590" s="31">
        <f t="shared" si="276"/>
        <v>0</v>
      </c>
      <c r="AU590" s="219">
        <f t="shared" si="277"/>
        <v>0</v>
      </c>
      <c r="AV590" s="31">
        <f t="shared" si="278"/>
        <v>0</v>
      </c>
      <c r="AW590" s="31">
        <f t="shared" si="279"/>
        <v>0</v>
      </c>
      <c r="AX590" s="31">
        <f t="shared" si="280"/>
        <v>8.3333333333333329E-2</v>
      </c>
      <c r="AY590" s="219">
        <f t="shared" si="281"/>
        <v>7.0833333333333331E-2</v>
      </c>
      <c r="AZ590" s="196">
        <f t="shared" si="282"/>
        <v>0</v>
      </c>
      <c r="BA590" s="219">
        <f t="shared" si="283"/>
        <v>0</v>
      </c>
      <c r="BB590" s="31">
        <f t="shared" si="284"/>
        <v>0</v>
      </c>
      <c r="BC590" s="219">
        <f t="shared" si="285"/>
        <v>0</v>
      </c>
      <c r="BD590" s="31">
        <f t="shared" si="286"/>
        <v>0</v>
      </c>
      <c r="BE590" s="219">
        <f t="shared" si="287"/>
        <v>0</v>
      </c>
      <c r="BF590" s="31">
        <f t="shared" si="288"/>
        <v>0</v>
      </c>
      <c r="BG590" s="219">
        <f t="shared" si="289"/>
        <v>0</v>
      </c>
      <c r="BH590" s="31">
        <f t="shared" si="290"/>
        <v>0</v>
      </c>
      <c r="BI590" s="219">
        <f t="shared" si="291"/>
        <v>0</v>
      </c>
      <c r="BJ590" s="31">
        <f t="shared" si="292"/>
        <v>0</v>
      </c>
      <c r="BK590" s="219">
        <f t="shared" si="293"/>
        <v>0</v>
      </c>
      <c r="BL590" s="31">
        <f t="shared" si="294"/>
        <v>0</v>
      </c>
      <c r="BM590" s="219">
        <f t="shared" si="295"/>
        <v>0</v>
      </c>
      <c r="BN590" s="31">
        <f t="shared" si="296"/>
        <v>0</v>
      </c>
      <c r="BO590" s="219">
        <f t="shared" si="297"/>
        <v>0</v>
      </c>
    </row>
    <row r="591" spans="1:67" x14ac:dyDescent="0.25">
      <c r="A591" s="31" t="s">
        <v>1610</v>
      </c>
      <c r="B591" s="176" t="str">
        <f>VLOOKUP(A591,kurspris!$A$1:$B$992,2,FALSE)</f>
        <v>Specialpedagogik - åk 7-9 och gymnasieskolan (UK)</v>
      </c>
      <c r="D591" s="60" t="s">
        <v>482</v>
      </c>
      <c r="E591" s="576" t="s">
        <v>2434</v>
      </c>
      <c r="F591" s="31" t="s">
        <v>2273</v>
      </c>
      <c r="G591" t="s">
        <v>2472</v>
      </c>
      <c r="H591" t="s">
        <v>2335</v>
      </c>
      <c r="J591" s="31" t="s">
        <v>2237</v>
      </c>
      <c r="L591" s="38">
        <v>1</v>
      </c>
      <c r="M591">
        <v>5</v>
      </c>
      <c r="P591" s="31">
        <v>2</v>
      </c>
      <c r="Q591" s="196">
        <f t="shared" si="298"/>
        <v>0.16666666666666666</v>
      </c>
      <c r="R591" s="38">
        <v>0.85</v>
      </c>
      <c r="S591" s="280">
        <f t="shared" si="270"/>
        <v>0.14166666666666666</v>
      </c>
      <c r="T591" s="31">
        <f>VLOOKUP(A591,'Ansvar kurs'!$A$1:$C$1123,2,FALSE)</f>
        <v>2180</v>
      </c>
      <c r="U591" s="31" t="str">
        <f>VLOOKUP(T591,Orgenheter!$A$1:$C$166,2,FALSE)</f>
        <v xml:space="preserve">Pedagogik                     </v>
      </c>
      <c r="V591" s="31" t="str">
        <f>VLOOKUP(T591,Orgenheter!$A$1:$C$166,3,FALSE)</f>
        <v>Sam</v>
      </c>
      <c r="W591" s="35" t="str">
        <f>VLOOKUP(D591,Program!$A$1:$B$36,2,FALSE)</f>
        <v>Ämneslärarprogrammet - Gy</v>
      </c>
      <c r="X591" s="40">
        <f>VLOOKUP(A591,kurspris!$A$1:$Q$913,15,FALSE)</f>
        <v>26554</v>
      </c>
      <c r="Y591" s="40">
        <f>VLOOKUP(A591,kurspris!$A$1:$Q$913,16,FALSE)</f>
        <v>33465</v>
      </c>
      <c r="Z591" s="40">
        <f t="shared" si="271"/>
        <v>9166.5416666666661</v>
      </c>
      <c r="AA591" s="40">
        <f>VLOOKUP(A591,kurspris!$A$1:$Q$913,17,FALSE)</f>
        <v>6000</v>
      </c>
      <c r="AB591" s="40">
        <f t="shared" si="272"/>
        <v>1000</v>
      </c>
      <c r="AC591" s="40">
        <f t="shared" si="273"/>
        <v>10166.541666666666</v>
      </c>
      <c r="AD591" s="31">
        <f>VLOOKUP($A591,kurspris!$A$1:$Q$950,3,FALSE)</f>
        <v>0</v>
      </c>
      <c r="AE591" s="31">
        <f>VLOOKUP($A591,kurspris!$A$1:$Q$950,4,FALSE)</f>
        <v>0</v>
      </c>
      <c r="AF591" s="31">
        <f>VLOOKUP($A591,kurspris!$A$1:$Q$950,5,FALSE)</f>
        <v>0</v>
      </c>
      <c r="AG591" s="31">
        <f>VLOOKUP($A591,kurspris!$A$1:$Q$950,6,FALSE)</f>
        <v>1</v>
      </c>
      <c r="AH591" s="31">
        <f>VLOOKUP($A591,kurspris!$A$1:$Q$950,7,FALSE)</f>
        <v>0</v>
      </c>
      <c r="AI591" s="31">
        <f>VLOOKUP($A591,kurspris!$A$1:$Q$950,8,FALSE)</f>
        <v>0</v>
      </c>
      <c r="AJ591" s="31">
        <f>VLOOKUP($A591,kurspris!$A$1:$Q$950,9,FALSE)</f>
        <v>0</v>
      </c>
      <c r="AK591" s="31">
        <f>VLOOKUP($A591,kurspris!$A$1:$Q$950,10,FALSE)</f>
        <v>0</v>
      </c>
      <c r="AL591" s="31">
        <f>VLOOKUP($A591,kurspris!$A$1:$Q$950,11,FALSE)</f>
        <v>0</v>
      </c>
      <c r="AM591" s="31">
        <f>VLOOKUP($A591,kurspris!$A$1:$Q$950,12,FALSE)</f>
        <v>0</v>
      </c>
      <c r="AN591" s="31">
        <f>VLOOKUP($A591,kurspris!$A$1:$Q$950,13,FALSE)</f>
        <v>0</v>
      </c>
      <c r="AO591" s="31">
        <f>VLOOKUP($A591,kurspris!$A$1:$Q$950,14,FALSE)</f>
        <v>0</v>
      </c>
      <c r="AP591" s="57" t="s">
        <v>2506</v>
      </c>
      <c r="AQ591"/>
      <c r="AR591" s="31">
        <f t="shared" si="274"/>
        <v>0</v>
      </c>
      <c r="AS591" s="219">
        <f t="shared" si="275"/>
        <v>0</v>
      </c>
      <c r="AT591" s="31">
        <f t="shared" si="276"/>
        <v>0</v>
      </c>
      <c r="AU591" s="219">
        <f t="shared" si="277"/>
        <v>0</v>
      </c>
      <c r="AV591" s="31">
        <f t="shared" si="278"/>
        <v>0</v>
      </c>
      <c r="AW591" s="31">
        <f t="shared" si="279"/>
        <v>0</v>
      </c>
      <c r="AX591" s="31">
        <f t="shared" si="280"/>
        <v>0.16666666666666666</v>
      </c>
      <c r="AY591" s="219">
        <f t="shared" si="281"/>
        <v>0.14166666666666666</v>
      </c>
      <c r="AZ591" s="196">
        <f t="shared" si="282"/>
        <v>0</v>
      </c>
      <c r="BA591" s="219">
        <f t="shared" si="283"/>
        <v>0</v>
      </c>
      <c r="BB591" s="31">
        <f t="shared" si="284"/>
        <v>0</v>
      </c>
      <c r="BC591" s="219">
        <f t="shared" si="285"/>
        <v>0</v>
      </c>
      <c r="BD591" s="31">
        <f t="shared" si="286"/>
        <v>0</v>
      </c>
      <c r="BE591" s="219">
        <f t="shared" si="287"/>
        <v>0</v>
      </c>
      <c r="BF591" s="31">
        <f t="shared" si="288"/>
        <v>0</v>
      </c>
      <c r="BG591" s="219">
        <f t="shared" si="289"/>
        <v>0</v>
      </c>
      <c r="BH591" s="31">
        <f t="shared" si="290"/>
        <v>0</v>
      </c>
      <c r="BI591" s="219">
        <f t="shared" si="291"/>
        <v>0</v>
      </c>
      <c r="BJ591" s="31">
        <f t="shared" si="292"/>
        <v>0</v>
      </c>
      <c r="BK591" s="219">
        <f t="shared" si="293"/>
        <v>0</v>
      </c>
      <c r="BL591" s="31">
        <f t="shared" si="294"/>
        <v>0</v>
      </c>
      <c r="BM591" s="219">
        <f t="shared" si="295"/>
        <v>0</v>
      </c>
      <c r="BN591" s="31">
        <f t="shared" si="296"/>
        <v>0</v>
      </c>
      <c r="BO591" s="219">
        <f t="shared" si="297"/>
        <v>0</v>
      </c>
    </row>
    <row r="592" spans="1:67" x14ac:dyDescent="0.25">
      <c r="A592" s="31" t="s">
        <v>1610</v>
      </c>
      <c r="B592" s="176" t="str">
        <f>VLOOKUP(A592,kurspris!$A$1:$B$992,2,FALSE)</f>
        <v>Specialpedagogik - åk 7-9 och gymnasieskolan (UK)</v>
      </c>
      <c r="D592" s="60" t="s">
        <v>482</v>
      </c>
      <c r="E592" s="576" t="s">
        <v>2434</v>
      </c>
      <c r="F592" s="31" t="s">
        <v>2273</v>
      </c>
      <c r="G592" t="s">
        <v>2472</v>
      </c>
      <c r="H592" t="s">
        <v>2335</v>
      </c>
      <c r="J592" s="31" t="s">
        <v>2234</v>
      </c>
      <c r="L592" s="38">
        <v>1</v>
      </c>
      <c r="M592">
        <v>5</v>
      </c>
      <c r="P592" s="31">
        <v>2</v>
      </c>
      <c r="Q592" s="196">
        <f t="shared" si="298"/>
        <v>0.16666666666666666</v>
      </c>
      <c r="R592" s="38">
        <v>0.85</v>
      </c>
      <c r="S592" s="280">
        <f t="shared" si="270"/>
        <v>0.14166666666666666</v>
      </c>
      <c r="T592" s="31">
        <f>VLOOKUP(A592,'Ansvar kurs'!$A$1:$C$1123,2,FALSE)</f>
        <v>2180</v>
      </c>
      <c r="U592" s="31" t="str">
        <f>VLOOKUP(T592,Orgenheter!$A$1:$C$166,2,FALSE)</f>
        <v xml:space="preserve">Pedagogik                     </v>
      </c>
      <c r="V592" s="31" t="str">
        <f>VLOOKUP(T592,Orgenheter!$A$1:$C$166,3,FALSE)</f>
        <v>Sam</v>
      </c>
      <c r="W592" s="35" t="str">
        <f>VLOOKUP(D592,Program!$A$1:$B$36,2,FALSE)</f>
        <v>Ämneslärarprogrammet - Gy</v>
      </c>
      <c r="X592" s="40">
        <f>VLOOKUP(A592,kurspris!$A$1:$Q$913,15,FALSE)</f>
        <v>26554</v>
      </c>
      <c r="Y592" s="40">
        <f>VLOOKUP(A592,kurspris!$A$1:$Q$913,16,FALSE)</f>
        <v>33465</v>
      </c>
      <c r="Z592" s="40">
        <f t="shared" si="271"/>
        <v>9166.5416666666661</v>
      </c>
      <c r="AA592" s="40">
        <f>VLOOKUP(A592,kurspris!$A$1:$Q$913,17,FALSE)</f>
        <v>6000</v>
      </c>
      <c r="AB592" s="40">
        <f t="shared" si="272"/>
        <v>1000</v>
      </c>
      <c r="AC592" s="40">
        <f t="shared" si="273"/>
        <v>10166.541666666666</v>
      </c>
      <c r="AD592" s="31">
        <f>VLOOKUP($A592,kurspris!$A$1:$Q$950,3,FALSE)</f>
        <v>0</v>
      </c>
      <c r="AE592" s="31">
        <f>VLOOKUP($A592,kurspris!$A$1:$Q$950,4,FALSE)</f>
        <v>0</v>
      </c>
      <c r="AF592" s="31">
        <f>VLOOKUP($A592,kurspris!$A$1:$Q$950,5,FALSE)</f>
        <v>0</v>
      </c>
      <c r="AG592" s="31">
        <f>VLOOKUP($A592,kurspris!$A$1:$Q$950,6,FALSE)</f>
        <v>1</v>
      </c>
      <c r="AH592" s="31">
        <f>VLOOKUP($A592,kurspris!$A$1:$Q$950,7,FALSE)</f>
        <v>0</v>
      </c>
      <c r="AI592" s="31">
        <f>VLOOKUP($A592,kurspris!$A$1:$Q$950,8,FALSE)</f>
        <v>0</v>
      </c>
      <c r="AJ592" s="31">
        <f>VLOOKUP($A592,kurspris!$A$1:$Q$950,9,FALSE)</f>
        <v>0</v>
      </c>
      <c r="AK592" s="31">
        <f>VLOOKUP($A592,kurspris!$A$1:$Q$950,10,FALSE)</f>
        <v>0</v>
      </c>
      <c r="AL592" s="31">
        <f>VLOOKUP($A592,kurspris!$A$1:$Q$950,11,FALSE)</f>
        <v>0</v>
      </c>
      <c r="AM592" s="31">
        <f>VLOOKUP($A592,kurspris!$A$1:$Q$950,12,FALSE)</f>
        <v>0</v>
      </c>
      <c r="AN592" s="31">
        <f>VLOOKUP($A592,kurspris!$A$1:$Q$950,13,FALSE)</f>
        <v>0</v>
      </c>
      <c r="AO592" s="31">
        <f>VLOOKUP($A592,kurspris!$A$1:$Q$950,14,FALSE)</f>
        <v>0</v>
      </c>
      <c r="AP592" s="57" t="s">
        <v>2506</v>
      </c>
      <c r="AQ592"/>
      <c r="AR592" s="31">
        <f t="shared" si="274"/>
        <v>0</v>
      </c>
      <c r="AS592" s="219">
        <f t="shared" si="275"/>
        <v>0</v>
      </c>
      <c r="AT592" s="31">
        <f t="shared" si="276"/>
        <v>0</v>
      </c>
      <c r="AU592" s="219">
        <f t="shared" si="277"/>
        <v>0</v>
      </c>
      <c r="AV592" s="31">
        <f t="shared" si="278"/>
        <v>0</v>
      </c>
      <c r="AW592" s="31">
        <f t="shared" si="279"/>
        <v>0</v>
      </c>
      <c r="AX592" s="31">
        <f t="shared" si="280"/>
        <v>0.16666666666666666</v>
      </c>
      <c r="AY592" s="219">
        <f t="shared" si="281"/>
        <v>0.14166666666666666</v>
      </c>
      <c r="AZ592" s="196">
        <f t="shared" si="282"/>
        <v>0</v>
      </c>
      <c r="BA592" s="219">
        <f t="shared" si="283"/>
        <v>0</v>
      </c>
      <c r="BB592" s="31">
        <f t="shared" si="284"/>
        <v>0</v>
      </c>
      <c r="BC592" s="219">
        <f t="shared" si="285"/>
        <v>0</v>
      </c>
      <c r="BD592" s="31">
        <f t="shared" si="286"/>
        <v>0</v>
      </c>
      <c r="BE592" s="219">
        <f t="shared" si="287"/>
        <v>0</v>
      </c>
      <c r="BF592" s="31">
        <f t="shared" si="288"/>
        <v>0</v>
      </c>
      <c r="BG592" s="219">
        <f t="shared" si="289"/>
        <v>0</v>
      </c>
      <c r="BH592" s="31">
        <f t="shared" si="290"/>
        <v>0</v>
      </c>
      <c r="BI592" s="219">
        <f t="shared" si="291"/>
        <v>0</v>
      </c>
      <c r="BJ592" s="31">
        <f t="shared" si="292"/>
        <v>0</v>
      </c>
      <c r="BK592" s="219">
        <f t="shared" si="293"/>
        <v>0</v>
      </c>
      <c r="BL592" s="31">
        <f t="shared" si="294"/>
        <v>0</v>
      </c>
      <c r="BM592" s="219">
        <f t="shared" si="295"/>
        <v>0</v>
      </c>
      <c r="BN592" s="31">
        <f t="shared" si="296"/>
        <v>0</v>
      </c>
      <c r="BO592" s="219">
        <f t="shared" si="297"/>
        <v>0</v>
      </c>
    </row>
    <row r="593" spans="1:67" x14ac:dyDescent="0.25">
      <c r="A593" s="31" t="s">
        <v>1610</v>
      </c>
      <c r="B593" s="176" t="str">
        <f>VLOOKUP(A593,kurspris!$A$1:$B$992,2,FALSE)</f>
        <v>Specialpedagogik - åk 7-9 och gymnasieskolan (UK)</v>
      </c>
      <c r="D593" s="60" t="s">
        <v>482</v>
      </c>
      <c r="E593" s="576" t="s">
        <v>2434</v>
      </c>
      <c r="F593" s="31" t="s">
        <v>2273</v>
      </c>
      <c r="G593" t="s">
        <v>2472</v>
      </c>
      <c r="H593" t="s">
        <v>2335</v>
      </c>
      <c r="J593" s="31" t="s">
        <v>2231</v>
      </c>
      <c r="L593" s="38">
        <v>1</v>
      </c>
      <c r="M593">
        <v>5</v>
      </c>
      <c r="P593" s="31">
        <v>12</v>
      </c>
      <c r="Q593" s="196">
        <f t="shared" si="298"/>
        <v>1</v>
      </c>
      <c r="R593" s="38">
        <v>0.85</v>
      </c>
      <c r="S593" s="280">
        <f t="shared" si="270"/>
        <v>0.85</v>
      </c>
      <c r="T593" s="31">
        <f>VLOOKUP(A593,'Ansvar kurs'!$A$1:$C$1123,2,FALSE)</f>
        <v>2180</v>
      </c>
      <c r="U593" s="31" t="str">
        <f>VLOOKUP(T593,Orgenheter!$A$1:$C$166,2,FALSE)</f>
        <v xml:space="preserve">Pedagogik                     </v>
      </c>
      <c r="V593" s="31" t="str">
        <f>VLOOKUP(T593,Orgenheter!$A$1:$C$166,3,FALSE)</f>
        <v>Sam</v>
      </c>
      <c r="W593" s="35" t="str">
        <f>VLOOKUP(D593,Program!$A$1:$B$36,2,FALSE)</f>
        <v>Ämneslärarprogrammet - Gy</v>
      </c>
      <c r="X593" s="40">
        <f>VLOOKUP(A593,kurspris!$A$1:$Q$913,15,FALSE)</f>
        <v>26554</v>
      </c>
      <c r="Y593" s="40">
        <f>VLOOKUP(A593,kurspris!$A$1:$Q$913,16,FALSE)</f>
        <v>33465</v>
      </c>
      <c r="Z593" s="40">
        <f t="shared" si="271"/>
        <v>54999.25</v>
      </c>
      <c r="AA593" s="40">
        <f>VLOOKUP(A593,kurspris!$A$1:$Q$913,17,FALSE)</f>
        <v>6000</v>
      </c>
      <c r="AB593" s="40">
        <f t="shared" si="272"/>
        <v>6000</v>
      </c>
      <c r="AC593" s="40">
        <f t="shared" si="273"/>
        <v>60999.25</v>
      </c>
      <c r="AD593" s="31">
        <f>VLOOKUP($A593,kurspris!$A$1:$Q$950,3,FALSE)</f>
        <v>0</v>
      </c>
      <c r="AE593" s="31">
        <f>VLOOKUP($A593,kurspris!$A$1:$Q$950,4,FALSE)</f>
        <v>0</v>
      </c>
      <c r="AF593" s="31">
        <f>VLOOKUP($A593,kurspris!$A$1:$Q$950,5,FALSE)</f>
        <v>0</v>
      </c>
      <c r="AG593" s="31">
        <f>VLOOKUP($A593,kurspris!$A$1:$Q$950,6,FALSE)</f>
        <v>1</v>
      </c>
      <c r="AH593" s="31">
        <f>VLOOKUP($A593,kurspris!$A$1:$Q$950,7,FALSE)</f>
        <v>0</v>
      </c>
      <c r="AI593" s="31">
        <f>VLOOKUP($A593,kurspris!$A$1:$Q$950,8,FALSE)</f>
        <v>0</v>
      </c>
      <c r="AJ593" s="31">
        <f>VLOOKUP($A593,kurspris!$A$1:$Q$950,9,FALSE)</f>
        <v>0</v>
      </c>
      <c r="AK593" s="31">
        <f>VLOOKUP($A593,kurspris!$A$1:$Q$950,10,FALSE)</f>
        <v>0</v>
      </c>
      <c r="AL593" s="31">
        <f>VLOOKUP($A593,kurspris!$A$1:$Q$950,11,FALSE)</f>
        <v>0</v>
      </c>
      <c r="AM593" s="31">
        <f>VLOOKUP($A593,kurspris!$A$1:$Q$950,12,FALSE)</f>
        <v>0</v>
      </c>
      <c r="AN593" s="31">
        <f>VLOOKUP($A593,kurspris!$A$1:$Q$950,13,FALSE)</f>
        <v>0</v>
      </c>
      <c r="AO593" s="31">
        <f>VLOOKUP($A593,kurspris!$A$1:$Q$950,14,FALSE)</f>
        <v>0</v>
      </c>
      <c r="AP593" s="57" t="s">
        <v>2506</v>
      </c>
      <c r="AQ593"/>
      <c r="AR593" s="31">
        <f t="shared" si="274"/>
        <v>0</v>
      </c>
      <c r="AS593" s="219">
        <f t="shared" si="275"/>
        <v>0</v>
      </c>
      <c r="AT593" s="31">
        <f t="shared" si="276"/>
        <v>0</v>
      </c>
      <c r="AU593" s="219">
        <f t="shared" si="277"/>
        <v>0</v>
      </c>
      <c r="AV593" s="31">
        <f t="shared" si="278"/>
        <v>0</v>
      </c>
      <c r="AW593" s="31">
        <f t="shared" si="279"/>
        <v>0</v>
      </c>
      <c r="AX593" s="31">
        <f t="shared" si="280"/>
        <v>1</v>
      </c>
      <c r="AY593" s="219">
        <f t="shared" si="281"/>
        <v>0.85</v>
      </c>
      <c r="AZ593" s="196">
        <f t="shared" si="282"/>
        <v>0</v>
      </c>
      <c r="BA593" s="219">
        <f t="shared" si="283"/>
        <v>0</v>
      </c>
      <c r="BB593" s="31">
        <f t="shared" si="284"/>
        <v>0</v>
      </c>
      <c r="BC593" s="219">
        <f t="shared" si="285"/>
        <v>0</v>
      </c>
      <c r="BD593" s="31">
        <f t="shared" si="286"/>
        <v>0</v>
      </c>
      <c r="BE593" s="219">
        <f t="shared" si="287"/>
        <v>0</v>
      </c>
      <c r="BF593" s="31">
        <f t="shared" si="288"/>
        <v>0</v>
      </c>
      <c r="BG593" s="219">
        <f t="shared" si="289"/>
        <v>0</v>
      </c>
      <c r="BH593" s="31">
        <f t="shared" si="290"/>
        <v>0</v>
      </c>
      <c r="BI593" s="219">
        <f t="shared" si="291"/>
        <v>0</v>
      </c>
      <c r="BJ593" s="31">
        <f t="shared" si="292"/>
        <v>0</v>
      </c>
      <c r="BK593" s="219">
        <f t="shared" si="293"/>
        <v>0</v>
      </c>
      <c r="BL593" s="31">
        <f t="shared" si="294"/>
        <v>0</v>
      </c>
      <c r="BM593" s="219">
        <f t="shared" si="295"/>
        <v>0</v>
      </c>
      <c r="BN593" s="31">
        <f t="shared" si="296"/>
        <v>0</v>
      </c>
      <c r="BO593" s="219">
        <f t="shared" si="297"/>
        <v>0</v>
      </c>
    </row>
    <row r="594" spans="1:67" x14ac:dyDescent="0.25">
      <c r="A594" s="31" t="s">
        <v>1610</v>
      </c>
      <c r="B594" s="176" t="str">
        <f>VLOOKUP(A594,kurspris!$A$1:$B$992,2,FALSE)</f>
        <v>Specialpedagogik - åk 7-9 och gymnasieskolan (UK)</v>
      </c>
      <c r="D594" s="60" t="s">
        <v>482</v>
      </c>
      <c r="E594" s="576" t="s">
        <v>2434</v>
      </c>
      <c r="F594" s="31" t="s">
        <v>2273</v>
      </c>
      <c r="G594" t="s">
        <v>2472</v>
      </c>
      <c r="H594" t="s">
        <v>2335</v>
      </c>
      <c r="J594" s="31" t="s">
        <v>2238</v>
      </c>
      <c r="L594" s="38">
        <v>1</v>
      </c>
      <c r="M594">
        <v>5</v>
      </c>
      <c r="P594" s="31">
        <v>2</v>
      </c>
      <c r="Q594" s="196">
        <f t="shared" si="298"/>
        <v>0.16666666666666666</v>
      </c>
      <c r="R594" s="38">
        <v>0.85</v>
      </c>
      <c r="S594" s="280">
        <f t="shared" si="270"/>
        <v>0.14166666666666666</v>
      </c>
      <c r="T594" s="31">
        <f>VLOOKUP(A594,'Ansvar kurs'!$A$1:$C$1123,2,FALSE)</f>
        <v>2180</v>
      </c>
      <c r="U594" s="31" t="str">
        <f>VLOOKUP(T594,Orgenheter!$A$1:$C$166,2,FALSE)</f>
        <v xml:space="preserve">Pedagogik                     </v>
      </c>
      <c r="V594" s="31" t="str">
        <f>VLOOKUP(T594,Orgenheter!$A$1:$C$166,3,FALSE)</f>
        <v>Sam</v>
      </c>
      <c r="W594" s="35" t="str">
        <f>VLOOKUP(D594,Program!$A$1:$B$36,2,FALSE)</f>
        <v>Ämneslärarprogrammet - Gy</v>
      </c>
      <c r="X594" s="40">
        <f>VLOOKUP(A594,kurspris!$A$1:$Q$913,15,FALSE)</f>
        <v>26554</v>
      </c>
      <c r="Y594" s="40">
        <f>VLOOKUP(A594,kurspris!$A$1:$Q$913,16,FALSE)</f>
        <v>33465</v>
      </c>
      <c r="Z594" s="40">
        <f t="shared" si="271"/>
        <v>9166.5416666666661</v>
      </c>
      <c r="AA594" s="40">
        <f>VLOOKUP(A594,kurspris!$A$1:$Q$913,17,FALSE)</f>
        <v>6000</v>
      </c>
      <c r="AB594" s="40">
        <f t="shared" si="272"/>
        <v>1000</v>
      </c>
      <c r="AC594" s="40">
        <f t="shared" si="273"/>
        <v>10166.541666666666</v>
      </c>
      <c r="AD594" s="31">
        <f>VLOOKUP($A594,kurspris!$A$1:$Q$950,3,FALSE)</f>
        <v>0</v>
      </c>
      <c r="AE594" s="31">
        <f>VLOOKUP($A594,kurspris!$A$1:$Q$950,4,FALSE)</f>
        <v>0</v>
      </c>
      <c r="AF594" s="31">
        <f>VLOOKUP($A594,kurspris!$A$1:$Q$950,5,FALSE)</f>
        <v>0</v>
      </c>
      <c r="AG594" s="31">
        <f>VLOOKUP($A594,kurspris!$A$1:$Q$950,6,FALSE)</f>
        <v>1</v>
      </c>
      <c r="AH594" s="31">
        <f>VLOOKUP($A594,kurspris!$A$1:$Q$950,7,FALSE)</f>
        <v>0</v>
      </c>
      <c r="AI594" s="31">
        <f>VLOOKUP($A594,kurspris!$A$1:$Q$950,8,FALSE)</f>
        <v>0</v>
      </c>
      <c r="AJ594" s="31">
        <f>VLOOKUP($A594,kurspris!$A$1:$Q$950,9,FALSE)</f>
        <v>0</v>
      </c>
      <c r="AK594" s="31">
        <f>VLOOKUP($A594,kurspris!$A$1:$Q$950,10,FALSE)</f>
        <v>0</v>
      </c>
      <c r="AL594" s="31">
        <f>VLOOKUP($A594,kurspris!$A$1:$Q$950,11,FALSE)</f>
        <v>0</v>
      </c>
      <c r="AM594" s="31">
        <f>VLOOKUP($A594,kurspris!$A$1:$Q$950,12,FALSE)</f>
        <v>0</v>
      </c>
      <c r="AN594" s="31">
        <f>VLOOKUP($A594,kurspris!$A$1:$Q$950,13,FALSE)</f>
        <v>0</v>
      </c>
      <c r="AO594" s="31">
        <f>VLOOKUP($A594,kurspris!$A$1:$Q$950,14,FALSE)</f>
        <v>0</v>
      </c>
      <c r="AP594" s="57" t="s">
        <v>2506</v>
      </c>
      <c r="AQ594"/>
      <c r="AR594" s="31">
        <f t="shared" si="274"/>
        <v>0</v>
      </c>
      <c r="AS594" s="219">
        <f t="shared" si="275"/>
        <v>0</v>
      </c>
      <c r="AT594" s="31">
        <f t="shared" si="276"/>
        <v>0</v>
      </c>
      <c r="AU594" s="219">
        <f t="shared" si="277"/>
        <v>0</v>
      </c>
      <c r="AV594" s="31">
        <f t="shared" si="278"/>
        <v>0</v>
      </c>
      <c r="AW594" s="31">
        <f t="shared" si="279"/>
        <v>0</v>
      </c>
      <c r="AX594" s="31">
        <f t="shared" si="280"/>
        <v>0.16666666666666666</v>
      </c>
      <c r="AY594" s="219">
        <f t="shared" si="281"/>
        <v>0.14166666666666666</v>
      </c>
      <c r="AZ594" s="196">
        <f t="shared" si="282"/>
        <v>0</v>
      </c>
      <c r="BA594" s="219">
        <f t="shared" si="283"/>
        <v>0</v>
      </c>
      <c r="BB594" s="31">
        <f t="shared" si="284"/>
        <v>0</v>
      </c>
      <c r="BC594" s="219">
        <f t="shared" si="285"/>
        <v>0</v>
      </c>
      <c r="BD594" s="31">
        <f t="shared" si="286"/>
        <v>0</v>
      </c>
      <c r="BE594" s="219">
        <f t="shared" si="287"/>
        <v>0</v>
      </c>
      <c r="BF594" s="31">
        <f t="shared" si="288"/>
        <v>0</v>
      </c>
      <c r="BG594" s="219">
        <f t="shared" si="289"/>
        <v>0</v>
      </c>
      <c r="BH594" s="31">
        <f t="shared" si="290"/>
        <v>0</v>
      </c>
      <c r="BI594" s="219">
        <f t="shared" si="291"/>
        <v>0</v>
      </c>
      <c r="BJ594" s="31">
        <f t="shared" si="292"/>
        <v>0</v>
      </c>
      <c r="BK594" s="219">
        <f t="shared" si="293"/>
        <v>0</v>
      </c>
      <c r="BL594" s="31">
        <f t="shared" si="294"/>
        <v>0</v>
      </c>
      <c r="BM594" s="219">
        <f t="shared" si="295"/>
        <v>0</v>
      </c>
      <c r="BN594" s="31">
        <f t="shared" si="296"/>
        <v>0</v>
      </c>
      <c r="BO594" s="219">
        <f t="shared" si="297"/>
        <v>0</v>
      </c>
    </row>
    <row r="595" spans="1:67" x14ac:dyDescent="0.25">
      <c r="A595" s="31" t="s">
        <v>1610</v>
      </c>
      <c r="B595" s="176" t="str">
        <f>VLOOKUP(A595,kurspris!$A$1:$B$992,2,FALSE)</f>
        <v>Specialpedagogik - åk 7-9 och gymnasieskolan (UK)</v>
      </c>
      <c r="D595" s="60" t="s">
        <v>482</v>
      </c>
      <c r="E595" s="576" t="s">
        <v>2434</v>
      </c>
      <c r="F595" s="31" t="s">
        <v>2273</v>
      </c>
      <c r="G595" t="s">
        <v>2472</v>
      </c>
      <c r="H595" t="s">
        <v>2335</v>
      </c>
      <c r="J595" s="31" t="s">
        <v>2241</v>
      </c>
      <c r="L595" s="38">
        <v>1</v>
      </c>
      <c r="M595">
        <v>5</v>
      </c>
      <c r="P595" s="31">
        <v>17</v>
      </c>
      <c r="Q595" s="196">
        <f t="shared" si="298"/>
        <v>1.4166666666666665</v>
      </c>
      <c r="R595" s="38">
        <v>0.85</v>
      </c>
      <c r="S595" s="280">
        <f t="shared" si="270"/>
        <v>1.2041666666666666</v>
      </c>
      <c r="T595" s="31">
        <f>VLOOKUP(A595,'Ansvar kurs'!$A$1:$C$1123,2,FALSE)</f>
        <v>2180</v>
      </c>
      <c r="U595" s="31" t="str">
        <f>VLOOKUP(T595,Orgenheter!$A$1:$C$166,2,FALSE)</f>
        <v xml:space="preserve">Pedagogik                     </v>
      </c>
      <c r="V595" s="31" t="str">
        <f>VLOOKUP(T595,Orgenheter!$A$1:$C$166,3,FALSE)</f>
        <v>Sam</v>
      </c>
      <c r="W595" s="35" t="str">
        <f>VLOOKUP(D595,Program!$A$1:$B$36,2,FALSE)</f>
        <v>Ämneslärarprogrammet - Gy</v>
      </c>
      <c r="X595" s="40">
        <f>VLOOKUP(A595,kurspris!$A$1:$Q$913,15,FALSE)</f>
        <v>26554</v>
      </c>
      <c r="Y595" s="40">
        <f>VLOOKUP(A595,kurspris!$A$1:$Q$913,16,FALSE)</f>
        <v>33465</v>
      </c>
      <c r="Z595" s="40">
        <f t="shared" si="271"/>
        <v>77915.604166666657</v>
      </c>
      <c r="AA595" s="40">
        <f>VLOOKUP(A595,kurspris!$A$1:$Q$913,17,FALSE)</f>
        <v>6000</v>
      </c>
      <c r="AB595" s="40">
        <f t="shared" si="272"/>
        <v>8500</v>
      </c>
      <c r="AC595" s="40">
        <f t="shared" si="273"/>
        <v>86415.604166666657</v>
      </c>
      <c r="AD595" s="31">
        <f>VLOOKUP($A595,kurspris!$A$1:$Q$950,3,FALSE)</f>
        <v>0</v>
      </c>
      <c r="AE595" s="31">
        <f>VLOOKUP($A595,kurspris!$A$1:$Q$950,4,FALSE)</f>
        <v>0</v>
      </c>
      <c r="AF595" s="31">
        <f>VLOOKUP($A595,kurspris!$A$1:$Q$950,5,FALSE)</f>
        <v>0</v>
      </c>
      <c r="AG595" s="31">
        <f>VLOOKUP($A595,kurspris!$A$1:$Q$950,6,FALSE)</f>
        <v>1</v>
      </c>
      <c r="AH595" s="31">
        <f>VLOOKUP($A595,kurspris!$A$1:$Q$950,7,FALSE)</f>
        <v>0</v>
      </c>
      <c r="AI595" s="31">
        <f>VLOOKUP($A595,kurspris!$A$1:$Q$950,8,FALSE)</f>
        <v>0</v>
      </c>
      <c r="AJ595" s="31">
        <f>VLOOKUP($A595,kurspris!$A$1:$Q$950,9,FALSE)</f>
        <v>0</v>
      </c>
      <c r="AK595" s="31">
        <f>VLOOKUP($A595,kurspris!$A$1:$Q$950,10,FALSE)</f>
        <v>0</v>
      </c>
      <c r="AL595" s="31">
        <f>VLOOKUP($A595,kurspris!$A$1:$Q$950,11,FALSE)</f>
        <v>0</v>
      </c>
      <c r="AM595" s="31">
        <f>VLOOKUP($A595,kurspris!$A$1:$Q$950,12,FALSE)</f>
        <v>0</v>
      </c>
      <c r="AN595" s="31">
        <f>VLOOKUP($A595,kurspris!$A$1:$Q$950,13,FALSE)</f>
        <v>0</v>
      </c>
      <c r="AO595" s="31">
        <f>VLOOKUP($A595,kurspris!$A$1:$Q$950,14,FALSE)</f>
        <v>0</v>
      </c>
      <c r="AP595" s="57" t="s">
        <v>2506</v>
      </c>
      <c r="AQ595"/>
      <c r="AR595" s="31">
        <f t="shared" si="274"/>
        <v>0</v>
      </c>
      <c r="AS595" s="219">
        <f t="shared" si="275"/>
        <v>0</v>
      </c>
      <c r="AT595" s="31">
        <f t="shared" si="276"/>
        <v>0</v>
      </c>
      <c r="AU595" s="219">
        <f t="shared" si="277"/>
        <v>0</v>
      </c>
      <c r="AV595" s="31">
        <f t="shared" si="278"/>
        <v>0</v>
      </c>
      <c r="AW595" s="31">
        <f t="shared" si="279"/>
        <v>0</v>
      </c>
      <c r="AX595" s="31">
        <f t="shared" si="280"/>
        <v>1.4166666666666665</v>
      </c>
      <c r="AY595" s="219">
        <f t="shared" si="281"/>
        <v>1.2041666666666666</v>
      </c>
      <c r="AZ595" s="196">
        <f t="shared" si="282"/>
        <v>0</v>
      </c>
      <c r="BA595" s="219">
        <f t="shared" si="283"/>
        <v>0</v>
      </c>
      <c r="BB595" s="31">
        <f t="shared" si="284"/>
        <v>0</v>
      </c>
      <c r="BC595" s="219">
        <f t="shared" si="285"/>
        <v>0</v>
      </c>
      <c r="BD595" s="31">
        <f t="shared" si="286"/>
        <v>0</v>
      </c>
      <c r="BE595" s="219">
        <f t="shared" si="287"/>
        <v>0</v>
      </c>
      <c r="BF595" s="31">
        <f t="shared" si="288"/>
        <v>0</v>
      </c>
      <c r="BG595" s="219">
        <f t="shared" si="289"/>
        <v>0</v>
      </c>
      <c r="BH595" s="31">
        <f t="shared" si="290"/>
        <v>0</v>
      </c>
      <c r="BI595" s="219">
        <f t="shared" si="291"/>
        <v>0</v>
      </c>
      <c r="BJ595" s="31">
        <f t="shared" si="292"/>
        <v>0</v>
      </c>
      <c r="BK595" s="219">
        <f t="shared" si="293"/>
        <v>0</v>
      </c>
      <c r="BL595" s="31">
        <f t="shared" si="294"/>
        <v>0</v>
      </c>
      <c r="BM595" s="219">
        <f t="shared" si="295"/>
        <v>0</v>
      </c>
      <c r="BN595" s="31">
        <f t="shared" si="296"/>
        <v>0</v>
      </c>
      <c r="BO595" s="219">
        <f t="shared" si="297"/>
        <v>0</v>
      </c>
    </row>
    <row r="596" spans="1:67" x14ac:dyDescent="0.25">
      <c r="A596" s="31" t="s">
        <v>1610</v>
      </c>
      <c r="B596" s="176" t="str">
        <f>VLOOKUP(A596,kurspris!$A$1:$B$992,2,FALSE)</f>
        <v>Specialpedagogik - åk 7-9 och gymnasieskolan (UK)</v>
      </c>
      <c r="D596" s="60" t="s">
        <v>482</v>
      </c>
      <c r="E596" s="576" t="s">
        <v>2434</v>
      </c>
      <c r="F596" s="31" t="s">
        <v>2273</v>
      </c>
      <c r="G596" t="s">
        <v>2472</v>
      </c>
      <c r="H596" t="s">
        <v>2335</v>
      </c>
      <c r="J596" s="31" t="s">
        <v>2232</v>
      </c>
      <c r="L596" s="38">
        <v>1</v>
      </c>
      <c r="M596">
        <v>5</v>
      </c>
      <c r="P596" s="31">
        <v>18</v>
      </c>
      <c r="Q596" s="196">
        <f t="shared" si="298"/>
        <v>1.5</v>
      </c>
      <c r="R596" s="38">
        <v>0.85</v>
      </c>
      <c r="S596" s="280">
        <f t="shared" si="270"/>
        <v>1.2749999999999999</v>
      </c>
      <c r="T596" s="31">
        <f>VLOOKUP(A596,'Ansvar kurs'!$A$1:$C$1123,2,FALSE)</f>
        <v>2180</v>
      </c>
      <c r="U596" s="31" t="str">
        <f>VLOOKUP(T596,Orgenheter!$A$1:$C$166,2,FALSE)</f>
        <v xml:space="preserve">Pedagogik                     </v>
      </c>
      <c r="V596" s="31" t="str">
        <f>VLOOKUP(T596,Orgenheter!$A$1:$C$166,3,FALSE)</f>
        <v>Sam</v>
      </c>
      <c r="W596" s="35" t="str">
        <f>VLOOKUP(D596,Program!$A$1:$B$36,2,FALSE)</f>
        <v>Ämneslärarprogrammet - Gy</v>
      </c>
      <c r="X596" s="40">
        <f>VLOOKUP(A596,kurspris!$A$1:$Q$913,15,FALSE)</f>
        <v>26554</v>
      </c>
      <c r="Y596" s="40">
        <f>VLOOKUP(A596,kurspris!$A$1:$Q$913,16,FALSE)</f>
        <v>33465</v>
      </c>
      <c r="Z596" s="40">
        <f t="shared" si="271"/>
        <v>82498.875</v>
      </c>
      <c r="AA596" s="40">
        <f>VLOOKUP(A596,kurspris!$A$1:$Q$913,17,FALSE)</f>
        <v>6000</v>
      </c>
      <c r="AB596" s="40">
        <f t="shared" si="272"/>
        <v>9000</v>
      </c>
      <c r="AC596" s="40">
        <f t="shared" si="273"/>
        <v>91498.875</v>
      </c>
      <c r="AD596" s="31">
        <f>VLOOKUP($A596,kurspris!$A$1:$Q$950,3,FALSE)</f>
        <v>0</v>
      </c>
      <c r="AE596" s="31">
        <f>VLOOKUP($A596,kurspris!$A$1:$Q$950,4,FALSE)</f>
        <v>0</v>
      </c>
      <c r="AF596" s="31">
        <f>VLOOKUP($A596,kurspris!$A$1:$Q$950,5,FALSE)</f>
        <v>0</v>
      </c>
      <c r="AG596" s="31">
        <f>VLOOKUP($A596,kurspris!$A$1:$Q$950,6,FALSE)</f>
        <v>1</v>
      </c>
      <c r="AH596" s="31">
        <f>VLOOKUP($A596,kurspris!$A$1:$Q$950,7,FALSE)</f>
        <v>0</v>
      </c>
      <c r="AI596" s="31">
        <f>VLOOKUP($A596,kurspris!$A$1:$Q$950,8,FALSE)</f>
        <v>0</v>
      </c>
      <c r="AJ596" s="31">
        <f>VLOOKUP($A596,kurspris!$A$1:$Q$950,9,FALSE)</f>
        <v>0</v>
      </c>
      <c r="AK596" s="31">
        <f>VLOOKUP($A596,kurspris!$A$1:$Q$950,10,FALSE)</f>
        <v>0</v>
      </c>
      <c r="AL596" s="31">
        <f>VLOOKUP($A596,kurspris!$A$1:$Q$950,11,FALSE)</f>
        <v>0</v>
      </c>
      <c r="AM596" s="31">
        <f>VLOOKUP($A596,kurspris!$A$1:$Q$950,12,FALSE)</f>
        <v>0</v>
      </c>
      <c r="AN596" s="31">
        <f>VLOOKUP($A596,kurspris!$A$1:$Q$950,13,FALSE)</f>
        <v>0</v>
      </c>
      <c r="AO596" s="31">
        <f>VLOOKUP($A596,kurspris!$A$1:$Q$950,14,FALSE)</f>
        <v>0</v>
      </c>
      <c r="AP596" s="57" t="s">
        <v>2506</v>
      </c>
      <c r="AQ596"/>
      <c r="AR596" s="31">
        <f t="shared" si="274"/>
        <v>0</v>
      </c>
      <c r="AS596" s="219">
        <f t="shared" si="275"/>
        <v>0</v>
      </c>
      <c r="AT596" s="31">
        <f t="shared" si="276"/>
        <v>0</v>
      </c>
      <c r="AU596" s="219">
        <f t="shared" si="277"/>
        <v>0</v>
      </c>
      <c r="AV596" s="31">
        <f t="shared" si="278"/>
        <v>0</v>
      </c>
      <c r="AW596" s="31">
        <f t="shared" si="279"/>
        <v>0</v>
      </c>
      <c r="AX596" s="31">
        <f t="shared" si="280"/>
        <v>1.5</v>
      </c>
      <c r="AY596" s="219">
        <f t="shared" si="281"/>
        <v>1.2749999999999999</v>
      </c>
      <c r="AZ596" s="196">
        <f t="shared" si="282"/>
        <v>0</v>
      </c>
      <c r="BA596" s="219">
        <f t="shared" si="283"/>
        <v>0</v>
      </c>
      <c r="BB596" s="31">
        <f t="shared" si="284"/>
        <v>0</v>
      </c>
      <c r="BC596" s="219">
        <f t="shared" si="285"/>
        <v>0</v>
      </c>
      <c r="BD596" s="31">
        <f t="shared" si="286"/>
        <v>0</v>
      </c>
      <c r="BE596" s="219">
        <f t="shared" si="287"/>
        <v>0</v>
      </c>
      <c r="BF596" s="31">
        <f t="shared" si="288"/>
        <v>0</v>
      </c>
      <c r="BG596" s="219">
        <f t="shared" si="289"/>
        <v>0</v>
      </c>
      <c r="BH596" s="31">
        <f t="shared" si="290"/>
        <v>0</v>
      </c>
      <c r="BI596" s="219">
        <f t="shared" si="291"/>
        <v>0</v>
      </c>
      <c r="BJ596" s="31">
        <f t="shared" si="292"/>
        <v>0</v>
      </c>
      <c r="BK596" s="219">
        <f t="shared" si="293"/>
        <v>0</v>
      </c>
      <c r="BL596" s="31">
        <f t="shared" si="294"/>
        <v>0</v>
      </c>
      <c r="BM596" s="219">
        <f t="shared" si="295"/>
        <v>0</v>
      </c>
      <c r="BN596" s="31">
        <f t="shared" si="296"/>
        <v>0</v>
      </c>
      <c r="BO596" s="219">
        <f t="shared" si="297"/>
        <v>0</v>
      </c>
    </row>
    <row r="597" spans="1:67" x14ac:dyDescent="0.25">
      <c r="A597" s="31" t="s">
        <v>1610</v>
      </c>
      <c r="B597" s="176" t="str">
        <f>VLOOKUP(A597,kurspris!$A$1:$B$992,2,FALSE)</f>
        <v>Specialpedagogik - åk 7-9 och gymnasieskolan (UK)</v>
      </c>
      <c r="D597" s="60" t="s">
        <v>482</v>
      </c>
      <c r="E597" s="576" t="s">
        <v>2434</v>
      </c>
      <c r="F597" s="31" t="s">
        <v>2273</v>
      </c>
      <c r="G597" t="s">
        <v>2472</v>
      </c>
      <c r="H597" t="s">
        <v>2335</v>
      </c>
      <c r="J597" s="31" t="s">
        <v>2233</v>
      </c>
      <c r="L597" s="38">
        <v>1</v>
      </c>
      <c r="M597">
        <v>5</v>
      </c>
      <c r="P597" s="31">
        <v>7</v>
      </c>
      <c r="Q597" s="196">
        <f t="shared" si="298"/>
        <v>0.58333333333333326</v>
      </c>
      <c r="R597" s="38">
        <v>0.85</v>
      </c>
      <c r="S597" s="280">
        <f t="shared" si="270"/>
        <v>0.49583333333333324</v>
      </c>
      <c r="T597" s="31">
        <f>VLOOKUP(A597,'Ansvar kurs'!$A$1:$C$1123,2,FALSE)</f>
        <v>2180</v>
      </c>
      <c r="U597" s="31" t="str">
        <f>VLOOKUP(T597,Orgenheter!$A$1:$C$166,2,FALSE)</f>
        <v xml:space="preserve">Pedagogik                     </v>
      </c>
      <c r="V597" s="31" t="str">
        <f>VLOOKUP(T597,Orgenheter!$A$1:$C$166,3,FALSE)</f>
        <v>Sam</v>
      </c>
      <c r="W597" s="35" t="str">
        <f>VLOOKUP(D597,Program!$A$1:$B$36,2,FALSE)</f>
        <v>Ämneslärarprogrammet - Gy</v>
      </c>
      <c r="X597" s="40">
        <f>VLOOKUP(A597,kurspris!$A$1:$Q$913,15,FALSE)</f>
        <v>26554</v>
      </c>
      <c r="Y597" s="40">
        <f>VLOOKUP(A597,kurspris!$A$1:$Q$913,16,FALSE)</f>
        <v>33465</v>
      </c>
      <c r="Z597" s="40">
        <f t="shared" si="271"/>
        <v>32082.895833333328</v>
      </c>
      <c r="AA597" s="40">
        <f>VLOOKUP(A597,kurspris!$A$1:$Q$913,17,FALSE)</f>
        <v>6000</v>
      </c>
      <c r="AB597" s="40">
        <f t="shared" si="272"/>
        <v>3499.9999999999995</v>
      </c>
      <c r="AC597" s="40">
        <f t="shared" si="273"/>
        <v>35582.895833333328</v>
      </c>
      <c r="AD597" s="31">
        <f>VLOOKUP($A597,kurspris!$A$1:$Q$950,3,FALSE)</f>
        <v>0</v>
      </c>
      <c r="AE597" s="31">
        <f>VLOOKUP($A597,kurspris!$A$1:$Q$950,4,FALSE)</f>
        <v>0</v>
      </c>
      <c r="AF597" s="31">
        <f>VLOOKUP($A597,kurspris!$A$1:$Q$950,5,FALSE)</f>
        <v>0</v>
      </c>
      <c r="AG597" s="31">
        <f>VLOOKUP($A597,kurspris!$A$1:$Q$950,6,FALSE)</f>
        <v>1</v>
      </c>
      <c r="AH597" s="31">
        <f>VLOOKUP($A597,kurspris!$A$1:$Q$950,7,FALSE)</f>
        <v>0</v>
      </c>
      <c r="AI597" s="31">
        <f>VLOOKUP($A597,kurspris!$A$1:$Q$950,8,FALSE)</f>
        <v>0</v>
      </c>
      <c r="AJ597" s="31">
        <f>VLOOKUP($A597,kurspris!$A$1:$Q$950,9,FALSE)</f>
        <v>0</v>
      </c>
      <c r="AK597" s="31">
        <f>VLOOKUP($A597,kurspris!$A$1:$Q$950,10,FALSE)</f>
        <v>0</v>
      </c>
      <c r="AL597" s="31">
        <f>VLOOKUP($A597,kurspris!$A$1:$Q$950,11,FALSE)</f>
        <v>0</v>
      </c>
      <c r="AM597" s="31">
        <f>VLOOKUP($A597,kurspris!$A$1:$Q$950,12,FALSE)</f>
        <v>0</v>
      </c>
      <c r="AN597" s="31">
        <f>VLOOKUP($A597,kurspris!$A$1:$Q$950,13,FALSE)</f>
        <v>0</v>
      </c>
      <c r="AO597" s="31">
        <f>VLOOKUP($A597,kurspris!$A$1:$Q$950,14,FALSE)</f>
        <v>0</v>
      </c>
      <c r="AP597" s="57" t="s">
        <v>2506</v>
      </c>
      <c r="AQ597"/>
      <c r="AR597" s="31">
        <f t="shared" si="274"/>
        <v>0</v>
      </c>
      <c r="AS597" s="219">
        <f t="shared" si="275"/>
        <v>0</v>
      </c>
      <c r="AT597" s="31">
        <f t="shared" si="276"/>
        <v>0</v>
      </c>
      <c r="AU597" s="219">
        <f t="shared" si="277"/>
        <v>0</v>
      </c>
      <c r="AV597" s="31">
        <f t="shared" si="278"/>
        <v>0</v>
      </c>
      <c r="AW597" s="31">
        <f t="shared" si="279"/>
        <v>0</v>
      </c>
      <c r="AX597" s="31">
        <f t="shared" si="280"/>
        <v>0.58333333333333326</v>
      </c>
      <c r="AY597" s="219">
        <f t="shared" si="281"/>
        <v>0.49583333333333324</v>
      </c>
      <c r="AZ597" s="196">
        <f t="shared" si="282"/>
        <v>0</v>
      </c>
      <c r="BA597" s="219">
        <f t="shared" si="283"/>
        <v>0</v>
      </c>
      <c r="BB597" s="31">
        <f t="shared" si="284"/>
        <v>0</v>
      </c>
      <c r="BC597" s="219">
        <f t="shared" si="285"/>
        <v>0</v>
      </c>
      <c r="BD597" s="31">
        <f t="shared" si="286"/>
        <v>0</v>
      </c>
      <c r="BE597" s="219">
        <f t="shared" si="287"/>
        <v>0</v>
      </c>
      <c r="BF597" s="31">
        <f t="shared" si="288"/>
        <v>0</v>
      </c>
      <c r="BG597" s="219">
        <f t="shared" si="289"/>
        <v>0</v>
      </c>
      <c r="BH597" s="31">
        <f t="shared" si="290"/>
        <v>0</v>
      </c>
      <c r="BI597" s="219">
        <f t="shared" si="291"/>
        <v>0</v>
      </c>
      <c r="BJ597" s="31">
        <f t="shared" si="292"/>
        <v>0</v>
      </c>
      <c r="BK597" s="219">
        <f t="shared" si="293"/>
        <v>0</v>
      </c>
      <c r="BL597" s="31">
        <f t="shared" si="294"/>
        <v>0</v>
      </c>
      <c r="BM597" s="219">
        <f t="shared" si="295"/>
        <v>0</v>
      </c>
      <c r="BN597" s="31">
        <f t="shared" si="296"/>
        <v>0</v>
      </c>
      <c r="BO597" s="219">
        <f t="shared" si="297"/>
        <v>0</v>
      </c>
    </row>
    <row r="598" spans="1:67" x14ac:dyDescent="0.25">
      <c r="A598" s="31" t="s">
        <v>1610</v>
      </c>
      <c r="B598" s="176" t="str">
        <f>VLOOKUP(A598,kurspris!$A$1:$B$992,2,FALSE)</f>
        <v>Specialpedagogik - åk 7-9 och gymnasieskolan (UK)</v>
      </c>
      <c r="D598" s="60" t="s">
        <v>482</v>
      </c>
      <c r="E598" s="576" t="s">
        <v>2434</v>
      </c>
      <c r="F598" s="31" t="s">
        <v>2273</v>
      </c>
      <c r="G598" t="s">
        <v>2472</v>
      </c>
      <c r="H598" t="s">
        <v>2335</v>
      </c>
      <c r="J598" s="31" t="s">
        <v>2235</v>
      </c>
      <c r="L598" s="38">
        <v>1</v>
      </c>
      <c r="M598">
        <v>5</v>
      </c>
      <c r="P598" s="31">
        <v>1</v>
      </c>
      <c r="Q598" s="196">
        <f t="shared" si="298"/>
        <v>8.3333333333333329E-2</v>
      </c>
      <c r="R598" s="38">
        <v>0.85</v>
      </c>
      <c r="S598" s="280">
        <f t="shared" si="270"/>
        <v>7.0833333333333331E-2</v>
      </c>
      <c r="T598" s="31">
        <f>VLOOKUP(A598,'Ansvar kurs'!$A$1:$C$1123,2,FALSE)</f>
        <v>2180</v>
      </c>
      <c r="U598" s="31" t="str">
        <f>VLOOKUP(T598,Orgenheter!$A$1:$C$166,2,FALSE)</f>
        <v xml:space="preserve">Pedagogik                     </v>
      </c>
      <c r="V598" s="31" t="str">
        <f>VLOOKUP(T598,Orgenheter!$A$1:$C$166,3,FALSE)</f>
        <v>Sam</v>
      </c>
      <c r="W598" s="35" t="str">
        <f>VLOOKUP(D598,Program!$A$1:$B$36,2,FALSE)</f>
        <v>Ämneslärarprogrammet - Gy</v>
      </c>
      <c r="X598" s="40">
        <f>VLOOKUP(A598,kurspris!$A$1:$Q$913,15,FALSE)</f>
        <v>26554</v>
      </c>
      <c r="Y598" s="40">
        <f>VLOOKUP(A598,kurspris!$A$1:$Q$913,16,FALSE)</f>
        <v>33465</v>
      </c>
      <c r="Z598" s="40">
        <f t="shared" si="271"/>
        <v>4583.270833333333</v>
      </c>
      <c r="AA598" s="40">
        <f>VLOOKUP(A598,kurspris!$A$1:$Q$913,17,FALSE)</f>
        <v>6000</v>
      </c>
      <c r="AB598" s="40">
        <f t="shared" si="272"/>
        <v>500</v>
      </c>
      <c r="AC598" s="40">
        <f t="shared" si="273"/>
        <v>5083.270833333333</v>
      </c>
      <c r="AD598" s="31">
        <f>VLOOKUP($A598,kurspris!$A$1:$Q$950,3,FALSE)</f>
        <v>0</v>
      </c>
      <c r="AE598" s="31">
        <f>VLOOKUP($A598,kurspris!$A$1:$Q$950,4,FALSE)</f>
        <v>0</v>
      </c>
      <c r="AF598" s="31">
        <f>VLOOKUP($A598,kurspris!$A$1:$Q$950,5,FALSE)</f>
        <v>0</v>
      </c>
      <c r="AG598" s="31">
        <f>VLOOKUP($A598,kurspris!$A$1:$Q$950,6,FALSE)</f>
        <v>1</v>
      </c>
      <c r="AH598" s="31">
        <f>VLOOKUP($A598,kurspris!$A$1:$Q$950,7,FALSE)</f>
        <v>0</v>
      </c>
      <c r="AI598" s="31">
        <f>VLOOKUP($A598,kurspris!$A$1:$Q$950,8,FALSE)</f>
        <v>0</v>
      </c>
      <c r="AJ598" s="31">
        <f>VLOOKUP($A598,kurspris!$A$1:$Q$950,9,FALSE)</f>
        <v>0</v>
      </c>
      <c r="AK598" s="31">
        <f>VLOOKUP($A598,kurspris!$A$1:$Q$950,10,FALSE)</f>
        <v>0</v>
      </c>
      <c r="AL598" s="31">
        <f>VLOOKUP($A598,kurspris!$A$1:$Q$950,11,FALSE)</f>
        <v>0</v>
      </c>
      <c r="AM598" s="31">
        <f>VLOOKUP($A598,kurspris!$A$1:$Q$950,12,FALSE)</f>
        <v>0</v>
      </c>
      <c r="AN598" s="31">
        <f>VLOOKUP($A598,kurspris!$A$1:$Q$950,13,FALSE)</f>
        <v>0</v>
      </c>
      <c r="AO598" s="31">
        <f>VLOOKUP($A598,kurspris!$A$1:$Q$950,14,FALSE)</f>
        <v>0</v>
      </c>
      <c r="AP598" s="57" t="s">
        <v>2506</v>
      </c>
      <c r="AQ598"/>
      <c r="AR598" s="31">
        <f t="shared" si="274"/>
        <v>0</v>
      </c>
      <c r="AS598" s="219">
        <f t="shared" si="275"/>
        <v>0</v>
      </c>
      <c r="AT598" s="31">
        <f t="shared" si="276"/>
        <v>0</v>
      </c>
      <c r="AU598" s="219">
        <f t="shared" si="277"/>
        <v>0</v>
      </c>
      <c r="AV598" s="31">
        <f t="shared" si="278"/>
        <v>0</v>
      </c>
      <c r="AW598" s="31">
        <f t="shared" si="279"/>
        <v>0</v>
      </c>
      <c r="AX598" s="31">
        <f t="shared" si="280"/>
        <v>8.3333333333333329E-2</v>
      </c>
      <c r="AY598" s="219">
        <f t="shared" si="281"/>
        <v>7.0833333333333331E-2</v>
      </c>
      <c r="AZ598" s="196">
        <f t="shared" si="282"/>
        <v>0</v>
      </c>
      <c r="BA598" s="219">
        <f t="shared" si="283"/>
        <v>0</v>
      </c>
      <c r="BB598" s="31">
        <f t="shared" si="284"/>
        <v>0</v>
      </c>
      <c r="BC598" s="219">
        <f t="shared" si="285"/>
        <v>0</v>
      </c>
      <c r="BD598" s="31">
        <f t="shared" si="286"/>
        <v>0</v>
      </c>
      <c r="BE598" s="219">
        <f t="shared" si="287"/>
        <v>0</v>
      </c>
      <c r="BF598" s="31">
        <f t="shared" si="288"/>
        <v>0</v>
      </c>
      <c r="BG598" s="219">
        <f t="shared" si="289"/>
        <v>0</v>
      </c>
      <c r="BH598" s="31">
        <f t="shared" si="290"/>
        <v>0</v>
      </c>
      <c r="BI598" s="219">
        <f t="shared" si="291"/>
        <v>0</v>
      </c>
      <c r="BJ598" s="31">
        <f t="shared" si="292"/>
        <v>0</v>
      </c>
      <c r="BK598" s="219">
        <f t="shared" si="293"/>
        <v>0</v>
      </c>
      <c r="BL598" s="31">
        <f t="shared" si="294"/>
        <v>0</v>
      </c>
      <c r="BM598" s="219">
        <f t="shared" si="295"/>
        <v>0</v>
      </c>
      <c r="BN598" s="31">
        <f t="shared" si="296"/>
        <v>0</v>
      </c>
      <c r="BO598" s="219">
        <f t="shared" si="297"/>
        <v>0</v>
      </c>
    </row>
    <row r="599" spans="1:67" x14ac:dyDescent="0.25">
      <c r="A599" s="31" t="s">
        <v>1610</v>
      </c>
      <c r="B599" s="176" t="str">
        <f>VLOOKUP(A599,kurspris!$A$1:$B$992,2,FALSE)</f>
        <v>Specialpedagogik - åk 7-9 och gymnasieskolan (UK)</v>
      </c>
      <c r="D599" s="60" t="s">
        <v>482</v>
      </c>
      <c r="E599" s="576" t="s">
        <v>2434</v>
      </c>
      <c r="F599" s="31" t="s">
        <v>2273</v>
      </c>
      <c r="G599" t="s">
        <v>2472</v>
      </c>
      <c r="H599" t="s">
        <v>2335</v>
      </c>
      <c r="J599" s="31" t="s">
        <v>2239</v>
      </c>
      <c r="L599" s="38">
        <v>1</v>
      </c>
      <c r="M599">
        <v>5</v>
      </c>
      <c r="P599" s="31">
        <v>2</v>
      </c>
      <c r="Q599" s="196">
        <f t="shared" si="298"/>
        <v>0.16666666666666666</v>
      </c>
      <c r="R599" s="38">
        <v>0.85</v>
      </c>
      <c r="S599" s="280">
        <f t="shared" si="270"/>
        <v>0.14166666666666666</v>
      </c>
      <c r="T599" s="31">
        <f>VLOOKUP(A599,'Ansvar kurs'!$A$1:$C$1123,2,FALSE)</f>
        <v>2180</v>
      </c>
      <c r="U599" s="31" t="str">
        <f>VLOOKUP(T599,Orgenheter!$A$1:$C$166,2,FALSE)</f>
        <v xml:space="preserve">Pedagogik                     </v>
      </c>
      <c r="V599" s="31" t="str">
        <f>VLOOKUP(T599,Orgenheter!$A$1:$C$166,3,FALSE)</f>
        <v>Sam</v>
      </c>
      <c r="W599" s="35" t="str">
        <f>VLOOKUP(D599,Program!$A$1:$B$36,2,FALSE)</f>
        <v>Ämneslärarprogrammet - Gy</v>
      </c>
      <c r="X599" s="40">
        <f>VLOOKUP(A599,kurspris!$A$1:$Q$913,15,FALSE)</f>
        <v>26554</v>
      </c>
      <c r="Y599" s="40">
        <f>VLOOKUP(A599,kurspris!$A$1:$Q$913,16,FALSE)</f>
        <v>33465</v>
      </c>
      <c r="Z599" s="40">
        <f t="shared" si="271"/>
        <v>9166.5416666666661</v>
      </c>
      <c r="AA599" s="40">
        <f>VLOOKUP(A599,kurspris!$A$1:$Q$913,17,FALSE)</f>
        <v>6000</v>
      </c>
      <c r="AB599" s="40">
        <f t="shared" si="272"/>
        <v>1000</v>
      </c>
      <c r="AC599" s="40">
        <f t="shared" si="273"/>
        <v>10166.541666666666</v>
      </c>
      <c r="AD599" s="31">
        <f>VLOOKUP($A599,kurspris!$A$1:$Q$950,3,FALSE)</f>
        <v>0</v>
      </c>
      <c r="AE599" s="31">
        <f>VLOOKUP($A599,kurspris!$A$1:$Q$950,4,FALSE)</f>
        <v>0</v>
      </c>
      <c r="AF599" s="31">
        <f>VLOOKUP($A599,kurspris!$A$1:$Q$950,5,FALSE)</f>
        <v>0</v>
      </c>
      <c r="AG599" s="31">
        <f>VLOOKUP($A599,kurspris!$A$1:$Q$950,6,FALSE)</f>
        <v>1</v>
      </c>
      <c r="AH599" s="31">
        <f>VLOOKUP($A599,kurspris!$A$1:$Q$950,7,FALSE)</f>
        <v>0</v>
      </c>
      <c r="AI599" s="31">
        <f>VLOOKUP($A599,kurspris!$A$1:$Q$950,8,FALSE)</f>
        <v>0</v>
      </c>
      <c r="AJ599" s="31">
        <f>VLOOKUP($A599,kurspris!$A$1:$Q$950,9,FALSE)</f>
        <v>0</v>
      </c>
      <c r="AK599" s="31">
        <f>VLOOKUP($A599,kurspris!$A$1:$Q$950,10,FALSE)</f>
        <v>0</v>
      </c>
      <c r="AL599" s="31">
        <f>VLOOKUP($A599,kurspris!$A$1:$Q$950,11,FALSE)</f>
        <v>0</v>
      </c>
      <c r="AM599" s="31">
        <f>VLOOKUP($A599,kurspris!$A$1:$Q$950,12,FALSE)</f>
        <v>0</v>
      </c>
      <c r="AN599" s="31">
        <f>VLOOKUP($A599,kurspris!$A$1:$Q$950,13,FALSE)</f>
        <v>0</v>
      </c>
      <c r="AO599" s="31">
        <f>VLOOKUP($A599,kurspris!$A$1:$Q$950,14,FALSE)</f>
        <v>0</v>
      </c>
      <c r="AP599" s="57" t="s">
        <v>2506</v>
      </c>
      <c r="AQ599"/>
      <c r="AR599" s="31">
        <f t="shared" si="274"/>
        <v>0</v>
      </c>
      <c r="AS599" s="219">
        <f t="shared" si="275"/>
        <v>0</v>
      </c>
      <c r="AT599" s="31">
        <f t="shared" si="276"/>
        <v>0</v>
      </c>
      <c r="AU599" s="219">
        <f t="shared" si="277"/>
        <v>0</v>
      </c>
      <c r="AV599" s="31">
        <f t="shared" si="278"/>
        <v>0</v>
      </c>
      <c r="AW599" s="31">
        <f t="shared" si="279"/>
        <v>0</v>
      </c>
      <c r="AX599" s="31">
        <f t="shared" si="280"/>
        <v>0.16666666666666666</v>
      </c>
      <c r="AY599" s="219">
        <f t="shared" si="281"/>
        <v>0.14166666666666666</v>
      </c>
      <c r="AZ599" s="196">
        <f t="shared" si="282"/>
        <v>0</v>
      </c>
      <c r="BA599" s="219">
        <f t="shared" si="283"/>
        <v>0</v>
      </c>
      <c r="BB599" s="31">
        <f t="shared" si="284"/>
        <v>0</v>
      </c>
      <c r="BC599" s="219">
        <f t="shared" si="285"/>
        <v>0</v>
      </c>
      <c r="BD599" s="31">
        <f t="shared" si="286"/>
        <v>0</v>
      </c>
      <c r="BE599" s="219">
        <f t="shared" si="287"/>
        <v>0</v>
      </c>
      <c r="BF599" s="31">
        <f t="shared" si="288"/>
        <v>0</v>
      </c>
      <c r="BG599" s="219">
        <f t="shared" si="289"/>
        <v>0</v>
      </c>
      <c r="BH599" s="31">
        <f t="shared" si="290"/>
        <v>0</v>
      </c>
      <c r="BI599" s="219">
        <f t="shared" si="291"/>
        <v>0</v>
      </c>
      <c r="BJ599" s="31">
        <f t="shared" si="292"/>
        <v>0</v>
      </c>
      <c r="BK599" s="219">
        <f t="shared" si="293"/>
        <v>0</v>
      </c>
      <c r="BL599" s="31">
        <f t="shared" si="294"/>
        <v>0</v>
      </c>
      <c r="BM599" s="219">
        <f t="shared" si="295"/>
        <v>0</v>
      </c>
      <c r="BN599" s="31">
        <f t="shared" si="296"/>
        <v>0</v>
      </c>
      <c r="BO599" s="219">
        <f t="shared" si="297"/>
        <v>0</v>
      </c>
    </row>
    <row r="600" spans="1:67" x14ac:dyDescent="0.25">
      <c r="A600" s="31" t="s">
        <v>1610</v>
      </c>
      <c r="B600" s="176" t="str">
        <f>VLOOKUP(A600,kurspris!$A$1:$B$992,2,FALSE)</f>
        <v>Specialpedagogik - åk 7-9 och gymnasieskolan (UK)</v>
      </c>
      <c r="D600" s="60" t="s">
        <v>482</v>
      </c>
      <c r="E600" s="576" t="s">
        <v>2434</v>
      </c>
      <c r="F600" s="31" t="s">
        <v>2273</v>
      </c>
      <c r="G600" t="s">
        <v>2472</v>
      </c>
      <c r="H600" t="s">
        <v>2335</v>
      </c>
      <c r="J600" s="31" t="s">
        <v>2242</v>
      </c>
      <c r="L600" s="38">
        <v>1</v>
      </c>
      <c r="M600">
        <v>5</v>
      </c>
      <c r="P600" s="31">
        <v>12</v>
      </c>
      <c r="Q600" s="196">
        <f t="shared" si="298"/>
        <v>1</v>
      </c>
      <c r="R600" s="38">
        <v>0.85</v>
      </c>
      <c r="S600" s="280">
        <f t="shared" si="270"/>
        <v>0.85</v>
      </c>
      <c r="T600" s="31">
        <f>VLOOKUP(A600,'Ansvar kurs'!$A$1:$C$1123,2,FALSE)</f>
        <v>2180</v>
      </c>
      <c r="U600" s="31" t="str">
        <f>VLOOKUP(T600,Orgenheter!$A$1:$C$166,2,FALSE)</f>
        <v xml:space="preserve">Pedagogik                     </v>
      </c>
      <c r="V600" s="31" t="str">
        <f>VLOOKUP(T600,Orgenheter!$A$1:$C$166,3,FALSE)</f>
        <v>Sam</v>
      </c>
      <c r="W600" s="35" t="str">
        <f>VLOOKUP(D600,Program!$A$1:$B$36,2,FALSE)</f>
        <v>Ämneslärarprogrammet - Gy</v>
      </c>
      <c r="X600" s="40">
        <f>VLOOKUP(A600,kurspris!$A$1:$Q$913,15,FALSE)</f>
        <v>26554</v>
      </c>
      <c r="Y600" s="40">
        <f>VLOOKUP(A600,kurspris!$A$1:$Q$913,16,FALSE)</f>
        <v>33465</v>
      </c>
      <c r="Z600" s="40">
        <f t="shared" si="271"/>
        <v>54999.25</v>
      </c>
      <c r="AA600" s="40">
        <f>VLOOKUP(A600,kurspris!$A$1:$Q$913,17,FALSE)</f>
        <v>6000</v>
      </c>
      <c r="AB600" s="40">
        <f t="shared" si="272"/>
        <v>6000</v>
      </c>
      <c r="AC600" s="40">
        <f t="shared" si="273"/>
        <v>60999.25</v>
      </c>
      <c r="AD600" s="31">
        <f>VLOOKUP($A600,kurspris!$A$1:$Q$950,3,FALSE)</f>
        <v>0</v>
      </c>
      <c r="AE600" s="31">
        <f>VLOOKUP($A600,kurspris!$A$1:$Q$950,4,FALSE)</f>
        <v>0</v>
      </c>
      <c r="AF600" s="31">
        <f>VLOOKUP($A600,kurspris!$A$1:$Q$950,5,FALSE)</f>
        <v>0</v>
      </c>
      <c r="AG600" s="31">
        <f>VLOOKUP($A600,kurspris!$A$1:$Q$950,6,FALSE)</f>
        <v>1</v>
      </c>
      <c r="AH600" s="31">
        <f>VLOOKUP($A600,kurspris!$A$1:$Q$950,7,FALSE)</f>
        <v>0</v>
      </c>
      <c r="AI600" s="31">
        <f>VLOOKUP($A600,kurspris!$A$1:$Q$950,8,FALSE)</f>
        <v>0</v>
      </c>
      <c r="AJ600" s="31">
        <f>VLOOKUP($A600,kurspris!$A$1:$Q$950,9,FALSE)</f>
        <v>0</v>
      </c>
      <c r="AK600" s="31">
        <f>VLOOKUP($A600,kurspris!$A$1:$Q$950,10,FALSE)</f>
        <v>0</v>
      </c>
      <c r="AL600" s="31">
        <f>VLOOKUP($A600,kurspris!$A$1:$Q$950,11,FALSE)</f>
        <v>0</v>
      </c>
      <c r="AM600" s="31">
        <f>VLOOKUP($A600,kurspris!$A$1:$Q$950,12,FALSE)</f>
        <v>0</v>
      </c>
      <c r="AN600" s="31">
        <f>VLOOKUP($A600,kurspris!$A$1:$Q$950,13,FALSE)</f>
        <v>0</v>
      </c>
      <c r="AO600" s="31">
        <f>VLOOKUP($A600,kurspris!$A$1:$Q$950,14,FALSE)</f>
        <v>0</v>
      </c>
      <c r="AP600" s="57" t="s">
        <v>2506</v>
      </c>
      <c r="AQ600"/>
      <c r="AR600" s="31">
        <f t="shared" si="274"/>
        <v>0</v>
      </c>
      <c r="AS600" s="219">
        <f t="shared" si="275"/>
        <v>0</v>
      </c>
      <c r="AT600" s="31">
        <f t="shared" si="276"/>
        <v>0</v>
      </c>
      <c r="AU600" s="219">
        <f t="shared" si="277"/>
        <v>0</v>
      </c>
      <c r="AV600" s="31">
        <f t="shared" si="278"/>
        <v>0</v>
      </c>
      <c r="AW600" s="31">
        <f t="shared" si="279"/>
        <v>0</v>
      </c>
      <c r="AX600" s="31">
        <f t="shared" si="280"/>
        <v>1</v>
      </c>
      <c r="AY600" s="219">
        <f t="shared" si="281"/>
        <v>0.85</v>
      </c>
      <c r="AZ600" s="196">
        <f t="shared" si="282"/>
        <v>0</v>
      </c>
      <c r="BA600" s="219">
        <f t="shared" si="283"/>
        <v>0</v>
      </c>
      <c r="BB600" s="31">
        <f t="shared" si="284"/>
        <v>0</v>
      </c>
      <c r="BC600" s="219">
        <f t="shared" si="285"/>
        <v>0</v>
      </c>
      <c r="BD600" s="31">
        <f t="shared" si="286"/>
        <v>0</v>
      </c>
      <c r="BE600" s="219">
        <f t="shared" si="287"/>
        <v>0</v>
      </c>
      <c r="BF600" s="31">
        <f t="shared" si="288"/>
        <v>0</v>
      </c>
      <c r="BG600" s="219">
        <f t="shared" si="289"/>
        <v>0</v>
      </c>
      <c r="BH600" s="31">
        <f t="shared" si="290"/>
        <v>0</v>
      </c>
      <c r="BI600" s="219">
        <f t="shared" si="291"/>
        <v>0</v>
      </c>
      <c r="BJ600" s="31">
        <f t="shared" si="292"/>
        <v>0</v>
      </c>
      <c r="BK600" s="219">
        <f t="shared" si="293"/>
        <v>0</v>
      </c>
      <c r="BL600" s="31">
        <f t="shared" si="294"/>
        <v>0</v>
      </c>
      <c r="BM600" s="219">
        <f t="shared" si="295"/>
        <v>0</v>
      </c>
      <c r="BN600" s="31">
        <f t="shared" si="296"/>
        <v>0</v>
      </c>
      <c r="BO600" s="219">
        <f t="shared" si="297"/>
        <v>0</v>
      </c>
    </row>
    <row r="601" spans="1:67" x14ac:dyDescent="0.25">
      <c r="A601" s="31" t="s">
        <v>1610</v>
      </c>
      <c r="B601" s="176" t="str">
        <f>VLOOKUP(A601,kurspris!$A$1:$B$992,2,FALSE)</f>
        <v>Specialpedagogik - åk 7-9 och gymnasieskolan (UK)</v>
      </c>
      <c r="D601" s="60" t="s">
        <v>482</v>
      </c>
      <c r="E601" s="576" t="s">
        <v>2434</v>
      </c>
      <c r="F601" s="31" t="s">
        <v>2273</v>
      </c>
      <c r="G601" t="s">
        <v>2472</v>
      </c>
      <c r="H601" t="s">
        <v>2335</v>
      </c>
      <c r="J601" s="31" t="s">
        <v>2240</v>
      </c>
      <c r="L601" s="38">
        <v>1</v>
      </c>
      <c r="M601">
        <v>5</v>
      </c>
      <c r="P601" s="31">
        <v>8</v>
      </c>
      <c r="Q601" s="196">
        <f t="shared" si="298"/>
        <v>0.66666666666666663</v>
      </c>
      <c r="R601" s="38">
        <v>0.85</v>
      </c>
      <c r="S601" s="280">
        <f t="shared" si="270"/>
        <v>0.56666666666666665</v>
      </c>
      <c r="T601" s="31">
        <f>VLOOKUP(A601,'Ansvar kurs'!$A$1:$C$1123,2,FALSE)</f>
        <v>2180</v>
      </c>
      <c r="U601" s="31" t="str">
        <f>VLOOKUP(T601,Orgenheter!$A$1:$C$166,2,FALSE)</f>
        <v xml:space="preserve">Pedagogik                     </v>
      </c>
      <c r="V601" s="31" t="str">
        <f>VLOOKUP(T601,Orgenheter!$A$1:$C$166,3,FALSE)</f>
        <v>Sam</v>
      </c>
      <c r="W601" s="35" t="str">
        <f>VLOOKUP(D601,Program!$A$1:$B$36,2,FALSE)</f>
        <v>Ämneslärarprogrammet - Gy</v>
      </c>
      <c r="X601" s="40">
        <f>VLOOKUP(A601,kurspris!$A$1:$Q$913,15,FALSE)</f>
        <v>26554</v>
      </c>
      <c r="Y601" s="40">
        <f>VLOOKUP(A601,kurspris!$A$1:$Q$913,16,FALSE)</f>
        <v>33465</v>
      </c>
      <c r="Z601" s="40">
        <f t="shared" si="271"/>
        <v>36666.166666666664</v>
      </c>
      <c r="AA601" s="40">
        <f>VLOOKUP(A601,kurspris!$A$1:$Q$913,17,FALSE)</f>
        <v>6000</v>
      </c>
      <c r="AB601" s="40">
        <f t="shared" si="272"/>
        <v>4000</v>
      </c>
      <c r="AC601" s="40">
        <f t="shared" si="273"/>
        <v>40666.166666666664</v>
      </c>
      <c r="AD601" s="31">
        <f>VLOOKUP($A601,kurspris!$A$1:$Q$950,3,FALSE)</f>
        <v>0</v>
      </c>
      <c r="AE601" s="31">
        <f>VLOOKUP($A601,kurspris!$A$1:$Q$950,4,FALSE)</f>
        <v>0</v>
      </c>
      <c r="AF601" s="31">
        <f>VLOOKUP($A601,kurspris!$A$1:$Q$950,5,FALSE)</f>
        <v>0</v>
      </c>
      <c r="AG601" s="31">
        <f>VLOOKUP($A601,kurspris!$A$1:$Q$950,6,FALSE)</f>
        <v>1</v>
      </c>
      <c r="AH601" s="31">
        <f>VLOOKUP($A601,kurspris!$A$1:$Q$950,7,FALSE)</f>
        <v>0</v>
      </c>
      <c r="AI601" s="31">
        <f>VLOOKUP($A601,kurspris!$A$1:$Q$950,8,FALSE)</f>
        <v>0</v>
      </c>
      <c r="AJ601" s="31">
        <f>VLOOKUP($A601,kurspris!$A$1:$Q$950,9,FALSE)</f>
        <v>0</v>
      </c>
      <c r="AK601" s="31">
        <f>VLOOKUP($A601,kurspris!$A$1:$Q$950,10,FALSE)</f>
        <v>0</v>
      </c>
      <c r="AL601" s="31">
        <f>VLOOKUP($A601,kurspris!$A$1:$Q$950,11,FALSE)</f>
        <v>0</v>
      </c>
      <c r="AM601" s="31">
        <f>VLOOKUP($A601,kurspris!$A$1:$Q$950,12,FALSE)</f>
        <v>0</v>
      </c>
      <c r="AN601" s="31">
        <f>VLOOKUP($A601,kurspris!$A$1:$Q$950,13,FALSE)</f>
        <v>0</v>
      </c>
      <c r="AO601" s="31">
        <f>VLOOKUP($A601,kurspris!$A$1:$Q$950,14,FALSE)</f>
        <v>0</v>
      </c>
      <c r="AP601" s="57" t="s">
        <v>2506</v>
      </c>
      <c r="AQ601"/>
      <c r="AR601" s="31">
        <f t="shared" si="274"/>
        <v>0</v>
      </c>
      <c r="AS601" s="219">
        <f t="shared" si="275"/>
        <v>0</v>
      </c>
      <c r="AT601" s="31">
        <f t="shared" si="276"/>
        <v>0</v>
      </c>
      <c r="AU601" s="219">
        <f t="shared" si="277"/>
        <v>0</v>
      </c>
      <c r="AV601" s="31">
        <f t="shared" si="278"/>
        <v>0</v>
      </c>
      <c r="AW601" s="31">
        <f t="shared" si="279"/>
        <v>0</v>
      </c>
      <c r="AX601" s="31">
        <f t="shared" si="280"/>
        <v>0.66666666666666663</v>
      </c>
      <c r="AY601" s="219">
        <f t="shared" si="281"/>
        <v>0.56666666666666665</v>
      </c>
      <c r="AZ601" s="196">
        <f t="shared" si="282"/>
        <v>0</v>
      </c>
      <c r="BA601" s="219">
        <f t="shared" si="283"/>
        <v>0</v>
      </c>
      <c r="BB601" s="31">
        <f t="shared" si="284"/>
        <v>0</v>
      </c>
      <c r="BC601" s="219">
        <f t="shared" si="285"/>
        <v>0</v>
      </c>
      <c r="BD601" s="31">
        <f t="shared" si="286"/>
        <v>0</v>
      </c>
      <c r="BE601" s="219">
        <f t="shared" si="287"/>
        <v>0</v>
      </c>
      <c r="BF601" s="31">
        <f t="shared" si="288"/>
        <v>0</v>
      </c>
      <c r="BG601" s="219">
        <f t="shared" si="289"/>
        <v>0</v>
      </c>
      <c r="BH601" s="31">
        <f t="shared" si="290"/>
        <v>0</v>
      </c>
      <c r="BI601" s="219">
        <f t="shared" si="291"/>
        <v>0</v>
      </c>
      <c r="BJ601" s="31">
        <f t="shared" si="292"/>
        <v>0</v>
      </c>
      <c r="BK601" s="219">
        <f t="shared" si="293"/>
        <v>0</v>
      </c>
      <c r="BL601" s="31">
        <f t="shared" si="294"/>
        <v>0</v>
      </c>
      <c r="BM601" s="219">
        <f t="shared" si="295"/>
        <v>0</v>
      </c>
      <c r="BN601" s="31">
        <f t="shared" si="296"/>
        <v>0</v>
      </c>
      <c r="BO601" s="219">
        <f t="shared" si="297"/>
        <v>0</v>
      </c>
    </row>
    <row r="602" spans="1:67" x14ac:dyDescent="0.25">
      <c r="A602" s="31" t="s">
        <v>1610</v>
      </c>
      <c r="B602" s="176" t="str">
        <f>VLOOKUP(A602,kurspris!$A$1:$B$992,2,FALSE)</f>
        <v>Specialpedagogik - åk 7-9 och gymnasieskolan (UK)</v>
      </c>
      <c r="D602" s="60" t="s">
        <v>482</v>
      </c>
      <c r="E602" s="576" t="s">
        <v>2434</v>
      </c>
      <c r="F602" s="31" t="s">
        <v>2273</v>
      </c>
      <c r="G602" t="s">
        <v>2472</v>
      </c>
      <c r="H602" t="s">
        <v>2335</v>
      </c>
      <c r="J602" s="31" t="s">
        <v>2248</v>
      </c>
      <c r="L602" s="38">
        <v>1</v>
      </c>
      <c r="M602">
        <v>5</v>
      </c>
      <c r="P602" s="31">
        <v>2</v>
      </c>
      <c r="Q602" s="196">
        <f t="shared" si="298"/>
        <v>0.16666666666666666</v>
      </c>
      <c r="R602" s="38">
        <v>0.85</v>
      </c>
      <c r="S602" s="280">
        <f t="shared" si="270"/>
        <v>0.14166666666666666</v>
      </c>
      <c r="T602" s="31">
        <f>VLOOKUP(A602,'Ansvar kurs'!$A$1:$C$1123,2,FALSE)</f>
        <v>2180</v>
      </c>
      <c r="U602" s="31" t="str">
        <f>VLOOKUP(T602,Orgenheter!$A$1:$C$166,2,FALSE)</f>
        <v xml:space="preserve">Pedagogik                     </v>
      </c>
      <c r="V602" s="31" t="str">
        <f>VLOOKUP(T602,Orgenheter!$A$1:$C$166,3,FALSE)</f>
        <v>Sam</v>
      </c>
      <c r="W602" s="35" t="str">
        <f>VLOOKUP(D602,Program!$A$1:$B$36,2,FALSE)</f>
        <v>Ämneslärarprogrammet - Gy</v>
      </c>
      <c r="X602" s="40">
        <f>VLOOKUP(A602,kurspris!$A$1:$Q$913,15,FALSE)</f>
        <v>26554</v>
      </c>
      <c r="Y602" s="40">
        <f>VLOOKUP(A602,kurspris!$A$1:$Q$913,16,FALSE)</f>
        <v>33465</v>
      </c>
      <c r="Z602" s="40">
        <f t="shared" si="271"/>
        <v>9166.5416666666661</v>
      </c>
      <c r="AA602" s="40">
        <f>VLOOKUP(A602,kurspris!$A$1:$Q$913,17,FALSE)</f>
        <v>6000</v>
      </c>
      <c r="AB602" s="40">
        <f t="shared" si="272"/>
        <v>1000</v>
      </c>
      <c r="AC602" s="40">
        <f t="shared" si="273"/>
        <v>10166.541666666666</v>
      </c>
      <c r="AD602" s="31">
        <f>VLOOKUP($A602,kurspris!$A$1:$Q$950,3,FALSE)</f>
        <v>0</v>
      </c>
      <c r="AE602" s="31">
        <f>VLOOKUP($A602,kurspris!$A$1:$Q$950,4,FALSE)</f>
        <v>0</v>
      </c>
      <c r="AF602" s="31">
        <f>VLOOKUP($A602,kurspris!$A$1:$Q$950,5,FALSE)</f>
        <v>0</v>
      </c>
      <c r="AG602" s="31">
        <f>VLOOKUP($A602,kurspris!$A$1:$Q$950,6,FALSE)</f>
        <v>1</v>
      </c>
      <c r="AH602" s="31">
        <f>VLOOKUP($A602,kurspris!$A$1:$Q$950,7,FALSE)</f>
        <v>0</v>
      </c>
      <c r="AI602" s="31">
        <f>VLOOKUP($A602,kurspris!$A$1:$Q$950,8,FALSE)</f>
        <v>0</v>
      </c>
      <c r="AJ602" s="31">
        <f>VLOOKUP($A602,kurspris!$A$1:$Q$950,9,FALSE)</f>
        <v>0</v>
      </c>
      <c r="AK602" s="31">
        <f>VLOOKUP($A602,kurspris!$A$1:$Q$950,10,FALSE)</f>
        <v>0</v>
      </c>
      <c r="AL602" s="31">
        <f>VLOOKUP($A602,kurspris!$A$1:$Q$950,11,FALSE)</f>
        <v>0</v>
      </c>
      <c r="AM602" s="31">
        <f>VLOOKUP($A602,kurspris!$A$1:$Q$950,12,FALSE)</f>
        <v>0</v>
      </c>
      <c r="AN602" s="31">
        <f>VLOOKUP($A602,kurspris!$A$1:$Q$950,13,FALSE)</f>
        <v>0</v>
      </c>
      <c r="AO602" s="31">
        <f>VLOOKUP($A602,kurspris!$A$1:$Q$950,14,FALSE)</f>
        <v>0</v>
      </c>
      <c r="AP602" s="57" t="s">
        <v>2506</v>
      </c>
      <c r="AQ602"/>
      <c r="AR602" s="31">
        <f t="shared" si="274"/>
        <v>0</v>
      </c>
      <c r="AS602" s="219">
        <f t="shared" si="275"/>
        <v>0</v>
      </c>
      <c r="AT602" s="31">
        <f t="shared" si="276"/>
        <v>0</v>
      </c>
      <c r="AU602" s="219">
        <f t="shared" si="277"/>
        <v>0</v>
      </c>
      <c r="AV602" s="31">
        <f t="shared" si="278"/>
        <v>0</v>
      </c>
      <c r="AW602" s="31">
        <f t="shared" si="279"/>
        <v>0</v>
      </c>
      <c r="AX602" s="31">
        <f t="shared" si="280"/>
        <v>0.16666666666666666</v>
      </c>
      <c r="AY602" s="219">
        <f t="shared" si="281"/>
        <v>0.14166666666666666</v>
      </c>
      <c r="AZ602" s="196">
        <f t="shared" si="282"/>
        <v>0</v>
      </c>
      <c r="BA602" s="219">
        <f t="shared" si="283"/>
        <v>0</v>
      </c>
      <c r="BB602" s="31">
        <f t="shared" si="284"/>
        <v>0</v>
      </c>
      <c r="BC602" s="219">
        <f t="shared" si="285"/>
        <v>0</v>
      </c>
      <c r="BD602" s="31">
        <f t="shared" si="286"/>
        <v>0</v>
      </c>
      <c r="BE602" s="219">
        <f t="shared" si="287"/>
        <v>0</v>
      </c>
      <c r="BF602" s="31">
        <f t="shared" si="288"/>
        <v>0</v>
      </c>
      <c r="BG602" s="219">
        <f t="shared" si="289"/>
        <v>0</v>
      </c>
      <c r="BH602" s="31">
        <f t="shared" si="290"/>
        <v>0</v>
      </c>
      <c r="BI602" s="219">
        <f t="shared" si="291"/>
        <v>0</v>
      </c>
      <c r="BJ602" s="31">
        <f t="shared" si="292"/>
        <v>0</v>
      </c>
      <c r="BK602" s="219">
        <f t="shared" si="293"/>
        <v>0</v>
      </c>
      <c r="BL602" s="31">
        <f t="shared" si="294"/>
        <v>0</v>
      </c>
      <c r="BM602" s="219">
        <f t="shared" si="295"/>
        <v>0</v>
      </c>
      <c r="BN602" s="31">
        <f t="shared" si="296"/>
        <v>0</v>
      </c>
      <c r="BO602" s="219">
        <f t="shared" si="297"/>
        <v>0</v>
      </c>
    </row>
    <row r="603" spans="1:67" x14ac:dyDescent="0.25">
      <c r="A603" s="31" t="s">
        <v>1610</v>
      </c>
      <c r="B603" s="176" t="str">
        <f>VLOOKUP(A603,kurspris!$A$1:$B$992,2,FALSE)</f>
        <v>Specialpedagogik - åk 7-9 och gymnasieskolan (UK)</v>
      </c>
      <c r="D603" s="60" t="s">
        <v>482</v>
      </c>
      <c r="E603" s="576" t="s">
        <v>2434</v>
      </c>
      <c r="F603" s="31" t="s">
        <v>2273</v>
      </c>
      <c r="G603" t="s">
        <v>2472</v>
      </c>
      <c r="H603" t="s">
        <v>2335</v>
      </c>
      <c r="J603" s="31" t="s">
        <v>2246</v>
      </c>
      <c r="L603" s="38">
        <v>1</v>
      </c>
      <c r="M603">
        <v>5</v>
      </c>
      <c r="P603" s="31">
        <v>1</v>
      </c>
      <c r="Q603" s="196">
        <f t="shared" si="298"/>
        <v>8.3333333333333329E-2</v>
      </c>
      <c r="R603" s="38">
        <v>0.85</v>
      </c>
      <c r="S603" s="280">
        <f t="shared" si="270"/>
        <v>7.0833333333333331E-2</v>
      </c>
      <c r="T603" s="31">
        <f>VLOOKUP(A603,'Ansvar kurs'!$A$1:$C$1123,2,FALSE)</f>
        <v>2180</v>
      </c>
      <c r="U603" s="31" t="str">
        <f>VLOOKUP(T603,Orgenheter!$A$1:$C$166,2,FALSE)</f>
        <v xml:space="preserve">Pedagogik                     </v>
      </c>
      <c r="V603" s="31" t="str">
        <f>VLOOKUP(T603,Orgenheter!$A$1:$C$166,3,FALSE)</f>
        <v>Sam</v>
      </c>
      <c r="W603" s="35" t="str">
        <f>VLOOKUP(D603,Program!$A$1:$B$36,2,FALSE)</f>
        <v>Ämneslärarprogrammet - Gy</v>
      </c>
      <c r="X603" s="40">
        <f>VLOOKUP(A603,kurspris!$A$1:$Q$913,15,FALSE)</f>
        <v>26554</v>
      </c>
      <c r="Y603" s="40">
        <f>VLOOKUP(A603,kurspris!$A$1:$Q$913,16,FALSE)</f>
        <v>33465</v>
      </c>
      <c r="Z603" s="40">
        <f t="shared" si="271"/>
        <v>4583.270833333333</v>
      </c>
      <c r="AA603" s="40">
        <f>VLOOKUP(A603,kurspris!$A$1:$Q$913,17,FALSE)</f>
        <v>6000</v>
      </c>
      <c r="AB603" s="40">
        <f t="shared" si="272"/>
        <v>500</v>
      </c>
      <c r="AC603" s="40">
        <f t="shared" si="273"/>
        <v>5083.270833333333</v>
      </c>
      <c r="AD603" s="31">
        <f>VLOOKUP($A603,kurspris!$A$1:$Q$950,3,FALSE)</f>
        <v>0</v>
      </c>
      <c r="AE603" s="31">
        <f>VLOOKUP($A603,kurspris!$A$1:$Q$950,4,FALSE)</f>
        <v>0</v>
      </c>
      <c r="AF603" s="31">
        <f>VLOOKUP($A603,kurspris!$A$1:$Q$950,5,FALSE)</f>
        <v>0</v>
      </c>
      <c r="AG603" s="31">
        <f>VLOOKUP($A603,kurspris!$A$1:$Q$950,6,FALSE)</f>
        <v>1</v>
      </c>
      <c r="AH603" s="31">
        <f>VLOOKUP($A603,kurspris!$A$1:$Q$950,7,FALSE)</f>
        <v>0</v>
      </c>
      <c r="AI603" s="31">
        <f>VLOOKUP($A603,kurspris!$A$1:$Q$950,8,FALSE)</f>
        <v>0</v>
      </c>
      <c r="AJ603" s="31">
        <f>VLOOKUP($A603,kurspris!$A$1:$Q$950,9,FALSE)</f>
        <v>0</v>
      </c>
      <c r="AK603" s="31">
        <f>VLOOKUP($A603,kurspris!$A$1:$Q$950,10,FALSE)</f>
        <v>0</v>
      </c>
      <c r="AL603" s="31">
        <f>VLOOKUP($A603,kurspris!$A$1:$Q$950,11,FALSE)</f>
        <v>0</v>
      </c>
      <c r="AM603" s="31">
        <f>VLOOKUP($A603,kurspris!$A$1:$Q$950,12,FALSE)</f>
        <v>0</v>
      </c>
      <c r="AN603" s="31">
        <f>VLOOKUP($A603,kurspris!$A$1:$Q$950,13,FALSE)</f>
        <v>0</v>
      </c>
      <c r="AO603" s="31">
        <f>VLOOKUP($A603,kurspris!$A$1:$Q$950,14,FALSE)</f>
        <v>0</v>
      </c>
      <c r="AP603" s="57" t="s">
        <v>2506</v>
      </c>
      <c r="AQ603"/>
      <c r="AR603" s="31">
        <f t="shared" si="274"/>
        <v>0</v>
      </c>
      <c r="AS603" s="219">
        <f t="shared" si="275"/>
        <v>0</v>
      </c>
      <c r="AT603" s="31">
        <f t="shared" si="276"/>
        <v>0</v>
      </c>
      <c r="AU603" s="219">
        <f t="shared" si="277"/>
        <v>0</v>
      </c>
      <c r="AV603" s="31">
        <f t="shared" si="278"/>
        <v>0</v>
      </c>
      <c r="AW603" s="31">
        <f t="shared" si="279"/>
        <v>0</v>
      </c>
      <c r="AX603" s="31">
        <f t="shared" si="280"/>
        <v>8.3333333333333329E-2</v>
      </c>
      <c r="AY603" s="219">
        <f t="shared" si="281"/>
        <v>7.0833333333333331E-2</v>
      </c>
      <c r="AZ603" s="196">
        <f t="shared" si="282"/>
        <v>0</v>
      </c>
      <c r="BA603" s="219">
        <f t="shared" si="283"/>
        <v>0</v>
      </c>
      <c r="BB603" s="31">
        <f t="shared" si="284"/>
        <v>0</v>
      </c>
      <c r="BC603" s="219">
        <f t="shared" si="285"/>
        <v>0</v>
      </c>
      <c r="BD603" s="31">
        <f t="shared" si="286"/>
        <v>0</v>
      </c>
      <c r="BE603" s="219">
        <f t="shared" si="287"/>
        <v>0</v>
      </c>
      <c r="BF603" s="31">
        <f t="shared" si="288"/>
        <v>0</v>
      </c>
      <c r="BG603" s="219">
        <f t="shared" si="289"/>
        <v>0</v>
      </c>
      <c r="BH603" s="31">
        <f t="shared" si="290"/>
        <v>0</v>
      </c>
      <c r="BI603" s="219">
        <f t="shared" si="291"/>
        <v>0</v>
      </c>
      <c r="BJ603" s="31">
        <f t="shared" si="292"/>
        <v>0</v>
      </c>
      <c r="BK603" s="219">
        <f t="shared" si="293"/>
        <v>0</v>
      </c>
      <c r="BL603" s="31">
        <f t="shared" si="294"/>
        <v>0</v>
      </c>
      <c r="BM603" s="219">
        <f t="shared" si="295"/>
        <v>0</v>
      </c>
      <c r="BN603" s="31">
        <f t="shared" si="296"/>
        <v>0</v>
      </c>
      <c r="BO603" s="219">
        <f t="shared" si="297"/>
        <v>0</v>
      </c>
    </row>
    <row r="604" spans="1:67" x14ac:dyDescent="0.25">
      <c r="A604" s="31" t="s">
        <v>1610</v>
      </c>
      <c r="B604" s="176" t="str">
        <f>VLOOKUP(A604,kurspris!$A$1:$B$992,2,FALSE)</f>
        <v>Specialpedagogik - åk 7-9 och gymnasieskolan (UK)</v>
      </c>
      <c r="D604" s="60" t="s">
        <v>482</v>
      </c>
      <c r="E604" s="576" t="s">
        <v>2432</v>
      </c>
      <c r="F604" s="31" t="s">
        <v>2273</v>
      </c>
      <c r="G604" t="s">
        <v>2472</v>
      </c>
      <c r="H604" t="s">
        <v>2335</v>
      </c>
      <c r="J604" s="31" t="s">
        <v>2237</v>
      </c>
      <c r="L604" s="38">
        <v>1</v>
      </c>
      <c r="M604">
        <v>5</v>
      </c>
      <c r="P604" s="31">
        <v>1</v>
      </c>
      <c r="Q604" s="196">
        <f t="shared" si="298"/>
        <v>8.3333333333333329E-2</v>
      </c>
      <c r="R604" s="38">
        <v>0.85</v>
      </c>
      <c r="S604" s="280">
        <f t="shared" si="270"/>
        <v>7.0833333333333331E-2</v>
      </c>
      <c r="T604" s="31">
        <f>VLOOKUP(A604,'Ansvar kurs'!$A$1:$C$1123,2,FALSE)</f>
        <v>2180</v>
      </c>
      <c r="U604" s="31" t="str">
        <f>VLOOKUP(T604,Orgenheter!$A$1:$C$166,2,FALSE)</f>
        <v xml:space="preserve">Pedagogik                     </v>
      </c>
      <c r="V604" s="31" t="str">
        <f>VLOOKUP(T604,Orgenheter!$A$1:$C$166,3,FALSE)</f>
        <v>Sam</v>
      </c>
      <c r="W604" s="35" t="str">
        <f>VLOOKUP(D604,Program!$A$1:$B$36,2,FALSE)</f>
        <v>Ämneslärarprogrammet - Gy</v>
      </c>
      <c r="X604" s="40">
        <f>VLOOKUP(A604,kurspris!$A$1:$Q$913,15,FALSE)</f>
        <v>26554</v>
      </c>
      <c r="Y604" s="40">
        <f>VLOOKUP(A604,kurspris!$A$1:$Q$913,16,FALSE)</f>
        <v>33465</v>
      </c>
      <c r="Z604" s="40">
        <f t="shared" si="271"/>
        <v>4583.270833333333</v>
      </c>
      <c r="AA604" s="40">
        <f>VLOOKUP(A604,kurspris!$A$1:$Q$913,17,FALSE)</f>
        <v>6000</v>
      </c>
      <c r="AB604" s="40">
        <f t="shared" si="272"/>
        <v>500</v>
      </c>
      <c r="AC604" s="40">
        <f t="shared" si="273"/>
        <v>5083.270833333333</v>
      </c>
      <c r="AD604" s="31">
        <f>VLOOKUP($A604,kurspris!$A$1:$Q$950,3,FALSE)</f>
        <v>0</v>
      </c>
      <c r="AE604" s="31">
        <f>VLOOKUP($A604,kurspris!$A$1:$Q$950,4,FALSE)</f>
        <v>0</v>
      </c>
      <c r="AF604" s="31">
        <f>VLOOKUP($A604,kurspris!$A$1:$Q$950,5,FALSE)</f>
        <v>0</v>
      </c>
      <c r="AG604" s="31">
        <f>VLOOKUP($A604,kurspris!$A$1:$Q$950,6,FALSE)</f>
        <v>1</v>
      </c>
      <c r="AH604" s="31">
        <f>VLOOKUP($A604,kurspris!$A$1:$Q$950,7,FALSE)</f>
        <v>0</v>
      </c>
      <c r="AI604" s="31">
        <f>VLOOKUP($A604,kurspris!$A$1:$Q$950,8,FALSE)</f>
        <v>0</v>
      </c>
      <c r="AJ604" s="31">
        <f>VLOOKUP($A604,kurspris!$A$1:$Q$950,9,FALSE)</f>
        <v>0</v>
      </c>
      <c r="AK604" s="31">
        <f>VLOOKUP($A604,kurspris!$A$1:$Q$950,10,FALSE)</f>
        <v>0</v>
      </c>
      <c r="AL604" s="31">
        <f>VLOOKUP($A604,kurspris!$A$1:$Q$950,11,FALSE)</f>
        <v>0</v>
      </c>
      <c r="AM604" s="31">
        <f>VLOOKUP($A604,kurspris!$A$1:$Q$950,12,FALSE)</f>
        <v>0</v>
      </c>
      <c r="AN604" s="31">
        <f>VLOOKUP($A604,kurspris!$A$1:$Q$950,13,FALSE)</f>
        <v>0</v>
      </c>
      <c r="AO604" s="31">
        <f>VLOOKUP($A604,kurspris!$A$1:$Q$950,14,FALSE)</f>
        <v>0</v>
      </c>
      <c r="AP604" s="57" t="s">
        <v>2506</v>
      </c>
      <c r="AQ604"/>
      <c r="AR604" s="31">
        <f t="shared" si="274"/>
        <v>0</v>
      </c>
      <c r="AS604" s="219">
        <f t="shared" si="275"/>
        <v>0</v>
      </c>
      <c r="AT604" s="31">
        <f t="shared" si="276"/>
        <v>0</v>
      </c>
      <c r="AU604" s="219">
        <f t="shared" si="277"/>
        <v>0</v>
      </c>
      <c r="AV604" s="31">
        <f t="shared" si="278"/>
        <v>0</v>
      </c>
      <c r="AW604" s="31">
        <f t="shared" si="279"/>
        <v>0</v>
      </c>
      <c r="AX604" s="31">
        <f t="shared" si="280"/>
        <v>8.3333333333333329E-2</v>
      </c>
      <c r="AY604" s="219">
        <f t="shared" si="281"/>
        <v>7.0833333333333331E-2</v>
      </c>
      <c r="AZ604" s="196">
        <f t="shared" si="282"/>
        <v>0</v>
      </c>
      <c r="BA604" s="219">
        <f t="shared" si="283"/>
        <v>0</v>
      </c>
      <c r="BB604" s="31">
        <f t="shared" si="284"/>
        <v>0</v>
      </c>
      <c r="BC604" s="219">
        <f t="shared" si="285"/>
        <v>0</v>
      </c>
      <c r="BD604" s="31">
        <f t="shared" si="286"/>
        <v>0</v>
      </c>
      <c r="BE604" s="219">
        <f t="shared" si="287"/>
        <v>0</v>
      </c>
      <c r="BF604" s="31">
        <f t="shared" si="288"/>
        <v>0</v>
      </c>
      <c r="BG604" s="219">
        <f t="shared" si="289"/>
        <v>0</v>
      </c>
      <c r="BH604" s="31">
        <f t="shared" si="290"/>
        <v>0</v>
      </c>
      <c r="BI604" s="219">
        <f t="shared" si="291"/>
        <v>0</v>
      </c>
      <c r="BJ604" s="31">
        <f t="shared" si="292"/>
        <v>0</v>
      </c>
      <c r="BK604" s="219">
        <f t="shared" si="293"/>
        <v>0</v>
      </c>
      <c r="BL604" s="31">
        <f t="shared" si="294"/>
        <v>0</v>
      </c>
      <c r="BM604" s="219">
        <f t="shared" si="295"/>
        <v>0</v>
      </c>
      <c r="BN604" s="31">
        <f t="shared" si="296"/>
        <v>0</v>
      </c>
      <c r="BO604" s="219">
        <f t="shared" si="297"/>
        <v>0</v>
      </c>
    </row>
    <row r="605" spans="1:67" x14ac:dyDescent="0.25">
      <c r="A605" s="31" t="s">
        <v>1610</v>
      </c>
      <c r="B605" s="176" t="str">
        <f>VLOOKUP(A605,kurspris!$A$1:$B$992,2,FALSE)</f>
        <v>Specialpedagogik - åk 7-9 och gymnasieskolan (UK)</v>
      </c>
      <c r="D605" s="60" t="s">
        <v>482</v>
      </c>
      <c r="E605" s="576" t="s">
        <v>2430</v>
      </c>
      <c r="F605" s="31" t="s">
        <v>2273</v>
      </c>
      <c r="G605" t="s">
        <v>2472</v>
      </c>
      <c r="H605" t="s">
        <v>2335</v>
      </c>
      <c r="J605" s="31" t="s">
        <v>2241</v>
      </c>
      <c r="L605" s="38">
        <v>1</v>
      </c>
      <c r="M605">
        <v>5</v>
      </c>
      <c r="P605" s="31">
        <v>1</v>
      </c>
      <c r="Q605" s="196">
        <f t="shared" si="298"/>
        <v>8.3333333333333329E-2</v>
      </c>
      <c r="R605" s="38">
        <v>0.85</v>
      </c>
      <c r="S605" s="280">
        <f t="shared" si="270"/>
        <v>7.0833333333333331E-2</v>
      </c>
      <c r="T605" s="31">
        <f>VLOOKUP(A605,'Ansvar kurs'!$A$1:$C$1123,2,FALSE)</f>
        <v>2180</v>
      </c>
      <c r="U605" s="31" t="str">
        <f>VLOOKUP(T605,Orgenheter!$A$1:$C$166,2,FALSE)</f>
        <v xml:space="preserve">Pedagogik                     </v>
      </c>
      <c r="V605" s="31" t="str">
        <f>VLOOKUP(T605,Orgenheter!$A$1:$C$166,3,FALSE)</f>
        <v>Sam</v>
      </c>
      <c r="W605" s="35" t="str">
        <f>VLOOKUP(D605,Program!$A$1:$B$36,2,FALSE)</f>
        <v>Ämneslärarprogrammet - Gy</v>
      </c>
      <c r="X605" s="40">
        <f>VLOOKUP(A605,kurspris!$A$1:$Q$913,15,FALSE)</f>
        <v>26554</v>
      </c>
      <c r="Y605" s="40">
        <f>VLOOKUP(A605,kurspris!$A$1:$Q$913,16,FALSE)</f>
        <v>33465</v>
      </c>
      <c r="Z605" s="40">
        <f t="shared" si="271"/>
        <v>4583.270833333333</v>
      </c>
      <c r="AA605" s="40">
        <f>VLOOKUP(A605,kurspris!$A$1:$Q$913,17,FALSE)</f>
        <v>6000</v>
      </c>
      <c r="AB605" s="40">
        <f t="shared" si="272"/>
        <v>500</v>
      </c>
      <c r="AC605" s="40">
        <f t="shared" si="273"/>
        <v>5083.270833333333</v>
      </c>
      <c r="AD605" s="31">
        <f>VLOOKUP($A605,kurspris!$A$1:$Q$950,3,FALSE)</f>
        <v>0</v>
      </c>
      <c r="AE605" s="31">
        <f>VLOOKUP($A605,kurspris!$A$1:$Q$950,4,FALSE)</f>
        <v>0</v>
      </c>
      <c r="AF605" s="31">
        <f>VLOOKUP($A605,kurspris!$A$1:$Q$950,5,FALSE)</f>
        <v>0</v>
      </c>
      <c r="AG605" s="31">
        <f>VLOOKUP($A605,kurspris!$A$1:$Q$950,6,FALSE)</f>
        <v>1</v>
      </c>
      <c r="AH605" s="31">
        <f>VLOOKUP($A605,kurspris!$A$1:$Q$950,7,FALSE)</f>
        <v>0</v>
      </c>
      <c r="AI605" s="31">
        <f>VLOOKUP($A605,kurspris!$A$1:$Q$950,8,FALSE)</f>
        <v>0</v>
      </c>
      <c r="AJ605" s="31">
        <f>VLOOKUP($A605,kurspris!$A$1:$Q$950,9,FALSE)</f>
        <v>0</v>
      </c>
      <c r="AK605" s="31">
        <f>VLOOKUP($A605,kurspris!$A$1:$Q$950,10,FALSE)</f>
        <v>0</v>
      </c>
      <c r="AL605" s="31">
        <f>VLOOKUP($A605,kurspris!$A$1:$Q$950,11,FALSE)</f>
        <v>0</v>
      </c>
      <c r="AM605" s="31">
        <f>VLOOKUP($A605,kurspris!$A$1:$Q$950,12,FALSE)</f>
        <v>0</v>
      </c>
      <c r="AN605" s="31">
        <f>VLOOKUP($A605,kurspris!$A$1:$Q$950,13,FALSE)</f>
        <v>0</v>
      </c>
      <c r="AO605" s="31">
        <f>VLOOKUP($A605,kurspris!$A$1:$Q$950,14,FALSE)</f>
        <v>0</v>
      </c>
      <c r="AP605" s="57" t="s">
        <v>2506</v>
      </c>
      <c r="AQ605"/>
      <c r="AR605" s="31">
        <f t="shared" si="274"/>
        <v>0</v>
      </c>
      <c r="AS605" s="219">
        <f t="shared" si="275"/>
        <v>0</v>
      </c>
      <c r="AT605" s="31">
        <f t="shared" si="276"/>
        <v>0</v>
      </c>
      <c r="AU605" s="219">
        <f t="shared" si="277"/>
        <v>0</v>
      </c>
      <c r="AV605" s="31">
        <f t="shared" si="278"/>
        <v>0</v>
      </c>
      <c r="AW605" s="31">
        <f t="shared" si="279"/>
        <v>0</v>
      </c>
      <c r="AX605" s="31">
        <f t="shared" si="280"/>
        <v>8.3333333333333329E-2</v>
      </c>
      <c r="AY605" s="219">
        <f t="shared" si="281"/>
        <v>7.0833333333333331E-2</v>
      </c>
      <c r="AZ605" s="196">
        <f t="shared" si="282"/>
        <v>0</v>
      </c>
      <c r="BA605" s="219">
        <f t="shared" si="283"/>
        <v>0</v>
      </c>
      <c r="BB605" s="31">
        <f t="shared" si="284"/>
        <v>0</v>
      </c>
      <c r="BC605" s="219">
        <f t="shared" si="285"/>
        <v>0</v>
      </c>
      <c r="BD605" s="31">
        <f t="shared" si="286"/>
        <v>0</v>
      </c>
      <c r="BE605" s="219">
        <f t="shared" si="287"/>
        <v>0</v>
      </c>
      <c r="BF605" s="31">
        <f t="shared" si="288"/>
        <v>0</v>
      </c>
      <c r="BG605" s="219">
        <f t="shared" si="289"/>
        <v>0</v>
      </c>
      <c r="BH605" s="31">
        <f t="shared" si="290"/>
        <v>0</v>
      </c>
      <c r="BI605" s="219">
        <f t="shared" si="291"/>
        <v>0</v>
      </c>
      <c r="BJ605" s="31">
        <f t="shared" si="292"/>
        <v>0</v>
      </c>
      <c r="BK605" s="219">
        <f t="shared" si="293"/>
        <v>0</v>
      </c>
      <c r="BL605" s="31">
        <f t="shared" si="294"/>
        <v>0</v>
      </c>
      <c r="BM605" s="219">
        <f t="shared" si="295"/>
        <v>0</v>
      </c>
      <c r="BN605" s="31">
        <f t="shared" si="296"/>
        <v>0</v>
      </c>
      <c r="BO605" s="219">
        <f t="shared" si="297"/>
        <v>0</v>
      </c>
    </row>
    <row r="606" spans="1:67" x14ac:dyDescent="0.25">
      <c r="A606" s="31" t="s">
        <v>1541</v>
      </c>
      <c r="B606" s="176" t="str">
        <f>VLOOKUP(A606,kurspris!$A$1:$B$992,2,FALSE)</f>
        <v>Utbildningsvetenskap, undervisning och lärande för grundskolan (UK)</v>
      </c>
      <c r="C606" s="31">
        <v>64506</v>
      </c>
      <c r="D606" s="60" t="s">
        <v>481</v>
      </c>
      <c r="E606" s="60"/>
      <c r="F606" s="57" t="s">
        <v>2274</v>
      </c>
      <c r="H606" s="31" t="s">
        <v>2335</v>
      </c>
      <c r="I606" s="31" t="s">
        <v>2399</v>
      </c>
      <c r="J606" s="31" t="s">
        <v>2245</v>
      </c>
      <c r="L606" s="38"/>
      <c r="M606">
        <v>8</v>
      </c>
      <c r="P606" s="31">
        <v>1</v>
      </c>
      <c r="Q606" s="539">
        <v>0.13300000000000001</v>
      </c>
      <c r="R606" s="38">
        <v>0.85</v>
      </c>
      <c r="S606" s="280">
        <f t="shared" si="270"/>
        <v>0.11305</v>
      </c>
      <c r="T606" s="31">
        <f>VLOOKUP(A606,'Ansvar kurs'!$A$1:$C$1123,2,FALSE)</f>
        <v>2180</v>
      </c>
      <c r="U606" s="31" t="str">
        <f>VLOOKUP(T606,Orgenheter!$A$1:$C$166,2,FALSE)</f>
        <v xml:space="preserve">Pedagogik                     </v>
      </c>
      <c r="V606" s="31" t="str">
        <f>VLOOKUP(T606,Orgenheter!$A$1:$C$166,3,FALSE)</f>
        <v>Sam</v>
      </c>
      <c r="W606" s="35" t="str">
        <f>VLOOKUP(D606,Program!$A$1:$B$36,2,FALSE)</f>
        <v>Ämneslärarprogrammet - åk 7-9</v>
      </c>
      <c r="X606" s="40">
        <f>VLOOKUP(A606,kurspris!$A$1:$Q$913,15,FALSE)</f>
        <v>26554</v>
      </c>
      <c r="Y606" s="40">
        <f>VLOOKUP(A606,kurspris!$A$1:$Q$913,16,FALSE)</f>
        <v>33465</v>
      </c>
      <c r="Z606" s="40">
        <f t="shared" si="271"/>
        <v>7314.9002500000006</v>
      </c>
      <c r="AA606" s="40">
        <f>VLOOKUP(A606,kurspris!$A$1:$Q$913,17,FALSE)</f>
        <v>6000</v>
      </c>
      <c r="AB606" s="40">
        <f t="shared" si="272"/>
        <v>798</v>
      </c>
      <c r="AC606" s="40">
        <f t="shared" si="273"/>
        <v>8112.9002500000006</v>
      </c>
      <c r="AD606" s="31">
        <f>VLOOKUP($A606,kurspris!$A$1:$Q$950,3,FALSE)</f>
        <v>0</v>
      </c>
      <c r="AE606" s="31">
        <f>VLOOKUP($A606,kurspris!$A$1:$Q$950,4,FALSE)</f>
        <v>0</v>
      </c>
      <c r="AF606" s="31">
        <f>VLOOKUP($A606,kurspris!$A$1:$Q$950,5,FALSE)</f>
        <v>0</v>
      </c>
      <c r="AG606" s="31">
        <f>VLOOKUP($A606,kurspris!$A$1:$Q$950,6,FALSE)</f>
        <v>1</v>
      </c>
      <c r="AH606" s="31">
        <f>VLOOKUP($A606,kurspris!$A$1:$Q$950,7,FALSE)</f>
        <v>0</v>
      </c>
      <c r="AI606" s="31">
        <f>VLOOKUP($A606,kurspris!$A$1:$Q$950,8,FALSE)</f>
        <v>0</v>
      </c>
      <c r="AJ606" s="31">
        <f>VLOOKUP($A606,kurspris!$A$1:$Q$950,9,FALSE)</f>
        <v>0</v>
      </c>
      <c r="AK606" s="31">
        <f>VLOOKUP($A606,kurspris!$A$1:$Q$950,10,FALSE)</f>
        <v>0</v>
      </c>
      <c r="AL606" s="31">
        <f>VLOOKUP($A606,kurspris!$A$1:$Q$950,11,FALSE)</f>
        <v>0</v>
      </c>
      <c r="AM606" s="31">
        <f>VLOOKUP($A606,kurspris!$A$1:$Q$950,12,FALSE)</f>
        <v>0</v>
      </c>
      <c r="AN606" s="31">
        <f>VLOOKUP($A606,kurspris!$A$1:$Q$950,13,FALSE)</f>
        <v>0</v>
      </c>
      <c r="AO606" s="31">
        <f>VLOOKUP($A606,kurspris!$A$1:$Q$950,14,FALSE)</f>
        <v>0</v>
      </c>
      <c r="AP606" s="57" t="s">
        <v>2402</v>
      </c>
      <c r="AQ606"/>
      <c r="AR606" s="31">
        <f t="shared" si="274"/>
        <v>0</v>
      </c>
      <c r="AS606" s="219">
        <f t="shared" si="275"/>
        <v>0</v>
      </c>
      <c r="AT606" s="31">
        <f t="shared" si="276"/>
        <v>0</v>
      </c>
      <c r="AU606" s="219">
        <f t="shared" si="277"/>
        <v>0</v>
      </c>
      <c r="AV606" s="31">
        <f t="shared" si="278"/>
        <v>0</v>
      </c>
      <c r="AW606" s="31">
        <f t="shared" si="279"/>
        <v>0</v>
      </c>
      <c r="AX606" s="31">
        <f t="shared" si="280"/>
        <v>0.13300000000000001</v>
      </c>
      <c r="AY606" s="219">
        <f t="shared" si="281"/>
        <v>0.11305</v>
      </c>
      <c r="AZ606" s="196">
        <f t="shared" si="282"/>
        <v>0</v>
      </c>
      <c r="BA606" s="219">
        <f t="shared" si="283"/>
        <v>0</v>
      </c>
      <c r="BB606" s="31">
        <f t="shared" si="284"/>
        <v>0</v>
      </c>
      <c r="BC606" s="219">
        <f t="shared" si="285"/>
        <v>0</v>
      </c>
      <c r="BD606" s="31">
        <f t="shared" si="286"/>
        <v>0</v>
      </c>
      <c r="BE606" s="219">
        <f t="shared" si="287"/>
        <v>0</v>
      </c>
      <c r="BF606" s="31">
        <f t="shared" si="288"/>
        <v>0</v>
      </c>
      <c r="BG606" s="219">
        <f t="shared" si="289"/>
        <v>0</v>
      </c>
      <c r="BH606" s="31">
        <f t="shared" si="290"/>
        <v>0</v>
      </c>
      <c r="BI606" s="219">
        <f t="shared" si="291"/>
        <v>0</v>
      </c>
      <c r="BJ606" s="31">
        <f t="shared" si="292"/>
        <v>0</v>
      </c>
      <c r="BK606" s="219">
        <f t="shared" si="293"/>
        <v>0</v>
      </c>
      <c r="BL606" s="31">
        <f t="shared" si="294"/>
        <v>0</v>
      </c>
      <c r="BM606" s="219">
        <f t="shared" si="295"/>
        <v>0</v>
      </c>
      <c r="BN606" s="31">
        <f t="shared" si="296"/>
        <v>0</v>
      </c>
      <c r="BO606" s="219">
        <f t="shared" si="297"/>
        <v>0</v>
      </c>
    </row>
    <row r="607" spans="1:67" x14ac:dyDescent="0.25">
      <c r="A607" s="31" t="s">
        <v>1541</v>
      </c>
      <c r="B607" s="176" t="str">
        <f>VLOOKUP(A607,kurspris!$A$1:$B$992,2,FALSE)</f>
        <v>Utbildningsvetenskap, undervisning och lärande för grundskolan (UK)</v>
      </c>
      <c r="C607" s="31">
        <v>64506</v>
      </c>
      <c r="D607" s="60" t="s">
        <v>485</v>
      </c>
      <c r="E607" s="60"/>
      <c r="F607" s="57" t="s">
        <v>2274</v>
      </c>
      <c r="H607" s="31" t="s">
        <v>2335</v>
      </c>
      <c r="I607" s="31" t="s">
        <v>2399</v>
      </c>
      <c r="L607" s="38"/>
      <c r="M607">
        <v>8</v>
      </c>
      <c r="P607" s="31">
        <v>44</v>
      </c>
      <c r="Q607" s="539">
        <v>5.867</v>
      </c>
      <c r="R607" s="38">
        <v>0.85</v>
      </c>
      <c r="S607" s="280">
        <f t="shared" si="270"/>
        <v>4.9869500000000002</v>
      </c>
      <c r="T607" s="31">
        <f>VLOOKUP(A607,'Ansvar kurs'!$A$1:$C$1123,2,FALSE)</f>
        <v>2180</v>
      </c>
      <c r="U607" s="31" t="str">
        <f>VLOOKUP(T607,Orgenheter!$A$1:$C$166,2,FALSE)</f>
        <v xml:space="preserve">Pedagogik                     </v>
      </c>
      <c r="V607" s="31" t="str">
        <f>VLOOKUP(T607,Orgenheter!$A$1:$C$166,3,FALSE)</f>
        <v>Sam</v>
      </c>
      <c r="W607" s="35" t="str">
        <f>VLOOKUP(D607,Program!$A$1:$B$36,2,FALSE)</f>
        <v>Grundlärarprogrammet - förskoleklass och åk 1-3</v>
      </c>
      <c r="X607" s="40">
        <f>VLOOKUP(A607,kurspris!$A$1:$Q$913,15,FALSE)</f>
        <v>26554</v>
      </c>
      <c r="Y607" s="40">
        <f>VLOOKUP(A607,kurspris!$A$1:$Q$913,16,FALSE)</f>
        <v>33465</v>
      </c>
      <c r="Z607" s="40">
        <f t="shared" si="271"/>
        <v>322680.59974999999</v>
      </c>
      <c r="AA607" s="40">
        <f>VLOOKUP(A607,kurspris!$A$1:$Q$913,17,FALSE)</f>
        <v>6000</v>
      </c>
      <c r="AB607" s="40">
        <f t="shared" si="272"/>
        <v>35202</v>
      </c>
      <c r="AC607" s="40">
        <f t="shared" si="273"/>
        <v>357882.59974999999</v>
      </c>
      <c r="AD607" s="31">
        <f>VLOOKUP($A607,kurspris!$A$1:$Q$950,3,FALSE)</f>
        <v>0</v>
      </c>
      <c r="AE607" s="31">
        <f>VLOOKUP($A607,kurspris!$A$1:$Q$950,4,FALSE)</f>
        <v>0</v>
      </c>
      <c r="AF607" s="31">
        <f>VLOOKUP($A607,kurspris!$A$1:$Q$950,5,FALSE)</f>
        <v>0</v>
      </c>
      <c r="AG607" s="31">
        <f>VLOOKUP($A607,kurspris!$A$1:$Q$950,6,FALSE)</f>
        <v>1</v>
      </c>
      <c r="AH607" s="31">
        <f>VLOOKUP($A607,kurspris!$A$1:$Q$950,7,FALSE)</f>
        <v>0</v>
      </c>
      <c r="AI607" s="31">
        <f>VLOOKUP($A607,kurspris!$A$1:$Q$950,8,FALSE)</f>
        <v>0</v>
      </c>
      <c r="AJ607" s="31">
        <f>VLOOKUP($A607,kurspris!$A$1:$Q$950,9,FALSE)</f>
        <v>0</v>
      </c>
      <c r="AK607" s="31">
        <f>VLOOKUP($A607,kurspris!$A$1:$Q$950,10,FALSE)</f>
        <v>0</v>
      </c>
      <c r="AL607" s="31">
        <f>VLOOKUP($A607,kurspris!$A$1:$Q$950,11,FALSE)</f>
        <v>0</v>
      </c>
      <c r="AM607" s="31">
        <f>VLOOKUP($A607,kurspris!$A$1:$Q$950,12,FALSE)</f>
        <v>0</v>
      </c>
      <c r="AN607" s="31">
        <f>VLOOKUP($A607,kurspris!$A$1:$Q$950,13,FALSE)</f>
        <v>0</v>
      </c>
      <c r="AO607" s="31">
        <f>VLOOKUP($A607,kurspris!$A$1:$Q$950,14,FALSE)</f>
        <v>0</v>
      </c>
      <c r="AP607" s="57" t="s">
        <v>2402</v>
      </c>
      <c r="AQ607"/>
      <c r="AR607" s="31">
        <f t="shared" si="274"/>
        <v>0</v>
      </c>
      <c r="AS607" s="219">
        <f t="shared" si="275"/>
        <v>0</v>
      </c>
      <c r="AT607" s="31">
        <f t="shared" si="276"/>
        <v>0</v>
      </c>
      <c r="AU607" s="219">
        <f t="shared" si="277"/>
        <v>0</v>
      </c>
      <c r="AV607" s="31">
        <f t="shared" si="278"/>
        <v>0</v>
      </c>
      <c r="AW607" s="31">
        <f t="shared" si="279"/>
        <v>0</v>
      </c>
      <c r="AX607" s="31">
        <f t="shared" si="280"/>
        <v>5.867</v>
      </c>
      <c r="AY607" s="219">
        <f t="shared" si="281"/>
        <v>4.9869500000000002</v>
      </c>
      <c r="AZ607" s="196">
        <f t="shared" si="282"/>
        <v>0</v>
      </c>
      <c r="BA607" s="219">
        <f t="shared" si="283"/>
        <v>0</v>
      </c>
      <c r="BB607" s="31">
        <f t="shared" si="284"/>
        <v>0</v>
      </c>
      <c r="BC607" s="219">
        <f t="shared" si="285"/>
        <v>0</v>
      </c>
      <c r="BD607" s="31">
        <f t="shared" si="286"/>
        <v>0</v>
      </c>
      <c r="BE607" s="219">
        <f t="shared" si="287"/>
        <v>0</v>
      </c>
      <c r="BF607" s="31">
        <f t="shared" si="288"/>
        <v>0</v>
      </c>
      <c r="BG607" s="219">
        <f t="shared" si="289"/>
        <v>0</v>
      </c>
      <c r="BH607" s="31">
        <f t="shared" si="290"/>
        <v>0</v>
      </c>
      <c r="BI607" s="219">
        <f t="shared" si="291"/>
        <v>0</v>
      </c>
      <c r="BJ607" s="31">
        <f t="shared" si="292"/>
        <v>0</v>
      </c>
      <c r="BK607" s="219">
        <f t="shared" si="293"/>
        <v>0</v>
      </c>
      <c r="BL607" s="31">
        <f t="shared" si="294"/>
        <v>0</v>
      </c>
      <c r="BM607" s="219">
        <f t="shared" si="295"/>
        <v>0</v>
      </c>
      <c r="BN607" s="31">
        <f t="shared" si="296"/>
        <v>0</v>
      </c>
      <c r="BO607" s="219">
        <f t="shared" si="297"/>
        <v>0</v>
      </c>
    </row>
    <row r="608" spans="1:67" x14ac:dyDescent="0.25">
      <c r="A608" s="31" t="s">
        <v>1541</v>
      </c>
      <c r="B608" s="176" t="str">
        <f>VLOOKUP(A608,kurspris!$A$1:$B$992,2,FALSE)</f>
        <v>Utbildningsvetenskap, undervisning och lärande för grundskolan (UK)</v>
      </c>
      <c r="C608" s="31">
        <v>64506</v>
      </c>
      <c r="D608" s="60" t="s">
        <v>523</v>
      </c>
      <c r="E608" s="60"/>
      <c r="F608" s="57" t="s">
        <v>2274</v>
      </c>
      <c r="H608" s="31" t="s">
        <v>2335</v>
      </c>
      <c r="I608" s="31" t="s">
        <v>2399</v>
      </c>
      <c r="L608" s="38"/>
      <c r="M608">
        <v>8</v>
      </c>
      <c r="P608" s="31">
        <v>21</v>
      </c>
      <c r="Q608" s="539">
        <v>2.8</v>
      </c>
      <c r="R608" s="38">
        <v>0.85</v>
      </c>
      <c r="S608" s="280">
        <f t="shared" si="270"/>
        <v>2.38</v>
      </c>
      <c r="T608" s="31">
        <f>VLOOKUP(A608,'Ansvar kurs'!$A$1:$C$1123,2,FALSE)</f>
        <v>2180</v>
      </c>
      <c r="U608" s="31" t="str">
        <f>VLOOKUP(T608,Orgenheter!$A$1:$C$166,2,FALSE)</f>
        <v xml:space="preserve">Pedagogik                     </v>
      </c>
      <c r="V608" s="31" t="str">
        <f>VLOOKUP(T608,Orgenheter!$A$1:$C$166,3,FALSE)</f>
        <v>Sam</v>
      </c>
      <c r="W608" s="35" t="str">
        <f>VLOOKUP(D608,Program!$A$1:$B$36,2,FALSE)</f>
        <v>Grundlärarprogrammet - grundskolans åk 4-6</v>
      </c>
      <c r="X608" s="40">
        <f>VLOOKUP(A608,kurspris!$A$1:$Q$913,15,FALSE)</f>
        <v>26554</v>
      </c>
      <c r="Y608" s="40">
        <f>VLOOKUP(A608,kurspris!$A$1:$Q$913,16,FALSE)</f>
        <v>33465</v>
      </c>
      <c r="Z608" s="40">
        <f t="shared" si="271"/>
        <v>153997.9</v>
      </c>
      <c r="AA608" s="40">
        <f>VLOOKUP(A608,kurspris!$A$1:$Q$913,17,FALSE)</f>
        <v>6000</v>
      </c>
      <c r="AB608" s="40">
        <f t="shared" si="272"/>
        <v>16800</v>
      </c>
      <c r="AC608" s="40">
        <f t="shared" si="273"/>
        <v>170797.9</v>
      </c>
      <c r="AD608" s="31">
        <f>VLOOKUP($A608,kurspris!$A$1:$Q$950,3,FALSE)</f>
        <v>0</v>
      </c>
      <c r="AE608" s="31">
        <f>VLOOKUP($A608,kurspris!$A$1:$Q$950,4,FALSE)</f>
        <v>0</v>
      </c>
      <c r="AF608" s="31">
        <f>VLOOKUP($A608,kurspris!$A$1:$Q$950,5,FALSE)</f>
        <v>0</v>
      </c>
      <c r="AG608" s="31">
        <f>VLOOKUP($A608,kurspris!$A$1:$Q$950,6,FALSE)</f>
        <v>1</v>
      </c>
      <c r="AH608" s="31">
        <f>VLOOKUP($A608,kurspris!$A$1:$Q$950,7,FALSE)</f>
        <v>0</v>
      </c>
      <c r="AI608" s="31">
        <f>VLOOKUP($A608,kurspris!$A$1:$Q$950,8,FALSE)</f>
        <v>0</v>
      </c>
      <c r="AJ608" s="31">
        <f>VLOOKUP($A608,kurspris!$A$1:$Q$950,9,FALSE)</f>
        <v>0</v>
      </c>
      <c r="AK608" s="31">
        <f>VLOOKUP($A608,kurspris!$A$1:$Q$950,10,FALSE)</f>
        <v>0</v>
      </c>
      <c r="AL608" s="31">
        <f>VLOOKUP($A608,kurspris!$A$1:$Q$950,11,FALSE)</f>
        <v>0</v>
      </c>
      <c r="AM608" s="31">
        <f>VLOOKUP($A608,kurspris!$A$1:$Q$950,12,FALSE)</f>
        <v>0</v>
      </c>
      <c r="AN608" s="31">
        <f>VLOOKUP($A608,kurspris!$A$1:$Q$950,13,FALSE)</f>
        <v>0</v>
      </c>
      <c r="AO608" s="31">
        <f>VLOOKUP($A608,kurspris!$A$1:$Q$950,14,FALSE)</f>
        <v>0</v>
      </c>
      <c r="AP608" s="57" t="s">
        <v>2402</v>
      </c>
      <c r="AQ608"/>
      <c r="AR608" s="31">
        <f t="shared" si="274"/>
        <v>0</v>
      </c>
      <c r="AS608" s="219">
        <f t="shared" si="275"/>
        <v>0</v>
      </c>
      <c r="AT608" s="31">
        <f t="shared" si="276"/>
        <v>0</v>
      </c>
      <c r="AU608" s="219">
        <f t="shared" si="277"/>
        <v>0</v>
      </c>
      <c r="AV608" s="31">
        <f t="shared" si="278"/>
        <v>0</v>
      </c>
      <c r="AW608" s="31">
        <f t="shared" si="279"/>
        <v>0</v>
      </c>
      <c r="AX608" s="31">
        <f t="shared" si="280"/>
        <v>2.8</v>
      </c>
      <c r="AY608" s="219">
        <f t="shared" si="281"/>
        <v>2.38</v>
      </c>
      <c r="AZ608" s="196">
        <f t="shared" si="282"/>
        <v>0</v>
      </c>
      <c r="BA608" s="219">
        <f t="shared" si="283"/>
        <v>0</v>
      </c>
      <c r="BB608" s="31">
        <f t="shared" si="284"/>
        <v>0</v>
      </c>
      <c r="BC608" s="219">
        <f t="shared" si="285"/>
        <v>0</v>
      </c>
      <c r="BD608" s="31">
        <f t="shared" si="286"/>
        <v>0</v>
      </c>
      <c r="BE608" s="219">
        <f t="shared" si="287"/>
        <v>0</v>
      </c>
      <c r="BF608" s="31">
        <f t="shared" si="288"/>
        <v>0</v>
      </c>
      <c r="BG608" s="219">
        <f t="shared" si="289"/>
        <v>0</v>
      </c>
      <c r="BH608" s="31">
        <f t="shared" si="290"/>
        <v>0</v>
      </c>
      <c r="BI608" s="219">
        <f t="shared" si="291"/>
        <v>0</v>
      </c>
      <c r="BJ608" s="31">
        <f t="shared" si="292"/>
        <v>0</v>
      </c>
      <c r="BK608" s="219">
        <f t="shared" si="293"/>
        <v>0</v>
      </c>
      <c r="BL608" s="31">
        <f t="shared" si="294"/>
        <v>0</v>
      </c>
      <c r="BM608" s="219">
        <f t="shared" si="295"/>
        <v>0</v>
      </c>
      <c r="BN608" s="31">
        <f t="shared" si="296"/>
        <v>0</v>
      </c>
      <c r="BO608" s="219">
        <f t="shared" si="297"/>
        <v>0</v>
      </c>
    </row>
    <row r="609" spans="1:67" x14ac:dyDescent="0.25">
      <c r="A609" s="31" t="s">
        <v>1642</v>
      </c>
      <c r="B609" s="176" t="str">
        <f>VLOOKUP(A609,kurspris!$A$1:$B$992,2,FALSE)</f>
        <v>Utbildningsvetenskap, undervisning och lärande - Ämneslärarprogrammet (UK)</v>
      </c>
      <c r="D609" s="60" t="s">
        <v>481</v>
      </c>
      <c r="E609" s="576" t="s">
        <v>2227</v>
      </c>
      <c r="F609" s="31" t="s">
        <v>2273</v>
      </c>
      <c r="G609" t="s">
        <v>2448</v>
      </c>
      <c r="H609" t="s">
        <v>2335</v>
      </c>
      <c r="J609" s="31" t="s">
        <v>2244</v>
      </c>
      <c r="L609" s="38">
        <v>1</v>
      </c>
      <c r="M609">
        <v>8</v>
      </c>
      <c r="P609" s="31">
        <v>1</v>
      </c>
      <c r="Q609" s="196">
        <f t="shared" ref="Q609:Q633" si="299">(M609/60)*P609</f>
        <v>0.13333333333333333</v>
      </c>
      <c r="R609" s="38">
        <v>0.85</v>
      </c>
      <c r="S609" s="280">
        <f t="shared" si="270"/>
        <v>0.11333333333333333</v>
      </c>
      <c r="T609" s="31">
        <f>VLOOKUP(A609,'Ansvar kurs'!$A$1:$C$1123,2,FALSE)</f>
        <v>2180</v>
      </c>
      <c r="U609" s="31" t="str">
        <f>VLOOKUP(T609,Orgenheter!$A$1:$C$166,2,FALSE)</f>
        <v xml:space="preserve">Pedagogik                     </v>
      </c>
      <c r="V609" s="31" t="str">
        <f>VLOOKUP(T609,Orgenheter!$A$1:$C$166,3,FALSE)</f>
        <v>Sam</v>
      </c>
      <c r="W609" s="35" t="str">
        <f>VLOOKUP(D609,Program!$A$1:$B$36,2,FALSE)</f>
        <v>Ämneslärarprogrammet - åk 7-9</v>
      </c>
      <c r="X609" s="40">
        <f>VLOOKUP(A609,kurspris!$A$1:$Q$913,15,FALSE)</f>
        <v>26554</v>
      </c>
      <c r="Y609" s="40">
        <f>VLOOKUP(A609,kurspris!$A$1:$Q$913,16,FALSE)</f>
        <v>33465</v>
      </c>
      <c r="Z609" s="40">
        <f t="shared" si="271"/>
        <v>7333.2333333333336</v>
      </c>
      <c r="AA609" s="40">
        <f>VLOOKUP(A609,kurspris!$A$1:$Q$913,17,FALSE)</f>
        <v>6000</v>
      </c>
      <c r="AB609" s="40">
        <f t="shared" si="272"/>
        <v>800</v>
      </c>
      <c r="AC609" s="40">
        <f t="shared" si="273"/>
        <v>8133.2333333333336</v>
      </c>
      <c r="AD609" s="31">
        <f>VLOOKUP($A609,kurspris!$A$1:$Q$950,3,FALSE)</f>
        <v>0</v>
      </c>
      <c r="AE609" s="31">
        <f>VLOOKUP($A609,kurspris!$A$1:$Q$950,4,FALSE)</f>
        <v>0</v>
      </c>
      <c r="AF609" s="31">
        <f>VLOOKUP($A609,kurspris!$A$1:$Q$950,5,FALSE)</f>
        <v>0</v>
      </c>
      <c r="AG609" s="31">
        <f>VLOOKUP($A609,kurspris!$A$1:$Q$950,6,FALSE)</f>
        <v>1</v>
      </c>
      <c r="AH609" s="31">
        <f>VLOOKUP($A609,kurspris!$A$1:$Q$950,7,FALSE)</f>
        <v>0</v>
      </c>
      <c r="AI609" s="31">
        <f>VLOOKUP($A609,kurspris!$A$1:$Q$950,8,FALSE)</f>
        <v>0</v>
      </c>
      <c r="AJ609" s="31">
        <f>VLOOKUP($A609,kurspris!$A$1:$Q$950,9,FALSE)</f>
        <v>0</v>
      </c>
      <c r="AK609" s="31">
        <f>VLOOKUP($A609,kurspris!$A$1:$Q$950,10,FALSE)</f>
        <v>0</v>
      </c>
      <c r="AL609" s="31">
        <f>VLOOKUP($A609,kurspris!$A$1:$Q$950,11,FALSE)</f>
        <v>0</v>
      </c>
      <c r="AM609" s="31">
        <f>VLOOKUP($A609,kurspris!$A$1:$Q$950,12,FALSE)</f>
        <v>0</v>
      </c>
      <c r="AN609" s="31">
        <f>VLOOKUP($A609,kurspris!$A$1:$Q$950,13,FALSE)</f>
        <v>0</v>
      </c>
      <c r="AO609" s="31">
        <f>VLOOKUP($A609,kurspris!$A$1:$Q$950,14,FALSE)</f>
        <v>0</v>
      </c>
      <c r="AP609" s="57" t="s">
        <v>2506</v>
      </c>
      <c r="AQ609"/>
      <c r="AR609" s="31">
        <f t="shared" si="274"/>
        <v>0</v>
      </c>
      <c r="AS609" s="219">
        <f t="shared" si="275"/>
        <v>0</v>
      </c>
      <c r="AT609" s="31">
        <f t="shared" si="276"/>
        <v>0</v>
      </c>
      <c r="AU609" s="219">
        <f t="shared" si="277"/>
        <v>0</v>
      </c>
      <c r="AV609" s="31">
        <f t="shared" si="278"/>
        <v>0</v>
      </c>
      <c r="AW609" s="31">
        <f t="shared" si="279"/>
        <v>0</v>
      </c>
      <c r="AX609" s="31">
        <f t="shared" si="280"/>
        <v>0.13333333333333333</v>
      </c>
      <c r="AY609" s="219">
        <f t="shared" si="281"/>
        <v>0.11333333333333333</v>
      </c>
      <c r="AZ609" s="196">
        <f t="shared" si="282"/>
        <v>0</v>
      </c>
      <c r="BA609" s="219">
        <f t="shared" si="283"/>
        <v>0</v>
      </c>
      <c r="BB609" s="31">
        <f t="shared" si="284"/>
        <v>0</v>
      </c>
      <c r="BC609" s="219">
        <f t="shared" si="285"/>
        <v>0</v>
      </c>
      <c r="BD609" s="31">
        <f t="shared" si="286"/>
        <v>0</v>
      </c>
      <c r="BE609" s="219">
        <f t="shared" si="287"/>
        <v>0</v>
      </c>
      <c r="BF609" s="31">
        <f t="shared" si="288"/>
        <v>0</v>
      </c>
      <c r="BG609" s="219">
        <f t="shared" si="289"/>
        <v>0</v>
      </c>
      <c r="BH609" s="31">
        <f t="shared" si="290"/>
        <v>0</v>
      </c>
      <c r="BI609" s="219">
        <f t="shared" si="291"/>
        <v>0</v>
      </c>
      <c r="BJ609" s="31">
        <f t="shared" si="292"/>
        <v>0</v>
      </c>
      <c r="BK609" s="219">
        <f t="shared" si="293"/>
        <v>0</v>
      </c>
      <c r="BL609" s="31">
        <f t="shared" si="294"/>
        <v>0</v>
      </c>
      <c r="BM609" s="219">
        <f t="shared" si="295"/>
        <v>0</v>
      </c>
      <c r="BN609" s="31">
        <f t="shared" si="296"/>
        <v>0</v>
      </c>
      <c r="BO609" s="219">
        <f t="shared" si="297"/>
        <v>0</v>
      </c>
    </row>
    <row r="610" spans="1:67" x14ac:dyDescent="0.25">
      <c r="A610" s="31" t="s">
        <v>1642</v>
      </c>
      <c r="B610" s="176" t="str">
        <f>VLOOKUP(A610,kurspris!$A$1:$B$992,2,FALSE)</f>
        <v>Utbildningsvetenskap, undervisning och lärande - Ämneslärarprogrammet (UK)</v>
      </c>
      <c r="D610" s="60" t="s">
        <v>482</v>
      </c>
      <c r="E610" s="576" t="s">
        <v>2429</v>
      </c>
      <c r="F610" s="31" t="s">
        <v>2273</v>
      </c>
      <c r="G610" t="s">
        <v>2448</v>
      </c>
      <c r="H610" t="s">
        <v>2335</v>
      </c>
      <c r="J610" s="31" t="s">
        <v>2232</v>
      </c>
      <c r="L610" s="38">
        <v>1</v>
      </c>
      <c r="M610">
        <v>8</v>
      </c>
      <c r="P610" s="31">
        <v>1</v>
      </c>
      <c r="Q610" s="196">
        <f t="shared" si="299"/>
        <v>0.13333333333333333</v>
      </c>
      <c r="R610" s="38">
        <v>0.85</v>
      </c>
      <c r="S610" s="280">
        <f t="shared" si="270"/>
        <v>0.11333333333333333</v>
      </c>
      <c r="T610" s="31">
        <f>VLOOKUP(A610,'Ansvar kurs'!$A$1:$C$1123,2,FALSE)</f>
        <v>2180</v>
      </c>
      <c r="U610" s="31" t="str">
        <f>VLOOKUP(T610,Orgenheter!$A$1:$C$166,2,FALSE)</f>
        <v xml:space="preserve">Pedagogik                     </v>
      </c>
      <c r="V610" s="31" t="str">
        <f>VLOOKUP(T610,Orgenheter!$A$1:$C$166,3,FALSE)</f>
        <v>Sam</v>
      </c>
      <c r="W610" s="35" t="str">
        <f>VLOOKUP(D610,Program!$A$1:$B$36,2,FALSE)</f>
        <v>Ämneslärarprogrammet - Gy</v>
      </c>
      <c r="X610" s="40">
        <f>VLOOKUP(A610,kurspris!$A$1:$Q$913,15,FALSE)</f>
        <v>26554</v>
      </c>
      <c r="Y610" s="40">
        <f>VLOOKUP(A610,kurspris!$A$1:$Q$913,16,FALSE)</f>
        <v>33465</v>
      </c>
      <c r="Z610" s="40">
        <f t="shared" si="271"/>
        <v>7333.2333333333336</v>
      </c>
      <c r="AA610" s="40">
        <f>VLOOKUP(A610,kurspris!$A$1:$Q$913,17,FALSE)</f>
        <v>6000</v>
      </c>
      <c r="AB610" s="40">
        <f t="shared" si="272"/>
        <v>800</v>
      </c>
      <c r="AC610" s="40">
        <f t="shared" si="273"/>
        <v>8133.2333333333336</v>
      </c>
      <c r="AD610" s="31">
        <f>VLOOKUP($A610,kurspris!$A$1:$Q$950,3,FALSE)</f>
        <v>0</v>
      </c>
      <c r="AE610" s="31">
        <f>VLOOKUP($A610,kurspris!$A$1:$Q$950,4,FALSE)</f>
        <v>0</v>
      </c>
      <c r="AF610" s="31">
        <f>VLOOKUP($A610,kurspris!$A$1:$Q$950,5,FALSE)</f>
        <v>0</v>
      </c>
      <c r="AG610" s="31">
        <f>VLOOKUP($A610,kurspris!$A$1:$Q$950,6,FALSE)</f>
        <v>1</v>
      </c>
      <c r="AH610" s="31">
        <f>VLOOKUP($A610,kurspris!$A$1:$Q$950,7,FALSE)</f>
        <v>0</v>
      </c>
      <c r="AI610" s="31">
        <f>VLOOKUP($A610,kurspris!$A$1:$Q$950,8,FALSE)</f>
        <v>0</v>
      </c>
      <c r="AJ610" s="31">
        <f>VLOOKUP($A610,kurspris!$A$1:$Q$950,9,FALSE)</f>
        <v>0</v>
      </c>
      <c r="AK610" s="31">
        <f>VLOOKUP($A610,kurspris!$A$1:$Q$950,10,FALSE)</f>
        <v>0</v>
      </c>
      <c r="AL610" s="31">
        <f>VLOOKUP($A610,kurspris!$A$1:$Q$950,11,FALSE)</f>
        <v>0</v>
      </c>
      <c r="AM610" s="31">
        <f>VLOOKUP($A610,kurspris!$A$1:$Q$950,12,FALSE)</f>
        <v>0</v>
      </c>
      <c r="AN610" s="31">
        <f>VLOOKUP($A610,kurspris!$A$1:$Q$950,13,FALSE)</f>
        <v>0</v>
      </c>
      <c r="AO610" s="31">
        <f>VLOOKUP($A610,kurspris!$A$1:$Q$950,14,FALSE)</f>
        <v>0</v>
      </c>
      <c r="AP610" s="57" t="s">
        <v>2506</v>
      </c>
      <c r="AQ610"/>
      <c r="AR610" s="31">
        <f t="shared" si="274"/>
        <v>0</v>
      </c>
      <c r="AS610" s="219">
        <f t="shared" si="275"/>
        <v>0</v>
      </c>
      <c r="AT610" s="31">
        <f t="shared" si="276"/>
        <v>0</v>
      </c>
      <c r="AU610" s="219">
        <f t="shared" si="277"/>
        <v>0</v>
      </c>
      <c r="AV610" s="31">
        <f t="shared" si="278"/>
        <v>0</v>
      </c>
      <c r="AW610" s="31">
        <f t="shared" si="279"/>
        <v>0</v>
      </c>
      <c r="AX610" s="31">
        <f t="shared" si="280"/>
        <v>0.13333333333333333</v>
      </c>
      <c r="AY610" s="219">
        <f t="shared" si="281"/>
        <v>0.11333333333333333</v>
      </c>
      <c r="AZ610" s="196">
        <f t="shared" si="282"/>
        <v>0</v>
      </c>
      <c r="BA610" s="219">
        <f t="shared" si="283"/>
        <v>0</v>
      </c>
      <c r="BB610" s="31">
        <f t="shared" si="284"/>
        <v>0</v>
      </c>
      <c r="BC610" s="219">
        <f t="shared" si="285"/>
        <v>0</v>
      </c>
      <c r="BD610" s="31">
        <f t="shared" si="286"/>
        <v>0</v>
      </c>
      <c r="BE610" s="219">
        <f t="shared" si="287"/>
        <v>0</v>
      </c>
      <c r="BF610" s="31">
        <f t="shared" si="288"/>
        <v>0</v>
      </c>
      <c r="BG610" s="219">
        <f t="shared" si="289"/>
        <v>0</v>
      </c>
      <c r="BH610" s="31">
        <f t="shared" si="290"/>
        <v>0</v>
      </c>
      <c r="BI610" s="219">
        <f t="shared" si="291"/>
        <v>0</v>
      </c>
      <c r="BJ610" s="31">
        <f t="shared" si="292"/>
        <v>0</v>
      </c>
      <c r="BK610" s="219">
        <f t="shared" si="293"/>
        <v>0</v>
      </c>
      <c r="BL610" s="31">
        <f t="shared" si="294"/>
        <v>0</v>
      </c>
      <c r="BM610" s="219">
        <f t="shared" si="295"/>
        <v>0</v>
      </c>
      <c r="BN610" s="31">
        <f t="shared" si="296"/>
        <v>0</v>
      </c>
      <c r="BO610" s="219">
        <f t="shared" si="297"/>
        <v>0</v>
      </c>
    </row>
    <row r="611" spans="1:67" x14ac:dyDescent="0.25">
      <c r="A611" s="31" t="s">
        <v>1642</v>
      </c>
      <c r="B611" s="176" t="str">
        <f>VLOOKUP(A611,kurspris!$A$1:$B$992,2,FALSE)</f>
        <v>Utbildningsvetenskap, undervisning och lärande - Ämneslärarprogrammet (UK)</v>
      </c>
      <c r="D611" s="60" t="s">
        <v>482</v>
      </c>
      <c r="E611" s="576" t="s">
        <v>2429</v>
      </c>
      <c r="F611" s="31" t="s">
        <v>2273</v>
      </c>
      <c r="G611" t="s">
        <v>2448</v>
      </c>
      <c r="H611" t="s">
        <v>2335</v>
      </c>
      <c r="J611" s="31" t="s">
        <v>2233</v>
      </c>
      <c r="L611" s="38">
        <v>1</v>
      </c>
      <c r="M611">
        <v>8</v>
      </c>
      <c r="P611" s="31">
        <v>1</v>
      </c>
      <c r="Q611" s="196">
        <f t="shared" si="299"/>
        <v>0.13333333333333333</v>
      </c>
      <c r="R611" s="38">
        <v>0.85</v>
      </c>
      <c r="S611" s="280">
        <f t="shared" si="270"/>
        <v>0.11333333333333333</v>
      </c>
      <c r="T611" s="31">
        <f>VLOOKUP(A611,'Ansvar kurs'!$A$1:$C$1123,2,FALSE)</f>
        <v>2180</v>
      </c>
      <c r="U611" s="31" t="str">
        <f>VLOOKUP(T611,Orgenheter!$A$1:$C$166,2,FALSE)</f>
        <v xml:space="preserve">Pedagogik                     </v>
      </c>
      <c r="V611" s="31" t="str">
        <f>VLOOKUP(T611,Orgenheter!$A$1:$C$166,3,FALSE)</f>
        <v>Sam</v>
      </c>
      <c r="W611" s="35" t="str">
        <f>VLOOKUP(D611,Program!$A$1:$B$36,2,FALSE)</f>
        <v>Ämneslärarprogrammet - Gy</v>
      </c>
      <c r="X611" s="40">
        <f>VLOOKUP(A611,kurspris!$A$1:$Q$913,15,FALSE)</f>
        <v>26554</v>
      </c>
      <c r="Y611" s="40">
        <f>VLOOKUP(A611,kurspris!$A$1:$Q$913,16,FALSE)</f>
        <v>33465</v>
      </c>
      <c r="Z611" s="40">
        <f t="shared" si="271"/>
        <v>7333.2333333333336</v>
      </c>
      <c r="AA611" s="40">
        <f>VLOOKUP(A611,kurspris!$A$1:$Q$913,17,FALSE)</f>
        <v>6000</v>
      </c>
      <c r="AB611" s="40">
        <f t="shared" si="272"/>
        <v>800</v>
      </c>
      <c r="AC611" s="40">
        <f t="shared" si="273"/>
        <v>8133.2333333333336</v>
      </c>
      <c r="AD611" s="31">
        <f>VLOOKUP($A611,kurspris!$A$1:$Q$950,3,FALSE)</f>
        <v>0</v>
      </c>
      <c r="AE611" s="31">
        <f>VLOOKUP($A611,kurspris!$A$1:$Q$950,4,FALSE)</f>
        <v>0</v>
      </c>
      <c r="AF611" s="31">
        <f>VLOOKUP($A611,kurspris!$A$1:$Q$950,5,FALSE)</f>
        <v>0</v>
      </c>
      <c r="AG611" s="31">
        <f>VLOOKUP($A611,kurspris!$A$1:$Q$950,6,FALSE)</f>
        <v>1</v>
      </c>
      <c r="AH611" s="31">
        <f>VLOOKUP($A611,kurspris!$A$1:$Q$950,7,FALSE)</f>
        <v>0</v>
      </c>
      <c r="AI611" s="31">
        <f>VLOOKUP($A611,kurspris!$A$1:$Q$950,8,FALSE)</f>
        <v>0</v>
      </c>
      <c r="AJ611" s="31">
        <f>VLOOKUP($A611,kurspris!$A$1:$Q$950,9,FALSE)</f>
        <v>0</v>
      </c>
      <c r="AK611" s="31">
        <f>VLOOKUP($A611,kurspris!$A$1:$Q$950,10,FALSE)</f>
        <v>0</v>
      </c>
      <c r="AL611" s="31">
        <f>VLOOKUP($A611,kurspris!$A$1:$Q$950,11,FALSE)</f>
        <v>0</v>
      </c>
      <c r="AM611" s="31">
        <f>VLOOKUP($A611,kurspris!$A$1:$Q$950,12,FALSE)</f>
        <v>0</v>
      </c>
      <c r="AN611" s="31">
        <f>VLOOKUP($A611,kurspris!$A$1:$Q$950,13,FALSE)</f>
        <v>0</v>
      </c>
      <c r="AO611" s="31">
        <f>VLOOKUP($A611,kurspris!$A$1:$Q$950,14,FALSE)</f>
        <v>0</v>
      </c>
      <c r="AP611" s="57" t="s">
        <v>2506</v>
      </c>
      <c r="AQ611"/>
      <c r="AR611" s="31">
        <f t="shared" si="274"/>
        <v>0</v>
      </c>
      <c r="AS611" s="219">
        <f t="shared" si="275"/>
        <v>0</v>
      </c>
      <c r="AT611" s="31">
        <f t="shared" si="276"/>
        <v>0</v>
      </c>
      <c r="AU611" s="219">
        <f t="shared" si="277"/>
        <v>0</v>
      </c>
      <c r="AV611" s="31">
        <f t="shared" si="278"/>
        <v>0</v>
      </c>
      <c r="AW611" s="31">
        <f t="shared" si="279"/>
        <v>0</v>
      </c>
      <c r="AX611" s="31">
        <f t="shared" si="280"/>
        <v>0.13333333333333333</v>
      </c>
      <c r="AY611" s="219">
        <f t="shared" si="281"/>
        <v>0.11333333333333333</v>
      </c>
      <c r="AZ611" s="196">
        <f t="shared" si="282"/>
        <v>0</v>
      </c>
      <c r="BA611" s="219">
        <f t="shared" si="283"/>
        <v>0</v>
      </c>
      <c r="BB611" s="31">
        <f t="shared" si="284"/>
        <v>0</v>
      </c>
      <c r="BC611" s="219">
        <f t="shared" si="285"/>
        <v>0</v>
      </c>
      <c r="BD611" s="31">
        <f t="shared" si="286"/>
        <v>0</v>
      </c>
      <c r="BE611" s="219">
        <f t="shared" si="287"/>
        <v>0</v>
      </c>
      <c r="BF611" s="31">
        <f t="shared" si="288"/>
        <v>0</v>
      </c>
      <c r="BG611" s="219">
        <f t="shared" si="289"/>
        <v>0</v>
      </c>
      <c r="BH611" s="31">
        <f t="shared" si="290"/>
        <v>0</v>
      </c>
      <c r="BI611" s="219">
        <f t="shared" si="291"/>
        <v>0</v>
      </c>
      <c r="BJ611" s="31">
        <f t="shared" si="292"/>
        <v>0</v>
      </c>
      <c r="BK611" s="219">
        <f t="shared" si="293"/>
        <v>0</v>
      </c>
      <c r="BL611" s="31">
        <f t="shared" si="294"/>
        <v>0</v>
      </c>
      <c r="BM611" s="219">
        <f t="shared" si="295"/>
        <v>0</v>
      </c>
      <c r="BN611" s="31">
        <f t="shared" si="296"/>
        <v>0</v>
      </c>
      <c r="BO611" s="219">
        <f t="shared" si="297"/>
        <v>0</v>
      </c>
    </row>
    <row r="612" spans="1:67" x14ac:dyDescent="0.25">
      <c r="A612" s="31" t="s">
        <v>1642</v>
      </c>
      <c r="B612" s="176" t="str">
        <f>VLOOKUP(A612,kurspris!$A$1:$B$992,2,FALSE)</f>
        <v>Utbildningsvetenskap, undervisning och lärande - Ämneslärarprogrammet (UK)</v>
      </c>
      <c r="D612" s="60" t="s">
        <v>482</v>
      </c>
      <c r="E612" s="576" t="s">
        <v>2225</v>
      </c>
      <c r="F612" s="31" t="s">
        <v>2273</v>
      </c>
      <c r="G612" t="s">
        <v>2448</v>
      </c>
      <c r="H612" t="s">
        <v>2335</v>
      </c>
      <c r="J612" s="31" t="s">
        <v>2237</v>
      </c>
      <c r="L612" s="38">
        <v>1</v>
      </c>
      <c r="M612">
        <v>8</v>
      </c>
      <c r="P612" s="31">
        <v>1</v>
      </c>
      <c r="Q612" s="196">
        <f t="shared" si="299"/>
        <v>0.13333333333333333</v>
      </c>
      <c r="R612" s="38">
        <v>0.85</v>
      </c>
      <c r="S612" s="280">
        <f t="shared" si="270"/>
        <v>0.11333333333333333</v>
      </c>
      <c r="T612" s="31">
        <f>VLOOKUP(A612,'Ansvar kurs'!$A$1:$C$1123,2,FALSE)</f>
        <v>2180</v>
      </c>
      <c r="U612" s="31" t="str">
        <f>VLOOKUP(T612,Orgenheter!$A$1:$C$166,2,FALSE)</f>
        <v xml:space="preserve">Pedagogik                     </v>
      </c>
      <c r="V612" s="31" t="str">
        <f>VLOOKUP(T612,Orgenheter!$A$1:$C$166,3,FALSE)</f>
        <v>Sam</v>
      </c>
      <c r="W612" s="35" t="str">
        <f>VLOOKUP(D612,Program!$A$1:$B$36,2,FALSE)</f>
        <v>Ämneslärarprogrammet - Gy</v>
      </c>
      <c r="X612" s="40">
        <f>VLOOKUP(A612,kurspris!$A$1:$Q$913,15,FALSE)</f>
        <v>26554</v>
      </c>
      <c r="Y612" s="40">
        <f>VLOOKUP(A612,kurspris!$A$1:$Q$913,16,FALSE)</f>
        <v>33465</v>
      </c>
      <c r="Z612" s="40">
        <f t="shared" si="271"/>
        <v>7333.2333333333336</v>
      </c>
      <c r="AA612" s="40">
        <f>VLOOKUP(A612,kurspris!$A$1:$Q$913,17,FALSE)</f>
        <v>6000</v>
      </c>
      <c r="AB612" s="40">
        <f t="shared" si="272"/>
        <v>800</v>
      </c>
      <c r="AC612" s="40">
        <f t="shared" si="273"/>
        <v>8133.2333333333336</v>
      </c>
      <c r="AD612" s="31">
        <f>VLOOKUP($A612,kurspris!$A$1:$Q$950,3,FALSE)</f>
        <v>0</v>
      </c>
      <c r="AE612" s="31">
        <f>VLOOKUP($A612,kurspris!$A$1:$Q$950,4,FALSE)</f>
        <v>0</v>
      </c>
      <c r="AF612" s="31">
        <f>VLOOKUP($A612,kurspris!$A$1:$Q$950,5,FALSE)</f>
        <v>0</v>
      </c>
      <c r="AG612" s="31">
        <f>VLOOKUP($A612,kurspris!$A$1:$Q$950,6,FALSE)</f>
        <v>1</v>
      </c>
      <c r="AH612" s="31">
        <f>VLOOKUP($A612,kurspris!$A$1:$Q$950,7,FALSE)</f>
        <v>0</v>
      </c>
      <c r="AI612" s="31">
        <f>VLOOKUP($A612,kurspris!$A$1:$Q$950,8,FALSE)</f>
        <v>0</v>
      </c>
      <c r="AJ612" s="31">
        <f>VLOOKUP($A612,kurspris!$A$1:$Q$950,9,FALSE)</f>
        <v>0</v>
      </c>
      <c r="AK612" s="31">
        <f>VLOOKUP($A612,kurspris!$A$1:$Q$950,10,FALSE)</f>
        <v>0</v>
      </c>
      <c r="AL612" s="31">
        <f>VLOOKUP($A612,kurspris!$A$1:$Q$950,11,FALSE)</f>
        <v>0</v>
      </c>
      <c r="AM612" s="31">
        <f>VLOOKUP($A612,kurspris!$A$1:$Q$950,12,FALSE)</f>
        <v>0</v>
      </c>
      <c r="AN612" s="31">
        <f>VLOOKUP($A612,kurspris!$A$1:$Q$950,13,FALSE)</f>
        <v>0</v>
      </c>
      <c r="AO612" s="31">
        <f>VLOOKUP($A612,kurspris!$A$1:$Q$950,14,FALSE)</f>
        <v>0</v>
      </c>
      <c r="AP612" s="57" t="s">
        <v>2506</v>
      </c>
      <c r="AQ612"/>
      <c r="AR612" s="31">
        <f t="shared" si="274"/>
        <v>0</v>
      </c>
      <c r="AS612" s="219">
        <f t="shared" si="275"/>
        <v>0</v>
      </c>
      <c r="AT612" s="31">
        <f t="shared" si="276"/>
        <v>0</v>
      </c>
      <c r="AU612" s="219">
        <f t="shared" si="277"/>
        <v>0</v>
      </c>
      <c r="AV612" s="31">
        <f t="shared" si="278"/>
        <v>0</v>
      </c>
      <c r="AW612" s="31">
        <f t="shared" si="279"/>
        <v>0</v>
      </c>
      <c r="AX612" s="31">
        <f t="shared" si="280"/>
        <v>0.13333333333333333</v>
      </c>
      <c r="AY612" s="219">
        <f t="shared" si="281"/>
        <v>0.11333333333333333</v>
      </c>
      <c r="AZ612" s="196">
        <f t="shared" si="282"/>
        <v>0</v>
      </c>
      <c r="BA612" s="219">
        <f t="shared" si="283"/>
        <v>0</v>
      </c>
      <c r="BB612" s="31">
        <f t="shared" si="284"/>
        <v>0</v>
      </c>
      <c r="BC612" s="219">
        <f t="shared" si="285"/>
        <v>0</v>
      </c>
      <c r="BD612" s="31">
        <f t="shared" si="286"/>
        <v>0</v>
      </c>
      <c r="BE612" s="219">
        <f t="shared" si="287"/>
        <v>0</v>
      </c>
      <c r="BF612" s="31">
        <f t="shared" si="288"/>
        <v>0</v>
      </c>
      <c r="BG612" s="219">
        <f t="shared" si="289"/>
        <v>0</v>
      </c>
      <c r="BH612" s="31">
        <f t="shared" si="290"/>
        <v>0</v>
      </c>
      <c r="BI612" s="219">
        <f t="shared" si="291"/>
        <v>0</v>
      </c>
      <c r="BJ612" s="31">
        <f t="shared" si="292"/>
        <v>0</v>
      </c>
      <c r="BK612" s="219">
        <f t="shared" si="293"/>
        <v>0</v>
      </c>
      <c r="BL612" s="31">
        <f t="shared" si="294"/>
        <v>0</v>
      </c>
      <c r="BM612" s="219">
        <f t="shared" si="295"/>
        <v>0</v>
      </c>
      <c r="BN612" s="31">
        <f t="shared" si="296"/>
        <v>0</v>
      </c>
      <c r="BO612" s="219">
        <f t="shared" si="297"/>
        <v>0</v>
      </c>
    </row>
    <row r="613" spans="1:67" x14ac:dyDescent="0.25">
      <c r="A613" s="31" t="s">
        <v>1642</v>
      </c>
      <c r="B613" s="176" t="str">
        <f>VLOOKUP(A613,kurspris!$A$1:$B$992,2,FALSE)</f>
        <v>Utbildningsvetenskap, undervisning och lärande - Ämneslärarprogrammet (UK)</v>
      </c>
      <c r="D613" s="60" t="s">
        <v>482</v>
      </c>
      <c r="E613" s="576" t="s">
        <v>2225</v>
      </c>
      <c r="F613" s="31" t="s">
        <v>2273</v>
      </c>
      <c r="G613" t="s">
        <v>2448</v>
      </c>
      <c r="H613" t="s">
        <v>2335</v>
      </c>
      <c r="J613" s="31" t="s">
        <v>2234</v>
      </c>
      <c r="L613" s="38">
        <v>1</v>
      </c>
      <c r="M613">
        <v>8</v>
      </c>
      <c r="P613" s="31">
        <v>1</v>
      </c>
      <c r="Q613" s="196">
        <f t="shared" si="299"/>
        <v>0.13333333333333333</v>
      </c>
      <c r="R613" s="38">
        <v>0.85</v>
      </c>
      <c r="S613" s="280">
        <f t="shared" si="270"/>
        <v>0.11333333333333333</v>
      </c>
      <c r="T613" s="31">
        <f>VLOOKUP(A613,'Ansvar kurs'!$A$1:$C$1123,2,FALSE)</f>
        <v>2180</v>
      </c>
      <c r="U613" s="31" t="str">
        <f>VLOOKUP(T613,Orgenheter!$A$1:$C$166,2,FALSE)</f>
        <v xml:space="preserve">Pedagogik                     </v>
      </c>
      <c r="V613" s="31" t="str">
        <f>VLOOKUP(T613,Orgenheter!$A$1:$C$166,3,FALSE)</f>
        <v>Sam</v>
      </c>
      <c r="W613" s="35" t="str">
        <f>VLOOKUP(D613,Program!$A$1:$B$36,2,FALSE)</f>
        <v>Ämneslärarprogrammet - Gy</v>
      </c>
      <c r="X613" s="40">
        <f>VLOOKUP(A613,kurspris!$A$1:$Q$913,15,FALSE)</f>
        <v>26554</v>
      </c>
      <c r="Y613" s="40">
        <f>VLOOKUP(A613,kurspris!$A$1:$Q$913,16,FALSE)</f>
        <v>33465</v>
      </c>
      <c r="Z613" s="40">
        <f t="shared" si="271"/>
        <v>7333.2333333333336</v>
      </c>
      <c r="AA613" s="40">
        <f>VLOOKUP(A613,kurspris!$A$1:$Q$913,17,FALSE)</f>
        <v>6000</v>
      </c>
      <c r="AB613" s="40">
        <f t="shared" si="272"/>
        <v>800</v>
      </c>
      <c r="AC613" s="40">
        <f t="shared" si="273"/>
        <v>8133.2333333333336</v>
      </c>
      <c r="AD613" s="31">
        <f>VLOOKUP($A613,kurspris!$A$1:$Q$950,3,FALSE)</f>
        <v>0</v>
      </c>
      <c r="AE613" s="31">
        <f>VLOOKUP($A613,kurspris!$A$1:$Q$950,4,FALSE)</f>
        <v>0</v>
      </c>
      <c r="AF613" s="31">
        <f>VLOOKUP($A613,kurspris!$A$1:$Q$950,5,FALSE)</f>
        <v>0</v>
      </c>
      <c r="AG613" s="31">
        <f>VLOOKUP($A613,kurspris!$A$1:$Q$950,6,FALSE)</f>
        <v>1</v>
      </c>
      <c r="AH613" s="31">
        <f>VLOOKUP($A613,kurspris!$A$1:$Q$950,7,FALSE)</f>
        <v>0</v>
      </c>
      <c r="AI613" s="31">
        <f>VLOOKUP($A613,kurspris!$A$1:$Q$950,8,FALSE)</f>
        <v>0</v>
      </c>
      <c r="AJ613" s="31">
        <f>VLOOKUP($A613,kurspris!$A$1:$Q$950,9,FALSE)</f>
        <v>0</v>
      </c>
      <c r="AK613" s="31">
        <f>VLOOKUP($A613,kurspris!$A$1:$Q$950,10,FALSE)</f>
        <v>0</v>
      </c>
      <c r="AL613" s="31">
        <f>VLOOKUP($A613,kurspris!$A$1:$Q$950,11,FALSE)</f>
        <v>0</v>
      </c>
      <c r="AM613" s="31">
        <f>VLOOKUP($A613,kurspris!$A$1:$Q$950,12,FALSE)</f>
        <v>0</v>
      </c>
      <c r="AN613" s="31">
        <f>VLOOKUP($A613,kurspris!$A$1:$Q$950,13,FALSE)</f>
        <v>0</v>
      </c>
      <c r="AO613" s="31">
        <f>VLOOKUP($A613,kurspris!$A$1:$Q$950,14,FALSE)</f>
        <v>0</v>
      </c>
      <c r="AP613" s="57" t="s">
        <v>2506</v>
      </c>
      <c r="AQ613"/>
      <c r="AR613" s="31">
        <f t="shared" si="274"/>
        <v>0</v>
      </c>
      <c r="AS613" s="219">
        <f t="shared" si="275"/>
        <v>0</v>
      </c>
      <c r="AT613" s="31">
        <f t="shared" si="276"/>
        <v>0</v>
      </c>
      <c r="AU613" s="219">
        <f t="shared" si="277"/>
        <v>0</v>
      </c>
      <c r="AV613" s="31">
        <f t="shared" si="278"/>
        <v>0</v>
      </c>
      <c r="AW613" s="31">
        <f t="shared" si="279"/>
        <v>0</v>
      </c>
      <c r="AX613" s="31">
        <f t="shared" si="280"/>
        <v>0.13333333333333333</v>
      </c>
      <c r="AY613" s="219">
        <f t="shared" si="281"/>
        <v>0.11333333333333333</v>
      </c>
      <c r="AZ613" s="196">
        <f t="shared" si="282"/>
        <v>0</v>
      </c>
      <c r="BA613" s="219">
        <f t="shared" si="283"/>
        <v>0</v>
      </c>
      <c r="BB613" s="31">
        <f t="shared" si="284"/>
        <v>0</v>
      </c>
      <c r="BC613" s="219">
        <f t="shared" si="285"/>
        <v>0</v>
      </c>
      <c r="BD613" s="31">
        <f t="shared" si="286"/>
        <v>0</v>
      </c>
      <c r="BE613" s="219">
        <f t="shared" si="287"/>
        <v>0</v>
      </c>
      <c r="BF613" s="31">
        <f t="shared" si="288"/>
        <v>0</v>
      </c>
      <c r="BG613" s="219">
        <f t="shared" si="289"/>
        <v>0</v>
      </c>
      <c r="BH613" s="31">
        <f t="shared" si="290"/>
        <v>0</v>
      </c>
      <c r="BI613" s="219">
        <f t="shared" si="291"/>
        <v>0</v>
      </c>
      <c r="BJ613" s="31">
        <f t="shared" si="292"/>
        <v>0</v>
      </c>
      <c r="BK613" s="219">
        <f t="shared" si="293"/>
        <v>0</v>
      </c>
      <c r="BL613" s="31">
        <f t="shared" si="294"/>
        <v>0</v>
      </c>
      <c r="BM613" s="219">
        <f t="shared" si="295"/>
        <v>0</v>
      </c>
      <c r="BN613" s="31">
        <f t="shared" si="296"/>
        <v>0</v>
      </c>
      <c r="BO613" s="219">
        <f t="shared" si="297"/>
        <v>0</v>
      </c>
    </row>
    <row r="614" spans="1:67" x14ac:dyDescent="0.25">
      <c r="A614" s="31" t="s">
        <v>1642</v>
      </c>
      <c r="B614" s="176" t="str">
        <f>VLOOKUP(A614,kurspris!$A$1:$B$992,2,FALSE)</f>
        <v>Utbildningsvetenskap, undervisning och lärande - Ämneslärarprogrammet (UK)</v>
      </c>
      <c r="D614" s="60" t="s">
        <v>482</v>
      </c>
      <c r="E614" s="576" t="s">
        <v>2225</v>
      </c>
      <c r="F614" s="31" t="s">
        <v>2273</v>
      </c>
      <c r="G614" t="s">
        <v>2448</v>
      </c>
      <c r="H614" t="s">
        <v>2335</v>
      </c>
      <c r="J614" s="31" t="s">
        <v>2231</v>
      </c>
      <c r="L614" s="38">
        <v>1</v>
      </c>
      <c r="M614">
        <v>8</v>
      </c>
      <c r="P614" s="31">
        <v>1</v>
      </c>
      <c r="Q614" s="196">
        <f t="shared" si="299"/>
        <v>0.13333333333333333</v>
      </c>
      <c r="R614" s="38">
        <v>0.85</v>
      </c>
      <c r="S614" s="280">
        <f t="shared" si="270"/>
        <v>0.11333333333333333</v>
      </c>
      <c r="T614" s="31">
        <f>VLOOKUP(A614,'Ansvar kurs'!$A$1:$C$1123,2,FALSE)</f>
        <v>2180</v>
      </c>
      <c r="U614" s="31" t="str">
        <f>VLOOKUP(T614,Orgenheter!$A$1:$C$166,2,FALSE)</f>
        <v xml:space="preserve">Pedagogik                     </v>
      </c>
      <c r="V614" s="31" t="str">
        <f>VLOOKUP(T614,Orgenheter!$A$1:$C$166,3,FALSE)</f>
        <v>Sam</v>
      </c>
      <c r="W614" s="35" t="str">
        <f>VLOOKUP(D614,Program!$A$1:$B$36,2,FALSE)</f>
        <v>Ämneslärarprogrammet - Gy</v>
      </c>
      <c r="X614" s="40">
        <f>VLOOKUP(A614,kurspris!$A$1:$Q$913,15,FALSE)</f>
        <v>26554</v>
      </c>
      <c r="Y614" s="40">
        <f>VLOOKUP(A614,kurspris!$A$1:$Q$913,16,FALSE)</f>
        <v>33465</v>
      </c>
      <c r="Z614" s="40">
        <f t="shared" si="271"/>
        <v>7333.2333333333336</v>
      </c>
      <c r="AA614" s="40">
        <f>VLOOKUP(A614,kurspris!$A$1:$Q$913,17,FALSE)</f>
        <v>6000</v>
      </c>
      <c r="AB614" s="40">
        <f t="shared" si="272"/>
        <v>800</v>
      </c>
      <c r="AC614" s="40">
        <f t="shared" si="273"/>
        <v>8133.2333333333336</v>
      </c>
      <c r="AD614" s="31">
        <f>VLOOKUP($A614,kurspris!$A$1:$Q$950,3,FALSE)</f>
        <v>0</v>
      </c>
      <c r="AE614" s="31">
        <f>VLOOKUP($A614,kurspris!$A$1:$Q$950,4,FALSE)</f>
        <v>0</v>
      </c>
      <c r="AF614" s="31">
        <f>VLOOKUP($A614,kurspris!$A$1:$Q$950,5,FALSE)</f>
        <v>0</v>
      </c>
      <c r="AG614" s="31">
        <f>VLOOKUP($A614,kurspris!$A$1:$Q$950,6,FALSE)</f>
        <v>1</v>
      </c>
      <c r="AH614" s="31">
        <f>VLOOKUP($A614,kurspris!$A$1:$Q$950,7,FALSE)</f>
        <v>0</v>
      </c>
      <c r="AI614" s="31">
        <f>VLOOKUP($A614,kurspris!$A$1:$Q$950,8,FALSE)</f>
        <v>0</v>
      </c>
      <c r="AJ614" s="31">
        <f>VLOOKUP($A614,kurspris!$A$1:$Q$950,9,FALSE)</f>
        <v>0</v>
      </c>
      <c r="AK614" s="31">
        <f>VLOOKUP($A614,kurspris!$A$1:$Q$950,10,FALSE)</f>
        <v>0</v>
      </c>
      <c r="AL614" s="31">
        <f>VLOOKUP($A614,kurspris!$A$1:$Q$950,11,FALSE)</f>
        <v>0</v>
      </c>
      <c r="AM614" s="31">
        <f>VLOOKUP($A614,kurspris!$A$1:$Q$950,12,FALSE)</f>
        <v>0</v>
      </c>
      <c r="AN614" s="31">
        <f>VLOOKUP($A614,kurspris!$A$1:$Q$950,13,FALSE)</f>
        <v>0</v>
      </c>
      <c r="AO614" s="31">
        <f>VLOOKUP($A614,kurspris!$A$1:$Q$950,14,FALSE)</f>
        <v>0</v>
      </c>
      <c r="AP614" s="57" t="s">
        <v>2506</v>
      </c>
      <c r="AQ614"/>
      <c r="AR614" s="31">
        <f t="shared" si="274"/>
        <v>0</v>
      </c>
      <c r="AS614" s="219">
        <f t="shared" si="275"/>
        <v>0</v>
      </c>
      <c r="AT614" s="31">
        <f t="shared" si="276"/>
        <v>0</v>
      </c>
      <c r="AU614" s="219">
        <f t="shared" si="277"/>
        <v>0</v>
      </c>
      <c r="AV614" s="31">
        <f t="shared" si="278"/>
        <v>0</v>
      </c>
      <c r="AW614" s="31">
        <f t="shared" si="279"/>
        <v>0</v>
      </c>
      <c r="AX614" s="31">
        <f t="shared" si="280"/>
        <v>0.13333333333333333</v>
      </c>
      <c r="AY614" s="219">
        <f t="shared" si="281"/>
        <v>0.11333333333333333</v>
      </c>
      <c r="AZ614" s="196">
        <f t="shared" si="282"/>
        <v>0</v>
      </c>
      <c r="BA614" s="219">
        <f t="shared" si="283"/>
        <v>0</v>
      </c>
      <c r="BB614" s="31">
        <f t="shared" si="284"/>
        <v>0</v>
      </c>
      <c r="BC614" s="219">
        <f t="shared" si="285"/>
        <v>0</v>
      </c>
      <c r="BD614" s="31">
        <f t="shared" si="286"/>
        <v>0</v>
      </c>
      <c r="BE614" s="219">
        <f t="shared" si="287"/>
        <v>0</v>
      </c>
      <c r="BF614" s="31">
        <f t="shared" si="288"/>
        <v>0</v>
      </c>
      <c r="BG614" s="219">
        <f t="shared" si="289"/>
        <v>0</v>
      </c>
      <c r="BH614" s="31">
        <f t="shared" si="290"/>
        <v>0</v>
      </c>
      <c r="BI614" s="219">
        <f t="shared" si="291"/>
        <v>0</v>
      </c>
      <c r="BJ614" s="31">
        <f t="shared" si="292"/>
        <v>0</v>
      </c>
      <c r="BK614" s="219">
        <f t="shared" si="293"/>
        <v>0</v>
      </c>
      <c r="BL614" s="31">
        <f t="shared" si="294"/>
        <v>0</v>
      </c>
      <c r="BM614" s="219">
        <f t="shared" si="295"/>
        <v>0</v>
      </c>
      <c r="BN614" s="31">
        <f t="shared" si="296"/>
        <v>0</v>
      </c>
      <c r="BO614" s="219">
        <f t="shared" si="297"/>
        <v>0</v>
      </c>
    </row>
    <row r="615" spans="1:67" x14ac:dyDescent="0.25">
      <c r="A615" s="31" t="s">
        <v>1642</v>
      </c>
      <c r="B615" s="176" t="str">
        <f>VLOOKUP(A615,kurspris!$A$1:$B$992,2,FALSE)</f>
        <v>Utbildningsvetenskap, undervisning och lärande - Ämneslärarprogrammet (UK)</v>
      </c>
      <c r="D615" s="60" t="s">
        <v>482</v>
      </c>
      <c r="E615" s="576" t="s">
        <v>2225</v>
      </c>
      <c r="F615" s="31" t="s">
        <v>2273</v>
      </c>
      <c r="G615" t="s">
        <v>2448</v>
      </c>
      <c r="H615" t="s">
        <v>2335</v>
      </c>
      <c r="J615" s="31" t="s">
        <v>2241</v>
      </c>
      <c r="L615" s="38">
        <v>1</v>
      </c>
      <c r="M615">
        <v>8</v>
      </c>
      <c r="P615" s="31">
        <v>2</v>
      </c>
      <c r="Q615" s="196">
        <f t="shared" si="299"/>
        <v>0.26666666666666666</v>
      </c>
      <c r="R615" s="38">
        <v>0.85</v>
      </c>
      <c r="S615" s="280">
        <f t="shared" si="270"/>
        <v>0.22666666666666666</v>
      </c>
      <c r="T615" s="31">
        <f>VLOOKUP(A615,'Ansvar kurs'!$A$1:$C$1123,2,FALSE)</f>
        <v>2180</v>
      </c>
      <c r="U615" s="31" t="str">
        <f>VLOOKUP(T615,Orgenheter!$A$1:$C$166,2,FALSE)</f>
        <v xml:space="preserve">Pedagogik                     </v>
      </c>
      <c r="V615" s="31" t="str">
        <f>VLOOKUP(T615,Orgenheter!$A$1:$C$166,3,FALSE)</f>
        <v>Sam</v>
      </c>
      <c r="W615" s="35" t="str">
        <f>VLOOKUP(D615,Program!$A$1:$B$36,2,FALSE)</f>
        <v>Ämneslärarprogrammet - Gy</v>
      </c>
      <c r="X615" s="40">
        <f>VLOOKUP(A615,kurspris!$A$1:$Q$913,15,FALSE)</f>
        <v>26554</v>
      </c>
      <c r="Y615" s="40">
        <f>VLOOKUP(A615,kurspris!$A$1:$Q$913,16,FALSE)</f>
        <v>33465</v>
      </c>
      <c r="Z615" s="40">
        <f t="shared" si="271"/>
        <v>14666.466666666667</v>
      </c>
      <c r="AA615" s="40">
        <f>VLOOKUP(A615,kurspris!$A$1:$Q$913,17,FALSE)</f>
        <v>6000</v>
      </c>
      <c r="AB615" s="40">
        <f t="shared" si="272"/>
        <v>1600</v>
      </c>
      <c r="AC615" s="40">
        <f t="shared" si="273"/>
        <v>16266.466666666667</v>
      </c>
      <c r="AD615" s="31">
        <f>VLOOKUP($A615,kurspris!$A$1:$Q$950,3,FALSE)</f>
        <v>0</v>
      </c>
      <c r="AE615" s="31">
        <f>VLOOKUP($A615,kurspris!$A$1:$Q$950,4,FALSE)</f>
        <v>0</v>
      </c>
      <c r="AF615" s="31">
        <f>VLOOKUP($A615,kurspris!$A$1:$Q$950,5,FALSE)</f>
        <v>0</v>
      </c>
      <c r="AG615" s="31">
        <f>VLOOKUP($A615,kurspris!$A$1:$Q$950,6,FALSE)</f>
        <v>1</v>
      </c>
      <c r="AH615" s="31">
        <f>VLOOKUP($A615,kurspris!$A$1:$Q$950,7,FALSE)</f>
        <v>0</v>
      </c>
      <c r="AI615" s="31">
        <f>VLOOKUP($A615,kurspris!$A$1:$Q$950,8,FALSE)</f>
        <v>0</v>
      </c>
      <c r="AJ615" s="31">
        <f>VLOOKUP($A615,kurspris!$A$1:$Q$950,9,FALSE)</f>
        <v>0</v>
      </c>
      <c r="AK615" s="31">
        <f>VLOOKUP($A615,kurspris!$A$1:$Q$950,10,FALSE)</f>
        <v>0</v>
      </c>
      <c r="AL615" s="31">
        <f>VLOOKUP($A615,kurspris!$A$1:$Q$950,11,FALSE)</f>
        <v>0</v>
      </c>
      <c r="AM615" s="31">
        <f>VLOOKUP($A615,kurspris!$A$1:$Q$950,12,FALSE)</f>
        <v>0</v>
      </c>
      <c r="AN615" s="31">
        <f>VLOOKUP($A615,kurspris!$A$1:$Q$950,13,FALSE)</f>
        <v>0</v>
      </c>
      <c r="AO615" s="31">
        <f>VLOOKUP($A615,kurspris!$A$1:$Q$950,14,FALSE)</f>
        <v>0</v>
      </c>
      <c r="AP615" s="57" t="s">
        <v>2506</v>
      </c>
      <c r="AQ615"/>
      <c r="AR615" s="31">
        <f t="shared" si="274"/>
        <v>0</v>
      </c>
      <c r="AS615" s="219">
        <f t="shared" si="275"/>
        <v>0</v>
      </c>
      <c r="AT615" s="31">
        <f t="shared" si="276"/>
        <v>0</v>
      </c>
      <c r="AU615" s="219">
        <f t="shared" si="277"/>
        <v>0</v>
      </c>
      <c r="AV615" s="31">
        <f t="shared" si="278"/>
        <v>0</v>
      </c>
      <c r="AW615" s="31">
        <f t="shared" si="279"/>
        <v>0</v>
      </c>
      <c r="AX615" s="31">
        <f t="shared" si="280"/>
        <v>0.26666666666666666</v>
      </c>
      <c r="AY615" s="219">
        <f t="shared" si="281"/>
        <v>0.22666666666666666</v>
      </c>
      <c r="AZ615" s="196">
        <f t="shared" si="282"/>
        <v>0</v>
      </c>
      <c r="BA615" s="219">
        <f t="shared" si="283"/>
        <v>0</v>
      </c>
      <c r="BB615" s="31">
        <f t="shared" si="284"/>
        <v>0</v>
      </c>
      <c r="BC615" s="219">
        <f t="shared" si="285"/>
        <v>0</v>
      </c>
      <c r="BD615" s="31">
        <f t="shared" si="286"/>
        <v>0</v>
      </c>
      <c r="BE615" s="219">
        <f t="shared" si="287"/>
        <v>0</v>
      </c>
      <c r="BF615" s="31">
        <f t="shared" si="288"/>
        <v>0</v>
      </c>
      <c r="BG615" s="219">
        <f t="shared" si="289"/>
        <v>0</v>
      </c>
      <c r="BH615" s="31">
        <f t="shared" si="290"/>
        <v>0</v>
      </c>
      <c r="BI615" s="219">
        <f t="shared" si="291"/>
        <v>0</v>
      </c>
      <c r="BJ615" s="31">
        <f t="shared" si="292"/>
        <v>0</v>
      </c>
      <c r="BK615" s="219">
        <f t="shared" si="293"/>
        <v>0</v>
      </c>
      <c r="BL615" s="31">
        <f t="shared" si="294"/>
        <v>0</v>
      </c>
      <c r="BM615" s="219">
        <f t="shared" si="295"/>
        <v>0</v>
      </c>
      <c r="BN615" s="31">
        <f t="shared" si="296"/>
        <v>0</v>
      </c>
      <c r="BO615" s="219">
        <f t="shared" si="297"/>
        <v>0</v>
      </c>
    </row>
    <row r="616" spans="1:67" x14ac:dyDescent="0.25">
      <c r="A616" s="31" t="s">
        <v>1642</v>
      </c>
      <c r="B616" s="176" t="str">
        <f>VLOOKUP(A616,kurspris!$A$1:$B$992,2,FALSE)</f>
        <v>Utbildningsvetenskap, undervisning och lärande - Ämneslärarprogrammet (UK)</v>
      </c>
      <c r="D616" s="60" t="s">
        <v>482</v>
      </c>
      <c r="E616" s="576" t="s">
        <v>2225</v>
      </c>
      <c r="F616" s="31" t="s">
        <v>2273</v>
      </c>
      <c r="G616" t="s">
        <v>2448</v>
      </c>
      <c r="H616" t="s">
        <v>2335</v>
      </c>
      <c r="J616" s="31" t="s">
        <v>2232</v>
      </c>
      <c r="L616" s="38">
        <v>1</v>
      </c>
      <c r="M616">
        <v>8</v>
      </c>
      <c r="P616" s="31">
        <v>2</v>
      </c>
      <c r="Q616" s="196">
        <f t="shared" si="299"/>
        <v>0.26666666666666666</v>
      </c>
      <c r="R616" s="38">
        <v>0.85</v>
      </c>
      <c r="S616" s="280">
        <f t="shared" si="270"/>
        <v>0.22666666666666666</v>
      </c>
      <c r="T616" s="31">
        <f>VLOOKUP(A616,'Ansvar kurs'!$A$1:$C$1123,2,FALSE)</f>
        <v>2180</v>
      </c>
      <c r="U616" s="31" t="str">
        <f>VLOOKUP(T616,Orgenheter!$A$1:$C$166,2,FALSE)</f>
        <v xml:space="preserve">Pedagogik                     </v>
      </c>
      <c r="V616" s="31" t="str">
        <f>VLOOKUP(T616,Orgenheter!$A$1:$C$166,3,FALSE)</f>
        <v>Sam</v>
      </c>
      <c r="W616" s="35" t="str">
        <f>VLOOKUP(D616,Program!$A$1:$B$36,2,FALSE)</f>
        <v>Ämneslärarprogrammet - Gy</v>
      </c>
      <c r="X616" s="40">
        <f>VLOOKUP(A616,kurspris!$A$1:$Q$913,15,FALSE)</f>
        <v>26554</v>
      </c>
      <c r="Y616" s="40">
        <f>VLOOKUP(A616,kurspris!$A$1:$Q$913,16,FALSE)</f>
        <v>33465</v>
      </c>
      <c r="Z616" s="40">
        <f t="shared" si="271"/>
        <v>14666.466666666667</v>
      </c>
      <c r="AA616" s="40">
        <f>VLOOKUP(A616,kurspris!$A$1:$Q$913,17,FALSE)</f>
        <v>6000</v>
      </c>
      <c r="AB616" s="40">
        <f t="shared" si="272"/>
        <v>1600</v>
      </c>
      <c r="AC616" s="40">
        <f t="shared" si="273"/>
        <v>16266.466666666667</v>
      </c>
      <c r="AD616" s="31">
        <f>VLOOKUP($A616,kurspris!$A$1:$Q$950,3,FALSE)</f>
        <v>0</v>
      </c>
      <c r="AE616" s="31">
        <f>VLOOKUP($A616,kurspris!$A$1:$Q$950,4,FALSE)</f>
        <v>0</v>
      </c>
      <c r="AF616" s="31">
        <f>VLOOKUP($A616,kurspris!$A$1:$Q$950,5,FALSE)</f>
        <v>0</v>
      </c>
      <c r="AG616" s="31">
        <f>VLOOKUP($A616,kurspris!$A$1:$Q$950,6,FALSE)</f>
        <v>1</v>
      </c>
      <c r="AH616" s="31">
        <f>VLOOKUP($A616,kurspris!$A$1:$Q$950,7,FALSE)</f>
        <v>0</v>
      </c>
      <c r="AI616" s="31">
        <f>VLOOKUP($A616,kurspris!$A$1:$Q$950,8,FALSE)</f>
        <v>0</v>
      </c>
      <c r="AJ616" s="31">
        <f>VLOOKUP($A616,kurspris!$A$1:$Q$950,9,FALSE)</f>
        <v>0</v>
      </c>
      <c r="AK616" s="31">
        <f>VLOOKUP($A616,kurspris!$A$1:$Q$950,10,FALSE)</f>
        <v>0</v>
      </c>
      <c r="AL616" s="31">
        <f>VLOOKUP($A616,kurspris!$A$1:$Q$950,11,FALSE)</f>
        <v>0</v>
      </c>
      <c r="AM616" s="31">
        <f>VLOOKUP($A616,kurspris!$A$1:$Q$950,12,FALSE)</f>
        <v>0</v>
      </c>
      <c r="AN616" s="31">
        <f>VLOOKUP($A616,kurspris!$A$1:$Q$950,13,FALSE)</f>
        <v>0</v>
      </c>
      <c r="AO616" s="31">
        <f>VLOOKUP($A616,kurspris!$A$1:$Q$950,14,FALSE)</f>
        <v>0</v>
      </c>
      <c r="AP616" s="57" t="s">
        <v>2506</v>
      </c>
      <c r="AQ616"/>
      <c r="AR616" s="31">
        <f t="shared" si="274"/>
        <v>0</v>
      </c>
      <c r="AS616" s="219">
        <f t="shared" si="275"/>
        <v>0</v>
      </c>
      <c r="AT616" s="31">
        <f t="shared" si="276"/>
        <v>0</v>
      </c>
      <c r="AU616" s="219">
        <f t="shared" si="277"/>
        <v>0</v>
      </c>
      <c r="AV616" s="31">
        <f t="shared" si="278"/>
        <v>0</v>
      </c>
      <c r="AW616" s="31">
        <f t="shared" si="279"/>
        <v>0</v>
      </c>
      <c r="AX616" s="31">
        <f t="shared" si="280"/>
        <v>0.26666666666666666</v>
      </c>
      <c r="AY616" s="219">
        <f t="shared" si="281"/>
        <v>0.22666666666666666</v>
      </c>
      <c r="AZ616" s="196">
        <f t="shared" si="282"/>
        <v>0</v>
      </c>
      <c r="BA616" s="219">
        <f t="shared" si="283"/>
        <v>0</v>
      </c>
      <c r="BB616" s="31">
        <f t="shared" si="284"/>
        <v>0</v>
      </c>
      <c r="BC616" s="219">
        <f t="shared" si="285"/>
        <v>0</v>
      </c>
      <c r="BD616" s="31">
        <f t="shared" si="286"/>
        <v>0</v>
      </c>
      <c r="BE616" s="219">
        <f t="shared" si="287"/>
        <v>0</v>
      </c>
      <c r="BF616" s="31">
        <f t="shared" si="288"/>
        <v>0</v>
      </c>
      <c r="BG616" s="219">
        <f t="shared" si="289"/>
        <v>0</v>
      </c>
      <c r="BH616" s="31">
        <f t="shared" si="290"/>
        <v>0</v>
      </c>
      <c r="BI616" s="219">
        <f t="shared" si="291"/>
        <v>0</v>
      </c>
      <c r="BJ616" s="31">
        <f t="shared" si="292"/>
        <v>0</v>
      </c>
      <c r="BK616" s="219">
        <f t="shared" si="293"/>
        <v>0</v>
      </c>
      <c r="BL616" s="31">
        <f t="shared" si="294"/>
        <v>0</v>
      </c>
      <c r="BM616" s="219">
        <f t="shared" si="295"/>
        <v>0</v>
      </c>
      <c r="BN616" s="31">
        <f t="shared" si="296"/>
        <v>0</v>
      </c>
      <c r="BO616" s="219">
        <f t="shared" si="297"/>
        <v>0</v>
      </c>
    </row>
    <row r="617" spans="1:67" x14ac:dyDescent="0.25">
      <c r="A617" s="31" t="s">
        <v>1642</v>
      </c>
      <c r="B617" s="176" t="str">
        <f>VLOOKUP(A617,kurspris!$A$1:$B$992,2,FALSE)</f>
        <v>Utbildningsvetenskap, undervisning och lärande - Ämneslärarprogrammet (UK)</v>
      </c>
      <c r="D617" s="60" t="s">
        <v>482</v>
      </c>
      <c r="E617" s="576" t="s">
        <v>2225</v>
      </c>
      <c r="F617" s="31" t="s">
        <v>2273</v>
      </c>
      <c r="G617" t="s">
        <v>2448</v>
      </c>
      <c r="H617" t="s">
        <v>2335</v>
      </c>
      <c r="J617" s="31" t="s">
        <v>2233</v>
      </c>
      <c r="L617" s="38">
        <v>1</v>
      </c>
      <c r="M617">
        <v>8</v>
      </c>
      <c r="P617" s="31">
        <v>1</v>
      </c>
      <c r="Q617" s="196">
        <f t="shared" si="299"/>
        <v>0.13333333333333333</v>
      </c>
      <c r="R617" s="38">
        <v>0.85</v>
      </c>
      <c r="S617" s="280">
        <f t="shared" si="270"/>
        <v>0.11333333333333333</v>
      </c>
      <c r="T617" s="31">
        <f>VLOOKUP(A617,'Ansvar kurs'!$A$1:$C$1123,2,FALSE)</f>
        <v>2180</v>
      </c>
      <c r="U617" s="31" t="str">
        <f>VLOOKUP(T617,Orgenheter!$A$1:$C$166,2,FALSE)</f>
        <v xml:space="preserve">Pedagogik                     </v>
      </c>
      <c r="V617" s="31" t="str">
        <f>VLOOKUP(T617,Orgenheter!$A$1:$C$166,3,FALSE)</f>
        <v>Sam</v>
      </c>
      <c r="W617" s="35" t="str">
        <f>VLOOKUP(D617,Program!$A$1:$B$36,2,FALSE)</f>
        <v>Ämneslärarprogrammet - Gy</v>
      </c>
      <c r="X617" s="40">
        <f>VLOOKUP(A617,kurspris!$A$1:$Q$913,15,FALSE)</f>
        <v>26554</v>
      </c>
      <c r="Y617" s="40">
        <f>VLOOKUP(A617,kurspris!$A$1:$Q$913,16,FALSE)</f>
        <v>33465</v>
      </c>
      <c r="Z617" s="40">
        <f t="shared" si="271"/>
        <v>7333.2333333333336</v>
      </c>
      <c r="AA617" s="40">
        <f>VLOOKUP(A617,kurspris!$A$1:$Q$913,17,FALSE)</f>
        <v>6000</v>
      </c>
      <c r="AB617" s="40">
        <f t="shared" si="272"/>
        <v>800</v>
      </c>
      <c r="AC617" s="40">
        <f t="shared" si="273"/>
        <v>8133.2333333333336</v>
      </c>
      <c r="AD617" s="31">
        <f>VLOOKUP($A617,kurspris!$A$1:$Q$950,3,FALSE)</f>
        <v>0</v>
      </c>
      <c r="AE617" s="31">
        <f>VLOOKUP($A617,kurspris!$A$1:$Q$950,4,FALSE)</f>
        <v>0</v>
      </c>
      <c r="AF617" s="31">
        <f>VLOOKUP($A617,kurspris!$A$1:$Q$950,5,FALSE)</f>
        <v>0</v>
      </c>
      <c r="AG617" s="31">
        <f>VLOOKUP($A617,kurspris!$A$1:$Q$950,6,FALSE)</f>
        <v>1</v>
      </c>
      <c r="AH617" s="31">
        <f>VLOOKUP($A617,kurspris!$A$1:$Q$950,7,FALSE)</f>
        <v>0</v>
      </c>
      <c r="AI617" s="31">
        <f>VLOOKUP($A617,kurspris!$A$1:$Q$950,8,FALSE)</f>
        <v>0</v>
      </c>
      <c r="AJ617" s="31">
        <f>VLOOKUP($A617,kurspris!$A$1:$Q$950,9,FALSE)</f>
        <v>0</v>
      </c>
      <c r="AK617" s="31">
        <f>VLOOKUP($A617,kurspris!$A$1:$Q$950,10,FALSE)</f>
        <v>0</v>
      </c>
      <c r="AL617" s="31">
        <f>VLOOKUP($A617,kurspris!$A$1:$Q$950,11,FALSE)</f>
        <v>0</v>
      </c>
      <c r="AM617" s="31">
        <f>VLOOKUP($A617,kurspris!$A$1:$Q$950,12,FALSE)</f>
        <v>0</v>
      </c>
      <c r="AN617" s="31">
        <f>VLOOKUP($A617,kurspris!$A$1:$Q$950,13,FALSE)</f>
        <v>0</v>
      </c>
      <c r="AO617" s="31">
        <f>VLOOKUP($A617,kurspris!$A$1:$Q$950,14,FALSE)</f>
        <v>0</v>
      </c>
      <c r="AP617" s="57" t="s">
        <v>2506</v>
      </c>
      <c r="AQ617"/>
      <c r="AR617" s="31">
        <f t="shared" si="274"/>
        <v>0</v>
      </c>
      <c r="AS617" s="219">
        <f t="shared" si="275"/>
        <v>0</v>
      </c>
      <c r="AT617" s="31">
        <f t="shared" si="276"/>
        <v>0</v>
      </c>
      <c r="AU617" s="219">
        <f t="shared" si="277"/>
        <v>0</v>
      </c>
      <c r="AV617" s="31">
        <f t="shared" si="278"/>
        <v>0</v>
      </c>
      <c r="AW617" s="31">
        <f t="shared" si="279"/>
        <v>0</v>
      </c>
      <c r="AX617" s="31">
        <f t="shared" si="280"/>
        <v>0.13333333333333333</v>
      </c>
      <c r="AY617" s="219">
        <f t="shared" si="281"/>
        <v>0.11333333333333333</v>
      </c>
      <c r="AZ617" s="196">
        <f t="shared" si="282"/>
        <v>0</v>
      </c>
      <c r="BA617" s="219">
        <f t="shared" si="283"/>
        <v>0</v>
      </c>
      <c r="BB617" s="31">
        <f t="shared" si="284"/>
        <v>0</v>
      </c>
      <c r="BC617" s="219">
        <f t="shared" si="285"/>
        <v>0</v>
      </c>
      <c r="BD617" s="31">
        <f t="shared" si="286"/>
        <v>0</v>
      </c>
      <c r="BE617" s="219">
        <f t="shared" si="287"/>
        <v>0</v>
      </c>
      <c r="BF617" s="31">
        <f t="shared" si="288"/>
        <v>0</v>
      </c>
      <c r="BG617" s="219">
        <f t="shared" si="289"/>
        <v>0</v>
      </c>
      <c r="BH617" s="31">
        <f t="shared" si="290"/>
        <v>0</v>
      </c>
      <c r="BI617" s="219">
        <f t="shared" si="291"/>
        <v>0</v>
      </c>
      <c r="BJ617" s="31">
        <f t="shared" si="292"/>
        <v>0</v>
      </c>
      <c r="BK617" s="219">
        <f t="shared" si="293"/>
        <v>0</v>
      </c>
      <c r="BL617" s="31">
        <f t="shared" si="294"/>
        <v>0</v>
      </c>
      <c r="BM617" s="219">
        <f t="shared" si="295"/>
        <v>0</v>
      </c>
      <c r="BN617" s="31">
        <f t="shared" si="296"/>
        <v>0</v>
      </c>
      <c r="BO617" s="219">
        <f t="shared" si="297"/>
        <v>0</v>
      </c>
    </row>
    <row r="618" spans="1:67" x14ac:dyDescent="0.25">
      <c r="A618" s="31" t="s">
        <v>1642</v>
      </c>
      <c r="B618" s="176" t="str">
        <f>VLOOKUP(A618,kurspris!$A$1:$B$992,2,FALSE)</f>
        <v>Utbildningsvetenskap, undervisning och lärande - Ämneslärarprogrammet (UK)</v>
      </c>
      <c r="D618" s="60" t="s">
        <v>482</v>
      </c>
      <c r="E618" s="576" t="s">
        <v>2225</v>
      </c>
      <c r="F618" s="31" t="s">
        <v>2273</v>
      </c>
      <c r="G618" t="s">
        <v>2448</v>
      </c>
      <c r="H618" t="s">
        <v>2335</v>
      </c>
      <c r="J618" s="31" t="s">
        <v>2239</v>
      </c>
      <c r="L618" s="38">
        <v>1</v>
      </c>
      <c r="M618">
        <v>8</v>
      </c>
      <c r="P618" s="31">
        <v>1</v>
      </c>
      <c r="Q618" s="196">
        <f t="shared" si="299"/>
        <v>0.13333333333333333</v>
      </c>
      <c r="R618" s="38">
        <v>0.85</v>
      </c>
      <c r="S618" s="280">
        <f t="shared" si="270"/>
        <v>0.11333333333333333</v>
      </c>
      <c r="T618" s="31">
        <f>VLOOKUP(A618,'Ansvar kurs'!$A$1:$C$1123,2,FALSE)</f>
        <v>2180</v>
      </c>
      <c r="U618" s="31" t="str">
        <f>VLOOKUP(T618,Orgenheter!$A$1:$C$166,2,FALSE)</f>
        <v xml:space="preserve">Pedagogik                     </v>
      </c>
      <c r="V618" s="31" t="str">
        <f>VLOOKUP(T618,Orgenheter!$A$1:$C$166,3,FALSE)</f>
        <v>Sam</v>
      </c>
      <c r="W618" s="35" t="str">
        <f>VLOOKUP(D618,Program!$A$1:$B$36,2,FALSE)</f>
        <v>Ämneslärarprogrammet - Gy</v>
      </c>
      <c r="X618" s="40">
        <f>VLOOKUP(A618,kurspris!$A$1:$Q$913,15,FALSE)</f>
        <v>26554</v>
      </c>
      <c r="Y618" s="40">
        <f>VLOOKUP(A618,kurspris!$A$1:$Q$913,16,FALSE)</f>
        <v>33465</v>
      </c>
      <c r="Z618" s="40">
        <f t="shared" si="271"/>
        <v>7333.2333333333336</v>
      </c>
      <c r="AA618" s="40">
        <f>VLOOKUP(A618,kurspris!$A$1:$Q$913,17,FALSE)</f>
        <v>6000</v>
      </c>
      <c r="AB618" s="40">
        <f t="shared" si="272"/>
        <v>800</v>
      </c>
      <c r="AC618" s="40">
        <f t="shared" si="273"/>
        <v>8133.2333333333336</v>
      </c>
      <c r="AD618" s="31">
        <f>VLOOKUP($A618,kurspris!$A$1:$Q$950,3,FALSE)</f>
        <v>0</v>
      </c>
      <c r="AE618" s="31">
        <f>VLOOKUP($A618,kurspris!$A$1:$Q$950,4,FALSE)</f>
        <v>0</v>
      </c>
      <c r="AF618" s="31">
        <f>VLOOKUP($A618,kurspris!$A$1:$Q$950,5,FALSE)</f>
        <v>0</v>
      </c>
      <c r="AG618" s="31">
        <f>VLOOKUP($A618,kurspris!$A$1:$Q$950,6,FALSE)</f>
        <v>1</v>
      </c>
      <c r="AH618" s="31">
        <f>VLOOKUP($A618,kurspris!$A$1:$Q$950,7,FALSE)</f>
        <v>0</v>
      </c>
      <c r="AI618" s="31">
        <f>VLOOKUP($A618,kurspris!$A$1:$Q$950,8,FALSE)</f>
        <v>0</v>
      </c>
      <c r="AJ618" s="31">
        <f>VLOOKUP($A618,kurspris!$A$1:$Q$950,9,FALSE)</f>
        <v>0</v>
      </c>
      <c r="AK618" s="31">
        <f>VLOOKUP($A618,kurspris!$A$1:$Q$950,10,FALSE)</f>
        <v>0</v>
      </c>
      <c r="AL618" s="31">
        <f>VLOOKUP($A618,kurspris!$A$1:$Q$950,11,FALSE)</f>
        <v>0</v>
      </c>
      <c r="AM618" s="31">
        <f>VLOOKUP($A618,kurspris!$A$1:$Q$950,12,FALSE)</f>
        <v>0</v>
      </c>
      <c r="AN618" s="31">
        <f>VLOOKUP($A618,kurspris!$A$1:$Q$950,13,FALSE)</f>
        <v>0</v>
      </c>
      <c r="AO618" s="31">
        <f>VLOOKUP($A618,kurspris!$A$1:$Q$950,14,FALSE)</f>
        <v>0</v>
      </c>
      <c r="AP618" s="57" t="s">
        <v>2506</v>
      </c>
      <c r="AQ618"/>
      <c r="AR618" s="31">
        <f t="shared" si="274"/>
        <v>0</v>
      </c>
      <c r="AS618" s="219">
        <f t="shared" si="275"/>
        <v>0</v>
      </c>
      <c r="AT618" s="31">
        <f t="shared" si="276"/>
        <v>0</v>
      </c>
      <c r="AU618" s="219">
        <f t="shared" si="277"/>
        <v>0</v>
      </c>
      <c r="AV618" s="31">
        <f t="shared" si="278"/>
        <v>0</v>
      </c>
      <c r="AW618" s="31">
        <f t="shared" si="279"/>
        <v>0</v>
      </c>
      <c r="AX618" s="31">
        <f t="shared" si="280"/>
        <v>0.13333333333333333</v>
      </c>
      <c r="AY618" s="219">
        <f t="shared" si="281"/>
        <v>0.11333333333333333</v>
      </c>
      <c r="AZ618" s="196">
        <f t="shared" si="282"/>
        <v>0</v>
      </c>
      <c r="BA618" s="219">
        <f t="shared" si="283"/>
        <v>0</v>
      </c>
      <c r="BB618" s="31">
        <f t="shared" si="284"/>
        <v>0</v>
      </c>
      <c r="BC618" s="219">
        <f t="shared" si="285"/>
        <v>0</v>
      </c>
      <c r="BD618" s="31">
        <f t="shared" si="286"/>
        <v>0</v>
      </c>
      <c r="BE618" s="219">
        <f t="shared" si="287"/>
        <v>0</v>
      </c>
      <c r="BF618" s="31">
        <f t="shared" si="288"/>
        <v>0</v>
      </c>
      <c r="BG618" s="219">
        <f t="shared" si="289"/>
        <v>0</v>
      </c>
      <c r="BH618" s="31">
        <f t="shared" si="290"/>
        <v>0</v>
      </c>
      <c r="BI618" s="219">
        <f t="shared" si="291"/>
        <v>0</v>
      </c>
      <c r="BJ618" s="31">
        <f t="shared" si="292"/>
        <v>0</v>
      </c>
      <c r="BK618" s="219">
        <f t="shared" si="293"/>
        <v>0</v>
      </c>
      <c r="BL618" s="31">
        <f t="shared" si="294"/>
        <v>0</v>
      </c>
      <c r="BM618" s="219">
        <f t="shared" si="295"/>
        <v>0</v>
      </c>
      <c r="BN618" s="31">
        <f t="shared" si="296"/>
        <v>0</v>
      </c>
      <c r="BO618" s="219">
        <f t="shared" si="297"/>
        <v>0</v>
      </c>
    </row>
    <row r="619" spans="1:67" x14ac:dyDescent="0.25">
      <c r="A619" s="31" t="s">
        <v>1642</v>
      </c>
      <c r="B619" s="176" t="str">
        <f>VLOOKUP(A619,kurspris!$A$1:$B$992,2,FALSE)</f>
        <v>Utbildningsvetenskap, undervisning och lärande - Ämneslärarprogrammet (UK)</v>
      </c>
      <c r="D619" s="60" t="s">
        <v>482</v>
      </c>
      <c r="E619" s="576" t="s">
        <v>2434</v>
      </c>
      <c r="F619" s="31" t="s">
        <v>2273</v>
      </c>
      <c r="G619" t="s">
        <v>2448</v>
      </c>
      <c r="H619" t="s">
        <v>2335</v>
      </c>
      <c r="J619" s="31" t="s">
        <v>2237</v>
      </c>
      <c r="L619" s="38">
        <v>1</v>
      </c>
      <c r="M619">
        <v>8</v>
      </c>
      <c r="P619" s="31">
        <v>2</v>
      </c>
      <c r="Q619" s="196">
        <f t="shared" si="299"/>
        <v>0.26666666666666666</v>
      </c>
      <c r="R619" s="38">
        <v>0.85</v>
      </c>
      <c r="S619" s="280">
        <f t="shared" si="270"/>
        <v>0.22666666666666666</v>
      </c>
      <c r="T619" s="31">
        <f>VLOOKUP(A619,'Ansvar kurs'!$A$1:$C$1123,2,FALSE)</f>
        <v>2180</v>
      </c>
      <c r="U619" s="31" t="str">
        <f>VLOOKUP(T619,Orgenheter!$A$1:$C$166,2,FALSE)</f>
        <v xml:space="preserve">Pedagogik                     </v>
      </c>
      <c r="V619" s="31" t="str">
        <f>VLOOKUP(T619,Orgenheter!$A$1:$C$166,3,FALSE)</f>
        <v>Sam</v>
      </c>
      <c r="W619" s="35" t="str">
        <f>VLOOKUP(D619,Program!$A$1:$B$36,2,FALSE)</f>
        <v>Ämneslärarprogrammet - Gy</v>
      </c>
      <c r="X619" s="40">
        <f>VLOOKUP(A619,kurspris!$A$1:$Q$913,15,FALSE)</f>
        <v>26554</v>
      </c>
      <c r="Y619" s="40">
        <f>VLOOKUP(A619,kurspris!$A$1:$Q$913,16,FALSE)</f>
        <v>33465</v>
      </c>
      <c r="Z619" s="40">
        <f t="shared" si="271"/>
        <v>14666.466666666667</v>
      </c>
      <c r="AA619" s="40">
        <f>VLOOKUP(A619,kurspris!$A$1:$Q$913,17,FALSE)</f>
        <v>6000</v>
      </c>
      <c r="AB619" s="40">
        <f t="shared" si="272"/>
        <v>1600</v>
      </c>
      <c r="AC619" s="40">
        <f t="shared" si="273"/>
        <v>16266.466666666667</v>
      </c>
      <c r="AD619" s="31">
        <f>VLOOKUP($A619,kurspris!$A$1:$Q$950,3,FALSE)</f>
        <v>0</v>
      </c>
      <c r="AE619" s="31">
        <f>VLOOKUP($A619,kurspris!$A$1:$Q$950,4,FALSE)</f>
        <v>0</v>
      </c>
      <c r="AF619" s="31">
        <f>VLOOKUP($A619,kurspris!$A$1:$Q$950,5,FALSE)</f>
        <v>0</v>
      </c>
      <c r="AG619" s="31">
        <f>VLOOKUP($A619,kurspris!$A$1:$Q$950,6,FALSE)</f>
        <v>1</v>
      </c>
      <c r="AH619" s="31">
        <f>VLOOKUP($A619,kurspris!$A$1:$Q$950,7,FALSE)</f>
        <v>0</v>
      </c>
      <c r="AI619" s="31">
        <f>VLOOKUP($A619,kurspris!$A$1:$Q$950,8,FALSE)</f>
        <v>0</v>
      </c>
      <c r="AJ619" s="31">
        <f>VLOOKUP($A619,kurspris!$A$1:$Q$950,9,FALSE)</f>
        <v>0</v>
      </c>
      <c r="AK619" s="31">
        <f>VLOOKUP($A619,kurspris!$A$1:$Q$950,10,FALSE)</f>
        <v>0</v>
      </c>
      <c r="AL619" s="31">
        <f>VLOOKUP($A619,kurspris!$A$1:$Q$950,11,FALSE)</f>
        <v>0</v>
      </c>
      <c r="AM619" s="31">
        <f>VLOOKUP($A619,kurspris!$A$1:$Q$950,12,FALSE)</f>
        <v>0</v>
      </c>
      <c r="AN619" s="31">
        <f>VLOOKUP($A619,kurspris!$A$1:$Q$950,13,FALSE)</f>
        <v>0</v>
      </c>
      <c r="AO619" s="31">
        <f>VLOOKUP($A619,kurspris!$A$1:$Q$950,14,FALSE)</f>
        <v>0</v>
      </c>
      <c r="AP619" s="57" t="s">
        <v>2506</v>
      </c>
      <c r="AQ619"/>
      <c r="AR619" s="31">
        <f t="shared" si="274"/>
        <v>0</v>
      </c>
      <c r="AS619" s="219">
        <f t="shared" si="275"/>
        <v>0</v>
      </c>
      <c r="AT619" s="31">
        <f t="shared" si="276"/>
        <v>0</v>
      </c>
      <c r="AU619" s="219">
        <f t="shared" si="277"/>
        <v>0</v>
      </c>
      <c r="AV619" s="31">
        <f t="shared" si="278"/>
        <v>0</v>
      </c>
      <c r="AW619" s="31">
        <f t="shared" si="279"/>
        <v>0</v>
      </c>
      <c r="AX619" s="31">
        <f t="shared" si="280"/>
        <v>0.26666666666666666</v>
      </c>
      <c r="AY619" s="219">
        <f t="shared" si="281"/>
        <v>0.22666666666666666</v>
      </c>
      <c r="AZ619" s="196">
        <f t="shared" si="282"/>
        <v>0</v>
      </c>
      <c r="BA619" s="219">
        <f t="shared" si="283"/>
        <v>0</v>
      </c>
      <c r="BB619" s="31">
        <f t="shared" si="284"/>
        <v>0</v>
      </c>
      <c r="BC619" s="219">
        <f t="shared" si="285"/>
        <v>0</v>
      </c>
      <c r="BD619" s="31">
        <f t="shared" si="286"/>
        <v>0</v>
      </c>
      <c r="BE619" s="219">
        <f t="shared" si="287"/>
        <v>0</v>
      </c>
      <c r="BF619" s="31">
        <f t="shared" si="288"/>
        <v>0</v>
      </c>
      <c r="BG619" s="219">
        <f t="shared" si="289"/>
        <v>0</v>
      </c>
      <c r="BH619" s="31">
        <f t="shared" si="290"/>
        <v>0</v>
      </c>
      <c r="BI619" s="219">
        <f t="shared" si="291"/>
        <v>0</v>
      </c>
      <c r="BJ619" s="31">
        <f t="shared" si="292"/>
        <v>0</v>
      </c>
      <c r="BK619" s="219">
        <f t="shared" si="293"/>
        <v>0</v>
      </c>
      <c r="BL619" s="31">
        <f t="shared" si="294"/>
        <v>0</v>
      </c>
      <c r="BM619" s="219">
        <f t="shared" si="295"/>
        <v>0</v>
      </c>
      <c r="BN619" s="31">
        <f t="shared" si="296"/>
        <v>0</v>
      </c>
      <c r="BO619" s="219">
        <f t="shared" si="297"/>
        <v>0</v>
      </c>
    </row>
    <row r="620" spans="1:67" x14ac:dyDescent="0.25">
      <c r="A620" s="31" t="s">
        <v>1642</v>
      </c>
      <c r="B620" s="176" t="str">
        <f>VLOOKUP(A620,kurspris!$A$1:$B$992,2,FALSE)</f>
        <v>Utbildningsvetenskap, undervisning och lärande - Ämneslärarprogrammet (UK)</v>
      </c>
      <c r="D620" s="60" t="s">
        <v>482</v>
      </c>
      <c r="E620" s="576" t="s">
        <v>2434</v>
      </c>
      <c r="F620" s="31" t="s">
        <v>2273</v>
      </c>
      <c r="G620" t="s">
        <v>2448</v>
      </c>
      <c r="H620" t="s">
        <v>2335</v>
      </c>
      <c r="J620" s="31" t="s">
        <v>2234</v>
      </c>
      <c r="L620" s="38">
        <v>1</v>
      </c>
      <c r="M620">
        <v>8</v>
      </c>
      <c r="P620" s="31">
        <v>2</v>
      </c>
      <c r="Q620" s="196">
        <f t="shared" si="299"/>
        <v>0.26666666666666666</v>
      </c>
      <c r="R620" s="38">
        <v>0.85</v>
      </c>
      <c r="S620" s="280">
        <f t="shared" si="270"/>
        <v>0.22666666666666666</v>
      </c>
      <c r="T620" s="31">
        <f>VLOOKUP(A620,'Ansvar kurs'!$A$1:$C$1123,2,FALSE)</f>
        <v>2180</v>
      </c>
      <c r="U620" s="31" t="str">
        <f>VLOOKUP(T620,Orgenheter!$A$1:$C$166,2,FALSE)</f>
        <v xml:space="preserve">Pedagogik                     </v>
      </c>
      <c r="V620" s="31" t="str">
        <f>VLOOKUP(T620,Orgenheter!$A$1:$C$166,3,FALSE)</f>
        <v>Sam</v>
      </c>
      <c r="W620" s="35" t="str">
        <f>VLOOKUP(D620,Program!$A$1:$B$36,2,FALSE)</f>
        <v>Ämneslärarprogrammet - Gy</v>
      </c>
      <c r="X620" s="40">
        <f>VLOOKUP(A620,kurspris!$A$1:$Q$913,15,FALSE)</f>
        <v>26554</v>
      </c>
      <c r="Y620" s="40">
        <f>VLOOKUP(A620,kurspris!$A$1:$Q$913,16,FALSE)</f>
        <v>33465</v>
      </c>
      <c r="Z620" s="40">
        <f t="shared" si="271"/>
        <v>14666.466666666667</v>
      </c>
      <c r="AA620" s="40">
        <f>VLOOKUP(A620,kurspris!$A$1:$Q$913,17,FALSE)</f>
        <v>6000</v>
      </c>
      <c r="AB620" s="40">
        <f t="shared" si="272"/>
        <v>1600</v>
      </c>
      <c r="AC620" s="40">
        <f t="shared" si="273"/>
        <v>16266.466666666667</v>
      </c>
      <c r="AD620" s="31">
        <f>VLOOKUP($A620,kurspris!$A$1:$Q$950,3,FALSE)</f>
        <v>0</v>
      </c>
      <c r="AE620" s="31">
        <f>VLOOKUP($A620,kurspris!$A$1:$Q$950,4,FALSE)</f>
        <v>0</v>
      </c>
      <c r="AF620" s="31">
        <f>VLOOKUP($A620,kurspris!$A$1:$Q$950,5,FALSE)</f>
        <v>0</v>
      </c>
      <c r="AG620" s="31">
        <f>VLOOKUP($A620,kurspris!$A$1:$Q$950,6,FALSE)</f>
        <v>1</v>
      </c>
      <c r="AH620" s="31">
        <f>VLOOKUP($A620,kurspris!$A$1:$Q$950,7,FALSE)</f>
        <v>0</v>
      </c>
      <c r="AI620" s="31">
        <f>VLOOKUP($A620,kurspris!$A$1:$Q$950,8,FALSE)</f>
        <v>0</v>
      </c>
      <c r="AJ620" s="31">
        <f>VLOOKUP($A620,kurspris!$A$1:$Q$950,9,FALSE)</f>
        <v>0</v>
      </c>
      <c r="AK620" s="31">
        <f>VLOOKUP($A620,kurspris!$A$1:$Q$950,10,FALSE)</f>
        <v>0</v>
      </c>
      <c r="AL620" s="31">
        <f>VLOOKUP($A620,kurspris!$A$1:$Q$950,11,FALSE)</f>
        <v>0</v>
      </c>
      <c r="AM620" s="31">
        <f>VLOOKUP($A620,kurspris!$A$1:$Q$950,12,FALSE)</f>
        <v>0</v>
      </c>
      <c r="AN620" s="31">
        <f>VLOOKUP($A620,kurspris!$A$1:$Q$950,13,FALSE)</f>
        <v>0</v>
      </c>
      <c r="AO620" s="31">
        <f>VLOOKUP($A620,kurspris!$A$1:$Q$950,14,FALSE)</f>
        <v>0</v>
      </c>
      <c r="AP620" s="57" t="s">
        <v>2506</v>
      </c>
      <c r="AQ620"/>
      <c r="AR620" s="31">
        <f t="shared" si="274"/>
        <v>0</v>
      </c>
      <c r="AS620" s="219">
        <f t="shared" si="275"/>
        <v>0</v>
      </c>
      <c r="AT620" s="31">
        <f t="shared" si="276"/>
        <v>0</v>
      </c>
      <c r="AU620" s="219">
        <f t="shared" si="277"/>
        <v>0</v>
      </c>
      <c r="AV620" s="31">
        <f t="shared" si="278"/>
        <v>0</v>
      </c>
      <c r="AW620" s="31">
        <f t="shared" si="279"/>
        <v>0</v>
      </c>
      <c r="AX620" s="31">
        <f t="shared" si="280"/>
        <v>0.26666666666666666</v>
      </c>
      <c r="AY620" s="219">
        <f t="shared" si="281"/>
        <v>0.22666666666666666</v>
      </c>
      <c r="AZ620" s="196">
        <f t="shared" si="282"/>
        <v>0</v>
      </c>
      <c r="BA620" s="219">
        <f t="shared" si="283"/>
        <v>0</v>
      </c>
      <c r="BB620" s="31">
        <f t="shared" si="284"/>
        <v>0</v>
      </c>
      <c r="BC620" s="219">
        <f t="shared" si="285"/>
        <v>0</v>
      </c>
      <c r="BD620" s="31">
        <f t="shared" si="286"/>
        <v>0</v>
      </c>
      <c r="BE620" s="219">
        <f t="shared" si="287"/>
        <v>0</v>
      </c>
      <c r="BF620" s="31">
        <f t="shared" si="288"/>
        <v>0</v>
      </c>
      <c r="BG620" s="219">
        <f t="shared" si="289"/>
        <v>0</v>
      </c>
      <c r="BH620" s="31">
        <f t="shared" si="290"/>
        <v>0</v>
      </c>
      <c r="BI620" s="219">
        <f t="shared" si="291"/>
        <v>0</v>
      </c>
      <c r="BJ620" s="31">
        <f t="shared" si="292"/>
        <v>0</v>
      </c>
      <c r="BK620" s="219">
        <f t="shared" si="293"/>
        <v>0</v>
      </c>
      <c r="BL620" s="31">
        <f t="shared" si="294"/>
        <v>0</v>
      </c>
      <c r="BM620" s="219">
        <f t="shared" si="295"/>
        <v>0</v>
      </c>
      <c r="BN620" s="31">
        <f t="shared" si="296"/>
        <v>0</v>
      </c>
      <c r="BO620" s="219">
        <f t="shared" si="297"/>
        <v>0</v>
      </c>
    </row>
    <row r="621" spans="1:67" x14ac:dyDescent="0.25">
      <c r="A621" s="31" t="s">
        <v>1642</v>
      </c>
      <c r="B621" s="176" t="str">
        <f>VLOOKUP(A621,kurspris!$A$1:$B$992,2,FALSE)</f>
        <v>Utbildningsvetenskap, undervisning och lärande - Ämneslärarprogrammet (UK)</v>
      </c>
      <c r="D621" s="60" t="s">
        <v>482</v>
      </c>
      <c r="E621" s="576" t="s">
        <v>2434</v>
      </c>
      <c r="F621" s="31" t="s">
        <v>2273</v>
      </c>
      <c r="G621" t="s">
        <v>2448</v>
      </c>
      <c r="H621" t="s">
        <v>2335</v>
      </c>
      <c r="J621" s="31" t="s">
        <v>2231</v>
      </c>
      <c r="L621" s="38">
        <v>1</v>
      </c>
      <c r="M621">
        <v>8</v>
      </c>
      <c r="P621" s="31">
        <v>12</v>
      </c>
      <c r="Q621" s="196">
        <f t="shared" si="299"/>
        <v>1.6</v>
      </c>
      <c r="R621" s="38">
        <v>0.85</v>
      </c>
      <c r="S621" s="280">
        <f t="shared" si="270"/>
        <v>1.36</v>
      </c>
      <c r="T621" s="31">
        <f>VLOOKUP(A621,'Ansvar kurs'!$A$1:$C$1123,2,FALSE)</f>
        <v>2180</v>
      </c>
      <c r="U621" s="31" t="str">
        <f>VLOOKUP(T621,Orgenheter!$A$1:$C$166,2,FALSE)</f>
        <v xml:space="preserve">Pedagogik                     </v>
      </c>
      <c r="V621" s="31" t="str">
        <f>VLOOKUP(T621,Orgenheter!$A$1:$C$166,3,FALSE)</f>
        <v>Sam</v>
      </c>
      <c r="W621" s="35" t="str">
        <f>VLOOKUP(D621,Program!$A$1:$B$36,2,FALSE)</f>
        <v>Ämneslärarprogrammet - Gy</v>
      </c>
      <c r="X621" s="40">
        <f>VLOOKUP(A621,kurspris!$A$1:$Q$913,15,FALSE)</f>
        <v>26554</v>
      </c>
      <c r="Y621" s="40">
        <f>VLOOKUP(A621,kurspris!$A$1:$Q$913,16,FALSE)</f>
        <v>33465</v>
      </c>
      <c r="Z621" s="40">
        <f t="shared" si="271"/>
        <v>87998.8</v>
      </c>
      <c r="AA621" s="40">
        <f>VLOOKUP(A621,kurspris!$A$1:$Q$913,17,FALSE)</f>
        <v>6000</v>
      </c>
      <c r="AB621" s="40">
        <f t="shared" si="272"/>
        <v>9600</v>
      </c>
      <c r="AC621" s="40">
        <f t="shared" si="273"/>
        <v>97598.8</v>
      </c>
      <c r="AD621" s="31">
        <f>VLOOKUP($A621,kurspris!$A$1:$Q$950,3,FALSE)</f>
        <v>0</v>
      </c>
      <c r="AE621" s="31">
        <f>VLOOKUP($A621,kurspris!$A$1:$Q$950,4,FALSE)</f>
        <v>0</v>
      </c>
      <c r="AF621" s="31">
        <f>VLOOKUP($A621,kurspris!$A$1:$Q$950,5,FALSE)</f>
        <v>0</v>
      </c>
      <c r="AG621" s="31">
        <f>VLOOKUP($A621,kurspris!$A$1:$Q$950,6,FALSE)</f>
        <v>1</v>
      </c>
      <c r="AH621" s="31">
        <f>VLOOKUP($A621,kurspris!$A$1:$Q$950,7,FALSE)</f>
        <v>0</v>
      </c>
      <c r="AI621" s="31">
        <f>VLOOKUP($A621,kurspris!$A$1:$Q$950,8,FALSE)</f>
        <v>0</v>
      </c>
      <c r="AJ621" s="31">
        <f>VLOOKUP($A621,kurspris!$A$1:$Q$950,9,FALSE)</f>
        <v>0</v>
      </c>
      <c r="AK621" s="31">
        <f>VLOOKUP($A621,kurspris!$A$1:$Q$950,10,FALSE)</f>
        <v>0</v>
      </c>
      <c r="AL621" s="31">
        <f>VLOOKUP($A621,kurspris!$A$1:$Q$950,11,FALSE)</f>
        <v>0</v>
      </c>
      <c r="AM621" s="31">
        <f>VLOOKUP($A621,kurspris!$A$1:$Q$950,12,FALSE)</f>
        <v>0</v>
      </c>
      <c r="AN621" s="31">
        <f>VLOOKUP($A621,kurspris!$A$1:$Q$950,13,FALSE)</f>
        <v>0</v>
      </c>
      <c r="AO621" s="31">
        <f>VLOOKUP($A621,kurspris!$A$1:$Q$950,14,FALSE)</f>
        <v>0</v>
      </c>
      <c r="AP621" s="57" t="s">
        <v>2506</v>
      </c>
      <c r="AQ621"/>
      <c r="AR621" s="31">
        <f t="shared" si="274"/>
        <v>0</v>
      </c>
      <c r="AS621" s="219">
        <f t="shared" si="275"/>
        <v>0</v>
      </c>
      <c r="AT621" s="31">
        <f t="shared" si="276"/>
        <v>0</v>
      </c>
      <c r="AU621" s="219">
        <f t="shared" si="277"/>
        <v>0</v>
      </c>
      <c r="AV621" s="31">
        <f t="shared" si="278"/>
        <v>0</v>
      </c>
      <c r="AW621" s="31">
        <f t="shared" si="279"/>
        <v>0</v>
      </c>
      <c r="AX621" s="31">
        <f t="shared" si="280"/>
        <v>1.6</v>
      </c>
      <c r="AY621" s="219">
        <f t="shared" si="281"/>
        <v>1.36</v>
      </c>
      <c r="AZ621" s="196">
        <f t="shared" si="282"/>
        <v>0</v>
      </c>
      <c r="BA621" s="219">
        <f t="shared" si="283"/>
        <v>0</v>
      </c>
      <c r="BB621" s="31">
        <f t="shared" si="284"/>
        <v>0</v>
      </c>
      <c r="BC621" s="219">
        <f t="shared" si="285"/>
        <v>0</v>
      </c>
      <c r="BD621" s="31">
        <f t="shared" si="286"/>
        <v>0</v>
      </c>
      <c r="BE621" s="219">
        <f t="shared" si="287"/>
        <v>0</v>
      </c>
      <c r="BF621" s="31">
        <f t="shared" si="288"/>
        <v>0</v>
      </c>
      <c r="BG621" s="219">
        <f t="shared" si="289"/>
        <v>0</v>
      </c>
      <c r="BH621" s="31">
        <f t="shared" si="290"/>
        <v>0</v>
      </c>
      <c r="BI621" s="219">
        <f t="shared" si="291"/>
        <v>0</v>
      </c>
      <c r="BJ621" s="31">
        <f t="shared" si="292"/>
        <v>0</v>
      </c>
      <c r="BK621" s="219">
        <f t="shared" si="293"/>
        <v>0</v>
      </c>
      <c r="BL621" s="31">
        <f t="shared" si="294"/>
        <v>0</v>
      </c>
      <c r="BM621" s="219">
        <f t="shared" si="295"/>
        <v>0</v>
      </c>
      <c r="BN621" s="31">
        <f t="shared" si="296"/>
        <v>0</v>
      </c>
      <c r="BO621" s="219">
        <f t="shared" si="297"/>
        <v>0</v>
      </c>
    </row>
    <row r="622" spans="1:67" x14ac:dyDescent="0.25">
      <c r="A622" s="31" t="s">
        <v>1642</v>
      </c>
      <c r="B622" s="176" t="str">
        <f>VLOOKUP(A622,kurspris!$A$1:$B$992,2,FALSE)</f>
        <v>Utbildningsvetenskap, undervisning och lärande - Ämneslärarprogrammet (UK)</v>
      </c>
      <c r="D622" s="60" t="s">
        <v>482</v>
      </c>
      <c r="E622" s="576" t="s">
        <v>2434</v>
      </c>
      <c r="F622" s="31" t="s">
        <v>2273</v>
      </c>
      <c r="G622" t="s">
        <v>2448</v>
      </c>
      <c r="H622" t="s">
        <v>2335</v>
      </c>
      <c r="J622" s="31" t="s">
        <v>2238</v>
      </c>
      <c r="L622" s="38">
        <v>1</v>
      </c>
      <c r="M622">
        <v>8</v>
      </c>
      <c r="P622" s="31">
        <v>2</v>
      </c>
      <c r="Q622" s="196">
        <f t="shared" si="299"/>
        <v>0.26666666666666666</v>
      </c>
      <c r="R622" s="38">
        <v>0.85</v>
      </c>
      <c r="S622" s="280">
        <f t="shared" si="270"/>
        <v>0.22666666666666666</v>
      </c>
      <c r="T622" s="31">
        <f>VLOOKUP(A622,'Ansvar kurs'!$A$1:$C$1123,2,FALSE)</f>
        <v>2180</v>
      </c>
      <c r="U622" s="31" t="str">
        <f>VLOOKUP(T622,Orgenheter!$A$1:$C$166,2,FALSE)</f>
        <v xml:space="preserve">Pedagogik                     </v>
      </c>
      <c r="V622" s="31" t="str">
        <f>VLOOKUP(T622,Orgenheter!$A$1:$C$166,3,FALSE)</f>
        <v>Sam</v>
      </c>
      <c r="W622" s="35" t="str">
        <f>VLOOKUP(D622,Program!$A$1:$B$36,2,FALSE)</f>
        <v>Ämneslärarprogrammet - Gy</v>
      </c>
      <c r="X622" s="40">
        <f>VLOOKUP(A622,kurspris!$A$1:$Q$913,15,FALSE)</f>
        <v>26554</v>
      </c>
      <c r="Y622" s="40">
        <f>VLOOKUP(A622,kurspris!$A$1:$Q$913,16,FALSE)</f>
        <v>33465</v>
      </c>
      <c r="Z622" s="40">
        <f t="shared" si="271"/>
        <v>14666.466666666667</v>
      </c>
      <c r="AA622" s="40">
        <f>VLOOKUP(A622,kurspris!$A$1:$Q$913,17,FALSE)</f>
        <v>6000</v>
      </c>
      <c r="AB622" s="40">
        <f t="shared" si="272"/>
        <v>1600</v>
      </c>
      <c r="AC622" s="40">
        <f t="shared" si="273"/>
        <v>16266.466666666667</v>
      </c>
      <c r="AD622" s="31">
        <f>VLOOKUP($A622,kurspris!$A$1:$Q$950,3,FALSE)</f>
        <v>0</v>
      </c>
      <c r="AE622" s="31">
        <f>VLOOKUP($A622,kurspris!$A$1:$Q$950,4,FALSE)</f>
        <v>0</v>
      </c>
      <c r="AF622" s="31">
        <f>VLOOKUP($A622,kurspris!$A$1:$Q$950,5,FALSE)</f>
        <v>0</v>
      </c>
      <c r="AG622" s="31">
        <f>VLOOKUP($A622,kurspris!$A$1:$Q$950,6,FALSE)</f>
        <v>1</v>
      </c>
      <c r="AH622" s="31">
        <f>VLOOKUP($A622,kurspris!$A$1:$Q$950,7,FALSE)</f>
        <v>0</v>
      </c>
      <c r="AI622" s="31">
        <f>VLOOKUP($A622,kurspris!$A$1:$Q$950,8,FALSE)</f>
        <v>0</v>
      </c>
      <c r="AJ622" s="31">
        <f>VLOOKUP($A622,kurspris!$A$1:$Q$950,9,FALSE)</f>
        <v>0</v>
      </c>
      <c r="AK622" s="31">
        <f>VLOOKUP($A622,kurspris!$A$1:$Q$950,10,FALSE)</f>
        <v>0</v>
      </c>
      <c r="AL622" s="31">
        <f>VLOOKUP($A622,kurspris!$A$1:$Q$950,11,FALSE)</f>
        <v>0</v>
      </c>
      <c r="AM622" s="31">
        <f>VLOOKUP($A622,kurspris!$A$1:$Q$950,12,FALSE)</f>
        <v>0</v>
      </c>
      <c r="AN622" s="31">
        <f>VLOOKUP($A622,kurspris!$A$1:$Q$950,13,FALSE)</f>
        <v>0</v>
      </c>
      <c r="AO622" s="31">
        <f>VLOOKUP($A622,kurspris!$A$1:$Q$950,14,FALSE)</f>
        <v>0</v>
      </c>
      <c r="AP622" s="57" t="s">
        <v>2506</v>
      </c>
      <c r="AQ622"/>
      <c r="AR622" s="31">
        <f t="shared" si="274"/>
        <v>0</v>
      </c>
      <c r="AS622" s="219">
        <f t="shared" si="275"/>
        <v>0</v>
      </c>
      <c r="AT622" s="31">
        <f t="shared" si="276"/>
        <v>0</v>
      </c>
      <c r="AU622" s="219">
        <f t="shared" si="277"/>
        <v>0</v>
      </c>
      <c r="AV622" s="31">
        <f t="shared" si="278"/>
        <v>0</v>
      </c>
      <c r="AW622" s="31">
        <f t="shared" si="279"/>
        <v>0</v>
      </c>
      <c r="AX622" s="31">
        <f t="shared" si="280"/>
        <v>0.26666666666666666</v>
      </c>
      <c r="AY622" s="219">
        <f t="shared" si="281"/>
        <v>0.22666666666666666</v>
      </c>
      <c r="AZ622" s="196">
        <f t="shared" si="282"/>
        <v>0</v>
      </c>
      <c r="BA622" s="219">
        <f t="shared" si="283"/>
        <v>0</v>
      </c>
      <c r="BB622" s="31">
        <f t="shared" si="284"/>
        <v>0</v>
      </c>
      <c r="BC622" s="219">
        <f t="shared" si="285"/>
        <v>0</v>
      </c>
      <c r="BD622" s="31">
        <f t="shared" si="286"/>
        <v>0</v>
      </c>
      <c r="BE622" s="219">
        <f t="shared" si="287"/>
        <v>0</v>
      </c>
      <c r="BF622" s="31">
        <f t="shared" si="288"/>
        <v>0</v>
      </c>
      <c r="BG622" s="219">
        <f t="shared" si="289"/>
        <v>0</v>
      </c>
      <c r="BH622" s="31">
        <f t="shared" si="290"/>
        <v>0</v>
      </c>
      <c r="BI622" s="219">
        <f t="shared" si="291"/>
        <v>0</v>
      </c>
      <c r="BJ622" s="31">
        <f t="shared" si="292"/>
        <v>0</v>
      </c>
      <c r="BK622" s="219">
        <f t="shared" si="293"/>
        <v>0</v>
      </c>
      <c r="BL622" s="31">
        <f t="shared" si="294"/>
        <v>0</v>
      </c>
      <c r="BM622" s="219">
        <f t="shared" si="295"/>
        <v>0</v>
      </c>
      <c r="BN622" s="31">
        <f t="shared" si="296"/>
        <v>0</v>
      </c>
      <c r="BO622" s="219">
        <f t="shared" si="297"/>
        <v>0</v>
      </c>
    </row>
    <row r="623" spans="1:67" x14ac:dyDescent="0.25">
      <c r="A623" s="31" t="s">
        <v>1642</v>
      </c>
      <c r="B623" s="176" t="str">
        <f>VLOOKUP(A623,kurspris!$A$1:$B$992,2,FALSE)</f>
        <v>Utbildningsvetenskap, undervisning och lärande - Ämneslärarprogrammet (UK)</v>
      </c>
      <c r="D623" s="60" t="s">
        <v>482</v>
      </c>
      <c r="E623" s="576" t="s">
        <v>2434</v>
      </c>
      <c r="F623" s="31" t="s">
        <v>2273</v>
      </c>
      <c r="G623" t="s">
        <v>2448</v>
      </c>
      <c r="H623" t="s">
        <v>2335</v>
      </c>
      <c r="J623" s="31" t="s">
        <v>2241</v>
      </c>
      <c r="L623" s="38">
        <v>1</v>
      </c>
      <c r="M623">
        <v>8</v>
      </c>
      <c r="P623" s="31">
        <v>17</v>
      </c>
      <c r="Q623" s="196">
        <f t="shared" si="299"/>
        <v>2.2666666666666666</v>
      </c>
      <c r="R623" s="38">
        <v>0.85</v>
      </c>
      <c r="S623" s="280">
        <f t="shared" si="270"/>
        <v>1.9266666666666665</v>
      </c>
      <c r="T623" s="31">
        <f>VLOOKUP(A623,'Ansvar kurs'!$A$1:$C$1123,2,FALSE)</f>
        <v>2180</v>
      </c>
      <c r="U623" s="31" t="str">
        <f>VLOOKUP(T623,Orgenheter!$A$1:$C$166,2,FALSE)</f>
        <v xml:space="preserve">Pedagogik                     </v>
      </c>
      <c r="V623" s="31" t="str">
        <f>VLOOKUP(T623,Orgenheter!$A$1:$C$166,3,FALSE)</f>
        <v>Sam</v>
      </c>
      <c r="W623" s="35" t="str">
        <f>VLOOKUP(D623,Program!$A$1:$B$36,2,FALSE)</f>
        <v>Ämneslärarprogrammet - Gy</v>
      </c>
      <c r="X623" s="40">
        <f>VLOOKUP(A623,kurspris!$A$1:$Q$913,15,FALSE)</f>
        <v>26554</v>
      </c>
      <c r="Y623" s="40">
        <f>VLOOKUP(A623,kurspris!$A$1:$Q$913,16,FALSE)</f>
        <v>33465</v>
      </c>
      <c r="Z623" s="40">
        <f t="shared" si="271"/>
        <v>124664.96666666666</v>
      </c>
      <c r="AA623" s="40">
        <f>VLOOKUP(A623,kurspris!$A$1:$Q$913,17,FALSE)</f>
        <v>6000</v>
      </c>
      <c r="AB623" s="40">
        <f t="shared" si="272"/>
        <v>13600</v>
      </c>
      <c r="AC623" s="40">
        <f t="shared" si="273"/>
        <v>138264.96666666667</v>
      </c>
      <c r="AD623" s="31">
        <f>VLOOKUP($A623,kurspris!$A$1:$Q$950,3,FALSE)</f>
        <v>0</v>
      </c>
      <c r="AE623" s="31">
        <f>VLOOKUP($A623,kurspris!$A$1:$Q$950,4,FALSE)</f>
        <v>0</v>
      </c>
      <c r="AF623" s="31">
        <f>VLOOKUP($A623,kurspris!$A$1:$Q$950,5,FALSE)</f>
        <v>0</v>
      </c>
      <c r="AG623" s="31">
        <f>VLOOKUP($A623,kurspris!$A$1:$Q$950,6,FALSE)</f>
        <v>1</v>
      </c>
      <c r="AH623" s="31">
        <f>VLOOKUP($A623,kurspris!$A$1:$Q$950,7,FALSE)</f>
        <v>0</v>
      </c>
      <c r="AI623" s="31">
        <f>VLOOKUP($A623,kurspris!$A$1:$Q$950,8,FALSE)</f>
        <v>0</v>
      </c>
      <c r="AJ623" s="31">
        <f>VLOOKUP($A623,kurspris!$A$1:$Q$950,9,FALSE)</f>
        <v>0</v>
      </c>
      <c r="AK623" s="31">
        <f>VLOOKUP($A623,kurspris!$A$1:$Q$950,10,FALSE)</f>
        <v>0</v>
      </c>
      <c r="AL623" s="31">
        <f>VLOOKUP($A623,kurspris!$A$1:$Q$950,11,FALSE)</f>
        <v>0</v>
      </c>
      <c r="AM623" s="31">
        <f>VLOOKUP($A623,kurspris!$A$1:$Q$950,12,FALSE)</f>
        <v>0</v>
      </c>
      <c r="AN623" s="31">
        <f>VLOOKUP($A623,kurspris!$A$1:$Q$950,13,FALSE)</f>
        <v>0</v>
      </c>
      <c r="AO623" s="31">
        <f>VLOOKUP($A623,kurspris!$A$1:$Q$950,14,FALSE)</f>
        <v>0</v>
      </c>
      <c r="AP623" s="57" t="s">
        <v>2506</v>
      </c>
      <c r="AQ623"/>
      <c r="AR623" s="31">
        <f t="shared" si="274"/>
        <v>0</v>
      </c>
      <c r="AS623" s="219">
        <f t="shared" si="275"/>
        <v>0</v>
      </c>
      <c r="AT623" s="31">
        <f t="shared" si="276"/>
        <v>0</v>
      </c>
      <c r="AU623" s="219">
        <f t="shared" si="277"/>
        <v>0</v>
      </c>
      <c r="AV623" s="31">
        <f t="shared" si="278"/>
        <v>0</v>
      </c>
      <c r="AW623" s="31">
        <f t="shared" si="279"/>
        <v>0</v>
      </c>
      <c r="AX623" s="31">
        <f t="shared" si="280"/>
        <v>2.2666666666666666</v>
      </c>
      <c r="AY623" s="219">
        <f t="shared" si="281"/>
        <v>1.9266666666666665</v>
      </c>
      <c r="AZ623" s="196">
        <f t="shared" si="282"/>
        <v>0</v>
      </c>
      <c r="BA623" s="219">
        <f t="shared" si="283"/>
        <v>0</v>
      </c>
      <c r="BB623" s="31">
        <f t="shared" si="284"/>
        <v>0</v>
      </c>
      <c r="BC623" s="219">
        <f t="shared" si="285"/>
        <v>0</v>
      </c>
      <c r="BD623" s="31">
        <f t="shared" si="286"/>
        <v>0</v>
      </c>
      <c r="BE623" s="219">
        <f t="shared" si="287"/>
        <v>0</v>
      </c>
      <c r="BF623" s="31">
        <f t="shared" si="288"/>
        <v>0</v>
      </c>
      <c r="BG623" s="219">
        <f t="shared" si="289"/>
        <v>0</v>
      </c>
      <c r="BH623" s="31">
        <f t="shared" si="290"/>
        <v>0</v>
      </c>
      <c r="BI623" s="219">
        <f t="shared" si="291"/>
        <v>0</v>
      </c>
      <c r="BJ623" s="31">
        <f t="shared" si="292"/>
        <v>0</v>
      </c>
      <c r="BK623" s="219">
        <f t="shared" si="293"/>
        <v>0</v>
      </c>
      <c r="BL623" s="31">
        <f t="shared" si="294"/>
        <v>0</v>
      </c>
      <c r="BM623" s="219">
        <f t="shared" si="295"/>
        <v>0</v>
      </c>
      <c r="BN623" s="31">
        <f t="shared" si="296"/>
        <v>0</v>
      </c>
      <c r="BO623" s="219">
        <f t="shared" si="297"/>
        <v>0</v>
      </c>
    </row>
    <row r="624" spans="1:67" x14ac:dyDescent="0.25">
      <c r="A624" s="31" t="s">
        <v>1642</v>
      </c>
      <c r="B624" s="176" t="str">
        <f>VLOOKUP(A624,kurspris!$A$1:$B$992,2,FALSE)</f>
        <v>Utbildningsvetenskap, undervisning och lärande - Ämneslärarprogrammet (UK)</v>
      </c>
      <c r="D624" s="60" t="s">
        <v>482</v>
      </c>
      <c r="E624" s="576" t="s">
        <v>2434</v>
      </c>
      <c r="F624" s="31" t="s">
        <v>2273</v>
      </c>
      <c r="G624" t="s">
        <v>2448</v>
      </c>
      <c r="H624" t="s">
        <v>2335</v>
      </c>
      <c r="J624" s="31" t="s">
        <v>2232</v>
      </c>
      <c r="L624" s="38">
        <v>1</v>
      </c>
      <c r="M624">
        <v>8</v>
      </c>
      <c r="P624" s="31">
        <v>18</v>
      </c>
      <c r="Q624" s="196">
        <f t="shared" si="299"/>
        <v>2.4</v>
      </c>
      <c r="R624" s="38">
        <v>0.85</v>
      </c>
      <c r="S624" s="280">
        <f t="shared" si="270"/>
        <v>2.04</v>
      </c>
      <c r="T624" s="31">
        <f>VLOOKUP(A624,'Ansvar kurs'!$A$1:$C$1123,2,FALSE)</f>
        <v>2180</v>
      </c>
      <c r="U624" s="31" t="str">
        <f>VLOOKUP(T624,Orgenheter!$A$1:$C$166,2,FALSE)</f>
        <v xml:space="preserve">Pedagogik                     </v>
      </c>
      <c r="V624" s="31" t="str">
        <f>VLOOKUP(T624,Orgenheter!$A$1:$C$166,3,FALSE)</f>
        <v>Sam</v>
      </c>
      <c r="W624" s="35" t="str">
        <f>VLOOKUP(D624,Program!$A$1:$B$36,2,FALSE)</f>
        <v>Ämneslärarprogrammet - Gy</v>
      </c>
      <c r="X624" s="40">
        <f>VLOOKUP(A624,kurspris!$A$1:$Q$913,15,FALSE)</f>
        <v>26554</v>
      </c>
      <c r="Y624" s="40">
        <f>VLOOKUP(A624,kurspris!$A$1:$Q$913,16,FALSE)</f>
        <v>33465</v>
      </c>
      <c r="Z624" s="40">
        <f t="shared" si="271"/>
        <v>131998.20000000001</v>
      </c>
      <c r="AA624" s="40">
        <f>VLOOKUP(A624,kurspris!$A$1:$Q$913,17,FALSE)</f>
        <v>6000</v>
      </c>
      <c r="AB624" s="40">
        <f t="shared" si="272"/>
        <v>14400</v>
      </c>
      <c r="AC624" s="40">
        <f t="shared" si="273"/>
        <v>146398.20000000001</v>
      </c>
      <c r="AD624" s="31">
        <f>VLOOKUP($A624,kurspris!$A$1:$Q$950,3,FALSE)</f>
        <v>0</v>
      </c>
      <c r="AE624" s="31">
        <f>VLOOKUP($A624,kurspris!$A$1:$Q$950,4,FALSE)</f>
        <v>0</v>
      </c>
      <c r="AF624" s="31">
        <f>VLOOKUP($A624,kurspris!$A$1:$Q$950,5,FALSE)</f>
        <v>0</v>
      </c>
      <c r="AG624" s="31">
        <f>VLOOKUP($A624,kurspris!$A$1:$Q$950,6,FALSE)</f>
        <v>1</v>
      </c>
      <c r="AH624" s="31">
        <f>VLOOKUP($A624,kurspris!$A$1:$Q$950,7,FALSE)</f>
        <v>0</v>
      </c>
      <c r="AI624" s="31">
        <f>VLOOKUP($A624,kurspris!$A$1:$Q$950,8,FALSE)</f>
        <v>0</v>
      </c>
      <c r="AJ624" s="31">
        <f>VLOOKUP($A624,kurspris!$A$1:$Q$950,9,FALSE)</f>
        <v>0</v>
      </c>
      <c r="AK624" s="31">
        <f>VLOOKUP($A624,kurspris!$A$1:$Q$950,10,FALSE)</f>
        <v>0</v>
      </c>
      <c r="AL624" s="31">
        <f>VLOOKUP($A624,kurspris!$A$1:$Q$950,11,FALSE)</f>
        <v>0</v>
      </c>
      <c r="AM624" s="31">
        <f>VLOOKUP($A624,kurspris!$A$1:$Q$950,12,FALSE)</f>
        <v>0</v>
      </c>
      <c r="AN624" s="31">
        <f>VLOOKUP($A624,kurspris!$A$1:$Q$950,13,FALSE)</f>
        <v>0</v>
      </c>
      <c r="AO624" s="31">
        <f>VLOOKUP($A624,kurspris!$A$1:$Q$950,14,FALSE)</f>
        <v>0</v>
      </c>
      <c r="AP624" s="57" t="s">
        <v>2506</v>
      </c>
      <c r="AQ624"/>
      <c r="AR624" s="31">
        <f t="shared" si="274"/>
        <v>0</v>
      </c>
      <c r="AS624" s="219">
        <f t="shared" si="275"/>
        <v>0</v>
      </c>
      <c r="AT624" s="31">
        <f t="shared" si="276"/>
        <v>0</v>
      </c>
      <c r="AU624" s="219">
        <f t="shared" si="277"/>
        <v>0</v>
      </c>
      <c r="AV624" s="31">
        <f t="shared" si="278"/>
        <v>0</v>
      </c>
      <c r="AW624" s="31">
        <f t="shared" si="279"/>
        <v>0</v>
      </c>
      <c r="AX624" s="31">
        <f t="shared" si="280"/>
        <v>2.4</v>
      </c>
      <c r="AY624" s="219">
        <f t="shared" si="281"/>
        <v>2.04</v>
      </c>
      <c r="AZ624" s="196">
        <f t="shared" si="282"/>
        <v>0</v>
      </c>
      <c r="BA624" s="219">
        <f t="shared" si="283"/>
        <v>0</v>
      </c>
      <c r="BB624" s="31">
        <f t="shared" si="284"/>
        <v>0</v>
      </c>
      <c r="BC624" s="219">
        <f t="shared" si="285"/>
        <v>0</v>
      </c>
      <c r="BD624" s="31">
        <f t="shared" si="286"/>
        <v>0</v>
      </c>
      <c r="BE624" s="219">
        <f t="shared" si="287"/>
        <v>0</v>
      </c>
      <c r="BF624" s="31">
        <f t="shared" si="288"/>
        <v>0</v>
      </c>
      <c r="BG624" s="219">
        <f t="shared" si="289"/>
        <v>0</v>
      </c>
      <c r="BH624" s="31">
        <f t="shared" si="290"/>
        <v>0</v>
      </c>
      <c r="BI624" s="219">
        <f t="shared" si="291"/>
        <v>0</v>
      </c>
      <c r="BJ624" s="31">
        <f t="shared" si="292"/>
        <v>0</v>
      </c>
      <c r="BK624" s="219">
        <f t="shared" si="293"/>
        <v>0</v>
      </c>
      <c r="BL624" s="31">
        <f t="shared" si="294"/>
        <v>0</v>
      </c>
      <c r="BM624" s="219">
        <f t="shared" si="295"/>
        <v>0</v>
      </c>
      <c r="BN624" s="31">
        <f t="shared" si="296"/>
        <v>0</v>
      </c>
      <c r="BO624" s="219">
        <f t="shared" si="297"/>
        <v>0</v>
      </c>
    </row>
    <row r="625" spans="1:67" x14ac:dyDescent="0.25">
      <c r="A625" s="31" t="s">
        <v>1642</v>
      </c>
      <c r="B625" s="176" t="str">
        <f>VLOOKUP(A625,kurspris!$A$1:$B$992,2,FALSE)</f>
        <v>Utbildningsvetenskap, undervisning och lärande - Ämneslärarprogrammet (UK)</v>
      </c>
      <c r="D625" s="60" t="s">
        <v>482</v>
      </c>
      <c r="E625" s="576" t="s">
        <v>2434</v>
      </c>
      <c r="F625" s="31" t="s">
        <v>2273</v>
      </c>
      <c r="G625" t="s">
        <v>2448</v>
      </c>
      <c r="H625" t="s">
        <v>2335</v>
      </c>
      <c r="J625" s="31" t="s">
        <v>2233</v>
      </c>
      <c r="L625" s="38">
        <v>1</v>
      </c>
      <c r="M625">
        <v>8</v>
      </c>
      <c r="P625" s="31">
        <v>7</v>
      </c>
      <c r="Q625" s="196">
        <f t="shared" si="299"/>
        <v>0.93333333333333335</v>
      </c>
      <c r="R625" s="38">
        <v>0.85</v>
      </c>
      <c r="S625" s="280">
        <f t="shared" si="270"/>
        <v>0.79333333333333333</v>
      </c>
      <c r="T625" s="31">
        <f>VLOOKUP(A625,'Ansvar kurs'!$A$1:$C$1123,2,FALSE)</f>
        <v>2180</v>
      </c>
      <c r="U625" s="31" t="str">
        <f>VLOOKUP(T625,Orgenheter!$A$1:$C$166,2,FALSE)</f>
        <v xml:space="preserve">Pedagogik                     </v>
      </c>
      <c r="V625" s="31" t="str">
        <f>VLOOKUP(T625,Orgenheter!$A$1:$C$166,3,FALSE)</f>
        <v>Sam</v>
      </c>
      <c r="W625" s="35" t="str">
        <f>VLOOKUP(D625,Program!$A$1:$B$36,2,FALSE)</f>
        <v>Ämneslärarprogrammet - Gy</v>
      </c>
      <c r="X625" s="40">
        <f>VLOOKUP(A625,kurspris!$A$1:$Q$913,15,FALSE)</f>
        <v>26554</v>
      </c>
      <c r="Y625" s="40">
        <f>VLOOKUP(A625,kurspris!$A$1:$Q$913,16,FALSE)</f>
        <v>33465</v>
      </c>
      <c r="Z625" s="40">
        <f t="shared" si="271"/>
        <v>51332.633333333331</v>
      </c>
      <c r="AA625" s="40">
        <f>VLOOKUP(A625,kurspris!$A$1:$Q$913,17,FALSE)</f>
        <v>6000</v>
      </c>
      <c r="AB625" s="40">
        <f t="shared" si="272"/>
        <v>5600</v>
      </c>
      <c r="AC625" s="40">
        <f t="shared" si="273"/>
        <v>56932.633333333331</v>
      </c>
      <c r="AD625" s="31">
        <f>VLOOKUP($A625,kurspris!$A$1:$Q$950,3,FALSE)</f>
        <v>0</v>
      </c>
      <c r="AE625" s="31">
        <f>VLOOKUP($A625,kurspris!$A$1:$Q$950,4,FALSE)</f>
        <v>0</v>
      </c>
      <c r="AF625" s="31">
        <f>VLOOKUP($A625,kurspris!$A$1:$Q$950,5,FALSE)</f>
        <v>0</v>
      </c>
      <c r="AG625" s="31">
        <f>VLOOKUP($A625,kurspris!$A$1:$Q$950,6,FALSE)</f>
        <v>1</v>
      </c>
      <c r="AH625" s="31">
        <f>VLOOKUP($A625,kurspris!$A$1:$Q$950,7,FALSE)</f>
        <v>0</v>
      </c>
      <c r="AI625" s="31">
        <f>VLOOKUP($A625,kurspris!$A$1:$Q$950,8,FALSE)</f>
        <v>0</v>
      </c>
      <c r="AJ625" s="31">
        <f>VLOOKUP($A625,kurspris!$A$1:$Q$950,9,FALSE)</f>
        <v>0</v>
      </c>
      <c r="AK625" s="31">
        <f>VLOOKUP($A625,kurspris!$A$1:$Q$950,10,FALSE)</f>
        <v>0</v>
      </c>
      <c r="AL625" s="31">
        <f>VLOOKUP($A625,kurspris!$A$1:$Q$950,11,FALSE)</f>
        <v>0</v>
      </c>
      <c r="AM625" s="31">
        <f>VLOOKUP($A625,kurspris!$A$1:$Q$950,12,FALSE)</f>
        <v>0</v>
      </c>
      <c r="AN625" s="31">
        <f>VLOOKUP($A625,kurspris!$A$1:$Q$950,13,FALSE)</f>
        <v>0</v>
      </c>
      <c r="AO625" s="31">
        <f>VLOOKUP($A625,kurspris!$A$1:$Q$950,14,FALSE)</f>
        <v>0</v>
      </c>
      <c r="AP625" s="57" t="s">
        <v>2506</v>
      </c>
      <c r="AQ625"/>
      <c r="AR625" s="31">
        <f t="shared" si="274"/>
        <v>0</v>
      </c>
      <c r="AS625" s="219">
        <f t="shared" si="275"/>
        <v>0</v>
      </c>
      <c r="AT625" s="31">
        <f t="shared" si="276"/>
        <v>0</v>
      </c>
      <c r="AU625" s="219">
        <f t="shared" si="277"/>
        <v>0</v>
      </c>
      <c r="AV625" s="31">
        <f t="shared" si="278"/>
        <v>0</v>
      </c>
      <c r="AW625" s="31">
        <f t="shared" si="279"/>
        <v>0</v>
      </c>
      <c r="AX625" s="31">
        <f t="shared" si="280"/>
        <v>0.93333333333333335</v>
      </c>
      <c r="AY625" s="219">
        <f t="shared" si="281"/>
        <v>0.79333333333333333</v>
      </c>
      <c r="AZ625" s="196">
        <f t="shared" si="282"/>
        <v>0</v>
      </c>
      <c r="BA625" s="219">
        <f t="shared" si="283"/>
        <v>0</v>
      </c>
      <c r="BB625" s="31">
        <f t="shared" si="284"/>
        <v>0</v>
      </c>
      <c r="BC625" s="219">
        <f t="shared" si="285"/>
        <v>0</v>
      </c>
      <c r="BD625" s="31">
        <f t="shared" si="286"/>
        <v>0</v>
      </c>
      <c r="BE625" s="219">
        <f t="shared" si="287"/>
        <v>0</v>
      </c>
      <c r="BF625" s="31">
        <f t="shared" si="288"/>
        <v>0</v>
      </c>
      <c r="BG625" s="219">
        <f t="shared" si="289"/>
        <v>0</v>
      </c>
      <c r="BH625" s="31">
        <f t="shared" si="290"/>
        <v>0</v>
      </c>
      <c r="BI625" s="219">
        <f t="shared" si="291"/>
        <v>0</v>
      </c>
      <c r="BJ625" s="31">
        <f t="shared" si="292"/>
        <v>0</v>
      </c>
      <c r="BK625" s="219">
        <f t="shared" si="293"/>
        <v>0</v>
      </c>
      <c r="BL625" s="31">
        <f t="shared" si="294"/>
        <v>0</v>
      </c>
      <c r="BM625" s="219">
        <f t="shared" si="295"/>
        <v>0</v>
      </c>
      <c r="BN625" s="31">
        <f t="shared" si="296"/>
        <v>0</v>
      </c>
      <c r="BO625" s="219">
        <f t="shared" si="297"/>
        <v>0</v>
      </c>
    </row>
    <row r="626" spans="1:67" x14ac:dyDescent="0.25">
      <c r="A626" s="31" t="s">
        <v>1642</v>
      </c>
      <c r="B626" s="176" t="str">
        <f>VLOOKUP(A626,kurspris!$A$1:$B$992,2,FALSE)</f>
        <v>Utbildningsvetenskap, undervisning och lärande - Ämneslärarprogrammet (UK)</v>
      </c>
      <c r="D626" s="60" t="s">
        <v>482</v>
      </c>
      <c r="E626" s="576" t="s">
        <v>2434</v>
      </c>
      <c r="F626" s="31" t="s">
        <v>2273</v>
      </c>
      <c r="G626" t="s">
        <v>2448</v>
      </c>
      <c r="H626" t="s">
        <v>2335</v>
      </c>
      <c r="J626" s="31" t="s">
        <v>2235</v>
      </c>
      <c r="L626" s="38">
        <v>1</v>
      </c>
      <c r="M626">
        <v>8</v>
      </c>
      <c r="P626" s="31">
        <v>1</v>
      </c>
      <c r="Q626" s="196">
        <f t="shared" si="299"/>
        <v>0.13333333333333333</v>
      </c>
      <c r="R626" s="38">
        <v>0.85</v>
      </c>
      <c r="S626" s="280">
        <f t="shared" si="270"/>
        <v>0.11333333333333333</v>
      </c>
      <c r="T626" s="31">
        <f>VLOOKUP(A626,'Ansvar kurs'!$A$1:$C$1123,2,FALSE)</f>
        <v>2180</v>
      </c>
      <c r="U626" s="31" t="str">
        <f>VLOOKUP(T626,Orgenheter!$A$1:$C$166,2,FALSE)</f>
        <v xml:space="preserve">Pedagogik                     </v>
      </c>
      <c r="V626" s="31" t="str">
        <f>VLOOKUP(T626,Orgenheter!$A$1:$C$166,3,FALSE)</f>
        <v>Sam</v>
      </c>
      <c r="W626" s="35" t="str">
        <f>VLOOKUP(D626,Program!$A$1:$B$36,2,FALSE)</f>
        <v>Ämneslärarprogrammet - Gy</v>
      </c>
      <c r="X626" s="40">
        <f>VLOOKUP(A626,kurspris!$A$1:$Q$913,15,FALSE)</f>
        <v>26554</v>
      </c>
      <c r="Y626" s="40">
        <f>VLOOKUP(A626,kurspris!$A$1:$Q$913,16,FALSE)</f>
        <v>33465</v>
      </c>
      <c r="Z626" s="40">
        <f t="shared" si="271"/>
        <v>7333.2333333333336</v>
      </c>
      <c r="AA626" s="40">
        <f>VLOOKUP(A626,kurspris!$A$1:$Q$913,17,FALSE)</f>
        <v>6000</v>
      </c>
      <c r="AB626" s="40">
        <f t="shared" si="272"/>
        <v>800</v>
      </c>
      <c r="AC626" s="40">
        <f t="shared" si="273"/>
        <v>8133.2333333333336</v>
      </c>
      <c r="AD626" s="31">
        <f>VLOOKUP($A626,kurspris!$A$1:$Q$950,3,FALSE)</f>
        <v>0</v>
      </c>
      <c r="AE626" s="31">
        <f>VLOOKUP($A626,kurspris!$A$1:$Q$950,4,FALSE)</f>
        <v>0</v>
      </c>
      <c r="AF626" s="31">
        <f>VLOOKUP($A626,kurspris!$A$1:$Q$950,5,FALSE)</f>
        <v>0</v>
      </c>
      <c r="AG626" s="31">
        <f>VLOOKUP($A626,kurspris!$A$1:$Q$950,6,FALSE)</f>
        <v>1</v>
      </c>
      <c r="AH626" s="31">
        <f>VLOOKUP($A626,kurspris!$A$1:$Q$950,7,FALSE)</f>
        <v>0</v>
      </c>
      <c r="AI626" s="31">
        <f>VLOOKUP($A626,kurspris!$A$1:$Q$950,8,FALSE)</f>
        <v>0</v>
      </c>
      <c r="AJ626" s="31">
        <f>VLOOKUP($A626,kurspris!$A$1:$Q$950,9,FALSE)</f>
        <v>0</v>
      </c>
      <c r="AK626" s="31">
        <f>VLOOKUP($A626,kurspris!$A$1:$Q$950,10,FALSE)</f>
        <v>0</v>
      </c>
      <c r="AL626" s="31">
        <f>VLOOKUP($A626,kurspris!$A$1:$Q$950,11,FALSE)</f>
        <v>0</v>
      </c>
      <c r="AM626" s="31">
        <f>VLOOKUP($A626,kurspris!$A$1:$Q$950,12,FALSE)</f>
        <v>0</v>
      </c>
      <c r="AN626" s="31">
        <f>VLOOKUP($A626,kurspris!$A$1:$Q$950,13,FALSE)</f>
        <v>0</v>
      </c>
      <c r="AO626" s="31">
        <f>VLOOKUP($A626,kurspris!$A$1:$Q$950,14,FALSE)</f>
        <v>0</v>
      </c>
      <c r="AP626" s="57" t="s">
        <v>2506</v>
      </c>
      <c r="AQ626"/>
      <c r="AR626" s="31">
        <f t="shared" si="274"/>
        <v>0</v>
      </c>
      <c r="AS626" s="219">
        <f t="shared" si="275"/>
        <v>0</v>
      </c>
      <c r="AT626" s="31">
        <f t="shared" si="276"/>
        <v>0</v>
      </c>
      <c r="AU626" s="219">
        <f t="shared" si="277"/>
        <v>0</v>
      </c>
      <c r="AV626" s="31">
        <f t="shared" si="278"/>
        <v>0</v>
      </c>
      <c r="AW626" s="31">
        <f t="shared" si="279"/>
        <v>0</v>
      </c>
      <c r="AX626" s="31">
        <f t="shared" si="280"/>
        <v>0.13333333333333333</v>
      </c>
      <c r="AY626" s="219">
        <f t="shared" si="281"/>
        <v>0.11333333333333333</v>
      </c>
      <c r="AZ626" s="196">
        <f t="shared" si="282"/>
        <v>0</v>
      </c>
      <c r="BA626" s="219">
        <f t="shared" si="283"/>
        <v>0</v>
      </c>
      <c r="BB626" s="31">
        <f t="shared" si="284"/>
        <v>0</v>
      </c>
      <c r="BC626" s="219">
        <f t="shared" si="285"/>
        <v>0</v>
      </c>
      <c r="BD626" s="31">
        <f t="shared" si="286"/>
        <v>0</v>
      </c>
      <c r="BE626" s="219">
        <f t="shared" si="287"/>
        <v>0</v>
      </c>
      <c r="BF626" s="31">
        <f t="shared" si="288"/>
        <v>0</v>
      </c>
      <c r="BG626" s="219">
        <f t="shared" si="289"/>
        <v>0</v>
      </c>
      <c r="BH626" s="31">
        <f t="shared" si="290"/>
        <v>0</v>
      </c>
      <c r="BI626" s="219">
        <f t="shared" si="291"/>
        <v>0</v>
      </c>
      <c r="BJ626" s="31">
        <f t="shared" si="292"/>
        <v>0</v>
      </c>
      <c r="BK626" s="219">
        <f t="shared" si="293"/>
        <v>0</v>
      </c>
      <c r="BL626" s="31">
        <f t="shared" si="294"/>
        <v>0</v>
      </c>
      <c r="BM626" s="219">
        <f t="shared" si="295"/>
        <v>0</v>
      </c>
      <c r="BN626" s="31">
        <f t="shared" si="296"/>
        <v>0</v>
      </c>
      <c r="BO626" s="219">
        <f t="shared" si="297"/>
        <v>0</v>
      </c>
    </row>
    <row r="627" spans="1:67" x14ac:dyDescent="0.25">
      <c r="A627" s="31" t="s">
        <v>1642</v>
      </c>
      <c r="B627" s="176" t="str">
        <f>VLOOKUP(A627,kurspris!$A$1:$B$992,2,FALSE)</f>
        <v>Utbildningsvetenskap, undervisning och lärande - Ämneslärarprogrammet (UK)</v>
      </c>
      <c r="D627" s="60" t="s">
        <v>482</v>
      </c>
      <c r="E627" s="576" t="s">
        <v>2434</v>
      </c>
      <c r="F627" s="31" t="s">
        <v>2273</v>
      </c>
      <c r="G627" t="s">
        <v>2448</v>
      </c>
      <c r="H627" t="s">
        <v>2335</v>
      </c>
      <c r="J627" s="31" t="s">
        <v>2239</v>
      </c>
      <c r="L627" s="38">
        <v>1</v>
      </c>
      <c r="M627">
        <v>8</v>
      </c>
      <c r="P627" s="31">
        <v>2</v>
      </c>
      <c r="Q627" s="196">
        <f t="shared" si="299"/>
        <v>0.26666666666666666</v>
      </c>
      <c r="R627" s="38">
        <v>0.85</v>
      </c>
      <c r="S627" s="280">
        <f t="shared" si="270"/>
        <v>0.22666666666666666</v>
      </c>
      <c r="T627" s="31">
        <f>VLOOKUP(A627,'Ansvar kurs'!$A$1:$C$1123,2,FALSE)</f>
        <v>2180</v>
      </c>
      <c r="U627" s="31" t="str">
        <f>VLOOKUP(T627,Orgenheter!$A$1:$C$166,2,FALSE)</f>
        <v xml:space="preserve">Pedagogik                     </v>
      </c>
      <c r="V627" s="31" t="str">
        <f>VLOOKUP(T627,Orgenheter!$A$1:$C$166,3,FALSE)</f>
        <v>Sam</v>
      </c>
      <c r="W627" s="35" t="str">
        <f>VLOOKUP(D627,Program!$A$1:$B$36,2,FALSE)</f>
        <v>Ämneslärarprogrammet - Gy</v>
      </c>
      <c r="X627" s="40">
        <f>VLOOKUP(A627,kurspris!$A$1:$Q$913,15,FALSE)</f>
        <v>26554</v>
      </c>
      <c r="Y627" s="40">
        <f>VLOOKUP(A627,kurspris!$A$1:$Q$913,16,FALSE)</f>
        <v>33465</v>
      </c>
      <c r="Z627" s="40">
        <f t="shared" si="271"/>
        <v>14666.466666666667</v>
      </c>
      <c r="AA627" s="40">
        <f>VLOOKUP(A627,kurspris!$A$1:$Q$913,17,FALSE)</f>
        <v>6000</v>
      </c>
      <c r="AB627" s="40">
        <f t="shared" si="272"/>
        <v>1600</v>
      </c>
      <c r="AC627" s="40">
        <f t="shared" si="273"/>
        <v>16266.466666666667</v>
      </c>
      <c r="AD627" s="31">
        <f>VLOOKUP($A627,kurspris!$A$1:$Q$950,3,FALSE)</f>
        <v>0</v>
      </c>
      <c r="AE627" s="31">
        <f>VLOOKUP($A627,kurspris!$A$1:$Q$950,4,FALSE)</f>
        <v>0</v>
      </c>
      <c r="AF627" s="31">
        <f>VLOOKUP($A627,kurspris!$A$1:$Q$950,5,FALSE)</f>
        <v>0</v>
      </c>
      <c r="AG627" s="31">
        <f>VLOOKUP($A627,kurspris!$A$1:$Q$950,6,FALSE)</f>
        <v>1</v>
      </c>
      <c r="AH627" s="31">
        <f>VLOOKUP($A627,kurspris!$A$1:$Q$950,7,FALSE)</f>
        <v>0</v>
      </c>
      <c r="AI627" s="31">
        <f>VLOOKUP($A627,kurspris!$A$1:$Q$950,8,FALSE)</f>
        <v>0</v>
      </c>
      <c r="AJ627" s="31">
        <f>VLOOKUP($A627,kurspris!$A$1:$Q$950,9,FALSE)</f>
        <v>0</v>
      </c>
      <c r="AK627" s="31">
        <f>VLOOKUP($A627,kurspris!$A$1:$Q$950,10,FALSE)</f>
        <v>0</v>
      </c>
      <c r="AL627" s="31">
        <f>VLOOKUP($A627,kurspris!$A$1:$Q$950,11,FALSE)</f>
        <v>0</v>
      </c>
      <c r="AM627" s="31">
        <f>VLOOKUP($A627,kurspris!$A$1:$Q$950,12,FALSE)</f>
        <v>0</v>
      </c>
      <c r="AN627" s="31">
        <f>VLOOKUP($A627,kurspris!$A$1:$Q$950,13,FALSE)</f>
        <v>0</v>
      </c>
      <c r="AO627" s="31">
        <f>VLOOKUP($A627,kurspris!$A$1:$Q$950,14,FALSE)</f>
        <v>0</v>
      </c>
      <c r="AP627" s="57" t="s">
        <v>2506</v>
      </c>
      <c r="AQ627"/>
      <c r="AR627" s="31">
        <f t="shared" si="274"/>
        <v>0</v>
      </c>
      <c r="AS627" s="219">
        <f t="shared" si="275"/>
        <v>0</v>
      </c>
      <c r="AT627" s="31">
        <f t="shared" si="276"/>
        <v>0</v>
      </c>
      <c r="AU627" s="219">
        <f t="shared" si="277"/>
        <v>0</v>
      </c>
      <c r="AV627" s="31">
        <f t="shared" si="278"/>
        <v>0</v>
      </c>
      <c r="AW627" s="31">
        <f t="shared" si="279"/>
        <v>0</v>
      </c>
      <c r="AX627" s="31">
        <f t="shared" si="280"/>
        <v>0.26666666666666666</v>
      </c>
      <c r="AY627" s="219">
        <f t="shared" si="281"/>
        <v>0.22666666666666666</v>
      </c>
      <c r="AZ627" s="196">
        <f t="shared" si="282"/>
        <v>0</v>
      </c>
      <c r="BA627" s="219">
        <f t="shared" si="283"/>
        <v>0</v>
      </c>
      <c r="BB627" s="31">
        <f t="shared" si="284"/>
        <v>0</v>
      </c>
      <c r="BC627" s="219">
        <f t="shared" si="285"/>
        <v>0</v>
      </c>
      <c r="BD627" s="31">
        <f t="shared" si="286"/>
        <v>0</v>
      </c>
      <c r="BE627" s="219">
        <f t="shared" si="287"/>
        <v>0</v>
      </c>
      <c r="BF627" s="31">
        <f t="shared" si="288"/>
        <v>0</v>
      </c>
      <c r="BG627" s="219">
        <f t="shared" si="289"/>
        <v>0</v>
      </c>
      <c r="BH627" s="31">
        <f t="shared" si="290"/>
        <v>0</v>
      </c>
      <c r="BI627" s="219">
        <f t="shared" si="291"/>
        <v>0</v>
      </c>
      <c r="BJ627" s="31">
        <f t="shared" si="292"/>
        <v>0</v>
      </c>
      <c r="BK627" s="219">
        <f t="shared" si="293"/>
        <v>0</v>
      </c>
      <c r="BL627" s="31">
        <f t="shared" si="294"/>
        <v>0</v>
      </c>
      <c r="BM627" s="219">
        <f t="shared" si="295"/>
        <v>0</v>
      </c>
      <c r="BN627" s="31">
        <f t="shared" si="296"/>
        <v>0</v>
      </c>
      <c r="BO627" s="219">
        <f t="shared" si="297"/>
        <v>0</v>
      </c>
    </row>
    <row r="628" spans="1:67" x14ac:dyDescent="0.25">
      <c r="A628" s="31" t="s">
        <v>1642</v>
      </c>
      <c r="B628" s="176" t="str">
        <f>VLOOKUP(A628,kurspris!$A$1:$B$992,2,FALSE)</f>
        <v>Utbildningsvetenskap, undervisning och lärande - Ämneslärarprogrammet (UK)</v>
      </c>
      <c r="D628" s="60" t="s">
        <v>482</v>
      </c>
      <c r="E628" s="576" t="s">
        <v>2434</v>
      </c>
      <c r="F628" s="31" t="s">
        <v>2273</v>
      </c>
      <c r="G628" t="s">
        <v>2448</v>
      </c>
      <c r="H628" t="s">
        <v>2335</v>
      </c>
      <c r="J628" s="31" t="s">
        <v>2242</v>
      </c>
      <c r="L628" s="38">
        <v>1</v>
      </c>
      <c r="M628">
        <v>8</v>
      </c>
      <c r="P628" s="31">
        <v>12</v>
      </c>
      <c r="Q628" s="196">
        <f t="shared" si="299"/>
        <v>1.6</v>
      </c>
      <c r="R628" s="38">
        <v>0.85</v>
      </c>
      <c r="S628" s="280">
        <f t="shared" si="270"/>
        <v>1.36</v>
      </c>
      <c r="T628" s="31">
        <f>VLOOKUP(A628,'Ansvar kurs'!$A$1:$C$1123,2,FALSE)</f>
        <v>2180</v>
      </c>
      <c r="U628" s="31" t="str">
        <f>VLOOKUP(T628,Orgenheter!$A$1:$C$166,2,FALSE)</f>
        <v xml:space="preserve">Pedagogik                     </v>
      </c>
      <c r="V628" s="31" t="str">
        <f>VLOOKUP(T628,Orgenheter!$A$1:$C$166,3,FALSE)</f>
        <v>Sam</v>
      </c>
      <c r="W628" s="35" t="str">
        <f>VLOOKUP(D628,Program!$A$1:$B$36,2,FALSE)</f>
        <v>Ämneslärarprogrammet - Gy</v>
      </c>
      <c r="X628" s="40">
        <f>VLOOKUP(A628,kurspris!$A$1:$Q$913,15,FALSE)</f>
        <v>26554</v>
      </c>
      <c r="Y628" s="40">
        <f>VLOOKUP(A628,kurspris!$A$1:$Q$913,16,FALSE)</f>
        <v>33465</v>
      </c>
      <c r="Z628" s="40">
        <f t="shared" si="271"/>
        <v>87998.8</v>
      </c>
      <c r="AA628" s="40">
        <f>VLOOKUP(A628,kurspris!$A$1:$Q$913,17,FALSE)</f>
        <v>6000</v>
      </c>
      <c r="AB628" s="40">
        <f t="shared" si="272"/>
        <v>9600</v>
      </c>
      <c r="AC628" s="40">
        <f t="shared" si="273"/>
        <v>97598.8</v>
      </c>
      <c r="AD628" s="31">
        <f>VLOOKUP($A628,kurspris!$A$1:$Q$950,3,FALSE)</f>
        <v>0</v>
      </c>
      <c r="AE628" s="31">
        <f>VLOOKUP($A628,kurspris!$A$1:$Q$950,4,FALSE)</f>
        <v>0</v>
      </c>
      <c r="AF628" s="31">
        <f>VLOOKUP($A628,kurspris!$A$1:$Q$950,5,FALSE)</f>
        <v>0</v>
      </c>
      <c r="AG628" s="31">
        <f>VLOOKUP($A628,kurspris!$A$1:$Q$950,6,FALSE)</f>
        <v>1</v>
      </c>
      <c r="AH628" s="31">
        <f>VLOOKUP($A628,kurspris!$A$1:$Q$950,7,FALSE)</f>
        <v>0</v>
      </c>
      <c r="AI628" s="31">
        <f>VLOOKUP($A628,kurspris!$A$1:$Q$950,8,FALSE)</f>
        <v>0</v>
      </c>
      <c r="AJ628" s="31">
        <f>VLOOKUP($A628,kurspris!$A$1:$Q$950,9,FALSE)</f>
        <v>0</v>
      </c>
      <c r="AK628" s="31">
        <f>VLOOKUP($A628,kurspris!$A$1:$Q$950,10,FALSE)</f>
        <v>0</v>
      </c>
      <c r="AL628" s="31">
        <f>VLOOKUP($A628,kurspris!$A$1:$Q$950,11,FALSE)</f>
        <v>0</v>
      </c>
      <c r="AM628" s="31">
        <f>VLOOKUP($A628,kurspris!$A$1:$Q$950,12,FALSE)</f>
        <v>0</v>
      </c>
      <c r="AN628" s="31">
        <f>VLOOKUP($A628,kurspris!$A$1:$Q$950,13,FALSE)</f>
        <v>0</v>
      </c>
      <c r="AO628" s="31">
        <f>VLOOKUP($A628,kurspris!$A$1:$Q$950,14,FALSE)</f>
        <v>0</v>
      </c>
      <c r="AP628" s="57" t="s">
        <v>2506</v>
      </c>
      <c r="AQ628"/>
      <c r="AR628" s="31">
        <f t="shared" si="274"/>
        <v>0</v>
      </c>
      <c r="AS628" s="219">
        <f t="shared" si="275"/>
        <v>0</v>
      </c>
      <c r="AT628" s="31">
        <f t="shared" si="276"/>
        <v>0</v>
      </c>
      <c r="AU628" s="219">
        <f t="shared" si="277"/>
        <v>0</v>
      </c>
      <c r="AV628" s="31">
        <f t="shared" si="278"/>
        <v>0</v>
      </c>
      <c r="AW628" s="31">
        <f t="shared" si="279"/>
        <v>0</v>
      </c>
      <c r="AX628" s="31">
        <f t="shared" si="280"/>
        <v>1.6</v>
      </c>
      <c r="AY628" s="219">
        <f t="shared" si="281"/>
        <v>1.36</v>
      </c>
      <c r="AZ628" s="196">
        <f t="shared" si="282"/>
        <v>0</v>
      </c>
      <c r="BA628" s="219">
        <f t="shared" si="283"/>
        <v>0</v>
      </c>
      <c r="BB628" s="31">
        <f t="shared" si="284"/>
        <v>0</v>
      </c>
      <c r="BC628" s="219">
        <f t="shared" si="285"/>
        <v>0</v>
      </c>
      <c r="BD628" s="31">
        <f t="shared" si="286"/>
        <v>0</v>
      </c>
      <c r="BE628" s="219">
        <f t="shared" si="287"/>
        <v>0</v>
      </c>
      <c r="BF628" s="31">
        <f t="shared" si="288"/>
        <v>0</v>
      </c>
      <c r="BG628" s="219">
        <f t="shared" si="289"/>
        <v>0</v>
      </c>
      <c r="BH628" s="31">
        <f t="shared" si="290"/>
        <v>0</v>
      </c>
      <c r="BI628" s="219">
        <f t="shared" si="291"/>
        <v>0</v>
      </c>
      <c r="BJ628" s="31">
        <f t="shared" si="292"/>
        <v>0</v>
      </c>
      <c r="BK628" s="219">
        <f t="shared" si="293"/>
        <v>0</v>
      </c>
      <c r="BL628" s="31">
        <f t="shared" si="294"/>
        <v>0</v>
      </c>
      <c r="BM628" s="219">
        <f t="shared" si="295"/>
        <v>0</v>
      </c>
      <c r="BN628" s="31">
        <f t="shared" si="296"/>
        <v>0</v>
      </c>
      <c r="BO628" s="219">
        <f t="shared" si="297"/>
        <v>0</v>
      </c>
    </row>
    <row r="629" spans="1:67" x14ac:dyDescent="0.25">
      <c r="A629" s="31" t="s">
        <v>1642</v>
      </c>
      <c r="B629" s="176" t="str">
        <f>VLOOKUP(A629,kurspris!$A$1:$B$992,2,FALSE)</f>
        <v>Utbildningsvetenskap, undervisning och lärande - Ämneslärarprogrammet (UK)</v>
      </c>
      <c r="D629" s="60" t="s">
        <v>482</v>
      </c>
      <c r="E629" s="576" t="s">
        <v>2434</v>
      </c>
      <c r="F629" s="31" t="s">
        <v>2273</v>
      </c>
      <c r="G629" t="s">
        <v>2448</v>
      </c>
      <c r="H629" t="s">
        <v>2335</v>
      </c>
      <c r="J629" s="31" t="s">
        <v>2240</v>
      </c>
      <c r="L629" s="38">
        <v>1</v>
      </c>
      <c r="M629">
        <v>8</v>
      </c>
      <c r="P629" s="31">
        <v>8</v>
      </c>
      <c r="Q629" s="196">
        <f t="shared" si="299"/>
        <v>1.0666666666666667</v>
      </c>
      <c r="R629" s="38">
        <v>0.85</v>
      </c>
      <c r="S629" s="280">
        <f t="shared" si="270"/>
        <v>0.90666666666666662</v>
      </c>
      <c r="T629" s="31">
        <f>VLOOKUP(A629,'Ansvar kurs'!$A$1:$C$1123,2,FALSE)</f>
        <v>2180</v>
      </c>
      <c r="U629" s="31" t="str">
        <f>VLOOKUP(T629,Orgenheter!$A$1:$C$166,2,FALSE)</f>
        <v xml:space="preserve">Pedagogik                     </v>
      </c>
      <c r="V629" s="31" t="str">
        <f>VLOOKUP(T629,Orgenheter!$A$1:$C$166,3,FALSE)</f>
        <v>Sam</v>
      </c>
      <c r="W629" s="35" t="str">
        <f>VLOOKUP(D629,Program!$A$1:$B$36,2,FALSE)</f>
        <v>Ämneslärarprogrammet - Gy</v>
      </c>
      <c r="X629" s="40">
        <f>VLOOKUP(A629,kurspris!$A$1:$Q$913,15,FALSE)</f>
        <v>26554</v>
      </c>
      <c r="Y629" s="40">
        <f>VLOOKUP(A629,kurspris!$A$1:$Q$913,16,FALSE)</f>
        <v>33465</v>
      </c>
      <c r="Z629" s="40">
        <f t="shared" si="271"/>
        <v>58665.866666666669</v>
      </c>
      <c r="AA629" s="40">
        <f>VLOOKUP(A629,kurspris!$A$1:$Q$913,17,FALSE)</f>
        <v>6000</v>
      </c>
      <c r="AB629" s="40">
        <f t="shared" si="272"/>
        <v>6400</v>
      </c>
      <c r="AC629" s="40">
        <f t="shared" si="273"/>
        <v>65065.866666666669</v>
      </c>
      <c r="AD629" s="31">
        <f>VLOOKUP($A629,kurspris!$A$1:$Q$950,3,FALSE)</f>
        <v>0</v>
      </c>
      <c r="AE629" s="31">
        <f>VLOOKUP($A629,kurspris!$A$1:$Q$950,4,FALSE)</f>
        <v>0</v>
      </c>
      <c r="AF629" s="31">
        <f>VLOOKUP($A629,kurspris!$A$1:$Q$950,5,FALSE)</f>
        <v>0</v>
      </c>
      <c r="AG629" s="31">
        <f>VLOOKUP($A629,kurspris!$A$1:$Q$950,6,FALSE)</f>
        <v>1</v>
      </c>
      <c r="AH629" s="31">
        <f>VLOOKUP($A629,kurspris!$A$1:$Q$950,7,FALSE)</f>
        <v>0</v>
      </c>
      <c r="AI629" s="31">
        <f>VLOOKUP($A629,kurspris!$A$1:$Q$950,8,FALSE)</f>
        <v>0</v>
      </c>
      <c r="AJ629" s="31">
        <f>VLOOKUP($A629,kurspris!$A$1:$Q$950,9,FALSE)</f>
        <v>0</v>
      </c>
      <c r="AK629" s="31">
        <f>VLOOKUP($A629,kurspris!$A$1:$Q$950,10,FALSE)</f>
        <v>0</v>
      </c>
      <c r="AL629" s="31">
        <f>VLOOKUP($A629,kurspris!$A$1:$Q$950,11,FALSE)</f>
        <v>0</v>
      </c>
      <c r="AM629" s="31">
        <f>VLOOKUP($A629,kurspris!$A$1:$Q$950,12,FALSE)</f>
        <v>0</v>
      </c>
      <c r="AN629" s="31">
        <f>VLOOKUP($A629,kurspris!$A$1:$Q$950,13,FALSE)</f>
        <v>0</v>
      </c>
      <c r="AO629" s="31">
        <f>VLOOKUP($A629,kurspris!$A$1:$Q$950,14,FALSE)</f>
        <v>0</v>
      </c>
      <c r="AP629" s="57" t="s">
        <v>2506</v>
      </c>
      <c r="AQ629"/>
      <c r="AR629" s="31">
        <f t="shared" si="274"/>
        <v>0</v>
      </c>
      <c r="AS629" s="219">
        <f t="shared" si="275"/>
        <v>0</v>
      </c>
      <c r="AT629" s="31">
        <f t="shared" si="276"/>
        <v>0</v>
      </c>
      <c r="AU629" s="219">
        <f t="shared" si="277"/>
        <v>0</v>
      </c>
      <c r="AV629" s="31">
        <f t="shared" si="278"/>
        <v>0</v>
      </c>
      <c r="AW629" s="31">
        <f t="shared" si="279"/>
        <v>0</v>
      </c>
      <c r="AX629" s="31">
        <f t="shared" si="280"/>
        <v>1.0666666666666667</v>
      </c>
      <c r="AY629" s="219">
        <f t="shared" si="281"/>
        <v>0.90666666666666662</v>
      </c>
      <c r="AZ629" s="196">
        <f t="shared" si="282"/>
        <v>0</v>
      </c>
      <c r="BA629" s="219">
        <f t="shared" si="283"/>
        <v>0</v>
      </c>
      <c r="BB629" s="31">
        <f t="shared" si="284"/>
        <v>0</v>
      </c>
      <c r="BC629" s="219">
        <f t="shared" si="285"/>
        <v>0</v>
      </c>
      <c r="BD629" s="31">
        <f t="shared" si="286"/>
        <v>0</v>
      </c>
      <c r="BE629" s="219">
        <f t="shared" si="287"/>
        <v>0</v>
      </c>
      <c r="BF629" s="31">
        <f t="shared" si="288"/>
        <v>0</v>
      </c>
      <c r="BG629" s="219">
        <f t="shared" si="289"/>
        <v>0</v>
      </c>
      <c r="BH629" s="31">
        <f t="shared" si="290"/>
        <v>0</v>
      </c>
      <c r="BI629" s="219">
        <f t="shared" si="291"/>
        <v>0</v>
      </c>
      <c r="BJ629" s="31">
        <f t="shared" si="292"/>
        <v>0</v>
      </c>
      <c r="BK629" s="219">
        <f t="shared" si="293"/>
        <v>0</v>
      </c>
      <c r="BL629" s="31">
        <f t="shared" si="294"/>
        <v>0</v>
      </c>
      <c r="BM629" s="219">
        <f t="shared" si="295"/>
        <v>0</v>
      </c>
      <c r="BN629" s="31">
        <f t="shared" si="296"/>
        <v>0</v>
      </c>
      <c r="BO629" s="219">
        <f t="shared" si="297"/>
        <v>0</v>
      </c>
    </row>
    <row r="630" spans="1:67" x14ac:dyDescent="0.25">
      <c r="A630" s="31" t="s">
        <v>1642</v>
      </c>
      <c r="B630" s="176" t="str">
        <f>VLOOKUP(A630,kurspris!$A$1:$B$992,2,FALSE)</f>
        <v>Utbildningsvetenskap, undervisning och lärande - Ämneslärarprogrammet (UK)</v>
      </c>
      <c r="D630" s="60" t="s">
        <v>482</v>
      </c>
      <c r="E630" s="576" t="s">
        <v>2434</v>
      </c>
      <c r="F630" s="31" t="s">
        <v>2273</v>
      </c>
      <c r="G630" t="s">
        <v>2448</v>
      </c>
      <c r="H630" t="s">
        <v>2335</v>
      </c>
      <c r="J630" s="31" t="s">
        <v>2248</v>
      </c>
      <c r="L630" s="38">
        <v>1</v>
      </c>
      <c r="M630">
        <v>8</v>
      </c>
      <c r="P630" s="31">
        <v>2</v>
      </c>
      <c r="Q630" s="196">
        <f t="shared" si="299"/>
        <v>0.26666666666666666</v>
      </c>
      <c r="R630" s="38">
        <v>0.85</v>
      </c>
      <c r="S630" s="280">
        <f t="shared" si="270"/>
        <v>0.22666666666666666</v>
      </c>
      <c r="T630" s="31">
        <f>VLOOKUP(A630,'Ansvar kurs'!$A$1:$C$1123,2,FALSE)</f>
        <v>2180</v>
      </c>
      <c r="U630" s="31" t="str">
        <f>VLOOKUP(T630,Orgenheter!$A$1:$C$166,2,FALSE)</f>
        <v xml:space="preserve">Pedagogik                     </v>
      </c>
      <c r="V630" s="31" t="str">
        <f>VLOOKUP(T630,Orgenheter!$A$1:$C$166,3,FALSE)</f>
        <v>Sam</v>
      </c>
      <c r="W630" s="35" t="str">
        <f>VLOOKUP(D630,Program!$A$1:$B$36,2,FALSE)</f>
        <v>Ämneslärarprogrammet - Gy</v>
      </c>
      <c r="X630" s="40">
        <f>VLOOKUP(A630,kurspris!$A$1:$Q$913,15,FALSE)</f>
        <v>26554</v>
      </c>
      <c r="Y630" s="40">
        <f>VLOOKUP(A630,kurspris!$A$1:$Q$913,16,FALSE)</f>
        <v>33465</v>
      </c>
      <c r="Z630" s="40">
        <f t="shared" si="271"/>
        <v>14666.466666666667</v>
      </c>
      <c r="AA630" s="40">
        <f>VLOOKUP(A630,kurspris!$A$1:$Q$913,17,FALSE)</f>
        <v>6000</v>
      </c>
      <c r="AB630" s="40">
        <f t="shared" si="272"/>
        <v>1600</v>
      </c>
      <c r="AC630" s="40">
        <f t="shared" si="273"/>
        <v>16266.466666666667</v>
      </c>
      <c r="AD630" s="31">
        <f>VLOOKUP($A630,kurspris!$A$1:$Q$950,3,FALSE)</f>
        <v>0</v>
      </c>
      <c r="AE630" s="31">
        <f>VLOOKUP($A630,kurspris!$A$1:$Q$950,4,FALSE)</f>
        <v>0</v>
      </c>
      <c r="AF630" s="31">
        <f>VLOOKUP($A630,kurspris!$A$1:$Q$950,5,FALSE)</f>
        <v>0</v>
      </c>
      <c r="AG630" s="31">
        <f>VLOOKUP($A630,kurspris!$A$1:$Q$950,6,FALSE)</f>
        <v>1</v>
      </c>
      <c r="AH630" s="31">
        <f>VLOOKUP($A630,kurspris!$A$1:$Q$950,7,FALSE)</f>
        <v>0</v>
      </c>
      <c r="AI630" s="31">
        <f>VLOOKUP($A630,kurspris!$A$1:$Q$950,8,FALSE)</f>
        <v>0</v>
      </c>
      <c r="AJ630" s="31">
        <f>VLOOKUP($A630,kurspris!$A$1:$Q$950,9,FALSE)</f>
        <v>0</v>
      </c>
      <c r="AK630" s="31">
        <f>VLOOKUP($A630,kurspris!$A$1:$Q$950,10,FALSE)</f>
        <v>0</v>
      </c>
      <c r="AL630" s="31">
        <f>VLOOKUP($A630,kurspris!$A$1:$Q$950,11,FALSE)</f>
        <v>0</v>
      </c>
      <c r="AM630" s="31">
        <f>VLOOKUP($A630,kurspris!$A$1:$Q$950,12,FALSE)</f>
        <v>0</v>
      </c>
      <c r="AN630" s="31">
        <f>VLOOKUP($A630,kurspris!$A$1:$Q$950,13,FALSE)</f>
        <v>0</v>
      </c>
      <c r="AO630" s="31">
        <f>VLOOKUP($A630,kurspris!$A$1:$Q$950,14,FALSE)</f>
        <v>0</v>
      </c>
      <c r="AP630" s="57" t="s">
        <v>2506</v>
      </c>
      <c r="AQ630"/>
      <c r="AR630" s="31">
        <f t="shared" si="274"/>
        <v>0</v>
      </c>
      <c r="AS630" s="219">
        <f t="shared" si="275"/>
        <v>0</v>
      </c>
      <c r="AT630" s="31">
        <f t="shared" si="276"/>
        <v>0</v>
      </c>
      <c r="AU630" s="219">
        <f t="shared" si="277"/>
        <v>0</v>
      </c>
      <c r="AV630" s="31">
        <f t="shared" si="278"/>
        <v>0</v>
      </c>
      <c r="AW630" s="31">
        <f t="shared" si="279"/>
        <v>0</v>
      </c>
      <c r="AX630" s="31">
        <f t="shared" si="280"/>
        <v>0.26666666666666666</v>
      </c>
      <c r="AY630" s="219">
        <f t="shared" si="281"/>
        <v>0.22666666666666666</v>
      </c>
      <c r="AZ630" s="196">
        <f t="shared" si="282"/>
        <v>0</v>
      </c>
      <c r="BA630" s="219">
        <f t="shared" si="283"/>
        <v>0</v>
      </c>
      <c r="BB630" s="31">
        <f t="shared" si="284"/>
        <v>0</v>
      </c>
      <c r="BC630" s="219">
        <f t="shared" si="285"/>
        <v>0</v>
      </c>
      <c r="BD630" s="31">
        <f t="shared" si="286"/>
        <v>0</v>
      </c>
      <c r="BE630" s="219">
        <f t="shared" si="287"/>
        <v>0</v>
      </c>
      <c r="BF630" s="31">
        <f t="shared" si="288"/>
        <v>0</v>
      </c>
      <c r="BG630" s="219">
        <f t="shared" si="289"/>
        <v>0</v>
      </c>
      <c r="BH630" s="31">
        <f t="shared" si="290"/>
        <v>0</v>
      </c>
      <c r="BI630" s="219">
        <f t="shared" si="291"/>
        <v>0</v>
      </c>
      <c r="BJ630" s="31">
        <f t="shared" si="292"/>
        <v>0</v>
      </c>
      <c r="BK630" s="219">
        <f t="shared" si="293"/>
        <v>0</v>
      </c>
      <c r="BL630" s="31">
        <f t="shared" si="294"/>
        <v>0</v>
      </c>
      <c r="BM630" s="219">
        <f t="shared" si="295"/>
        <v>0</v>
      </c>
      <c r="BN630" s="31">
        <f t="shared" si="296"/>
        <v>0</v>
      </c>
      <c r="BO630" s="219">
        <f t="shared" si="297"/>
        <v>0</v>
      </c>
    </row>
    <row r="631" spans="1:67" x14ac:dyDescent="0.25">
      <c r="A631" s="31" t="s">
        <v>1642</v>
      </c>
      <c r="B631" s="176" t="str">
        <f>VLOOKUP(A631,kurspris!$A$1:$B$992,2,FALSE)</f>
        <v>Utbildningsvetenskap, undervisning och lärande - Ämneslärarprogrammet (UK)</v>
      </c>
      <c r="D631" s="60" t="s">
        <v>482</v>
      </c>
      <c r="E631" s="576" t="s">
        <v>2434</v>
      </c>
      <c r="F631" s="31" t="s">
        <v>2273</v>
      </c>
      <c r="G631" t="s">
        <v>2448</v>
      </c>
      <c r="H631" t="s">
        <v>2335</v>
      </c>
      <c r="J631" s="31" t="s">
        <v>2246</v>
      </c>
      <c r="L631" s="38">
        <v>1</v>
      </c>
      <c r="M631">
        <v>8</v>
      </c>
      <c r="P631" s="31">
        <v>1</v>
      </c>
      <c r="Q631" s="196">
        <f t="shared" si="299"/>
        <v>0.13333333333333333</v>
      </c>
      <c r="R631" s="38">
        <v>0.85</v>
      </c>
      <c r="S631" s="280">
        <f t="shared" si="270"/>
        <v>0.11333333333333333</v>
      </c>
      <c r="T631" s="31">
        <f>VLOOKUP(A631,'Ansvar kurs'!$A$1:$C$1123,2,FALSE)</f>
        <v>2180</v>
      </c>
      <c r="U631" s="31" t="str">
        <f>VLOOKUP(T631,Orgenheter!$A$1:$C$166,2,FALSE)</f>
        <v xml:space="preserve">Pedagogik                     </v>
      </c>
      <c r="V631" s="31" t="str">
        <f>VLOOKUP(T631,Orgenheter!$A$1:$C$166,3,FALSE)</f>
        <v>Sam</v>
      </c>
      <c r="W631" s="35" t="str">
        <f>VLOOKUP(D631,Program!$A$1:$B$36,2,FALSE)</f>
        <v>Ämneslärarprogrammet - Gy</v>
      </c>
      <c r="X631" s="40">
        <f>VLOOKUP(A631,kurspris!$A$1:$Q$913,15,FALSE)</f>
        <v>26554</v>
      </c>
      <c r="Y631" s="40">
        <f>VLOOKUP(A631,kurspris!$A$1:$Q$913,16,FALSE)</f>
        <v>33465</v>
      </c>
      <c r="Z631" s="40">
        <f t="shared" si="271"/>
        <v>7333.2333333333336</v>
      </c>
      <c r="AA631" s="40">
        <f>VLOOKUP(A631,kurspris!$A$1:$Q$913,17,FALSE)</f>
        <v>6000</v>
      </c>
      <c r="AB631" s="40">
        <f t="shared" si="272"/>
        <v>800</v>
      </c>
      <c r="AC631" s="40">
        <f t="shared" si="273"/>
        <v>8133.2333333333336</v>
      </c>
      <c r="AD631" s="31">
        <f>VLOOKUP($A631,kurspris!$A$1:$Q$950,3,FALSE)</f>
        <v>0</v>
      </c>
      <c r="AE631" s="31">
        <f>VLOOKUP($A631,kurspris!$A$1:$Q$950,4,FALSE)</f>
        <v>0</v>
      </c>
      <c r="AF631" s="31">
        <f>VLOOKUP($A631,kurspris!$A$1:$Q$950,5,FALSE)</f>
        <v>0</v>
      </c>
      <c r="AG631" s="31">
        <f>VLOOKUP($A631,kurspris!$A$1:$Q$950,6,FALSE)</f>
        <v>1</v>
      </c>
      <c r="AH631" s="31">
        <f>VLOOKUP($A631,kurspris!$A$1:$Q$950,7,FALSE)</f>
        <v>0</v>
      </c>
      <c r="AI631" s="31">
        <f>VLOOKUP($A631,kurspris!$A$1:$Q$950,8,FALSE)</f>
        <v>0</v>
      </c>
      <c r="AJ631" s="31">
        <f>VLOOKUP($A631,kurspris!$A$1:$Q$950,9,FALSE)</f>
        <v>0</v>
      </c>
      <c r="AK631" s="31">
        <f>VLOOKUP($A631,kurspris!$A$1:$Q$950,10,FALSE)</f>
        <v>0</v>
      </c>
      <c r="AL631" s="31">
        <f>VLOOKUP($A631,kurspris!$A$1:$Q$950,11,FALSE)</f>
        <v>0</v>
      </c>
      <c r="AM631" s="31">
        <f>VLOOKUP($A631,kurspris!$A$1:$Q$950,12,FALSE)</f>
        <v>0</v>
      </c>
      <c r="AN631" s="31">
        <f>VLOOKUP($A631,kurspris!$A$1:$Q$950,13,FALSE)</f>
        <v>0</v>
      </c>
      <c r="AO631" s="31">
        <f>VLOOKUP($A631,kurspris!$A$1:$Q$950,14,FALSE)</f>
        <v>0</v>
      </c>
      <c r="AP631" s="57" t="s">
        <v>2506</v>
      </c>
      <c r="AQ631"/>
      <c r="AR631" s="31">
        <f t="shared" si="274"/>
        <v>0</v>
      </c>
      <c r="AS631" s="219">
        <f t="shared" si="275"/>
        <v>0</v>
      </c>
      <c r="AT631" s="31">
        <f t="shared" si="276"/>
        <v>0</v>
      </c>
      <c r="AU631" s="219">
        <f t="shared" si="277"/>
        <v>0</v>
      </c>
      <c r="AV631" s="31">
        <f t="shared" si="278"/>
        <v>0</v>
      </c>
      <c r="AW631" s="31">
        <f t="shared" si="279"/>
        <v>0</v>
      </c>
      <c r="AX631" s="31">
        <f t="shared" si="280"/>
        <v>0.13333333333333333</v>
      </c>
      <c r="AY631" s="219">
        <f t="shared" si="281"/>
        <v>0.11333333333333333</v>
      </c>
      <c r="AZ631" s="196">
        <f t="shared" si="282"/>
        <v>0</v>
      </c>
      <c r="BA631" s="219">
        <f t="shared" si="283"/>
        <v>0</v>
      </c>
      <c r="BB631" s="31">
        <f t="shared" si="284"/>
        <v>0</v>
      </c>
      <c r="BC631" s="219">
        <f t="shared" si="285"/>
        <v>0</v>
      </c>
      <c r="BD631" s="31">
        <f t="shared" si="286"/>
        <v>0</v>
      </c>
      <c r="BE631" s="219">
        <f t="shared" si="287"/>
        <v>0</v>
      </c>
      <c r="BF631" s="31">
        <f t="shared" si="288"/>
        <v>0</v>
      </c>
      <c r="BG631" s="219">
        <f t="shared" si="289"/>
        <v>0</v>
      </c>
      <c r="BH631" s="31">
        <f t="shared" si="290"/>
        <v>0</v>
      </c>
      <c r="BI631" s="219">
        <f t="shared" si="291"/>
        <v>0</v>
      </c>
      <c r="BJ631" s="31">
        <f t="shared" si="292"/>
        <v>0</v>
      </c>
      <c r="BK631" s="219">
        <f t="shared" si="293"/>
        <v>0</v>
      </c>
      <c r="BL631" s="31">
        <f t="shared" si="294"/>
        <v>0</v>
      </c>
      <c r="BM631" s="219">
        <f t="shared" si="295"/>
        <v>0</v>
      </c>
      <c r="BN631" s="31">
        <f t="shared" si="296"/>
        <v>0</v>
      </c>
      <c r="BO631" s="219">
        <f t="shared" si="297"/>
        <v>0</v>
      </c>
    </row>
    <row r="632" spans="1:67" x14ac:dyDescent="0.25">
      <c r="A632" s="31" t="s">
        <v>1642</v>
      </c>
      <c r="B632" s="176" t="str">
        <f>VLOOKUP(A632,kurspris!$A$1:$B$992,2,FALSE)</f>
        <v>Utbildningsvetenskap, undervisning och lärande - Ämneslärarprogrammet (UK)</v>
      </c>
      <c r="D632" s="60" t="s">
        <v>482</v>
      </c>
      <c r="E632" s="576" t="s">
        <v>2432</v>
      </c>
      <c r="F632" s="31" t="s">
        <v>2273</v>
      </c>
      <c r="G632" t="s">
        <v>2448</v>
      </c>
      <c r="H632" t="s">
        <v>2335</v>
      </c>
      <c r="J632" s="31" t="s">
        <v>2237</v>
      </c>
      <c r="L632" s="38">
        <v>1</v>
      </c>
      <c r="M632">
        <v>8</v>
      </c>
      <c r="P632" s="31">
        <v>1</v>
      </c>
      <c r="Q632" s="196">
        <f t="shared" si="299"/>
        <v>0.13333333333333333</v>
      </c>
      <c r="R632" s="38">
        <v>0.85</v>
      </c>
      <c r="S632" s="280">
        <f t="shared" si="270"/>
        <v>0.11333333333333333</v>
      </c>
      <c r="T632" s="31">
        <f>VLOOKUP(A632,'Ansvar kurs'!$A$1:$C$1123,2,FALSE)</f>
        <v>2180</v>
      </c>
      <c r="U632" s="31" t="str">
        <f>VLOOKUP(T632,Orgenheter!$A$1:$C$166,2,FALSE)</f>
        <v xml:space="preserve">Pedagogik                     </v>
      </c>
      <c r="V632" s="31" t="str">
        <f>VLOOKUP(T632,Orgenheter!$A$1:$C$166,3,FALSE)</f>
        <v>Sam</v>
      </c>
      <c r="W632" s="35" t="str">
        <f>VLOOKUP(D632,Program!$A$1:$B$36,2,FALSE)</f>
        <v>Ämneslärarprogrammet - Gy</v>
      </c>
      <c r="X632" s="40">
        <f>VLOOKUP(A632,kurspris!$A$1:$Q$913,15,FALSE)</f>
        <v>26554</v>
      </c>
      <c r="Y632" s="40">
        <f>VLOOKUP(A632,kurspris!$A$1:$Q$913,16,FALSE)</f>
        <v>33465</v>
      </c>
      <c r="Z632" s="40">
        <f t="shared" si="271"/>
        <v>7333.2333333333336</v>
      </c>
      <c r="AA632" s="40">
        <f>VLOOKUP(A632,kurspris!$A$1:$Q$913,17,FALSE)</f>
        <v>6000</v>
      </c>
      <c r="AB632" s="40">
        <f t="shared" si="272"/>
        <v>800</v>
      </c>
      <c r="AC632" s="40">
        <f t="shared" si="273"/>
        <v>8133.2333333333336</v>
      </c>
      <c r="AD632" s="31">
        <f>VLOOKUP($A632,kurspris!$A$1:$Q$950,3,FALSE)</f>
        <v>0</v>
      </c>
      <c r="AE632" s="31">
        <f>VLOOKUP($A632,kurspris!$A$1:$Q$950,4,FALSE)</f>
        <v>0</v>
      </c>
      <c r="AF632" s="31">
        <f>VLOOKUP($A632,kurspris!$A$1:$Q$950,5,FALSE)</f>
        <v>0</v>
      </c>
      <c r="AG632" s="31">
        <f>VLOOKUP($A632,kurspris!$A$1:$Q$950,6,FALSE)</f>
        <v>1</v>
      </c>
      <c r="AH632" s="31">
        <f>VLOOKUP($A632,kurspris!$A$1:$Q$950,7,FALSE)</f>
        <v>0</v>
      </c>
      <c r="AI632" s="31">
        <f>VLOOKUP($A632,kurspris!$A$1:$Q$950,8,FALSE)</f>
        <v>0</v>
      </c>
      <c r="AJ632" s="31">
        <f>VLOOKUP($A632,kurspris!$A$1:$Q$950,9,FALSE)</f>
        <v>0</v>
      </c>
      <c r="AK632" s="31">
        <f>VLOOKUP($A632,kurspris!$A$1:$Q$950,10,FALSE)</f>
        <v>0</v>
      </c>
      <c r="AL632" s="31">
        <f>VLOOKUP($A632,kurspris!$A$1:$Q$950,11,FALSE)</f>
        <v>0</v>
      </c>
      <c r="AM632" s="31">
        <f>VLOOKUP($A632,kurspris!$A$1:$Q$950,12,FALSE)</f>
        <v>0</v>
      </c>
      <c r="AN632" s="31">
        <f>VLOOKUP($A632,kurspris!$A$1:$Q$950,13,FALSE)</f>
        <v>0</v>
      </c>
      <c r="AO632" s="31">
        <f>VLOOKUP($A632,kurspris!$A$1:$Q$950,14,FALSE)</f>
        <v>0</v>
      </c>
      <c r="AP632" s="57" t="s">
        <v>2506</v>
      </c>
      <c r="AQ632"/>
      <c r="AR632" s="31">
        <f t="shared" si="274"/>
        <v>0</v>
      </c>
      <c r="AS632" s="219">
        <f t="shared" si="275"/>
        <v>0</v>
      </c>
      <c r="AT632" s="31">
        <f t="shared" si="276"/>
        <v>0</v>
      </c>
      <c r="AU632" s="219">
        <f t="shared" si="277"/>
        <v>0</v>
      </c>
      <c r="AV632" s="31">
        <f t="shared" si="278"/>
        <v>0</v>
      </c>
      <c r="AW632" s="31">
        <f t="shared" si="279"/>
        <v>0</v>
      </c>
      <c r="AX632" s="31">
        <f t="shared" si="280"/>
        <v>0.13333333333333333</v>
      </c>
      <c r="AY632" s="219">
        <f t="shared" si="281"/>
        <v>0.11333333333333333</v>
      </c>
      <c r="AZ632" s="196">
        <f t="shared" si="282"/>
        <v>0</v>
      </c>
      <c r="BA632" s="219">
        <f t="shared" si="283"/>
        <v>0</v>
      </c>
      <c r="BB632" s="31">
        <f t="shared" si="284"/>
        <v>0</v>
      </c>
      <c r="BC632" s="219">
        <f t="shared" si="285"/>
        <v>0</v>
      </c>
      <c r="BD632" s="31">
        <f t="shared" si="286"/>
        <v>0</v>
      </c>
      <c r="BE632" s="219">
        <f t="shared" si="287"/>
        <v>0</v>
      </c>
      <c r="BF632" s="31">
        <f t="shared" si="288"/>
        <v>0</v>
      </c>
      <c r="BG632" s="219">
        <f t="shared" si="289"/>
        <v>0</v>
      </c>
      <c r="BH632" s="31">
        <f t="shared" si="290"/>
        <v>0</v>
      </c>
      <c r="BI632" s="219">
        <f t="shared" si="291"/>
        <v>0</v>
      </c>
      <c r="BJ632" s="31">
        <f t="shared" si="292"/>
        <v>0</v>
      </c>
      <c r="BK632" s="219">
        <f t="shared" si="293"/>
        <v>0</v>
      </c>
      <c r="BL632" s="31">
        <f t="shared" si="294"/>
        <v>0</v>
      </c>
      <c r="BM632" s="219">
        <f t="shared" si="295"/>
        <v>0</v>
      </c>
      <c r="BN632" s="31">
        <f t="shared" si="296"/>
        <v>0</v>
      </c>
      <c r="BO632" s="219">
        <f t="shared" si="297"/>
        <v>0</v>
      </c>
    </row>
    <row r="633" spans="1:67" x14ac:dyDescent="0.25">
      <c r="A633" s="31" t="s">
        <v>1642</v>
      </c>
      <c r="B633" s="176" t="str">
        <f>VLOOKUP(A633,kurspris!$A$1:$B$992,2,FALSE)</f>
        <v>Utbildningsvetenskap, undervisning och lärande - Ämneslärarprogrammet (UK)</v>
      </c>
      <c r="D633" s="60" t="s">
        <v>482</v>
      </c>
      <c r="E633" s="576" t="s">
        <v>2430</v>
      </c>
      <c r="F633" s="31" t="s">
        <v>2273</v>
      </c>
      <c r="G633" t="s">
        <v>2448</v>
      </c>
      <c r="H633" t="s">
        <v>2335</v>
      </c>
      <c r="J633" s="31" t="s">
        <v>2241</v>
      </c>
      <c r="L633" s="38">
        <v>1</v>
      </c>
      <c r="M633">
        <v>8</v>
      </c>
      <c r="P633" s="31">
        <v>1</v>
      </c>
      <c r="Q633" s="196">
        <f t="shared" si="299"/>
        <v>0.13333333333333333</v>
      </c>
      <c r="R633" s="38">
        <v>0.85</v>
      </c>
      <c r="S633" s="280">
        <f t="shared" si="270"/>
        <v>0.11333333333333333</v>
      </c>
      <c r="T633" s="31">
        <f>VLOOKUP(A633,'Ansvar kurs'!$A$1:$C$1123,2,FALSE)</f>
        <v>2180</v>
      </c>
      <c r="U633" s="31" t="str">
        <f>VLOOKUP(T633,Orgenheter!$A$1:$C$166,2,FALSE)</f>
        <v xml:space="preserve">Pedagogik                     </v>
      </c>
      <c r="V633" s="31" t="str">
        <f>VLOOKUP(T633,Orgenheter!$A$1:$C$166,3,FALSE)</f>
        <v>Sam</v>
      </c>
      <c r="W633" s="35" t="str">
        <f>VLOOKUP(D633,Program!$A$1:$B$36,2,FALSE)</f>
        <v>Ämneslärarprogrammet - Gy</v>
      </c>
      <c r="X633" s="40">
        <f>VLOOKUP(A633,kurspris!$A$1:$Q$913,15,FALSE)</f>
        <v>26554</v>
      </c>
      <c r="Y633" s="40">
        <f>VLOOKUP(A633,kurspris!$A$1:$Q$913,16,FALSE)</f>
        <v>33465</v>
      </c>
      <c r="Z633" s="40">
        <f t="shared" si="271"/>
        <v>7333.2333333333336</v>
      </c>
      <c r="AA633" s="40">
        <f>VLOOKUP(A633,kurspris!$A$1:$Q$913,17,FALSE)</f>
        <v>6000</v>
      </c>
      <c r="AB633" s="40">
        <f t="shared" si="272"/>
        <v>800</v>
      </c>
      <c r="AC633" s="40">
        <f t="shared" si="273"/>
        <v>8133.2333333333336</v>
      </c>
      <c r="AD633" s="31">
        <f>VLOOKUP($A633,kurspris!$A$1:$Q$950,3,FALSE)</f>
        <v>0</v>
      </c>
      <c r="AE633" s="31">
        <f>VLOOKUP($A633,kurspris!$A$1:$Q$950,4,FALSE)</f>
        <v>0</v>
      </c>
      <c r="AF633" s="31">
        <f>VLOOKUP($A633,kurspris!$A$1:$Q$950,5,FALSE)</f>
        <v>0</v>
      </c>
      <c r="AG633" s="31">
        <f>VLOOKUP($A633,kurspris!$A$1:$Q$950,6,FALSE)</f>
        <v>1</v>
      </c>
      <c r="AH633" s="31">
        <f>VLOOKUP($A633,kurspris!$A$1:$Q$950,7,FALSE)</f>
        <v>0</v>
      </c>
      <c r="AI633" s="31">
        <f>VLOOKUP($A633,kurspris!$A$1:$Q$950,8,FALSE)</f>
        <v>0</v>
      </c>
      <c r="AJ633" s="31">
        <f>VLOOKUP($A633,kurspris!$A$1:$Q$950,9,FALSE)</f>
        <v>0</v>
      </c>
      <c r="AK633" s="31">
        <f>VLOOKUP($A633,kurspris!$A$1:$Q$950,10,FALSE)</f>
        <v>0</v>
      </c>
      <c r="AL633" s="31">
        <f>VLOOKUP($A633,kurspris!$A$1:$Q$950,11,FALSE)</f>
        <v>0</v>
      </c>
      <c r="AM633" s="31">
        <f>VLOOKUP($A633,kurspris!$A$1:$Q$950,12,FALSE)</f>
        <v>0</v>
      </c>
      <c r="AN633" s="31">
        <f>VLOOKUP($A633,kurspris!$A$1:$Q$950,13,FALSE)</f>
        <v>0</v>
      </c>
      <c r="AO633" s="31">
        <f>VLOOKUP($A633,kurspris!$A$1:$Q$950,14,FALSE)</f>
        <v>0</v>
      </c>
      <c r="AP633" s="57" t="s">
        <v>2506</v>
      </c>
      <c r="AQ633"/>
      <c r="AR633" s="31">
        <f t="shared" si="274"/>
        <v>0</v>
      </c>
      <c r="AS633" s="219">
        <f t="shared" si="275"/>
        <v>0</v>
      </c>
      <c r="AT633" s="31">
        <f t="shared" si="276"/>
        <v>0</v>
      </c>
      <c r="AU633" s="219">
        <f t="shared" si="277"/>
        <v>0</v>
      </c>
      <c r="AV633" s="31">
        <f t="shared" si="278"/>
        <v>0</v>
      </c>
      <c r="AW633" s="31">
        <f t="shared" si="279"/>
        <v>0</v>
      </c>
      <c r="AX633" s="31">
        <f t="shared" si="280"/>
        <v>0.13333333333333333</v>
      </c>
      <c r="AY633" s="219">
        <f t="shared" si="281"/>
        <v>0.11333333333333333</v>
      </c>
      <c r="AZ633" s="196">
        <f t="shared" si="282"/>
        <v>0</v>
      </c>
      <c r="BA633" s="219">
        <f t="shared" si="283"/>
        <v>0</v>
      </c>
      <c r="BB633" s="31">
        <f t="shared" si="284"/>
        <v>0</v>
      </c>
      <c r="BC633" s="219">
        <f t="shared" si="285"/>
        <v>0</v>
      </c>
      <c r="BD633" s="31">
        <f t="shared" si="286"/>
        <v>0</v>
      </c>
      <c r="BE633" s="219">
        <f t="shared" si="287"/>
        <v>0</v>
      </c>
      <c r="BF633" s="31">
        <f t="shared" si="288"/>
        <v>0</v>
      </c>
      <c r="BG633" s="219">
        <f t="shared" si="289"/>
        <v>0</v>
      </c>
      <c r="BH633" s="31">
        <f t="shared" si="290"/>
        <v>0</v>
      </c>
      <c r="BI633" s="219">
        <f t="shared" si="291"/>
        <v>0</v>
      </c>
      <c r="BJ633" s="31">
        <f t="shared" si="292"/>
        <v>0</v>
      </c>
      <c r="BK633" s="219">
        <f t="shared" si="293"/>
        <v>0</v>
      </c>
      <c r="BL633" s="31">
        <f t="shared" si="294"/>
        <v>0</v>
      </c>
      <c r="BM633" s="219">
        <f t="shared" si="295"/>
        <v>0</v>
      </c>
      <c r="BN633" s="31">
        <f t="shared" si="296"/>
        <v>0</v>
      </c>
      <c r="BO633" s="219">
        <f t="shared" si="297"/>
        <v>0</v>
      </c>
    </row>
    <row r="634" spans="1:67" x14ac:dyDescent="0.25">
      <c r="A634" s="157" t="s">
        <v>1536</v>
      </c>
      <c r="B634" s="176" t="str">
        <f>VLOOKUP(A634,kurspris!$A$1:$B$992,2,FALSE)</f>
        <v>Barnet, omvärlden och fritidshemmets uppdrag</v>
      </c>
      <c r="C634" s="31">
        <v>68722</v>
      </c>
      <c r="D634" s="31" t="s">
        <v>484</v>
      </c>
      <c r="E634" s="60"/>
      <c r="F634" s="57" t="s">
        <v>2274</v>
      </c>
      <c r="H634" s="31" t="s">
        <v>2335</v>
      </c>
      <c r="I634" s="31" t="s">
        <v>2399</v>
      </c>
      <c r="L634" s="38"/>
      <c r="M634">
        <v>15</v>
      </c>
      <c r="P634" s="31">
        <v>24</v>
      </c>
      <c r="Q634" s="539">
        <v>6</v>
      </c>
      <c r="R634" s="38">
        <v>0.85</v>
      </c>
      <c r="S634" s="280">
        <f t="shared" si="270"/>
        <v>5.0999999999999996</v>
      </c>
      <c r="T634" s="31">
        <f>VLOOKUP(A634,'Ansvar kurs'!$A$1:$C$1123,2,FALSE)</f>
        <v>2193</v>
      </c>
      <c r="U634" s="31" t="str">
        <f>VLOOKUP(T634,Orgenheter!$A$1:$C$166,2,FALSE)</f>
        <v xml:space="preserve">TUV </v>
      </c>
      <c r="V634" s="31" t="str">
        <f>VLOOKUP(T634,Orgenheter!$A$1:$C$166,3,FALSE)</f>
        <v>Sam</v>
      </c>
      <c r="W634" s="35" t="str">
        <f>VLOOKUP(D634,Program!$A$1:$B$36,2,FALSE)</f>
        <v>Grundlärarprogrammet - fritidshem</v>
      </c>
      <c r="X634" s="40">
        <f>VLOOKUP(A634,kurspris!$A$1:$Q$913,15,FALSE)</f>
        <v>20766</v>
      </c>
      <c r="Y634" s="40">
        <f>VLOOKUP(A634,kurspris!$A$1:$Q$913,16,FALSE)</f>
        <v>17442</v>
      </c>
      <c r="Z634" s="40">
        <f t="shared" si="271"/>
        <v>213550.2</v>
      </c>
      <c r="AA634" s="40">
        <f>VLOOKUP(A634,kurspris!$A$1:$Q$913,17,FALSE)</f>
        <v>6000</v>
      </c>
      <c r="AB634" s="40">
        <f t="shared" si="272"/>
        <v>36000</v>
      </c>
      <c r="AC634" s="40">
        <f t="shared" si="273"/>
        <v>249550.2</v>
      </c>
      <c r="AD634" s="31">
        <f>VLOOKUP($A634,kurspris!$A$1:$Q$950,3,FALSE)</f>
        <v>0</v>
      </c>
      <c r="AE634" s="31">
        <f>VLOOKUP($A634,kurspris!$A$1:$Q$950,4,FALSE)</f>
        <v>0</v>
      </c>
      <c r="AF634" s="31">
        <f>VLOOKUP($A634,kurspris!$A$1:$Q$950,5,FALSE)</f>
        <v>0</v>
      </c>
      <c r="AG634" s="31">
        <f>VLOOKUP($A634,kurspris!$A$1:$Q$950,6,FALSE)</f>
        <v>0</v>
      </c>
      <c r="AH634" s="31">
        <f>VLOOKUP($A634,kurspris!$A$1:$Q$950,7,FALSE)</f>
        <v>0</v>
      </c>
      <c r="AI634" s="31">
        <f>VLOOKUP($A634,kurspris!$A$1:$Q$950,8,FALSE)</f>
        <v>0</v>
      </c>
      <c r="AJ634" s="31">
        <f>VLOOKUP($A634,kurspris!$A$1:$Q$950,9,FALSE)</f>
        <v>1</v>
      </c>
      <c r="AK634" s="31">
        <f>VLOOKUP($A634,kurspris!$A$1:$Q$950,10,FALSE)</f>
        <v>0</v>
      </c>
      <c r="AL634" s="31">
        <f>VLOOKUP($A634,kurspris!$A$1:$Q$950,11,FALSE)</f>
        <v>0</v>
      </c>
      <c r="AM634" s="31">
        <f>VLOOKUP($A634,kurspris!$A$1:$Q$950,12,FALSE)</f>
        <v>0</v>
      </c>
      <c r="AN634" s="31">
        <f>VLOOKUP($A634,kurspris!$A$1:$Q$950,13,FALSE)</f>
        <v>0</v>
      </c>
      <c r="AO634" s="31">
        <f>VLOOKUP($A634,kurspris!$A$1:$Q$950,14,FALSE)</f>
        <v>0</v>
      </c>
      <c r="AP634" s="57" t="s">
        <v>2402</v>
      </c>
      <c r="AQ634" s="37"/>
      <c r="AR634" s="31">
        <f t="shared" si="274"/>
        <v>0</v>
      </c>
      <c r="AS634" s="219">
        <f t="shared" si="275"/>
        <v>0</v>
      </c>
      <c r="AT634" s="31">
        <f t="shared" si="276"/>
        <v>0</v>
      </c>
      <c r="AU634" s="219">
        <f t="shared" si="277"/>
        <v>0</v>
      </c>
      <c r="AV634" s="31">
        <f t="shared" si="278"/>
        <v>0</v>
      </c>
      <c r="AW634" s="31">
        <f t="shared" si="279"/>
        <v>0</v>
      </c>
      <c r="AX634" s="31">
        <f t="shared" si="280"/>
        <v>0</v>
      </c>
      <c r="AY634" s="219">
        <f t="shared" si="281"/>
        <v>0</v>
      </c>
      <c r="AZ634" s="196">
        <f t="shared" si="282"/>
        <v>0</v>
      </c>
      <c r="BA634" s="219">
        <f t="shared" si="283"/>
        <v>0</v>
      </c>
      <c r="BB634" s="31">
        <f t="shared" si="284"/>
        <v>0</v>
      </c>
      <c r="BC634" s="219">
        <f t="shared" si="285"/>
        <v>0</v>
      </c>
      <c r="BD634" s="31">
        <f t="shared" si="286"/>
        <v>6</v>
      </c>
      <c r="BE634" s="219">
        <f t="shared" si="287"/>
        <v>5.0999999999999996</v>
      </c>
      <c r="BF634" s="31">
        <f t="shared" si="288"/>
        <v>0</v>
      </c>
      <c r="BG634" s="219">
        <f t="shared" si="289"/>
        <v>0</v>
      </c>
      <c r="BH634" s="31">
        <f t="shared" si="290"/>
        <v>0</v>
      </c>
      <c r="BI634" s="219">
        <f t="shared" si="291"/>
        <v>0</v>
      </c>
      <c r="BJ634" s="31">
        <f t="shared" si="292"/>
        <v>0</v>
      </c>
      <c r="BK634" s="219">
        <f t="shared" si="293"/>
        <v>0</v>
      </c>
      <c r="BL634" s="31">
        <f t="shared" si="294"/>
        <v>0</v>
      </c>
      <c r="BM634" s="219">
        <f t="shared" si="295"/>
        <v>0</v>
      </c>
      <c r="BN634" s="31">
        <f t="shared" si="296"/>
        <v>0</v>
      </c>
      <c r="BO634" s="219">
        <f t="shared" si="297"/>
        <v>0</v>
      </c>
    </row>
    <row r="635" spans="1:67" x14ac:dyDescent="0.25">
      <c r="A635" s="157" t="s">
        <v>1539</v>
      </c>
      <c r="B635" s="176" t="str">
        <f>VLOOKUP(A635,kurspris!$A$1:$B$992,2,FALSE)</f>
        <v>Läraryrkets dimensioner för fritidshem 1 (VFU)</v>
      </c>
      <c r="C635" s="31">
        <v>68725</v>
      </c>
      <c r="D635" s="31" t="s">
        <v>484</v>
      </c>
      <c r="F635" s="57" t="s">
        <v>2274</v>
      </c>
      <c r="H635" s="31" t="s">
        <v>2335</v>
      </c>
      <c r="I635" s="31" t="s">
        <v>2399</v>
      </c>
      <c r="L635" s="38"/>
      <c r="M635">
        <v>11</v>
      </c>
      <c r="P635" s="31">
        <v>18</v>
      </c>
      <c r="Q635" s="539">
        <v>3.3</v>
      </c>
      <c r="R635" s="38">
        <v>0.85</v>
      </c>
      <c r="S635" s="280">
        <f t="shared" si="270"/>
        <v>2.8049999999999997</v>
      </c>
      <c r="T635" s="31">
        <f>VLOOKUP(A635,'Ansvar kurs'!$A$1:$C$1123,2,FALSE)</f>
        <v>2193</v>
      </c>
      <c r="U635" s="31" t="str">
        <f>VLOOKUP(T635,Orgenheter!$A$1:$C$166,2,FALSE)</f>
        <v xml:space="preserve">TUV </v>
      </c>
      <c r="V635" s="31" t="str">
        <f>VLOOKUP(T635,Orgenheter!$A$1:$C$166,3,FALSE)</f>
        <v>Sam</v>
      </c>
      <c r="W635" s="35" t="str">
        <f>VLOOKUP(D635,Program!$A$1:$B$36,2,FALSE)</f>
        <v>Grundlärarprogrammet - fritidshem</v>
      </c>
      <c r="X635" s="40">
        <f>VLOOKUP(A635,kurspris!$A$1:$Q$913,15,FALSE)</f>
        <v>25235</v>
      </c>
      <c r="Y635" s="40">
        <f>VLOOKUP(A635,kurspris!$A$1:$Q$913,16,FALSE)</f>
        <v>27976</v>
      </c>
      <c r="Z635" s="40">
        <f t="shared" si="271"/>
        <v>161748.18</v>
      </c>
      <c r="AA635" s="40">
        <f>VLOOKUP(A635,kurspris!$A$1:$Q$913,17,FALSE)</f>
        <v>3600</v>
      </c>
      <c r="AB635" s="40">
        <f t="shared" si="272"/>
        <v>11880</v>
      </c>
      <c r="AC635" s="40">
        <f t="shared" si="273"/>
        <v>173628.18</v>
      </c>
      <c r="AD635" s="31">
        <f>VLOOKUP($A635,kurspris!$A$1:$Q$950,3,FALSE)</f>
        <v>0</v>
      </c>
      <c r="AE635" s="31">
        <f>VLOOKUP($A635,kurspris!$A$1:$Q$950,4,FALSE)</f>
        <v>0</v>
      </c>
      <c r="AF635" s="31">
        <f>VLOOKUP($A635,kurspris!$A$1:$Q$950,5,FALSE)</f>
        <v>0</v>
      </c>
      <c r="AG635" s="31">
        <f>VLOOKUP($A635,kurspris!$A$1:$Q$950,6,FALSE)</f>
        <v>0</v>
      </c>
      <c r="AH635" s="31">
        <f>VLOOKUP($A635,kurspris!$A$1:$Q$950,7,FALSE)</f>
        <v>0</v>
      </c>
      <c r="AI635" s="31">
        <f>VLOOKUP($A635,kurspris!$A$1:$Q$950,8,FALSE)</f>
        <v>0</v>
      </c>
      <c r="AJ635" s="31">
        <f>VLOOKUP($A635,kurspris!$A$1:$Q$950,9,FALSE)</f>
        <v>0</v>
      </c>
      <c r="AK635" s="31">
        <f>VLOOKUP($A635,kurspris!$A$1:$Q$950,10,FALSE)</f>
        <v>0</v>
      </c>
      <c r="AL635" s="31">
        <f>VLOOKUP($A635,kurspris!$A$1:$Q$950,11,FALSE)</f>
        <v>1</v>
      </c>
      <c r="AM635" s="31">
        <f>VLOOKUP($A635,kurspris!$A$1:$Q$950,12,FALSE)</f>
        <v>0</v>
      </c>
      <c r="AN635" s="31">
        <f>VLOOKUP($A635,kurspris!$A$1:$Q$950,13,FALSE)</f>
        <v>0</v>
      </c>
      <c r="AO635" s="31">
        <f>VLOOKUP($A635,kurspris!$A$1:$Q$950,14,FALSE)</f>
        <v>0</v>
      </c>
      <c r="AP635" s="57" t="s">
        <v>2402</v>
      </c>
      <c r="AQ635"/>
      <c r="AR635" s="31">
        <f t="shared" si="274"/>
        <v>0</v>
      </c>
      <c r="AS635" s="219">
        <f t="shared" si="275"/>
        <v>0</v>
      </c>
      <c r="AT635" s="31">
        <f t="shared" si="276"/>
        <v>0</v>
      </c>
      <c r="AU635" s="219">
        <f t="shared" si="277"/>
        <v>0</v>
      </c>
      <c r="AV635" s="31">
        <f t="shared" si="278"/>
        <v>0</v>
      </c>
      <c r="AW635" s="31">
        <f t="shared" si="279"/>
        <v>0</v>
      </c>
      <c r="AX635" s="31">
        <f t="shared" si="280"/>
        <v>0</v>
      </c>
      <c r="AY635" s="219">
        <f t="shared" si="281"/>
        <v>0</v>
      </c>
      <c r="AZ635" s="196">
        <f t="shared" si="282"/>
        <v>0</v>
      </c>
      <c r="BA635" s="219">
        <f t="shared" si="283"/>
        <v>0</v>
      </c>
      <c r="BB635" s="31">
        <f t="shared" si="284"/>
        <v>0</v>
      </c>
      <c r="BC635" s="219">
        <f t="shared" si="285"/>
        <v>0</v>
      </c>
      <c r="BD635" s="31">
        <f t="shared" si="286"/>
        <v>0</v>
      </c>
      <c r="BE635" s="219">
        <f t="shared" si="287"/>
        <v>0</v>
      </c>
      <c r="BF635" s="31">
        <f t="shared" si="288"/>
        <v>0</v>
      </c>
      <c r="BG635" s="219">
        <f t="shared" si="289"/>
        <v>0</v>
      </c>
      <c r="BH635" s="31">
        <f t="shared" si="290"/>
        <v>3.3</v>
      </c>
      <c r="BI635" s="219">
        <f t="shared" si="291"/>
        <v>2.8049999999999997</v>
      </c>
      <c r="BJ635" s="31">
        <f t="shared" si="292"/>
        <v>0</v>
      </c>
      <c r="BK635" s="219">
        <f t="shared" si="293"/>
        <v>0</v>
      </c>
      <c r="BL635" s="31">
        <f t="shared" si="294"/>
        <v>0</v>
      </c>
      <c r="BM635" s="219">
        <f t="shared" si="295"/>
        <v>0</v>
      </c>
      <c r="BN635" s="31">
        <f t="shared" si="296"/>
        <v>0</v>
      </c>
      <c r="BO635" s="219">
        <f t="shared" si="297"/>
        <v>0</v>
      </c>
    </row>
    <row r="636" spans="1:67" x14ac:dyDescent="0.25">
      <c r="A636" s="31" t="s">
        <v>1542</v>
      </c>
      <c r="B636" s="176" t="str">
        <f>VLOOKUP(A636,kurspris!$A$1:$B$992,2,FALSE)</f>
        <v>Bedömning för och av lärande i grundskolan (UK)</v>
      </c>
      <c r="C636" s="31">
        <v>61903</v>
      </c>
      <c r="D636" s="60" t="s">
        <v>481</v>
      </c>
      <c r="E636" s="60"/>
      <c r="F636" s="57" t="s">
        <v>2274</v>
      </c>
      <c r="H636" s="31" t="s">
        <v>2335</v>
      </c>
      <c r="I636" s="31" t="s">
        <v>2399</v>
      </c>
      <c r="J636" s="31" t="s">
        <v>2245</v>
      </c>
      <c r="L636" s="38"/>
      <c r="M636">
        <v>11</v>
      </c>
      <c r="P636" s="31">
        <v>1</v>
      </c>
      <c r="Q636" s="539">
        <v>0.183</v>
      </c>
      <c r="R636" s="38">
        <v>0.85</v>
      </c>
      <c r="S636" s="280">
        <f t="shared" si="270"/>
        <v>0.15554999999999999</v>
      </c>
      <c r="T636" s="31">
        <f>VLOOKUP(A636,'Ansvar kurs'!$A$1:$C$1123,2,FALSE)</f>
        <v>5740</v>
      </c>
      <c r="U636" s="31" t="str">
        <f>VLOOKUP(T636,Orgenheter!$A$1:$C$166,2,FALSE)</f>
        <v>NMD</v>
      </c>
      <c r="V636" s="31" t="str">
        <f>VLOOKUP(T636,Orgenheter!$A$1:$C$166,3,FALSE)</f>
        <v>TekNat</v>
      </c>
      <c r="W636" s="35" t="str">
        <f>VLOOKUP(D636,Program!$A$1:$B$36,2,FALSE)</f>
        <v>Ämneslärarprogrammet - åk 7-9</v>
      </c>
      <c r="X636" s="40">
        <f>VLOOKUP(A636,kurspris!$A$1:$Q$913,15,FALSE)</f>
        <v>26554</v>
      </c>
      <c r="Y636" s="40">
        <f>VLOOKUP(A636,kurspris!$A$1:$Q$913,16,FALSE)</f>
        <v>33465</v>
      </c>
      <c r="Z636" s="40">
        <f t="shared" si="271"/>
        <v>10064.86275</v>
      </c>
      <c r="AA636" s="40">
        <f>VLOOKUP(A636,kurspris!$A$1:$Q$913,17,FALSE)</f>
        <v>6000</v>
      </c>
      <c r="AB636" s="40">
        <f t="shared" si="272"/>
        <v>1098</v>
      </c>
      <c r="AC636" s="40">
        <f t="shared" si="273"/>
        <v>11162.86275</v>
      </c>
      <c r="AD636" s="31">
        <f>VLOOKUP($A636,kurspris!$A$1:$Q$950,3,FALSE)</f>
        <v>0</v>
      </c>
      <c r="AE636" s="31">
        <f>VLOOKUP($A636,kurspris!$A$1:$Q$950,4,FALSE)</f>
        <v>0</v>
      </c>
      <c r="AF636" s="31">
        <f>VLOOKUP($A636,kurspris!$A$1:$Q$950,5,FALSE)</f>
        <v>0</v>
      </c>
      <c r="AG636" s="31">
        <f>VLOOKUP($A636,kurspris!$A$1:$Q$950,6,FALSE)</f>
        <v>1</v>
      </c>
      <c r="AH636" s="31">
        <f>VLOOKUP($A636,kurspris!$A$1:$Q$950,7,FALSE)</f>
        <v>0</v>
      </c>
      <c r="AI636" s="31">
        <f>VLOOKUP($A636,kurspris!$A$1:$Q$950,8,FALSE)</f>
        <v>0</v>
      </c>
      <c r="AJ636" s="31">
        <f>VLOOKUP($A636,kurspris!$A$1:$Q$950,9,FALSE)</f>
        <v>0</v>
      </c>
      <c r="AK636" s="31">
        <f>VLOOKUP($A636,kurspris!$A$1:$Q$950,10,FALSE)</f>
        <v>0</v>
      </c>
      <c r="AL636" s="31">
        <f>VLOOKUP($A636,kurspris!$A$1:$Q$950,11,FALSE)</f>
        <v>0</v>
      </c>
      <c r="AM636" s="31">
        <f>VLOOKUP($A636,kurspris!$A$1:$Q$950,12,FALSE)</f>
        <v>0</v>
      </c>
      <c r="AN636" s="31">
        <f>VLOOKUP($A636,kurspris!$A$1:$Q$950,13,FALSE)</f>
        <v>0</v>
      </c>
      <c r="AO636" s="31">
        <f>VLOOKUP($A636,kurspris!$A$1:$Q$950,14,FALSE)</f>
        <v>0</v>
      </c>
      <c r="AP636" s="57" t="s">
        <v>2402</v>
      </c>
      <c r="AQ636"/>
      <c r="AR636" s="31">
        <f t="shared" si="274"/>
        <v>0</v>
      </c>
      <c r="AS636" s="219">
        <f t="shared" si="275"/>
        <v>0</v>
      </c>
      <c r="AT636" s="31">
        <f t="shared" si="276"/>
        <v>0</v>
      </c>
      <c r="AU636" s="219">
        <f t="shared" si="277"/>
        <v>0</v>
      </c>
      <c r="AV636" s="31">
        <f t="shared" si="278"/>
        <v>0</v>
      </c>
      <c r="AW636" s="31">
        <f t="shared" si="279"/>
        <v>0</v>
      </c>
      <c r="AX636" s="31">
        <f t="shared" si="280"/>
        <v>0.183</v>
      </c>
      <c r="AY636" s="219">
        <f t="shared" si="281"/>
        <v>0.15554999999999999</v>
      </c>
      <c r="AZ636" s="196">
        <f t="shared" si="282"/>
        <v>0</v>
      </c>
      <c r="BA636" s="219">
        <f t="shared" si="283"/>
        <v>0</v>
      </c>
      <c r="BB636" s="31">
        <f t="shared" si="284"/>
        <v>0</v>
      </c>
      <c r="BC636" s="219">
        <f t="shared" si="285"/>
        <v>0</v>
      </c>
      <c r="BD636" s="31">
        <f t="shared" si="286"/>
        <v>0</v>
      </c>
      <c r="BE636" s="219">
        <f t="shared" si="287"/>
        <v>0</v>
      </c>
      <c r="BF636" s="31">
        <f t="shared" si="288"/>
        <v>0</v>
      </c>
      <c r="BG636" s="219">
        <f t="shared" si="289"/>
        <v>0</v>
      </c>
      <c r="BH636" s="31">
        <f t="shared" si="290"/>
        <v>0</v>
      </c>
      <c r="BI636" s="219">
        <f t="shared" si="291"/>
        <v>0</v>
      </c>
      <c r="BJ636" s="31">
        <f t="shared" si="292"/>
        <v>0</v>
      </c>
      <c r="BK636" s="219">
        <f t="shared" si="293"/>
        <v>0</v>
      </c>
      <c r="BL636" s="31">
        <f t="shared" si="294"/>
        <v>0</v>
      </c>
      <c r="BM636" s="219">
        <f t="shared" si="295"/>
        <v>0</v>
      </c>
      <c r="BN636" s="31">
        <f t="shared" si="296"/>
        <v>0</v>
      </c>
      <c r="BO636" s="219">
        <f t="shared" si="297"/>
        <v>0</v>
      </c>
    </row>
    <row r="637" spans="1:67" x14ac:dyDescent="0.25">
      <c r="A637" s="31" t="s">
        <v>1542</v>
      </c>
      <c r="B637" s="176" t="str">
        <f>VLOOKUP(A637,kurspris!$A$1:$B$992,2,FALSE)</f>
        <v>Bedömning för och av lärande i grundskolan (UK)</v>
      </c>
      <c r="C637" s="31">
        <v>61903</v>
      </c>
      <c r="D637" s="60" t="s">
        <v>484</v>
      </c>
      <c r="E637" s="60"/>
      <c r="F637" s="57" t="s">
        <v>2274</v>
      </c>
      <c r="H637" s="31" t="s">
        <v>2335</v>
      </c>
      <c r="I637" s="31" t="s">
        <v>2399</v>
      </c>
      <c r="L637" s="38"/>
      <c r="M637">
        <v>11</v>
      </c>
      <c r="P637" s="31">
        <v>16</v>
      </c>
      <c r="Q637" s="539">
        <v>2.9329999999999998</v>
      </c>
      <c r="R637" s="38">
        <v>0.85</v>
      </c>
      <c r="S637" s="280">
        <f t="shared" si="270"/>
        <v>2.4930499999999998</v>
      </c>
      <c r="T637" s="31">
        <f>VLOOKUP(A637,'Ansvar kurs'!$A$1:$C$1123,2,FALSE)</f>
        <v>5740</v>
      </c>
      <c r="U637" s="31" t="str">
        <f>VLOOKUP(T637,Orgenheter!$A$1:$C$166,2,FALSE)</f>
        <v>NMD</v>
      </c>
      <c r="V637" s="31" t="str">
        <f>VLOOKUP(T637,Orgenheter!$A$1:$C$166,3,FALSE)</f>
        <v>TekNat</v>
      </c>
      <c r="W637" s="35" t="str">
        <f>VLOOKUP(D637,Program!$A$1:$B$36,2,FALSE)</f>
        <v>Grundlärarprogrammet - fritidshem</v>
      </c>
      <c r="X637" s="40">
        <f>VLOOKUP(A637,kurspris!$A$1:$Q$913,15,FALSE)</f>
        <v>26554</v>
      </c>
      <c r="Y637" s="40">
        <f>VLOOKUP(A637,kurspris!$A$1:$Q$913,16,FALSE)</f>
        <v>33465</v>
      </c>
      <c r="Z637" s="40">
        <f t="shared" si="271"/>
        <v>161312.80024999997</v>
      </c>
      <c r="AA637" s="40">
        <f>VLOOKUP(A637,kurspris!$A$1:$Q$913,17,FALSE)</f>
        <v>6000</v>
      </c>
      <c r="AB637" s="40">
        <f t="shared" si="272"/>
        <v>17598</v>
      </c>
      <c r="AC637" s="40">
        <f t="shared" si="273"/>
        <v>178910.80024999997</v>
      </c>
      <c r="AD637" s="31">
        <f>VLOOKUP($A637,kurspris!$A$1:$Q$950,3,FALSE)</f>
        <v>0</v>
      </c>
      <c r="AE637" s="31">
        <f>VLOOKUP($A637,kurspris!$A$1:$Q$950,4,FALSE)</f>
        <v>0</v>
      </c>
      <c r="AF637" s="31">
        <f>VLOOKUP($A637,kurspris!$A$1:$Q$950,5,FALSE)</f>
        <v>0</v>
      </c>
      <c r="AG637" s="31">
        <f>VLOOKUP($A637,kurspris!$A$1:$Q$950,6,FALSE)</f>
        <v>1</v>
      </c>
      <c r="AH637" s="31">
        <f>VLOOKUP($A637,kurspris!$A$1:$Q$950,7,FALSE)</f>
        <v>0</v>
      </c>
      <c r="AI637" s="31">
        <f>VLOOKUP($A637,kurspris!$A$1:$Q$950,8,FALSE)</f>
        <v>0</v>
      </c>
      <c r="AJ637" s="31">
        <f>VLOOKUP($A637,kurspris!$A$1:$Q$950,9,FALSE)</f>
        <v>0</v>
      </c>
      <c r="AK637" s="31">
        <f>VLOOKUP($A637,kurspris!$A$1:$Q$950,10,FALSE)</f>
        <v>0</v>
      </c>
      <c r="AL637" s="31">
        <f>VLOOKUP($A637,kurspris!$A$1:$Q$950,11,FALSE)</f>
        <v>0</v>
      </c>
      <c r="AM637" s="31">
        <f>VLOOKUP($A637,kurspris!$A$1:$Q$950,12,FALSE)</f>
        <v>0</v>
      </c>
      <c r="AN637" s="31">
        <f>VLOOKUP($A637,kurspris!$A$1:$Q$950,13,FALSE)</f>
        <v>0</v>
      </c>
      <c r="AO637" s="31">
        <f>VLOOKUP($A637,kurspris!$A$1:$Q$950,14,FALSE)</f>
        <v>0</v>
      </c>
      <c r="AP637" s="57" t="s">
        <v>2402</v>
      </c>
      <c r="AQ637"/>
      <c r="AR637" s="31">
        <f t="shared" si="274"/>
        <v>0</v>
      </c>
      <c r="AS637" s="219">
        <f t="shared" si="275"/>
        <v>0</v>
      </c>
      <c r="AT637" s="31">
        <f t="shared" si="276"/>
        <v>0</v>
      </c>
      <c r="AU637" s="219">
        <f t="shared" si="277"/>
        <v>0</v>
      </c>
      <c r="AV637" s="31">
        <f t="shared" si="278"/>
        <v>0</v>
      </c>
      <c r="AW637" s="31">
        <f t="shared" si="279"/>
        <v>0</v>
      </c>
      <c r="AX637" s="31">
        <f t="shared" si="280"/>
        <v>2.9329999999999998</v>
      </c>
      <c r="AY637" s="219">
        <f t="shared" si="281"/>
        <v>2.4930499999999998</v>
      </c>
      <c r="AZ637" s="196">
        <f t="shared" si="282"/>
        <v>0</v>
      </c>
      <c r="BA637" s="219">
        <f t="shared" si="283"/>
        <v>0</v>
      </c>
      <c r="BB637" s="31">
        <f t="shared" si="284"/>
        <v>0</v>
      </c>
      <c r="BC637" s="219">
        <f t="shared" si="285"/>
        <v>0</v>
      </c>
      <c r="BD637" s="31">
        <f t="shared" si="286"/>
        <v>0</v>
      </c>
      <c r="BE637" s="219">
        <f t="shared" si="287"/>
        <v>0</v>
      </c>
      <c r="BF637" s="31">
        <f t="shared" si="288"/>
        <v>0</v>
      </c>
      <c r="BG637" s="219">
        <f t="shared" si="289"/>
        <v>0</v>
      </c>
      <c r="BH637" s="31">
        <f t="shared" si="290"/>
        <v>0</v>
      </c>
      <c r="BI637" s="219">
        <f t="shared" si="291"/>
        <v>0</v>
      </c>
      <c r="BJ637" s="31">
        <f t="shared" si="292"/>
        <v>0</v>
      </c>
      <c r="BK637" s="219">
        <f t="shared" si="293"/>
        <v>0</v>
      </c>
      <c r="BL637" s="31">
        <f t="shared" si="294"/>
        <v>0</v>
      </c>
      <c r="BM637" s="219">
        <f t="shared" si="295"/>
        <v>0</v>
      </c>
      <c r="BN637" s="31">
        <f t="shared" si="296"/>
        <v>0</v>
      </c>
      <c r="BO637" s="219">
        <f t="shared" si="297"/>
        <v>0</v>
      </c>
    </row>
    <row r="638" spans="1:67" x14ac:dyDescent="0.25">
      <c r="A638" s="31" t="s">
        <v>1542</v>
      </c>
      <c r="B638" s="176" t="str">
        <f>VLOOKUP(A638,kurspris!$A$1:$B$992,2,FALSE)</f>
        <v>Bedömning för och av lärande i grundskolan (UK)</v>
      </c>
      <c r="C638" s="31">
        <v>61903</v>
      </c>
      <c r="D638" s="60" t="s">
        <v>485</v>
      </c>
      <c r="E638" s="60"/>
      <c r="F638" s="57" t="s">
        <v>2274</v>
      </c>
      <c r="H638" s="31" t="s">
        <v>2335</v>
      </c>
      <c r="I638" s="31" t="s">
        <v>2399</v>
      </c>
      <c r="L638" s="38"/>
      <c r="M638">
        <v>11</v>
      </c>
      <c r="P638" s="31">
        <v>44</v>
      </c>
      <c r="Q638" s="539">
        <v>8.0670000000000002</v>
      </c>
      <c r="R638" s="38">
        <v>0.85</v>
      </c>
      <c r="S638" s="280">
        <f t="shared" si="270"/>
        <v>6.8569500000000003</v>
      </c>
      <c r="T638" s="31">
        <f>VLOOKUP(A638,'Ansvar kurs'!$A$1:$C$1123,2,FALSE)</f>
        <v>5740</v>
      </c>
      <c r="U638" s="31" t="str">
        <f>VLOOKUP(T638,Orgenheter!$A$1:$C$166,2,FALSE)</f>
        <v>NMD</v>
      </c>
      <c r="V638" s="31" t="str">
        <f>VLOOKUP(T638,Orgenheter!$A$1:$C$166,3,FALSE)</f>
        <v>TekNat</v>
      </c>
      <c r="W638" s="35" t="str">
        <f>VLOOKUP(D638,Program!$A$1:$B$36,2,FALSE)</f>
        <v>Grundlärarprogrammet - förskoleklass och åk 1-3</v>
      </c>
      <c r="X638" s="40">
        <f>VLOOKUP(A638,kurspris!$A$1:$Q$913,15,FALSE)</f>
        <v>26554</v>
      </c>
      <c r="Y638" s="40">
        <f>VLOOKUP(A638,kurspris!$A$1:$Q$913,16,FALSE)</f>
        <v>33465</v>
      </c>
      <c r="Z638" s="40">
        <f t="shared" si="271"/>
        <v>443678.94975000003</v>
      </c>
      <c r="AA638" s="40">
        <f>VLOOKUP(A638,kurspris!$A$1:$Q$913,17,FALSE)</f>
        <v>6000</v>
      </c>
      <c r="AB638" s="40">
        <f t="shared" si="272"/>
        <v>48402</v>
      </c>
      <c r="AC638" s="40">
        <f t="shared" si="273"/>
        <v>492080.94975000003</v>
      </c>
      <c r="AD638" s="31">
        <f>VLOOKUP($A638,kurspris!$A$1:$Q$950,3,FALSE)</f>
        <v>0</v>
      </c>
      <c r="AE638" s="31">
        <f>VLOOKUP($A638,kurspris!$A$1:$Q$950,4,FALSE)</f>
        <v>0</v>
      </c>
      <c r="AF638" s="31">
        <f>VLOOKUP($A638,kurspris!$A$1:$Q$950,5,FALSE)</f>
        <v>0</v>
      </c>
      <c r="AG638" s="31">
        <f>VLOOKUP($A638,kurspris!$A$1:$Q$950,6,FALSE)</f>
        <v>1</v>
      </c>
      <c r="AH638" s="31">
        <f>VLOOKUP($A638,kurspris!$A$1:$Q$950,7,FALSE)</f>
        <v>0</v>
      </c>
      <c r="AI638" s="31">
        <f>VLOOKUP($A638,kurspris!$A$1:$Q$950,8,FALSE)</f>
        <v>0</v>
      </c>
      <c r="AJ638" s="31">
        <f>VLOOKUP($A638,kurspris!$A$1:$Q$950,9,FALSE)</f>
        <v>0</v>
      </c>
      <c r="AK638" s="31">
        <f>VLOOKUP($A638,kurspris!$A$1:$Q$950,10,FALSE)</f>
        <v>0</v>
      </c>
      <c r="AL638" s="31">
        <f>VLOOKUP($A638,kurspris!$A$1:$Q$950,11,FALSE)</f>
        <v>0</v>
      </c>
      <c r="AM638" s="31">
        <f>VLOOKUP($A638,kurspris!$A$1:$Q$950,12,FALSE)</f>
        <v>0</v>
      </c>
      <c r="AN638" s="31">
        <f>VLOOKUP($A638,kurspris!$A$1:$Q$950,13,FALSE)</f>
        <v>0</v>
      </c>
      <c r="AO638" s="31">
        <f>VLOOKUP($A638,kurspris!$A$1:$Q$950,14,FALSE)</f>
        <v>0</v>
      </c>
      <c r="AP638" s="57" t="s">
        <v>2402</v>
      </c>
      <c r="AQ638"/>
      <c r="AR638" s="31">
        <f t="shared" si="274"/>
        <v>0</v>
      </c>
      <c r="AS638" s="219">
        <f t="shared" si="275"/>
        <v>0</v>
      </c>
      <c r="AT638" s="31">
        <f t="shared" si="276"/>
        <v>0</v>
      </c>
      <c r="AU638" s="219">
        <f t="shared" si="277"/>
        <v>0</v>
      </c>
      <c r="AV638" s="31">
        <f t="shared" si="278"/>
        <v>0</v>
      </c>
      <c r="AW638" s="31">
        <f t="shared" si="279"/>
        <v>0</v>
      </c>
      <c r="AX638" s="31">
        <f t="shared" si="280"/>
        <v>8.0670000000000002</v>
      </c>
      <c r="AY638" s="219">
        <f t="shared" si="281"/>
        <v>6.8569500000000003</v>
      </c>
      <c r="AZ638" s="196">
        <f t="shared" si="282"/>
        <v>0</v>
      </c>
      <c r="BA638" s="219">
        <f t="shared" si="283"/>
        <v>0</v>
      </c>
      <c r="BB638" s="31">
        <f t="shared" si="284"/>
        <v>0</v>
      </c>
      <c r="BC638" s="219">
        <f t="shared" si="285"/>
        <v>0</v>
      </c>
      <c r="BD638" s="31">
        <f t="shared" si="286"/>
        <v>0</v>
      </c>
      <c r="BE638" s="219">
        <f t="shared" si="287"/>
        <v>0</v>
      </c>
      <c r="BF638" s="31">
        <f t="shared" si="288"/>
        <v>0</v>
      </c>
      <c r="BG638" s="219">
        <f t="shared" si="289"/>
        <v>0</v>
      </c>
      <c r="BH638" s="31">
        <f t="shared" si="290"/>
        <v>0</v>
      </c>
      <c r="BI638" s="219">
        <f t="shared" si="291"/>
        <v>0</v>
      </c>
      <c r="BJ638" s="31">
        <f t="shared" si="292"/>
        <v>0</v>
      </c>
      <c r="BK638" s="219">
        <f t="shared" si="293"/>
        <v>0</v>
      </c>
      <c r="BL638" s="31">
        <f t="shared" si="294"/>
        <v>0</v>
      </c>
      <c r="BM638" s="219">
        <f t="shared" si="295"/>
        <v>0</v>
      </c>
      <c r="BN638" s="31">
        <f t="shared" si="296"/>
        <v>0</v>
      </c>
      <c r="BO638" s="219">
        <f t="shared" si="297"/>
        <v>0</v>
      </c>
    </row>
    <row r="639" spans="1:67" x14ac:dyDescent="0.25">
      <c r="A639" s="31" t="s">
        <v>1542</v>
      </c>
      <c r="B639" s="176" t="str">
        <f>VLOOKUP(A639,kurspris!$A$1:$B$992,2,FALSE)</f>
        <v>Bedömning för och av lärande i grundskolan (UK)</v>
      </c>
      <c r="C639" s="31">
        <v>61903</v>
      </c>
      <c r="D639" s="60" t="s">
        <v>523</v>
      </c>
      <c r="E639" s="60"/>
      <c r="F639" s="57" t="s">
        <v>2274</v>
      </c>
      <c r="H639" s="31" t="s">
        <v>2335</v>
      </c>
      <c r="I639" s="31" t="s">
        <v>2399</v>
      </c>
      <c r="L639" s="38"/>
      <c r="M639">
        <v>11</v>
      </c>
      <c r="P639" s="31">
        <v>21</v>
      </c>
      <c r="Q639" s="539">
        <v>3.85</v>
      </c>
      <c r="R639" s="38">
        <v>0.85</v>
      </c>
      <c r="S639" s="280">
        <f t="shared" si="270"/>
        <v>3.2725</v>
      </c>
      <c r="T639" s="31">
        <f>VLOOKUP(A639,'Ansvar kurs'!$A$1:$C$1123,2,FALSE)</f>
        <v>5740</v>
      </c>
      <c r="U639" s="31" t="str">
        <f>VLOOKUP(T639,Orgenheter!$A$1:$C$166,2,FALSE)</f>
        <v>NMD</v>
      </c>
      <c r="V639" s="31" t="str">
        <f>VLOOKUP(T639,Orgenheter!$A$1:$C$166,3,FALSE)</f>
        <v>TekNat</v>
      </c>
      <c r="W639" s="35" t="str">
        <f>VLOOKUP(D639,Program!$A$1:$B$36,2,FALSE)</f>
        <v>Grundlärarprogrammet - grundskolans åk 4-6</v>
      </c>
      <c r="X639" s="40">
        <f>VLOOKUP(A639,kurspris!$A$1:$Q$913,15,FALSE)</f>
        <v>26554</v>
      </c>
      <c r="Y639" s="40">
        <f>VLOOKUP(A639,kurspris!$A$1:$Q$913,16,FALSE)</f>
        <v>33465</v>
      </c>
      <c r="Z639" s="40">
        <f t="shared" si="271"/>
        <v>211747.11249999999</v>
      </c>
      <c r="AA639" s="40">
        <f>VLOOKUP(A639,kurspris!$A$1:$Q$913,17,FALSE)</f>
        <v>6000</v>
      </c>
      <c r="AB639" s="40">
        <f t="shared" si="272"/>
        <v>23100</v>
      </c>
      <c r="AC639" s="40">
        <f t="shared" si="273"/>
        <v>234847.11249999999</v>
      </c>
      <c r="AD639" s="31">
        <f>VLOOKUP($A639,kurspris!$A$1:$Q$950,3,FALSE)</f>
        <v>0</v>
      </c>
      <c r="AE639" s="31">
        <f>VLOOKUP($A639,kurspris!$A$1:$Q$950,4,FALSE)</f>
        <v>0</v>
      </c>
      <c r="AF639" s="31">
        <f>VLOOKUP($A639,kurspris!$A$1:$Q$950,5,FALSE)</f>
        <v>0</v>
      </c>
      <c r="AG639" s="31">
        <f>VLOOKUP($A639,kurspris!$A$1:$Q$950,6,FALSE)</f>
        <v>1</v>
      </c>
      <c r="AH639" s="31">
        <f>VLOOKUP($A639,kurspris!$A$1:$Q$950,7,FALSE)</f>
        <v>0</v>
      </c>
      <c r="AI639" s="31">
        <f>VLOOKUP($A639,kurspris!$A$1:$Q$950,8,FALSE)</f>
        <v>0</v>
      </c>
      <c r="AJ639" s="31">
        <f>VLOOKUP($A639,kurspris!$A$1:$Q$950,9,FALSE)</f>
        <v>0</v>
      </c>
      <c r="AK639" s="31">
        <f>VLOOKUP($A639,kurspris!$A$1:$Q$950,10,FALSE)</f>
        <v>0</v>
      </c>
      <c r="AL639" s="31">
        <f>VLOOKUP($A639,kurspris!$A$1:$Q$950,11,FALSE)</f>
        <v>0</v>
      </c>
      <c r="AM639" s="31">
        <f>VLOOKUP($A639,kurspris!$A$1:$Q$950,12,FALSE)</f>
        <v>0</v>
      </c>
      <c r="AN639" s="31">
        <f>VLOOKUP($A639,kurspris!$A$1:$Q$950,13,FALSE)</f>
        <v>0</v>
      </c>
      <c r="AO639" s="31">
        <f>VLOOKUP($A639,kurspris!$A$1:$Q$950,14,FALSE)</f>
        <v>0</v>
      </c>
      <c r="AP639" s="57" t="s">
        <v>2402</v>
      </c>
      <c r="AQ639"/>
      <c r="AR639" s="31">
        <f t="shared" si="274"/>
        <v>0</v>
      </c>
      <c r="AS639" s="219">
        <f t="shared" si="275"/>
        <v>0</v>
      </c>
      <c r="AT639" s="31">
        <f t="shared" si="276"/>
        <v>0</v>
      </c>
      <c r="AU639" s="219">
        <f t="shared" si="277"/>
        <v>0</v>
      </c>
      <c r="AV639" s="31">
        <f t="shared" si="278"/>
        <v>0</v>
      </c>
      <c r="AW639" s="31">
        <f t="shared" si="279"/>
        <v>0</v>
      </c>
      <c r="AX639" s="31">
        <f t="shared" si="280"/>
        <v>3.85</v>
      </c>
      <c r="AY639" s="219">
        <f t="shared" si="281"/>
        <v>3.2725</v>
      </c>
      <c r="AZ639" s="196">
        <f t="shared" si="282"/>
        <v>0</v>
      </c>
      <c r="BA639" s="219">
        <f t="shared" si="283"/>
        <v>0</v>
      </c>
      <c r="BB639" s="31">
        <f t="shared" si="284"/>
        <v>0</v>
      </c>
      <c r="BC639" s="219">
        <f t="shared" si="285"/>
        <v>0</v>
      </c>
      <c r="BD639" s="31">
        <f t="shared" si="286"/>
        <v>0</v>
      </c>
      <c r="BE639" s="219">
        <f t="shared" si="287"/>
        <v>0</v>
      </c>
      <c r="BF639" s="31">
        <f t="shared" si="288"/>
        <v>0</v>
      </c>
      <c r="BG639" s="219">
        <f t="shared" si="289"/>
        <v>0</v>
      </c>
      <c r="BH639" s="31">
        <f t="shared" si="290"/>
        <v>0</v>
      </c>
      <c r="BI639" s="219">
        <f t="shared" si="291"/>
        <v>0</v>
      </c>
      <c r="BJ639" s="31">
        <f t="shared" si="292"/>
        <v>0</v>
      </c>
      <c r="BK639" s="219">
        <f t="shared" si="293"/>
        <v>0</v>
      </c>
      <c r="BL639" s="31">
        <f t="shared" si="294"/>
        <v>0</v>
      </c>
      <c r="BM639" s="219">
        <f t="shared" si="295"/>
        <v>0</v>
      </c>
      <c r="BN639" s="31">
        <f t="shared" si="296"/>
        <v>0</v>
      </c>
      <c r="BO639" s="219">
        <f t="shared" si="297"/>
        <v>0</v>
      </c>
    </row>
    <row r="640" spans="1:67" x14ac:dyDescent="0.25">
      <c r="A640" s="31" t="s">
        <v>1533</v>
      </c>
      <c r="B640" s="176" t="str">
        <f>VLOOKUP(A640,kurspris!$A$1:$B$992,2,FALSE)</f>
        <v>Bedömning för lärande i förskolan (UK)</v>
      </c>
      <c r="D640" s="60" t="s">
        <v>483</v>
      </c>
      <c r="E640" s="576" t="s">
        <v>2227</v>
      </c>
      <c r="F640" s="31" t="s">
        <v>2273</v>
      </c>
      <c r="G640" s="244" t="s">
        <v>2445</v>
      </c>
      <c r="H640" t="s">
        <v>2335</v>
      </c>
      <c r="I640" s="31" t="s">
        <v>2276</v>
      </c>
      <c r="L640" s="38">
        <v>1</v>
      </c>
      <c r="M640" s="244">
        <v>6</v>
      </c>
      <c r="P640" s="31">
        <v>1</v>
      </c>
      <c r="Q640" s="196">
        <f t="shared" ref="Q640:Q646" si="300">(M640/60)*P640</f>
        <v>0.1</v>
      </c>
      <c r="R640" s="38">
        <v>0.85</v>
      </c>
      <c r="S640" s="280">
        <f t="shared" si="270"/>
        <v>8.5000000000000006E-2</v>
      </c>
      <c r="T640" s="31">
        <f>VLOOKUP(A640,'Ansvar kurs'!$A$1:$C$1123,2,FALSE)</f>
        <v>5740</v>
      </c>
      <c r="U640" s="31" t="str">
        <f>VLOOKUP(T640,Orgenheter!$A$1:$C$166,2,FALSE)</f>
        <v>NMD</v>
      </c>
      <c r="V640" s="31" t="str">
        <f>VLOOKUP(T640,Orgenheter!$A$1:$C$166,3,FALSE)</f>
        <v>TekNat</v>
      </c>
      <c r="W640" s="35" t="str">
        <f>VLOOKUP(D640,Program!$A$1:$B$36,2,FALSE)</f>
        <v>Förskollärarprogrammet</v>
      </c>
      <c r="X640" s="40">
        <f>VLOOKUP(A640,kurspris!$A$1:$Q$913,15,FALSE)</f>
        <v>26554</v>
      </c>
      <c r="Y640" s="40">
        <f>VLOOKUP(A640,kurspris!$A$1:$Q$913,16,FALSE)</f>
        <v>33465</v>
      </c>
      <c r="Z640" s="40">
        <f t="shared" si="271"/>
        <v>5499.9250000000002</v>
      </c>
      <c r="AA640" s="40">
        <f>VLOOKUP(A640,kurspris!$A$1:$Q$913,17,FALSE)</f>
        <v>6000</v>
      </c>
      <c r="AB640" s="40">
        <f t="shared" si="272"/>
        <v>600</v>
      </c>
      <c r="AC640" s="40">
        <f t="shared" si="273"/>
        <v>6099.9250000000002</v>
      </c>
      <c r="AD640" s="31">
        <f>VLOOKUP($A640,kurspris!$A$1:$Q$950,3,FALSE)</f>
        <v>0</v>
      </c>
      <c r="AE640" s="31">
        <f>VLOOKUP($A640,kurspris!$A$1:$Q$950,4,FALSE)</f>
        <v>0</v>
      </c>
      <c r="AF640" s="31">
        <f>VLOOKUP($A640,kurspris!$A$1:$Q$950,5,FALSE)</f>
        <v>0</v>
      </c>
      <c r="AG640" s="31">
        <f>VLOOKUP($A640,kurspris!$A$1:$Q$950,6,FALSE)</f>
        <v>1</v>
      </c>
      <c r="AH640" s="31">
        <f>VLOOKUP($A640,kurspris!$A$1:$Q$950,7,FALSE)</f>
        <v>0</v>
      </c>
      <c r="AI640" s="31">
        <f>VLOOKUP($A640,kurspris!$A$1:$Q$950,8,FALSE)</f>
        <v>0</v>
      </c>
      <c r="AJ640" s="31">
        <f>VLOOKUP($A640,kurspris!$A$1:$Q$950,9,FALSE)</f>
        <v>0</v>
      </c>
      <c r="AK640" s="31">
        <f>VLOOKUP($A640,kurspris!$A$1:$Q$950,10,FALSE)</f>
        <v>0</v>
      </c>
      <c r="AL640" s="31">
        <f>VLOOKUP($A640,kurspris!$A$1:$Q$950,11,FALSE)</f>
        <v>0</v>
      </c>
      <c r="AM640" s="31">
        <f>VLOOKUP($A640,kurspris!$A$1:$Q$950,12,FALSE)</f>
        <v>0</v>
      </c>
      <c r="AN640" s="31">
        <f>VLOOKUP($A640,kurspris!$A$1:$Q$950,13,FALSE)</f>
        <v>0</v>
      </c>
      <c r="AO640" s="31">
        <f>VLOOKUP($A640,kurspris!$A$1:$Q$950,14,FALSE)</f>
        <v>0</v>
      </c>
      <c r="AP640" s="57" t="s">
        <v>2506</v>
      </c>
      <c r="AQ640" t="s">
        <v>2400</v>
      </c>
      <c r="AR640" s="31">
        <f t="shared" si="274"/>
        <v>0</v>
      </c>
      <c r="AS640" s="219">
        <f t="shared" si="275"/>
        <v>0</v>
      </c>
      <c r="AT640" s="31">
        <f t="shared" si="276"/>
        <v>0</v>
      </c>
      <c r="AU640" s="219">
        <f t="shared" si="277"/>
        <v>0</v>
      </c>
      <c r="AV640" s="31">
        <f t="shared" si="278"/>
        <v>0</v>
      </c>
      <c r="AW640" s="31">
        <f t="shared" si="279"/>
        <v>0</v>
      </c>
      <c r="AX640" s="31">
        <f t="shared" si="280"/>
        <v>0.1</v>
      </c>
      <c r="AY640" s="219">
        <f t="shared" si="281"/>
        <v>8.5000000000000006E-2</v>
      </c>
      <c r="AZ640" s="196">
        <f t="shared" si="282"/>
        <v>0</v>
      </c>
      <c r="BA640" s="219">
        <f t="shared" si="283"/>
        <v>0</v>
      </c>
      <c r="BB640" s="31">
        <f t="shared" si="284"/>
        <v>0</v>
      </c>
      <c r="BC640" s="219">
        <f t="shared" si="285"/>
        <v>0</v>
      </c>
      <c r="BD640" s="31">
        <f t="shared" si="286"/>
        <v>0</v>
      </c>
      <c r="BE640" s="219">
        <f t="shared" si="287"/>
        <v>0</v>
      </c>
      <c r="BF640" s="31">
        <f t="shared" si="288"/>
        <v>0</v>
      </c>
      <c r="BG640" s="219">
        <f t="shared" si="289"/>
        <v>0</v>
      </c>
      <c r="BH640" s="31">
        <f t="shared" si="290"/>
        <v>0</v>
      </c>
      <c r="BI640" s="219">
        <f t="shared" si="291"/>
        <v>0</v>
      </c>
      <c r="BJ640" s="31">
        <f t="shared" si="292"/>
        <v>0</v>
      </c>
      <c r="BK640" s="219">
        <f t="shared" si="293"/>
        <v>0</v>
      </c>
      <c r="BL640" s="31">
        <f t="shared" si="294"/>
        <v>0</v>
      </c>
      <c r="BM640" s="219">
        <f t="shared" si="295"/>
        <v>0</v>
      </c>
      <c r="BN640" s="31">
        <f t="shared" si="296"/>
        <v>0</v>
      </c>
      <c r="BO640" s="219">
        <f t="shared" si="297"/>
        <v>0</v>
      </c>
    </row>
    <row r="641" spans="1:67" x14ac:dyDescent="0.25">
      <c r="A641" s="31" t="s">
        <v>1533</v>
      </c>
      <c r="B641" s="176" t="str">
        <f>VLOOKUP(A641,kurspris!$A$1:$B$992,2,FALSE)</f>
        <v>Bedömning för lärande i förskolan (UK)</v>
      </c>
      <c r="D641" s="60" t="s">
        <v>483</v>
      </c>
      <c r="E641" s="576" t="s">
        <v>2434</v>
      </c>
      <c r="F641" s="31" t="s">
        <v>2273</v>
      </c>
      <c r="G641" s="244" t="s">
        <v>2445</v>
      </c>
      <c r="H641" t="s">
        <v>2335</v>
      </c>
      <c r="I641" s="31" t="s">
        <v>2276</v>
      </c>
      <c r="L641" s="38">
        <v>1</v>
      </c>
      <c r="M641" s="244">
        <v>6</v>
      </c>
      <c r="P641" s="31">
        <v>2</v>
      </c>
      <c r="Q641" s="196">
        <f t="shared" si="300"/>
        <v>0.2</v>
      </c>
      <c r="R641" s="38">
        <v>0.85</v>
      </c>
      <c r="S641" s="280">
        <f t="shared" si="270"/>
        <v>0.17</v>
      </c>
      <c r="T641" s="31">
        <f>VLOOKUP(A641,'Ansvar kurs'!$A$1:$C$1123,2,FALSE)</f>
        <v>5740</v>
      </c>
      <c r="U641" s="31" t="str">
        <f>VLOOKUP(T641,Orgenheter!$A$1:$C$166,2,FALSE)</f>
        <v>NMD</v>
      </c>
      <c r="V641" s="31" t="str">
        <f>VLOOKUP(T641,Orgenheter!$A$1:$C$166,3,FALSE)</f>
        <v>TekNat</v>
      </c>
      <c r="W641" s="35" t="str">
        <f>VLOOKUP(D641,Program!$A$1:$B$36,2,FALSE)</f>
        <v>Förskollärarprogrammet</v>
      </c>
      <c r="X641" s="40">
        <f>VLOOKUP(A641,kurspris!$A$1:$Q$913,15,FALSE)</f>
        <v>26554</v>
      </c>
      <c r="Y641" s="40">
        <f>VLOOKUP(A641,kurspris!$A$1:$Q$913,16,FALSE)</f>
        <v>33465</v>
      </c>
      <c r="Z641" s="40">
        <f t="shared" si="271"/>
        <v>10999.85</v>
      </c>
      <c r="AA641" s="40">
        <f>VLOOKUP(A641,kurspris!$A$1:$Q$913,17,FALSE)</f>
        <v>6000</v>
      </c>
      <c r="AB641" s="40">
        <f t="shared" si="272"/>
        <v>1200</v>
      </c>
      <c r="AC641" s="40">
        <f t="shared" si="273"/>
        <v>12199.85</v>
      </c>
      <c r="AD641" s="31">
        <f>VLOOKUP($A641,kurspris!$A$1:$Q$950,3,FALSE)</f>
        <v>0</v>
      </c>
      <c r="AE641" s="31">
        <f>VLOOKUP($A641,kurspris!$A$1:$Q$950,4,FALSE)</f>
        <v>0</v>
      </c>
      <c r="AF641" s="31">
        <f>VLOOKUP($A641,kurspris!$A$1:$Q$950,5,FALSE)</f>
        <v>0</v>
      </c>
      <c r="AG641" s="31">
        <f>VLOOKUP($A641,kurspris!$A$1:$Q$950,6,FALSE)</f>
        <v>1</v>
      </c>
      <c r="AH641" s="31">
        <f>VLOOKUP($A641,kurspris!$A$1:$Q$950,7,FALSE)</f>
        <v>0</v>
      </c>
      <c r="AI641" s="31">
        <f>VLOOKUP($A641,kurspris!$A$1:$Q$950,8,FALSE)</f>
        <v>0</v>
      </c>
      <c r="AJ641" s="31">
        <f>VLOOKUP($A641,kurspris!$A$1:$Q$950,9,FALSE)</f>
        <v>0</v>
      </c>
      <c r="AK641" s="31">
        <f>VLOOKUP($A641,kurspris!$A$1:$Q$950,10,FALSE)</f>
        <v>0</v>
      </c>
      <c r="AL641" s="31">
        <f>VLOOKUP($A641,kurspris!$A$1:$Q$950,11,FALSE)</f>
        <v>0</v>
      </c>
      <c r="AM641" s="31">
        <f>VLOOKUP($A641,kurspris!$A$1:$Q$950,12,FALSE)</f>
        <v>0</v>
      </c>
      <c r="AN641" s="31">
        <f>VLOOKUP($A641,kurspris!$A$1:$Q$950,13,FALSE)</f>
        <v>0</v>
      </c>
      <c r="AO641" s="31">
        <f>VLOOKUP($A641,kurspris!$A$1:$Q$950,14,FALSE)</f>
        <v>0</v>
      </c>
      <c r="AP641" s="57" t="s">
        <v>2506</v>
      </c>
      <c r="AQ641" t="s">
        <v>2400</v>
      </c>
      <c r="AR641" s="31">
        <f t="shared" si="274"/>
        <v>0</v>
      </c>
      <c r="AS641" s="219">
        <f t="shared" si="275"/>
        <v>0</v>
      </c>
      <c r="AT641" s="31">
        <f t="shared" si="276"/>
        <v>0</v>
      </c>
      <c r="AU641" s="219">
        <f t="shared" si="277"/>
        <v>0</v>
      </c>
      <c r="AV641" s="31">
        <f t="shared" si="278"/>
        <v>0</v>
      </c>
      <c r="AW641" s="31">
        <f t="shared" si="279"/>
        <v>0</v>
      </c>
      <c r="AX641" s="31">
        <f t="shared" si="280"/>
        <v>0.2</v>
      </c>
      <c r="AY641" s="219">
        <f t="shared" si="281"/>
        <v>0.17</v>
      </c>
      <c r="AZ641" s="196">
        <f t="shared" si="282"/>
        <v>0</v>
      </c>
      <c r="BA641" s="219">
        <f t="shared" si="283"/>
        <v>0</v>
      </c>
      <c r="BB641" s="31">
        <f t="shared" si="284"/>
        <v>0</v>
      </c>
      <c r="BC641" s="219">
        <f t="shared" si="285"/>
        <v>0</v>
      </c>
      <c r="BD641" s="31">
        <f t="shared" si="286"/>
        <v>0</v>
      </c>
      <c r="BE641" s="219">
        <f t="shared" si="287"/>
        <v>0</v>
      </c>
      <c r="BF641" s="31">
        <f t="shared" si="288"/>
        <v>0</v>
      </c>
      <c r="BG641" s="219">
        <f t="shared" si="289"/>
        <v>0</v>
      </c>
      <c r="BH641" s="31">
        <f t="shared" si="290"/>
        <v>0</v>
      </c>
      <c r="BI641" s="219">
        <f t="shared" si="291"/>
        <v>0</v>
      </c>
      <c r="BJ641" s="31">
        <f t="shared" si="292"/>
        <v>0</v>
      </c>
      <c r="BK641" s="219">
        <f t="shared" si="293"/>
        <v>0</v>
      </c>
      <c r="BL641" s="31">
        <f t="shared" si="294"/>
        <v>0</v>
      </c>
      <c r="BM641" s="219">
        <f t="shared" si="295"/>
        <v>0</v>
      </c>
      <c r="BN641" s="31">
        <f t="shared" si="296"/>
        <v>0</v>
      </c>
      <c r="BO641" s="219">
        <f t="shared" si="297"/>
        <v>0</v>
      </c>
    </row>
    <row r="642" spans="1:67" x14ac:dyDescent="0.25">
      <c r="A642" s="31" t="s">
        <v>1533</v>
      </c>
      <c r="B642" s="176" t="str">
        <f>VLOOKUP(A642,kurspris!$A$1:$B$992,2,FALSE)</f>
        <v>Bedömning för lärande i förskolan (UK)</v>
      </c>
      <c r="D642" s="60" t="s">
        <v>483</v>
      </c>
      <c r="E642" s="576" t="s">
        <v>2434</v>
      </c>
      <c r="F642" s="31" t="s">
        <v>2273</v>
      </c>
      <c r="G642" s="244" t="s">
        <v>2446</v>
      </c>
      <c r="H642" t="s">
        <v>2335</v>
      </c>
      <c r="I642" s="31" t="s">
        <v>2276</v>
      </c>
      <c r="L642" s="38">
        <v>1</v>
      </c>
      <c r="M642" s="244">
        <v>4</v>
      </c>
      <c r="P642" s="31">
        <v>37</v>
      </c>
      <c r="Q642" s="196">
        <f t="shared" si="300"/>
        <v>2.4666666666666668</v>
      </c>
      <c r="R642" s="38">
        <v>0.85</v>
      </c>
      <c r="S642" s="280">
        <f t="shared" ref="S642:S705" si="301">Q642*R642</f>
        <v>2.0966666666666667</v>
      </c>
      <c r="T642" s="31">
        <f>VLOOKUP(A642,'Ansvar kurs'!$A$1:$C$1123,2,FALSE)</f>
        <v>5740</v>
      </c>
      <c r="U642" s="31" t="str">
        <f>VLOOKUP(T642,Orgenheter!$A$1:$C$166,2,FALSE)</f>
        <v>NMD</v>
      </c>
      <c r="V642" s="31" t="str">
        <f>VLOOKUP(T642,Orgenheter!$A$1:$C$166,3,FALSE)</f>
        <v>TekNat</v>
      </c>
      <c r="W642" s="35" t="str">
        <f>VLOOKUP(D642,Program!$A$1:$B$36,2,FALSE)</f>
        <v>Förskollärarprogrammet</v>
      </c>
      <c r="X642" s="40">
        <f>VLOOKUP(A642,kurspris!$A$1:$Q$913,15,FALSE)</f>
        <v>26554</v>
      </c>
      <c r="Y642" s="40">
        <f>VLOOKUP(A642,kurspris!$A$1:$Q$913,16,FALSE)</f>
        <v>33465</v>
      </c>
      <c r="Z642" s="40">
        <f t="shared" ref="Z642:Z705" si="302">X642*Q642+S642*Y642</f>
        <v>135664.81666666665</v>
      </c>
      <c r="AA642" s="40">
        <f>VLOOKUP(A642,kurspris!$A$1:$Q$913,17,FALSE)</f>
        <v>6000</v>
      </c>
      <c r="AB642" s="40">
        <f t="shared" ref="AB642:AB705" si="303">AA642*Q642</f>
        <v>14800</v>
      </c>
      <c r="AC642" s="40">
        <f t="shared" ref="AC642:AC705" si="304">Z642+AB642</f>
        <v>150464.81666666665</v>
      </c>
      <c r="AD642" s="31">
        <f>VLOOKUP($A642,kurspris!$A$1:$Q$950,3,FALSE)</f>
        <v>0</v>
      </c>
      <c r="AE642" s="31">
        <f>VLOOKUP($A642,kurspris!$A$1:$Q$950,4,FALSE)</f>
        <v>0</v>
      </c>
      <c r="AF642" s="31">
        <f>VLOOKUP($A642,kurspris!$A$1:$Q$950,5,FALSE)</f>
        <v>0</v>
      </c>
      <c r="AG642" s="31">
        <f>VLOOKUP($A642,kurspris!$A$1:$Q$950,6,FALSE)</f>
        <v>1</v>
      </c>
      <c r="AH642" s="31">
        <f>VLOOKUP($A642,kurspris!$A$1:$Q$950,7,FALSE)</f>
        <v>0</v>
      </c>
      <c r="AI642" s="31">
        <f>VLOOKUP($A642,kurspris!$A$1:$Q$950,8,FALSE)</f>
        <v>0</v>
      </c>
      <c r="AJ642" s="31">
        <f>VLOOKUP($A642,kurspris!$A$1:$Q$950,9,FALSE)</f>
        <v>0</v>
      </c>
      <c r="AK642" s="31">
        <f>VLOOKUP($A642,kurspris!$A$1:$Q$950,10,FALSE)</f>
        <v>0</v>
      </c>
      <c r="AL642" s="31">
        <f>VLOOKUP($A642,kurspris!$A$1:$Q$950,11,FALSE)</f>
        <v>0</v>
      </c>
      <c r="AM642" s="31">
        <f>VLOOKUP($A642,kurspris!$A$1:$Q$950,12,FALSE)</f>
        <v>0</v>
      </c>
      <c r="AN642" s="31">
        <f>VLOOKUP($A642,kurspris!$A$1:$Q$950,13,FALSE)</f>
        <v>0</v>
      </c>
      <c r="AO642" s="31">
        <f>VLOOKUP($A642,kurspris!$A$1:$Q$950,14,FALSE)</f>
        <v>0</v>
      </c>
      <c r="AP642" s="57" t="s">
        <v>2506</v>
      </c>
      <c r="AQ642" t="s">
        <v>2310</v>
      </c>
      <c r="AR642" s="31">
        <f t="shared" ref="AR642:AR705" si="305">$Q642*AD642</f>
        <v>0</v>
      </c>
      <c r="AS642" s="219">
        <f t="shared" ref="AS642:AS705" si="306">$S642*AD642</f>
        <v>0</v>
      </c>
      <c r="AT642" s="31">
        <f t="shared" ref="AT642:AT705" si="307">$Q642*AE642</f>
        <v>0</v>
      </c>
      <c r="AU642" s="219">
        <f t="shared" ref="AU642:AU705" si="308">$S642*AE642</f>
        <v>0</v>
      </c>
      <c r="AV642" s="31">
        <f t="shared" ref="AV642:AV705" si="309">$Q642*AF642</f>
        <v>0</v>
      </c>
      <c r="AW642" s="31">
        <f t="shared" ref="AW642:AW705" si="310">$S642*AF642</f>
        <v>0</v>
      </c>
      <c r="AX642" s="31">
        <f t="shared" ref="AX642:AX705" si="311">$Q642*AG642</f>
        <v>2.4666666666666668</v>
      </c>
      <c r="AY642" s="219">
        <f t="shared" ref="AY642:AY705" si="312">$S642*AG642</f>
        <v>2.0966666666666667</v>
      </c>
      <c r="AZ642" s="196">
        <f t="shared" ref="AZ642:AZ705" si="313">$Q642*AH642</f>
        <v>0</v>
      </c>
      <c r="BA642" s="219">
        <f t="shared" ref="BA642:BA705" si="314">$S642*AH642</f>
        <v>0</v>
      </c>
      <c r="BB642" s="31">
        <f t="shared" ref="BB642:BB705" si="315">$Q642*AI642</f>
        <v>0</v>
      </c>
      <c r="BC642" s="219">
        <f t="shared" ref="BC642:BC705" si="316">$S642*AI642</f>
        <v>0</v>
      </c>
      <c r="BD642" s="31">
        <f t="shared" ref="BD642:BD705" si="317">$Q642*AJ642</f>
        <v>0</v>
      </c>
      <c r="BE642" s="219">
        <f t="shared" ref="BE642:BE705" si="318">$S642*AJ642</f>
        <v>0</v>
      </c>
      <c r="BF642" s="31">
        <f t="shared" ref="BF642:BF705" si="319">$Q642*AK642</f>
        <v>0</v>
      </c>
      <c r="BG642" s="219">
        <f t="shared" ref="BG642:BG705" si="320">$S642*AK642</f>
        <v>0</v>
      </c>
      <c r="BH642" s="31">
        <f t="shared" ref="BH642:BH705" si="321">$Q642*AL642</f>
        <v>0</v>
      </c>
      <c r="BI642" s="219">
        <f t="shared" ref="BI642:BI705" si="322">$S642*AL642</f>
        <v>0</v>
      </c>
      <c r="BJ642" s="31">
        <f t="shared" ref="BJ642:BJ705" si="323">$Q642*AM642</f>
        <v>0</v>
      </c>
      <c r="BK642" s="219">
        <f t="shared" ref="BK642:BK705" si="324">$S642*AM642</f>
        <v>0</v>
      </c>
      <c r="BL642" s="31">
        <f t="shared" ref="BL642:BL705" si="325">$Q642*AN642</f>
        <v>0</v>
      </c>
      <c r="BM642" s="219">
        <f t="shared" ref="BM642:BM705" si="326">$S642*AN642</f>
        <v>0</v>
      </c>
      <c r="BN642" s="31">
        <f t="shared" ref="BN642:BN705" si="327">$Q642*AO642</f>
        <v>0</v>
      </c>
      <c r="BO642" s="219">
        <f t="shared" ref="BO642:BO705" si="328">$S642*AO642</f>
        <v>0</v>
      </c>
    </row>
    <row r="643" spans="1:67" x14ac:dyDescent="0.25">
      <c r="A643" s="31" t="s">
        <v>1533</v>
      </c>
      <c r="B643" s="176" t="str">
        <f>VLOOKUP(A643,kurspris!$A$1:$B$992,2,FALSE)</f>
        <v>Bedömning för lärande i förskolan (UK)</v>
      </c>
      <c r="D643" s="60" t="s">
        <v>483</v>
      </c>
      <c r="E643" s="576" t="s">
        <v>2435</v>
      </c>
      <c r="F643" s="31" t="s">
        <v>2273</v>
      </c>
      <c r="G643" s="244" t="s">
        <v>2445</v>
      </c>
      <c r="H643" t="s">
        <v>2335</v>
      </c>
      <c r="I643" s="31" t="s">
        <v>2276</v>
      </c>
      <c r="L643" s="38">
        <v>1</v>
      </c>
      <c r="M643" s="244">
        <v>6</v>
      </c>
      <c r="P643" s="31">
        <v>1</v>
      </c>
      <c r="Q643" s="196">
        <f t="shared" si="300"/>
        <v>0.1</v>
      </c>
      <c r="R643" s="38">
        <v>0.85</v>
      </c>
      <c r="S643" s="280">
        <f t="shared" si="301"/>
        <v>8.5000000000000006E-2</v>
      </c>
      <c r="T643" s="31">
        <f>VLOOKUP(A643,'Ansvar kurs'!$A$1:$C$1123,2,FALSE)</f>
        <v>5740</v>
      </c>
      <c r="U643" s="31" t="str">
        <f>VLOOKUP(T643,Orgenheter!$A$1:$C$166,2,FALSE)</f>
        <v>NMD</v>
      </c>
      <c r="V643" s="31" t="str">
        <f>VLOOKUP(T643,Orgenheter!$A$1:$C$166,3,FALSE)</f>
        <v>TekNat</v>
      </c>
      <c r="W643" s="35" t="str">
        <f>VLOOKUP(D643,Program!$A$1:$B$36,2,FALSE)</f>
        <v>Förskollärarprogrammet</v>
      </c>
      <c r="X643" s="40">
        <f>VLOOKUP(A643,kurspris!$A$1:$Q$913,15,FALSE)</f>
        <v>26554</v>
      </c>
      <c r="Y643" s="40">
        <f>VLOOKUP(A643,kurspris!$A$1:$Q$913,16,FALSE)</f>
        <v>33465</v>
      </c>
      <c r="Z643" s="40">
        <f t="shared" si="302"/>
        <v>5499.9250000000002</v>
      </c>
      <c r="AA643" s="40">
        <f>VLOOKUP(A643,kurspris!$A$1:$Q$913,17,FALSE)</f>
        <v>6000</v>
      </c>
      <c r="AB643" s="40">
        <f t="shared" si="303"/>
        <v>600</v>
      </c>
      <c r="AC643" s="40">
        <f t="shared" si="304"/>
        <v>6099.9250000000002</v>
      </c>
      <c r="AD643" s="31">
        <f>VLOOKUP($A643,kurspris!$A$1:$Q$950,3,FALSE)</f>
        <v>0</v>
      </c>
      <c r="AE643" s="31">
        <f>VLOOKUP($A643,kurspris!$A$1:$Q$950,4,FALSE)</f>
        <v>0</v>
      </c>
      <c r="AF643" s="31">
        <f>VLOOKUP($A643,kurspris!$A$1:$Q$950,5,FALSE)</f>
        <v>0</v>
      </c>
      <c r="AG643" s="31">
        <f>VLOOKUP($A643,kurspris!$A$1:$Q$950,6,FALSE)</f>
        <v>1</v>
      </c>
      <c r="AH643" s="31">
        <f>VLOOKUP($A643,kurspris!$A$1:$Q$950,7,FALSE)</f>
        <v>0</v>
      </c>
      <c r="AI643" s="31">
        <f>VLOOKUP($A643,kurspris!$A$1:$Q$950,8,FALSE)</f>
        <v>0</v>
      </c>
      <c r="AJ643" s="31">
        <f>VLOOKUP($A643,kurspris!$A$1:$Q$950,9,FALSE)</f>
        <v>0</v>
      </c>
      <c r="AK643" s="31">
        <f>VLOOKUP($A643,kurspris!$A$1:$Q$950,10,FALSE)</f>
        <v>0</v>
      </c>
      <c r="AL643" s="31">
        <f>VLOOKUP($A643,kurspris!$A$1:$Q$950,11,FALSE)</f>
        <v>0</v>
      </c>
      <c r="AM643" s="31">
        <f>VLOOKUP($A643,kurspris!$A$1:$Q$950,12,FALSE)</f>
        <v>0</v>
      </c>
      <c r="AN643" s="31">
        <f>VLOOKUP($A643,kurspris!$A$1:$Q$950,13,FALSE)</f>
        <v>0</v>
      </c>
      <c r="AO643" s="31">
        <f>VLOOKUP($A643,kurspris!$A$1:$Q$950,14,FALSE)</f>
        <v>0</v>
      </c>
      <c r="AP643" s="57" t="s">
        <v>2506</v>
      </c>
      <c r="AQ643" t="s">
        <v>2400</v>
      </c>
      <c r="AR643" s="31">
        <f t="shared" si="305"/>
        <v>0</v>
      </c>
      <c r="AS643" s="219">
        <f t="shared" si="306"/>
        <v>0</v>
      </c>
      <c r="AT643" s="31">
        <f t="shared" si="307"/>
        <v>0</v>
      </c>
      <c r="AU643" s="219">
        <f t="shared" si="308"/>
        <v>0</v>
      </c>
      <c r="AV643" s="31">
        <f t="shared" si="309"/>
        <v>0</v>
      </c>
      <c r="AW643" s="31">
        <f t="shared" si="310"/>
        <v>0</v>
      </c>
      <c r="AX643" s="31">
        <f t="shared" si="311"/>
        <v>0.1</v>
      </c>
      <c r="AY643" s="219">
        <f t="shared" si="312"/>
        <v>8.5000000000000006E-2</v>
      </c>
      <c r="AZ643" s="196">
        <f t="shared" si="313"/>
        <v>0</v>
      </c>
      <c r="BA643" s="219">
        <f t="shared" si="314"/>
        <v>0</v>
      </c>
      <c r="BB643" s="31">
        <f t="shared" si="315"/>
        <v>0</v>
      </c>
      <c r="BC643" s="219">
        <f t="shared" si="316"/>
        <v>0</v>
      </c>
      <c r="BD643" s="31">
        <f t="shared" si="317"/>
        <v>0</v>
      </c>
      <c r="BE643" s="219">
        <f t="shared" si="318"/>
        <v>0</v>
      </c>
      <c r="BF643" s="31">
        <f t="shared" si="319"/>
        <v>0</v>
      </c>
      <c r="BG643" s="219">
        <f t="shared" si="320"/>
        <v>0</v>
      </c>
      <c r="BH643" s="31">
        <f t="shared" si="321"/>
        <v>0</v>
      </c>
      <c r="BI643" s="219">
        <f t="shared" si="322"/>
        <v>0</v>
      </c>
      <c r="BJ643" s="31">
        <f t="shared" si="323"/>
        <v>0</v>
      </c>
      <c r="BK643" s="219">
        <f t="shared" si="324"/>
        <v>0</v>
      </c>
      <c r="BL643" s="31">
        <f t="shared" si="325"/>
        <v>0</v>
      </c>
      <c r="BM643" s="219">
        <f t="shared" si="326"/>
        <v>0</v>
      </c>
      <c r="BN643" s="31">
        <f t="shared" si="327"/>
        <v>0</v>
      </c>
      <c r="BO643" s="219">
        <f t="shared" si="328"/>
        <v>0</v>
      </c>
    </row>
    <row r="644" spans="1:67" x14ac:dyDescent="0.25">
      <c r="A644" s="31" t="s">
        <v>1533</v>
      </c>
      <c r="B644" s="176" t="str">
        <f>VLOOKUP(A644,kurspris!$A$1:$B$992,2,FALSE)</f>
        <v>Bedömning för lärande i förskolan (UK)</v>
      </c>
      <c r="D644" s="60" t="s">
        <v>483</v>
      </c>
      <c r="E644" s="576" t="s">
        <v>2431</v>
      </c>
      <c r="F644" s="31" t="s">
        <v>2273</v>
      </c>
      <c r="G644" s="244" t="s">
        <v>2445</v>
      </c>
      <c r="H644" t="s">
        <v>2335</v>
      </c>
      <c r="I644" s="31" t="s">
        <v>2276</v>
      </c>
      <c r="L644" s="38">
        <v>1</v>
      </c>
      <c r="M644" s="244">
        <v>6</v>
      </c>
      <c r="P644" s="31">
        <v>1</v>
      </c>
      <c r="Q644" s="196">
        <f t="shared" si="300"/>
        <v>0.1</v>
      </c>
      <c r="R644" s="38">
        <v>0.85</v>
      </c>
      <c r="S644" s="280">
        <f t="shared" si="301"/>
        <v>8.5000000000000006E-2</v>
      </c>
      <c r="T644" s="31">
        <f>VLOOKUP(A644,'Ansvar kurs'!$A$1:$C$1123,2,FALSE)</f>
        <v>5740</v>
      </c>
      <c r="U644" s="31" t="str">
        <f>VLOOKUP(T644,Orgenheter!$A$1:$C$166,2,FALSE)</f>
        <v>NMD</v>
      </c>
      <c r="V644" s="31" t="str">
        <f>VLOOKUP(T644,Orgenheter!$A$1:$C$166,3,FALSE)</f>
        <v>TekNat</v>
      </c>
      <c r="W644" s="35" t="str">
        <f>VLOOKUP(D644,Program!$A$1:$B$36,2,FALSE)</f>
        <v>Förskollärarprogrammet</v>
      </c>
      <c r="X644" s="40">
        <f>VLOOKUP(A644,kurspris!$A$1:$Q$913,15,FALSE)</f>
        <v>26554</v>
      </c>
      <c r="Y644" s="40">
        <f>VLOOKUP(A644,kurspris!$A$1:$Q$913,16,FALSE)</f>
        <v>33465</v>
      </c>
      <c r="Z644" s="40">
        <f t="shared" si="302"/>
        <v>5499.9250000000002</v>
      </c>
      <c r="AA644" s="40">
        <f>VLOOKUP(A644,kurspris!$A$1:$Q$913,17,FALSE)</f>
        <v>6000</v>
      </c>
      <c r="AB644" s="40">
        <f t="shared" si="303"/>
        <v>600</v>
      </c>
      <c r="AC644" s="40">
        <f t="shared" si="304"/>
        <v>6099.9250000000002</v>
      </c>
      <c r="AD644" s="31">
        <f>VLOOKUP($A644,kurspris!$A$1:$Q$950,3,FALSE)</f>
        <v>0</v>
      </c>
      <c r="AE644" s="31">
        <f>VLOOKUP($A644,kurspris!$A$1:$Q$950,4,FALSE)</f>
        <v>0</v>
      </c>
      <c r="AF644" s="31">
        <f>VLOOKUP($A644,kurspris!$A$1:$Q$950,5,FALSE)</f>
        <v>0</v>
      </c>
      <c r="AG644" s="31">
        <f>VLOOKUP($A644,kurspris!$A$1:$Q$950,6,FALSE)</f>
        <v>1</v>
      </c>
      <c r="AH644" s="31">
        <f>VLOOKUP($A644,kurspris!$A$1:$Q$950,7,FALSE)</f>
        <v>0</v>
      </c>
      <c r="AI644" s="31">
        <f>VLOOKUP($A644,kurspris!$A$1:$Q$950,8,FALSE)</f>
        <v>0</v>
      </c>
      <c r="AJ644" s="31">
        <f>VLOOKUP($A644,kurspris!$A$1:$Q$950,9,FALSE)</f>
        <v>0</v>
      </c>
      <c r="AK644" s="31">
        <f>VLOOKUP($A644,kurspris!$A$1:$Q$950,10,FALSE)</f>
        <v>0</v>
      </c>
      <c r="AL644" s="31">
        <f>VLOOKUP($A644,kurspris!$A$1:$Q$950,11,FALSE)</f>
        <v>0</v>
      </c>
      <c r="AM644" s="31">
        <f>VLOOKUP($A644,kurspris!$A$1:$Q$950,12,FALSE)</f>
        <v>0</v>
      </c>
      <c r="AN644" s="31">
        <f>VLOOKUP($A644,kurspris!$A$1:$Q$950,13,FALSE)</f>
        <v>0</v>
      </c>
      <c r="AO644" s="31">
        <f>VLOOKUP($A644,kurspris!$A$1:$Q$950,14,FALSE)</f>
        <v>0</v>
      </c>
      <c r="AP644" s="57" t="s">
        <v>2506</v>
      </c>
      <c r="AQ644" t="s">
        <v>2400</v>
      </c>
      <c r="AR644" s="31">
        <f t="shared" si="305"/>
        <v>0</v>
      </c>
      <c r="AS644" s="219">
        <f t="shared" si="306"/>
        <v>0</v>
      </c>
      <c r="AT644" s="31">
        <f t="shared" si="307"/>
        <v>0</v>
      </c>
      <c r="AU644" s="219">
        <f t="shared" si="308"/>
        <v>0</v>
      </c>
      <c r="AV644" s="31">
        <f t="shared" si="309"/>
        <v>0</v>
      </c>
      <c r="AW644" s="31">
        <f t="shared" si="310"/>
        <v>0</v>
      </c>
      <c r="AX644" s="31">
        <f t="shared" si="311"/>
        <v>0.1</v>
      </c>
      <c r="AY644" s="219">
        <f t="shared" si="312"/>
        <v>8.5000000000000006E-2</v>
      </c>
      <c r="AZ644" s="196">
        <f t="shared" si="313"/>
        <v>0</v>
      </c>
      <c r="BA644" s="219">
        <f t="shared" si="314"/>
        <v>0</v>
      </c>
      <c r="BB644" s="31">
        <f t="shared" si="315"/>
        <v>0</v>
      </c>
      <c r="BC644" s="219">
        <f t="shared" si="316"/>
        <v>0</v>
      </c>
      <c r="BD644" s="31">
        <f t="shared" si="317"/>
        <v>0</v>
      </c>
      <c r="BE644" s="219">
        <f t="shared" si="318"/>
        <v>0</v>
      </c>
      <c r="BF644" s="31">
        <f t="shared" si="319"/>
        <v>0</v>
      </c>
      <c r="BG644" s="219">
        <f t="shared" si="320"/>
        <v>0</v>
      </c>
      <c r="BH644" s="31">
        <f t="shared" si="321"/>
        <v>0</v>
      </c>
      <c r="BI644" s="219">
        <f t="shared" si="322"/>
        <v>0</v>
      </c>
      <c r="BJ644" s="31">
        <f t="shared" si="323"/>
        <v>0</v>
      </c>
      <c r="BK644" s="219">
        <f t="shared" si="324"/>
        <v>0</v>
      </c>
      <c r="BL644" s="31">
        <f t="shared" si="325"/>
        <v>0</v>
      </c>
      <c r="BM644" s="219">
        <f t="shared" si="326"/>
        <v>0</v>
      </c>
      <c r="BN644" s="31">
        <f t="shared" si="327"/>
        <v>0</v>
      </c>
      <c r="BO644" s="219">
        <f t="shared" si="328"/>
        <v>0</v>
      </c>
    </row>
    <row r="645" spans="1:67" x14ac:dyDescent="0.25">
      <c r="A645" s="31" t="s">
        <v>1533</v>
      </c>
      <c r="B645" s="176" t="str">
        <f>VLOOKUP(A645,kurspris!$A$1:$B$992,2,FALSE)</f>
        <v>Bedömning för lärande i förskolan (UK)</v>
      </c>
      <c r="D645" s="60" t="s">
        <v>483</v>
      </c>
      <c r="E645" s="576" t="s">
        <v>2436</v>
      </c>
      <c r="F645" s="31" t="s">
        <v>2273</v>
      </c>
      <c r="G645" s="244" t="s">
        <v>2445</v>
      </c>
      <c r="H645" t="s">
        <v>2335</v>
      </c>
      <c r="I645" s="31" t="s">
        <v>2276</v>
      </c>
      <c r="L645" s="38">
        <v>1</v>
      </c>
      <c r="M645" s="244">
        <v>6</v>
      </c>
      <c r="P645" s="31">
        <v>21</v>
      </c>
      <c r="Q645" s="196">
        <f t="shared" si="300"/>
        <v>2.1</v>
      </c>
      <c r="R645" s="38">
        <v>0.85</v>
      </c>
      <c r="S645" s="280">
        <f t="shared" si="301"/>
        <v>1.7849999999999999</v>
      </c>
      <c r="T645" s="31">
        <f>VLOOKUP(A645,'Ansvar kurs'!$A$1:$C$1123,2,FALSE)</f>
        <v>5740</v>
      </c>
      <c r="U645" s="31" t="str">
        <f>VLOOKUP(T645,Orgenheter!$A$1:$C$166,2,FALSE)</f>
        <v>NMD</v>
      </c>
      <c r="V645" s="31" t="str">
        <f>VLOOKUP(T645,Orgenheter!$A$1:$C$166,3,FALSE)</f>
        <v>TekNat</v>
      </c>
      <c r="W645" s="35" t="str">
        <f>VLOOKUP(D645,Program!$A$1:$B$36,2,FALSE)</f>
        <v>Förskollärarprogrammet</v>
      </c>
      <c r="X645" s="40">
        <f>VLOOKUP(A645,kurspris!$A$1:$Q$913,15,FALSE)</f>
        <v>26554</v>
      </c>
      <c r="Y645" s="40">
        <f>VLOOKUP(A645,kurspris!$A$1:$Q$913,16,FALSE)</f>
        <v>33465</v>
      </c>
      <c r="Z645" s="40">
        <f t="shared" si="302"/>
        <v>115498.42499999999</v>
      </c>
      <c r="AA645" s="40">
        <f>VLOOKUP(A645,kurspris!$A$1:$Q$913,17,FALSE)</f>
        <v>6000</v>
      </c>
      <c r="AB645" s="40">
        <f t="shared" si="303"/>
        <v>12600</v>
      </c>
      <c r="AC645" s="40">
        <f t="shared" si="304"/>
        <v>128098.42499999999</v>
      </c>
      <c r="AD645" s="31">
        <f>VLOOKUP($A645,kurspris!$A$1:$Q$950,3,FALSE)</f>
        <v>0</v>
      </c>
      <c r="AE645" s="31">
        <f>VLOOKUP($A645,kurspris!$A$1:$Q$950,4,FALSE)</f>
        <v>0</v>
      </c>
      <c r="AF645" s="31">
        <f>VLOOKUP($A645,kurspris!$A$1:$Q$950,5,FALSE)</f>
        <v>0</v>
      </c>
      <c r="AG645" s="31">
        <f>VLOOKUP($A645,kurspris!$A$1:$Q$950,6,FALSE)</f>
        <v>1</v>
      </c>
      <c r="AH645" s="31">
        <f>VLOOKUP($A645,kurspris!$A$1:$Q$950,7,FALSE)</f>
        <v>0</v>
      </c>
      <c r="AI645" s="31">
        <f>VLOOKUP($A645,kurspris!$A$1:$Q$950,8,FALSE)</f>
        <v>0</v>
      </c>
      <c r="AJ645" s="31">
        <f>VLOOKUP($A645,kurspris!$A$1:$Q$950,9,FALSE)</f>
        <v>0</v>
      </c>
      <c r="AK645" s="31">
        <f>VLOOKUP($A645,kurspris!$A$1:$Q$950,10,FALSE)</f>
        <v>0</v>
      </c>
      <c r="AL645" s="31">
        <f>VLOOKUP($A645,kurspris!$A$1:$Q$950,11,FALSE)</f>
        <v>0</v>
      </c>
      <c r="AM645" s="31">
        <f>VLOOKUP($A645,kurspris!$A$1:$Q$950,12,FALSE)</f>
        <v>0</v>
      </c>
      <c r="AN645" s="31">
        <f>VLOOKUP($A645,kurspris!$A$1:$Q$950,13,FALSE)</f>
        <v>0</v>
      </c>
      <c r="AO645" s="31">
        <f>VLOOKUP($A645,kurspris!$A$1:$Q$950,14,FALSE)</f>
        <v>0</v>
      </c>
      <c r="AP645" s="57" t="s">
        <v>2506</v>
      </c>
      <c r="AQ645" t="s">
        <v>2400</v>
      </c>
      <c r="AR645" s="31">
        <f t="shared" si="305"/>
        <v>0</v>
      </c>
      <c r="AS645" s="219">
        <f t="shared" si="306"/>
        <v>0</v>
      </c>
      <c r="AT645" s="31">
        <f t="shared" si="307"/>
        <v>0</v>
      </c>
      <c r="AU645" s="219">
        <f t="shared" si="308"/>
        <v>0</v>
      </c>
      <c r="AV645" s="31">
        <f t="shared" si="309"/>
        <v>0</v>
      </c>
      <c r="AW645" s="31">
        <f t="shared" si="310"/>
        <v>0</v>
      </c>
      <c r="AX645" s="31">
        <f t="shared" si="311"/>
        <v>2.1</v>
      </c>
      <c r="AY645" s="219">
        <f t="shared" si="312"/>
        <v>1.7849999999999999</v>
      </c>
      <c r="AZ645" s="196">
        <f t="shared" si="313"/>
        <v>0</v>
      </c>
      <c r="BA645" s="219">
        <f t="shared" si="314"/>
        <v>0</v>
      </c>
      <c r="BB645" s="31">
        <f t="shared" si="315"/>
        <v>0</v>
      </c>
      <c r="BC645" s="219">
        <f t="shared" si="316"/>
        <v>0</v>
      </c>
      <c r="BD645" s="31">
        <f t="shared" si="317"/>
        <v>0</v>
      </c>
      <c r="BE645" s="219">
        <f t="shared" si="318"/>
        <v>0</v>
      </c>
      <c r="BF645" s="31">
        <f t="shared" si="319"/>
        <v>0</v>
      </c>
      <c r="BG645" s="219">
        <f t="shared" si="320"/>
        <v>0</v>
      </c>
      <c r="BH645" s="31">
        <f t="shared" si="321"/>
        <v>0</v>
      </c>
      <c r="BI645" s="219">
        <f t="shared" si="322"/>
        <v>0</v>
      </c>
      <c r="BJ645" s="31">
        <f t="shared" si="323"/>
        <v>0</v>
      </c>
      <c r="BK645" s="219">
        <f t="shared" si="324"/>
        <v>0</v>
      </c>
      <c r="BL645" s="31">
        <f t="shared" si="325"/>
        <v>0</v>
      </c>
      <c r="BM645" s="219">
        <f t="shared" si="326"/>
        <v>0</v>
      </c>
      <c r="BN645" s="31">
        <f t="shared" si="327"/>
        <v>0</v>
      </c>
      <c r="BO645" s="219">
        <f t="shared" si="328"/>
        <v>0</v>
      </c>
    </row>
    <row r="646" spans="1:67" x14ac:dyDescent="0.25">
      <c r="A646" s="31" t="s">
        <v>1533</v>
      </c>
      <c r="B646" s="176" t="str">
        <f>VLOOKUP(A646,kurspris!$A$1:$B$992,2,FALSE)</f>
        <v>Bedömning för lärande i förskolan (UK)</v>
      </c>
      <c r="D646" s="60" t="s">
        <v>483</v>
      </c>
      <c r="E646" s="576" t="s">
        <v>2436</v>
      </c>
      <c r="F646" s="60" t="s">
        <v>2273</v>
      </c>
      <c r="G646" s="244" t="s">
        <v>2446</v>
      </c>
      <c r="H646" t="s">
        <v>2335</v>
      </c>
      <c r="I646" s="31" t="s">
        <v>2276</v>
      </c>
      <c r="L646" s="38">
        <v>1</v>
      </c>
      <c r="M646" s="244">
        <v>4</v>
      </c>
      <c r="P646" s="31">
        <v>1</v>
      </c>
      <c r="Q646" s="196">
        <f t="shared" si="300"/>
        <v>6.6666666666666666E-2</v>
      </c>
      <c r="R646" s="38">
        <v>0.85</v>
      </c>
      <c r="S646" s="280">
        <f t="shared" si="301"/>
        <v>5.6666666666666664E-2</v>
      </c>
      <c r="T646" s="31">
        <f>VLOOKUP(A646,'Ansvar kurs'!$A$1:$C$1123,2,FALSE)</f>
        <v>5740</v>
      </c>
      <c r="U646" s="31" t="str">
        <f>VLOOKUP(T646,Orgenheter!$A$1:$C$166,2,FALSE)</f>
        <v>NMD</v>
      </c>
      <c r="V646" s="31" t="str">
        <f>VLOOKUP(T646,Orgenheter!$A$1:$C$166,3,FALSE)</f>
        <v>TekNat</v>
      </c>
      <c r="W646" s="35" t="str">
        <f>VLOOKUP(D646,Program!$A$1:$B$36,2,FALSE)</f>
        <v>Förskollärarprogrammet</v>
      </c>
      <c r="X646" s="40">
        <f>VLOOKUP(A646,kurspris!$A$1:$Q$913,15,FALSE)</f>
        <v>26554</v>
      </c>
      <c r="Y646" s="40">
        <f>VLOOKUP(A646,kurspris!$A$1:$Q$913,16,FALSE)</f>
        <v>33465</v>
      </c>
      <c r="Z646" s="40">
        <f t="shared" si="302"/>
        <v>3666.6166666666668</v>
      </c>
      <c r="AA646" s="40">
        <f>VLOOKUP(A646,kurspris!$A$1:$Q$913,17,FALSE)</f>
        <v>6000</v>
      </c>
      <c r="AB646" s="40">
        <f t="shared" si="303"/>
        <v>400</v>
      </c>
      <c r="AC646" s="40">
        <f t="shared" si="304"/>
        <v>4066.6166666666668</v>
      </c>
      <c r="AD646" s="31">
        <f>VLOOKUP($A646,kurspris!$A$1:$Q$950,3,FALSE)</f>
        <v>0</v>
      </c>
      <c r="AE646" s="31">
        <f>VLOOKUP($A646,kurspris!$A$1:$Q$950,4,FALSE)</f>
        <v>0</v>
      </c>
      <c r="AF646" s="31">
        <f>VLOOKUP($A646,kurspris!$A$1:$Q$950,5,FALSE)</f>
        <v>0</v>
      </c>
      <c r="AG646" s="31">
        <f>VLOOKUP($A646,kurspris!$A$1:$Q$950,6,FALSE)</f>
        <v>1</v>
      </c>
      <c r="AH646" s="31">
        <f>VLOOKUP($A646,kurspris!$A$1:$Q$950,7,FALSE)</f>
        <v>0</v>
      </c>
      <c r="AI646" s="31">
        <f>VLOOKUP($A646,kurspris!$A$1:$Q$950,8,FALSE)</f>
        <v>0</v>
      </c>
      <c r="AJ646" s="31">
        <f>VLOOKUP($A646,kurspris!$A$1:$Q$950,9,FALSE)</f>
        <v>0</v>
      </c>
      <c r="AK646" s="31">
        <f>VLOOKUP($A646,kurspris!$A$1:$Q$950,10,FALSE)</f>
        <v>0</v>
      </c>
      <c r="AL646" s="31">
        <f>VLOOKUP($A646,kurspris!$A$1:$Q$950,11,FALSE)</f>
        <v>0</v>
      </c>
      <c r="AM646" s="31">
        <f>VLOOKUP($A646,kurspris!$A$1:$Q$950,12,FALSE)</f>
        <v>0</v>
      </c>
      <c r="AN646" s="31">
        <f>VLOOKUP($A646,kurspris!$A$1:$Q$950,13,FALSE)</f>
        <v>0</v>
      </c>
      <c r="AO646" s="31">
        <f>VLOOKUP($A646,kurspris!$A$1:$Q$950,14,FALSE)</f>
        <v>0</v>
      </c>
      <c r="AP646" s="57" t="s">
        <v>2506</v>
      </c>
      <c r="AQ646" t="s">
        <v>2400</v>
      </c>
      <c r="AR646" s="31">
        <f t="shared" si="305"/>
        <v>0</v>
      </c>
      <c r="AS646" s="219">
        <f t="shared" si="306"/>
        <v>0</v>
      </c>
      <c r="AT646" s="31">
        <f t="shared" si="307"/>
        <v>0</v>
      </c>
      <c r="AU646" s="219">
        <f t="shared" si="308"/>
        <v>0</v>
      </c>
      <c r="AV646" s="31">
        <f t="shared" si="309"/>
        <v>0</v>
      </c>
      <c r="AW646" s="31">
        <f t="shared" si="310"/>
        <v>0</v>
      </c>
      <c r="AX646" s="31">
        <f t="shared" si="311"/>
        <v>6.6666666666666666E-2</v>
      </c>
      <c r="AY646" s="219">
        <f t="shared" si="312"/>
        <v>5.6666666666666664E-2</v>
      </c>
      <c r="AZ646" s="196">
        <f t="shared" si="313"/>
        <v>0</v>
      </c>
      <c r="BA646" s="219">
        <f t="shared" si="314"/>
        <v>0</v>
      </c>
      <c r="BB646" s="31">
        <f t="shared" si="315"/>
        <v>0</v>
      </c>
      <c r="BC646" s="219">
        <f t="shared" si="316"/>
        <v>0</v>
      </c>
      <c r="BD646" s="31">
        <f t="shared" si="317"/>
        <v>0</v>
      </c>
      <c r="BE646" s="219">
        <f t="shared" si="318"/>
        <v>0</v>
      </c>
      <c r="BF646" s="31">
        <f t="shared" si="319"/>
        <v>0</v>
      </c>
      <c r="BG646" s="219">
        <f t="shared" si="320"/>
        <v>0</v>
      </c>
      <c r="BH646" s="31">
        <f t="shared" si="321"/>
        <v>0</v>
      </c>
      <c r="BI646" s="219">
        <f t="shared" si="322"/>
        <v>0</v>
      </c>
      <c r="BJ646" s="31">
        <f t="shared" si="323"/>
        <v>0</v>
      </c>
      <c r="BK646" s="219">
        <f t="shared" si="324"/>
        <v>0</v>
      </c>
      <c r="BL646" s="31">
        <f t="shared" si="325"/>
        <v>0</v>
      </c>
      <c r="BM646" s="219">
        <f t="shared" si="326"/>
        <v>0</v>
      </c>
      <c r="BN646" s="31">
        <f t="shared" si="327"/>
        <v>0</v>
      </c>
      <c r="BO646" s="219">
        <f t="shared" si="328"/>
        <v>0</v>
      </c>
    </row>
    <row r="647" spans="1:67" x14ac:dyDescent="0.25">
      <c r="A647" s="31" t="s">
        <v>1533</v>
      </c>
      <c r="B647" s="176" t="str">
        <f>VLOOKUP(A647,kurspris!$A$1:$B$992,2,FALSE)</f>
        <v>Bedömning för lärande i förskolan (UK)</v>
      </c>
      <c r="C647" s="31">
        <v>61818</v>
      </c>
      <c r="D647" s="31" t="s">
        <v>483</v>
      </c>
      <c r="F647" s="57" t="s">
        <v>2274</v>
      </c>
      <c r="H647" s="31" t="s">
        <v>2335</v>
      </c>
      <c r="I647" s="31" t="s">
        <v>2399</v>
      </c>
      <c r="L647" s="38"/>
      <c r="M647" s="244">
        <v>4</v>
      </c>
      <c r="P647" s="31">
        <v>13</v>
      </c>
      <c r="Q647" s="539">
        <v>0.86699999999999999</v>
      </c>
      <c r="R647" s="38">
        <v>0.85</v>
      </c>
      <c r="S647" s="280">
        <f t="shared" si="301"/>
        <v>0.73694999999999999</v>
      </c>
      <c r="T647" s="31">
        <f>VLOOKUP(A647,'Ansvar kurs'!$A$1:$C$1123,2,FALSE)</f>
        <v>5740</v>
      </c>
      <c r="U647" s="31" t="str">
        <f>VLOOKUP(T647,Orgenheter!$A$1:$C$166,2,FALSE)</f>
        <v>NMD</v>
      </c>
      <c r="V647" s="31" t="str">
        <f>VLOOKUP(T647,Orgenheter!$A$1:$C$166,3,FALSE)</f>
        <v>TekNat</v>
      </c>
      <c r="W647" s="35" t="str">
        <f>VLOOKUP(D647,Program!$A$1:$B$36,2,FALSE)</f>
        <v>Förskollärarprogrammet</v>
      </c>
      <c r="X647" s="40">
        <f>VLOOKUP(A647,kurspris!$A$1:$Q$913,15,FALSE)</f>
        <v>26554</v>
      </c>
      <c r="Y647" s="40">
        <f>VLOOKUP(A647,kurspris!$A$1:$Q$913,16,FALSE)</f>
        <v>33465</v>
      </c>
      <c r="Z647" s="40">
        <f t="shared" si="302"/>
        <v>47684.349749999994</v>
      </c>
      <c r="AA647" s="40">
        <f>VLOOKUP(A647,kurspris!$A$1:$Q$913,17,FALSE)</f>
        <v>6000</v>
      </c>
      <c r="AB647" s="40">
        <f t="shared" si="303"/>
        <v>5202</v>
      </c>
      <c r="AC647" s="40">
        <f t="shared" si="304"/>
        <v>52886.349749999994</v>
      </c>
      <c r="AD647" s="31">
        <f>VLOOKUP($A647,kurspris!$A$1:$Q$950,3,FALSE)</f>
        <v>0</v>
      </c>
      <c r="AE647" s="31">
        <f>VLOOKUP($A647,kurspris!$A$1:$Q$950,4,FALSE)</f>
        <v>0</v>
      </c>
      <c r="AF647" s="31">
        <f>VLOOKUP($A647,kurspris!$A$1:$Q$950,5,FALSE)</f>
        <v>0</v>
      </c>
      <c r="AG647" s="31">
        <f>VLOOKUP($A647,kurspris!$A$1:$Q$950,6,FALSE)</f>
        <v>1</v>
      </c>
      <c r="AH647" s="31">
        <f>VLOOKUP($A647,kurspris!$A$1:$Q$950,7,FALSE)</f>
        <v>0</v>
      </c>
      <c r="AI647" s="31">
        <f>VLOOKUP($A647,kurspris!$A$1:$Q$950,8,FALSE)</f>
        <v>0</v>
      </c>
      <c r="AJ647" s="31">
        <f>VLOOKUP($A647,kurspris!$A$1:$Q$950,9,FALSE)</f>
        <v>0</v>
      </c>
      <c r="AK647" s="31">
        <f>VLOOKUP($A647,kurspris!$A$1:$Q$950,10,FALSE)</f>
        <v>0</v>
      </c>
      <c r="AL647" s="31">
        <f>VLOOKUP($A647,kurspris!$A$1:$Q$950,11,FALSE)</f>
        <v>0</v>
      </c>
      <c r="AM647" s="31">
        <f>VLOOKUP($A647,kurspris!$A$1:$Q$950,12,FALSE)</f>
        <v>0</v>
      </c>
      <c r="AN647" s="31">
        <f>VLOOKUP($A647,kurspris!$A$1:$Q$950,13,FALSE)</f>
        <v>0</v>
      </c>
      <c r="AO647" s="31">
        <f>VLOOKUP($A647,kurspris!$A$1:$Q$950,14,FALSE)</f>
        <v>0</v>
      </c>
      <c r="AP647" s="57" t="s">
        <v>2402</v>
      </c>
      <c r="AQ647" s="37" t="s">
        <v>2310</v>
      </c>
      <c r="AR647" s="31">
        <f t="shared" si="305"/>
        <v>0</v>
      </c>
      <c r="AS647" s="219">
        <f t="shared" si="306"/>
        <v>0</v>
      </c>
      <c r="AT647" s="31">
        <f t="shared" si="307"/>
        <v>0</v>
      </c>
      <c r="AU647" s="219">
        <f t="shared" si="308"/>
        <v>0</v>
      </c>
      <c r="AV647" s="31">
        <f t="shared" si="309"/>
        <v>0</v>
      </c>
      <c r="AW647" s="31">
        <f t="shared" si="310"/>
        <v>0</v>
      </c>
      <c r="AX647" s="31">
        <f t="shared" si="311"/>
        <v>0.86699999999999999</v>
      </c>
      <c r="AY647" s="219">
        <f t="shared" si="312"/>
        <v>0.73694999999999999</v>
      </c>
      <c r="AZ647" s="196">
        <f t="shared" si="313"/>
        <v>0</v>
      </c>
      <c r="BA647" s="219">
        <f t="shared" si="314"/>
        <v>0</v>
      </c>
      <c r="BB647" s="31">
        <f t="shared" si="315"/>
        <v>0</v>
      </c>
      <c r="BC647" s="219">
        <f t="shared" si="316"/>
        <v>0</v>
      </c>
      <c r="BD647" s="31">
        <f t="shared" si="317"/>
        <v>0</v>
      </c>
      <c r="BE647" s="219">
        <f t="shared" si="318"/>
        <v>0</v>
      </c>
      <c r="BF647" s="31">
        <f t="shared" si="319"/>
        <v>0</v>
      </c>
      <c r="BG647" s="219">
        <f t="shared" si="320"/>
        <v>0</v>
      </c>
      <c r="BH647" s="31">
        <f t="shared" si="321"/>
        <v>0</v>
      </c>
      <c r="BI647" s="219">
        <f t="shared" si="322"/>
        <v>0</v>
      </c>
      <c r="BJ647" s="31">
        <f t="shared" si="323"/>
        <v>0</v>
      </c>
      <c r="BK647" s="219">
        <f t="shared" si="324"/>
        <v>0</v>
      </c>
      <c r="BL647" s="31">
        <f t="shared" si="325"/>
        <v>0</v>
      </c>
      <c r="BM647" s="219">
        <f t="shared" si="326"/>
        <v>0</v>
      </c>
      <c r="BN647" s="31">
        <f t="shared" si="327"/>
        <v>0</v>
      </c>
      <c r="BO647" s="219">
        <f t="shared" si="328"/>
        <v>0</v>
      </c>
    </row>
    <row r="648" spans="1:67" x14ac:dyDescent="0.25">
      <c r="A648" s="31" t="s">
        <v>1533</v>
      </c>
      <c r="B648" s="176" t="str">
        <f>VLOOKUP(A648,kurspris!$A$1:$B$992,2,FALSE)</f>
        <v>Bedömning för lärande i förskolan (UK)</v>
      </c>
      <c r="C648" s="31">
        <v>61902</v>
      </c>
      <c r="D648" s="60" t="s">
        <v>483</v>
      </c>
      <c r="E648" s="60"/>
      <c r="F648" s="57" t="s">
        <v>2274</v>
      </c>
      <c r="H648" s="31" t="s">
        <v>2335</v>
      </c>
      <c r="I648" s="31" t="s">
        <v>2399</v>
      </c>
      <c r="L648" s="38"/>
      <c r="M648" s="244">
        <v>6</v>
      </c>
      <c r="P648" s="31">
        <v>38</v>
      </c>
      <c r="Q648" s="539">
        <v>3.8</v>
      </c>
      <c r="R648" s="38">
        <v>0.85</v>
      </c>
      <c r="S648" s="280">
        <f t="shared" si="301"/>
        <v>3.23</v>
      </c>
      <c r="T648" s="31">
        <f>VLOOKUP(A648,'Ansvar kurs'!$A$1:$C$1123,2,FALSE)</f>
        <v>5740</v>
      </c>
      <c r="U648" s="31" t="str">
        <f>VLOOKUP(T648,Orgenheter!$A$1:$C$166,2,FALSE)</f>
        <v>NMD</v>
      </c>
      <c r="V648" s="31" t="str">
        <f>VLOOKUP(T648,Orgenheter!$A$1:$C$166,3,FALSE)</f>
        <v>TekNat</v>
      </c>
      <c r="W648" s="35" t="str">
        <f>VLOOKUP(D648,Program!$A$1:$B$36,2,FALSE)</f>
        <v>Förskollärarprogrammet</v>
      </c>
      <c r="X648" s="40">
        <f>VLOOKUP(A648,kurspris!$A$1:$Q$913,15,FALSE)</f>
        <v>26554</v>
      </c>
      <c r="Y648" s="40">
        <f>VLOOKUP(A648,kurspris!$A$1:$Q$913,16,FALSE)</f>
        <v>33465</v>
      </c>
      <c r="Z648" s="40">
        <f t="shared" si="302"/>
        <v>208997.15</v>
      </c>
      <c r="AA648" s="40">
        <f>VLOOKUP(A648,kurspris!$A$1:$Q$913,17,FALSE)</f>
        <v>6000</v>
      </c>
      <c r="AB648" s="40">
        <f t="shared" si="303"/>
        <v>22800</v>
      </c>
      <c r="AC648" s="40">
        <f t="shared" si="304"/>
        <v>231797.15</v>
      </c>
      <c r="AD648" s="31">
        <f>VLOOKUP($A648,kurspris!$A$1:$Q$950,3,FALSE)</f>
        <v>0</v>
      </c>
      <c r="AE648" s="31">
        <f>VLOOKUP($A648,kurspris!$A$1:$Q$950,4,FALSE)</f>
        <v>0</v>
      </c>
      <c r="AF648" s="31">
        <f>VLOOKUP($A648,kurspris!$A$1:$Q$950,5,FALSE)</f>
        <v>0</v>
      </c>
      <c r="AG648" s="31">
        <f>VLOOKUP($A648,kurspris!$A$1:$Q$950,6,FALSE)</f>
        <v>1</v>
      </c>
      <c r="AH648" s="31">
        <f>VLOOKUP($A648,kurspris!$A$1:$Q$950,7,FALSE)</f>
        <v>0</v>
      </c>
      <c r="AI648" s="31">
        <f>VLOOKUP($A648,kurspris!$A$1:$Q$950,8,FALSE)</f>
        <v>0</v>
      </c>
      <c r="AJ648" s="31">
        <f>VLOOKUP($A648,kurspris!$A$1:$Q$950,9,FALSE)</f>
        <v>0</v>
      </c>
      <c r="AK648" s="31">
        <f>VLOOKUP($A648,kurspris!$A$1:$Q$950,10,FALSE)</f>
        <v>0</v>
      </c>
      <c r="AL648" s="31">
        <f>VLOOKUP($A648,kurspris!$A$1:$Q$950,11,FALSE)</f>
        <v>0</v>
      </c>
      <c r="AM648" s="31">
        <f>VLOOKUP($A648,kurspris!$A$1:$Q$950,12,FALSE)</f>
        <v>0</v>
      </c>
      <c r="AN648" s="31">
        <f>VLOOKUP($A648,kurspris!$A$1:$Q$950,13,FALSE)</f>
        <v>0</v>
      </c>
      <c r="AO648" s="31">
        <f>VLOOKUP($A648,kurspris!$A$1:$Q$950,14,FALSE)</f>
        <v>0</v>
      </c>
      <c r="AP648" s="57" t="s">
        <v>2402</v>
      </c>
      <c r="AQ648" t="s">
        <v>2400</v>
      </c>
      <c r="AR648" s="31">
        <f t="shared" si="305"/>
        <v>0</v>
      </c>
      <c r="AS648" s="219">
        <f t="shared" si="306"/>
        <v>0</v>
      </c>
      <c r="AT648" s="31">
        <f t="shared" si="307"/>
        <v>0</v>
      </c>
      <c r="AU648" s="219">
        <f t="shared" si="308"/>
        <v>0</v>
      </c>
      <c r="AV648" s="31">
        <f t="shared" si="309"/>
        <v>0</v>
      </c>
      <c r="AW648" s="31">
        <f t="shared" si="310"/>
        <v>0</v>
      </c>
      <c r="AX648" s="31">
        <f t="shared" si="311"/>
        <v>3.8</v>
      </c>
      <c r="AY648" s="219">
        <f t="shared" si="312"/>
        <v>3.23</v>
      </c>
      <c r="AZ648" s="196">
        <f t="shared" si="313"/>
        <v>0</v>
      </c>
      <c r="BA648" s="219">
        <f t="shared" si="314"/>
        <v>0</v>
      </c>
      <c r="BB648" s="31">
        <f t="shared" si="315"/>
        <v>0</v>
      </c>
      <c r="BC648" s="219">
        <f t="shared" si="316"/>
        <v>0</v>
      </c>
      <c r="BD648" s="31">
        <f t="shared" si="317"/>
        <v>0</v>
      </c>
      <c r="BE648" s="219">
        <f t="shared" si="318"/>
        <v>0</v>
      </c>
      <c r="BF648" s="31">
        <f t="shared" si="319"/>
        <v>0</v>
      </c>
      <c r="BG648" s="219">
        <f t="shared" si="320"/>
        <v>0</v>
      </c>
      <c r="BH648" s="31">
        <f t="shared" si="321"/>
        <v>0</v>
      </c>
      <c r="BI648" s="219">
        <f t="shared" si="322"/>
        <v>0</v>
      </c>
      <c r="BJ648" s="31">
        <f t="shared" si="323"/>
        <v>0</v>
      </c>
      <c r="BK648" s="219">
        <f t="shared" si="324"/>
        <v>0</v>
      </c>
      <c r="BL648" s="31">
        <f t="shared" si="325"/>
        <v>0</v>
      </c>
      <c r="BM648" s="219">
        <f t="shared" si="326"/>
        <v>0</v>
      </c>
      <c r="BN648" s="31">
        <f t="shared" si="327"/>
        <v>0</v>
      </c>
      <c r="BO648" s="219">
        <f t="shared" si="328"/>
        <v>0</v>
      </c>
    </row>
    <row r="649" spans="1:67" x14ac:dyDescent="0.25">
      <c r="A649" s="31" t="s">
        <v>1658</v>
      </c>
      <c r="B649" s="176" t="str">
        <f>VLOOKUP(A649,kurspris!$A$1:$B$992,2,FALSE)</f>
        <v>Bedömning för och av lärande för åk 7-9 och gymnasium (UK)</v>
      </c>
      <c r="D649" s="60" t="s">
        <v>481</v>
      </c>
      <c r="E649" s="576" t="s">
        <v>2227</v>
      </c>
      <c r="F649" s="31" t="s">
        <v>2273</v>
      </c>
      <c r="G649" t="s">
        <v>2473</v>
      </c>
      <c r="H649" t="s">
        <v>2335</v>
      </c>
      <c r="J649" s="31" t="s">
        <v>2244</v>
      </c>
      <c r="L649" s="38">
        <v>1</v>
      </c>
      <c r="M649">
        <v>11</v>
      </c>
      <c r="P649" s="31">
        <v>1</v>
      </c>
      <c r="Q649" s="196">
        <f t="shared" ref="Q649:Q675" si="329">(M649/60)*P649</f>
        <v>0.18333333333333332</v>
      </c>
      <c r="R649" s="38">
        <v>0.85</v>
      </c>
      <c r="S649" s="280">
        <f t="shared" si="301"/>
        <v>0.15583333333333332</v>
      </c>
      <c r="T649" s="31">
        <f>VLOOKUP(A649,'Ansvar kurs'!$A$1:$C$1123,2,FALSE)</f>
        <v>5740</v>
      </c>
      <c r="U649" s="31" t="str">
        <f>VLOOKUP(T649,Orgenheter!$A$1:$C$166,2,FALSE)</f>
        <v>NMD</v>
      </c>
      <c r="V649" s="31" t="str">
        <f>VLOOKUP(T649,Orgenheter!$A$1:$C$166,3,FALSE)</f>
        <v>TekNat</v>
      </c>
      <c r="W649" s="35" t="str">
        <f>VLOOKUP(D649,Program!$A$1:$B$36,2,FALSE)</f>
        <v>Ämneslärarprogrammet - åk 7-9</v>
      </c>
      <c r="X649" s="40">
        <f>VLOOKUP(A649,kurspris!$A$1:$Q$913,15,FALSE)</f>
        <v>26554</v>
      </c>
      <c r="Y649" s="40">
        <f>VLOOKUP(A649,kurspris!$A$1:$Q$913,16,FALSE)</f>
        <v>33465</v>
      </c>
      <c r="Z649" s="40">
        <f t="shared" si="302"/>
        <v>10083.195833333331</v>
      </c>
      <c r="AA649" s="40">
        <f>VLOOKUP(A649,kurspris!$A$1:$Q$913,17,FALSE)</f>
        <v>6000</v>
      </c>
      <c r="AB649" s="40">
        <f t="shared" si="303"/>
        <v>1100</v>
      </c>
      <c r="AC649" s="40">
        <f t="shared" si="304"/>
        <v>11183.195833333331</v>
      </c>
      <c r="AD649" s="31">
        <f>VLOOKUP($A649,kurspris!$A$1:$Q$950,3,FALSE)</f>
        <v>0</v>
      </c>
      <c r="AE649" s="31">
        <f>VLOOKUP($A649,kurspris!$A$1:$Q$950,4,FALSE)</f>
        <v>0</v>
      </c>
      <c r="AF649" s="31">
        <f>VLOOKUP($A649,kurspris!$A$1:$Q$950,5,FALSE)</f>
        <v>0</v>
      </c>
      <c r="AG649" s="31">
        <f>VLOOKUP($A649,kurspris!$A$1:$Q$950,6,FALSE)</f>
        <v>1</v>
      </c>
      <c r="AH649" s="31">
        <f>VLOOKUP($A649,kurspris!$A$1:$Q$950,7,FALSE)</f>
        <v>0</v>
      </c>
      <c r="AI649" s="31">
        <f>VLOOKUP($A649,kurspris!$A$1:$Q$950,8,FALSE)</f>
        <v>0</v>
      </c>
      <c r="AJ649" s="31">
        <f>VLOOKUP($A649,kurspris!$A$1:$Q$950,9,FALSE)</f>
        <v>0</v>
      </c>
      <c r="AK649" s="31">
        <f>VLOOKUP($A649,kurspris!$A$1:$Q$950,10,FALSE)</f>
        <v>0</v>
      </c>
      <c r="AL649" s="31">
        <f>VLOOKUP($A649,kurspris!$A$1:$Q$950,11,FALSE)</f>
        <v>0</v>
      </c>
      <c r="AM649" s="31">
        <f>VLOOKUP($A649,kurspris!$A$1:$Q$950,12,FALSE)</f>
        <v>0</v>
      </c>
      <c r="AN649" s="31">
        <f>VLOOKUP($A649,kurspris!$A$1:$Q$950,13,FALSE)</f>
        <v>0</v>
      </c>
      <c r="AO649" s="31">
        <f>VLOOKUP($A649,kurspris!$A$1:$Q$950,14,FALSE)</f>
        <v>0</v>
      </c>
      <c r="AP649" s="57" t="s">
        <v>2506</v>
      </c>
      <c r="AQ649"/>
      <c r="AR649" s="31">
        <f t="shared" si="305"/>
        <v>0</v>
      </c>
      <c r="AS649" s="219">
        <f t="shared" si="306"/>
        <v>0</v>
      </c>
      <c r="AT649" s="31">
        <f t="shared" si="307"/>
        <v>0</v>
      </c>
      <c r="AU649" s="219">
        <f t="shared" si="308"/>
        <v>0</v>
      </c>
      <c r="AV649" s="31">
        <f t="shared" si="309"/>
        <v>0</v>
      </c>
      <c r="AW649" s="31">
        <f t="shared" si="310"/>
        <v>0</v>
      </c>
      <c r="AX649" s="31">
        <f t="shared" si="311"/>
        <v>0.18333333333333332</v>
      </c>
      <c r="AY649" s="219">
        <f t="shared" si="312"/>
        <v>0.15583333333333332</v>
      </c>
      <c r="AZ649" s="196">
        <f t="shared" si="313"/>
        <v>0</v>
      </c>
      <c r="BA649" s="219">
        <f t="shared" si="314"/>
        <v>0</v>
      </c>
      <c r="BB649" s="31">
        <f t="shared" si="315"/>
        <v>0</v>
      </c>
      <c r="BC649" s="219">
        <f t="shared" si="316"/>
        <v>0</v>
      </c>
      <c r="BD649" s="31">
        <f t="shared" si="317"/>
        <v>0</v>
      </c>
      <c r="BE649" s="219">
        <f t="shared" si="318"/>
        <v>0</v>
      </c>
      <c r="BF649" s="31">
        <f t="shared" si="319"/>
        <v>0</v>
      </c>
      <c r="BG649" s="219">
        <f t="shared" si="320"/>
        <v>0</v>
      </c>
      <c r="BH649" s="31">
        <f t="shared" si="321"/>
        <v>0</v>
      </c>
      <c r="BI649" s="219">
        <f t="shared" si="322"/>
        <v>0</v>
      </c>
      <c r="BJ649" s="31">
        <f t="shared" si="323"/>
        <v>0</v>
      </c>
      <c r="BK649" s="219">
        <f t="shared" si="324"/>
        <v>0</v>
      </c>
      <c r="BL649" s="31">
        <f t="shared" si="325"/>
        <v>0</v>
      </c>
      <c r="BM649" s="219">
        <f t="shared" si="326"/>
        <v>0</v>
      </c>
      <c r="BN649" s="31">
        <f t="shared" si="327"/>
        <v>0</v>
      </c>
      <c r="BO649" s="219">
        <f t="shared" si="328"/>
        <v>0</v>
      </c>
    </row>
    <row r="650" spans="1:67" x14ac:dyDescent="0.25">
      <c r="A650" s="31" t="s">
        <v>1658</v>
      </c>
      <c r="B650" s="176" t="str">
        <f>VLOOKUP(A650,kurspris!$A$1:$B$992,2,FALSE)</f>
        <v>Bedömning för och av lärande för åk 7-9 och gymnasium (UK)</v>
      </c>
      <c r="D650" s="60" t="s">
        <v>482</v>
      </c>
      <c r="E650" s="576" t="s">
        <v>2429</v>
      </c>
      <c r="F650" s="31" t="s">
        <v>2273</v>
      </c>
      <c r="G650" t="s">
        <v>2473</v>
      </c>
      <c r="H650" t="s">
        <v>2335</v>
      </c>
      <c r="J650" s="31" t="s">
        <v>2232</v>
      </c>
      <c r="L650" s="38">
        <v>1</v>
      </c>
      <c r="M650">
        <v>11</v>
      </c>
      <c r="P650" s="31">
        <v>1</v>
      </c>
      <c r="Q650" s="196">
        <f t="shared" si="329"/>
        <v>0.18333333333333332</v>
      </c>
      <c r="R650" s="38">
        <v>0.85</v>
      </c>
      <c r="S650" s="280">
        <f t="shared" si="301"/>
        <v>0.15583333333333332</v>
      </c>
      <c r="T650" s="31">
        <f>VLOOKUP(A650,'Ansvar kurs'!$A$1:$C$1123,2,FALSE)</f>
        <v>5740</v>
      </c>
      <c r="U650" s="31" t="str">
        <f>VLOOKUP(T650,Orgenheter!$A$1:$C$166,2,FALSE)</f>
        <v>NMD</v>
      </c>
      <c r="V650" s="31" t="str">
        <f>VLOOKUP(T650,Orgenheter!$A$1:$C$166,3,FALSE)</f>
        <v>TekNat</v>
      </c>
      <c r="W650" s="35" t="str">
        <f>VLOOKUP(D650,Program!$A$1:$B$36,2,FALSE)</f>
        <v>Ämneslärarprogrammet - Gy</v>
      </c>
      <c r="X650" s="40">
        <f>VLOOKUP(A650,kurspris!$A$1:$Q$913,15,FALSE)</f>
        <v>26554</v>
      </c>
      <c r="Y650" s="40">
        <f>VLOOKUP(A650,kurspris!$A$1:$Q$913,16,FALSE)</f>
        <v>33465</v>
      </c>
      <c r="Z650" s="40">
        <f t="shared" si="302"/>
        <v>10083.195833333331</v>
      </c>
      <c r="AA650" s="40">
        <f>VLOOKUP(A650,kurspris!$A$1:$Q$913,17,FALSE)</f>
        <v>6000</v>
      </c>
      <c r="AB650" s="40">
        <f t="shared" si="303"/>
        <v>1100</v>
      </c>
      <c r="AC650" s="40">
        <f t="shared" si="304"/>
        <v>11183.195833333331</v>
      </c>
      <c r="AD650" s="31">
        <f>VLOOKUP($A650,kurspris!$A$1:$Q$950,3,FALSE)</f>
        <v>0</v>
      </c>
      <c r="AE650" s="31">
        <f>VLOOKUP($A650,kurspris!$A$1:$Q$950,4,FALSE)</f>
        <v>0</v>
      </c>
      <c r="AF650" s="31">
        <f>VLOOKUP($A650,kurspris!$A$1:$Q$950,5,FALSE)</f>
        <v>0</v>
      </c>
      <c r="AG650" s="31">
        <f>VLOOKUP($A650,kurspris!$A$1:$Q$950,6,FALSE)</f>
        <v>1</v>
      </c>
      <c r="AH650" s="31">
        <f>VLOOKUP($A650,kurspris!$A$1:$Q$950,7,FALSE)</f>
        <v>0</v>
      </c>
      <c r="AI650" s="31">
        <f>VLOOKUP($A650,kurspris!$A$1:$Q$950,8,FALSE)</f>
        <v>0</v>
      </c>
      <c r="AJ650" s="31">
        <f>VLOOKUP($A650,kurspris!$A$1:$Q$950,9,FALSE)</f>
        <v>0</v>
      </c>
      <c r="AK650" s="31">
        <f>VLOOKUP($A650,kurspris!$A$1:$Q$950,10,FALSE)</f>
        <v>0</v>
      </c>
      <c r="AL650" s="31">
        <f>VLOOKUP($A650,kurspris!$A$1:$Q$950,11,FALSE)</f>
        <v>0</v>
      </c>
      <c r="AM650" s="31">
        <f>VLOOKUP($A650,kurspris!$A$1:$Q$950,12,FALSE)</f>
        <v>0</v>
      </c>
      <c r="AN650" s="31">
        <f>VLOOKUP($A650,kurspris!$A$1:$Q$950,13,FALSE)</f>
        <v>0</v>
      </c>
      <c r="AO650" s="31">
        <f>VLOOKUP($A650,kurspris!$A$1:$Q$950,14,FALSE)</f>
        <v>0</v>
      </c>
      <c r="AP650" s="57" t="s">
        <v>2506</v>
      </c>
      <c r="AQ650"/>
      <c r="AR650" s="31">
        <f t="shared" si="305"/>
        <v>0</v>
      </c>
      <c r="AS650" s="219">
        <f t="shared" si="306"/>
        <v>0</v>
      </c>
      <c r="AT650" s="31">
        <f t="shared" si="307"/>
        <v>0</v>
      </c>
      <c r="AU650" s="219">
        <f t="shared" si="308"/>
        <v>0</v>
      </c>
      <c r="AV650" s="31">
        <f t="shared" si="309"/>
        <v>0</v>
      </c>
      <c r="AW650" s="31">
        <f t="shared" si="310"/>
        <v>0</v>
      </c>
      <c r="AX650" s="31">
        <f t="shared" si="311"/>
        <v>0.18333333333333332</v>
      </c>
      <c r="AY650" s="219">
        <f t="shared" si="312"/>
        <v>0.15583333333333332</v>
      </c>
      <c r="AZ650" s="196">
        <f t="shared" si="313"/>
        <v>0</v>
      </c>
      <c r="BA650" s="219">
        <f t="shared" si="314"/>
        <v>0</v>
      </c>
      <c r="BB650" s="31">
        <f t="shared" si="315"/>
        <v>0</v>
      </c>
      <c r="BC650" s="219">
        <f t="shared" si="316"/>
        <v>0</v>
      </c>
      <c r="BD650" s="31">
        <f t="shared" si="317"/>
        <v>0</v>
      </c>
      <c r="BE650" s="219">
        <f t="shared" si="318"/>
        <v>0</v>
      </c>
      <c r="BF650" s="31">
        <f t="shared" si="319"/>
        <v>0</v>
      </c>
      <c r="BG650" s="219">
        <f t="shared" si="320"/>
        <v>0</v>
      </c>
      <c r="BH650" s="31">
        <f t="shared" si="321"/>
        <v>0</v>
      </c>
      <c r="BI650" s="219">
        <f t="shared" si="322"/>
        <v>0</v>
      </c>
      <c r="BJ650" s="31">
        <f t="shared" si="323"/>
        <v>0</v>
      </c>
      <c r="BK650" s="219">
        <f t="shared" si="324"/>
        <v>0</v>
      </c>
      <c r="BL650" s="31">
        <f t="shared" si="325"/>
        <v>0</v>
      </c>
      <c r="BM650" s="219">
        <f t="shared" si="326"/>
        <v>0</v>
      </c>
      <c r="BN650" s="31">
        <f t="shared" si="327"/>
        <v>0</v>
      </c>
      <c r="BO650" s="219">
        <f t="shared" si="328"/>
        <v>0</v>
      </c>
    </row>
    <row r="651" spans="1:67" x14ac:dyDescent="0.25">
      <c r="A651" s="31" t="s">
        <v>1658</v>
      </c>
      <c r="B651" s="176" t="str">
        <f>VLOOKUP(A651,kurspris!$A$1:$B$992,2,FALSE)</f>
        <v>Bedömning för och av lärande för åk 7-9 och gymnasium (UK)</v>
      </c>
      <c r="D651" s="60" t="s">
        <v>482</v>
      </c>
      <c r="E651" s="576" t="s">
        <v>2429</v>
      </c>
      <c r="F651" s="31" t="s">
        <v>2273</v>
      </c>
      <c r="G651" t="s">
        <v>2473</v>
      </c>
      <c r="H651" t="s">
        <v>2335</v>
      </c>
      <c r="J651" s="31" t="s">
        <v>2233</v>
      </c>
      <c r="L651" s="38">
        <v>1</v>
      </c>
      <c r="M651">
        <v>11</v>
      </c>
      <c r="P651" s="31">
        <v>1</v>
      </c>
      <c r="Q651" s="196">
        <f t="shared" si="329"/>
        <v>0.18333333333333332</v>
      </c>
      <c r="R651" s="38">
        <v>0.85</v>
      </c>
      <c r="S651" s="280">
        <f t="shared" si="301"/>
        <v>0.15583333333333332</v>
      </c>
      <c r="T651" s="31">
        <f>VLOOKUP(A651,'Ansvar kurs'!$A$1:$C$1123,2,FALSE)</f>
        <v>5740</v>
      </c>
      <c r="U651" s="31" t="str">
        <f>VLOOKUP(T651,Orgenheter!$A$1:$C$166,2,FALSE)</f>
        <v>NMD</v>
      </c>
      <c r="V651" s="31" t="str">
        <f>VLOOKUP(T651,Orgenheter!$A$1:$C$166,3,FALSE)</f>
        <v>TekNat</v>
      </c>
      <c r="W651" s="35" t="str">
        <f>VLOOKUP(D651,Program!$A$1:$B$36,2,FALSE)</f>
        <v>Ämneslärarprogrammet - Gy</v>
      </c>
      <c r="X651" s="40">
        <f>VLOOKUP(A651,kurspris!$A$1:$Q$913,15,FALSE)</f>
        <v>26554</v>
      </c>
      <c r="Y651" s="40">
        <f>VLOOKUP(A651,kurspris!$A$1:$Q$913,16,FALSE)</f>
        <v>33465</v>
      </c>
      <c r="Z651" s="40">
        <f t="shared" si="302"/>
        <v>10083.195833333331</v>
      </c>
      <c r="AA651" s="40">
        <f>VLOOKUP(A651,kurspris!$A$1:$Q$913,17,FALSE)</f>
        <v>6000</v>
      </c>
      <c r="AB651" s="40">
        <f t="shared" si="303"/>
        <v>1100</v>
      </c>
      <c r="AC651" s="40">
        <f t="shared" si="304"/>
        <v>11183.195833333331</v>
      </c>
      <c r="AD651" s="31">
        <f>VLOOKUP($A651,kurspris!$A$1:$Q$950,3,FALSE)</f>
        <v>0</v>
      </c>
      <c r="AE651" s="31">
        <f>VLOOKUP($A651,kurspris!$A$1:$Q$950,4,FALSE)</f>
        <v>0</v>
      </c>
      <c r="AF651" s="31">
        <f>VLOOKUP($A651,kurspris!$A$1:$Q$950,5,FALSE)</f>
        <v>0</v>
      </c>
      <c r="AG651" s="31">
        <f>VLOOKUP($A651,kurspris!$A$1:$Q$950,6,FALSE)</f>
        <v>1</v>
      </c>
      <c r="AH651" s="31">
        <f>VLOOKUP($A651,kurspris!$A$1:$Q$950,7,FALSE)</f>
        <v>0</v>
      </c>
      <c r="AI651" s="31">
        <f>VLOOKUP($A651,kurspris!$A$1:$Q$950,8,FALSE)</f>
        <v>0</v>
      </c>
      <c r="AJ651" s="31">
        <f>VLOOKUP($A651,kurspris!$A$1:$Q$950,9,FALSE)</f>
        <v>0</v>
      </c>
      <c r="AK651" s="31">
        <f>VLOOKUP($A651,kurspris!$A$1:$Q$950,10,FALSE)</f>
        <v>0</v>
      </c>
      <c r="AL651" s="31">
        <f>VLOOKUP($A651,kurspris!$A$1:$Q$950,11,FALSE)</f>
        <v>0</v>
      </c>
      <c r="AM651" s="31">
        <f>VLOOKUP($A651,kurspris!$A$1:$Q$950,12,FALSE)</f>
        <v>0</v>
      </c>
      <c r="AN651" s="31">
        <f>VLOOKUP($A651,kurspris!$A$1:$Q$950,13,FALSE)</f>
        <v>0</v>
      </c>
      <c r="AO651" s="31">
        <f>VLOOKUP($A651,kurspris!$A$1:$Q$950,14,FALSE)</f>
        <v>0</v>
      </c>
      <c r="AP651" s="57" t="s">
        <v>2506</v>
      </c>
      <c r="AQ651"/>
      <c r="AR651" s="31">
        <f t="shared" si="305"/>
        <v>0</v>
      </c>
      <c r="AS651" s="219">
        <f t="shared" si="306"/>
        <v>0</v>
      </c>
      <c r="AT651" s="31">
        <f t="shared" si="307"/>
        <v>0</v>
      </c>
      <c r="AU651" s="219">
        <f t="shared" si="308"/>
        <v>0</v>
      </c>
      <c r="AV651" s="31">
        <f t="shared" si="309"/>
        <v>0</v>
      </c>
      <c r="AW651" s="31">
        <f t="shared" si="310"/>
        <v>0</v>
      </c>
      <c r="AX651" s="31">
        <f t="shared" si="311"/>
        <v>0.18333333333333332</v>
      </c>
      <c r="AY651" s="219">
        <f t="shared" si="312"/>
        <v>0.15583333333333332</v>
      </c>
      <c r="AZ651" s="196">
        <f t="shared" si="313"/>
        <v>0</v>
      </c>
      <c r="BA651" s="219">
        <f t="shared" si="314"/>
        <v>0</v>
      </c>
      <c r="BB651" s="31">
        <f t="shared" si="315"/>
        <v>0</v>
      </c>
      <c r="BC651" s="219">
        <f t="shared" si="316"/>
        <v>0</v>
      </c>
      <c r="BD651" s="31">
        <f t="shared" si="317"/>
        <v>0</v>
      </c>
      <c r="BE651" s="219">
        <f t="shared" si="318"/>
        <v>0</v>
      </c>
      <c r="BF651" s="31">
        <f t="shared" si="319"/>
        <v>0</v>
      </c>
      <c r="BG651" s="219">
        <f t="shared" si="320"/>
        <v>0</v>
      </c>
      <c r="BH651" s="31">
        <f t="shared" si="321"/>
        <v>0</v>
      </c>
      <c r="BI651" s="219">
        <f t="shared" si="322"/>
        <v>0</v>
      </c>
      <c r="BJ651" s="31">
        <f t="shared" si="323"/>
        <v>0</v>
      </c>
      <c r="BK651" s="219">
        <f t="shared" si="324"/>
        <v>0</v>
      </c>
      <c r="BL651" s="31">
        <f t="shared" si="325"/>
        <v>0</v>
      </c>
      <c r="BM651" s="219">
        <f t="shared" si="326"/>
        <v>0</v>
      </c>
      <c r="BN651" s="31">
        <f t="shared" si="327"/>
        <v>0</v>
      </c>
      <c r="BO651" s="219">
        <f t="shared" si="328"/>
        <v>0</v>
      </c>
    </row>
    <row r="652" spans="1:67" x14ac:dyDescent="0.25">
      <c r="A652" s="31" t="s">
        <v>1658</v>
      </c>
      <c r="B652" s="176" t="str">
        <f>VLOOKUP(A652,kurspris!$A$1:$B$992,2,FALSE)</f>
        <v>Bedömning för och av lärande för åk 7-9 och gymnasium (UK)</v>
      </c>
      <c r="D652" s="60" t="s">
        <v>482</v>
      </c>
      <c r="E652" s="576" t="s">
        <v>2225</v>
      </c>
      <c r="F652" s="31" t="s">
        <v>2273</v>
      </c>
      <c r="G652" t="s">
        <v>2473</v>
      </c>
      <c r="H652" t="s">
        <v>2335</v>
      </c>
      <c r="J652" s="31" t="s">
        <v>2237</v>
      </c>
      <c r="L652" s="38">
        <v>1</v>
      </c>
      <c r="M652">
        <v>11</v>
      </c>
      <c r="P652" s="31">
        <v>1</v>
      </c>
      <c r="Q652" s="196">
        <f t="shared" si="329"/>
        <v>0.18333333333333332</v>
      </c>
      <c r="R652" s="38">
        <v>0.85</v>
      </c>
      <c r="S652" s="280">
        <f t="shared" si="301"/>
        <v>0.15583333333333332</v>
      </c>
      <c r="T652" s="31">
        <f>VLOOKUP(A652,'Ansvar kurs'!$A$1:$C$1123,2,FALSE)</f>
        <v>5740</v>
      </c>
      <c r="U652" s="31" t="str">
        <f>VLOOKUP(T652,Orgenheter!$A$1:$C$166,2,FALSE)</f>
        <v>NMD</v>
      </c>
      <c r="V652" s="31" t="str">
        <f>VLOOKUP(T652,Orgenheter!$A$1:$C$166,3,FALSE)</f>
        <v>TekNat</v>
      </c>
      <c r="W652" s="35" t="str">
        <f>VLOOKUP(D652,Program!$A$1:$B$36,2,FALSE)</f>
        <v>Ämneslärarprogrammet - Gy</v>
      </c>
      <c r="X652" s="40">
        <f>VLOOKUP(A652,kurspris!$A$1:$Q$913,15,FALSE)</f>
        <v>26554</v>
      </c>
      <c r="Y652" s="40">
        <f>VLOOKUP(A652,kurspris!$A$1:$Q$913,16,FALSE)</f>
        <v>33465</v>
      </c>
      <c r="Z652" s="40">
        <f t="shared" si="302"/>
        <v>10083.195833333331</v>
      </c>
      <c r="AA652" s="40">
        <f>VLOOKUP(A652,kurspris!$A$1:$Q$913,17,FALSE)</f>
        <v>6000</v>
      </c>
      <c r="AB652" s="40">
        <f t="shared" si="303"/>
        <v>1100</v>
      </c>
      <c r="AC652" s="40">
        <f t="shared" si="304"/>
        <v>11183.195833333331</v>
      </c>
      <c r="AD652" s="31">
        <f>VLOOKUP($A652,kurspris!$A$1:$Q$950,3,FALSE)</f>
        <v>0</v>
      </c>
      <c r="AE652" s="31">
        <f>VLOOKUP($A652,kurspris!$A$1:$Q$950,4,FALSE)</f>
        <v>0</v>
      </c>
      <c r="AF652" s="31">
        <f>VLOOKUP($A652,kurspris!$A$1:$Q$950,5,FALSE)</f>
        <v>0</v>
      </c>
      <c r="AG652" s="31">
        <f>VLOOKUP($A652,kurspris!$A$1:$Q$950,6,FALSE)</f>
        <v>1</v>
      </c>
      <c r="AH652" s="31">
        <f>VLOOKUP($A652,kurspris!$A$1:$Q$950,7,FALSE)</f>
        <v>0</v>
      </c>
      <c r="AI652" s="31">
        <f>VLOOKUP($A652,kurspris!$A$1:$Q$950,8,FALSE)</f>
        <v>0</v>
      </c>
      <c r="AJ652" s="31">
        <f>VLOOKUP($A652,kurspris!$A$1:$Q$950,9,FALSE)</f>
        <v>0</v>
      </c>
      <c r="AK652" s="31">
        <f>VLOOKUP($A652,kurspris!$A$1:$Q$950,10,FALSE)</f>
        <v>0</v>
      </c>
      <c r="AL652" s="31">
        <f>VLOOKUP($A652,kurspris!$A$1:$Q$950,11,FALSE)</f>
        <v>0</v>
      </c>
      <c r="AM652" s="31">
        <f>VLOOKUP($A652,kurspris!$A$1:$Q$950,12,FALSE)</f>
        <v>0</v>
      </c>
      <c r="AN652" s="31">
        <f>VLOOKUP($A652,kurspris!$A$1:$Q$950,13,FALSE)</f>
        <v>0</v>
      </c>
      <c r="AO652" s="31">
        <f>VLOOKUP($A652,kurspris!$A$1:$Q$950,14,FALSE)</f>
        <v>0</v>
      </c>
      <c r="AP652" s="57" t="s">
        <v>2506</v>
      </c>
      <c r="AQ652"/>
      <c r="AR652" s="31">
        <f t="shared" si="305"/>
        <v>0</v>
      </c>
      <c r="AS652" s="219">
        <f t="shared" si="306"/>
        <v>0</v>
      </c>
      <c r="AT652" s="31">
        <f t="shared" si="307"/>
        <v>0</v>
      </c>
      <c r="AU652" s="219">
        <f t="shared" si="308"/>
        <v>0</v>
      </c>
      <c r="AV652" s="31">
        <f t="shared" si="309"/>
        <v>0</v>
      </c>
      <c r="AW652" s="31">
        <f t="shared" si="310"/>
        <v>0</v>
      </c>
      <c r="AX652" s="31">
        <f t="shared" si="311"/>
        <v>0.18333333333333332</v>
      </c>
      <c r="AY652" s="219">
        <f t="shared" si="312"/>
        <v>0.15583333333333332</v>
      </c>
      <c r="AZ652" s="196">
        <f t="shared" si="313"/>
        <v>0</v>
      </c>
      <c r="BA652" s="219">
        <f t="shared" si="314"/>
        <v>0</v>
      </c>
      <c r="BB652" s="31">
        <f t="shared" si="315"/>
        <v>0</v>
      </c>
      <c r="BC652" s="219">
        <f t="shared" si="316"/>
        <v>0</v>
      </c>
      <c r="BD652" s="31">
        <f t="shared" si="317"/>
        <v>0</v>
      </c>
      <c r="BE652" s="219">
        <f t="shared" si="318"/>
        <v>0</v>
      </c>
      <c r="BF652" s="31">
        <f t="shared" si="319"/>
        <v>0</v>
      </c>
      <c r="BG652" s="219">
        <f t="shared" si="320"/>
        <v>0</v>
      </c>
      <c r="BH652" s="31">
        <f t="shared" si="321"/>
        <v>0</v>
      </c>
      <c r="BI652" s="219">
        <f t="shared" si="322"/>
        <v>0</v>
      </c>
      <c r="BJ652" s="31">
        <f t="shared" si="323"/>
        <v>0</v>
      </c>
      <c r="BK652" s="219">
        <f t="shared" si="324"/>
        <v>0</v>
      </c>
      <c r="BL652" s="31">
        <f t="shared" si="325"/>
        <v>0</v>
      </c>
      <c r="BM652" s="219">
        <f t="shared" si="326"/>
        <v>0</v>
      </c>
      <c r="BN652" s="31">
        <f t="shared" si="327"/>
        <v>0</v>
      </c>
      <c r="BO652" s="219">
        <f t="shared" si="328"/>
        <v>0</v>
      </c>
    </row>
    <row r="653" spans="1:67" x14ac:dyDescent="0.25">
      <c r="A653" s="31" t="s">
        <v>1658</v>
      </c>
      <c r="B653" s="176" t="str">
        <f>VLOOKUP(A653,kurspris!$A$1:$B$992,2,FALSE)</f>
        <v>Bedömning för och av lärande för åk 7-9 och gymnasium (UK)</v>
      </c>
      <c r="D653" s="60" t="s">
        <v>482</v>
      </c>
      <c r="E653" s="576" t="s">
        <v>2225</v>
      </c>
      <c r="F653" s="31" t="s">
        <v>2273</v>
      </c>
      <c r="G653" t="s">
        <v>2473</v>
      </c>
      <c r="H653" t="s">
        <v>2335</v>
      </c>
      <c r="J653" s="31" t="s">
        <v>2234</v>
      </c>
      <c r="L653" s="38">
        <v>1</v>
      </c>
      <c r="M653">
        <v>11</v>
      </c>
      <c r="P653" s="31">
        <v>1</v>
      </c>
      <c r="Q653" s="196">
        <f t="shared" si="329"/>
        <v>0.18333333333333332</v>
      </c>
      <c r="R653" s="38">
        <v>0.85</v>
      </c>
      <c r="S653" s="280">
        <f t="shared" si="301"/>
        <v>0.15583333333333332</v>
      </c>
      <c r="T653" s="31">
        <f>VLOOKUP(A653,'Ansvar kurs'!$A$1:$C$1123,2,FALSE)</f>
        <v>5740</v>
      </c>
      <c r="U653" s="31" t="str">
        <f>VLOOKUP(T653,Orgenheter!$A$1:$C$166,2,FALSE)</f>
        <v>NMD</v>
      </c>
      <c r="V653" s="31" t="str">
        <f>VLOOKUP(T653,Orgenheter!$A$1:$C$166,3,FALSE)</f>
        <v>TekNat</v>
      </c>
      <c r="W653" s="35" t="str">
        <f>VLOOKUP(D653,Program!$A$1:$B$36,2,FALSE)</f>
        <v>Ämneslärarprogrammet - Gy</v>
      </c>
      <c r="X653" s="40">
        <f>VLOOKUP(A653,kurspris!$A$1:$Q$913,15,FALSE)</f>
        <v>26554</v>
      </c>
      <c r="Y653" s="40">
        <f>VLOOKUP(A653,kurspris!$A$1:$Q$913,16,FALSE)</f>
        <v>33465</v>
      </c>
      <c r="Z653" s="40">
        <f t="shared" si="302"/>
        <v>10083.195833333331</v>
      </c>
      <c r="AA653" s="40">
        <f>VLOOKUP(A653,kurspris!$A$1:$Q$913,17,FALSE)</f>
        <v>6000</v>
      </c>
      <c r="AB653" s="40">
        <f t="shared" si="303"/>
        <v>1100</v>
      </c>
      <c r="AC653" s="40">
        <f t="shared" si="304"/>
        <v>11183.195833333331</v>
      </c>
      <c r="AD653" s="31">
        <f>VLOOKUP($A653,kurspris!$A$1:$Q$950,3,FALSE)</f>
        <v>0</v>
      </c>
      <c r="AE653" s="31">
        <f>VLOOKUP($A653,kurspris!$A$1:$Q$950,4,FALSE)</f>
        <v>0</v>
      </c>
      <c r="AF653" s="31">
        <f>VLOOKUP($A653,kurspris!$A$1:$Q$950,5,FALSE)</f>
        <v>0</v>
      </c>
      <c r="AG653" s="31">
        <f>VLOOKUP($A653,kurspris!$A$1:$Q$950,6,FALSE)</f>
        <v>1</v>
      </c>
      <c r="AH653" s="31">
        <f>VLOOKUP($A653,kurspris!$A$1:$Q$950,7,FALSE)</f>
        <v>0</v>
      </c>
      <c r="AI653" s="31">
        <f>VLOOKUP($A653,kurspris!$A$1:$Q$950,8,FALSE)</f>
        <v>0</v>
      </c>
      <c r="AJ653" s="31">
        <f>VLOOKUP($A653,kurspris!$A$1:$Q$950,9,FALSE)</f>
        <v>0</v>
      </c>
      <c r="AK653" s="31">
        <f>VLOOKUP($A653,kurspris!$A$1:$Q$950,10,FALSE)</f>
        <v>0</v>
      </c>
      <c r="AL653" s="31">
        <f>VLOOKUP($A653,kurspris!$A$1:$Q$950,11,FALSE)</f>
        <v>0</v>
      </c>
      <c r="AM653" s="31">
        <f>VLOOKUP($A653,kurspris!$A$1:$Q$950,12,FALSE)</f>
        <v>0</v>
      </c>
      <c r="AN653" s="31">
        <f>VLOOKUP($A653,kurspris!$A$1:$Q$950,13,FALSE)</f>
        <v>0</v>
      </c>
      <c r="AO653" s="31">
        <f>VLOOKUP($A653,kurspris!$A$1:$Q$950,14,FALSE)</f>
        <v>0</v>
      </c>
      <c r="AP653" s="57" t="s">
        <v>2506</v>
      </c>
      <c r="AQ653"/>
      <c r="AR653" s="31">
        <f t="shared" si="305"/>
        <v>0</v>
      </c>
      <c r="AS653" s="219">
        <f t="shared" si="306"/>
        <v>0</v>
      </c>
      <c r="AT653" s="31">
        <f t="shared" si="307"/>
        <v>0</v>
      </c>
      <c r="AU653" s="219">
        <f t="shared" si="308"/>
        <v>0</v>
      </c>
      <c r="AV653" s="31">
        <f t="shared" si="309"/>
        <v>0</v>
      </c>
      <c r="AW653" s="31">
        <f t="shared" si="310"/>
        <v>0</v>
      </c>
      <c r="AX653" s="31">
        <f t="shared" si="311"/>
        <v>0.18333333333333332</v>
      </c>
      <c r="AY653" s="219">
        <f t="shared" si="312"/>
        <v>0.15583333333333332</v>
      </c>
      <c r="AZ653" s="196">
        <f t="shared" si="313"/>
        <v>0</v>
      </c>
      <c r="BA653" s="219">
        <f t="shared" si="314"/>
        <v>0</v>
      </c>
      <c r="BB653" s="31">
        <f t="shared" si="315"/>
        <v>0</v>
      </c>
      <c r="BC653" s="219">
        <f t="shared" si="316"/>
        <v>0</v>
      </c>
      <c r="BD653" s="31">
        <f t="shared" si="317"/>
        <v>0</v>
      </c>
      <c r="BE653" s="219">
        <f t="shared" si="318"/>
        <v>0</v>
      </c>
      <c r="BF653" s="31">
        <f t="shared" si="319"/>
        <v>0</v>
      </c>
      <c r="BG653" s="219">
        <f t="shared" si="320"/>
        <v>0</v>
      </c>
      <c r="BH653" s="31">
        <f t="shared" si="321"/>
        <v>0</v>
      </c>
      <c r="BI653" s="219">
        <f t="shared" si="322"/>
        <v>0</v>
      </c>
      <c r="BJ653" s="31">
        <f t="shared" si="323"/>
        <v>0</v>
      </c>
      <c r="BK653" s="219">
        <f t="shared" si="324"/>
        <v>0</v>
      </c>
      <c r="BL653" s="31">
        <f t="shared" si="325"/>
        <v>0</v>
      </c>
      <c r="BM653" s="219">
        <f t="shared" si="326"/>
        <v>0</v>
      </c>
      <c r="BN653" s="31">
        <f t="shared" si="327"/>
        <v>0</v>
      </c>
      <c r="BO653" s="219">
        <f t="shared" si="328"/>
        <v>0</v>
      </c>
    </row>
    <row r="654" spans="1:67" x14ac:dyDescent="0.25">
      <c r="A654" s="31" t="s">
        <v>1658</v>
      </c>
      <c r="B654" s="176" t="str">
        <f>VLOOKUP(A654,kurspris!$A$1:$B$992,2,FALSE)</f>
        <v>Bedömning för och av lärande för åk 7-9 och gymnasium (UK)</v>
      </c>
      <c r="D654" s="60" t="s">
        <v>482</v>
      </c>
      <c r="E654" s="576" t="s">
        <v>2225</v>
      </c>
      <c r="F654" s="31" t="s">
        <v>2273</v>
      </c>
      <c r="G654" t="s">
        <v>2473</v>
      </c>
      <c r="H654" t="s">
        <v>2335</v>
      </c>
      <c r="J654" s="31" t="s">
        <v>2231</v>
      </c>
      <c r="L654" s="38">
        <v>1</v>
      </c>
      <c r="M654">
        <v>11</v>
      </c>
      <c r="P654" s="31">
        <v>1</v>
      </c>
      <c r="Q654" s="196">
        <f t="shared" si="329"/>
        <v>0.18333333333333332</v>
      </c>
      <c r="R654" s="38">
        <v>0.85</v>
      </c>
      <c r="S654" s="280">
        <f t="shared" si="301"/>
        <v>0.15583333333333332</v>
      </c>
      <c r="T654" s="31">
        <f>VLOOKUP(A654,'Ansvar kurs'!$A$1:$C$1123,2,FALSE)</f>
        <v>5740</v>
      </c>
      <c r="U654" s="31" t="str">
        <f>VLOOKUP(T654,Orgenheter!$A$1:$C$166,2,FALSE)</f>
        <v>NMD</v>
      </c>
      <c r="V654" s="31" t="str">
        <f>VLOOKUP(T654,Orgenheter!$A$1:$C$166,3,FALSE)</f>
        <v>TekNat</v>
      </c>
      <c r="W654" s="35" t="str">
        <f>VLOOKUP(D654,Program!$A$1:$B$36,2,FALSE)</f>
        <v>Ämneslärarprogrammet - Gy</v>
      </c>
      <c r="X654" s="40">
        <f>VLOOKUP(A654,kurspris!$A$1:$Q$913,15,FALSE)</f>
        <v>26554</v>
      </c>
      <c r="Y654" s="40">
        <f>VLOOKUP(A654,kurspris!$A$1:$Q$913,16,FALSE)</f>
        <v>33465</v>
      </c>
      <c r="Z654" s="40">
        <f t="shared" si="302"/>
        <v>10083.195833333331</v>
      </c>
      <c r="AA654" s="40">
        <f>VLOOKUP(A654,kurspris!$A$1:$Q$913,17,FALSE)</f>
        <v>6000</v>
      </c>
      <c r="AB654" s="40">
        <f t="shared" si="303"/>
        <v>1100</v>
      </c>
      <c r="AC654" s="40">
        <f t="shared" si="304"/>
        <v>11183.195833333331</v>
      </c>
      <c r="AD654" s="31">
        <f>VLOOKUP($A654,kurspris!$A$1:$Q$950,3,FALSE)</f>
        <v>0</v>
      </c>
      <c r="AE654" s="31">
        <f>VLOOKUP($A654,kurspris!$A$1:$Q$950,4,FALSE)</f>
        <v>0</v>
      </c>
      <c r="AF654" s="31">
        <f>VLOOKUP($A654,kurspris!$A$1:$Q$950,5,FALSE)</f>
        <v>0</v>
      </c>
      <c r="AG654" s="31">
        <f>VLOOKUP($A654,kurspris!$A$1:$Q$950,6,FALSE)</f>
        <v>1</v>
      </c>
      <c r="AH654" s="31">
        <f>VLOOKUP($A654,kurspris!$A$1:$Q$950,7,FALSE)</f>
        <v>0</v>
      </c>
      <c r="AI654" s="31">
        <f>VLOOKUP($A654,kurspris!$A$1:$Q$950,8,FALSE)</f>
        <v>0</v>
      </c>
      <c r="AJ654" s="31">
        <f>VLOOKUP($A654,kurspris!$A$1:$Q$950,9,FALSE)</f>
        <v>0</v>
      </c>
      <c r="AK654" s="31">
        <f>VLOOKUP($A654,kurspris!$A$1:$Q$950,10,FALSE)</f>
        <v>0</v>
      </c>
      <c r="AL654" s="31">
        <f>VLOOKUP($A654,kurspris!$A$1:$Q$950,11,FALSE)</f>
        <v>0</v>
      </c>
      <c r="AM654" s="31">
        <f>VLOOKUP($A654,kurspris!$A$1:$Q$950,12,FALSE)</f>
        <v>0</v>
      </c>
      <c r="AN654" s="31">
        <f>VLOOKUP($A654,kurspris!$A$1:$Q$950,13,FALSE)</f>
        <v>0</v>
      </c>
      <c r="AO654" s="31">
        <f>VLOOKUP($A654,kurspris!$A$1:$Q$950,14,FALSE)</f>
        <v>0</v>
      </c>
      <c r="AP654" s="57" t="s">
        <v>2506</v>
      </c>
      <c r="AQ654"/>
      <c r="AR654" s="31">
        <f t="shared" si="305"/>
        <v>0</v>
      </c>
      <c r="AS654" s="219">
        <f t="shared" si="306"/>
        <v>0</v>
      </c>
      <c r="AT654" s="31">
        <f t="shared" si="307"/>
        <v>0</v>
      </c>
      <c r="AU654" s="219">
        <f t="shared" si="308"/>
        <v>0</v>
      </c>
      <c r="AV654" s="31">
        <f t="shared" si="309"/>
        <v>0</v>
      </c>
      <c r="AW654" s="31">
        <f t="shared" si="310"/>
        <v>0</v>
      </c>
      <c r="AX654" s="31">
        <f t="shared" si="311"/>
        <v>0.18333333333333332</v>
      </c>
      <c r="AY654" s="219">
        <f t="shared" si="312"/>
        <v>0.15583333333333332</v>
      </c>
      <c r="AZ654" s="196">
        <f t="shared" si="313"/>
        <v>0</v>
      </c>
      <c r="BA654" s="219">
        <f t="shared" si="314"/>
        <v>0</v>
      </c>
      <c r="BB654" s="31">
        <f t="shared" si="315"/>
        <v>0</v>
      </c>
      <c r="BC654" s="219">
        <f t="shared" si="316"/>
        <v>0</v>
      </c>
      <c r="BD654" s="31">
        <f t="shared" si="317"/>
        <v>0</v>
      </c>
      <c r="BE654" s="219">
        <f t="shared" si="318"/>
        <v>0</v>
      </c>
      <c r="BF654" s="31">
        <f t="shared" si="319"/>
        <v>0</v>
      </c>
      <c r="BG654" s="219">
        <f t="shared" si="320"/>
        <v>0</v>
      </c>
      <c r="BH654" s="31">
        <f t="shared" si="321"/>
        <v>0</v>
      </c>
      <c r="BI654" s="219">
        <f t="shared" si="322"/>
        <v>0</v>
      </c>
      <c r="BJ654" s="31">
        <f t="shared" si="323"/>
        <v>0</v>
      </c>
      <c r="BK654" s="219">
        <f t="shared" si="324"/>
        <v>0</v>
      </c>
      <c r="BL654" s="31">
        <f t="shared" si="325"/>
        <v>0</v>
      </c>
      <c r="BM654" s="219">
        <f t="shared" si="326"/>
        <v>0</v>
      </c>
      <c r="BN654" s="31">
        <f t="shared" si="327"/>
        <v>0</v>
      </c>
      <c r="BO654" s="219">
        <f t="shared" si="328"/>
        <v>0</v>
      </c>
    </row>
    <row r="655" spans="1:67" x14ac:dyDescent="0.25">
      <c r="A655" s="31" t="s">
        <v>1658</v>
      </c>
      <c r="B655" s="176" t="str">
        <f>VLOOKUP(A655,kurspris!$A$1:$B$992,2,FALSE)</f>
        <v>Bedömning för och av lärande för åk 7-9 och gymnasium (UK)</v>
      </c>
      <c r="D655" s="60" t="s">
        <v>482</v>
      </c>
      <c r="E655" s="576" t="s">
        <v>2225</v>
      </c>
      <c r="F655" s="31" t="s">
        <v>2273</v>
      </c>
      <c r="G655" t="s">
        <v>2473</v>
      </c>
      <c r="H655" t="s">
        <v>2335</v>
      </c>
      <c r="J655" s="31" t="s">
        <v>2241</v>
      </c>
      <c r="L655" s="38">
        <v>1</v>
      </c>
      <c r="M655">
        <v>11</v>
      </c>
      <c r="P655" s="31">
        <v>2</v>
      </c>
      <c r="Q655" s="196">
        <f t="shared" si="329"/>
        <v>0.36666666666666664</v>
      </c>
      <c r="R655" s="38">
        <v>0.85</v>
      </c>
      <c r="S655" s="280">
        <f t="shared" si="301"/>
        <v>0.31166666666666665</v>
      </c>
      <c r="T655" s="31">
        <f>VLOOKUP(A655,'Ansvar kurs'!$A$1:$C$1123,2,FALSE)</f>
        <v>5740</v>
      </c>
      <c r="U655" s="31" t="str">
        <f>VLOOKUP(T655,Orgenheter!$A$1:$C$166,2,FALSE)</f>
        <v>NMD</v>
      </c>
      <c r="V655" s="31" t="str">
        <f>VLOOKUP(T655,Orgenheter!$A$1:$C$166,3,FALSE)</f>
        <v>TekNat</v>
      </c>
      <c r="W655" s="35" t="str">
        <f>VLOOKUP(D655,Program!$A$1:$B$36,2,FALSE)</f>
        <v>Ämneslärarprogrammet - Gy</v>
      </c>
      <c r="X655" s="40">
        <f>VLOOKUP(A655,kurspris!$A$1:$Q$913,15,FALSE)</f>
        <v>26554</v>
      </c>
      <c r="Y655" s="40">
        <f>VLOOKUP(A655,kurspris!$A$1:$Q$913,16,FALSE)</f>
        <v>33465</v>
      </c>
      <c r="Z655" s="40">
        <f t="shared" si="302"/>
        <v>20166.391666666663</v>
      </c>
      <c r="AA655" s="40">
        <f>VLOOKUP(A655,kurspris!$A$1:$Q$913,17,FALSE)</f>
        <v>6000</v>
      </c>
      <c r="AB655" s="40">
        <f t="shared" si="303"/>
        <v>2200</v>
      </c>
      <c r="AC655" s="40">
        <f t="shared" si="304"/>
        <v>22366.391666666663</v>
      </c>
      <c r="AD655" s="31">
        <f>VLOOKUP($A655,kurspris!$A$1:$Q$950,3,FALSE)</f>
        <v>0</v>
      </c>
      <c r="AE655" s="31">
        <f>VLOOKUP($A655,kurspris!$A$1:$Q$950,4,FALSE)</f>
        <v>0</v>
      </c>
      <c r="AF655" s="31">
        <f>VLOOKUP($A655,kurspris!$A$1:$Q$950,5,FALSE)</f>
        <v>0</v>
      </c>
      <c r="AG655" s="31">
        <f>VLOOKUP($A655,kurspris!$A$1:$Q$950,6,FALSE)</f>
        <v>1</v>
      </c>
      <c r="AH655" s="31">
        <f>VLOOKUP($A655,kurspris!$A$1:$Q$950,7,FALSE)</f>
        <v>0</v>
      </c>
      <c r="AI655" s="31">
        <f>VLOOKUP($A655,kurspris!$A$1:$Q$950,8,FALSE)</f>
        <v>0</v>
      </c>
      <c r="AJ655" s="31">
        <f>VLOOKUP($A655,kurspris!$A$1:$Q$950,9,FALSE)</f>
        <v>0</v>
      </c>
      <c r="AK655" s="31">
        <f>VLOOKUP($A655,kurspris!$A$1:$Q$950,10,FALSE)</f>
        <v>0</v>
      </c>
      <c r="AL655" s="31">
        <f>VLOOKUP($A655,kurspris!$A$1:$Q$950,11,FALSE)</f>
        <v>0</v>
      </c>
      <c r="AM655" s="31">
        <f>VLOOKUP($A655,kurspris!$A$1:$Q$950,12,FALSE)</f>
        <v>0</v>
      </c>
      <c r="AN655" s="31">
        <f>VLOOKUP($A655,kurspris!$A$1:$Q$950,13,FALSE)</f>
        <v>0</v>
      </c>
      <c r="AO655" s="31">
        <f>VLOOKUP($A655,kurspris!$A$1:$Q$950,14,FALSE)</f>
        <v>0</v>
      </c>
      <c r="AP655" s="57" t="s">
        <v>2506</v>
      </c>
      <c r="AQ655"/>
      <c r="AR655" s="31">
        <f t="shared" si="305"/>
        <v>0</v>
      </c>
      <c r="AS655" s="219">
        <f t="shared" si="306"/>
        <v>0</v>
      </c>
      <c r="AT655" s="31">
        <f t="shared" si="307"/>
        <v>0</v>
      </c>
      <c r="AU655" s="219">
        <f t="shared" si="308"/>
        <v>0</v>
      </c>
      <c r="AV655" s="31">
        <f t="shared" si="309"/>
        <v>0</v>
      </c>
      <c r="AW655" s="31">
        <f t="shared" si="310"/>
        <v>0</v>
      </c>
      <c r="AX655" s="31">
        <f t="shared" si="311"/>
        <v>0.36666666666666664</v>
      </c>
      <c r="AY655" s="219">
        <f t="shared" si="312"/>
        <v>0.31166666666666665</v>
      </c>
      <c r="AZ655" s="196">
        <f t="shared" si="313"/>
        <v>0</v>
      </c>
      <c r="BA655" s="219">
        <f t="shared" si="314"/>
        <v>0</v>
      </c>
      <c r="BB655" s="31">
        <f t="shared" si="315"/>
        <v>0</v>
      </c>
      <c r="BC655" s="219">
        <f t="shared" si="316"/>
        <v>0</v>
      </c>
      <c r="BD655" s="31">
        <f t="shared" si="317"/>
        <v>0</v>
      </c>
      <c r="BE655" s="219">
        <f t="shared" si="318"/>
        <v>0</v>
      </c>
      <c r="BF655" s="31">
        <f t="shared" si="319"/>
        <v>0</v>
      </c>
      <c r="BG655" s="219">
        <f t="shared" si="320"/>
        <v>0</v>
      </c>
      <c r="BH655" s="31">
        <f t="shared" si="321"/>
        <v>0</v>
      </c>
      <c r="BI655" s="219">
        <f t="shared" si="322"/>
        <v>0</v>
      </c>
      <c r="BJ655" s="31">
        <f t="shared" si="323"/>
        <v>0</v>
      </c>
      <c r="BK655" s="219">
        <f t="shared" si="324"/>
        <v>0</v>
      </c>
      <c r="BL655" s="31">
        <f t="shared" si="325"/>
        <v>0</v>
      </c>
      <c r="BM655" s="219">
        <f t="shared" si="326"/>
        <v>0</v>
      </c>
      <c r="BN655" s="31">
        <f t="shared" si="327"/>
        <v>0</v>
      </c>
      <c r="BO655" s="219">
        <f t="shared" si="328"/>
        <v>0</v>
      </c>
    </row>
    <row r="656" spans="1:67" x14ac:dyDescent="0.25">
      <c r="A656" s="31" t="s">
        <v>1658</v>
      </c>
      <c r="B656" s="176" t="str">
        <f>VLOOKUP(A656,kurspris!$A$1:$B$992,2,FALSE)</f>
        <v>Bedömning för och av lärande för åk 7-9 och gymnasium (UK)</v>
      </c>
      <c r="D656" s="60" t="s">
        <v>482</v>
      </c>
      <c r="E656" s="576" t="s">
        <v>2225</v>
      </c>
      <c r="F656" s="31" t="s">
        <v>2273</v>
      </c>
      <c r="G656" t="s">
        <v>2473</v>
      </c>
      <c r="H656" t="s">
        <v>2335</v>
      </c>
      <c r="J656" s="31" t="s">
        <v>2232</v>
      </c>
      <c r="L656" s="38">
        <v>1</v>
      </c>
      <c r="M656">
        <v>11</v>
      </c>
      <c r="P656" s="31">
        <v>2</v>
      </c>
      <c r="Q656" s="196">
        <f t="shared" si="329"/>
        <v>0.36666666666666664</v>
      </c>
      <c r="R656" s="38">
        <v>0.85</v>
      </c>
      <c r="S656" s="280">
        <f t="shared" si="301"/>
        <v>0.31166666666666665</v>
      </c>
      <c r="T656" s="31">
        <f>VLOOKUP(A656,'Ansvar kurs'!$A$1:$C$1123,2,FALSE)</f>
        <v>5740</v>
      </c>
      <c r="U656" s="31" t="str">
        <f>VLOOKUP(T656,Orgenheter!$A$1:$C$166,2,FALSE)</f>
        <v>NMD</v>
      </c>
      <c r="V656" s="31" t="str">
        <f>VLOOKUP(T656,Orgenheter!$A$1:$C$166,3,FALSE)</f>
        <v>TekNat</v>
      </c>
      <c r="W656" s="35" t="str">
        <f>VLOOKUP(D656,Program!$A$1:$B$36,2,FALSE)</f>
        <v>Ämneslärarprogrammet - Gy</v>
      </c>
      <c r="X656" s="40">
        <f>VLOOKUP(A656,kurspris!$A$1:$Q$913,15,FALSE)</f>
        <v>26554</v>
      </c>
      <c r="Y656" s="40">
        <f>VLOOKUP(A656,kurspris!$A$1:$Q$913,16,FALSE)</f>
        <v>33465</v>
      </c>
      <c r="Z656" s="40">
        <f t="shared" si="302"/>
        <v>20166.391666666663</v>
      </c>
      <c r="AA656" s="40">
        <f>VLOOKUP(A656,kurspris!$A$1:$Q$913,17,FALSE)</f>
        <v>6000</v>
      </c>
      <c r="AB656" s="40">
        <f t="shared" si="303"/>
        <v>2200</v>
      </c>
      <c r="AC656" s="40">
        <f t="shared" si="304"/>
        <v>22366.391666666663</v>
      </c>
      <c r="AD656" s="31">
        <f>VLOOKUP($A656,kurspris!$A$1:$Q$950,3,FALSE)</f>
        <v>0</v>
      </c>
      <c r="AE656" s="31">
        <f>VLOOKUP($A656,kurspris!$A$1:$Q$950,4,FALSE)</f>
        <v>0</v>
      </c>
      <c r="AF656" s="31">
        <f>VLOOKUP($A656,kurspris!$A$1:$Q$950,5,FALSE)</f>
        <v>0</v>
      </c>
      <c r="AG656" s="31">
        <f>VLOOKUP($A656,kurspris!$A$1:$Q$950,6,FALSE)</f>
        <v>1</v>
      </c>
      <c r="AH656" s="31">
        <f>VLOOKUP($A656,kurspris!$A$1:$Q$950,7,FALSE)</f>
        <v>0</v>
      </c>
      <c r="AI656" s="31">
        <f>VLOOKUP($A656,kurspris!$A$1:$Q$950,8,FALSE)</f>
        <v>0</v>
      </c>
      <c r="AJ656" s="31">
        <f>VLOOKUP($A656,kurspris!$A$1:$Q$950,9,FALSE)</f>
        <v>0</v>
      </c>
      <c r="AK656" s="31">
        <f>VLOOKUP($A656,kurspris!$A$1:$Q$950,10,FALSE)</f>
        <v>0</v>
      </c>
      <c r="AL656" s="31">
        <f>VLOOKUP($A656,kurspris!$A$1:$Q$950,11,FALSE)</f>
        <v>0</v>
      </c>
      <c r="AM656" s="31">
        <f>VLOOKUP($A656,kurspris!$A$1:$Q$950,12,FALSE)</f>
        <v>0</v>
      </c>
      <c r="AN656" s="31">
        <f>VLOOKUP($A656,kurspris!$A$1:$Q$950,13,FALSE)</f>
        <v>0</v>
      </c>
      <c r="AO656" s="31">
        <f>VLOOKUP($A656,kurspris!$A$1:$Q$950,14,FALSE)</f>
        <v>0</v>
      </c>
      <c r="AP656" s="57" t="s">
        <v>2506</v>
      </c>
      <c r="AQ656"/>
      <c r="AR656" s="31">
        <f t="shared" si="305"/>
        <v>0</v>
      </c>
      <c r="AS656" s="219">
        <f t="shared" si="306"/>
        <v>0</v>
      </c>
      <c r="AT656" s="31">
        <f t="shared" si="307"/>
        <v>0</v>
      </c>
      <c r="AU656" s="219">
        <f t="shared" si="308"/>
        <v>0</v>
      </c>
      <c r="AV656" s="31">
        <f t="shared" si="309"/>
        <v>0</v>
      </c>
      <c r="AW656" s="31">
        <f t="shared" si="310"/>
        <v>0</v>
      </c>
      <c r="AX656" s="31">
        <f t="shared" si="311"/>
        <v>0.36666666666666664</v>
      </c>
      <c r="AY656" s="219">
        <f t="shared" si="312"/>
        <v>0.31166666666666665</v>
      </c>
      <c r="AZ656" s="196">
        <f t="shared" si="313"/>
        <v>0</v>
      </c>
      <c r="BA656" s="219">
        <f t="shared" si="314"/>
        <v>0</v>
      </c>
      <c r="BB656" s="31">
        <f t="shared" si="315"/>
        <v>0</v>
      </c>
      <c r="BC656" s="219">
        <f t="shared" si="316"/>
        <v>0</v>
      </c>
      <c r="BD656" s="31">
        <f t="shared" si="317"/>
        <v>0</v>
      </c>
      <c r="BE656" s="219">
        <f t="shared" si="318"/>
        <v>0</v>
      </c>
      <c r="BF656" s="31">
        <f t="shared" si="319"/>
        <v>0</v>
      </c>
      <c r="BG656" s="219">
        <f t="shared" si="320"/>
        <v>0</v>
      </c>
      <c r="BH656" s="31">
        <f t="shared" si="321"/>
        <v>0</v>
      </c>
      <c r="BI656" s="219">
        <f t="shared" si="322"/>
        <v>0</v>
      </c>
      <c r="BJ656" s="31">
        <f t="shared" si="323"/>
        <v>0</v>
      </c>
      <c r="BK656" s="219">
        <f t="shared" si="324"/>
        <v>0</v>
      </c>
      <c r="BL656" s="31">
        <f t="shared" si="325"/>
        <v>0</v>
      </c>
      <c r="BM656" s="219">
        <f t="shared" si="326"/>
        <v>0</v>
      </c>
      <c r="BN656" s="31">
        <f t="shared" si="327"/>
        <v>0</v>
      </c>
      <c r="BO656" s="219">
        <f t="shared" si="328"/>
        <v>0</v>
      </c>
    </row>
    <row r="657" spans="1:67" x14ac:dyDescent="0.25">
      <c r="A657" s="31" t="s">
        <v>1658</v>
      </c>
      <c r="B657" s="176" t="str">
        <f>VLOOKUP(A657,kurspris!$A$1:$B$992,2,FALSE)</f>
        <v>Bedömning för och av lärande för åk 7-9 och gymnasium (UK)</v>
      </c>
      <c r="D657" s="60" t="s">
        <v>482</v>
      </c>
      <c r="E657" s="576" t="s">
        <v>2225</v>
      </c>
      <c r="F657" s="31" t="s">
        <v>2273</v>
      </c>
      <c r="G657" t="s">
        <v>2473</v>
      </c>
      <c r="H657" t="s">
        <v>2335</v>
      </c>
      <c r="J657" s="31" t="s">
        <v>2233</v>
      </c>
      <c r="L657" s="38">
        <v>1</v>
      </c>
      <c r="M657">
        <v>11</v>
      </c>
      <c r="P657" s="31">
        <v>1</v>
      </c>
      <c r="Q657" s="196">
        <f t="shared" si="329"/>
        <v>0.18333333333333332</v>
      </c>
      <c r="R657" s="38">
        <v>0.85</v>
      </c>
      <c r="S657" s="280">
        <f t="shared" si="301"/>
        <v>0.15583333333333332</v>
      </c>
      <c r="T657" s="31">
        <f>VLOOKUP(A657,'Ansvar kurs'!$A$1:$C$1123,2,FALSE)</f>
        <v>5740</v>
      </c>
      <c r="U657" s="31" t="str">
        <f>VLOOKUP(T657,Orgenheter!$A$1:$C$166,2,FALSE)</f>
        <v>NMD</v>
      </c>
      <c r="V657" s="31" t="str">
        <f>VLOOKUP(T657,Orgenheter!$A$1:$C$166,3,FALSE)</f>
        <v>TekNat</v>
      </c>
      <c r="W657" s="35" t="str">
        <f>VLOOKUP(D657,Program!$A$1:$B$36,2,FALSE)</f>
        <v>Ämneslärarprogrammet - Gy</v>
      </c>
      <c r="X657" s="40">
        <f>VLOOKUP(A657,kurspris!$A$1:$Q$913,15,FALSE)</f>
        <v>26554</v>
      </c>
      <c r="Y657" s="40">
        <f>VLOOKUP(A657,kurspris!$A$1:$Q$913,16,FALSE)</f>
        <v>33465</v>
      </c>
      <c r="Z657" s="40">
        <f t="shared" si="302"/>
        <v>10083.195833333331</v>
      </c>
      <c r="AA657" s="40">
        <f>VLOOKUP(A657,kurspris!$A$1:$Q$913,17,FALSE)</f>
        <v>6000</v>
      </c>
      <c r="AB657" s="40">
        <f t="shared" si="303"/>
        <v>1100</v>
      </c>
      <c r="AC657" s="40">
        <f t="shared" si="304"/>
        <v>11183.195833333331</v>
      </c>
      <c r="AD657" s="31">
        <f>VLOOKUP($A657,kurspris!$A$1:$Q$950,3,FALSE)</f>
        <v>0</v>
      </c>
      <c r="AE657" s="31">
        <f>VLOOKUP($A657,kurspris!$A$1:$Q$950,4,FALSE)</f>
        <v>0</v>
      </c>
      <c r="AF657" s="31">
        <f>VLOOKUP($A657,kurspris!$A$1:$Q$950,5,FALSE)</f>
        <v>0</v>
      </c>
      <c r="AG657" s="31">
        <f>VLOOKUP($A657,kurspris!$A$1:$Q$950,6,FALSE)</f>
        <v>1</v>
      </c>
      <c r="AH657" s="31">
        <f>VLOOKUP($A657,kurspris!$A$1:$Q$950,7,FALSE)</f>
        <v>0</v>
      </c>
      <c r="AI657" s="31">
        <f>VLOOKUP($A657,kurspris!$A$1:$Q$950,8,FALSE)</f>
        <v>0</v>
      </c>
      <c r="AJ657" s="31">
        <f>VLOOKUP($A657,kurspris!$A$1:$Q$950,9,FALSE)</f>
        <v>0</v>
      </c>
      <c r="AK657" s="31">
        <f>VLOOKUP($A657,kurspris!$A$1:$Q$950,10,FALSE)</f>
        <v>0</v>
      </c>
      <c r="AL657" s="31">
        <f>VLOOKUP($A657,kurspris!$A$1:$Q$950,11,FALSE)</f>
        <v>0</v>
      </c>
      <c r="AM657" s="31">
        <f>VLOOKUP($A657,kurspris!$A$1:$Q$950,12,FALSE)</f>
        <v>0</v>
      </c>
      <c r="AN657" s="31">
        <f>VLOOKUP($A657,kurspris!$A$1:$Q$950,13,FALSE)</f>
        <v>0</v>
      </c>
      <c r="AO657" s="31">
        <f>VLOOKUP($A657,kurspris!$A$1:$Q$950,14,FALSE)</f>
        <v>0</v>
      </c>
      <c r="AP657" s="57" t="s">
        <v>2506</v>
      </c>
      <c r="AQ657"/>
      <c r="AR657" s="31">
        <f t="shared" si="305"/>
        <v>0</v>
      </c>
      <c r="AS657" s="219">
        <f t="shared" si="306"/>
        <v>0</v>
      </c>
      <c r="AT657" s="31">
        <f t="shared" si="307"/>
        <v>0</v>
      </c>
      <c r="AU657" s="219">
        <f t="shared" si="308"/>
        <v>0</v>
      </c>
      <c r="AV657" s="31">
        <f t="shared" si="309"/>
        <v>0</v>
      </c>
      <c r="AW657" s="31">
        <f t="shared" si="310"/>
        <v>0</v>
      </c>
      <c r="AX657" s="31">
        <f t="shared" si="311"/>
        <v>0.18333333333333332</v>
      </c>
      <c r="AY657" s="219">
        <f t="shared" si="312"/>
        <v>0.15583333333333332</v>
      </c>
      <c r="AZ657" s="196">
        <f t="shared" si="313"/>
        <v>0</v>
      </c>
      <c r="BA657" s="219">
        <f t="shared" si="314"/>
        <v>0</v>
      </c>
      <c r="BB657" s="31">
        <f t="shared" si="315"/>
        <v>0</v>
      </c>
      <c r="BC657" s="219">
        <f t="shared" si="316"/>
        <v>0</v>
      </c>
      <c r="BD657" s="31">
        <f t="shared" si="317"/>
        <v>0</v>
      </c>
      <c r="BE657" s="219">
        <f t="shared" si="318"/>
        <v>0</v>
      </c>
      <c r="BF657" s="31">
        <f t="shared" si="319"/>
        <v>0</v>
      </c>
      <c r="BG657" s="219">
        <f t="shared" si="320"/>
        <v>0</v>
      </c>
      <c r="BH657" s="31">
        <f t="shared" si="321"/>
        <v>0</v>
      </c>
      <c r="BI657" s="219">
        <f t="shared" si="322"/>
        <v>0</v>
      </c>
      <c r="BJ657" s="31">
        <f t="shared" si="323"/>
        <v>0</v>
      </c>
      <c r="BK657" s="219">
        <f t="shared" si="324"/>
        <v>0</v>
      </c>
      <c r="BL657" s="31">
        <f t="shared" si="325"/>
        <v>0</v>
      </c>
      <c r="BM657" s="219">
        <f t="shared" si="326"/>
        <v>0</v>
      </c>
      <c r="BN657" s="31">
        <f t="shared" si="327"/>
        <v>0</v>
      </c>
      <c r="BO657" s="219">
        <f t="shared" si="328"/>
        <v>0</v>
      </c>
    </row>
    <row r="658" spans="1:67" x14ac:dyDescent="0.25">
      <c r="A658" s="31" t="s">
        <v>1658</v>
      </c>
      <c r="B658" s="176" t="str">
        <f>VLOOKUP(A658,kurspris!$A$1:$B$992,2,FALSE)</f>
        <v>Bedömning för och av lärande för åk 7-9 och gymnasium (UK)</v>
      </c>
      <c r="D658" s="60" t="s">
        <v>482</v>
      </c>
      <c r="E658" s="576" t="s">
        <v>2225</v>
      </c>
      <c r="F658" s="31" t="s">
        <v>2273</v>
      </c>
      <c r="G658" t="s">
        <v>2473</v>
      </c>
      <c r="H658" t="s">
        <v>2335</v>
      </c>
      <c r="J658" s="31" t="s">
        <v>2239</v>
      </c>
      <c r="L658" s="38">
        <v>1</v>
      </c>
      <c r="M658">
        <v>11</v>
      </c>
      <c r="P658" s="31">
        <v>1</v>
      </c>
      <c r="Q658" s="196">
        <f t="shared" si="329"/>
        <v>0.18333333333333332</v>
      </c>
      <c r="R658" s="38">
        <v>0.85</v>
      </c>
      <c r="S658" s="280">
        <f t="shared" si="301"/>
        <v>0.15583333333333332</v>
      </c>
      <c r="T658" s="31">
        <f>VLOOKUP(A658,'Ansvar kurs'!$A$1:$C$1123,2,FALSE)</f>
        <v>5740</v>
      </c>
      <c r="U658" s="31" t="str">
        <f>VLOOKUP(T658,Orgenheter!$A$1:$C$166,2,FALSE)</f>
        <v>NMD</v>
      </c>
      <c r="V658" s="31" t="str">
        <f>VLOOKUP(T658,Orgenheter!$A$1:$C$166,3,FALSE)</f>
        <v>TekNat</v>
      </c>
      <c r="W658" s="35" t="str">
        <f>VLOOKUP(D658,Program!$A$1:$B$36,2,FALSE)</f>
        <v>Ämneslärarprogrammet - Gy</v>
      </c>
      <c r="X658" s="40">
        <f>VLOOKUP(A658,kurspris!$A$1:$Q$913,15,FALSE)</f>
        <v>26554</v>
      </c>
      <c r="Y658" s="40">
        <f>VLOOKUP(A658,kurspris!$A$1:$Q$913,16,FALSE)</f>
        <v>33465</v>
      </c>
      <c r="Z658" s="40">
        <f t="shared" si="302"/>
        <v>10083.195833333331</v>
      </c>
      <c r="AA658" s="40">
        <f>VLOOKUP(A658,kurspris!$A$1:$Q$913,17,FALSE)</f>
        <v>6000</v>
      </c>
      <c r="AB658" s="40">
        <f t="shared" si="303"/>
        <v>1100</v>
      </c>
      <c r="AC658" s="40">
        <f t="shared" si="304"/>
        <v>11183.195833333331</v>
      </c>
      <c r="AD658" s="31">
        <f>VLOOKUP($A658,kurspris!$A$1:$Q$950,3,FALSE)</f>
        <v>0</v>
      </c>
      <c r="AE658" s="31">
        <f>VLOOKUP($A658,kurspris!$A$1:$Q$950,4,FALSE)</f>
        <v>0</v>
      </c>
      <c r="AF658" s="31">
        <f>VLOOKUP($A658,kurspris!$A$1:$Q$950,5,FALSE)</f>
        <v>0</v>
      </c>
      <c r="AG658" s="31">
        <f>VLOOKUP($A658,kurspris!$A$1:$Q$950,6,FALSE)</f>
        <v>1</v>
      </c>
      <c r="AH658" s="31">
        <f>VLOOKUP($A658,kurspris!$A$1:$Q$950,7,FALSE)</f>
        <v>0</v>
      </c>
      <c r="AI658" s="31">
        <f>VLOOKUP($A658,kurspris!$A$1:$Q$950,8,FALSE)</f>
        <v>0</v>
      </c>
      <c r="AJ658" s="31">
        <f>VLOOKUP($A658,kurspris!$A$1:$Q$950,9,FALSE)</f>
        <v>0</v>
      </c>
      <c r="AK658" s="31">
        <f>VLOOKUP($A658,kurspris!$A$1:$Q$950,10,FALSE)</f>
        <v>0</v>
      </c>
      <c r="AL658" s="31">
        <f>VLOOKUP($A658,kurspris!$A$1:$Q$950,11,FALSE)</f>
        <v>0</v>
      </c>
      <c r="AM658" s="31">
        <f>VLOOKUP($A658,kurspris!$A$1:$Q$950,12,FALSE)</f>
        <v>0</v>
      </c>
      <c r="AN658" s="31">
        <f>VLOOKUP($A658,kurspris!$A$1:$Q$950,13,FALSE)</f>
        <v>0</v>
      </c>
      <c r="AO658" s="31">
        <f>VLOOKUP($A658,kurspris!$A$1:$Q$950,14,FALSE)</f>
        <v>0</v>
      </c>
      <c r="AP658" s="57" t="s">
        <v>2506</v>
      </c>
      <c r="AQ658"/>
      <c r="AR658" s="31">
        <f t="shared" si="305"/>
        <v>0</v>
      </c>
      <c r="AS658" s="219">
        <f t="shared" si="306"/>
        <v>0</v>
      </c>
      <c r="AT658" s="31">
        <f t="shared" si="307"/>
        <v>0</v>
      </c>
      <c r="AU658" s="219">
        <f t="shared" si="308"/>
        <v>0</v>
      </c>
      <c r="AV658" s="31">
        <f t="shared" si="309"/>
        <v>0</v>
      </c>
      <c r="AW658" s="31">
        <f t="shared" si="310"/>
        <v>0</v>
      </c>
      <c r="AX658" s="31">
        <f t="shared" si="311"/>
        <v>0.18333333333333332</v>
      </c>
      <c r="AY658" s="219">
        <f t="shared" si="312"/>
        <v>0.15583333333333332</v>
      </c>
      <c r="AZ658" s="196">
        <f t="shared" si="313"/>
        <v>0</v>
      </c>
      <c r="BA658" s="219">
        <f t="shared" si="314"/>
        <v>0</v>
      </c>
      <c r="BB658" s="31">
        <f t="shared" si="315"/>
        <v>0</v>
      </c>
      <c r="BC658" s="219">
        <f t="shared" si="316"/>
        <v>0</v>
      </c>
      <c r="BD658" s="31">
        <f t="shared" si="317"/>
        <v>0</v>
      </c>
      <c r="BE658" s="219">
        <f t="shared" si="318"/>
        <v>0</v>
      </c>
      <c r="BF658" s="31">
        <f t="shared" si="319"/>
        <v>0</v>
      </c>
      <c r="BG658" s="219">
        <f t="shared" si="320"/>
        <v>0</v>
      </c>
      <c r="BH658" s="31">
        <f t="shared" si="321"/>
        <v>0</v>
      </c>
      <c r="BI658" s="219">
        <f t="shared" si="322"/>
        <v>0</v>
      </c>
      <c r="BJ658" s="31">
        <f t="shared" si="323"/>
        <v>0</v>
      </c>
      <c r="BK658" s="219">
        <f t="shared" si="324"/>
        <v>0</v>
      </c>
      <c r="BL658" s="31">
        <f t="shared" si="325"/>
        <v>0</v>
      </c>
      <c r="BM658" s="219">
        <f t="shared" si="326"/>
        <v>0</v>
      </c>
      <c r="BN658" s="31">
        <f t="shared" si="327"/>
        <v>0</v>
      </c>
      <c r="BO658" s="219">
        <f t="shared" si="328"/>
        <v>0</v>
      </c>
    </row>
    <row r="659" spans="1:67" x14ac:dyDescent="0.25">
      <c r="A659" s="31" t="s">
        <v>1658</v>
      </c>
      <c r="B659" s="176" t="str">
        <f>VLOOKUP(A659,kurspris!$A$1:$B$992,2,FALSE)</f>
        <v>Bedömning för och av lärande för åk 7-9 och gymnasium (UK)</v>
      </c>
      <c r="D659" s="60" t="s">
        <v>482</v>
      </c>
      <c r="E659" s="576" t="s">
        <v>2434</v>
      </c>
      <c r="F659" s="31" t="s">
        <v>2273</v>
      </c>
      <c r="G659" t="s">
        <v>2473</v>
      </c>
      <c r="H659" t="s">
        <v>2335</v>
      </c>
      <c r="J659" s="31" t="s">
        <v>2237</v>
      </c>
      <c r="L659" s="38">
        <v>1</v>
      </c>
      <c r="M659">
        <v>11</v>
      </c>
      <c r="P659" s="31">
        <v>2</v>
      </c>
      <c r="Q659" s="196">
        <f t="shared" si="329"/>
        <v>0.36666666666666664</v>
      </c>
      <c r="R659" s="38">
        <v>0.85</v>
      </c>
      <c r="S659" s="280">
        <f t="shared" si="301"/>
        <v>0.31166666666666665</v>
      </c>
      <c r="T659" s="31">
        <f>VLOOKUP(A659,'Ansvar kurs'!$A$1:$C$1123,2,FALSE)</f>
        <v>5740</v>
      </c>
      <c r="U659" s="31" t="str">
        <f>VLOOKUP(T659,Orgenheter!$A$1:$C$166,2,FALSE)</f>
        <v>NMD</v>
      </c>
      <c r="V659" s="31" t="str">
        <f>VLOOKUP(T659,Orgenheter!$A$1:$C$166,3,FALSE)</f>
        <v>TekNat</v>
      </c>
      <c r="W659" s="35" t="str">
        <f>VLOOKUP(D659,Program!$A$1:$B$36,2,FALSE)</f>
        <v>Ämneslärarprogrammet - Gy</v>
      </c>
      <c r="X659" s="40">
        <f>VLOOKUP(A659,kurspris!$A$1:$Q$913,15,FALSE)</f>
        <v>26554</v>
      </c>
      <c r="Y659" s="40">
        <f>VLOOKUP(A659,kurspris!$A$1:$Q$913,16,FALSE)</f>
        <v>33465</v>
      </c>
      <c r="Z659" s="40">
        <f t="shared" si="302"/>
        <v>20166.391666666663</v>
      </c>
      <c r="AA659" s="40">
        <f>VLOOKUP(A659,kurspris!$A$1:$Q$913,17,FALSE)</f>
        <v>6000</v>
      </c>
      <c r="AB659" s="40">
        <f t="shared" si="303"/>
        <v>2200</v>
      </c>
      <c r="AC659" s="40">
        <f t="shared" si="304"/>
        <v>22366.391666666663</v>
      </c>
      <c r="AD659" s="31">
        <f>VLOOKUP($A659,kurspris!$A$1:$Q$950,3,FALSE)</f>
        <v>0</v>
      </c>
      <c r="AE659" s="31">
        <f>VLOOKUP($A659,kurspris!$A$1:$Q$950,4,FALSE)</f>
        <v>0</v>
      </c>
      <c r="AF659" s="31">
        <f>VLOOKUP($A659,kurspris!$A$1:$Q$950,5,FALSE)</f>
        <v>0</v>
      </c>
      <c r="AG659" s="31">
        <f>VLOOKUP($A659,kurspris!$A$1:$Q$950,6,FALSE)</f>
        <v>1</v>
      </c>
      <c r="AH659" s="31">
        <f>VLOOKUP($A659,kurspris!$A$1:$Q$950,7,FALSE)</f>
        <v>0</v>
      </c>
      <c r="AI659" s="31">
        <f>VLOOKUP($A659,kurspris!$A$1:$Q$950,8,FALSE)</f>
        <v>0</v>
      </c>
      <c r="AJ659" s="31">
        <f>VLOOKUP($A659,kurspris!$A$1:$Q$950,9,FALSE)</f>
        <v>0</v>
      </c>
      <c r="AK659" s="31">
        <f>VLOOKUP($A659,kurspris!$A$1:$Q$950,10,FALSE)</f>
        <v>0</v>
      </c>
      <c r="AL659" s="31">
        <f>VLOOKUP($A659,kurspris!$A$1:$Q$950,11,FALSE)</f>
        <v>0</v>
      </c>
      <c r="AM659" s="31">
        <f>VLOOKUP($A659,kurspris!$A$1:$Q$950,12,FALSE)</f>
        <v>0</v>
      </c>
      <c r="AN659" s="31">
        <f>VLOOKUP($A659,kurspris!$A$1:$Q$950,13,FALSE)</f>
        <v>0</v>
      </c>
      <c r="AO659" s="31">
        <f>VLOOKUP($A659,kurspris!$A$1:$Q$950,14,FALSE)</f>
        <v>0</v>
      </c>
      <c r="AP659" s="57" t="s">
        <v>2506</v>
      </c>
      <c r="AQ659"/>
      <c r="AR659" s="31">
        <f t="shared" si="305"/>
        <v>0</v>
      </c>
      <c r="AS659" s="219">
        <f t="shared" si="306"/>
        <v>0</v>
      </c>
      <c r="AT659" s="31">
        <f t="shared" si="307"/>
        <v>0</v>
      </c>
      <c r="AU659" s="219">
        <f t="shared" si="308"/>
        <v>0</v>
      </c>
      <c r="AV659" s="31">
        <f t="shared" si="309"/>
        <v>0</v>
      </c>
      <c r="AW659" s="31">
        <f t="shared" si="310"/>
        <v>0</v>
      </c>
      <c r="AX659" s="31">
        <f t="shared" si="311"/>
        <v>0.36666666666666664</v>
      </c>
      <c r="AY659" s="219">
        <f t="shared" si="312"/>
        <v>0.31166666666666665</v>
      </c>
      <c r="AZ659" s="196">
        <f t="shared" si="313"/>
        <v>0</v>
      </c>
      <c r="BA659" s="219">
        <f t="shared" si="314"/>
        <v>0</v>
      </c>
      <c r="BB659" s="31">
        <f t="shared" si="315"/>
        <v>0</v>
      </c>
      <c r="BC659" s="219">
        <f t="shared" si="316"/>
        <v>0</v>
      </c>
      <c r="BD659" s="31">
        <f t="shared" si="317"/>
        <v>0</v>
      </c>
      <c r="BE659" s="219">
        <f t="shared" si="318"/>
        <v>0</v>
      </c>
      <c r="BF659" s="31">
        <f t="shared" si="319"/>
        <v>0</v>
      </c>
      <c r="BG659" s="219">
        <f t="shared" si="320"/>
        <v>0</v>
      </c>
      <c r="BH659" s="31">
        <f t="shared" si="321"/>
        <v>0</v>
      </c>
      <c r="BI659" s="219">
        <f t="shared" si="322"/>
        <v>0</v>
      </c>
      <c r="BJ659" s="31">
        <f t="shared" si="323"/>
        <v>0</v>
      </c>
      <c r="BK659" s="219">
        <f t="shared" si="324"/>
        <v>0</v>
      </c>
      <c r="BL659" s="31">
        <f t="shared" si="325"/>
        <v>0</v>
      </c>
      <c r="BM659" s="219">
        <f t="shared" si="326"/>
        <v>0</v>
      </c>
      <c r="BN659" s="31">
        <f t="shared" si="327"/>
        <v>0</v>
      </c>
      <c r="BO659" s="219">
        <f t="shared" si="328"/>
        <v>0</v>
      </c>
    </row>
    <row r="660" spans="1:67" x14ac:dyDescent="0.25">
      <c r="A660" s="31" t="s">
        <v>1658</v>
      </c>
      <c r="B660" s="176" t="str">
        <f>VLOOKUP(A660,kurspris!$A$1:$B$992,2,FALSE)</f>
        <v>Bedömning för och av lärande för åk 7-9 och gymnasium (UK)</v>
      </c>
      <c r="D660" s="60" t="s">
        <v>482</v>
      </c>
      <c r="E660" s="576" t="s">
        <v>2434</v>
      </c>
      <c r="F660" s="31" t="s">
        <v>2273</v>
      </c>
      <c r="G660" t="s">
        <v>2473</v>
      </c>
      <c r="H660" t="s">
        <v>2335</v>
      </c>
      <c r="J660" s="31" t="s">
        <v>2234</v>
      </c>
      <c r="L660" s="38">
        <v>1</v>
      </c>
      <c r="M660">
        <v>11</v>
      </c>
      <c r="P660" s="31">
        <v>2</v>
      </c>
      <c r="Q660" s="196">
        <f t="shared" si="329"/>
        <v>0.36666666666666664</v>
      </c>
      <c r="R660" s="38">
        <v>0.85</v>
      </c>
      <c r="S660" s="280">
        <f t="shared" si="301"/>
        <v>0.31166666666666665</v>
      </c>
      <c r="T660" s="31">
        <f>VLOOKUP(A660,'Ansvar kurs'!$A$1:$C$1123,2,FALSE)</f>
        <v>5740</v>
      </c>
      <c r="U660" s="31" t="str">
        <f>VLOOKUP(T660,Orgenheter!$A$1:$C$166,2,FALSE)</f>
        <v>NMD</v>
      </c>
      <c r="V660" s="31" t="str">
        <f>VLOOKUP(T660,Orgenheter!$A$1:$C$166,3,FALSE)</f>
        <v>TekNat</v>
      </c>
      <c r="W660" s="35" t="str">
        <f>VLOOKUP(D660,Program!$A$1:$B$36,2,FALSE)</f>
        <v>Ämneslärarprogrammet - Gy</v>
      </c>
      <c r="X660" s="40">
        <f>VLOOKUP(A660,kurspris!$A$1:$Q$913,15,FALSE)</f>
        <v>26554</v>
      </c>
      <c r="Y660" s="40">
        <f>VLOOKUP(A660,kurspris!$A$1:$Q$913,16,FALSE)</f>
        <v>33465</v>
      </c>
      <c r="Z660" s="40">
        <f t="shared" si="302"/>
        <v>20166.391666666663</v>
      </c>
      <c r="AA660" s="40">
        <f>VLOOKUP(A660,kurspris!$A$1:$Q$913,17,FALSE)</f>
        <v>6000</v>
      </c>
      <c r="AB660" s="40">
        <f t="shared" si="303"/>
        <v>2200</v>
      </c>
      <c r="AC660" s="40">
        <f t="shared" si="304"/>
        <v>22366.391666666663</v>
      </c>
      <c r="AD660" s="31">
        <f>VLOOKUP($A660,kurspris!$A$1:$Q$950,3,FALSE)</f>
        <v>0</v>
      </c>
      <c r="AE660" s="31">
        <f>VLOOKUP($A660,kurspris!$A$1:$Q$950,4,FALSE)</f>
        <v>0</v>
      </c>
      <c r="AF660" s="31">
        <f>VLOOKUP($A660,kurspris!$A$1:$Q$950,5,FALSE)</f>
        <v>0</v>
      </c>
      <c r="AG660" s="31">
        <f>VLOOKUP($A660,kurspris!$A$1:$Q$950,6,FALSE)</f>
        <v>1</v>
      </c>
      <c r="AH660" s="31">
        <f>VLOOKUP($A660,kurspris!$A$1:$Q$950,7,FALSE)</f>
        <v>0</v>
      </c>
      <c r="AI660" s="31">
        <f>VLOOKUP($A660,kurspris!$A$1:$Q$950,8,FALSE)</f>
        <v>0</v>
      </c>
      <c r="AJ660" s="31">
        <f>VLOOKUP($A660,kurspris!$A$1:$Q$950,9,FALSE)</f>
        <v>0</v>
      </c>
      <c r="AK660" s="31">
        <f>VLOOKUP($A660,kurspris!$A$1:$Q$950,10,FALSE)</f>
        <v>0</v>
      </c>
      <c r="AL660" s="31">
        <f>VLOOKUP($A660,kurspris!$A$1:$Q$950,11,FALSE)</f>
        <v>0</v>
      </c>
      <c r="AM660" s="31">
        <f>VLOOKUP($A660,kurspris!$A$1:$Q$950,12,FALSE)</f>
        <v>0</v>
      </c>
      <c r="AN660" s="31">
        <f>VLOOKUP($A660,kurspris!$A$1:$Q$950,13,FALSE)</f>
        <v>0</v>
      </c>
      <c r="AO660" s="31">
        <f>VLOOKUP($A660,kurspris!$A$1:$Q$950,14,FALSE)</f>
        <v>0</v>
      </c>
      <c r="AP660" s="57" t="s">
        <v>2506</v>
      </c>
      <c r="AQ660"/>
      <c r="AR660" s="31">
        <f t="shared" si="305"/>
        <v>0</v>
      </c>
      <c r="AS660" s="219">
        <f t="shared" si="306"/>
        <v>0</v>
      </c>
      <c r="AT660" s="31">
        <f t="shared" si="307"/>
        <v>0</v>
      </c>
      <c r="AU660" s="219">
        <f t="shared" si="308"/>
        <v>0</v>
      </c>
      <c r="AV660" s="31">
        <f t="shared" si="309"/>
        <v>0</v>
      </c>
      <c r="AW660" s="31">
        <f t="shared" si="310"/>
        <v>0</v>
      </c>
      <c r="AX660" s="31">
        <f t="shared" si="311"/>
        <v>0.36666666666666664</v>
      </c>
      <c r="AY660" s="219">
        <f t="shared" si="312"/>
        <v>0.31166666666666665</v>
      </c>
      <c r="AZ660" s="196">
        <f t="shared" si="313"/>
        <v>0</v>
      </c>
      <c r="BA660" s="219">
        <f t="shared" si="314"/>
        <v>0</v>
      </c>
      <c r="BB660" s="31">
        <f t="shared" si="315"/>
        <v>0</v>
      </c>
      <c r="BC660" s="219">
        <f t="shared" si="316"/>
        <v>0</v>
      </c>
      <c r="BD660" s="31">
        <f t="shared" si="317"/>
        <v>0</v>
      </c>
      <c r="BE660" s="219">
        <f t="shared" si="318"/>
        <v>0</v>
      </c>
      <c r="BF660" s="31">
        <f t="shared" si="319"/>
        <v>0</v>
      </c>
      <c r="BG660" s="219">
        <f t="shared" si="320"/>
        <v>0</v>
      </c>
      <c r="BH660" s="31">
        <f t="shared" si="321"/>
        <v>0</v>
      </c>
      <c r="BI660" s="219">
        <f t="shared" si="322"/>
        <v>0</v>
      </c>
      <c r="BJ660" s="31">
        <f t="shared" si="323"/>
        <v>0</v>
      </c>
      <c r="BK660" s="219">
        <f t="shared" si="324"/>
        <v>0</v>
      </c>
      <c r="BL660" s="31">
        <f t="shared" si="325"/>
        <v>0</v>
      </c>
      <c r="BM660" s="219">
        <f t="shared" si="326"/>
        <v>0</v>
      </c>
      <c r="BN660" s="31">
        <f t="shared" si="327"/>
        <v>0</v>
      </c>
      <c r="BO660" s="219">
        <f t="shared" si="328"/>
        <v>0</v>
      </c>
    </row>
    <row r="661" spans="1:67" x14ac:dyDescent="0.25">
      <c r="A661" s="31" t="s">
        <v>1658</v>
      </c>
      <c r="B661" s="176" t="str">
        <f>VLOOKUP(A661,kurspris!$A$1:$B$992,2,FALSE)</f>
        <v>Bedömning för och av lärande för åk 7-9 och gymnasium (UK)</v>
      </c>
      <c r="D661" s="60" t="s">
        <v>482</v>
      </c>
      <c r="E661" s="576" t="s">
        <v>2434</v>
      </c>
      <c r="F661" s="31" t="s">
        <v>2273</v>
      </c>
      <c r="G661" t="s">
        <v>2473</v>
      </c>
      <c r="H661" t="s">
        <v>2335</v>
      </c>
      <c r="J661" s="31" t="s">
        <v>2231</v>
      </c>
      <c r="L661" s="38">
        <v>1</v>
      </c>
      <c r="M661">
        <v>11</v>
      </c>
      <c r="P661" s="31">
        <v>12</v>
      </c>
      <c r="Q661" s="196">
        <f t="shared" si="329"/>
        <v>2.1999999999999997</v>
      </c>
      <c r="R661" s="38">
        <v>0.85</v>
      </c>
      <c r="S661" s="280">
        <f t="shared" si="301"/>
        <v>1.8699999999999997</v>
      </c>
      <c r="T661" s="31">
        <f>VLOOKUP(A661,'Ansvar kurs'!$A$1:$C$1123,2,FALSE)</f>
        <v>5740</v>
      </c>
      <c r="U661" s="31" t="str">
        <f>VLOOKUP(T661,Orgenheter!$A$1:$C$166,2,FALSE)</f>
        <v>NMD</v>
      </c>
      <c r="V661" s="31" t="str">
        <f>VLOOKUP(T661,Orgenheter!$A$1:$C$166,3,FALSE)</f>
        <v>TekNat</v>
      </c>
      <c r="W661" s="35" t="str">
        <f>VLOOKUP(D661,Program!$A$1:$B$36,2,FALSE)</f>
        <v>Ämneslärarprogrammet - Gy</v>
      </c>
      <c r="X661" s="40">
        <f>VLOOKUP(A661,kurspris!$A$1:$Q$913,15,FALSE)</f>
        <v>26554</v>
      </c>
      <c r="Y661" s="40">
        <f>VLOOKUP(A661,kurspris!$A$1:$Q$913,16,FALSE)</f>
        <v>33465</v>
      </c>
      <c r="Z661" s="40">
        <f t="shared" si="302"/>
        <v>120998.34999999998</v>
      </c>
      <c r="AA661" s="40">
        <f>VLOOKUP(A661,kurspris!$A$1:$Q$913,17,FALSE)</f>
        <v>6000</v>
      </c>
      <c r="AB661" s="40">
        <f t="shared" si="303"/>
        <v>13199.999999999998</v>
      </c>
      <c r="AC661" s="40">
        <f t="shared" si="304"/>
        <v>134198.34999999998</v>
      </c>
      <c r="AD661" s="31">
        <f>VLOOKUP($A661,kurspris!$A$1:$Q$950,3,FALSE)</f>
        <v>0</v>
      </c>
      <c r="AE661" s="31">
        <f>VLOOKUP($A661,kurspris!$A$1:$Q$950,4,FALSE)</f>
        <v>0</v>
      </c>
      <c r="AF661" s="31">
        <f>VLOOKUP($A661,kurspris!$A$1:$Q$950,5,FALSE)</f>
        <v>0</v>
      </c>
      <c r="AG661" s="31">
        <f>VLOOKUP($A661,kurspris!$A$1:$Q$950,6,FALSE)</f>
        <v>1</v>
      </c>
      <c r="AH661" s="31">
        <f>VLOOKUP($A661,kurspris!$A$1:$Q$950,7,FALSE)</f>
        <v>0</v>
      </c>
      <c r="AI661" s="31">
        <f>VLOOKUP($A661,kurspris!$A$1:$Q$950,8,FALSE)</f>
        <v>0</v>
      </c>
      <c r="AJ661" s="31">
        <f>VLOOKUP($A661,kurspris!$A$1:$Q$950,9,FALSE)</f>
        <v>0</v>
      </c>
      <c r="AK661" s="31">
        <f>VLOOKUP($A661,kurspris!$A$1:$Q$950,10,FALSE)</f>
        <v>0</v>
      </c>
      <c r="AL661" s="31">
        <f>VLOOKUP($A661,kurspris!$A$1:$Q$950,11,FALSE)</f>
        <v>0</v>
      </c>
      <c r="AM661" s="31">
        <f>VLOOKUP($A661,kurspris!$A$1:$Q$950,12,FALSE)</f>
        <v>0</v>
      </c>
      <c r="AN661" s="31">
        <f>VLOOKUP($A661,kurspris!$A$1:$Q$950,13,FALSE)</f>
        <v>0</v>
      </c>
      <c r="AO661" s="31">
        <f>VLOOKUP($A661,kurspris!$A$1:$Q$950,14,FALSE)</f>
        <v>0</v>
      </c>
      <c r="AP661" s="57" t="s">
        <v>2506</v>
      </c>
      <c r="AQ661"/>
      <c r="AR661" s="31">
        <f t="shared" si="305"/>
        <v>0</v>
      </c>
      <c r="AS661" s="219">
        <f t="shared" si="306"/>
        <v>0</v>
      </c>
      <c r="AT661" s="31">
        <f t="shared" si="307"/>
        <v>0</v>
      </c>
      <c r="AU661" s="219">
        <f t="shared" si="308"/>
        <v>0</v>
      </c>
      <c r="AV661" s="31">
        <f t="shared" si="309"/>
        <v>0</v>
      </c>
      <c r="AW661" s="31">
        <f t="shared" si="310"/>
        <v>0</v>
      </c>
      <c r="AX661" s="31">
        <f t="shared" si="311"/>
        <v>2.1999999999999997</v>
      </c>
      <c r="AY661" s="219">
        <f t="shared" si="312"/>
        <v>1.8699999999999997</v>
      </c>
      <c r="AZ661" s="196">
        <f t="shared" si="313"/>
        <v>0</v>
      </c>
      <c r="BA661" s="219">
        <f t="shared" si="314"/>
        <v>0</v>
      </c>
      <c r="BB661" s="31">
        <f t="shared" si="315"/>
        <v>0</v>
      </c>
      <c r="BC661" s="219">
        <f t="shared" si="316"/>
        <v>0</v>
      </c>
      <c r="BD661" s="31">
        <f t="shared" si="317"/>
        <v>0</v>
      </c>
      <c r="BE661" s="219">
        <f t="shared" si="318"/>
        <v>0</v>
      </c>
      <c r="BF661" s="31">
        <f t="shared" si="319"/>
        <v>0</v>
      </c>
      <c r="BG661" s="219">
        <f t="shared" si="320"/>
        <v>0</v>
      </c>
      <c r="BH661" s="31">
        <f t="shared" si="321"/>
        <v>0</v>
      </c>
      <c r="BI661" s="219">
        <f t="shared" si="322"/>
        <v>0</v>
      </c>
      <c r="BJ661" s="31">
        <f t="shared" si="323"/>
        <v>0</v>
      </c>
      <c r="BK661" s="219">
        <f t="shared" si="324"/>
        <v>0</v>
      </c>
      <c r="BL661" s="31">
        <f t="shared" si="325"/>
        <v>0</v>
      </c>
      <c r="BM661" s="219">
        <f t="shared" si="326"/>
        <v>0</v>
      </c>
      <c r="BN661" s="31">
        <f t="shared" si="327"/>
        <v>0</v>
      </c>
      <c r="BO661" s="219">
        <f t="shared" si="328"/>
        <v>0</v>
      </c>
    </row>
    <row r="662" spans="1:67" x14ac:dyDescent="0.25">
      <c r="A662" s="31" t="s">
        <v>1658</v>
      </c>
      <c r="B662" s="176" t="str">
        <f>VLOOKUP(A662,kurspris!$A$1:$B$992,2,FALSE)</f>
        <v>Bedömning för och av lärande för åk 7-9 och gymnasium (UK)</v>
      </c>
      <c r="D662" s="60" t="s">
        <v>482</v>
      </c>
      <c r="E662" s="576" t="s">
        <v>2434</v>
      </c>
      <c r="F662" s="31" t="s">
        <v>2273</v>
      </c>
      <c r="G662" t="s">
        <v>2473</v>
      </c>
      <c r="H662" t="s">
        <v>2335</v>
      </c>
      <c r="J662" s="31" t="s">
        <v>2238</v>
      </c>
      <c r="L662" s="38">
        <v>1</v>
      </c>
      <c r="M662">
        <v>11</v>
      </c>
      <c r="P662" s="31">
        <v>2</v>
      </c>
      <c r="Q662" s="196">
        <f t="shared" si="329"/>
        <v>0.36666666666666664</v>
      </c>
      <c r="R662" s="38">
        <v>0.85</v>
      </c>
      <c r="S662" s="280">
        <f t="shared" si="301"/>
        <v>0.31166666666666665</v>
      </c>
      <c r="T662" s="31">
        <f>VLOOKUP(A662,'Ansvar kurs'!$A$1:$C$1123,2,FALSE)</f>
        <v>5740</v>
      </c>
      <c r="U662" s="31" t="str">
        <f>VLOOKUP(T662,Orgenheter!$A$1:$C$166,2,FALSE)</f>
        <v>NMD</v>
      </c>
      <c r="V662" s="31" t="str">
        <f>VLOOKUP(T662,Orgenheter!$A$1:$C$166,3,FALSE)</f>
        <v>TekNat</v>
      </c>
      <c r="W662" s="35" t="str">
        <f>VLOOKUP(D662,Program!$A$1:$B$36,2,FALSE)</f>
        <v>Ämneslärarprogrammet - Gy</v>
      </c>
      <c r="X662" s="40">
        <f>VLOOKUP(A662,kurspris!$A$1:$Q$913,15,FALSE)</f>
        <v>26554</v>
      </c>
      <c r="Y662" s="40">
        <f>VLOOKUP(A662,kurspris!$A$1:$Q$913,16,FALSE)</f>
        <v>33465</v>
      </c>
      <c r="Z662" s="40">
        <f t="shared" si="302"/>
        <v>20166.391666666663</v>
      </c>
      <c r="AA662" s="40">
        <f>VLOOKUP(A662,kurspris!$A$1:$Q$913,17,FALSE)</f>
        <v>6000</v>
      </c>
      <c r="AB662" s="40">
        <f t="shared" si="303"/>
        <v>2200</v>
      </c>
      <c r="AC662" s="40">
        <f t="shared" si="304"/>
        <v>22366.391666666663</v>
      </c>
      <c r="AD662" s="31">
        <f>VLOOKUP($A662,kurspris!$A$1:$Q$950,3,FALSE)</f>
        <v>0</v>
      </c>
      <c r="AE662" s="31">
        <f>VLOOKUP($A662,kurspris!$A$1:$Q$950,4,FALSE)</f>
        <v>0</v>
      </c>
      <c r="AF662" s="31">
        <f>VLOOKUP($A662,kurspris!$A$1:$Q$950,5,FALSE)</f>
        <v>0</v>
      </c>
      <c r="AG662" s="31">
        <f>VLOOKUP($A662,kurspris!$A$1:$Q$950,6,FALSE)</f>
        <v>1</v>
      </c>
      <c r="AH662" s="31">
        <f>VLOOKUP($A662,kurspris!$A$1:$Q$950,7,FALSE)</f>
        <v>0</v>
      </c>
      <c r="AI662" s="31">
        <f>VLOOKUP($A662,kurspris!$A$1:$Q$950,8,FALSE)</f>
        <v>0</v>
      </c>
      <c r="AJ662" s="31">
        <f>VLOOKUP($A662,kurspris!$A$1:$Q$950,9,FALSE)</f>
        <v>0</v>
      </c>
      <c r="AK662" s="31">
        <f>VLOOKUP($A662,kurspris!$A$1:$Q$950,10,FALSE)</f>
        <v>0</v>
      </c>
      <c r="AL662" s="31">
        <f>VLOOKUP($A662,kurspris!$A$1:$Q$950,11,FALSE)</f>
        <v>0</v>
      </c>
      <c r="AM662" s="31">
        <f>VLOOKUP($A662,kurspris!$A$1:$Q$950,12,FALSE)</f>
        <v>0</v>
      </c>
      <c r="AN662" s="31">
        <f>VLOOKUP($A662,kurspris!$A$1:$Q$950,13,FALSE)</f>
        <v>0</v>
      </c>
      <c r="AO662" s="31">
        <f>VLOOKUP($A662,kurspris!$A$1:$Q$950,14,FALSE)</f>
        <v>0</v>
      </c>
      <c r="AP662" s="57" t="s">
        <v>2506</v>
      </c>
      <c r="AQ662"/>
      <c r="AR662" s="31">
        <f t="shared" si="305"/>
        <v>0</v>
      </c>
      <c r="AS662" s="219">
        <f t="shared" si="306"/>
        <v>0</v>
      </c>
      <c r="AT662" s="31">
        <f t="shared" si="307"/>
        <v>0</v>
      </c>
      <c r="AU662" s="219">
        <f t="shared" si="308"/>
        <v>0</v>
      </c>
      <c r="AV662" s="31">
        <f t="shared" si="309"/>
        <v>0</v>
      </c>
      <c r="AW662" s="31">
        <f t="shared" si="310"/>
        <v>0</v>
      </c>
      <c r="AX662" s="31">
        <f t="shared" si="311"/>
        <v>0.36666666666666664</v>
      </c>
      <c r="AY662" s="219">
        <f t="shared" si="312"/>
        <v>0.31166666666666665</v>
      </c>
      <c r="AZ662" s="196">
        <f t="shared" si="313"/>
        <v>0</v>
      </c>
      <c r="BA662" s="219">
        <f t="shared" si="314"/>
        <v>0</v>
      </c>
      <c r="BB662" s="31">
        <f t="shared" si="315"/>
        <v>0</v>
      </c>
      <c r="BC662" s="219">
        <f t="shared" si="316"/>
        <v>0</v>
      </c>
      <c r="BD662" s="31">
        <f t="shared" si="317"/>
        <v>0</v>
      </c>
      <c r="BE662" s="219">
        <f t="shared" si="318"/>
        <v>0</v>
      </c>
      <c r="BF662" s="31">
        <f t="shared" si="319"/>
        <v>0</v>
      </c>
      <c r="BG662" s="219">
        <f t="shared" si="320"/>
        <v>0</v>
      </c>
      <c r="BH662" s="31">
        <f t="shared" si="321"/>
        <v>0</v>
      </c>
      <c r="BI662" s="219">
        <f t="shared" si="322"/>
        <v>0</v>
      </c>
      <c r="BJ662" s="31">
        <f t="shared" si="323"/>
        <v>0</v>
      </c>
      <c r="BK662" s="219">
        <f t="shared" si="324"/>
        <v>0</v>
      </c>
      <c r="BL662" s="31">
        <f t="shared" si="325"/>
        <v>0</v>
      </c>
      <c r="BM662" s="219">
        <f t="shared" si="326"/>
        <v>0</v>
      </c>
      <c r="BN662" s="31">
        <f t="shared" si="327"/>
        <v>0</v>
      </c>
      <c r="BO662" s="219">
        <f t="shared" si="328"/>
        <v>0</v>
      </c>
    </row>
    <row r="663" spans="1:67" x14ac:dyDescent="0.25">
      <c r="A663" s="31" t="s">
        <v>1658</v>
      </c>
      <c r="B663" s="176" t="str">
        <f>VLOOKUP(A663,kurspris!$A$1:$B$992,2,FALSE)</f>
        <v>Bedömning för och av lärande för åk 7-9 och gymnasium (UK)</v>
      </c>
      <c r="D663" s="60" t="s">
        <v>482</v>
      </c>
      <c r="E663" s="576" t="s">
        <v>2434</v>
      </c>
      <c r="F663" s="31" t="s">
        <v>2273</v>
      </c>
      <c r="G663" t="s">
        <v>2473</v>
      </c>
      <c r="H663" t="s">
        <v>2335</v>
      </c>
      <c r="J663" s="31" t="s">
        <v>2241</v>
      </c>
      <c r="L663" s="38">
        <v>1</v>
      </c>
      <c r="M663">
        <v>11</v>
      </c>
      <c r="P663" s="31">
        <v>17</v>
      </c>
      <c r="Q663" s="196">
        <f t="shared" si="329"/>
        <v>3.1166666666666663</v>
      </c>
      <c r="R663" s="38">
        <v>0.85</v>
      </c>
      <c r="S663" s="280">
        <f t="shared" si="301"/>
        <v>2.6491666666666664</v>
      </c>
      <c r="T663" s="31">
        <f>VLOOKUP(A663,'Ansvar kurs'!$A$1:$C$1123,2,FALSE)</f>
        <v>5740</v>
      </c>
      <c r="U663" s="31" t="str">
        <f>VLOOKUP(T663,Orgenheter!$A$1:$C$166,2,FALSE)</f>
        <v>NMD</v>
      </c>
      <c r="V663" s="31" t="str">
        <f>VLOOKUP(T663,Orgenheter!$A$1:$C$166,3,FALSE)</f>
        <v>TekNat</v>
      </c>
      <c r="W663" s="35" t="str">
        <f>VLOOKUP(D663,Program!$A$1:$B$36,2,FALSE)</f>
        <v>Ämneslärarprogrammet - Gy</v>
      </c>
      <c r="X663" s="40">
        <f>VLOOKUP(A663,kurspris!$A$1:$Q$913,15,FALSE)</f>
        <v>26554</v>
      </c>
      <c r="Y663" s="40">
        <f>VLOOKUP(A663,kurspris!$A$1:$Q$913,16,FALSE)</f>
        <v>33465</v>
      </c>
      <c r="Z663" s="40">
        <f t="shared" si="302"/>
        <v>171414.32916666666</v>
      </c>
      <c r="AA663" s="40">
        <f>VLOOKUP(A663,kurspris!$A$1:$Q$913,17,FALSE)</f>
        <v>6000</v>
      </c>
      <c r="AB663" s="40">
        <f t="shared" si="303"/>
        <v>18699.999999999996</v>
      </c>
      <c r="AC663" s="40">
        <f t="shared" si="304"/>
        <v>190114.32916666666</v>
      </c>
      <c r="AD663" s="31">
        <f>VLOOKUP($A663,kurspris!$A$1:$Q$950,3,FALSE)</f>
        <v>0</v>
      </c>
      <c r="AE663" s="31">
        <f>VLOOKUP($A663,kurspris!$A$1:$Q$950,4,FALSE)</f>
        <v>0</v>
      </c>
      <c r="AF663" s="31">
        <f>VLOOKUP($A663,kurspris!$A$1:$Q$950,5,FALSE)</f>
        <v>0</v>
      </c>
      <c r="AG663" s="31">
        <f>VLOOKUP($A663,kurspris!$A$1:$Q$950,6,FALSE)</f>
        <v>1</v>
      </c>
      <c r="AH663" s="31">
        <f>VLOOKUP($A663,kurspris!$A$1:$Q$950,7,FALSE)</f>
        <v>0</v>
      </c>
      <c r="AI663" s="31">
        <f>VLOOKUP($A663,kurspris!$A$1:$Q$950,8,FALSE)</f>
        <v>0</v>
      </c>
      <c r="AJ663" s="31">
        <f>VLOOKUP($A663,kurspris!$A$1:$Q$950,9,FALSE)</f>
        <v>0</v>
      </c>
      <c r="AK663" s="31">
        <f>VLOOKUP($A663,kurspris!$A$1:$Q$950,10,FALSE)</f>
        <v>0</v>
      </c>
      <c r="AL663" s="31">
        <f>VLOOKUP($A663,kurspris!$A$1:$Q$950,11,FALSE)</f>
        <v>0</v>
      </c>
      <c r="AM663" s="31">
        <f>VLOOKUP($A663,kurspris!$A$1:$Q$950,12,FALSE)</f>
        <v>0</v>
      </c>
      <c r="AN663" s="31">
        <f>VLOOKUP($A663,kurspris!$A$1:$Q$950,13,FALSE)</f>
        <v>0</v>
      </c>
      <c r="AO663" s="31">
        <f>VLOOKUP($A663,kurspris!$A$1:$Q$950,14,FALSE)</f>
        <v>0</v>
      </c>
      <c r="AP663" s="57" t="s">
        <v>2506</v>
      </c>
      <c r="AQ663"/>
      <c r="AR663" s="31">
        <f t="shared" si="305"/>
        <v>0</v>
      </c>
      <c r="AS663" s="219">
        <f t="shared" si="306"/>
        <v>0</v>
      </c>
      <c r="AT663" s="31">
        <f t="shared" si="307"/>
        <v>0</v>
      </c>
      <c r="AU663" s="219">
        <f t="shared" si="308"/>
        <v>0</v>
      </c>
      <c r="AV663" s="31">
        <f t="shared" si="309"/>
        <v>0</v>
      </c>
      <c r="AW663" s="31">
        <f t="shared" si="310"/>
        <v>0</v>
      </c>
      <c r="AX663" s="31">
        <f t="shared" si="311"/>
        <v>3.1166666666666663</v>
      </c>
      <c r="AY663" s="219">
        <f t="shared" si="312"/>
        <v>2.6491666666666664</v>
      </c>
      <c r="AZ663" s="196">
        <f t="shared" si="313"/>
        <v>0</v>
      </c>
      <c r="BA663" s="219">
        <f t="shared" si="314"/>
        <v>0</v>
      </c>
      <c r="BB663" s="31">
        <f t="shared" si="315"/>
        <v>0</v>
      </c>
      <c r="BC663" s="219">
        <f t="shared" si="316"/>
        <v>0</v>
      </c>
      <c r="BD663" s="31">
        <f t="shared" si="317"/>
        <v>0</v>
      </c>
      <c r="BE663" s="219">
        <f t="shared" si="318"/>
        <v>0</v>
      </c>
      <c r="BF663" s="31">
        <f t="shared" si="319"/>
        <v>0</v>
      </c>
      <c r="BG663" s="219">
        <f t="shared" si="320"/>
        <v>0</v>
      </c>
      <c r="BH663" s="31">
        <f t="shared" si="321"/>
        <v>0</v>
      </c>
      <c r="BI663" s="219">
        <f t="shared" si="322"/>
        <v>0</v>
      </c>
      <c r="BJ663" s="31">
        <f t="shared" si="323"/>
        <v>0</v>
      </c>
      <c r="BK663" s="219">
        <f t="shared" si="324"/>
        <v>0</v>
      </c>
      <c r="BL663" s="31">
        <f t="shared" si="325"/>
        <v>0</v>
      </c>
      <c r="BM663" s="219">
        <f t="shared" si="326"/>
        <v>0</v>
      </c>
      <c r="BN663" s="31">
        <f t="shared" si="327"/>
        <v>0</v>
      </c>
      <c r="BO663" s="219">
        <f t="shared" si="328"/>
        <v>0</v>
      </c>
    </row>
    <row r="664" spans="1:67" x14ac:dyDescent="0.25">
      <c r="A664" s="31" t="s">
        <v>1658</v>
      </c>
      <c r="B664" s="176" t="str">
        <f>VLOOKUP(A664,kurspris!$A$1:$B$992,2,FALSE)</f>
        <v>Bedömning för och av lärande för åk 7-9 och gymnasium (UK)</v>
      </c>
      <c r="D664" s="60" t="s">
        <v>482</v>
      </c>
      <c r="E664" s="576" t="s">
        <v>2434</v>
      </c>
      <c r="F664" s="31" t="s">
        <v>2273</v>
      </c>
      <c r="G664" t="s">
        <v>2473</v>
      </c>
      <c r="H664" t="s">
        <v>2335</v>
      </c>
      <c r="J664" s="31" t="s">
        <v>2232</v>
      </c>
      <c r="L664" s="38">
        <v>1</v>
      </c>
      <c r="M664">
        <v>11</v>
      </c>
      <c r="P664" s="31">
        <v>18</v>
      </c>
      <c r="Q664" s="196">
        <f t="shared" si="329"/>
        <v>3.3</v>
      </c>
      <c r="R664" s="38">
        <v>0.85</v>
      </c>
      <c r="S664" s="280">
        <f t="shared" si="301"/>
        <v>2.8049999999999997</v>
      </c>
      <c r="T664" s="31">
        <f>VLOOKUP(A664,'Ansvar kurs'!$A$1:$C$1123,2,FALSE)</f>
        <v>5740</v>
      </c>
      <c r="U664" s="31" t="str">
        <f>VLOOKUP(T664,Orgenheter!$A$1:$C$166,2,FALSE)</f>
        <v>NMD</v>
      </c>
      <c r="V664" s="31" t="str">
        <f>VLOOKUP(T664,Orgenheter!$A$1:$C$166,3,FALSE)</f>
        <v>TekNat</v>
      </c>
      <c r="W664" s="35" t="str">
        <f>VLOOKUP(D664,Program!$A$1:$B$36,2,FALSE)</f>
        <v>Ämneslärarprogrammet - Gy</v>
      </c>
      <c r="X664" s="40">
        <f>VLOOKUP(A664,kurspris!$A$1:$Q$913,15,FALSE)</f>
        <v>26554</v>
      </c>
      <c r="Y664" s="40">
        <f>VLOOKUP(A664,kurspris!$A$1:$Q$913,16,FALSE)</f>
        <v>33465</v>
      </c>
      <c r="Z664" s="40">
        <f t="shared" si="302"/>
        <v>181497.52499999999</v>
      </c>
      <c r="AA664" s="40">
        <f>VLOOKUP(A664,kurspris!$A$1:$Q$913,17,FALSE)</f>
        <v>6000</v>
      </c>
      <c r="AB664" s="40">
        <f t="shared" si="303"/>
        <v>19800</v>
      </c>
      <c r="AC664" s="40">
        <f t="shared" si="304"/>
        <v>201297.52499999999</v>
      </c>
      <c r="AD664" s="31">
        <f>VLOOKUP($A664,kurspris!$A$1:$Q$950,3,FALSE)</f>
        <v>0</v>
      </c>
      <c r="AE664" s="31">
        <f>VLOOKUP($A664,kurspris!$A$1:$Q$950,4,FALSE)</f>
        <v>0</v>
      </c>
      <c r="AF664" s="31">
        <f>VLOOKUP($A664,kurspris!$A$1:$Q$950,5,FALSE)</f>
        <v>0</v>
      </c>
      <c r="AG664" s="31">
        <f>VLOOKUP($A664,kurspris!$A$1:$Q$950,6,FALSE)</f>
        <v>1</v>
      </c>
      <c r="AH664" s="31">
        <f>VLOOKUP($A664,kurspris!$A$1:$Q$950,7,FALSE)</f>
        <v>0</v>
      </c>
      <c r="AI664" s="31">
        <f>VLOOKUP($A664,kurspris!$A$1:$Q$950,8,FALSE)</f>
        <v>0</v>
      </c>
      <c r="AJ664" s="31">
        <f>VLOOKUP($A664,kurspris!$A$1:$Q$950,9,FALSE)</f>
        <v>0</v>
      </c>
      <c r="AK664" s="31">
        <f>VLOOKUP($A664,kurspris!$A$1:$Q$950,10,FALSE)</f>
        <v>0</v>
      </c>
      <c r="AL664" s="31">
        <f>VLOOKUP($A664,kurspris!$A$1:$Q$950,11,FALSE)</f>
        <v>0</v>
      </c>
      <c r="AM664" s="31">
        <f>VLOOKUP($A664,kurspris!$A$1:$Q$950,12,FALSE)</f>
        <v>0</v>
      </c>
      <c r="AN664" s="31">
        <f>VLOOKUP($A664,kurspris!$A$1:$Q$950,13,FALSE)</f>
        <v>0</v>
      </c>
      <c r="AO664" s="31">
        <f>VLOOKUP($A664,kurspris!$A$1:$Q$950,14,FALSE)</f>
        <v>0</v>
      </c>
      <c r="AP664" s="57" t="s">
        <v>2506</v>
      </c>
      <c r="AQ664"/>
      <c r="AR664" s="31">
        <f t="shared" si="305"/>
        <v>0</v>
      </c>
      <c r="AS664" s="219">
        <f t="shared" si="306"/>
        <v>0</v>
      </c>
      <c r="AT664" s="31">
        <f t="shared" si="307"/>
        <v>0</v>
      </c>
      <c r="AU664" s="219">
        <f t="shared" si="308"/>
        <v>0</v>
      </c>
      <c r="AV664" s="31">
        <f t="shared" si="309"/>
        <v>0</v>
      </c>
      <c r="AW664" s="31">
        <f t="shared" si="310"/>
        <v>0</v>
      </c>
      <c r="AX664" s="31">
        <f t="shared" si="311"/>
        <v>3.3</v>
      </c>
      <c r="AY664" s="219">
        <f t="shared" si="312"/>
        <v>2.8049999999999997</v>
      </c>
      <c r="AZ664" s="196">
        <f t="shared" si="313"/>
        <v>0</v>
      </c>
      <c r="BA664" s="219">
        <f t="shared" si="314"/>
        <v>0</v>
      </c>
      <c r="BB664" s="31">
        <f t="shared" si="315"/>
        <v>0</v>
      </c>
      <c r="BC664" s="219">
        <f t="shared" si="316"/>
        <v>0</v>
      </c>
      <c r="BD664" s="31">
        <f t="shared" si="317"/>
        <v>0</v>
      </c>
      <c r="BE664" s="219">
        <f t="shared" si="318"/>
        <v>0</v>
      </c>
      <c r="BF664" s="31">
        <f t="shared" si="319"/>
        <v>0</v>
      </c>
      <c r="BG664" s="219">
        <f t="shared" si="320"/>
        <v>0</v>
      </c>
      <c r="BH664" s="31">
        <f t="shared" si="321"/>
        <v>0</v>
      </c>
      <c r="BI664" s="219">
        <f t="shared" si="322"/>
        <v>0</v>
      </c>
      <c r="BJ664" s="31">
        <f t="shared" si="323"/>
        <v>0</v>
      </c>
      <c r="BK664" s="219">
        <f t="shared" si="324"/>
        <v>0</v>
      </c>
      <c r="BL664" s="31">
        <f t="shared" si="325"/>
        <v>0</v>
      </c>
      <c r="BM664" s="219">
        <f t="shared" si="326"/>
        <v>0</v>
      </c>
      <c r="BN664" s="31">
        <f t="shared" si="327"/>
        <v>0</v>
      </c>
      <c r="BO664" s="219">
        <f t="shared" si="328"/>
        <v>0</v>
      </c>
    </row>
    <row r="665" spans="1:67" x14ac:dyDescent="0.25">
      <c r="A665" s="31" t="s">
        <v>1658</v>
      </c>
      <c r="B665" s="176" t="str">
        <f>VLOOKUP(A665,kurspris!$A$1:$B$992,2,FALSE)</f>
        <v>Bedömning för och av lärande för åk 7-9 och gymnasium (UK)</v>
      </c>
      <c r="D665" s="60" t="s">
        <v>482</v>
      </c>
      <c r="E665" s="576" t="s">
        <v>2434</v>
      </c>
      <c r="F665" s="31" t="s">
        <v>2273</v>
      </c>
      <c r="G665" t="s">
        <v>2473</v>
      </c>
      <c r="H665" t="s">
        <v>2335</v>
      </c>
      <c r="J665" s="31" t="s">
        <v>2233</v>
      </c>
      <c r="L665" s="38">
        <v>1</v>
      </c>
      <c r="M665">
        <v>11</v>
      </c>
      <c r="P665" s="31">
        <v>7</v>
      </c>
      <c r="Q665" s="196">
        <f t="shared" si="329"/>
        <v>1.2833333333333332</v>
      </c>
      <c r="R665" s="38">
        <v>0.85</v>
      </c>
      <c r="S665" s="280">
        <f t="shared" si="301"/>
        <v>1.0908333333333331</v>
      </c>
      <c r="T665" s="31">
        <f>VLOOKUP(A665,'Ansvar kurs'!$A$1:$C$1123,2,FALSE)</f>
        <v>5740</v>
      </c>
      <c r="U665" s="31" t="str">
        <f>VLOOKUP(T665,Orgenheter!$A$1:$C$166,2,FALSE)</f>
        <v>NMD</v>
      </c>
      <c r="V665" s="31" t="str">
        <f>VLOOKUP(T665,Orgenheter!$A$1:$C$166,3,FALSE)</f>
        <v>TekNat</v>
      </c>
      <c r="W665" s="35" t="str">
        <f>VLOOKUP(D665,Program!$A$1:$B$36,2,FALSE)</f>
        <v>Ämneslärarprogrammet - Gy</v>
      </c>
      <c r="X665" s="40">
        <f>VLOOKUP(A665,kurspris!$A$1:$Q$913,15,FALSE)</f>
        <v>26554</v>
      </c>
      <c r="Y665" s="40">
        <f>VLOOKUP(A665,kurspris!$A$1:$Q$913,16,FALSE)</f>
        <v>33465</v>
      </c>
      <c r="Z665" s="40">
        <f t="shared" si="302"/>
        <v>70582.37083333332</v>
      </c>
      <c r="AA665" s="40">
        <f>VLOOKUP(A665,kurspris!$A$1:$Q$913,17,FALSE)</f>
        <v>6000</v>
      </c>
      <c r="AB665" s="40">
        <f t="shared" si="303"/>
        <v>7699.9999999999991</v>
      </c>
      <c r="AC665" s="40">
        <f t="shared" si="304"/>
        <v>78282.37083333332</v>
      </c>
      <c r="AD665" s="31">
        <f>VLOOKUP($A665,kurspris!$A$1:$Q$950,3,FALSE)</f>
        <v>0</v>
      </c>
      <c r="AE665" s="31">
        <f>VLOOKUP($A665,kurspris!$A$1:$Q$950,4,FALSE)</f>
        <v>0</v>
      </c>
      <c r="AF665" s="31">
        <f>VLOOKUP($A665,kurspris!$A$1:$Q$950,5,FALSE)</f>
        <v>0</v>
      </c>
      <c r="AG665" s="31">
        <f>VLOOKUP($A665,kurspris!$A$1:$Q$950,6,FALSE)</f>
        <v>1</v>
      </c>
      <c r="AH665" s="31">
        <f>VLOOKUP($A665,kurspris!$A$1:$Q$950,7,FALSE)</f>
        <v>0</v>
      </c>
      <c r="AI665" s="31">
        <f>VLOOKUP($A665,kurspris!$A$1:$Q$950,8,FALSE)</f>
        <v>0</v>
      </c>
      <c r="AJ665" s="31">
        <f>VLOOKUP($A665,kurspris!$A$1:$Q$950,9,FALSE)</f>
        <v>0</v>
      </c>
      <c r="AK665" s="31">
        <f>VLOOKUP($A665,kurspris!$A$1:$Q$950,10,FALSE)</f>
        <v>0</v>
      </c>
      <c r="AL665" s="31">
        <f>VLOOKUP($A665,kurspris!$A$1:$Q$950,11,FALSE)</f>
        <v>0</v>
      </c>
      <c r="AM665" s="31">
        <f>VLOOKUP($A665,kurspris!$A$1:$Q$950,12,FALSE)</f>
        <v>0</v>
      </c>
      <c r="AN665" s="31">
        <f>VLOOKUP($A665,kurspris!$A$1:$Q$950,13,FALSE)</f>
        <v>0</v>
      </c>
      <c r="AO665" s="31">
        <f>VLOOKUP($A665,kurspris!$A$1:$Q$950,14,FALSE)</f>
        <v>0</v>
      </c>
      <c r="AP665" s="57" t="s">
        <v>2506</v>
      </c>
      <c r="AQ665"/>
      <c r="AR665" s="31">
        <f t="shared" si="305"/>
        <v>0</v>
      </c>
      <c r="AS665" s="219">
        <f t="shared" si="306"/>
        <v>0</v>
      </c>
      <c r="AT665" s="31">
        <f t="shared" si="307"/>
        <v>0</v>
      </c>
      <c r="AU665" s="219">
        <f t="shared" si="308"/>
        <v>0</v>
      </c>
      <c r="AV665" s="31">
        <f t="shared" si="309"/>
        <v>0</v>
      </c>
      <c r="AW665" s="31">
        <f t="shared" si="310"/>
        <v>0</v>
      </c>
      <c r="AX665" s="31">
        <f t="shared" si="311"/>
        <v>1.2833333333333332</v>
      </c>
      <c r="AY665" s="219">
        <f t="shared" si="312"/>
        <v>1.0908333333333331</v>
      </c>
      <c r="AZ665" s="196">
        <f t="shared" si="313"/>
        <v>0</v>
      </c>
      <c r="BA665" s="219">
        <f t="shared" si="314"/>
        <v>0</v>
      </c>
      <c r="BB665" s="31">
        <f t="shared" si="315"/>
        <v>0</v>
      </c>
      <c r="BC665" s="219">
        <f t="shared" si="316"/>
        <v>0</v>
      </c>
      <c r="BD665" s="31">
        <f t="shared" si="317"/>
        <v>0</v>
      </c>
      <c r="BE665" s="219">
        <f t="shared" si="318"/>
        <v>0</v>
      </c>
      <c r="BF665" s="31">
        <f t="shared" si="319"/>
        <v>0</v>
      </c>
      <c r="BG665" s="219">
        <f t="shared" si="320"/>
        <v>0</v>
      </c>
      <c r="BH665" s="31">
        <f t="shared" si="321"/>
        <v>0</v>
      </c>
      <c r="BI665" s="219">
        <f t="shared" si="322"/>
        <v>0</v>
      </c>
      <c r="BJ665" s="31">
        <f t="shared" si="323"/>
        <v>0</v>
      </c>
      <c r="BK665" s="219">
        <f t="shared" si="324"/>
        <v>0</v>
      </c>
      <c r="BL665" s="31">
        <f t="shared" si="325"/>
        <v>0</v>
      </c>
      <c r="BM665" s="219">
        <f t="shared" si="326"/>
        <v>0</v>
      </c>
      <c r="BN665" s="31">
        <f t="shared" si="327"/>
        <v>0</v>
      </c>
      <c r="BO665" s="219">
        <f t="shared" si="328"/>
        <v>0</v>
      </c>
    </row>
    <row r="666" spans="1:67" x14ac:dyDescent="0.25">
      <c r="A666" s="31" t="s">
        <v>1658</v>
      </c>
      <c r="B666" s="176" t="str">
        <f>VLOOKUP(A666,kurspris!$A$1:$B$992,2,FALSE)</f>
        <v>Bedömning för och av lärande för åk 7-9 och gymnasium (UK)</v>
      </c>
      <c r="D666" s="60" t="s">
        <v>482</v>
      </c>
      <c r="E666" s="576" t="s">
        <v>2434</v>
      </c>
      <c r="F666" s="31" t="s">
        <v>2273</v>
      </c>
      <c r="G666" t="s">
        <v>2473</v>
      </c>
      <c r="H666" t="s">
        <v>2335</v>
      </c>
      <c r="J666" s="31" t="s">
        <v>2235</v>
      </c>
      <c r="L666" s="38">
        <v>1</v>
      </c>
      <c r="M666">
        <v>11</v>
      </c>
      <c r="P666" s="31">
        <v>1</v>
      </c>
      <c r="Q666" s="196">
        <f t="shared" si="329"/>
        <v>0.18333333333333332</v>
      </c>
      <c r="R666" s="38">
        <v>0.85</v>
      </c>
      <c r="S666" s="280">
        <f t="shared" si="301"/>
        <v>0.15583333333333332</v>
      </c>
      <c r="T666" s="31">
        <f>VLOOKUP(A666,'Ansvar kurs'!$A$1:$C$1123,2,FALSE)</f>
        <v>5740</v>
      </c>
      <c r="U666" s="31" t="str">
        <f>VLOOKUP(T666,Orgenheter!$A$1:$C$166,2,FALSE)</f>
        <v>NMD</v>
      </c>
      <c r="V666" s="31" t="str">
        <f>VLOOKUP(T666,Orgenheter!$A$1:$C$166,3,FALSE)</f>
        <v>TekNat</v>
      </c>
      <c r="W666" s="35" t="str">
        <f>VLOOKUP(D666,Program!$A$1:$B$36,2,FALSE)</f>
        <v>Ämneslärarprogrammet - Gy</v>
      </c>
      <c r="X666" s="40">
        <f>VLOOKUP(A666,kurspris!$A$1:$Q$913,15,FALSE)</f>
        <v>26554</v>
      </c>
      <c r="Y666" s="40">
        <f>VLOOKUP(A666,kurspris!$A$1:$Q$913,16,FALSE)</f>
        <v>33465</v>
      </c>
      <c r="Z666" s="40">
        <f t="shared" si="302"/>
        <v>10083.195833333331</v>
      </c>
      <c r="AA666" s="40">
        <f>VLOOKUP(A666,kurspris!$A$1:$Q$913,17,FALSE)</f>
        <v>6000</v>
      </c>
      <c r="AB666" s="40">
        <f t="shared" si="303"/>
        <v>1100</v>
      </c>
      <c r="AC666" s="40">
        <f t="shared" si="304"/>
        <v>11183.195833333331</v>
      </c>
      <c r="AD666" s="31">
        <f>VLOOKUP($A666,kurspris!$A$1:$Q$950,3,FALSE)</f>
        <v>0</v>
      </c>
      <c r="AE666" s="31">
        <f>VLOOKUP($A666,kurspris!$A$1:$Q$950,4,FALSE)</f>
        <v>0</v>
      </c>
      <c r="AF666" s="31">
        <f>VLOOKUP($A666,kurspris!$A$1:$Q$950,5,FALSE)</f>
        <v>0</v>
      </c>
      <c r="AG666" s="31">
        <f>VLOOKUP($A666,kurspris!$A$1:$Q$950,6,FALSE)</f>
        <v>1</v>
      </c>
      <c r="AH666" s="31">
        <f>VLOOKUP($A666,kurspris!$A$1:$Q$950,7,FALSE)</f>
        <v>0</v>
      </c>
      <c r="AI666" s="31">
        <f>VLOOKUP($A666,kurspris!$A$1:$Q$950,8,FALSE)</f>
        <v>0</v>
      </c>
      <c r="AJ666" s="31">
        <f>VLOOKUP($A666,kurspris!$A$1:$Q$950,9,FALSE)</f>
        <v>0</v>
      </c>
      <c r="AK666" s="31">
        <f>VLOOKUP($A666,kurspris!$A$1:$Q$950,10,FALSE)</f>
        <v>0</v>
      </c>
      <c r="AL666" s="31">
        <f>VLOOKUP($A666,kurspris!$A$1:$Q$950,11,FALSE)</f>
        <v>0</v>
      </c>
      <c r="AM666" s="31">
        <f>VLOOKUP($A666,kurspris!$A$1:$Q$950,12,FALSE)</f>
        <v>0</v>
      </c>
      <c r="AN666" s="31">
        <f>VLOOKUP($A666,kurspris!$A$1:$Q$950,13,FALSE)</f>
        <v>0</v>
      </c>
      <c r="AO666" s="31">
        <f>VLOOKUP($A666,kurspris!$A$1:$Q$950,14,FALSE)</f>
        <v>0</v>
      </c>
      <c r="AP666" s="57" t="s">
        <v>2506</v>
      </c>
      <c r="AQ666"/>
      <c r="AR666" s="31">
        <f t="shared" si="305"/>
        <v>0</v>
      </c>
      <c r="AS666" s="219">
        <f t="shared" si="306"/>
        <v>0</v>
      </c>
      <c r="AT666" s="31">
        <f t="shared" si="307"/>
        <v>0</v>
      </c>
      <c r="AU666" s="219">
        <f t="shared" si="308"/>
        <v>0</v>
      </c>
      <c r="AV666" s="31">
        <f t="shared" si="309"/>
        <v>0</v>
      </c>
      <c r="AW666" s="31">
        <f t="shared" si="310"/>
        <v>0</v>
      </c>
      <c r="AX666" s="31">
        <f t="shared" si="311"/>
        <v>0.18333333333333332</v>
      </c>
      <c r="AY666" s="219">
        <f t="shared" si="312"/>
        <v>0.15583333333333332</v>
      </c>
      <c r="AZ666" s="196">
        <f t="shared" si="313"/>
        <v>0</v>
      </c>
      <c r="BA666" s="219">
        <f t="shared" si="314"/>
        <v>0</v>
      </c>
      <c r="BB666" s="31">
        <f t="shared" si="315"/>
        <v>0</v>
      </c>
      <c r="BC666" s="219">
        <f t="shared" si="316"/>
        <v>0</v>
      </c>
      <c r="BD666" s="31">
        <f t="shared" si="317"/>
        <v>0</v>
      </c>
      <c r="BE666" s="219">
        <f t="shared" si="318"/>
        <v>0</v>
      </c>
      <c r="BF666" s="31">
        <f t="shared" si="319"/>
        <v>0</v>
      </c>
      <c r="BG666" s="219">
        <f t="shared" si="320"/>
        <v>0</v>
      </c>
      <c r="BH666" s="31">
        <f t="shared" si="321"/>
        <v>0</v>
      </c>
      <c r="BI666" s="219">
        <f t="shared" si="322"/>
        <v>0</v>
      </c>
      <c r="BJ666" s="31">
        <f t="shared" si="323"/>
        <v>0</v>
      </c>
      <c r="BK666" s="219">
        <f t="shared" si="324"/>
        <v>0</v>
      </c>
      <c r="BL666" s="31">
        <f t="shared" si="325"/>
        <v>0</v>
      </c>
      <c r="BM666" s="219">
        <f t="shared" si="326"/>
        <v>0</v>
      </c>
      <c r="BN666" s="31">
        <f t="shared" si="327"/>
        <v>0</v>
      </c>
      <c r="BO666" s="219">
        <f t="shared" si="328"/>
        <v>0</v>
      </c>
    </row>
    <row r="667" spans="1:67" x14ac:dyDescent="0.25">
      <c r="A667" s="31" t="s">
        <v>1658</v>
      </c>
      <c r="B667" s="176" t="str">
        <f>VLOOKUP(A667,kurspris!$A$1:$B$992,2,FALSE)</f>
        <v>Bedömning för och av lärande för åk 7-9 och gymnasium (UK)</v>
      </c>
      <c r="D667" s="60" t="s">
        <v>482</v>
      </c>
      <c r="E667" s="576" t="s">
        <v>2434</v>
      </c>
      <c r="F667" s="31" t="s">
        <v>2273</v>
      </c>
      <c r="G667" t="s">
        <v>2473</v>
      </c>
      <c r="H667" t="s">
        <v>2335</v>
      </c>
      <c r="J667" s="31" t="s">
        <v>2239</v>
      </c>
      <c r="L667" s="38">
        <v>1</v>
      </c>
      <c r="M667">
        <v>11</v>
      </c>
      <c r="P667" s="31">
        <v>2</v>
      </c>
      <c r="Q667" s="196">
        <f t="shared" si="329"/>
        <v>0.36666666666666664</v>
      </c>
      <c r="R667" s="38">
        <v>0.85</v>
      </c>
      <c r="S667" s="280">
        <f t="shared" si="301"/>
        <v>0.31166666666666665</v>
      </c>
      <c r="T667" s="31">
        <f>VLOOKUP(A667,'Ansvar kurs'!$A$1:$C$1123,2,FALSE)</f>
        <v>5740</v>
      </c>
      <c r="U667" s="31" t="str">
        <f>VLOOKUP(T667,Orgenheter!$A$1:$C$166,2,FALSE)</f>
        <v>NMD</v>
      </c>
      <c r="V667" s="31" t="str">
        <f>VLOOKUP(T667,Orgenheter!$A$1:$C$166,3,FALSE)</f>
        <v>TekNat</v>
      </c>
      <c r="W667" s="35" t="str">
        <f>VLOOKUP(D667,Program!$A$1:$B$36,2,FALSE)</f>
        <v>Ämneslärarprogrammet - Gy</v>
      </c>
      <c r="X667" s="40">
        <f>VLOOKUP(A667,kurspris!$A$1:$Q$913,15,FALSE)</f>
        <v>26554</v>
      </c>
      <c r="Y667" s="40">
        <f>VLOOKUP(A667,kurspris!$A$1:$Q$913,16,FALSE)</f>
        <v>33465</v>
      </c>
      <c r="Z667" s="40">
        <f t="shared" si="302"/>
        <v>20166.391666666663</v>
      </c>
      <c r="AA667" s="40">
        <f>VLOOKUP(A667,kurspris!$A$1:$Q$913,17,FALSE)</f>
        <v>6000</v>
      </c>
      <c r="AB667" s="40">
        <f t="shared" si="303"/>
        <v>2200</v>
      </c>
      <c r="AC667" s="40">
        <f t="shared" si="304"/>
        <v>22366.391666666663</v>
      </c>
      <c r="AD667" s="31">
        <f>VLOOKUP($A667,kurspris!$A$1:$Q$950,3,FALSE)</f>
        <v>0</v>
      </c>
      <c r="AE667" s="31">
        <f>VLOOKUP($A667,kurspris!$A$1:$Q$950,4,FALSE)</f>
        <v>0</v>
      </c>
      <c r="AF667" s="31">
        <f>VLOOKUP($A667,kurspris!$A$1:$Q$950,5,FALSE)</f>
        <v>0</v>
      </c>
      <c r="AG667" s="31">
        <f>VLOOKUP($A667,kurspris!$A$1:$Q$950,6,FALSE)</f>
        <v>1</v>
      </c>
      <c r="AH667" s="31">
        <f>VLOOKUP($A667,kurspris!$A$1:$Q$950,7,FALSE)</f>
        <v>0</v>
      </c>
      <c r="AI667" s="31">
        <f>VLOOKUP($A667,kurspris!$A$1:$Q$950,8,FALSE)</f>
        <v>0</v>
      </c>
      <c r="AJ667" s="31">
        <f>VLOOKUP($A667,kurspris!$A$1:$Q$950,9,FALSE)</f>
        <v>0</v>
      </c>
      <c r="AK667" s="31">
        <f>VLOOKUP($A667,kurspris!$A$1:$Q$950,10,FALSE)</f>
        <v>0</v>
      </c>
      <c r="AL667" s="31">
        <f>VLOOKUP($A667,kurspris!$A$1:$Q$950,11,FALSE)</f>
        <v>0</v>
      </c>
      <c r="AM667" s="31">
        <f>VLOOKUP($A667,kurspris!$A$1:$Q$950,12,FALSE)</f>
        <v>0</v>
      </c>
      <c r="AN667" s="31">
        <f>VLOOKUP($A667,kurspris!$A$1:$Q$950,13,FALSE)</f>
        <v>0</v>
      </c>
      <c r="AO667" s="31">
        <f>VLOOKUP($A667,kurspris!$A$1:$Q$950,14,FALSE)</f>
        <v>0</v>
      </c>
      <c r="AP667" s="57" t="s">
        <v>2506</v>
      </c>
      <c r="AQ667"/>
      <c r="AR667" s="31">
        <f t="shared" si="305"/>
        <v>0</v>
      </c>
      <c r="AS667" s="219">
        <f t="shared" si="306"/>
        <v>0</v>
      </c>
      <c r="AT667" s="31">
        <f t="shared" si="307"/>
        <v>0</v>
      </c>
      <c r="AU667" s="219">
        <f t="shared" si="308"/>
        <v>0</v>
      </c>
      <c r="AV667" s="31">
        <f t="shared" si="309"/>
        <v>0</v>
      </c>
      <c r="AW667" s="31">
        <f t="shared" si="310"/>
        <v>0</v>
      </c>
      <c r="AX667" s="31">
        <f t="shared" si="311"/>
        <v>0.36666666666666664</v>
      </c>
      <c r="AY667" s="219">
        <f t="shared" si="312"/>
        <v>0.31166666666666665</v>
      </c>
      <c r="AZ667" s="196">
        <f t="shared" si="313"/>
        <v>0</v>
      </c>
      <c r="BA667" s="219">
        <f t="shared" si="314"/>
        <v>0</v>
      </c>
      <c r="BB667" s="31">
        <f t="shared" si="315"/>
        <v>0</v>
      </c>
      <c r="BC667" s="219">
        <f t="shared" si="316"/>
        <v>0</v>
      </c>
      <c r="BD667" s="31">
        <f t="shared" si="317"/>
        <v>0</v>
      </c>
      <c r="BE667" s="219">
        <f t="shared" si="318"/>
        <v>0</v>
      </c>
      <c r="BF667" s="31">
        <f t="shared" si="319"/>
        <v>0</v>
      </c>
      <c r="BG667" s="219">
        <f t="shared" si="320"/>
        <v>0</v>
      </c>
      <c r="BH667" s="31">
        <f t="shared" si="321"/>
        <v>0</v>
      </c>
      <c r="BI667" s="219">
        <f t="shared" si="322"/>
        <v>0</v>
      </c>
      <c r="BJ667" s="31">
        <f t="shared" si="323"/>
        <v>0</v>
      </c>
      <c r="BK667" s="219">
        <f t="shared" si="324"/>
        <v>0</v>
      </c>
      <c r="BL667" s="31">
        <f t="shared" si="325"/>
        <v>0</v>
      </c>
      <c r="BM667" s="219">
        <f t="shared" si="326"/>
        <v>0</v>
      </c>
      <c r="BN667" s="31">
        <f t="shared" si="327"/>
        <v>0</v>
      </c>
      <c r="BO667" s="219">
        <f t="shared" si="328"/>
        <v>0</v>
      </c>
    </row>
    <row r="668" spans="1:67" x14ac:dyDescent="0.25">
      <c r="A668" s="31" t="s">
        <v>1658</v>
      </c>
      <c r="B668" s="176" t="str">
        <f>VLOOKUP(A668,kurspris!$A$1:$B$992,2,FALSE)</f>
        <v>Bedömning för och av lärande för åk 7-9 och gymnasium (UK)</v>
      </c>
      <c r="D668" s="60" t="s">
        <v>482</v>
      </c>
      <c r="E668" s="576" t="s">
        <v>2434</v>
      </c>
      <c r="F668" s="31" t="s">
        <v>2273</v>
      </c>
      <c r="G668" t="s">
        <v>2473</v>
      </c>
      <c r="H668" t="s">
        <v>2335</v>
      </c>
      <c r="J668" s="31" t="s">
        <v>2242</v>
      </c>
      <c r="L668" s="38">
        <v>1</v>
      </c>
      <c r="M668">
        <v>11</v>
      </c>
      <c r="P668" s="31">
        <v>12</v>
      </c>
      <c r="Q668" s="196">
        <f t="shared" si="329"/>
        <v>2.1999999999999997</v>
      </c>
      <c r="R668" s="38">
        <v>0.85</v>
      </c>
      <c r="S668" s="280">
        <f t="shared" si="301"/>
        <v>1.8699999999999997</v>
      </c>
      <c r="T668" s="31">
        <f>VLOOKUP(A668,'Ansvar kurs'!$A$1:$C$1123,2,FALSE)</f>
        <v>5740</v>
      </c>
      <c r="U668" s="31" t="str">
        <f>VLOOKUP(T668,Orgenheter!$A$1:$C$166,2,FALSE)</f>
        <v>NMD</v>
      </c>
      <c r="V668" s="31" t="str">
        <f>VLOOKUP(T668,Orgenheter!$A$1:$C$166,3,FALSE)</f>
        <v>TekNat</v>
      </c>
      <c r="W668" s="35" t="str">
        <f>VLOOKUP(D668,Program!$A$1:$B$36,2,FALSE)</f>
        <v>Ämneslärarprogrammet - Gy</v>
      </c>
      <c r="X668" s="40">
        <f>VLOOKUP(A668,kurspris!$A$1:$Q$913,15,FALSE)</f>
        <v>26554</v>
      </c>
      <c r="Y668" s="40">
        <f>VLOOKUP(A668,kurspris!$A$1:$Q$913,16,FALSE)</f>
        <v>33465</v>
      </c>
      <c r="Z668" s="40">
        <f t="shared" si="302"/>
        <v>120998.34999999998</v>
      </c>
      <c r="AA668" s="40">
        <f>VLOOKUP(A668,kurspris!$A$1:$Q$913,17,FALSE)</f>
        <v>6000</v>
      </c>
      <c r="AB668" s="40">
        <f t="shared" si="303"/>
        <v>13199.999999999998</v>
      </c>
      <c r="AC668" s="40">
        <f t="shared" si="304"/>
        <v>134198.34999999998</v>
      </c>
      <c r="AD668" s="31">
        <f>VLOOKUP($A668,kurspris!$A$1:$Q$950,3,FALSE)</f>
        <v>0</v>
      </c>
      <c r="AE668" s="31">
        <f>VLOOKUP($A668,kurspris!$A$1:$Q$950,4,FALSE)</f>
        <v>0</v>
      </c>
      <c r="AF668" s="31">
        <f>VLOOKUP($A668,kurspris!$A$1:$Q$950,5,FALSE)</f>
        <v>0</v>
      </c>
      <c r="AG668" s="31">
        <f>VLOOKUP($A668,kurspris!$A$1:$Q$950,6,FALSE)</f>
        <v>1</v>
      </c>
      <c r="AH668" s="31">
        <f>VLOOKUP($A668,kurspris!$A$1:$Q$950,7,FALSE)</f>
        <v>0</v>
      </c>
      <c r="AI668" s="31">
        <f>VLOOKUP($A668,kurspris!$A$1:$Q$950,8,FALSE)</f>
        <v>0</v>
      </c>
      <c r="AJ668" s="31">
        <f>VLOOKUP($A668,kurspris!$A$1:$Q$950,9,FALSE)</f>
        <v>0</v>
      </c>
      <c r="AK668" s="31">
        <f>VLOOKUP($A668,kurspris!$A$1:$Q$950,10,FALSE)</f>
        <v>0</v>
      </c>
      <c r="AL668" s="31">
        <f>VLOOKUP($A668,kurspris!$A$1:$Q$950,11,FALSE)</f>
        <v>0</v>
      </c>
      <c r="AM668" s="31">
        <f>VLOOKUP($A668,kurspris!$A$1:$Q$950,12,FALSE)</f>
        <v>0</v>
      </c>
      <c r="AN668" s="31">
        <f>VLOOKUP($A668,kurspris!$A$1:$Q$950,13,FALSE)</f>
        <v>0</v>
      </c>
      <c r="AO668" s="31">
        <f>VLOOKUP($A668,kurspris!$A$1:$Q$950,14,FALSE)</f>
        <v>0</v>
      </c>
      <c r="AP668" s="57" t="s">
        <v>2506</v>
      </c>
      <c r="AQ668"/>
      <c r="AR668" s="31">
        <f t="shared" si="305"/>
        <v>0</v>
      </c>
      <c r="AS668" s="219">
        <f t="shared" si="306"/>
        <v>0</v>
      </c>
      <c r="AT668" s="31">
        <f t="shared" si="307"/>
        <v>0</v>
      </c>
      <c r="AU668" s="219">
        <f t="shared" si="308"/>
        <v>0</v>
      </c>
      <c r="AV668" s="31">
        <f t="shared" si="309"/>
        <v>0</v>
      </c>
      <c r="AW668" s="31">
        <f t="shared" si="310"/>
        <v>0</v>
      </c>
      <c r="AX668" s="31">
        <f t="shared" si="311"/>
        <v>2.1999999999999997</v>
      </c>
      <c r="AY668" s="219">
        <f t="shared" si="312"/>
        <v>1.8699999999999997</v>
      </c>
      <c r="AZ668" s="196">
        <f t="shared" si="313"/>
        <v>0</v>
      </c>
      <c r="BA668" s="219">
        <f t="shared" si="314"/>
        <v>0</v>
      </c>
      <c r="BB668" s="31">
        <f t="shared" si="315"/>
        <v>0</v>
      </c>
      <c r="BC668" s="219">
        <f t="shared" si="316"/>
        <v>0</v>
      </c>
      <c r="BD668" s="31">
        <f t="shared" si="317"/>
        <v>0</v>
      </c>
      <c r="BE668" s="219">
        <f t="shared" si="318"/>
        <v>0</v>
      </c>
      <c r="BF668" s="31">
        <f t="shared" si="319"/>
        <v>0</v>
      </c>
      <c r="BG668" s="219">
        <f t="shared" si="320"/>
        <v>0</v>
      </c>
      <c r="BH668" s="31">
        <f t="shared" si="321"/>
        <v>0</v>
      </c>
      <c r="BI668" s="219">
        <f t="shared" si="322"/>
        <v>0</v>
      </c>
      <c r="BJ668" s="31">
        <f t="shared" si="323"/>
        <v>0</v>
      </c>
      <c r="BK668" s="219">
        <f t="shared" si="324"/>
        <v>0</v>
      </c>
      <c r="BL668" s="31">
        <f t="shared" si="325"/>
        <v>0</v>
      </c>
      <c r="BM668" s="219">
        <f t="shared" si="326"/>
        <v>0</v>
      </c>
      <c r="BN668" s="31">
        <f t="shared" si="327"/>
        <v>0</v>
      </c>
      <c r="BO668" s="219">
        <f t="shared" si="328"/>
        <v>0</v>
      </c>
    </row>
    <row r="669" spans="1:67" x14ac:dyDescent="0.25">
      <c r="A669" s="31" t="s">
        <v>1658</v>
      </c>
      <c r="B669" s="176" t="str">
        <f>VLOOKUP(A669,kurspris!$A$1:$B$992,2,FALSE)</f>
        <v>Bedömning för och av lärande för åk 7-9 och gymnasium (UK)</v>
      </c>
      <c r="D669" s="60" t="s">
        <v>482</v>
      </c>
      <c r="E669" s="576" t="s">
        <v>2434</v>
      </c>
      <c r="F669" s="31" t="s">
        <v>2273</v>
      </c>
      <c r="G669" t="s">
        <v>2473</v>
      </c>
      <c r="H669" t="s">
        <v>2335</v>
      </c>
      <c r="J669" s="31" t="s">
        <v>2240</v>
      </c>
      <c r="L669" s="38">
        <v>1</v>
      </c>
      <c r="M669">
        <v>11</v>
      </c>
      <c r="P669" s="31">
        <v>8</v>
      </c>
      <c r="Q669" s="196">
        <f t="shared" si="329"/>
        <v>1.4666666666666666</v>
      </c>
      <c r="R669" s="38">
        <v>0.85</v>
      </c>
      <c r="S669" s="280">
        <f t="shared" si="301"/>
        <v>1.2466666666666666</v>
      </c>
      <c r="T669" s="31">
        <f>VLOOKUP(A669,'Ansvar kurs'!$A$1:$C$1123,2,FALSE)</f>
        <v>5740</v>
      </c>
      <c r="U669" s="31" t="str">
        <f>VLOOKUP(T669,Orgenheter!$A$1:$C$166,2,FALSE)</f>
        <v>NMD</v>
      </c>
      <c r="V669" s="31" t="str">
        <f>VLOOKUP(T669,Orgenheter!$A$1:$C$166,3,FALSE)</f>
        <v>TekNat</v>
      </c>
      <c r="W669" s="35" t="str">
        <f>VLOOKUP(D669,Program!$A$1:$B$36,2,FALSE)</f>
        <v>Ämneslärarprogrammet - Gy</v>
      </c>
      <c r="X669" s="40">
        <f>VLOOKUP(A669,kurspris!$A$1:$Q$913,15,FALSE)</f>
        <v>26554</v>
      </c>
      <c r="Y669" s="40">
        <f>VLOOKUP(A669,kurspris!$A$1:$Q$913,16,FALSE)</f>
        <v>33465</v>
      </c>
      <c r="Z669" s="40">
        <f t="shared" si="302"/>
        <v>80665.566666666651</v>
      </c>
      <c r="AA669" s="40">
        <f>VLOOKUP(A669,kurspris!$A$1:$Q$913,17,FALSE)</f>
        <v>6000</v>
      </c>
      <c r="AB669" s="40">
        <f t="shared" si="303"/>
        <v>8800</v>
      </c>
      <c r="AC669" s="40">
        <f t="shared" si="304"/>
        <v>89465.566666666651</v>
      </c>
      <c r="AD669" s="31">
        <f>VLOOKUP($A669,kurspris!$A$1:$Q$950,3,FALSE)</f>
        <v>0</v>
      </c>
      <c r="AE669" s="31">
        <f>VLOOKUP($A669,kurspris!$A$1:$Q$950,4,FALSE)</f>
        <v>0</v>
      </c>
      <c r="AF669" s="31">
        <f>VLOOKUP($A669,kurspris!$A$1:$Q$950,5,FALSE)</f>
        <v>0</v>
      </c>
      <c r="AG669" s="31">
        <f>VLOOKUP($A669,kurspris!$A$1:$Q$950,6,FALSE)</f>
        <v>1</v>
      </c>
      <c r="AH669" s="31">
        <f>VLOOKUP($A669,kurspris!$A$1:$Q$950,7,FALSE)</f>
        <v>0</v>
      </c>
      <c r="AI669" s="31">
        <f>VLOOKUP($A669,kurspris!$A$1:$Q$950,8,FALSE)</f>
        <v>0</v>
      </c>
      <c r="AJ669" s="31">
        <f>VLOOKUP($A669,kurspris!$A$1:$Q$950,9,FALSE)</f>
        <v>0</v>
      </c>
      <c r="AK669" s="31">
        <f>VLOOKUP($A669,kurspris!$A$1:$Q$950,10,FALSE)</f>
        <v>0</v>
      </c>
      <c r="AL669" s="31">
        <f>VLOOKUP($A669,kurspris!$A$1:$Q$950,11,FALSE)</f>
        <v>0</v>
      </c>
      <c r="AM669" s="31">
        <f>VLOOKUP($A669,kurspris!$A$1:$Q$950,12,FALSE)</f>
        <v>0</v>
      </c>
      <c r="AN669" s="31">
        <f>VLOOKUP($A669,kurspris!$A$1:$Q$950,13,FALSE)</f>
        <v>0</v>
      </c>
      <c r="AO669" s="31">
        <f>VLOOKUP($A669,kurspris!$A$1:$Q$950,14,FALSE)</f>
        <v>0</v>
      </c>
      <c r="AP669" s="57" t="s">
        <v>2506</v>
      </c>
      <c r="AQ669"/>
      <c r="AR669" s="31">
        <f t="shared" si="305"/>
        <v>0</v>
      </c>
      <c r="AS669" s="219">
        <f t="shared" si="306"/>
        <v>0</v>
      </c>
      <c r="AT669" s="31">
        <f t="shared" si="307"/>
        <v>0</v>
      </c>
      <c r="AU669" s="219">
        <f t="shared" si="308"/>
        <v>0</v>
      </c>
      <c r="AV669" s="31">
        <f t="shared" si="309"/>
        <v>0</v>
      </c>
      <c r="AW669" s="31">
        <f t="shared" si="310"/>
        <v>0</v>
      </c>
      <c r="AX669" s="31">
        <f t="shared" si="311"/>
        <v>1.4666666666666666</v>
      </c>
      <c r="AY669" s="219">
        <f t="shared" si="312"/>
        <v>1.2466666666666666</v>
      </c>
      <c r="AZ669" s="196">
        <f t="shared" si="313"/>
        <v>0</v>
      </c>
      <c r="BA669" s="219">
        <f t="shared" si="314"/>
        <v>0</v>
      </c>
      <c r="BB669" s="31">
        <f t="shared" si="315"/>
        <v>0</v>
      </c>
      <c r="BC669" s="219">
        <f t="shared" si="316"/>
        <v>0</v>
      </c>
      <c r="BD669" s="31">
        <f t="shared" si="317"/>
        <v>0</v>
      </c>
      <c r="BE669" s="219">
        <f t="shared" si="318"/>
        <v>0</v>
      </c>
      <c r="BF669" s="31">
        <f t="shared" si="319"/>
        <v>0</v>
      </c>
      <c r="BG669" s="219">
        <f t="shared" si="320"/>
        <v>0</v>
      </c>
      <c r="BH669" s="31">
        <f t="shared" si="321"/>
        <v>0</v>
      </c>
      <c r="BI669" s="219">
        <f t="shared" si="322"/>
        <v>0</v>
      </c>
      <c r="BJ669" s="31">
        <f t="shared" si="323"/>
        <v>0</v>
      </c>
      <c r="BK669" s="219">
        <f t="shared" si="324"/>
        <v>0</v>
      </c>
      <c r="BL669" s="31">
        <f t="shared" si="325"/>
        <v>0</v>
      </c>
      <c r="BM669" s="219">
        <f t="shared" si="326"/>
        <v>0</v>
      </c>
      <c r="BN669" s="31">
        <f t="shared" si="327"/>
        <v>0</v>
      </c>
      <c r="BO669" s="219">
        <f t="shared" si="328"/>
        <v>0</v>
      </c>
    </row>
    <row r="670" spans="1:67" x14ac:dyDescent="0.25">
      <c r="A670" s="397" t="s">
        <v>1658</v>
      </c>
      <c r="B670" s="176" t="str">
        <f>VLOOKUP(A670,kurspris!$A$1:$B$992,2,FALSE)</f>
        <v>Bedömning för och av lärande för åk 7-9 och gymnasium (UK)</v>
      </c>
      <c r="D670" s="60" t="s">
        <v>482</v>
      </c>
      <c r="E670" s="576" t="s">
        <v>2434</v>
      </c>
      <c r="F670" s="31" t="s">
        <v>2273</v>
      </c>
      <c r="G670" t="s">
        <v>2473</v>
      </c>
      <c r="H670" t="s">
        <v>2335</v>
      </c>
      <c r="J670" s="31" t="s">
        <v>2248</v>
      </c>
      <c r="L670" s="38">
        <v>1</v>
      </c>
      <c r="M670">
        <v>11</v>
      </c>
      <c r="P670" s="31">
        <v>2</v>
      </c>
      <c r="Q670" s="196">
        <f t="shared" si="329"/>
        <v>0.36666666666666664</v>
      </c>
      <c r="R670" s="38">
        <v>0.85</v>
      </c>
      <c r="S670" s="280">
        <f t="shared" si="301"/>
        <v>0.31166666666666665</v>
      </c>
      <c r="T670" s="31">
        <f>VLOOKUP(A670,'Ansvar kurs'!$A$1:$C$1123,2,FALSE)</f>
        <v>5740</v>
      </c>
      <c r="U670" s="31" t="str">
        <f>VLOOKUP(T670,Orgenheter!$A$1:$C$166,2,FALSE)</f>
        <v>NMD</v>
      </c>
      <c r="V670" s="31" t="str">
        <f>VLOOKUP(T670,Orgenheter!$A$1:$C$166,3,FALSE)</f>
        <v>TekNat</v>
      </c>
      <c r="W670" s="35" t="str">
        <f>VLOOKUP(D670,Program!$A$1:$B$36,2,FALSE)</f>
        <v>Ämneslärarprogrammet - Gy</v>
      </c>
      <c r="X670" s="40">
        <f>VLOOKUP(A670,kurspris!$A$1:$Q$913,15,FALSE)</f>
        <v>26554</v>
      </c>
      <c r="Y670" s="40">
        <f>VLOOKUP(A670,kurspris!$A$1:$Q$913,16,FALSE)</f>
        <v>33465</v>
      </c>
      <c r="Z670" s="40">
        <f t="shared" si="302"/>
        <v>20166.391666666663</v>
      </c>
      <c r="AA670" s="40">
        <f>VLOOKUP(A670,kurspris!$A$1:$Q$913,17,FALSE)</f>
        <v>6000</v>
      </c>
      <c r="AB670" s="40">
        <f t="shared" si="303"/>
        <v>2200</v>
      </c>
      <c r="AC670" s="40">
        <f t="shared" si="304"/>
        <v>22366.391666666663</v>
      </c>
      <c r="AD670" s="31">
        <f>VLOOKUP($A670,kurspris!$A$1:$Q$950,3,FALSE)</f>
        <v>0</v>
      </c>
      <c r="AE670" s="31">
        <f>VLOOKUP($A670,kurspris!$A$1:$Q$950,4,FALSE)</f>
        <v>0</v>
      </c>
      <c r="AF670" s="31">
        <f>VLOOKUP($A670,kurspris!$A$1:$Q$950,5,FALSE)</f>
        <v>0</v>
      </c>
      <c r="AG670" s="31">
        <f>VLOOKUP($A670,kurspris!$A$1:$Q$950,6,FALSE)</f>
        <v>1</v>
      </c>
      <c r="AH670" s="31">
        <f>VLOOKUP($A670,kurspris!$A$1:$Q$950,7,FALSE)</f>
        <v>0</v>
      </c>
      <c r="AI670" s="31">
        <f>VLOOKUP($A670,kurspris!$A$1:$Q$950,8,FALSE)</f>
        <v>0</v>
      </c>
      <c r="AJ670" s="31">
        <f>VLOOKUP($A670,kurspris!$A$1:$Q$950,9,FALSE)</f>
        <v>0</v>
      </c>
      <c r="AK670" s="31">
        <f>VLOOKUP($A670,kurspris!$A$1:$Q$950,10,FALSE)</f>
        <v>0</v>
      </c>
      <c r="AL670" s="31">
        <f>VLOOKUP($A670,kurspris!$A$1:$Q$950,11,FALSE)</f>
        <v>0</v>
      </c>
      <c r="AM670" s="31">
        <f>VLOOKUP($A670,kurspris!$A$1:$Q$950,12,FALSE)</f>
        <v>0</v>
      </c>
      <c r="AN670" s="31">
        <f>VLOOKUP($A670,kurspris!$A$1:$Q$950,13,FALSE)</f>
        <v>0</v>
      </c>
      <c r="AO670" s="31">
        <f>VLOOKUP($A670,kurspris!$A$1:$Q$950,14,FALSE)</f>
        <v>0</v>
      </c>
      <c r="AP670" s="57" t="s">
        <v>2506</v>
      </c>
      <c r="AQ670"/>
      <c r="AR670" s="31">
        <f t="shared" si="305"/>
        <v>0</v>
      </c>
      <c r="AS670" s="219">
        <f t="shared" si="306"/>
        <v>0</v>
      </c>
      <c r="AT670" s="31">
        <f t="shared" si="307"/>
        <v>0</v>
      </c>
      <c r="AU670" s="219">
        <f t="shared" si="308"/>
        <v>0</v>
      </c>
      <c r="AV670" s="31">
        <f t="shared" si="309"/>
        <v>0</v>
      </c>
      <c r="AW670" s="31">
        <f t="shared" si="310"/>
        <v>0</v>
      </c>
      <c r="AX670" s="31">
        <f t="shared" si="311"/>
        <v>0.36666666666666664</v>
      </c>
      <c r="AY670" s="219">
        <f t="shared" si="312"/>
        <v>0.31166666666666665</v>
      </c>
      <c r="AZ670" s="196">
        <f t="shared" si="313"/>
        <v>0</v>
      </c>
      <c r="BA670" s="219">
        <f t="shared" si="314"/>
        <v>0</v>
      </c>
      <c r="BB670" s="31">
        <f t="shared" si="315"/>
        <v>0</v>
      </c>
      <c r="BC670" s="219">
        <f t="shared" si="316"/>
        <v>0</v>
      </c>
      <c r="BD670" s="31">
        <f t="shared" si="317"/>
        <v>0</v>
      </c>
      <c r="BE670" s="219">
        <f t="shared" si="318"/>
        <v>0</v>
      </c>
      <c r="BF670" s="31">
        <f t="shared" si="319"/>
        <v>0</v>
      </c>
      <c r="BG670" s="219">
        <f t="shared" si="320"/>
        <v>0</v>
      </c>
      <c r="BH670" s="31">
        <f t="shared" si="321"/>
        <v>0</v>
      </c>
      <c r="BI670" s="219">
        <f t="shared" si="322"/>
        <v>0</v>
      </c>
      <c r="BJ670" s="31">
        <f t="shared" si="323"/>
        <v>0</v>
      </c>
      <c r="BK670" s="219">
        <f t="shared" si="324"/>
        <v>0</v>
      </c>
      <c r="BL670" s="31">
        <f t="shared" si="325"/>
        <v>0</v>
      </c>
      <c r="BM670" s="219">
        <f t="shared" si="326"/>
        <v>0</v>
      </c>
      <c r="BN670" s="31">
        <f t="shared" si="327"/>
        <v>0</v>
      </c>
      <c r="BO670" s="219">
        <f t="shared" si="328"/>
        <v>0</v>
      </c>
    </row>
    <row r="671" spans="1:67" x14ac:dyDescent="0.25">
      <c r="A671" s="31" t="s">
        <v>1658</v>
      </c>
      <c r="B671" s="176" t="str">
        <f>VLOOKUP(A671,kurspris!$A$1:$B$992,2,FALSE)</f>
        <v>Bedömning för och av lärande för åk 7-9 och gymnasium (UK)</v>
      </c>
      <c r="D671" s="60" t="s">
        <v>482</v>
      </c>
      <c r="E671" s="576" t="s">
        <v>2434</v>
      </c>
      <c r="F671" s="31" t="s">
        <v>2273</v>
      </c>
      <c r="G671" t="s">
        <v>2473</v>
      </c>
      <c r="H671" t="s">
        <v>2335</v>
      </c>
      <c r="J671" s="31" t="s">
        <v>2246</v>
      </c>
      <c r="L671" s="38">
        <v>1</v>
      </c>
      <c r="M671">
        <v>11</v>
      </c>
      <c r="P671" s="31">
        <v>1</v>
      </c>
      <c r="Q671" s="196">
        <f t="shared" si="329"/>
        <v>0.18333333333333332</v>
      </c>
      <c r="R671" s="38">
        <v>0.85</v>
      </c>
      <c r="S671" s="280">
        <f t="shared" si="301"/>
        <v>0.15583333333333332</v>
      </c>
      <c r="T671" s="31">
        <f>VLOOKUP(A671,'Ansvar kurs'!$A$1:$C$1123,2,FALSE)</f>
        <v>5740</v>
      </c>
      <c r="U671" s="31" t="str">
        <f>VLOOKUP(T671,Orgenheter!$A$1:$C$166,2,FALSE)</f>
        <v>NMD</v>
      </c>
      <c r="V671" s="31" t="str">
        <f>VLOOKUP(T671,Orgenheter!$A$1:$C$166,3,FALSE)</f>
        <v>TekNat</v>
      </c>
      <c r="W671" s="35" t="str">
        <f>VLOOKUP(D671,Program!$A$1:$B$36,2,FALSE)</f>
        <v>Ämneslärarprogrammet - Gy</v>
      </c>
      <c r="X671" s="40">
        <f>VLOOKUP(A671,kurspris!$A$1:$Q$913,15,FALSE)</f>
        <v>26554</v>
      </c>
      <c r="Y671" s="40">
        <f>VLOOKUP(A671,kurspris!$A$1:$Q$913,16,FALSE)</f>
        <v>33465</v>
      </c>
      <c r="Z671" s="40">
        <f t="shared" si="302"/>
        <v>10083.195833333331</v>
      </c>
      <c r="AA671" s="40">
        <f>VLOOKUP(A671,kurspris!$A$1:$Q$913,17,FALSE)</f>
        <v>6000</v>
      </c>
      <c r="AB671" s="40">
        <f t="shared" si="303"/>
        <v>1100</v>
      </c>
      <c r="AC671" s="40">
        <f t="shared" si="304"/>
        <v>11183.195833333331</v>
      </c>
      <c r="AD671" s="31">
        <f>VLOOKUP($A671,kurspris!$A$1:$Q$950,3,FALSE)</f>
        <v>0</v>
      </c>
      <c r="AE671" s="31">
        <f>VLOOKUP($A671,kurspris!$A$1:$Q$950,4,FALSE)</f>
        <v>0</v>
      </c>
      <c r="AF671" s="31">
        <f>VLOOKUP($A671,kurspris!$A$1:$Q$950,5,FALSE)</f>
        <v>0</v>
      </c>
      <c r="AG671" s="31">
        <f>VLOOKUP($A671,kurspris!$A$1:$Q$950,6,FALSE)</f>
        <v>1</v>
      </c>
      <c r="AH671" s="31">
        <f>VLOOKUP($A671,kurspris!$A$1:$Q$950,7,FALSE)</f>
        <v>0</v>
      </c>
      <c r="AI671" s="31">
        <f>VLOOKUP($A671,kurspris!$A$1:$Q$950,8,FALSE)</f>
        <v>0</v>
      </c>
      <c r="AJ671" s="31">
        <f>VLOOKUP($A671,kurspris!$A$1:$Q$950,9,FALSE)</f>
        <v>0</v>
      </c>
      <c r="AK671" s="31">
        <f>VLOOKUP($A671,kurspris!$A$1:$Q$950,10,FALSE)</f>
        <v>0</v>
      </c>
      <c r="AL671" s="31">
        <f>VLOOKUP($A671,kurspris!$A$1:$Q$950,11,FALSE)</f>
        <v>0</v>
      </c>
      <c r="AM671" s="31">
        <f>VLOOKUP($A671,kurspris!$A$1:$Q$950,12,FALSE)</f>
        <v>0</v>
      </c>
      <c r="AN671" s="31">
        <f>VLOOKUP($A671,kurspris!$A$1:$Q$950,13,FALSE)</f>
        <v>0</v>
      </c>
      <c r="AO671" s="31">
        <f>VLOOKUP($A671,kurspris!$A$1:$Q$950,14,FALSE)</f>
        <v>0</v>
      </c>
      <c r="AP671" s="57" t="s">
        <v>2506</v>
      </c>
      <c r="AQ671"/>
      <c r="AR671" s="31">
        <f t="shared" si="305"/>
        <v>0</v>
      </c>
      <c r="AS671" s="219">
        <f t="shared" si="306"/>
        <v>0</v>
      </c>
      <c r="AT671" s="31">
        <f t="shared" si="307"/>
        <v>0</v>
      </c>
      <c r="AU671" s="219">
        <f t="shared" si="308"/>
        <v>0</v>
      </c>
      <c r="AV671" s="31">
        <f t="shared" si="309"/>
        <v>0</v>
      </c>
      <c r="AW671" s="31">
        <f t="shared" si="310"/>
        <v>0</v>
      </c>
      <c r="AX671" s="31">
        <f t="shared" si="311"/>
        <v>0.18333333333333332</v>
      </c>
      <c r="AY671" s="219">
        <f t="shared" si="312"/>
        <v>0.15583333333333332</v>
      </c>
      <c r="AZ671" s="196">
        <f t="shared" si="313"/>
        <v>0</v>
      </c>
      <c r="BA671" s="219">
        <f t="shared" si="314"/>
        <v>0</v>
      </c>
      <c r="BB671" s="31">
        <f t="shared" si="315"/>
        <v>0</v>
      </c>
      <c r="BC671" s="219">
        <f t="shared" si="316"/>
        <v>0</v>
      </c>
      <c r="BD671" s="31">
        <f t="shared" si="317"/>
        <v>0</v>
      </c>
      <c r="BE671" s="219">
        <f t="shared" si="318"/>
        <v>0</v>
      </c>
      <c r="BF671" s="31">
        <f t="shared" si="319"/>
        <v>0</v>
      </c>
      <c r="BG671" s="219">
        <f t="shared" si="320"/>
        <v>0</v>
      </c>
      <c r="BH671" s="31">
        <f t="shared" si="321"/>
        <v>0</v>
      </c>
      <c r="BI671" s="219">
        <f t="shared" si="322"/>
        <v>0</v>
      </c>
      <c r="BJ671" s="31">
        <f t="shared" si="323"/>
        <v>0</v>
      </c>
      <c r="BK671" s="219">
        <f t="shared" si="324"/>
        <v>0</v>
      </c>
      <c r="BL671" s="31">
        <f t="shared" si="325"/>
        <v>0</v>
      </c>
      <c r="BM671" s="219">
        <f t="shared" si="326"/>
        <v>0</v>
      </c>
      <c r="BN671" s="31">
        <f t="shared" si="327"/>
        <v>0</v>
      </c>
      <c r="BO671" s="219">
        <f t="shared" si="328"/>
        <v>0</v>
      </c>
    </row>
    <row r="672" spans="1:67" x14ac:dyDescent="0.25">
      <c r="A672" s="31" t="s">
        <v>1658</v>
      </c>
      <c r="B672" s="176" t="str">
        <f>VLOOKUP(A672,kurspris!$A$1:$B$992,2,FALSE)</f>
        <v>Bedömning för och av lärande för åk 7-9 och gymnasium (UK)</v>
      </c>
      <c r="D672" s="60" t="s">
        <v>482</v>
      </c>
      <c r="E672" s="576" t="s">
        <v>2432</v>
      </c>
      <c r="F672" s="31" t="s">
        <v>2273</v>
      </c>
      <c r="G672" t="s">
        <v>2473</v>
      </c>
      <c r="H672" t="s">
        <v>2335</v>
      </c>
      <c r="J672" s="31" t="s">
        <v>2237</v>
      </c>
      <c r="L672" s="38">
        <v>1</v>
      </c>
      <c r="M672">
        <v>11</v>
      </c>
      <c r="P672" s="31">
        <v>1</v>
      </c>
      <c r="Q672" s="196">
        <f t="shared" si="329"/>
        <v>0.18333333333333332</v>
      </c>
      <c r="R672" s="38">
        <v>0.85</v>
      </c>
      <c r="S672" s="280">
        <f t="shared" si="301"/>
        <v>0.15583333333333332</v>
      </c>
      <c r="T672" s="31">
        <f>VLOOKUP(A672,'Ansvar kurs'!$A$1:$C$1123,2,FALSE)</f>
        <v>5740</v>
      </c>
      <c r="U672" s="31" t="str">
        <f>VLOOKUP(T672,Orgenheter!$A$1:$C$166,2,FALSE)</f>
        <v>NMD</v>
      </c>
      <c r="V672" s="31" t="str">
        <f>VLOOKUP(T672,Orgenheter!$A$1:$C$166,3,FALSE)</f>
        <v>TekNat</v>
      </c>
      <c r="W672" s="35" t="str">
        <f>VLOOKUP(D672,Program!$A$1:$B$36,2,FALSE)</f>
        <v>Ämneslärarprogrammet - Gy</v>
      </c>
      <c r="X672" s="40">
        <f>VLOOKUP(A672,kurspris!$A$1:$Q$913,15,FALSE)</f>
        <v>26554</v>
      </c>
      <c r="Y672" s="40">
        <f>VLOOKUP(A672,kurspris!$A$1:$Q$913,16,FALSE)</f>
        <v>33465</v>
      </c>
      <c r="Z672" s="40">
        <f t="shared" si="302"/>
        <v>10083.195833333331</v>
      </c>
      <c r="AA672" s="40">
        <f>VLOOKUP(A672,kurspris!$A$1:$Q$913,17,FALSE)</f>
        <v>6000</v>
      </c>
      <c r="AB672" s="40">
        <f t="shared" si="303"/>
        <v>1100</v>
      </c>
      <c r="AC672" s="40">
        <f t="shared" si="304"/>
        <v>11183.195833333331</v>
      </c>
      <c r="AD672" s="31">
        <f>VLOOKUP($A672,kurspris!$A$1:$Q$950,3,FALSE)</f>
        <v>0</v>
      </c>
      <c r="AE672" s="31">
        <f>VLOOKUP($A672,kurspris!$A$1:$Q$950,4,FALSE)</f>
        <v>0</v>
      </c>
      <c r="AF672" s="31">
        <f>VLOOKUP($A672,kurspris!$A$1:$Q$950,5,FALSE)</f>
        <v>0</v>
      </c>
      <c r="AG672" s="31">
        <f>VLOOKUP($A672,kurspris!$A$1:$Q$950,6,FALSE)</f>
        <v>1</v>
      </c>
      <c r="AH672" s="31">
        <f>VLOOKUP($A672,kurspris!$A$1:$Q$950,7,FALSE)</f>
        <v>0</v>
      </c>
      <c r="AI672" s="31">
        <f>VLOOKUP($A672,kurspris!$A$1:$Q$950,8,FALSE)</f>
        <v>0</v>
      </c>
      <c r="AJ672" s="31">
        <f>VLOOKUP($A672,kurspris!$A$1:$Q$950,9,FALSE)</f>
        <v>0</v>
      </c>
      <c r="AK672" s="31">
        <f>VLOOKUP($A672,kurspris!$A$1:$Q$950,10,FALSE)</f>
        <v>0</v>
      </c>
      <c r="AL672" s="31">
        <f>VLOOKUP($A672,kurspris!$A$1:$Q$950,11,FALSE)</f>
        <v>0</v>
      </c>
      <c r="AM672" s="31">
        <f>VLOOKUP($A672,kurspris!$A$1:$Q$950,12,FALSE)</f>
        <v>0</v>
      </c>
      <c r="AN672" s="31">
        <f>VLOOKUP($A672,kurspris!$A$1:$Q$950,13,FALSE)</f>
        <v>0</v>
      </c>
      <c r="AO672" s="31">
        <f>VLOOKUP($A672,kurspris!$A$1:$Q$950,14,FALSE)</f>
        <v>0</v>
      </c>
      <c r="AP672" s="57" t="s">
        <v>2506</v>
      </c>
      <c r="AQ672"/>
      <c r="AR672" s="31">
        <f t="shared" si="305"/>
        <v>0</v>
      </c>
      <c r="AS672" s="219">
        <f t="shared" si="306"/>
        <v>0</v>
      </c>
      <c r="AT672" s="31">
        <f t="shared" si="307"/>
        <v>0</v>
      </c>
      <c r="AU672" s="219">
        <f t="shared" si="308"/>
        <v>0</v>
      </c>
      <c r="AV672" s="31">
        <f t="shared" si="309"/>
        <v>0</v>
      </c>
      <c r="AW672" s="31">
        <f t="shared" si="310"/>
        <v>0</v>
      </c>
      <c r="AX672" s="31">
        <f t="shared" si="311"/>
        <v>0.18333333333333332</v>
      </c>
      <c r="AY672" s="219">
        <f t="shared" si="312"/>
        <v>0.15583333333333332</v>
      </c>
      <c r="AZ672" s="196">
        <f t="shared" si="313"/>
        <v>0</v>
      </c>
      <c r="BA672" s="219">
        <f t="shared" si="314"/>
        <v>0</v>
      </c>
      <c r="BB672" s="31">
        <f t="shared" si="315"/>
        <v>0</v>
      </c>
      <c r="BC672" s="219">
        <f t="shared" si="316"/>
        <v>0</v>
      </c>
      <c r="BD672" s="31">
        <f t="shared" si="317"/>
        <v>0</v>
      </c>
      <c r="BE672" s="219">
        <f t="shared" si="318"/>
        <v>0</v>
      </c>
      <c r="BF672" s="31">
        <f t="shared" si="319"/>
        <v>0</v>
      </c>
      <c r="BG672" s="219">
        <f t="shared" si="320"/>
        <v>0</v>
      </c>
      <c r="BH672" s="31">
        <f t="shared" si="321"/>
        <v>0</v>
      </c>
      <c r="BI672" s="219">
        <f t="shared" si="322"/>
        <v>0</v>
      </c>
      <c r="BJ672" s="31">
        <f t="shared" si="323"/>
        <v>0</v>
      </c>
      <c r="BK672" s="219">
        <f t="shared" si="324"/>
        <v>0</v>
      </c>
      <c r="BL672" s="31">
        <f t="shared" si="325"/>
        <v>0</v>
      </c>
      <c r="BM672" s="219">
        <f t="shared" si="326"/>
        <v>0</v>
      </c>
      <c r="BN672" s="31">
        <f t="shared" si="327"/>
        <v>0</v>
      </c>
      <c r="BO672" s="219">
        <f t="shared" si="328"/>
        <v>0</v>
      </c>
    </row>
    <row r="673" spans="1:67" x14ac:dyDescent="0.25">
      <c r="A673" s="31" t="s">
        <v>1658</v>
      </c>
      <c r="B673" s="176" t="str">
        <f>VLOOKUP(A673,kurspris!$A$1:$B$992,2,FALSE)</f>
        <v>Bedömning för och av lärande för åk 7-9 och gymnasium (UK)</v>
      </c>
      <c r="D673" s="60" t="s">
        <v>482</v>
      </c>
      <c r="E673" s="576" t="s">
        <v>2430</v>
      </c>
      <c r="F673" s="31" t="s">
        <v>2273</v>
      </c>
      <c r="G673" t="s">
        <v>2473</v>
      </c>
      <c r="H673" t="s">
        <v>2335</v>
      </c>
      <c r="J673" s="31" t="s">
        <v>2241</v>
      </c>
      <c r="L673" s="38">
        <v>1</v>
      </c>
      <c r="M673">
        <v>11</v>
      </c>
      <c r="P673" s="31">
        <v>1</v>
      </c>
      <c r="Q673" s="196">
        <f t="shared" si="329"/>
        <v>0.18333333333333332</v>
      </c>
      <c r="R673" s="38">
        <v>0.85</v>
      </c>
      <c r="S673" s="280">
        <f t="shared" si="301"/>
        <v>0.15583333333333332</v>
      </c>
      <c r="T673" s="31">
        <f>VLOOKUP(A673,'Ansvar kurs'!$A$1:$C$1123,2,FALSE)</f>
        <v>5740</v>
      </c>
      <c r="U673" s="31" t="str">
        <f>VLOOKUP(T673,Orgenheter!$A$1:$C$166,2,FALSE)</f>
        <v>NMD</v>
      </c>
      <c r="V673" s="31" t="str">
        <f>VLOOKUP(T673,Orgenheter!$A$1:$C$166,3,FALSE)</f>
        <v>TekNat</v>
      </c>
      <c r="W673" s="35" t="str">
        <f>VLOOKUP(D673,Program!$A$1:$B$36,2,FALSE)</f>
        <v>Ämneslärarprogrammet - Gy</v>
      </c>
      <c r="X673" s="40">
        <f>VLOOKUP(A673,kurspris!$A$1:$Q$913,15,FALSE)</f>
        <v>26554</v>
      </c>
      <c r="Y673" s="40">
        <f>VLOOKUP(A673,kurspris!$A$1:$Q$913,16,FALSE)</f>
        <v>33465</v>
      </c>
      <c r="Z673" s="40">
        <f t="shared" si="302"/>
        <v>10083.195833333331</v>
      </c>
      <c r="AA673" s="40">
        <f>VLOOKUP(A673,kurspris!$A$1:$Q$913,17,FALSE)</f>
        <v>6000</v>
      </c>
      <c r="AB673" s="40">
        <f t="shared" si="303"/>
        <v>1100</v>
      </c>
      <c r="AC673" s="40">
        <f t="shared" si="304"/>
        <v>11183.195833333331</v>
      </c>
      <c r="AD673" s="31">
        <f>VLOOKUP($A673,kurspris!$A$1:$Q$950,3,FALSE)</f>
        <v>0</v>
      </c>
      <c r="AE673" s="31">
        <f>VLOOKUP($A673,kurspris!$A$1:$Q$950,4,FALSE)</f>
        <v>0</v>
      </c>
      <c r="AF673" s="31">
        <f>VLOOKUP($A673,kurspris!$A$1:$Q$950,5,FALSE)</f>
        <v>0</v>
      </c>
      <c r="AG673" s="31">
        <f>VLOOKUP($A673,kurspris!$A$1:$Q$950,6,FALSE)</f>
        <v>1</v>
      </c>
      <c r="AH673" s="31">
        <f>VLOOKUP($A673,kurspris!$A$1:$Q$950,7,FALSE)</f>
        <v>0</v>
      </c>
      <c r="AI673" s="31">
        <f>VLOOKUP($A673,kurspris!$A$1:$Q$950,8,FALSE)</f>
        <v>0</v>
      </c>
      <c r="AJ673" s="31">
        <f>VLOOKUP($A673,kurspris!$A$1:$Q$950,9,FALSE)</f>
        <v>0</v>
      </c>
      <c r="AK673" s="31">
        <f>VLOOKUP($A673,kurspris!$A$1:$Q$950,10,FALSE)</f>
        <v>0</v>
      </c>
      <c r="AL673" s="31">
        <f>VLOOKUP($A673,kurspris!$A$1:$Q$950,11,FALSE)</f>
        <v>0</v>
      </c>
      <c r="AM673" s="31">
        <f>VLOOKUP($A673,kurspris!$A$1:$Q$950,12,FALSE)</f>
        <v>0</v>
      </c>
      <c r="AN673" s="31">
        <f>VLOOKUP($A673,kurspris!$A$1:$Q$950,13,FALSE)</f>
        <v>0</v>
      </c>
      <c r="AO673" s="31">
        <f>VLOOKUP($A673,kurspris!$A$1:$Q$950,14,FALSE)</f>
        <v>0</v>
      </c>
      <c r="AP673" s="57" t="s">
        <v>2506</v>
      </c>
      <c r="AQ673"/>
      <c r="AR673" s="31">
        <f t="shared" si="305"/>
        <v>0</v>
      </c>
      <c r="AS673" s="219">
        <f t="shared" si="306"/>
        <v>0</v>
      </c>
      <c r="AT673" s="31">
        <f t="shared" si="307"/>
        <v>0</v>
      </c>
      <c r="AU673" s="219">
        <f t="shared" si="308"/>
        <v>0</v>
      </c>
      <c r="AV673" s="31">
        <f t="shared" si="309"/>
        <v>0</v>
      </c>
      <c r="AW673" s="31">
        <f t="shared" si="310"/>
        <v>0</v>
      </c>
      <c r="AX673" s="31">
        <f t="shared" si="311"/>
        <v>0.18333333333333332</v>
      </c>
      <c r="AY673" s="219">
        <f t="shared" si="312"/>
        <v>0.15583333333333332</v>
      </c>
      <c r="AZ673" s="196">
        <f t="shared" si="313"/>
        <v>0</v>
      </c>
      <c r="BA673" s="219">
        <f t="shared" si="314"/>
        <v>0</v>
      </c>
      <c r="BB673" s="31">
        <f t="shared" si="315"/>
        <v>0</v>
      </c>
      <c r="BC673" s="219">
        <f t="shared" si="316"/>
        <v>0</v>
      </c>
      <c r="BD673" s="31">
        <f t="shared" si="317"/>
        <v>0</v>
      </c>
      <c r="BE673" s="219">
        <f t="shared" si="318"/>
        <v>0</v>
      </c>
      <c r="BF673" s="31">
        <f t="shared" si="319"/>
        <v>0</v>
      </c>
      <c r="BG673" s="219">
        <f t="shared" si="320"/>
        <v>0</v>
      </c>
      <c r="BH673" s="31">
        <f t="shared" si="321"/>
        <v>0</v>
      </c>
      <c r="BI673" s="219">
        <f t="shared" si="322"/>
        <v>0</v>
      </c>
      <c r="BJ673" s="31">
        <f t="shared" si="323"/>
        <v>0</v>
      </c>
      <c r="BK673" s="219">
        <f t="shared" si="324"/>
        <v>0</v>
      </c>
      <c r="BL673" s="31">
        <f t="shared" si="325"/>
        <v>0</v>
      </c>
      <c r="BM673" s="219">
        <f t="shared" si="326"/>
        <v>0</v>
      </c>
      <c r="BN673" s="31">
        <f t="shared" si="327"/>
        <v>0</v>
      </c>
      <c r="BO673" s="219">
        <f t="shared" si="328"/>
        <v>0</v>
      </c>
    </row>
    <row r="674" spans="1:67" x14ac:dyDescent="0.25">
      <c r="A674" s="31" t="s">
        <v>1658</v>
      </c>
      <c r="B674" s="176" t="str">
        <f>VLOOKUP(A674,kurspris!$A$1:$B$992,2,FALSE)</f>
        <v>Bedömning för och av lärande för åk 7-9 och gymnasium (UK)</v>
      </c>
      <c r="D674" s="60" t="s">
        <v>482</v>
      </c>
      <c r="E674" s="576" t="s">
        <v>2433</v>
      </c>
      <c r="F674" s="31" t="s">
        <v>2273</v>
      </c>
      <c r="G674" t="s">
        <v>2473</v>
      </c>
      <c r="H674" t="s">
        <v>2335</v>
      </c>
      <c r="J674" s="31" t="s">
        <v>2233</v>
      </c>
      <c r="L674" s="38">
        <v>1</v>
      </c>
      <c r="M674">
        <v>11</v>
      </c>
      <c r="P674" s="31">
        <v>1</v>
      </c>
      <c r="Q674" s="196">
        <f t="shared" si="329"/>
        <v>0.18333333333333332</v>
      </c>
      <c r="R674" s="38">
        <v>0.85</v>
      </c>
      <c r="S674" s="280">
        <f t="shared" si="301"/>
        <v>0.15583333333333332</v>
      </c>
      <c r="T674" s="31">
        <f>VLOOKUP(A674,'Ansvar kurs'!$A$1:$C$1123,2,FALSE)</f>
        <v>5740</v>
      </c>
      <c r="U674" s="31" t="str">
        <f>VLOOKUP(T674,Orgenheter!$A$1:$C$166,2,FALSE)</f>
        <v>NMD</v>
      </c>
      <c r="V674" s="31" t="str">
        <f>VLOOKUP(T674,Orgenheter!$A$1:$C$166,3,FALSE)</f>
        <v>TekNat</v>
      </c>
      <c r="W674" s="35" t="str">
        <f>VLOOKUP(D674,Program!$A$1:$B$36,2,FALSE)</f>
        <v>Ämneslärarprogrammet - Gy</v>
      </c>
      <c r="X674" s="40">
        <f>VLOOKUP(A674,kurspris!$A$1:$Q$913,15,FALSE)</f>
        <v>26554</v>
      </c>
      <c r="Y674" s="40">
        <f>VLOOKUP(A674,kurspris!$A$1:$Q$913,16,FALSE)</f>
        <v>33465</v>
      </c>
      <c r="Z674" s="40">
        <f t="shared" si="302"/>
        <v>10083.195833333331</v>
      </c>
      <c r="AA674" s="40">
        <f>VLOOKUP(A674,kurspris!$A$1:$Q$913,17,FALSE)</f>
        <v>6000</v>
      </c>
      <c r="AB674" s="40">
        <f t="shared" si="303"/>
        <v>1100</v>
      </c>
      <c r="AC674" s="40">
        <f t="shared" si="304"/>
        <v>11183.195833333331</v>
      </c>
      <c r="AD674" s="31">
        <f>VLOOKUP($A674,kurspris!$A$1:$Q$950,3,FALSE)</f>
        <v>0</v>
      </c>
      <c r="AE674" s="31">
        <f>VLOOKUP($A674,kurspris!$A$1:$Q$950,4,FALSE)</f>
        <v>0</v>
      </c>
      <c r="AF674" s="31">
        <f>VLOOKUP($A674,kurspris!$A$1:$Q$950,5,FALSE)</f>
        <v>0</v>
      </c>
      <c r="AG674" s="31">
        <f>VLOOKUP($A674,kurspris!$A$1:$Q$950,6,FALSE)</f>
        <v>1</v>
      </c>
      <c r="AH674" s="31">
        <f>VLOOKUP($A674,kurspris!$A$1:$Q$950,7,FALSE)</f>
        <v>0</v>
      </c>
      <c r="AI674" s="31">
        <f>VLOOKUP($A674,kurspris!$A$1:$Q$950,8,FALSE)</f>
        <v>0</v>
      </c>
      <c r="AJ674" s="31">
        <f>VLOOKUP($A674,kurspris!$A$1:$Q$950,9,FALSE)</f>
        <v>0</v>
      </c>
      <c r="AK674" s="31">
        <f>VLOOKUP($A674,kurspris!$A$1:$Q$950,10,FALSE)</f>
        <v>0</v>
      </c>
      <c r="AL674" s="31">
        <f>VLOOKUP($A674,kurspris!$A$1:$Q$950,11,FALSE)</f>
        <v>0</v>
      </c>
      <c r="AM674" s="31">
        <f>VLOOKUP($A674,kurspris!$A$1:$Q$950,12,FALSE)</f>
        <v>0</v>
      </c>
      <c r="AN674" s="31">
        <f>VLOOKUP($A674,kurspris!$A$1:$Q$950,13,FALSE)</f>
        <v>0</v>
      </c>
      <c r="AO674" s="31">
        <f>VLOOKUP($A674,kurspris!$A$1:$Q$950,14,FALSE)</f>
        <v>0</v>
      </c>
      <c r="AP674" s="57" t="s">
        <v>2506</v>
      </c>
      <c r="AQ674"/>
      <c r="AR674" s="31">
        <f t="shared" si="305"/>
        <v>0</v>
      </c>
      <c r="AS674" s="219">
        <f t="shared" si="306"/>
        <v>0</v>
      </c>
      <c r="AT674" s="31">
        <f t="shared" si="307"/>
        <v>0</v>
      </c>
      <c r="AU674" s="219">
        <f t="shared" si="308"/>
        <v>0</v>
      </c>
      <c r="AV674" s="31">
        <f t="shared" si="309"/>
        <v>0</v>
      </c>
      <c r="AW674" s="31">
        <f t="shared" si="310"/>
        <v>0</v>
      </c>
      <c r="AX674" s="31">
        <f t="shared" si="311"/>
        <v>0.18333333333333332</v>
      </c>
      <c r="AY674" s="219">
        <f t="shared" si="312"/>
        <v>0.15583333333333332</v>
      </c>
      <c r="AZ674" s="196">
        <f t="shared" si="313"/>
        <v>0</v>
      </c>
      <c r="BA674" s="219">
        <f t="shared" si="314"/>
        <v>0</v>
      </c>
      <c r="BB674" s="31">
        <f t="shared" si="315"/>
        <v>0</v>
      </c>
      <c r="BC674" s="219">
        <f t="shared" si="316"/>
        <v>0</v>
      </c>
      <c r="BD674" s="31">
        <f t="shared" si="317"/>
        <v>0</v>
      </c>
      <c r="BE674" s="219">
        <f t="shared" si="318"/>
        <v>0</v>
      </c>
      <c r="BF674" s="31">
        <f t="shared" si="319"/>
        <v>0</v>
      </c>
      <c r="BG674" s="219">
        <f t="shared" si="320"/>
        <v>0</v>
      </c>
      <c r="BH674" s="31">
        <f t="shared" si="321"/>
        <v>0</v>
      </c>
      <c r="BI674" s="219">
        <f t="shared" si="322"/>
        <v>0</v>
      </c>
      <c r="BJ674" s="31">
        <f t="shared" si="323"/>
        <v>0</v>
      </c>
      <c r="BK674" s="219">
        <f t="shared" si="324"/>
        <v>0</v>
      </c>
      <c r="BL674" s="31">
        <f t="shared" si="325"/>
        <v>0</v>
      </c>
      <c r="BM674" s="219">
        <f t="shared" si="326"/>
        <v>0</v>
      </c>
      <c r="BN674" s="31">
        <f t="shared" si="327"/>
        <v>0</v>
      </c>
      <c r="BO674" s="219">
        <f t="shared" si="328"/>
        <v>0</v>
      </c>
    </row>
    <row r="675" spans="1:67" x14ac:dyDescent="0.25">
      <c r="A675" s="31" t="s">
        <v>1664</v>
      </c>
      <c r="B675" s="176" t="str">
        <f>VLOOKUP(A675,kurspris!$A$1:$B$992,2,FALSE)</f>
        <v>Magisteruppsats i Pedagogisk yrkesverksamhet</v>
      </c>
      <c r="D675" s="31" t="s">
        <v>117</v>
      </c>
      <c r="F675" s="60" t="s">
        <v>2273</v>
      </c>
      <c r="I675" s="31" t="s">
        <v>2275</v>
      </c>
      <c r="L675" s="38">
        <v>0.5</v>
      </c>
      <c r="M675" s="325">
        <v>15</v>
      </c>
      <c r="P675" s="31">
        <v>30</v>
      </c>
      <c r="Q675" s="196">
        <f t="shared" si="329"/>
        <v>7.5</v>
      </c>
      <c r="R675" s="38">
        <v>0.8</v>
      </c>
      <c r="S675" s="280">
        <f t="shared" si="301"/>
        <v>6</v>
      </c>
      <c r="T675" s="31">
        <f>VLOOKUP(A675,'Ansvar kurs'!$A$1:$C$1123,2,FALSE)</f>
        <v>2193</v>
      </c>
      <c r="U675" s="31" t="str">
        <f>VLOOKUP(T675,Orgenheter!$A$1:$C$166,2,FALSE)</f>
        <v xml:space="preserve">TUV </v>
      </c>
      <c r="V675" s="31" t="str">
        <f>VLOOKUP(T675,Orgenheter!$A$1:$C$166,3,FALSE)</f>
        <v>Sam</v>
      </c>
      <c r="W675" s="35" t="str">
        <f>VLOOKUP(D675,Program!$A$1:$B$36,2,FALSE)</f>
        <v>Fristående och övriga kurser</v>
      </c>
      <c r="X675" s="40">
        <f>VLOOKUP(A675,kurspris!$A$1:$Q$913,15,FALSE)</f>
        <v>20766</v>
      </c>
      <c r="Y675" s="40">
        <f>VLOOKUP(A675,kurspris!$A$1:$Q$913,16,FALSE)</f>
        <v>17442</v>
      </c>
      <c r="Z675" s="40">
        <f t="shared" si="302"/>
        <v>260397</v>
      </c>
      <c r="AA675" s="40">
        <f>VLOOKUP(A675,kurspris!$A$1:$Q$913,17,FALSE)</f>
        <v>6000</v>
      </c>
      <c r="AB675" s="40">
        <f t="shared" si="303"/>
        <v>45000</v>
      </c>
      <c r="AC675" s="40">
        <f t="shared" si="304"/>
        <v>305397</v>
      </c>
      <c r="AD675" s="31">
        <f>VLOOKUP($A675,kurspris!$A$1:$Q$950,3,FALSE)</f>
        <v>0</v>
      </c>
      <c r="AE675" s="31">
        <f>VLOOKUP($A675,kurspris!$A$1:$Q$950,4,FALSE)</f>
        <v>0</v>
      </c>
      <c r="AF675" s="31">
        <f>VLOOKUP($A675,kurspris!$A$1:$Q$950,5,FALSE)</f>
        <v>0</v>
      </c>
      <c r="AG675" s="31">
        <f>VLOOKUP($A675,kurspris!$A$1:$Q$950,6,FALSE)</f>
        <v>0</v>
      </c>
      <c r="AH675" s="31">
        <f>VLOOKUP($A675,kurspris!$A$1:$Q$950,7,FALSE)</f>
        <v>0</v>
      </c>
      <c r="AI675" s="31">
        <f>VLOOKUP($A675,kurspris!$A$1:$Q$950,8,FALSE)</f>
        <v>0</v>
      </c>
      <c r="AJ675" s="31">
        <f>VLOOKUP($A675,kurspris!$A$1:$Q$950,9,FALSE)</f>
        <v>1</v>
      </c>
      <c r="AK675" s="31">
        <f>VLOOKUP($A675,kurspris!$A$1:$Q$950,10,FALSE)</f>
        <v>0</v>
      </c>
      <c r="AL675" s="31">
        <f>VLOOKUP($A675,kurspris!$A$1:$Q$950,11,FALSE)</f>
        <v>0</v>
      </c>
      <c r="AM675" s="31">
        <f>VLOOKUP($A675,kurspris!$A$1:$Q$950,12,FALSE)</f>
        <v>0</v>
      </c>
      <c r="AN675" s="31">
        <f>VLOOKUP($A675,kurspris!$A$1:$Q$950,13,FALSE)</f>
        <v>0</v>
      </c>
      <c r="AO675" s="31">
        <f>VLOOKUP($A675,kurspris!$A$1:$Q$950,14,FALSE)</f>
        <v>0</v>
      </c>
      <c r="AP675" s="57" t="s">
        <v>2267</v>
      </c>
      <c r="AQ675" s="37"/>
      <c r="AR675" s="31">
        <f t="shared" si="305"/>
        <v>0</v>
      </c>
      <c r="AS675" s="219">
        <f t="shared" si="306"/>
        <v>0</v>
      </c>
      <c r="AT675" s="31">
        <f t="shared" si="307"/>
        <v>0</v>
      </c>
      <c r="AU675" s="219">
        <f t="shared" si="308"/>
        <v>0</v>
      </c>
      <c r="AV675" s="31">
        <f t="shared" si="309"/>
        <v>0</v>
      </c>
      <c r="AW675" s="31">
        <f t="shared" si="310"/>
        <v>0</v>
      </c>
      <c r="AX675" s="31">
        <f t="shared" si="311"/>
        <v>0</v>
      </c>
      <c r="AY675" s="219">
        <f t="shared" si="312"/>
        <v>0</v>
      </c>
      <c r="AZ675" s="196">
        <f t="shared" si="313"/>
        <v>0</v>
      </c>
      <c r="BA675" s="219">
        <f t="shared" si="314"/>
        <v>0</v>
      </c>
      <c r="BB675" s="31">
        <f t="shared" si="315"/>
        <v>0</v>
      </c>
      <c r="BC675" s="219">
        <f t="shared" si="316"/>
        <v>0</v>
      </c>
      <c r="BD675" s="31">
        <f t="shared" si="317"/>
        <v>7.5</v>
      </c>
      <c r="BE675" s="219">
        <f t="shared" si="318"/>
        <v>6</v>
      </c>
      <c r="BF675" s="31">
        <f t="shared" si="319"/>
        <v>0</v>
      </c>
      <c r="BG675" s="219">
        <f t="shared" si="320"/>
        <v>0</v>
      </c>
      <c r="BH675" s="31">
        <f t="shared" si="321"/>
        <v>0</v>
      </c>
      <c r="BI675" s="219">
        <f t="shared" si="322"/>
        <v>0</v>
      </c>
      <c r="BJ675" s="31">
        <f t="shared" si="323"/>
        <v>0</v>
      </c>
      <c r="BK675" s="219">
        <f t="shared" si="324"/>
        <v>0</v>
      </c>
      <c r="BL675" s="31">
        <f t="shared" si="325"/>
        <v>0</v>
      </c>
      <c r="BM675" s="219">
        <f t="shared" si="326"/>
        <v>0</v>
      </c>
      <c r="BN675" s="31">
        <f t="shared" si="327"/>
        <v>0</v>
      </c>
      <c r="BO675" s="219">
        <f t="shared" si="328"/>
        <v>0</v>
      </c>
    </row>
    <row r="676" spans="1:67" x14ac:dyDescent="0.25">
      <c r="A676" s="31" t="s">
        <v>1665</v>
      </c>
      <c r="B676" s="176" t="str">
        <f>VLOOKUP(A676,kurspris!$A$1:$B$992,2,FALSE)</f>
        <v>Magisteruppsats i Pedagogisk yrkesverksamhet</v>
      </c>
      <c r="C676" s="31">
        <v>68629</v>
      </c>
      <c r="D676" s="60" t="s">
        <v>117</v>
      </c>
      <c r="E676" s="60"/>
      <c r="F676" s="57" t="s">
        <v>2274</v>
      </c>
      <c r="H676" s="31" t="s">
        <v>2335</v>
      </c>
      <c r="I676" s="31" t="s">
        <v>2275</v>
      </c>
      <c r="L676" s="38"/>
      <c r="M676" s="244">
        <v>15</v>
      </c>
      <c r="P676" s="31">
        <v>6</v>
      </c>
      <c r="Q676" s="539">
        <v>1.5</v>
      </c>
      <c r="R676" s="38">
        <v>0.8</v>
      </c>
      <c r="S676" s="280">
        <f t="shared" si="301"/>
        <v>1.2000000000000002</v>
      </c>
      <c r="T676" s="31">
        <f>VLOOKUP(A676,'Ansvar kurs'!$A$1:$C$1123,2,FALSE)</f>
        <v>2193</v>
      </c>
      <c r="U676" s="31" t="str">
        <f>VLOOKUP(T676,Orgenheter!$A$1:$C$166,2,FALSE)</f>
        <v xml:space="preserve">TUV </v>
      </c>
      <c r="V676" s="31" t="str">
        <f>VLOOKUP(T676,Orgenheter!$A$1:$C$166,3,FALSE)</f>
        <v>Sam</v>
      </c>
      <c r="W676" s="35" t="str">
        <f>VLOOKUP(D676,Program!$A$1:$B$36,2,FALSE)</f>
        <v>Fristående och övriga kurser</v>
      </c>
      <c r="X676" s="40">
        <f>VLOOKUP(A676,kurspris!$A$1:$Q$913,15,FALSE)</f>
        <v>20766</v>
      </c>
      <c r="Y676" s="40">
        <f>VLOOKUP(A676,kurspris!$A$1:$Q$913,16,FALSE)</f>
        <v>17442</v>
      </c>
      <c r="Z676" s="40">
        <f t="shared" si="302"/>
        <v>52079.4</v>
      </c>
      <c r="AA676" s="40">
        <f>VLOOKUP(A676,kurspris!$A$1:$Q$913,17,FALSE)</f>
        <v>6000</v>
      </c>
      <c r="AB676" s="40">
        <f t="shared" si="303"/>
        <v>9000</v>
      </c>
      <c r="AC676" s="40">
        <f t="shared" si="304"/>
        <v>61079.4</v>
      </c>
      <c r="AD676" s="31">
        <f>VLOOKUP($A676,kurspris!$A$1:$Q$950,3,FALSE)</f>
        <v>0</v>
      </c>
      <c r="AE676" s="31">
        <f>VLOOKUP($A676,kurspris!$A$1:$Q$950,4,FALSE)</f>
        <v>0</v>
      </c>
      <c r="AF676" s="31">
        <f>VLOOKUP($A676,kurspris!$A$1:$Q$950,5,FALSE)</f>
        <v>0</v>
      </c>
      <c r="AG676" s="31">
        <f>VLOOKUP($A676,kurspris!$A$1:$Q$950,6,FALSE)</f>
        <v>0</v>
      </c>
      <c r="AH676" s="31">
        <f>VLOOKUP($A676,kurspris!$A$1:$Q$950,7,FALSE)</f>
        <v>0</v>
      </c>
      <c r="AI676" s="31">
        <f>VLOOKUP($A676,kurspris!$A$1:$Q$950,8,FALSE)</f>
        <v>0</v>
      </c>
      <c r="AJ676" s="31">
        <f>VLOOKUP($A676,kurspris!$A$1:$Q$950,9,FALSE)</f>
        <v>1</v>
      </c>
      <c r="AK676" s="31">
        <f>VLOOKUP($A676,kurspris!$A$1:$Q$950,10,FALSE)</f>
        <v>0</v>
      </c>
      <c r="AL676" s="31">
        <f>VLOOKUP($A676,kurspris!$A$1:$Q$950,11,FALSE)</f>
        <v>0</v>
      </c>
      <c r="AM676" s="31">
        <f>VLOOKUP($A676,kurspris!$A$1:$Q$950,12,FALSE)</f>
        <v>0</v>
      </c>
      <c r="AN676" s="31">
        <f>VLOOKUP($A676,kurspris!$A$1:$Q$950,13,FALSE)</f>
        <v>0</v>
      </c>
      <c r="AO676" s="31">
        <f>VLOOKUP($A676,kurspris!$A$1:$Q$950,14,FALSE)</f>
        <v>0</v>
      </c>
      <c r="AP676" s="57" t="s">
        <v>2402</v>
      </c>
      <c r="AQ676" t="s">
        <v>2308</v>
      </c>
      <c r="AR676" s="31">
        <f t="shared" si="305"/>
        <v>0</v>
      </c>
      <c r="AS676" s="219">
        <f t="shared" si="306"/>
        <v>0</v>
      </c>
      <c r="AT676" s="31">
        <f t="shared" si="307"/>
        <v>0</v>
      </c>
      <c r="AU676" s="219">
        <f t="shared" si="308"/>
        <v>0</v>
      </c>
      <c r="AV676" s="31">
        <f t="shared" si="309"/>
        <v>0</v>
      </c>
      <c r="AW676" s="31">
        <f t="shared" si="310"/>
        <v>0</v>
      </c>
      <c r="AX676" s="31">
        <f t="shared" si="311"/>
        <v>0</v>
      </c>
      <c r="AY676" s="219">
        <f t="shared" si="312"/>
        <v>0</v>
      </c>
      <c r="AZ676" s="196">
        <f t="shared" si="313"/>
        <v>0</v>
      </c>
      <c r="BA676" s="219">
        <f t="shared" si="314"/>
        <v>0</v>
      </c>
      <c r="BB676" s="31">
        <f t="shared" si="315"/>
        <v>0</v>
      </c>
      <c r="BC676" s="219">
        <f t="shared" si="316"/>
        <v>0</v>
      </c>
      <c r="BD676" s="31">
        <f t="shared" si="317"/>
        <v>1.5</v>
      </c>
      <c r="BE676" s="219">
        <f t="shared" si="318"/>
        <v>1.2000000000000002</v>
      </c>
      <c r="BF676" s="31">
        <f t="shared" si="319"/>
        <v>0</v>
      </c>
      <c r="BG676" s="219">
        <f t="shared" si="320"/>
        <v>0</v>
      </c>
      <c r="BH676" s="31">
        <f t="shared" si="321"/>
        <v>0</v>
      </c>
      <c r="BI676" s="219">
        <f t="shared" si="322"/>
        <v>0</v>
      </c>
      <c r="BJ676" s="31">
        <f t="shared" si="323"/>
        <v>0</v>
      </c>
      <c r="BK676" s="219">
        <f t="shared" si="324"/>
        <v>0</v>
      </c>
      <c r="BL676" s="31">
        <f t="shared" si="325"/>
        <v>0</v>
      </c>
      <c r="BM676" s="219">
        <f t="shared" si="326"/>
        <v>0</v>
      </c>
      <c r="BN676" s="31">
        <f t="shared" si="327"/>
        <v>0</v>
      </c>
      <c r="BO676" s="219">
        <f t="shared" si="328"/>
        <v>0</v>
      </c>
    </row>
    <row r="677" spans="1:67" x14ac:dyDescent="0.25">
      <c r="A677" s="31" t="s">
        <v>1665</v>
      </c>
      <c r="B677" s="176" t="str">
        <f>VLOOKUP(A677,kurspris!$A$1:$B$992,2,FALSE)</f>
        <v>Magisteruppsats i Pedagogisk yrkesverksamhet</v>
      </c>
      <c r="D677" s="31" t="s">
        <v>117</v>
      </c>
      <c r="F677" s="60" t="s">
        <v>2273</v>
      </c>
      <c r="I677" s="31" t="s">
        <v>2275</v>
      </c>
      <c r="L677" s="38">
        <v>1</v>
      </c>
      <c r="M677" s="325">
        <v>30</v>
      </c>
      <c r="P677" s="31">
        <v>30</v>
      </c>
      <c r="Q677" s="196">
        <f>(M677/60)*P677</f>
        <v>15</v>
      </c>
      <c r="R677" s="38">
        <v>0.8</v>
      </c>
      <c r="S677" s="280">
        <f t="shared" si="301"/>
        <v>12</v>
      </c>
      <c r="T677" s="31">
        <f>VLOOKUP(A677,'Ansvar kurs'!$A$1:$C$1123,2,FALSE)</f>
        <v>2193</v>
      </c>
      <c r="U677" s="31" t="str">
        <f>VLOOKUP(T677,Orgenheter!$A$1:$C$166,2,FALSE)</f>
        <v xml:space="preserve">TUV </v>
      </c>
      <c r="V677" s="31" t="str">
        <f>VLOOKUP(T677,Orgenheter!$A$1:$C$166,3,FALSE)</f>
        <v>Sam</v>
      </c>
      <c r="W677" s="35" t="str">
        <f>VLOOKUP(D677,Program!$A$1:$B$36,2,FALSE)</f>
        <v>Fristående och övriga kurser</v>
      </c>
      <c r="X677" s="40">
        <f>VLOOKUP(A677,kurspris!$A$1:$Q$913,15,FALSE)</f>
        <v>20766</v>
      </c>
      <c r="Y677" s="40">
        <f>VLOOKUP(A677,kurspris!$A$1:$Q$913,16,FALSE)</f>
        <v>17442</v>
      </c>
      <c r="Z677" s="40">
        <f t="shared" si="302"/>
        <v>520794</v>
      </c>
      <c r="AA677" s="40">
        <f>VLOOKUP(A677,kurspris!$A$1:$Q$913,17,FALSE)</f>
        <v>6000</v>
      </c>
      <c r="AB677" s="40">
        <f t="shared" si="303"/>
        <v>90000</v>
      </c>
      <c r="AC677" s="40">
        <f t="shared" si="304"/>
        <v>610794</v>
      </c>
      <c r="AD677" s="31">
        <f>VLOOKUP($A677,kurspris!$A$1:$Q$950,3,FALSE)</f>
        <v>0</v>
      </c>
      <c r="AE677" s="31">
        <f>VLOOKUP($A677,kurspris!$A$1:$Q$950,4,FALSE)</f>
        <v>0</v>
      </c>
      <c r="AF677" s="31">
        <f>VLOOKUP($A677,kurspris!$A$1:$Q$950,5,FALSE)</f>
        <v>0</v>
      </c>
      <c r="AG677" s="31">
        <f>VLOOKUP($A677,kurspris!$A$1:$Q$950,6,FALSE)</f>
        <v>0</v>
      </c>
      <c r="AH677" s="31">
        <f>VLOOKUP($A677,kurspris!$A$1:$Q$950,7,FALSE)</f>
        <v>0</v>
      </c>
      <c r="AI677" s="31">
        <f>VLOOKUP($A677,kurspris!$A$1:$Q$950,8,FALSE)</f>
        <v>0</v>
      </c>
      <c r="AJ677" s="31">
        <f>VLOOKUP($A677,kurspris!$A$1:$Q$950,9,FALSE)</f>
        <v>1</v>
      </c>
      <c r="AK677" s="31">
        <f>VLOOKUP($A677,kurspris!$A$1:$Q$950,10,FALSE)</f>
        <v>0</v>
      </c>
      <c r="AL677" s="31">
        <f>VLOOKUP($A677,kurspris!$A$1:$Q$950,11,FALSE)</f>
        <v>0</v>
      </c>
      <c r="AM677" s="31">
        <f>VLOOKUP($A677,kurspris!$A$1:$Q$950,12,FALSE)</f>
        <v>0</v>
      </c>
      <c r="AN677" s="31">
        <f>VLOOKUP($A677,kurspris!$A$1:$Q$950,13,FALSE)</f>
        <v>0</v>
      </c>
      <c r="AO677" s="31">
        <f>VLOOKUP($A677,kurspris!$A$1:$Q$950,14,FALSE)</f>
        <v>0</v>
      </c>
      <c r="AP677" s="57" t="s">
        <v>2267</v>
      </c>
      <c r="AQ677" s="37"/>
      <c r="AR677" s="31">
        <f t="shared" si="305"/>
        <v>0</v>
      </c>
      <c r="AS677" s="219">
        <f t="shared" si="306"/>
        <v>0</v>
      </c>
      <c r="AT677" s="31">
        <f t="shared" si="307"/>
        <v>0</v>
      </c>
      <c r="AU677" s="219">
        <f t="shared" si="308"/>
        <v>0</v>
      </c>
      <c r="AV677" s="31">
        <f t="shared" si="309"/>
        <v>0</v>
      </c>
      <c r="AW677" s="31">
        <f t="shared" si="310"/>
        <v>0</v>
      </c>
      <c r="AX677" s="31">
        <f t="shared" si="311"/>
        <v>0</v>
      </c>
      <c r="AY677" s="219">
        <f t="shared" si="312"/>
        <v>0</v>
      </c>
      <c r="AZ677" s="196">
        <f t="shared" si="313"/>
        <v>0</v>
      </c>
      <c r="BA677" s="219">
        <f t="shared" si="314"/>
        <v>0</v>
      </c>
      <c r="BB677" s="31">
        <f t="shared" si="315"/>
        <v>0</v>
      </c>
      <c r="BC677" s="219">
        <f t="shared" si="316"/>
        <v>0</v>
      </c>
      <c r="BD677" s="31">
        <f t="shared" si="317"/>
        <v>15</v>
      </c>
      <c r="BE677" s="219">
        <f t="shared" si="318"/>
        <v>12</v>
      </c>
      <c r="BF677" s="31">
        <f t="shared" si="319"/>
        <v>0</v>
      </c>
      <c r="BG677" s="219">
        <f t="shared" si="320"/>
        <v>0</v>
      </c>
      <c r="BH677" s="31">
        <f t="shared" si="321"/>
        <v>0</v>
      </c>
      <c r="BI677" s="219">
        <f t="shared" si="322"/>
        <v>0</v>
      </c>
      <c r="BJ677" s="31">
        <f t="shared" si="323"/>
        <v>0</v>
      </c>
      <c r="BK677" s="219">
        <f t="shared" si="324"/>
        <v>0</v>
      </c>
      <c r="BL677" s="31">
        <f t="shared" si="325"/>
        <v>0</v>
      </c>
      <c r="BM677" s="219">
        <f t="shared" si="326"/>
        <v>0</v>
      </c>
      <c r="BN677" s="31">
        <f t="shared" si="327"/>
        <v>0</v>
      </c>
      <c r="BO677" s="219">
        <f t="shared" si="328"/>
        <v>0</v>
      </c>
    </row>
    <row r="678" spans="1:67" x14ac:dyDescent="0.25">
      <c r="A678" s="157" t="s">
        <v>1668</v>
      </c>
      <c r="B678" s="176" t="str">
        <f>VLOOKUP(A678,kurspris!$A$1:$B$992,2,FALSE)</f>
        <v>Trygga lärmiljöer, identitet och intersektionalitet</v>
      </c>
      <c r="C678" s="35"/>
      <c r="D678" s="31" t="s">
        <v>117</v>
      </c>
      <c r="F678" s="60" t="s">
        <v>2273</v>
      </c>
      <c r="I678" s="31" t="s">
        <v>2275</v>
      </c>
      <c r="L678" s="38">
        <v>0.5</v>
      </c>
      <c r="M678" s="325">
        <v>15</v>
      </c>
      <c r="P678" s="31">
        <v>40</v>
      </c>
      <c r="Q678" s="196">
        <f>(M678/60)*P678</f>
        <v>10</v>
      </c>
      <c r="R678" s="38">
        <v>0.8</v>
      </c>
      <c r="S678" s="280">
        <f t="shared" si="301"/>
        <v>8</v>
      </c>
      <c r="T678" s="31">
        <f>VLOOKUP(A678,'Ansvar kurs'!$A$1:$C$1123,2,FALSE)</f>
        <v>2193</v>
      </c>
      <c r="U678" s="31" t="str">
        <f>VLOOKUP(T678,Orgenheter!$A$1:$C$166,2,FALSE)</f>
        <v xml:space="preserve">TUV </v>
      </c>
      <c r="V678" s="31" t="str">
        <f>VLOOKUP(T678,Orgenheter!$A$1:$C$166,3,FALSE)</f>
        <v>Sam</v>
      </c>
      <c r="W678" s="35" t="str">
        <f>VLOOKUP(D678,Program!$A$1:$B$36,2,FALSE)</f>
        <v>Fristående och övriga kurser</v>
      </c>
      <c r="X678" s="40">
        <f>VLOOKUP(A678,kurspris!$A$1:$Q$913,15,FALSE)</f>
        <v>20766</v>
      </c>
      <c r="Y678" s="40">
        <f>VLOOKUP(A678,kurspris!$A$1:$Q$913,16,FALSE)</f>
        <v>17442</v>
      </c>
      <c r="Z678" s="40">
        <f t="shared" si="302"/>
        <v>347196</v>
      </c>
      <c r="AA678" s="40">
        <f>VLOOKUP(A678,kurspris!$A$1:$Q$913,17,FALSE)</f>
        <v>6000</v>
      </c>
      <c r="AB678" s="40">
        <f t="shared" si="303"/>
        <v>60000</v>
      </c>
      <c r="AC678" s="40">
        <f t="shared" si="304"/>
        <v>407196</v>
      </c>
      <c r="AD678" s="31">
        <f>VLOOKUP($A678,kurspris!$A$1:$Q$950,3,FALSE)</f>
        <v>0</v>
      </c>
      <c r="AE678" s="31">
        <f>VLOOKUP($A678,kurspris!$A$1:$Q$950,4,FALSE)</f>
        <v>0</v>
      </c>
      <c r="AF678" s="31">
        <f>VLOOKUP($A678,kurspris!$A$1:$Q$950,5,FALSE)</f>
        <v>0</v>
      </c>
      <c r="AG678" s="31">
        <f>VLOOKUP($A678,kurspris!$A$1:$Q$950,6,FALSE)</f>
        <v>0</v>
      </c>
      <c r="AH678" s="31">
        <f>VLOOKUP($A678,kurspris!$A$1:$Q$950,7,FALSE)</f>
        <v>0</v>
      </c>
      <c r="AI678" s="31">
        <f>VLOOKUP($A678,kurspris!$A$1:$Q$950,8,FALSE)</f>
        <v>0</v>
      </c>
      <c r="AJ678" s="31">
        <f>VLOOKUP($A678,kurspris!$A$1:$Q$950,9,FALSE)</f>
        <v>1</v>
      </c>
      <c r="AK678" s="31">
        <f>VLOOKUP($A678,kurspris!$A$1:$Q$950,10,FALSE)</f>
        <v>0</v>
      </c>
      <c r="AL678" s="31">
        <f>VLOOKUP($A678,kurspris!$A$1:$Q$950,11,FALSE)</f>
        <v>0</v>
      </c>
      <c r="AM678" s="31">
        <f>VLOOKUP($A678,kurspris!$A$1:$Q$950,12,FALSE)</f>
        <v>0</v>
      </c>
      <c r="AN678" s="31">
        <f>VLOOKUP($A678,kurspris!$A$1:$Q$950,13,FALSE)</f>
        <v>0</v>
      </c>
      <c r="AO678" s="31">
        <f>VLOOKUP($A678,kurspris!$A$1:$Q$950,14,FALSE)</f>
        <v>0</v>
      </c>
      <c r="AP678" s="57" t="s">
        <v>2267</v>
      </c>
      <c r="AQ678" s="37"/>
      <c r="AR678" s="31">
        <f t="shared" si="305"/>
        <v>0</v>
      </c>
      <c r="AS678" s="219">
        <f t="shared" si="306"/>
        <v>0</v>
      </c>
      <c r="AT678" s="31">
        <f t="shared" si="307"/>
        <v>0</v>
      </c>
      <c r="AU678" s="219">
        <f t="shared" si="308"/>
        <v>0</v>
      </c>
      <c r="AV678" s="31">
        <f t="shared" si="309"/>
        <v>0</v>
      </c>
      <c r="AW678" s="31">
        <f t="shared" si="310"/>
        <v>0</v>
      </c>
      <c r="AX678" s="31">
        <f t="shared" si="311"/>
        <v>0</v>
      </c>
      <c r="AY678" s="219">
        <f t="shared" si="312"/>
        <v>0</v>
      </c>
      <c r="AZ678" s="196">
        <f t="shared" si="313"/>
        <v>0</v>
      </c>
      <c r="BA678" s="219">
        <f t="shared" si="314"/>
        <v>0</v>
      </c>
      <c r="BB678" s="31">
        <f t="shared" si="315"/>
        <v>0</v>
      </c>
      <c r="BC678" s="219">
        <f t="shared" si="316"/>
        <v>0</v>
      </c>
      <c r="BD678" s="31">
        <f t="shared" si="317"/>
        <v>10</v>
      </c>
      <c r="BE678" s="219">
        <f t="shared" si="318"/>
        <v>8</v>
      </c>
      <c r="BF678" s="31">
        <f t="shared" si="319"/>
        <v>0</v>
      </c>
      <c r="BG678" s="219">
        <f t="shared" si="320"/>
        <v>0</v>
      </c>
      <c r="BH678" s="31">
        <f t="shared" si="321"/>
        <v>0</v>
      </c>
      <c r="BI678" s="219">
        <f t="shared" si="322"/>
        <v>0</v>
      </c>
      <c r="BJ678" s="31">
        <f t="shared" si="323"/>
        <v>0</v>
      </c>
      <c r="BK678" s="219">
        <f t="shared" si="324"/>
        <v>0</v>
      </c>
      <c r="BL678" s="31">
        <f t="shared" si="325"/>
        <v>0</v>
      </c>
      <c r="BM678" s="219">
        <f t="shared" si="326"/>
        <v>0</v>
      </c>
      <c r="BN678" s="31">
        <f t="shared" si="327"/>
        <v>0</v>
      </c>
      <c r="BO678" s="219">
        <f t="shared" si="328"/>
        <v>0</v>
      </c>
    </row>
    <row r="679" spans="1:67" x14ac:dyDescent="0.25">
      <c r="A679" s="31" t="s">
        <v>1692</v>
      </c>
      <c r="B679" s="176" t="str">
        <f>VLOOKUP(A679,kurspris!$A$1:$B$992,2,FALSE)</f>
        <v>Normkritisk genuspedagogik</v>
      </c>
      <c r="D679" s="31" t="s">
        <v>117</v>
      </c>
      <c r="F679" s="60" t="s">
        <v>2273</v>
      </c>
      <c r="I679" s="31" t="s">
        <v>2275</v>
      </c>
      <c r="L679" s="38">
        <v>0.5</v>
      </c>
      <c r="M679" s="325">
        <v>15</v>
      </c>
      <c r="P679" s="31">
        <v>20</v>
      </c>
      <c r="Q679" s="196">
        <f>(M679/60)*P679</f>
        <v>5</v>
      </c>
      <c r="R679" s="38">
        <v>0.8</v>
      </c>
      <c r="S679" s="280">
        <f t="shared" si="301"/>
        <v>4</v>
      </c>
      <c r="T679" s="31">
        <f>VLOOKUP(A679,'Ansvar kurs'!$A$1:$C$1123,2,FALSE)</f>
        <v>2193</v>
      </c>
      <c r="U679" s="31" t="str">
        <f>VLOOKUP(T679,Orgenheter!$A$1:$C$166,2,FALSE)</f>
        <v xml:space="preserve">TUV </v>
      </c>
      <c r="V679" s="31" t="str">
        <f>VLOOKUP(T679,Orgenheter!$A$1:$C$166,3,FALSE)</f>
        <v>Sam</v>
      </c>
      <c r="W679" s="35" t="str">
        <f>VLOOKUP(D679,Program!$A$1:$B$36,2,FALSE)</f>
        <v>Fristående och övriga kurser</v>
      </c>
      <c r="X679" s="40">
        <f>VLOOKUP(A679,kurspris!$A$1:$Q$913,15,FALSE)</f>
        <v>20766</v>
      </c>
      <c r="Y679" s="40">
        <f>VLOOKUP(A679,kurspris!$A$1:$Q$913,16,FALSE)</f>
        <v>17442</v>
      </c>
      <c r="Z679" s="40">
        <f t="shared" si="302"/>
        <v>173598</v>
      </c>
      <c r="AA679" s="40">
        <f>VLOOKUP(A679,kurspris!$A$1:$Q$913,17,FALSE)</f>
        <v>6000</v>
      </c>
      <c r="AB679" s="40">
        <f t="shared" si="303"/>
        <v>30000</v>
      </c>
      <c r="AC679" s="40">
        <f t="shared" si="304"/>
        <v>203598</v>
      </c>
      <c r="AD679" s="31">
        <f>VLOOKUP($A679,kurspris!$A$1:$Q$950,3,FALSE)</f>
        <v>0</v>
      </c>
      <c r="AE679" s="31">
        <f>VLOOKUP($A679,kurspris!$A$1:$Q$950,4,FALSE)</f>
        <v>0</v>
      </c>
      <c r="AF679" s="31">
        <f>VLOOKUP($A679,kurspris!$A$1:$Q$950,5,FALSE)</f>
        <v>0</v>
      </c>
      <c r="AG679" s="31">
        <f>VLOOKUP($A679,kurspris!$A$1:$Q$950,6,FALSE)</f>
        <v>0</v>
      </c>
      <c r="AH679" s="31">
        <f>VLOOKUP($A679,kurspris!$A$1:$Q$950,7,FALSE)</f>
        <v>0</v>
      </c>
      <c r="AI679" s="31">
        <f>VLOOKUP($A679,kurspris!$A$1:$Q$950,8,FALSE)</f>
        <v>0</v>
      </c>
      <c r="AJ679" s="31">
        <f>VLOOKUP($A679,kurspris!$A$1:$Q$950,9,FALSE)</f>
        <v>1</v>
      </c>
      <c r="AK679" s="31">
        <f>VLOOKUP($A679,kurspris!$A$1:$Q$950,10,FALSE)</f>
        <v>0</v>
      </c>
      <c r="AL679" s="31">
        <f>VLOOKUP($A679,kurspris!$A$1:$Q$950,11,FALSE)</f>
        <v>0</v>
      </c>
      <c r="AM679" s="31">
        <f>VLOOKUP($A679,kurspris!$A$1:$Q$950,12,FALSE)</f>
        <v>0</v>
      </c>
      <c r="AN679" s="31">
        <f>VLOOKUP($A679,kurspris!$A$1:$Q$950,13,FALSE)</f>
        <v>0</v>
      </c>
      <c r="AO679" s="31">
        <f>VLOOKUP($A679,kurspris!$A$1:$Q$950,14,FALSE)</f>
        <v>0</v>
      </c>
      <c r="AP679" s="57" t="s">
        <v>2267</v>
      </c>
      <c r="AQ679"/>
      <c r="AR679" s="31">
        <f t="shared" si="305"/>
        <v>0</v>
      </c>
      <c r="AS679" s="219">
        <f t="shared" si="306"/>
        <v>0</v>
      </c>
      <c r="AT679" s="31">
        <f t="shared" si="307"/>
        <v>0</v>
      </c>
      <c r="AU679" s="219">
        <f t="shared" si="308"/>
        <v>0</v>
      </c>
      <c r="AV679" s="31">
        <f t="shared" si="309"/>
        <v>0</v>
      </c>
      <c r="AW679" s="31">
        <f t="shared" si="310"/>
        <v>0</v>
      </c>
      <c r="AX679" s="31">
        <f t="shared" si="311"/>
        <v>0</v>
      </c>
      <c r="AY679" s="219">
        <f t="shared" si="312"/>
        <v>0</v>
      </c>
      <c r="AZ679" s="196">
        <f t="shared" si="313"/>
        <v>0</v>
      </c>
      <c r="BA679" s="219">
        <f t="shared" si="314"/>
        <v>0</v>
      </c>
      <c r="BB679" s="31">
        <f t="shared" si="315"/>
        <v>0</v>
      </c>
      <c r="BC679" s="219">
        <f t="shared" si="316"/>
        <v>0</v>
      </c>
      <c r="BD679" s="31">
        <f t="shared" si="317"/>
        <v>5</v>
      </c>
      <c r="BE679" s="219">
        <f t="shared" si="318"/>
        <v>4</v>
      </c>
      <c r="BF679" s="31">
        <f t="shared" si="319"/>
        <v>0</v>
      </c>
      <c r="BG679" s="219">
        <f t="shared" si="320"/>
        <v>0</v>
      </c>
      <c r="BH679" s="31">
        <f t="shared" si="321"/>
        <v>0</v>
      </c>
      <c r="BI679" s="219">
        <f t="shared" si="322"/>
        <v>0</v>
      </c>
      <c r="BJ679" s="31">
        <f t="shared" si="323"/>
        <v>0</v>
      </c>
      <c r="BK679" s="219">
        <f t="shared" si="324"/>
        <v>0</v>
      </c>
      <c r="BL679" s="31">
        <f t="shared" si="325"/>
        <v>0</v>
      </c>
      <c r="BM679" s="219">
        <f t="shared" si="326"/>
        <v>0</v>
      </c>
      <c r="BN679" s="31">
        <f t="shared" si="327"/>
        <v>0</v>
      </c>
      <c r="BO679" s="219">
        <f t="shared" si="328"/>
        <v>0</v>
      </c>
    </row>
    <row r="680" spans="1:67" x14ac:dyDescent="0.25">
      <c r="A680" s="31" t="s">
        <v>2047</v>
      </c>
      <c r="B680" s="176" t="str">
        <f>VLOOKUP(A680,kurspris!$A$1:$B$992,2,FALSE)</f>
        <v>Barns och ungas identitetsskapande på nätet</v>
      </c>
      <c r="C680" s="31">
        <v>68700</v>
      </c>
      <c r="D680" s="60" t="s">
        <v>117</v>
      </c>
      <c r="E680" s="60"/>
      <c r="F680" s="57" t="s">
        <v>2274</v>
      </c>
      <c r="H680" s="31" t="s">
        <v>2395</v>
      </c>
      <c r="I680" s="31" t="s">
        <v>2275</v>
      </c>
      <c r="L680" s="38"/>
      <c r="M680">
        <v>7.5</v>
      </c>
      <c r="P680" s="31">
        <v>23</v>
      </c>
      <c r="Q680" s="539">
        <v>2.875</v>
      </c>
      <c r="R680" s="38">
        <v>0.8</v>
      </c>
      <c r="S680" s="280">
        <f t="shared" si="301"/>
        <v>2.3000000000000003</v>
      </c>
      <c r="T680" s="31">
        <f>VLOOKUP(A680,'Ansvar kurs'!$A$1:$C$1123,2,FALSE)</f>
        <v>2193</v>
      </c>
      <c r="U680" s="31" t="str">
        <f>VLOOKUP(T680,Orgenheter!$A$1:$C$166,2,FALSE)</f>
        <v xml:space="preserve">TUV </v>
      </c>
      <c r="V680" s="31" t="str">
        <f>VLOOKUP(T680,Orgenheter!$A$1:$C$166,3,FALSE)</f>
        <v>Sam</v>
      </c>
      <c r="W680" s="35" t="str">
        <f>VLOOKUP(D680,Program!$A$1:$B$36,2,FALSE)</f>
        <v>Fristående och övriga kurser</v>
      </c>
      <c r="X680" s="40">
        <f>VLOOKUP(A680,kurspris!$A$1:$Q$913,15,FALSE)</f>
        <v>20766</v>
      </c>
      <c r="Y680" s="40">
        <f>VLOOKUP(A680,kurspris!$A$1:$Q$913,16,FALSE)</f>
        <v>17442</v>
      </c>
      <c r="Z680" s="40">
        <f t="shared" si="302"/>
        <v>99818.85</v>
      </c>
      <c r="AA680" s="40">
        <f>VLOOKUP(A680,kurspris!$A$1:$Q$913,17,FALSE)</f>
        <v>6000</v>
      </c>
      <c r="AB680" s="40">
        <f t="shared" si="303"/>
        <v>17250</v>
      </c>
      <c r="AC680" s="40">
        <f t="shared" si="304"/>
        <v>117068.85</v>
      </c>
      <c r="AD680" s="31">
        <f>VLOOKUP($A680,kurspris!$A$1:$Q$950,3,FALSE)</f>
        <v>0</v>
      </c>
      <c r="AE680" s="31">
        <f>VLOOKUP($A680,kurspris!$A$1:$Q$950,4,FALSE)</f>
        <v>0</v>
      </c>
      <c r="AF680" s="31">
        <f>VLOOKUP($A680,kurspris!$A$1:$Q$950,5,FALSE)</f>
        <v>0</v>
      </c>
      <c r="AG680" s="31">
        <f>VLOOKUP($A680,kurspris!$A$1:$Q$950,6,FALSE)</f>
        <v>0</v>
      </c>
      <c r="AH680" s="31">
        <f>VLOOKUP($A680,kurspris!$A$1:$Q$950,7,FALSE)</f>
        <v>0</v>
      </c>
      <c r="AI680" s="31">
        <f>VLOOKUP($A680,kurspris!$A$1:$Q$950,8,FALSE)</f>
        <v>0</v>
      </c>
      <c r="AJ680" s="31">
        <f>VLOOKUP($A680,kurspris!$A$1:$Q$950,9,FALSE)</f>
        <v>1</v>
      </c>
      <c r="AK680" s="31">
        <f>VLOOKUP($A680,kurspris!$A$1:$Q$950,10,FALSE)</f>
        <v>0</v>
      </c>
      <c r="AL680" s="31">
        <f>VLOOKUP($A680,kurspris!$A$1:$Q$950,11,FALSE)</f>
        <v>0</v>
      </c>
      <c r="AM680" s="31">
        <f>VLOOKUP($A680,kurspris!$A$1:$Q$950,12,FALSE)</f>
        <v>0</v>
      </c>
      <c r="AN680" s="31">
        <f>VLOOKUP($A680,kurspris!$A$1:$Q$950,13,FALSE)</f>
        <v>0</v>
      </c>
      <c r="AO680" s="31">
        <f>VLOOKUP($A680,kurspris!$A$1:$Q$950,14,FALSE)</f>
        <v>0</v>
      </c>
      <c r="AP680" s="57" t="s">
        <v>2402</v>
      </c>
      <c r="AQ680"/>
      <c r="AR680" s="31">
        <f t="shared" si="305"/>
        <v>0</v>
      </c>
      <c r="AS680" s="219">
        <f t="shared" si="306"/>
        <v>0</v>
      </c>
      <c r="AT680" s="31">
        <f t="shared" si="307"/>
        <v>0</v>
      </c>
      <c r="AU680" s="219">
        <f t="shared" si="308"/>
        <v>0</v>
      </c>
      <c r="AV680" s="31">
        <f t="shared" si="309"/>
        <v>0</v>
      </c>
      <c r="AW680" s="31">
        <f t="shared" si="310"/>
        <v>0</v>
      </c>
      <c r="AX680" s="31">
        <f t="shared" si="311"/>
        <v>0</v>
      </c>
      <c r="AY680" s="219">
        <f t="shared" si="312"/>
        <v>0</v>
      </c>
      <c r="AZ680" s="196">
        <f t="shared" si="313"/>
        <v>0</v>
      </c>
      <c r="BA680" s="219">
        <f t="shared" si="314"/>
        <v>0</v>
      </c>
      <c r="BB680" s="31">
        <f t="shared" si="315"/>
        <v>0</v>
      </c>
      <c r="BC680" s="219">
        <f t="shared" si="316"/>
        <v>0</v>
      </c>
      <c r="BD680" s="31">
        <f t="shared" si="317"/>
        <v>2.875</v>
      </c>
      <c r="BE680" s="219">
        <f t="shared" si="318"/>
        <v>2.3000000000000003</v>
      </c>
      <c r="BF680" s="31">
        <f t="shared" si="319"/>
        <v>0</v>
      </c>
      <c r="BG680" s="219">
        <f t="shared" si="320"/>
        <v>0</v>
      </c>
      <c r="BH680" s="31">
        <f t="shared" si="321"/>
        <v>0</v>
      </c>
      <c r="BI680" s="219">
        <f t="shared" si="322"/>
        <v>0</v>
      </c>
      <c r="BJ680" s="31">
        <f t="shared" si="323"/>
        <v>0</v>
      </c>
      <c r="BK680" s="219">
        <f t="shared" si="324"/>
        <v>0</v>
      </c>
      <c r="BL680" s="31">
        <f t="shared" si="325"/>
        <v>0</v>
      </c>
      <c r="BM680" s="219">
        <f t="shared" si="326"/>
        <v>0</v>
      </c>
      <c r="BN680" s="31">
        <f t="shared" si="327"/>
        <v>0</v>
      </c>
      <c r="BO680" s="219">
        <f t="shared" si="328"/>
        <v>0</v>
      </c>
    </row>
    <row r="681" spans="1:67" x14ac:dyDescent="0.25">
      <c r="A681" s="31" t="s">
        <v>2048</v>
      </c>
      <c r="B681" s="176" t="str">
        <f>VLOOKUP(A681,kurspris!$A$1:$B$992,2,FALSE)</f>
        <v>Mobbning och kränkande handlingar i teori och praktik</v>
      </c>
      <c r="C681" s="31">
        <v>68704</v>
      </c>
      <c r="D681" s="31" t="s">
        <v>117</v>
      </c>
      <c r="F681" s="57" t="s">
        <v>2274</v>
      </c>
      <c r="H681" s="31" t="s">
        <v>2395</v>
      </c>
      <c r="I681" s="31" t="s">
        <v>2275</v>
      </c>
      <c r="L681" s="38"/>
      <c r="M681">
        <v>7.5</v>
      </c>
      <c r="P681" s="31">
        <v>16</v>
      </c>
      <c r="Q681" s="539">
        <v>2</v>
      </c>
      <c r="R681" s="38">
        <v>0.8</v>
      </c>
      <c r="S681" s="280">
        <f t="shared" si="301"/>
        <v>1.6</v>
      </c>
      <c r="T681" s="31">
        <f>VLOOKUP(A681,'Ansvar kurs'!$A$1:$C$1123,2,FALSE)</f>
        <v>2193</v>
      </c>
      <c r="U681" s="31" t="str">
        <f>VLOOKUP(T681,Orgenheter!$A$1:$C$166,2,FALSE)</f>
        <v xml:space="preserve">TUV </v>
      </c>
      <c r="V681" s="31" t="str">
        <f>VLOOKUP(T681,Orgenheter!$A$1:$C$166,3,FALSE)</f>
        <v>Sam</v>
      </c>
      <c r="W681" s="35" t="str">
        <f>VLOOKUP(D681,Program!$A$1:$B$36,2,FALSE)</f>
        <v>Fristående och övriga kurser</v>
      </c>
      <c r="X681" s="40">
        <f>VLOOKUP(A681,kurspris!$A$1:$Q$913,15,FALSE)</f>
        <v>20766</v>
      </c>
      <c r="Y681" s="40">
        <f>VLOOKUP(A681,kurspris!$A$1:$Q$913,16,FALSE)</f>
        <v>17442</v>
      </c>
      <c r="Z681" s="40">
        <f t="shared" si="302"/>
        <v>69439.199999999997</v>
      </c>
      <c r="AA681" s="40">
        <f>VLOOKUP(A681,kurspris!$A$1:$Q$913,17,FALSE)</f>
        <v>6000</v>
      </c>
      <c r="AB681" s="40">
        <f t="shared" si="303"/>
        <v>12000</v>
      </c>
      <c r="AC681" s="40">
        <f t="shared" si="304"/>
        <v>81439.199999999997</v>
      </c>
      <c r="AD681" s="31">
        <f>VLOOKUP($A681,kurspris!$A$1:$Q$950,3,FALSE)</f>
        <v>0</v>
      </c>
      <c r="AE681" s="31">
        <f>VLOOKUP($A681,kurspris!$A$1:$Q$950,4,FALSE)</f>
        <v>0</v>
      </c>
      <c r="AF681" s="31">
        <f>VLOOKUP($A681,kurspris!$A$1:$Q$950,5,FALSE)</f>
        <v>0</v>
      </c>
      <c r="AG681" s="31">
        <f>VLOOKUP($A681,kurspris!$A$1:$Q$950,6,FALSE)</f>
        <v>0</v>
      </c>
      <c r="AH681" s="31">
        <f>VLOOKUP($A681,kurspris!$A$1:$Q$950,7,FALSE)</f>
        <v>0</v>
      </c>
      <c r="AI681" s="31">
        <f>VLOOKUP($A681,kurspris!$A$1:$Q$950,8,FALSE)</f>
        <v>0</v>
      </c>
      <c r="AJ681" s="31">
        <f>VLOOKUP($A681,kurspris!$A$1:$Q$950,9,FALSE)</f>
        <v>1</v>
      </c>
      <c r="AK681" s="31">
        <f>VLOOKUP($A681,kurspris!$A$1:$Q$950,10,FALSE)</f>
        <v>0</v>
      </c>
      <c r="AL681" s="31">
        <f>VLOOKUP($A681,kurspris!$A$1:$Q$950,11,FALSE)</f>
        <v>0</v>
      </c>
      <c r="AM681" s="31">
        <f>VLOOKUP($A681,kurspris!$A$1:$Q$950,12,FALSE)</f>
        <v>0</v>
      </c>
      <c r="AN681" s="31">
        <f>VLOOKUP($A681,kurspris!$A$1:$Q$950,13,FALSE)</f>
        <v>0</v>
      </c>
      <c r="AO681" s="31">
        <f>VLOOKUP($A681,kurspris!$A$1:$Q$950,14,FALSE)</f>
        <v>0</v>
      </c>
      <c r="AP681" s="57" t="s">
        <v>2402</v>
      </c>
      <c r="AQ681" s="37"/>
      <c r="AR681" s="31">
        <f t="shared" si="305"/>
        <v>0</v>
      </c>
      <c r="AS681" s="219">
        <f t="shared" si="306"/>
        <v>0</v>
      </c>
      <c r="AT681" s="31">
        <f t="shared" si="307"/>
        <v>0</v>
      </c>
      <c r="AU681" s="219">
        <f t="shared" si="308"/>
        <v>0</v>
      </c>
      <c r="AV681" s="31">
        <f t="shared" si="309"/>
        <v>0</v>
      </c>
      <c r="AW681" s="31">
        <f t="shared" si="310"/>
        <v>0</v>
      </c>
      <c r="AX681" s="31">
        <f t="shared" si="311"/>
        <v>0</v>
      </c>
      <c r="AY681" s="219">
        <f t="shared" si="312"/>
        <v>0</v>
      </c>
      <c r="AZ681" s="196">
        <f t="shared" si="313"/>
        <v>0</v>
      </c>
      <c r="BA681" s="219">
        <f t="shared" si="314"/>
        <v>0</v>
      </c>
      <c r="BB681" s="31">
        <f t="shared" si="315"/>
        <v>0</v>
      </c>
      <c r="BC681" s="219">
        <f t="shared" si="316"/>
        <v>0</v>
      </c>
      <c r="BD681" s="31">
        <f t="shared" si="317"/>
        <v>2</v>
      </c>
      <c r="BE681" s="219">
        <f t="shared" si="318"/>
        <v>1.6</v>
      </c>
      <c r="BF681" s="31">
        <f t="shared" si="319"/>
        <v>0</v>
      </c>
      <c r="BG681" s="219">
        <f t="shared" si="320"/>
        <v>0</v>
      </c>
      <c r="BH681" s="31">
        <f t="shared" si="321"/>
        <v>0</v>
      </c>
      <c r="BI681" s="219">
        <f t="shared" si="322"/>
        <v>0</v>
      </c>
      <c r="BJ681" s="31">
        <f t="shared" si="323"/>
        <v>0</v>
      </c>
      <c r="BK681" s="219">
        <f t="shared" si="324"/>
        <v>0</v>
      </c>
      <c r="BL681" s="31">
        <f t="shared" si="325"/>
        <v>0</v>
      </c>
      <c r="BM681" s="219">
        <f t="shared" si="326"/>
        <v>0</v>
      </c>
      <c r="BN681" s="31">
        <f t="shared" si="327"/>
        <v>0</v>
      </c>
      <c r="BO681" s="219">
        <f t="shared" si="328"/>
        <v>0</v>
      </c>
    </row>
    <row r="682" spans="1:67" x14ac:dyDescent="0.25">
      <c r="A682" s="31" t="s">
        <v>1682</v>
      </c>
      <c r="B682" s="176" t="str">
        <f>VLOOKUP(A682,kurspris!$A$1:$B$992,2,FALSE)</f>
        <v>Läraryrkets dimensioner för fritidshem 2 (VFU)</v>
      </c>
      <c r="D682" s="60" t="s">
        <v>484</v>
      </c>
      <c r="E682" s="576" t="s">
        <v>2434</v>
      </c>
      <c r="F682" s="31" t="s">
        <v>2273</v>
      </c>
      <c r="G682" t="s">
        <v>2452</v>
      </c>
      <c r="H682" t="s">
        <v>2335</v>
      </c>
      <c r="I682" s="31" t="s">
        <v>2276</v>
      </c>
      <c r="L682" s="38">
        <v>1</v>
      </c>
      <c r="M682">
        <v>2.5</v>
      </c>
      <c r="P682" s="31">
        <v>10</v>
      </c>
      <c r="Q682" s="196">
        <f>(M682/60)*P682</f>
        <v>0.41666666666666663</v>
      </c>
      <c r="R682" s="38">
        <v>0.85</v>
      </c>
      <c r="S682" s="280">
        <f t="shared" si="301"/>
        <v>0.35416666666666663</v>
      </c>
      <c r="T682" s="31">
        <f>VLOOKUP(A682,'Ansvar kurs'!$A$1:$C$1123,2,FALSE)</f>
        <v>2180</v>
      </c>
      <c r="U682" s="31" t="str">
        <f>VLOOKUP(T682,Orgenheter!$A$1:$C$166,2,FALSE)</f>
        <v xml:space="preserve">Pedagogik                     </v>
      </c>
      <c r="V682" s="31" t="str">
        <f>VLOOKUP(T682,Orgenheter!$A$1:$C$166,3,FALSE)</f>
        <v>Sam</v>
      </c>
      <c r="W682" s="35" t="str">
        <f>VLOOKUP(D682,Program!$A$1:$B$36,2,FALSE)</f>
        <v>Grundlärarprogrammet - fritidshem</v>
      </c>
      <c r="X682" s="40">
        <f>VLOOKUP(A682,kurspris!$A$1:$Q$913,15,FALSE)</f>
        <v>25235</v>
      </c>
      <c r="Y682" s="40">
        <f>VLOOKUP(A682,kurspris!$A$1:$Q$913,16,FALSE)</f>
        <v>27976</v>
      </c>
      <c r="Z682" s="40">
        <f t="shared" si="302"/>
        <v>20422.75</v>
      </c>
      <c r="AA682" s="40">
        <f>VLOOKUP(A682,kurspris!$A$1:$Q$913,17,FALSE)</f>
        <v>3600</v>
      </c>
      <c r="AB682" s="40">
        <f t="shared" si="303"/>
        <v>1499.9999999999998</v>
      </c>
      <c r="AC682" s="40">
        <f t="shared" si="304"/>
        <v>21922.75</v>
      </c>
      <c r="AD682" s="31">
        <f>VLOOKUP($A682,kurspris!$A$1:$Q$950,3,FALSE)</f>
        <v>0</v>
      </c>
      <c r="AE682" s="31">
        <f>VLOOKUP($A682,kurspris!$A$1:$Q$950,4,FALSE)</f>
        <v>0</v>
      </c>
      <c r="AF682" s="31">
        <f>VLOOKUP($A682,kurspris!$A$1:$Q$950,5,FALSE)</f>
        <v>0</v>
      </c>
      <c r="AG682" s="31">
        <f>VLOOKUP($A682,kurspris!$A$1:$Q$950,6,FALSE)</f>
        <v>0</v>
      </c>
      <c r="AH682" s="31">
        <f>VLOOKUP($A682,kurspris!$A$1:$Q$950,7,FALSE)</f>
        <v>0</v>
      </c>
      <c r="AI682" s="31">
        <f>VLOOKUP($A682,kurspris!$A$1:$Q$950,8,FALSE)</f>
        <v>0</v>
      </c>
      <c r="AJ682" s="31">
        <f>VLOOKUP($A682,kurspris!$A$1:$Q$950,9,FALSE)</f>
        <v>0</v>
      </c>
      <c r="AK682" s="31">
        <f>VLOOKUP($A682,kurspris!$A$1:$Q$950,10,FALSE)</f>
        <v>0</v>
      </c>
      <c r="AL682" s="31">
        <f>VLOOKUP($A682,kurspris!$A$1:$Q$950,11,FALSE)</f>
        <v>1</v>
      </c>
      <c r="AM682" s="31">
        <f>VLOOKUP($A682,kurspris!$A$1:$Q$950,12,FALSE)</f>
        <v>0</v>
      </c>
      <c r="AN682" s="31">
        <f>VLOOKUP($A682,kurspris!$A$1:$Q$950,13,FALSE)</f>
        <v>0</v>
      </c>
      <c r="AO682" s="31">
        <f>VLOOKUP($A682,kurspris!$A$1:$Q$950,14,FALSE)</f>
        <v>0</v>
      </c>
      <c r="AP682" s="57" t="s">
        <v>2505</v>
      </c>
      <c r="AQ682"/>
      <c r="AR682" s="31">
        <f t="shared" si="305"/>
        <v>0</v>
      </c>
      <c r="AS682" s="219">
        <f t="shared" si="306"/>
        <v>0</v>
      </c>
      <c r="AT682" s="31">
        <f t="shared" si="307"/>
        <v>0</v>
      </c>
      <c r="AU682" s="219">
        <f t="shared" si="308"/>
        <v>0</v>
      </c>
      <c r="AV682" s="31">
        <f t="shared" si="309"/>
        <v>0</v>
      </c>
      <c r="AW682" s="31">
        <f t="shared" si="310"/>
        <v>0</v>
      </c>
      <c r="AX682" s="31">
        <f t="shared" si="311"/>
        <v>0</v>
      </c>
      <c r="AY682" s="219">
        <f t="shared" si="312"/>
        <v>0</v>
      </c>
      <c r="AZ682" s="196">
        <f t="shared" si="313"/>
        <v>0</v>
      </c>
      <c r="BA682" s="219">
        <f t="shared" si="314"/>
        <v>0</v>
      </c>
      <c r="BB682" s="31">
        <f t="shared" si="315"/>
        <v>0</v>
      </c>
      <c r="BC682" s="219">
        <f t="shared" si="316"/>
        <v>0</v>
      </c>
      <c r="BD682" s="31">
        <f t="shared" si="317"/>
        <v>0</v>
      </c>
      <c r="BE682" s="219">
        <f t="shared" si="318"/>
        <v>0</v>
      </c>
      <c r="BF682" s="31">
        <f t="shared" si="319"/>
        <v>0</v>
      </c>
      <c r="BG682" s="219">
        <f t="shared" si="320"/>
        <v>0</v>
      </c>
      <c r="BH682" s="31">
        <f t="shared" si="321"/>
        <v>0.41666666666666663</v>
      </c>
      <c r="BI682" s="219">
        <f t="shared" si="322"/>
        <v>0.35416666666666663</v>
      </c>
      <c r="BJ682" s="31">
        <f t="shared" si="323"/>
        <v>0</v>
      </c>
      <c r="BK682" s="219">
        <f t="shared" si="324"/>
        <v>0</v>
      </c>
      <c r="BL682" s="31">
        <f t="shared" si="325"/>
        <v>0</v>
      </c>
      <c r="BM682" s="219">
        <f t="shared" si="326"/>
        <v>0</v>
      </c>
      <c r="BN682" s="31">
        <f t="shared" si="327"/>
        <v>0</v>
      </c>
      <c r="BO682" s="219">
        <f t="shared" si="328"/>
        <v>0</v>
      </c>
    </row>
    <row r="683" spans="1:67" x14ac:dyDescent="0.25">
      <c r="A683" s="31" t="s">
        <v>1684</v>
      </c>
      <c r="B683" s="176" t="str">
        <f>VLOOKUP(A683,kurspris!$A$1:$B$992,2,FALSE)</f>
        <v>Elever i behov av extra anpassningar och särskilt stöd ur ett fritidshemsperspektiv</v>
      </c>
      <c r="D683" s="60" t="s">
        <v>484</v>
      </c>
      <c r="E683" s="576" t="s">
        <v>2225</v>
      </c>
      <c r="F683" s="31" t="s">
        <v>2273</v>
      </c>
      <c r="G683" t="s">
        <v>2438</v>
      </c>
      <c r="H683" t="s">
        <v>2335</v>
      </c>
      <c r="I683" s="31" t="s">
        <v>2276</v>
      </c>
      <c r="L683" s="38">
        <v>1</v>
      </c>
      <c r="M683">
        <v>7.5</v>
      </c>
      <c r="P683" s="31">
        <v>2</v>
      </c>
      <c r="Q683" s="196">
        <f>(M683/60)*P683</f>
        <v>0.25</v>
      </c>
      <c r="R683" s="38">
        <v>0.85</v>
      </c>
      <c r="S683" s="280">
        <f t="shared" si="301"/>
        <v>0.21249999999999999</v>
      </c>
      <c r="T683" s="31">
        <f>VLOOKUP(A683,'Ansvar kurs'!$A$1:$C$1123,2,FALSE)</f>
        <v>2193</v>
      </c>
      <c r="U683" s="31" t="str">
        <f>VLOOKUP(T683,Orgenheter!$A$1:$C$166,2,FALSE)</f>
        <v xml:space="preserve">TUV </v>
      </c>
      <c r="V683" s="31" t="str">
        <f>VLOOKUP(T683,Orgenheter!$A$1:$C$166,3,FALSE)</f>
        <v>Sam</v>
      </c>
      <c r="W683" s="35" t="str">
        <f>VLOOKUP(D683,Program!$A$1:$B$36,2,FALSE)</f>
        <v>Grundlärarprogrammet - fritidshem</v>
      </c>
      <c r="X683" s="40">
        <f>VLOOKUP(A683,kurspris!$A$1:$Q$913,15,FALSE)</f>
        <v>20766</v>
      </c>
      <c r="Y683" s="40">
        <f>VLOOKUP(A683,kurspris!$A$1:$Q$913,16,FALSE)</f>
        <v>17442</v>
      </c>
      <c r="Z683" s="40">
        <f t="shared" si="302"/>
        <v>8897.9249999999993</v>
      </c>
      <c r="AA683" s="40">
        <f>VLOOKUP(A683,kurspris!$A$1:$Q$913,17,FALSE)</f>
        <v>6000</v>
      </c>
      <c r="AB683" s="40">
        <f t="shared" si="303"/>
        <v>1500</v>
      </c>
      <c r="AC683" s="40">
        <f t="shared" si="304"/>
        <v>10397.924999999999</v>
      </c>
      <c r="AD683" s="31">
        <f>VLOOKUP($A683,kurspris!$A$1:$Q$950,3,FALSE)</f>
        <v>0</v>
      </c>
      <c r="AE683" s="31">
        <f>VLOOKUP($A683,kurspris!$A$1:$Q$950,4,FALSE)</f>
        <v>0</v>
      </c>
      <c r="AF683" s="31">
        <f>VLOOKUP($A683,kurspris!$A$1:$Q$950,5,FALSE)</f>
        <v>0</v>
      </c>
      <c r="AG683" s="31">
        <f>VLOOKUP($A683,kurspris!$A$1:$Q$950,6,FALSE)</f>
        <v>0</v>
      </c>
      <c r="AH683" s="31">
        <f>VLOOKUP($A683,kurspris!$A$1:$Q$950,7,FALSE)</f>
        <v>0</v>
      </c>
      <c r="AI683" s="31">
        <f>VLOOKUP($A683,kurspris!$A$1:$Q$950,8,FALSE)</f>
        <v>0</v>
      </c>
      <c r="AJ683" s="31">
        <f>VLOOKUP($A683,kurspris!$A$1:$Q$950,9,FALSE)</f>
        <v>1</v>
      </c>
      <c r="AK683" s="31">
        <f>VLOOKUP($A683,kurspris!$A$1:$Q$950,10,FALSE)</f>
        <v>0</v>
      </c>
      <c r="AL683" s="31">
        <f>VLOOKUP($A683,kurspris!$A$1:$Q$950,11,FALSE)</f>
        <v>0</v>
      </c>
      <c r="AM683" s="31">
        <f>VLOOKUP($A683,kurspris!$A$1:$Q$950,12,FALSE)</f>
        <v>0</v>
      </c>
      <c r="AN683" s="31">
        <f>VLOOKUP($A683,kurspris!$A$1:$Q$950,13,FALSE)</f>
        <v>0</v>
      </c>
      <c r="AO683" s="31">
        <f>VLOOKUP($A683,kurspris!$A$1:$Q$950,14,FALSE)</f>
        <v>0</v>
      </c>
      <c r="AP683" s="57" t="s">
        <v>2505</v>
      </c>
      <c r="AQ683"/>
      <c r="AR683" s="31">
        <f t="shared" si="305"/>
        <v>0</v>
      </c>
      <c r="AS683" s="219">
        <f t="shared" si="306"/>
        <v>0</v>
      </c>
      <c r="AT683" s="31">
        <f t="shared" si="307"/>
        <v>0</v>
      </c>
      <c r="AU683" s="219">
        <f t="shared" si="308"/>
        <v>0</v>
      </c>
      <c r="AV683" s="31">
        <f t="shared" si="309"/>
        <v>0</v>
      </c>
      <c r="AW683" s="31">
        <f t="shared" si="310"/>
        <v>0</v>
      </c>
      <c r="AX683" s="31">
        <f t="shared" si="311"/>
        <v>0</v>
      </c>
      <c r="AY683" s="219">
        <f t="shared" si="312"/>
        <v>0</v>
      </c>
      <c r="AZ683" s="196">
        <f t="shared" si="313"/>
        <v>0</v>
      </c>
      <c r="BA683" s="219">
        <f t="shared" si="314"/>
        <v>0</v>
      </c>
      <c r="BB683" s="31">
        <f t="shared" si="315"/>
        <v>0</v>
      </c>
      <c r="BC683" s="219">
        <f t="shared" si="316"/>
        <v>0</v>
      </c>
      <c r="BD683" s="31">
        <f t="shared" si="317"/>
        <v>0.25</v>
      </c>
      <c r="BE683" s="219">
        <f t="shared" si="318"/>
        <v>0.21249999999999999</v>
      </c>
      <c r="BF683" s="31">
        <f t="shared" si="319"/>
        <v>0</v>
      </c>
      <c r="BG683" s="219">
        <f t="shared" si="320"/>
        <v>0</v>
      </c>
      <c r="BH683" s="31">
        <f t="shared" si="321"/>
        <v>0</v>
      </c>
      <c r="BI683" s="219">
        <f t="shared" si="322"/>
        <v>0</v>
      </c>
      <c r="BJ683" s="31">
        <f t="shared" si="323"/>
        <v>0</v>
      </c>
      <c r="BK683" s="219">
        <f t="shared" si="324"/>
        <v>0</v>
      </c>
      <c r="BL683" s="31">
        <f t="shared" si="325"/>
        <v>0</v>
      </c>
      <c r="BM683" s="219">
        <f t="shared" si="326"/>
        <v>0</v>
      </c>
      <c r="BN683" s="31">
        <f t="shared" si="327"/>
        <v>0</v>
      </c>
      <c r="BO683" s="219">
        <f t="shared" si="328"/>
        <v>0</v>
      </c>
    </row>
    <row r="684" spans="1:67" x14ac:dyDescent="0.25">
      <c r="A684" s="31" t="s">
        <v>1684</v>
      </c>
      <c r="B684" s="176" t="str">
        <f>VLOOKUP(A684,kurspris!$A$1:$B$992,2,FALSE)</f>
        <v>Elever i behov av extra anpassningar och särskilt stöd ur ett fritidshemsperspektiv</v>
      </c>
      <c r="D684" s="60" t="s">
        <v>484</v>
      </c>
      <c r="E684" s="576" t="s">
        <v>2434</v>
      </c>
      <c r="F684" s="31" t="s">
        <v>2273</v>
      </c>
      <c r="G684" t="s">
        <v>2438</v>
      </c>
      <c r="H684" t="s">
        <v>2335</v>
      </c>
      <c r="I684" s="31" t="s">
        <v>2276</v>
      </c>
      <c r="L684" s="38">
        <v>1</v>
      </c>
      <c r="M684">
        <v>7.5</v>
      </c>
      <c r="P684" s="31">
        <v>15</v>
      </c>
      <c r="Q684" s="196">
        <f>(M684/60)*P684</f>
        <v>1.875</v>
      </c>
      <c r="R684" s="38">
        <v>0.85</v>
      </c>
      <c r="S684" s="280">
        <f t="shared" si="301"/>
        <v>1.59375</v>
      </c>
      <c r="T684" s="31">
        <f>VLOOKUP(A684,'Ansvar kurs'!$A$1:$C$1123,2,FALSE)</f>
        <v>2193</v>
      </c>
      <c r="U684" s="31" t="str">
        <f>VLOOKUP(T684,Orgenheter!$A$1:$C$166,2,FALSE)</f>
        <v xml:space="preserve">TUV </v>
      </c>
      <c r="V684" s="31" t="str">
        <f>VLOOKUP(T684,Orgenheter!$A$1:$C$166,3,FALSE)</f>
        <v>Sam</v>
      </c>
      <c r="W684" s="35" t="str">
        <f>VLOOKUP(D684,Program!$A$1:$B$36,2,FALSE)</f>
        <v>Grundlärarprogrammet - fritidshem</v>
      </c>
      <c r="X684" s="40">
        <f>VLOOKUP(A684,kurspris!$A$1:$Q$913,15,FALSE)</f>
        <v>20766</v>
      </c>
      <c r="Y684" s="40">
        <f>VLOOKUP(A684,kurspris!$A$1:$Q$913,16,FALSE)</f>
        <v>17442</v>
      </c>
      <c r="Z684" s="40">
        <f t="shared" si="302"/>
        <v>66734.4375</v>
      </c>
      <c r="AA684" s="40">
        <f>VLOOKUP(A684,kurspris!$A$1:$Q$913,17,FALSE)</f>
        <v>6000</v>
      </c>
      <c r="AB684" s="40">
        <f t="shared" si="303"/>
        <v>11250</v>
      </c>
      <c r="AC684" s="40">
        <f t="shared" si="304"/>
        <v>77984.4375</v>
      </c>
      <c r="AD684" s="31">
        <f>VLOOKUP($A684,kurspris!$A$1:$Q$950,3,FALSE)</f>
        <v>0</v>
      </c>
      <c r="AE684" s="31">
        <f>VLOOKUP($A684,kurspris!$A$1:$Q$950,4,FALSE)</f>
        <v>0</v>
      </c>
      <c r="AF684" s="31">
        <f>VLOOKUP($A684,kurspris!$A$1:$Q$950,5,FALSE)</f>
        <v>0</v>
      </c>
      <c r="AG684" s="31">
        <f>VLOOKUP($A684,kurspris!$A$1:$Q$950,6,FALSE)</f>
        <v>0</v>
      </c>
      <c r="AH684" s="31">
        <f>VLOOKUP($A684,kurspris!$A$1:$Q$950,7,FALSE)</f>
        <v>0</v>
      </c>
      <c r="AI684" s="31">
        <f>VLOOKUP($A684,kurspris!$A$1:$Q$950,8,FALSE)</f>
        <v>0</v>
      </c>
      <c r="AJ684" s="31">
        <f>VLOOKUP($A684,kurspris!$A$1:$Q$950,9,FALSE)</f>
        <v>1</v>
      </c>
      <c r="AK684" s="31">
        <f>VLOOKUP($A684,kurspris!$A$1:$Q$950,10,FALSE)</f>
        <v>0</v>
      </c>
      <c r="AL684" s="31">
        <f>VLOOKUP($A684,kurspris!$A$1:$Q$950,11,FALSE)</f>
        <v>0</v>
      </c>
      <c r="AM684" s="31">
        <f>VLOOKUP($A684,kurspris!$A$1:$Q$950,12,FALSE)</f>
        <v>0</v>
      </c>
      <c r="AN684" s="31">
        <f>VLOOKUP($A684,kurspris!$A$1:$Q$950,13,FALSE)</f>
        <v>0</v>
      </c>
      <c r="AO684" s="31">
        <f>VLOOKUP($A684,kurspris!$A$1:$Q$950,14,FALSE)</f>
        <v>0</v>
      </c>
      <c r="AP684" s="57" t="s">
        <v>2505</v>
      </c>
      <c r="AQ684"/>
      <c r="AR684" s="31">
        <f t="shared" si="305"/>
        <v>0</v>
      </c>
      <c r="AS684" s="219">
        <f t="shared" si="306"/>
        <v>0</v>
      </c>
      <c r="AT684" s="31">
        <f t="shared" si="307"/>
        <v>0</v>
      </c>
      <c r="AU684" s="219">
        <f t="shared" si="308"/>
        <v>0</v>
      </c>
      <c r="AV684" s="31">
        <f t="shared" si="309"/>
        <v>0</v>
      </c>
      <c r="AW684" s="31">
        <f t="shared" si="310"/>
        <v>0</v>
      </c>
      <c r="AX684" s="31">
        <f t="shared" si="311"/>
        <v>0</v>
      </c>
      <c r="AY684" s="219">
        <f t="shared" si="312"/>
        <v>0</v>
      </c>
      <c r="AZ684" s="196">
        <f t="shared" si="313"/>
        <v>0</v>
      </c>
      <c r="BA684" s="219">
        <f t="shared" si="314"/>
        <v>0</v>
      </c>
      <c r="BB684" s="31">
        <f t="shared" si="315"/>
        <v>0</v>
      </c>
      <c r="BC684" s="219">
        <f t="shared" si="316"/>
        <v>0</v>
      </c>
      <c r="BD684" s="31">
        <f t="shared" si="317"/>
        <v>1.875</v>
      </c>
      <c r="BE684" s="219">
        <f t="shared" si="318"/>
        <v>1.59375</v>
      </c>
      <c r="BF684" s="31">
        <f t="shared" si="319"/>
        <v>0</v>
      </c>
      <c r="BG684" s="219">
        <f t="shared" si="320"/>
        <v>0</v>
      </c>
      <c r="BH684" s="31">
        <f t="shared" si="321"/>
        <v>0</v>
      </c>
      <c r="BI684" s="219">
        <f t="shared" si="322"/>
        <v>0</v>
      </c>
      <c r="BJ684" s="31">
        <f t="shared" si="323"/>
        <v>0</v>
      </c>
      <c r="BK684" s="219">
        <f t="shared" si="324"/>
        <v>0</v>
      </c>
      <c r="BL684" s="31">
        <f t="shared" si="325"/>
        <v>0</v>
      </c>
      <c r="BM684" s="219">
        <f t="shared" si="326"/>
        <v>0</v>
      </c>
      <c r="BN684" s="31">
        <f t="shared" si="327"/>
        <v>0</v>
      </c>
      <c r="BO684" s="219">
        <f t="shared" si="328"/>
        <v>0</v>
      </c>
    </row>
    <row r="685" spans="1:67" x14ac:dyDescent="0.25">
      <c r="A685" s="31" t="s">
        <v>1705</v>
      </c>
      <c r="B685" s="176" t="str">
        <f>VLOOKUP(A685,kurspris!$A$1:$B$992,2,FALSE)</f>
        <v>Att undervisa i förskolan (VFU)</v>
      </c>
      <c r="C685" s="31">
        <v>68708</v>
      </c>
      <c r="D685" s="31" t="s">
        <v>483</v>
      </c>
      <c r="F685" s="57" t="s">
        <v>2274</v>
      </c>
      <c r="H685" s="31" t="s">
        <v>2335</v>
      </c>
      <c r="I685" s="31" t="s">
        <v>2399</v>
      </c>
      <c r="L685" s="38"/>
      <c r="M685">
        <v>10</v>
      </c>
      <c r="P685" s="31">
        <v>35</v>
      </c>
      <c r="Q685" s="539">
        <v>5.8330000000000002</v>
      </c>
      <c r="R685" s="38">
        <v>0.85</v>
      </c>
      <c r="S685" s="280">
        <f t="shared" si="301"/>
        <v>4.9580500000000001</v>
      </c>
      <c r="T685" s="31">
        <f>VLOOKUP(A685,'Ansvar kurs'!$A$1:$C$1123,2,FALSE)</f>
        <v>2193</v>
      </c>
      <c r="U685" s="31" t="str">
        <f>VLOOKUP(T685,Orgenheter!$A$1:$C$166,2,FALSE)</f>
        <v xml:space="preserve">TUV </v>
      </c>
      <c r="V685" s="31" t="str">
        <f>VLOOKUP(T685,Orgenheter!$A$1:$C$166,3,FALSE)</f>
        <v>Sam</v>
      </c>
      <c r="W685" s="35" t="str">
        <f>VLOOKUP(D685,Program!$A$1:$B$36,2,FALSE)</f>
        <v>Förskollärarprogrammet</v>
      </c>
      <c r="X685" s="40">
        <f>VLOOKUP(A685,kurspris!$A$1:$Q$913,15,FALSE)</f>
        <v>25235</v>
      </c>
      <c r="Y685" s="40">
        <f>VLOOKUP(A685,kurspris!$A$1:$Q$913,16,FALSE)</f>
        <v>27976</v>
      </c>
      <c r="Z685" s="40">
        <f t="shared" si="302"/>
        <v>285902.1618</v>
      </c>
      <c r="AA685" s="40">
        <f>VLOOKUP(A685,kurspris!$A$1:$Q$913,17,FALSE)</f>
        <v>3600</v>
      </c>
      <c r="AB685" s="40">
        <f t="shared" si="303"/>
        <v>20998.799999999999</v>
      </c>
      <c r="AC685" s="40">
        <f t="shared" si="304"/>
        <v>306900.96179999999</v>
      </c>
      <c r="AD685" s="31">
        <f>VLOOKUP($A685,kurspris!$A$1:$Q$950,3,FALSE)</f>
        <v>0</v>
      </c>
      <c r="AE685" s="31">
        <f>VLOOKUP($A685,kurspris!$A$1:$Q$950,4,FALSE)</f>
        <v>0</v>
      </c>
      <c r="AF685" s="31">
        <f>VLOOKUP($A685,kurspris!$A$1:$Q$950,5,FALSE)</f>
        <v>0</v>
      </c>
      <c r="AG685" s="31">
        <f>VLOOKUP($A685,kurspris!$A$1:$Q$950,6,FALSE)</f>
        <v>0</v>
      </c>
      <c r="AH685" s="31">
        <f>VLOOKUP($A685,kurspris!$A$1:$Q$950,7,FALSE)</f>
        <v>0</v>
      </c>
      <c r="AI685" s="31">
        <f>VLOOKUP($A685,kurspris!$A$1:$Q$950,8,FALSE)</f>
        <v>0</v>
      </c>
      <c r="AJ685" s="31">
        <f>VLOOKUP($A685,kurspris!$A$1:$Q$950,9,FALSE)</f>
        <v>0</v>
      </c>
      <c r="AK685" s="31">
        <f>VLOOKUP($A685,kurspris!$A$1:$Q$950,10,FALSE)</f>
        <v>0</v>
      </c>
      <c r="AL685" s="31">
        <f>VLOOKUP($A685,kurspris!$A$1:$Q$950,11,FALSE)</f>
        <v>1</v>
      </c>
      <c r="AM685" s="31">
        <f>VLOOKUP($A685,kurspris!$A$1:$Q$950,12,FALSE)</f>
        <v>0</v>
      </c>
      <c r="AN685" s="31">
        <f>VLOOKUP($A685,kurspris!$A$1:$Q$950,13,FALSE)</f>
        <v>0</v>
      </c>
      <c r="AO685" s="31">
        <f>VLOOKUP($A685,kurspris!$A$1:$Q$950,14,FALSE)</f>
        <v>0</v>
      </c>
      <c r="AP685" s="57" t="s">
        <v>2402</v>
      </c>
      <c r="AQ685" s="37"/>
      <c r="AR685" s="31">
        <f t="shared" si="305"/>
        <v>0</v>
      </c>
      <c r="AS685" s="219">
        <f t="shared" si="306"/>
        <v>0</v>
      </c>
      <c r="AT685" s="31">
        <f t="shared" si="307"/>
        <v>0</v>
      </c>
      <c r="AU685" s="219">
        <f t="shared" si="308"/>
        <v>0</v>
      </c>
      <c r="AV685" s="31">
        <f t="shared" si="309"/>
        <v>0</v>
      </c>
      <c r="AW685" s="31">
        <f t="shared" si="310"/>
        <v>0</v>
      </c>
      <c r="AX685" s="31">
        <f t="shared" si="311"/>
        <v>0</v>
      </c>
      <c r="AY685" s="219">
        <f t="shared" si="312"/>
        <v>0</v>
      </c>
      <c r="AZ685" s="196">
        <f t="shared" si="313"/>
        <v>0</v>
      </c>
      <c r="BA685" s="219">
        <f t="shared" si="314"/>
        <v>0</v>
      </c>
      <c r="BB685" s="31">
        <f t="shared" si="315"/>
        <v>0</v>
      </c>
      <c r="BC685" s="219">
        <f t="shared" si="316"/>
        <v>0</v>
      </c>
      <c r="BD685" s="31">
        <f t="shared" si="317"/>
        <v>0</v>
      </c>
      <c r="BE685" s="219">
        <f t="shared" si="318"/>
        <v>0</v>
      </c>
      <c r="BF685" s="31">
        <f t="shared" si="319"/>
        <v>0</v>
      </c>
      <c r="BG685" s="219">
        <f t="shared" si="320"/>
        <v>0</v>
      </c>
      <c r="BH685" s="31">
        <f t="shared" si="321"/>
        <v>5.8330000000000002</v>
      </c>
      <c r="BI685" s="219">
        <f t="shared" si="322"/>
        <v>4.9580500000000001</v>
      </c>
      <c r="BJ685" s="31">
        <f t="shared" si="323"/>
        <v>0</v>
      </c>
      <c r="BK685" s="219">
        <f t="shared" si="324"/>
        <v>0</v>
      </c>
      <c r="BL685" s="31">
        <f t="shared" si="325"/>
        <v>0</v>
      </c>
      <c r="BM685" s="219">
        <f t="shared" si="326"/>
        <v>0</v>
      </c>
      <c r="BN685" s="31">
        <f t="shared" si="327"/>
        <v>0</v>
      </c>
      <c r="BO685" s="219">
        <f t="shared" si="328"/>
        <v>0</v>
      </c>
    </row>
    <row r="686" spans="1:67" x14ac:dyDescent="0.25">
      <c r="A686" s="31" t="s">
        <v>1686</v>
      </c>
      <c r="B686" s="176" t="str">
        <f>VLOOKUP(A686,kurspris!$A$1:$B$992,2,FALSE)</f>
        <v>Förskolans uppdrag och arbetssätt 2</v>
      </c>
      <c r="D686" s="60" t="s">
        <v>483</v>
      </c>
      <c r="E686" s="576" t="s">
        <v>2227</v>
      </c>
      <c r="F686" s="31" t="s">
        <v>2273</v>
      </c>
      <c r="G686" t="s">
        <v>2447</v>
      </c>
      <c r="H686" t="s">
        <v>2335</v>
      </c>
      <c r="I686" s="31" t="s">
        <v>2276</v>
      </c>
      <c r="L686" s="38">
        <v>1</v>
      </c>
      <c r="M686">
        <v>10</v>
      </c>
      <c r="P686" s="31">
        <v>1</v>
      </c>
      <c r="Q686" s="196">
        <f>(M686/60)*P686</f>
        <v>0.16666666666666666</v>
      </c>
      <c r="R686" s="38">
        <v>0.85</v>
      </c>
      <c r="S686" s="280">
        <f t="shared" si="301"/>
        <v>0.14166666666666666</v>
      </c>
      <c r="T686" s="31">
        <f>VLOOKUP(A686,'Ansvar kurs'!$A$1:$C$1123,2,FALSE)</f>
        <v>2193</v>
      </c>
      <c r="U686" s="31" t="str">
        <f>VLOOKUP(T686,Orgenheter!$A$1:$C$166,2,FALSE)</f>
        <v xml:space="preserve">TUV </v>
      </c>
      <c r="V686" s="31" t="str">
        <f>VLOOKUP(T686,Orgenheter!$A$1:$C$166,3,FALSE)</f>
        <v>Sam</v>
      </c>
      <c r="W686" s="35" t="str">
        <f>VLOOKUP(D686,Program!$A$1:$B$36,2,FALSE)</f>
        <v>Förskollärarprogrammet</v>
      </c>
      <c r="X686" s="40">
        <f>VLOOKUP(A686,kurspris!$A$1:$Q$913,15,FALSE)</f>
        <v>20766</v>
      </c>
      <c r="Y686" s="40">
        <f>VLOOKUP(A686,kurspris!$A$1:$Q$913,16,FALSE)</f>
        <v>17442</v>
      </c>
      <c r="Z686" s="40">
        <f t="shared" si="302"/>
        <v>5931.95</v>
      </c>
      <c r="AA686" s="40">
        <f>VLOOKUP(A686,kurspris!$A$1:$Q$913,17,FALSE)</f>
        <v>6000</v>
      </c>
      <c r="AB686" s="40">
        <f t="shared" si="303"/>
        <v>1000</v>
      </c>
      <c r="AC686" s="40">
        <f t="shared" si="304"/>
        <v>6931.95</v>
      </c>
      <c r="AD686" s="31">
        <f>VLOOKUP($A686,kurspris!$A$1:$Q$950,3,FALSE)</f>
        <v>0</v>
      </c>
      <c r="AE686" s="31">
        <f>VLOOKUP($A686,kurspris!$A$1:$Q$950,4,FALSE)</f>
        <v>0</v>
      </c>
      <c r="AF686" s="31">
        <f>VLOOKUP($A686,kurspris!$A$1:$Q$950,5,FALSE)</f>
        <v>0</v>
      </c>
      <c r="AG686" s="31">
        <f>VLOOKUP($A686,kurspris!$A$1:$Q$950,6,FALSE)</f>
        <v>0</v>
      </c>
      <c r="AH686" s="31">
        <f>VLOOKUP($A686,kurspris!$A$1:$Q$950,7,FALSE)</f>
        <v>0</v>
      </c>
      <c r="AI686" s="31">
        <f>VLOOKUP($A686,kurspris!$A$1:$Q$950,8,FALSE)</f>
        <v>0</v>
      </c>
      <c r="AJ686" s="31">
        <f>VLOOKUP($A686,kurspris!$A$1:$Q$950,9,FALSE)</f>
        <v>1</v>
      </c>
      <c r="AK686" s="31">
        <f>VLOOKUP($A686,kurspris!$A$1:$Q$950,10,FALSE)</f>
        <v>0</v>
      </c>
      <c r="AL686" s="31">
        <f>VLOOKUP($A686,kurspris!$A$1:$Q$950,11,FALSE)</f>
        <v>0</v>
      </c>
      <c r="AM686" s="31">
        <f>VLOOKUP($A686,kurspris!$A$1:$Q$950,12,FALSE)</f>
        <v>0</v>
      </c>
      <c r="AN686" s="31">
        <f>VLOOKUP($A686,kurspris!$A$1:$Q$950,13,FALSE)</f>
        <v>0</v>
      </c>
      <c r="AO686" s="31">
        <f>VLOOKUP($A686,kurspris!$A$1:$Q$950,14,FALSE)</f>
        <v>0</v>
      </c>
      <c r="AP686" s="57" t="s">
        <v>2506</v>
      </c>
      <c r="AQ686"/>
      <c r="AR686" s="31">
        <f t="shared" si="305"/>
        <v>0</v>
      </c>
      <c r="AS686" s="219">
        <f t="shared" si="306"/>
        <v>0</v>
      </c>
      <c r="AT686" s="31">
        <f t="shared" si="307"/>
        <v>0</v>
      </c>
      <c r="AU686" s="219">
        <f t="shared" si="308"/>
        <v>0</v>
      </c>
      <c r="AV686" s="31">
        <f t="shared" si="309"/>
        <v>0</v>
      </c>
      <c r="AW686" s="31">
        <f t="shared" si="310"/>
        <v>0</v>
      </c>
      <c r="AX686" s="31">
        <f t="shared" si="311"/>
        <v>0</v>
      </c>
      <c r="AY686" s="219">
        <f t="shared" si="312"/>
        <v>0</v>
      </c>
      <c r="AZ686" s="196">
        <f t="shared" si="313"/>
        <v>0</v>
      </c>
      <c r="BA686" s="219">
        <f t="shared" si="314"/>
        <v>0</v>
      </c>
      <c r="BB686" s="31">
        <f t="shared" si="315"/>
        <v>0</v>
      </c>
      <c r="BC686" s="219">
        <f t="shared" si="316"/>
        <v>0</v>
      </c>
      <c r="BD686" s="31">
        <f t="shared" si="317"/>
        <v>0.16666666666666666</v>
      </c>
      <c r="BE686" s="219">
        <f t="shared" si="318"/>
        <v>0.14166666666666666</v>
      </c>
      <c r="BF686" s="31">
        <f t="shared" si="319"/>
        <v>0</v>
      </c>
      <c r="BG686" s="219">
        <f t="shared" si="320"/>
        <v>0</v>
      </c>
      <c r="BH686" s="31">
        <f t="shared" si="321"/>
        <v>0</v>
      </c>
      <c r="BI686" s="219">
        <f t="shared" si="322"/>
        <v>0</v>
      </c>
      <c r="BJ686" s="31">
        <f t="shared" si="323"/>
        <v>0</v>
      </c>
      <c r="BK686" s="219">
        <f t="shared" si="324"/>
        <v>0</v>
      </c>
      <c r="BL686" s="31">
        <f t="shared" si="325"/>
        <v>0</v>
      </c>
      <c r="BM686" s="219">
        <f t="shared" si="326"/>
        <v>0</v>
      </c>
      <c r="BN686" s="31">
        <f t="shared" si="327"/>
        <v>0</v>
      </c>
      <c r="BO686" s="219">
        <f t="shared" si="328"/>
        <v>0</v>
      </c>
    </row>
    <row r="687" spans="1:67" x14ac:dyDescent="0.25">
      <c r="A687" s="31" t="s">
        <v>1686</v>
      </c>
      <c r="B687" s="176" t="str">
        <f>VLOOKUP(A687,kurspris!$A$1:$B$992,2,FALSE)</f>
        <v>Förskolans uppdrag och arbetssätt 2</v>
      </c>
      <c r="D687" s="60" t="s">
        <v>483</v>
      </c>
      <c r="E687" s="576" t="s">
        <v>2434</v>
      </c>
      <c r="F687" s="60" t="s">
        <v>2273</v>
      </c>
      <c r="G687" t="s">
        <v>2447</v>
      </c>
      <c r="H687" t="s">
        <v>2335</v>
      </c>
      <c r="I687" s="31" t="s">
        <v>2276</v>
      </c>
      <c r="L687" s="38">
        <v>1</v>
      </c>
      <c r="M687" s="244">
        <v>10</v>
      </c>
      <c r="P687" s="31">
        <v>1</v>
      </c>
      <c r="Q687" s="196">
        <f>(M687/60)*P687</f>
        <v>0.16666666666666666</v>
      </c>
      <c r="R687" s="38">
        <v>0.85</v>
      </c>
      <c r="S687" s="280">
        <f t="shared" si="301"/>
        <v>0.14166666666666666</v>
      </c>
      <c r="T687" s="31">
        <f>VLOOKUP(A687,'Ansvar kurs'!$A$1:$C$1123,2,FALSE)</f>
        <v>2193</v>
      </c>
      <c r="U687" s="31" t="str">
        <f>VLOOKUP(T687,Orgenheter!$A$1:$C$166,2,FALSE)</f>
        <v xml:space="preserve">TUV </v>
      </c>
      <c r="V687" s="31" t="str">
        <f>VLOOKUP(T687,Orgenheter!$A$1:$C$166,3,FALSE)</f>
        <v>Sam</v>
      </c>
      <c r="W687" s="35" t="str">
        <f>VLOOKUP(D687,Program!$A$1:$B$36,2,FALSE)</f>
        <v>Förskollärarprogrammet</v>
      </c>
      <c r="X687" s="40">
        <f>VLOOKUP(A687,kurspris!$A$1:$Q$913,15,FALSE)</f>
        <v>20766</v>
      </c>
      <c r="Y687" s="40">
        <f>VLOOKUP(A687,kurspris!$A$1:$Q$913,16,FALSE)</f>
        <v>17442</v>
      </c>
      <c r="Z687" s="40">
        <f t="shared" si="302"/>
        <v>5931.95</v>
      </c>
      <c r="AA687" s="40">
        <f>VLOOKUP(A687,kurspris!$A$1:$Q$913,17,FALSE)</f>
        <v>6000</v>
      </c>
      <c r="AB687" s="40">
        <f t="shared" si="303"/>
        <v>1000</v>
      </c>
      <c r="AC687" s="40">
        <f t="shared" si="304"/>
        <v>6931.95</v>
      </c>
      <c r="AD687" s="31">
        <f>VLOOKUP($A687,kurspris!$A$1:$Q$950,3,FALSE)</f>
        <v>0</v>
      </c>
      <c r="AE687" s="31">
        <f>VLOOKUP($A687,kurspris!$A$1:$Q$950,4,FALSE)</f>
        <v>0</v>
      </c>
      <c r="AF687" s="31">
        <f>VLOOKUP($A687,kurspris!$A$1:$Q$950,5,FALSE)</f>
        <v>0</v>
      </c>
      <c r="AG687" s="31">
        <f>VLOOKUP($A687,kurspris!$A$1:$Q$950,6,FALSE)</f>
        <v>0</v>
      </c>
      <c r="AH687" s="31">
        <f>VLOOKUP($A687,kurspris!$A$1:$Q$950,7,FALSE)</f>
        <v>0</v>
      </c>
      <c r="AI687" s="31">
        <f>VLOOKUP($A687,kurspris!$A$1:$Q$950,8,FALSE)</f>
        <v>0</v>
      </c>
      <c r="AJ687" s="31">
        <f>VLOOKUP($A687,kurspris!$A$1:$Q$950,9,FALSE)</f>
        <v>1</v>
      </c>
      <c r="AK687" s="31">
        <f>VLOOKUP($A687,kurspris!$A$1:$Q$950,10,FALSE)</f>
        <v>0</v>
      </c>
      <c r="AL687" s="31">
        <f>VLOOKUP($A687,kurspris!$A$1:$Q$950,11,FALSE)</f>
        <v>0</v>
      </c>
      <c r="AM687" s="31">
        <f>VLOOKUP($A687,kurspris!$A$1:$Q$950,12,FALSE)</f>
        <v>0</v>
      </c>
      <c r="AN687" s="31">
        <f>VLOOKUP($A687,kurspris!$A$1:$Q$950,13,FALSE)</f>
        <v>0</v>
      </c>
      <c r="AO687" s="31">
        <f>VLOOKUP($A687,kurspris!$A$1:$Q$950,14,FALSE)</f>
        <v>0</v>
      </c>
      <c r="AP687" s="57" t="s">
        <v>2506</v>
      </c>
      <c r="AQ687"/>
      <c r="AR687" s="31">
        <f t="shared" si="305"/>
        <v>0</v>
      </c>
      <c r="AS687" s="219">
        <f t="shared" si="306"/>
        <v>0</v>
      </c>
      <c r="AT687" s="31">
        <f t="shared" si="307"/>
        <v>0</v>
      </c>
      <c r="AU687" s="219">
        <f t="shared" si="308"/>
        <v>0</v>
      </c>
      <c r="AV687" s="31">
        <f t="shared" si="309"/>
        <v>0</v>
      </c>
      <c r="AW687" s="31">
        <f t="shared" si="310"/>
        <v>0</v>
      </c>
      <c r="AX687" s="31">
        <f t="shared" si="311"/>
        <v>0</v>
      </c>
      <c r="AY687" s="219">
        <f t="shared" si="312"/>
        <v>0</v>
      </c>
      <c r="AZ687" s="196">
        <f t="shared" si="313"/>
        <v>0</v>
      </c>
      <c r="BA687" s="219">
        <f t="shared" si="314"/>
        <v>0</v>
      </c>
      <c r="BB687" s="31">
        <f t="shared" si="315"/>
        <v>0</v>
      </c>
      <c r="BC687" s="219">
        <f t="shared" si="316"/>
        <v>0</v>
      </c>
      <c r="BD687" s="31">
        <f t="shared" si="317"/>
        <v>0.16666666666666666</v>
      </c>
      <c r="BE687" s="219">
        <f t="shared" si="318"/>
        <v>0.14166666666666666</v>
      </c>
      <c r="BF687" s="31">
        <f t="shared" si="319"/>
        <v>0</v>
      </c>
      <c r="BG687" s="219">
        <f t="shared" si="320"/>
        <v>0</v>
      </c>
      <c r="BH687" s="31">
        <f t="shared" si="321"/>
        <v>0</v>
      </c>
      <c r="BI687" s="219">
        <f t="shared" si="322"/>
        <v>0</v>
      </c>
      <c r="BJ687" s="31">
        <f t="shared" si="323"/>
        <v>0</v>
      </c>
      <c r="BK687" s="219">
        <f t="shared" si="324"/>
        <v>0</v>
      </c>
      <c r="BL687" s="31">
        <f t="shared" si="325"/>
        <v>0</v>
      </c>
      <c r="BM687" s="219">
        <f t="shared" si="326"/>
        <v>0</v>
      </c>
      <c r="BN687" s="31">
        <f t="shared" si="327"/>
        <v>0</v>
      </c>
      <c r="BO687" s="219">
        <f t="shared" si="328"/>
        <v>0</v>
      </c>
    </row>
    <row r="688" spans="1:67" x14ac:dyDescent="0.25">
      <c r="A688" s="31" t="s">
        <v>1686</v>
      </c>
      <c r="B688" s="176" t="str">
        <f>VLOOKUP(A688,kurspris!$A$1:$B$992,2,FALSE)</f>
        <v>Förskolans uppdrag och arbetssätt 2</v>
      </c>
      <c r="D688" s="60" t="s">
        <v>483</v>
      </c>
      <c r="E688" s="576" t="s">
        <v>2431</v>
      </c>
      <c r="F688" s="31" t="s">
        <v>2273</v>
      </c>
      <c r="G688" t="s">
        <v>2447</v>
      </c>
      <c r="H688" t="s">
        <v>2335</v>
      </c>
      <c r="I688" s="31" t="s">
        <v>2276</v>
      </c>
      <c r="L688" s="38">
        <v>1</v>
      </c>
      <c r="M688">
        <v>10</v>
      </c>
      <c r="P688" s="31">
        <v>1</v>
      </c>
      <c r="Q688" s="196">
        <f>(M688/60)*P688</f>
        <v>0.16666666666666666</v>
      </c>
      <c r="R688" s="38">
        <v>0.85</v>
      </c>
      <c r="S688" s="280">
        <f t="shared" si="301"/>
        <v>0.14166666666666666</v>
      </c>
      <c r="T688" s="31">
        <f>VLOOKUP(A688,'Ansvar kurs'!$A$1:$C$1123,2,FALSE)</f>
        <v>2193</v>
      </c>
      <c r="U688" s="31" t="str">
        <f>VLOOKUP(T688,Orgenheter!$A$1:$C$166,2,FALSE)</f>
        <v xml:space="preserve">TUV </v>
      </c>
      <c r="V688" s="31" t="str">
        <f>VLOOKUP(T688,Orgenheter!$A$1:$C$166,3,FALSE)</f>
        <v>Sam</v>
      </c>
      <c r="W688" s="35" t="str">
        <f>VLOOKUP(D688,Program!$A$1:$B$36,2,FALSE)</f>
        <v>Förskollärarprogrammet</v>
      </c>
      <c r="X688" s="40">
        <f>VLOOKUP(A688,kurspris!$A$1:$Q$913,15,FALSE)</f>
        <v>20766</v>
      </c>
      <c r="Y688" s="40">
        <f>VLOOKUP(A688,kurspris!$A$1:$Q$913,16,FALSE)</f>
        <v>17442</v>
      </c>
      <c r="Z688" s="40">
        <f t="shared" si="302"/>
        <v>5931.95</v>
      </c>
      <c r="AA688" s="40">
        <f>VLOOKUP(A688,kurspris!$A$1:$Q$913,17,FALSE)</f>
        <v>6000</v>
      </c>
      <c r="AB688" s="40">
        <f t="shared" si="303"/>
        <v>1000</v>
      </c>
      <c r="AC688" s="40">
        <f t="shared" si="304"/>
        <v>6931.95</v>
      </c>
      <c r="AD688" s="31">
        <f>VLOOKUP($A688,kurspris!$A$1:$Q$950,3,FALSE)</f>
        <v>0</v>
      </c>
      <c r="AE688" s="31">
        <f>VLOOKUP($A688,kurspris!$A$1:$Q$950,4,FALSE)</f>
        <v>0</v>
      </c>
      <c r="AF688" s="31">
        <f>VLOOKUP($A688,kurspris!$A$1:$Q$950,5,FALSE)</f>
        <v>0</v>
      </c>
      <c r="AG688" s="31">
        <f>VLOOKUP($A688,kurspris!$A$1:$Q$950,6,FALSE)</f>
        <v>0</v>
      </c>
      <c r="AH688" s="31">
        <f>VLOOKUP($A688,kurspris!$A$1:$Q$950,7,FALSE)</f>
        <v>0</v>
      </c>
      <c r="AI688" s="31">
        <f>VLOOKUP($A688,kurspris!$A$1:$Q$950,8,FALSE)</f>
        <v>0</v>
      </c>
      <c r="AJ688" s="31">
        <f>VLOOKUP($A688,kurspris!$A$1:$Q$950,9,FALSE)</f>
        <v>1</v>
      </c>
      <c r="AK688" s="31">
        <f>VLOOKUP($A688,kurspris!$A$1:$Q$950,10,FALSE)</f>
        <v>0</v>
      </c>
      <c r="AL688" s="31">
        <f>VLOOKUP($A688,kurspris!$A$1:$Q$950,11,FALSE)</f>
        <v>0</v>
      </c>
      <c r="AM688" s="31">
        <f>VLOOKUP($A688,kurspris!$A$1:$Q$950,12,FALSE)</f>
        <v>0</v>
      </c>
      <c r="AN688" s="31">
        <f>VLOOKUP($A688,kurspris!$A$1:$Q$950,13,FALSE)</f>
        <v>0</v>
      </c>
      <c r="AO688" s="31">
        <f>VLOOKUP($A688,kurspris!$A$1:$Q$950,14,FALSE)</f>
        <v>0</v>
      </c>
      <c r="AP688" s="57" t="s">
        <v>2506</v>
      </c>
      <c r="AQ688"/>
      <c r="AR688" s="31">
        <f t="shared" si="305"/>
        <v>0</v>
      </c>
      <c r="AS688" s="219">
        <f t="shared" si="306"/>
        <v>0</v>
      </c>
      <c r="AT688" s="31">
        <f t="shared" si="307"/>
        <v>0</v>
      </c>
      <c r="AU688" s="219">
        <f t="shared" si="308"/>
        <v>0</v>
      </c>
      <c r="AV688" s="31">
        <f t="shared" si="309"/>
        <v>0</v>
      </c>
      <c r="AW688" s="31">
        <f t="shared" si="310"/>
        <v>0</v>
      </c>
      <c r="AX688" s="31">
        <f t="shared" si="311"/>
        <v>0</v>
      </c>
      <c r="AY688" s="219">
        <f t="shared" si="312"/>
        <v>0</v>
      </c>
      <c r="AZ688" s="196">
        <f t="shared" si="313"/>
        <v>0</v>
      </c>
      <c r="BA688" s="219">
        <f t="shared" si="314"/>
        <v>0</v>
      </c>
      <c r="BB688" s="31">
        <f t="shared" si="315"/>
        <v>0</v>
      </c>
      <c r="BC688" s="219">
        <f t="shared" si="316"/>
        <v>0</v>
      </c>
      <c r="BD688" s="31">
        <f t="shared" si="317"/>
        <v>0.16666666666666666</v>
      </c>
      <c r="BE688" s="219">
        <f t="shared" si="318"/>
        <v>0.14166666666666666</v>
      </c>
      <c r="BF688" s="31">
        <f t="shared" si="319"/>
        <v>0</v>
      </c>
      <c r="BG688" s="219">
        <f t="shared" si="320"/>
        <v>0</v>
      </c>
      <c r="BH688" s="31">
        <f t="shared" si="321"/>
        <v>0</v>
      </c>
      <c r="BI688" s="219">
        <f t="shared" si="322"/>
        <v>0</v>
      </c>
      <c r="BJ688" s="31">
        <f t="shared" si="323"/>
        <v>0</v>
      </c>
      <c r="BK688" s="219">
        <f t="shared" si="324"/>
        <v>0</v>
      </c>
      <c r="BL688" s="31">
        <f t="shared" si="325"/>
        <v>0</v>
      </c>
      <c r="BM688" s="219">
        <f t="shared" si="326"/>
        <v>0</v>
      </c>
      <c r="BN688" s="31">
        <f t="shared" si="327"/>
        <v>0</v>
      </c>
      <c r="BO688" s="219">
        <f t="shared" si="328"/>
        <v>0</v>
      </c>
    </row>
    <row r="689" spans="1:67" x14ac:dyDescent="0.25">
      <c r="A689" s="31" t="s">
        <v>1686</v>
      </c>
      <c r="B689" s="176" t="str">
        <f>VLOOKUP(A689,kurspris!$A$1:$B$992,2,FALSE)</f>
        <v>Förskolans uppdrag och arbetssätt 2</v>
      </c>
      <c r="D689" s="60" t="s">
        <v>483</v>
      </c>
      <c r="E689" s="576" t="s">
        <v>2436</v>
      </c>
      <c r="F689" s="31" t="s">
        <v>2273</v>
      </c>
      <c r="G689" t="s">
        <v>2447</v>
      </c>
      <c r="H689" t="s">
        <v>2335</v>
      </c>
      <c r="I689" s="31" t="s">
        <v>2276</v>
      </c>
      <c r="L689" s="38">
        <v>1</v>
      </c>
      <c r="M689">
        <v>10</v>
      </c>
      <c r="P689" s="31">
        <v>21</v>
      </c>
      <c r="Q689" s="196">
        <f>(M689/60)*P689</f>
        <v>3.5</v>
      </c>
      <c r="R689" s="38">
        <v>0.85</v>
      </c>
      <c r="S689" s="280">
        <f t="shared" si="301"/>
        <v>2.9750000000000001</v>
      </c>
      <c r="T689" s="31">
        <f>VLOOKUP(A689,'Ansvar kurs'!$A$1:$C$1123,2,FALSE)</f>
        <v>2193</v>
      </c>
      <c r="U689" s="31" t="str">
        <f>VLOOKUP(T689,Orgenheter!$A$1:$C$166,2,FALSE)</f>
        <v xml:space="preserve">TUV </v>
      </c>
      <c r="V689" s="31" t="str">
        <f>VLOOKUP(T689,Orgenheter!$A$1:$C$166,3,FALSE)</f>
        <v>Sam</v>
      </c>
      <c r="W689" s="35" t="str">
        <f>VLOOKUP(D689,Program!$A$1:$B$36,2,FALSE)</f>
        <v>Förskollärarprogrammet</v>
      </c>
      <c r="X689" s="40">
        <f>VLOOKUP(A689,kurspris!$A$1:$Q$913,15,FALSE)</f>
        <v>20766</v>
      </c>
      <c r="Y689" s="40">
        <f>VLOOKUP(A689,kurspris!$A$1:$Q$913,16,FALSE)</f>
        <v>17442</v>
      </c>
      <c r="Z689" s="40">
        <f t="shared" si="302"/>
        <v>124570.95000000001</v>
      </c>
      <c r="AA689" s="40">
        <f>VLOOKUP(A689,kurspris!$A$1:$Q$913,17,FALSE)</f>
        <v>6000</v>
      </c>
      <c r="AB689" s="40">
        <f t="shared" si="303"/>
        <v>21000</v>
      </c>
      <c r="AC689" s="40">
        <f t="shared" si="304"/>
        <v>145570.95000000001</v>
      </c>
      <c r="AD689" s="31">
        <f>VLOOKUP($A689,kurspris!$A$1:$Q$950,3,FALSE)</f>
        <v>0</v>
      </c>
      <c r="AE689" s="31">
        <f>VLOOKUP($A689,kurspris!$A$1:$Q$950,4,FALSE)</f>
        <v>0</v>
      </c>
      <c r="AF689" s="31">
        <f>VLOOKUP($A689,kurspris!$A$1:$Q$950,5,FALSE)</f>
        <v>0</v>
      </c>
      <c r="AG689" s="31">
        <f>VLOOKUP($A689,kurspris!$A$1:$Q$950,6,FALSE)</f>
        <v>0</v>
      </c>
      <c r="AH689" s="31">
        <f>VLOOKUP($A689,kurspris!$A$1:$Q$950,7,FALSE)</f>
        <v>0</v>
      </c>
      <c r="AI689" s="31">
        <f>VLOOKUP($A689,kurspris!$A$1:$Q$950,8,FALSE)</f>
        <v>0</v>
      </c>
      <c r="AJ689" s="31">
        <f>VLOOKUP($A689,kurspris!$A$1:$Q$950,9,FALSE)</f>
        <v>1</v>
      </c>
      <c r="AK689" s="31">
        <f>VLOOKUP($A689,kurspris!$A$1:$Q$950,10,FALSE)</f>
        <v>0</v>
      </c>
      <c r="AL689" s="31">
        <f>VLOOKUP($A689,kurspris!$A$1:$Q$950,11,FALSE)</f>
        <v>0</v>
      </c>
      <c r="AM689" s="31">
        <f>VLOOKUP($A689,kurspris!$A$1:$Q$950,12,FALSE)</f>
        <v>0</v>
      </c>
      <c r="AN689" s="31">
        <f>VLOOKUP($A689,kurspris!$A$1:$Q$950,13,FALSE)</f>
        <v>0</v>
      </c>
      <c r="AO689" s="31">
        <f>VLOOKUP($A689,kurspris!$A$1:$Q$950,14,FALSE)</f>
        <v>0</v>
      </c>
      <c r="AP689" s="57" t="s">
        <v>2506</v>
      </c>
      <c r="AQ689"/>
      <c r="AR689" s="31">
        <f t="shared" si="305"/>
        <v>0</v>
      </c>
      <c r="AS689" s="219">
        <f t="shared" si="306"/>
        <v>0</v>
      </c>
      <c r="AT689" s="31">
        <f t="shared" si="307"/>
        <v>0</v>
      </c>
      <c r="AU689" s="219">
        <f t="shared" si="308"/>
        <v>0</v>
      </c>
      <c r="AV689" s="31">
        <f t="shared" si="309"/>
        <v>0</v>
      </c>
      <c r="AW689" s="31">
        <f t="shared" si="310"/>
        <v>0</v>
      </c>
      <c r="AX689" s="31">
        <f t="shared" si="311"/>
        <v>0</v>
      </c>
      <c r="AY689" s="219">
        <f t="shared" si="312"/>
        <v>0</v>
      </c>
      <c r="AZ689" s="196">
        <f t="shared" si="313"/>
        <v>0</v>
      </c>
      <c r="BA689" s="219">
        <f t="shared" si="314"/>
        <v>0</v>
      </c>
      <c r="BB689" s="31">
        <f t="shared" si="315"/>
        <v>0</v>
      </c>
      <c r="BC689" s="219">
        <f t="shared" si="316"/>
        <v>0</v>
      </c>
      <c r="BD689" s="31">
        <f t="shared" si="317"/>
        <v>3.5</v>
      </c>
      <c r="BE689" s="219">
        <f t="shared" si="318"/>
        <v>2.9750000000000001</v>
      </c>
      <c r="BF689" s="31">
        <f t="shared" si="319"/>
        <v>0</v>
      </c>
      <c r="BG689" s="219">
        <f t="shared" si="320"/>
        <v>0</v>
      </c>
      <c r="BH689" s="31">
        <f t="shared" si="321"/>
        <v>0</v>
      </c>
      <c r="BI689" s="219">
        <f t="shared" si="322"/>
        <v>0</v>
      </c>
      <c r="BJ689" s="31">
        <f t="shared" si="323"/>
        <v>0</v>
      </c>
      <c r="BK689" s="219">
        <f t="shared" si="324"/>
        <v>0</v>
      </c>
      <c r="BL689" s="31">
        <f t="shared" si="325"/>
        <v>0</v>
      </c>
      <c r="BM689" s="219">
        <f t="shared" si="326"/>
        <v>0</v>
      </c>
      <c r="BN689" s="31">
        <f t="shared" si="327"/>
        <v>0</v>
      </c>
      <c r="BO689" s="219">
        <f t="shared" si="328"/>
        <v>0</v>
      </c>
    </row>
    <row r="690" spans="1:67" x14ac:dyDescent="0.25">
      <c r="A690" s="31" t="s">
        <v>1686</v>
      </c>
      <c r="B690" s="176" t="str">
        <f>VLOOKUP(A690,kurspris!$A$1:$B$992,2,FALSE)</f>
        <v>Förskolans uppdrag och arbetssätt 2</v>
      </c>
      <c r="C690" s="31">
        <v>68710</v>
      </c>
      <c r="D690" s="60" t="s">
        <v>483</v>
      </c>
      <c r="E690" s="60"/>
      <c r="F690" s="57" t="s">
        <v>2274</v>
      </c>
      <c r="H690" s="31" t="s">
        <v>2335</v>
      </c>
      <c r="I690" s="31" t="s">
        <v>2399</v>
      </c>
      <c r="L690" s="38"/>
      <c r="M690">
        <v>10</v>
      </c>
      <c r="P690" s="31">
        <v>37</v>
      </c>
      <c r="Q690" s="539">
        <v>6.1669999999999998</v>
      </c>
      <c r="R690" s="38">
        <v>0.85</v>
      </c>
      <c r="S690" s="280">
        <f t="shared" si="301"/>
        <v>5.2419500000000001</v>
      </c>
      <c r="T690" s="31">
        <f>VLOOKUP(A690,'Ansvar kurs'!$A$1:$C$1123,2,FALSE)</f>
        <v>2193</v>
      </c>
      <c r="U690" s="31" t="str">
        <f>VLOOKUP(T690,Orgenheter!$A$1:$C$166,2,FALSE)</f>
        <v xml:space="preserve">TUV </v>
      </c>
      <c r="V690" s="31" t="str">
        <f>VLOOKUP(T690,Orgenheter!$A$1:$C$166,3,FALSE)</f>
        <v>Sam</v>
      </c>
      <c r="W690" s="35" t="str">
        <f>VLOOKUP(D690,Program!$A$1:$B$36,2,FALSE)</f>
        <v>Förskollärarprogrammet</v>
      </c>
      <c r="X690" s="40">
        <f>VLOOKUP(A690,kurspris!$A$1:$Q$913,15,FALSE)</f>
        <v>20766</v>
      </c>
      <c r="Y690" s="40">
        <f>VLOOKUP(A690,kurspris!$A$1:$Q$913,16,FALSE)</f>
        <v>17442</v>
      </c>
      <c r="Z690" s="40">
        <f t="shared" si="302"/>
        <v>219494.01389999999</v>
      </c>
      <c r="AA690" s="40">
        <f>VLOOKUP(A690,kurspris!$A$1:$Q$913,17,FALSE)</f>
        <v>6000</v>
      </c>
      <c r="AB690" s="40">
        <f t="shared" si="303"/>
        <v>37002</v>
      </c>
      <c r="AC690" s="40">
        <f t="shared" si="304"/>
        <v>256496.01389999999</v>
      </c>
      <c r="AD690" s="31">
        <f>VLOOKUP($A690,kurspris!$A$1:$Q$950,3,FALSE)</f>
        <v>0</v>
      </c>
      <c r="AE690" s="31">
        <f>VLOOKUP($A690,kurspris!$A$1:$Q$950,4,FALSE)</f>
        <v>0</v>
      </c>
      <c r="AF690" s="31">
        <f>VLOOKUP($A690,kurspris!$A$1:$Q$950,5,FALSE)</f>
        <v>0</v>
      </c>
      <c r="AG690" s="31">
        <f>VLOOKUP($A690,kurspris!$A$1:$Q$950,6,FALSE)</f>
        <v>0</v>
      </c>
      <c r="AH690" s="31">
        <f>VLOOKUP($A690,kurspris!$A$1:$Q$950,7,FALSE)</f>
        <v>0</v>
      </c>
      <c r="AI690" s="31">
        <f>VLOOKUP($A690,kurspris!$A$1:$Q$950,8,FALSE)</f>
        <v>0</v>
      </c>
      <c r="AJ690" s="31">
        <f>VLOOKUP($A690,kurspris!$A$1:$Q$950,9,FALSE)</f>
        <v>1</v>
      </c>
      <c r="AK690" s="31">
        <f>VLOOKUP($A690,kurspris!$A$1:$Q$950,10,FALSE)</f>
        <v>0</v>
      </c>
      <c r="AL690" s="31">
        <f>VLOOKUP($A690,kurspris!$A$1:$Q$950,11,FALSE)</f>
        <v>0</v>
      </c>
      <c r="AM690" s="31">
        <f>VLOOKUP($A690,kurspris!$A$1:$Q$950,12,FALSE)</f>
        <v>0</v>
      </c>
      <c r="AN690" s="31">
        <f>VLOOKUP($A690,kurspris!$A$1:$Q$950,13,FALSE)</f>
        <v>0</v>
      </c>
      <c r="AO690" s="31">
        <f>VLOOKUP($A690,kurspris!$A$1:$Q$950,14,FALSE)</f>
        <v>0</v>
      </c>
      <c r="AP690" s="57" t="s">
        <v>2402</v>
      </c>
      <c r="AQ690"/>
      <c r="AR690" s="31">
        <f t="shared" si="305"/>
        <v>0</v>
      </c>
      <c r="AS690" s="219">
        <f t="shared" si="306"/>
        <v>0</v>
      </c>
      <c r="AT690" s="31">
        <f t="shared" si="307"/>
        <v>0</v>
      </c>
      <c r="AU690" s="219">
        <f t="shared" si="308"/>
        <v>0</v>
      </c>
      <c r="AV690" s="31">
        <f t="shared" si="309"/>
        <v>0</v>
      </c>
      <c r="AW690" s="31">
        <f t="shared" si="310"/>
        <v>0</v>
      </c>
      <c r="AX690" s="31">
        <f t="shared" si="311"/>
        <v>0</v>
      </c>
      <c r="AY690" s="219">
        <f t="shared" si="312"/>
        <v>0</v>
      </c>
      <c r="AZ690" s="196">
        <f t="shared" si="313"/>
        <v>0</v>
      </c>
      <c r="BA690" s="219">
        <f t="shared" si="314"/>
        <v>0</v>
      </c>
      <c r="BB690" s="31">
        <f t="shared" si="315"/>
        <v>0</v>
      </c>
      <c r="BC690" s="219">
        <f t="shared" si="316"/>
        <v>0</v>
      </c>
      <c r="BD690" s="31">
        <f t="shared" si="317"/>
        <v>6.1669999999999998</v>
      </c>
      <c r="BE690" s="219">
        <f t="shared" si="318"/>
        <v>5.2419500000000001</v>
      </c>
      <c r="BF690" s="31">
        <f t="shared" si="319"/>
        <v>0</v>
      </c>
      <c r="BG690" s="219">
        <f t="shared" si="320"/>
        <v>0</v>
      </c>
      <c r="BH690" s="31">
        <f t="shared" si="321"/>
        <v>0</v>
      </c>
      <c r="BI690" s="219">
        <f t="shared" si="322"/>
        <v>0</v>
      </c>
      <c r="BJ690" s="31">
        <f t="shared" si="323"/>
        <v>0</v>
      </c>
      <c r="BK690" s="219">
        <f t="shared" si="324"/>
        <v>0</v>
      </c>
      <c r="BL690" s="31">
        <f t="shared" si="325"/>
        <v>0</v>
      </c>
      <c r="BM690" s="219">
        <f t="shared" si="326"/>
        <v>0</v>
      </c>
      <c r="BN690" s="31">
        <f t="shared" si="327"/>
        <v>0</v>
      </c>
      <c r="BO690" s="219">
        <f t="shared" si="328"/>
        <v>0</v>
      </c>
    </row>
    <row r="691" spans="1:67" x14ac:dyDescent="0.25">
      <c r="A691" s="31" t="s">
        <v>1677</v>
      </c>
      <c r="B691" s="176" t="str">
        <f>VLOOKUP(A691,kurspris!$A$1:$B$992,2,FALSE)</f>
        <v>Läraryrkets dimensioner för förskolan 1 (VFU)</v>
      </c>
      <c r="C691" s="31">
        <v>68716</v>
      </c>
      <c r="D691" s="60" t="s">
        <v>483</v>
      </c>
      <c r="E691" s="60"/>
      <c r="F691" s="57" t="s">
        <v>2274</v>
      </c>
      <c r="H691" s="31" t="s">
        <v>2335</v>
      </c>
      <c r="I691" s="31" t="s">
        <v>2399</v>
      </c>
      <c r="L691" s="38"/>
      <c r="M691">
        <v>11</v>
      </c>
      <c r="P691" s="31">
        <v>11</v>
      </c>
      <c r="Q691" s="539">
        <v>2.0169999999999999</v>
      </c>
      <c r="R691" s="38">
        <v>0.85</v>
      </c>
      <c r="S691" s="280">
        <f t="shared" si="301"/>
        <v>1.7144499999999998</v>
      </c>
      <c r="T691" s="31">
        <f>VLOOKUP(A691,'Ansvar kurs'!$A$1:$C$1123,2,FALSE)</f>
        <v>2193</v>
      </c>
      <c r="U691" s="31" t="str">
        <f>VLOOKUP(T691,Orgenheter!$A$1:$C$166,2,FALSE)</f>
        <v xml:space="preserve">TUV </v>
      </c>
      <c r="V691" s="31" t="str">
        <f>VLOOKUP(T691,Orgenheter!$A$1:$C$166,3,FALSE)</f>
        <v>Sam</v>
      </c>
      <c r="W691" s="35" t="str">
        <f>VLOOKUP(D691,Program!$A$1:$B$36,2,FALSE)</f>
        <v>Förskollärarprogrammet</v>
      </c>
      <c r="X691" s="40">
        <f>VLOOKUP(A691,kurspris!$A$1:$Q$913,15,FALSE)</f>
        <v>25235</v>
      </c>
      <c r="Y691" s="40">
        <f>VLOOKUP(A691,kurspris!$A$1:$Q$913,16,FALSE)</f>
        <v>27976</v>
      </c>
      <c r="Z691" s="40">
        <f t="shared" si="302"/>
        <v>98862.448199999984</v>
      </c>
      <c r="AA691" s="40">
        <f>VLOOKUP(A691,kurspris!$A$1:$Q$913,17,FALSE)</f>
        <v>3600</v>
      </c>
      <c r="AB691" s="40">
        <f t="shared" si="303"/>
        <v>7261.2</v>
      </c>
      <c r="AC691" s="40">
        <f t="shared" si="304"/>
        <v>106123.64819999998</v>
      </c>
      <c r="AD691" s="31">
        <f>VLOOKUP($A691,kurspris!$A$1:$Q$950,3,FALSE)</f>
        <v>0</v>
      </c>
      <c r="AE691" s="31">
        <f>VLOOKUP($A691,kurspris!$A$1:$Q$950,4,FALSE)</f>
        <v>0</v>
      </c>
      <c r="AF691" s="31">
        <f>VLOOKUP($A691,kurspris!$A$1:$Q$950,5,FALSE)</f>
        <v>0</v>
      </c>
      <c r="AG691" s="31">
        <f>VLOOKUP($A691,kurspris!$A$1:$Q$950,6,FALSE)</f>
        <v>0</v>
      </c>
      <c r="AH691" s="31">
        <f>VLOOKUP($A691,kurspris!$A$1:$Q$950,7,FALSE)</f>
        <v>0</v>
      </c>
      <c r="AI691" s="31">
        <f>VLOOKUP($A691,kurspris!$A$1:$Q$950,8,FALSE)</f>
        <v>0</v>
      </c>
      <c r="AJ691" s="31">
        <f>VLOOKUP($A691,kurspris!$A$1:$Q$950,9,FALSE)</f>
        <v>0</v>
      </c>
      <c r="AK691" s="31">
        <f>VLOOKUP($A691,kurspris!$A$1:$Q$950,10,FALSE)</f>
        <v>0</v>
      </c>
      <c r="AL691" s="31">
        <f>VLOOKUP($A691,kurspris!$A$1:$Q$950,11,FALSE)</f>
        <v>1</v>
      </c>
      <c r="AM691" s="31">
        <f>VLOOKUP($A691,kurspris!$A$1:$Q$950,12,FALSE)</f>
        <v>0</v>
      </c>
      <c r="AN691" s="31">
        <f>VLOOKUP($A691,kurspris!$A$1:$Q$950,13,FALSE)</f>
        <v>0</v>
      </c>
      <c r="AO691" s="31">
        <f>VLOOKUP($A691,kurspris!$A$1:$Q$950,14,FALSE)</f>
        <v>0</v>
      </c>
      <c r="AP691" s="57" t="s">
        <v>2402</v>
      </c>
      <c r="AQ691"/>
      <c r="AR691" s="31">
        <f t="shared" si="305"/>
        <v>0</v>
      </c>
      <c r="AS691" s="219">
        <f t="shared" si="306"/>
        <v>0</v>
      </c>
      <c r="AT691" s="31">
        <f t="shared" si="307"/>
        <v>0</v>
      </c>
      <c r="AU691" s="219">
        <f t="shared" si="308"/>
        <v>0</v>
      </c>
      <c r="AV691" s="31">
        <f t="shared" si="309"/>
        <v>0</v>
      </c>
      <c r="AW691" s="31">
        <f t="shared" si="310"/>
        <v>0</v>
      </c>
      <c r="AX691" s="31">
        <f t="shared" si="311"/>
        <v>0</v>
      </c>
      <c r="AY691" s="219">
        <f t="shared" si="312"/>
        <v>0</v>
      </c>
      <c r="AZ691" s="196">
        <f t="shared" si="313"/>
        <v>0</v>
      </c>
      <c r="BA691" s="219">
        <f t="shared" si="314"/>
        <v>0</v>
      </c>
      <c r="BB691" s="31">
        <f t="shared" si="315"/>
        <v>0</v>
      </c>
      <c r="BC691" s="219">
        <f t="shared" si="316"/>
        <v>0</v>
      </c>
      <c r="BD691" s="31">
        <f t="shared" si="317"/>
        <v>0</v>
      </c>
      <c r="BE691" s="219">
        <f t="shared" si="318"/>
        <v>0</v>
      </c>
      <c r="BF691" s="31">
        <f t="shared" si="319"/>
        <v>0</v>
      </c>
      <c r="BG691" s="219">
        <f t="shared" si="320"/>
        <v>0</v>
      </c>
      <c r="BH691" s="31">
        <f t="shared" si="321"/>
        <v>2.0169999999999999</v>
      </c>
      <c r="BI691" s="219">
        <f t="shared" si="322"/>
        <v>1.7144499999999998</v>
      </c>
      <c r="BJ691" s="31">
        <f t="shared" si="323"/>
        <v>0</v>
      </c>
      <c r="BK691" s="219">
        <f t="shared" si="324"/>
        <v>0</v>
      </c>
      <c r="BL691" s="31">
        <f t="shared" si="325"/>
        <v>0</v>
      </c>
      <c r="BM691" s="219">
        <f t="shared" si="326"/>
        <v>0</v>
      </c>
      <c r="BN691" s="31">
        <f t="shared" si="327"/>
        <v>0</v>
      </c>
      <c r="BO691" s="219">
        <f t="shared" si="328"/>
        <v>0</v>
      </c>
    </row>
    <row r="692" spans="1:67" x14ac:dyDescent="0.25">
      <c r="A692" s="31" t="s">
        <v>1715</v>
      </c>
      <c r="B692" s="176" t="str">
        <f>VLOOKUP(A692,kurspris!$A$1:$B$992,2,FALSE)</f>
        <v>Kunskap, undervisning och lärande 2</v>
      </c>
      <c r="D692" s="60" t="s">
        <v>625</v>
      </c>
      <c r="E692" s="574" t="s">
        <v>2434</v>
      </c>
      <c r="F692" t="s">
        <v>2273</v>
      </c>
      <c r="G692" t="s">
        <v>2458</v>
      </c>
      <c r="H692" t="s">
        <v>2335</v>
      </c>
      <c r="I692" s="31" t="s">
        <v>2276</v>
      </c>
      <c r="L692" s="38">
        <v>0.5</v>
      </c>
      <c r="M692" s="325">
        <v>15</v>
      </c>
      <c r="P692" s="31">
        <v>2</v>
      </c>
      <c r="Q692" s="196">
        <f t="shared" ref="Q692:Q697" si="330">(M692/60)*P692</f>
        <v>0.5</v>
      </c>
      <c r="R692" s="38">
        <v>0.85</v>
      </c>
      <c r="S692" s="280">
        <f t="shared" si="301"/>
        <v>0.42499999999999999</v>
      </c>
      <c r="T692" s="31">
        <f>VLOOKUP(A692,'Ansvar kurs'!$A$1:$C$1123,2,FALSE)</f>
        <v>5740</v>
      </c>
      <c r="U692" s="31" t="str">
        <f>VLOOKUP(T692,Orgenheter!$A$1:$C$166,2,FALSE)</f>
        <v>NMD</v>
      </c>
      <c r="V692" s="31" t="str">
        <f>VLOOKUP(T692,Orgenheter!$A$1:$C$166,3,FALSE)</f>
        <v>TekNat</v>
      </c>
      <c r="W692" s="35" t="str">
        <f>VLOOKUP(D692,Program!$A$1:$B$36,2,FALSE)</f>
        <v>KPU - åk 7-9</v>
      </c>
      <c r="X692" s="40">
        <f>VLOOKUP(A692,kurspris!$A$1:$Q$913,15,FALSE)</f>
        <v>26554</v>
      </c>
      <c r="Y692" s="40">
        <f>VLOOKUP(A692,kurspris!$A$1:$Q$913,16,FALSE)</f>
        <v>33465</v>
      </c>
      <c r="Z692" s="40">
        <f t="shared" si="302"/>
        <v>27499.625</v>
      </c>
      <c r="AA692" s="40">
        <f>VLOOKUP(A692,kurspris!$A$1:$Q$913,17,FALSE)</f>
        <v>6000</v>
      </c>
      <c r="AB692" s="40">
        <f t="shared" si="303"/>
        <v>3000</v>
      </c>
      <c r="AC692" s="40">
        <f t="shared" si="304"/>
        <v>30499.625</v>
      </c>
      <c r="AD692" s="31">
        <f>VLOOKUP($A692,kurspris!$A$1:$Q$950,3,FALSE)</f>
        <v>0</v>
      </c>
      <c r="AE692" s="31">
        <f>VLOOKUP($A692,kurspris!$A$1:$Q$950,4,FALSE)</f>
        <v>0</v>
      </c>
      <c r="AF692" s="31">
        <f>VLOOKUP($A692,kurspris!$A$1:$Q$950,5,FALSE)</f>
        <v>0</v>
      </c>
      <c r="AG692" s="31">
        <f>VLOOKUP($A692,kurspris!$A$1:$Q$950,6,FALSE)</f>
        <v>1</v>
      </c>
      <c r="AH692" s="31">
        <f>VLOOKUP($A692,kurspris!$A$1:$Q$950,7,FALSE)</f>
        <v>0</v>
      </c>
      <c r="AI692" s="31">
        <f>VLOOKUP($A692,kurspris!$A$1:$Q$950,8,FALSE)</f>
        <v>0</v>
      </c>
      <c r="AJ692" s="31">
        <f>VLOOKUP($A692,kurspris!$A$1:$Q$950,9,FALSE)</f>
        <v>0</v>
      </c>
      <c r="AK692" s="31">
        <f>VLOOKUP($A692,kurspris!$A$1:$Q$950,10,FALSE)</f>
        <v>0</v>
      </c>
      <c r="AL692" s="31">
        <f>VLOOKUP($A692,kurspris!$A$1:$Q$950,11,FALSE)</f>
        <v>0</v>
      </c>
      <c r="AM692" s="31">
        <f>VLOOKUP($A692,kurspris!$A$1:$Q$950,12,FALSE)</f>
        <v>0</v>
      </c>
      <c r="AN692" s="31">
        <f>VLOOKUP($A692,kurspris!$A$1:$Q$950,13,FALSE)</f>
        <v>0</v>
      </c>
      <c r="AO692" s="31">
        <f>VLOOKUP($A692,kurspris!$A$1:$Q$950,14,FALSE)</f>
        <v>0</v>
      </c>
      <c r="AP692" s="57" t="s">
        <v>2502</v>
      </c>
      <c r="AQ692"/>
      <c r="AR692" s="31">
        <f t="shared" si="305"/>
        <v>0</v>
      </c>
      <c r="AS692" s="219">
        <f t="shared" si="306"/>
        <v>0</v>
      </c>
      <c r="AT692" s="31">
        <f t="shared" si="307"/>
        <v>0</v>
      </c>
      <c r="AU692" s="219">
        <f t="shared" si="308"/>
        <v>0</v>
      </c>
      <c r="AV692" s="31">
        <f t="shared" si="309"/>
        <v>0</v>
      </c>
      <c r="AW692" s="31">
        <f t="shared" si="310"/>
        <v>0</v>
      </c>
      <c r="AX692" s="31">
        <f t="shared" si="311"/>
        <v>0.5</v>
      </c>
      <c r="AY692" s="219">
        <f t="shared" si="312"/>
        <v>0.42499999999999999</v>
      </c>
      <c r="AZ692" s="196">
        <f t="shared" si="313"/>
        <v>0</v>
      </c>
      <c r="BA692" s="219">
        <f t="shared" si="314"/>
        <v>0</v>
      </c>
      <c r="BB692" s="31">
        <f t="shared" si="315"/>
        <v>0</v>
      </c>
      <c r="BC692" s="219">
        <f t="shared" si="316"/>
        <v>0</v>
      </c>
      <c r="BD692" s="31">
        <f t="shared" si="317"/>
        <v>0</v>
      </c>
      <c r="BE692" s="219">
        <f t="shared" si="318"/>
        <v>0</v>
      </c>
      <c r="BF692" s="31">
        <f t="shared" si="319"/>
        <v>0</v>
      </c>
      <c r="BG692" s="219">
        <f t="shared" si="320"/>
        <v>0</v>
      </c>
      <c r="BH692" s="31">
        <f t="shared" si="321"/>
        <v>0</v>
      </c>
      <c r="BI692" s="219">
        <f t="shared" si="322"/>
        <v>0</v>
      </c>
      <c r="BJ692" s="31">
        <f t="shared" si="323"/>
        <v>0</v>
      </c>
      <c r="BK692" s="219">
        <f t="shared" si="324"/>
        <v>0</v>
      </c>
      <c r="BL692" s="31">
        <f t="shared" si="325"/>
        <v>0</v>
      </c>
      <c r="BM692" s="219">
        <f t="shared" si="326"/>
        <v>0</v>
      </c>
      <c r="BN692" s="31">
        <f t="shared" si="327"/>
        <v>0</v>
      </c>
      <c r="BO692" s="219">
        <f t="shared" si="328"/>
        <v>0</v>
      </c>
    </row>
    <row r="693" spans="1:67" x14ac:dyDescent="0.25">
      <c r="A693" s="31" t="s">
        <v>1703</v>
      </c>
      <c r="B693" s="176" t="str">
        <f>VLOOKUP(A693,kurspris!$A$1:$B$992,2,FALSE)</f>
        <v>Läraryrkets dimensioner för förskoleklass och grundskolans årskurs 1-3 (VFU)</v>
      </c>
      <c r="D693" s="60" t="s">
        <v>485</v>
      </c>
      <c r="E693" s="576" t="s">
        <v>2227</v>
      </c>
      <c r="F693" s="31" t="s">
        <v>2273</v>
      </c>
      <c r="G693" t="s">
        <v>2456</v>
      </c>
      <c r="H693" t="s">
        <v>2335</v>
      </c>
      <c r="I693" s="31" t="s">
        <v>2276</v>
      </c>
      <c r="L693" s="38">
        <v>1</v>
      </c>
      <c r="M693">
        <v>22.5</v>
      </c>
      <c r="P693" s="31">
        <v>1</v>
      </c>
      <c r="Q693" s="196">
        <f t="shared" si="330"/>
        <v>0.375</v>
      </c>
      <c r="R693" s="38">
        <v>0.85</v>
      </c>
      <c r="S693" s="280">
        <f t="shared" si="301"/>
        <v>0.31874999999999998</v>
      </c>
      <c r="T693" s="31">
        <f>VLOOKUP(A693,'Ansvar kurs'!$A$1:$C$1123,2,FALSE)</f>
        <v>5740</v>
      </c>
      <c r="U693" s="31" t="str">
        <f>VLOOKUP(T693,Orgenheter!$A$1:$C$166,2,FALSE)</f>
        <v>NMD</v>
      </c>
      <c r="V693" s="31" t="str">
        <f>VLOOKUP(T693,Orgenheter!$A$1:$C$166,3,FALSE)</f>
        <v>TekNat</v>
      </c>
      <c r="W693" s="35" t="str">
        <f>VLOOKUP(D693,Program!$A$1:$B$36,2,FALSE)</f>
        <v>Grundlärarprogrammet - förskoleklass och åk 1-3</v>
      </c>
      <c r="X693" s="40">
        <f>VLOOKUP(A693,kurspris!$A$1:$Q$913,15,FALSE)</f>
        <v>25235</v>
      </c>
      <c r="Y693" s="40">
        <f>VLOOKUP(A693,kurspris!$A$1:$Q$913,16,FALSE)</f>
        <v>27976</v>
      </c>
      <c r="Z693" s="40">
        <f t="shared" si="302"/>
        <v>18380.474999999999</v>
      </c>
      <c r="AA693" s="40">
        <f>VLOOKUP(A693,kurspris!$A$1:$Q$913,17,FALSE)</f>
        <v>3600</v>
      </c>
      <c r="AB693" s="40">
        <f t="shared" si="303"/>
        <v>1350</v>
      </c>
      <c r="AC693" s="40">
        <f t="shared" si="304"/>
        <v>19730.474999999999</v>
      </c>
      <c r="AD693" s="31">
        <f>VLOOKUP($A693,kurspris!$A$1:$Q$950,3,FALSE)</f>
        <v>0</v>
      </c>
      <c r="AE693" s="31">
        <f>VLOOKUP($A693,kurspris!$A$1:$Q$950,4,FALSE)</f>
        <v>0</v>
      </c>
      <c r="AF693" s="31">
        <f>VLOOKUP($A693,kurspris!$A$1:$Q$950,5,FALSE)</f>
        <v>0</v>
      </c>
      <c r="AG693" s="31">
        <f>VLOOKUP($A693,kurspris!$A$1:$Q$950,6,FALSE)</f>
        <v>0</v>
      </c>
      <c r="AH693" s="31">
        <f>VLOOKUP($A693,kurspris!$A$1:$Q$950,7,FALSE)</f>
        <v>0</v>
      </c>
      <c r="AI693" s="31">
        <f>VLOOKUP($A693,kurspris!$A$1:$Q$950,8,FALSE)</f>
        <v>0</v>
      </c>
      <c r="AJ693" s="31">
        <f>VLOOKUP($A693,kurspris!$A$1:$Q$950,9,FALSE)</f>
        <v>0</v>
      </c>
      <c r="AK693" s="31">
        <f>VLOOKUP($A693,kurspris!$A$1:$Q$950,10,FALSE)</f>
        <v>0</v>
      </c>
      <c r="AL693" s="31">
        <f>VLOOKUP($A693,kurspris!$A$1:$Q$950,11,FALSE)</f>
        <v>1</v>
      </c>
      <c r="AM693" s="31">
        <f>VLOOKUP($A693,kurspris!$A$1:$Q$950,12,FALSE)</f>
        <v>0</v>
      </c>
      <c r="AN693" s="31">
        <f>VLOOKUP($A693,kurspris!$A$1:$Q$950,13,FALSE)</f>
        <v>0</v>
      </c>
      <c r="AO693" s="31">
        <f>VLOOKUP($A693,kurspris!$A$1:$Q$950,14,FALSE)</f>
        <v>0</v>
      </c>
      <c r="AP693" s="57" t="s">
        <v>2504</v>
      </c>
      <c r="AQ693"/>
      <c r="AR693" s="31">
        <f t="shared" si="305"/>
        <v>0</v>
      </c>
      <c r="AS693" s="219">
        <f t="shared" si="306"/>
        <v>0</v>
      </c>
      <c r="AT693" s="31">
        <f t="shared" si="307"/>
        <v>0</v>
      </c>
      <c r="AU693" s="219">
        <f t="shared" si="308"/>
        <v>0</v>
      </c>
      <c r="AV693" s="31">
        <f t="shared" si="309"/>
        <v>0</v>
      </c>
      <c r="AW693" s="31">
        <f t="shared" si="310"/>
        <v>0</v>
      </c>
      <c r="AX693" s="31">
        <f t="shared" si="311"/>
        <v>0</v>
      </c>
      <c r="AY693" s="219">
        <f t="shared" si="312"/>
        <v>0</v>
      </c>
      <c r="AZ693" s="196">
        <f t="shared" si="313"/>
        <v>0</v>
      </c>
      <c r="BA693" s="219">
        <f t="shared" si="314"/>
        <v>0</v>
      </c>
      <c r="BB693" s="31">
        <f t="shared" si="315"/>
        <v>0</v>
      </c>
      <c r="BC693" s="219">
        <f t="shared" si="316"/>
        <v>0</v>
      </c>
      <c r="BD693" s="31">
        <f t="shared" si="317"/>
        <v>0</v>
      </c>
      <c r="BE693" s="219">
        <f t="shared" si="318"/>
        <v>0</v>
      </c>
      <c r="BF693" s="31">
        <f t="shared" si="319"/>
        <v>0</v>
      </c>
      <c r="BG693" s="219">
        <f t="shared" si="320"/>
        <v>0</v>
      </c>
      <c r="BH693" s="31">
        <f t="shared" si="321"/>
        <v>0.375</v>
      </c>
      <c r="BI693" s="219">
        <f t="shared" si="322"/>
        <v>0.31874999999999998</v>
      </c>
      <c r="BJ693" s="31">
        <f t="shared" si="323"/>
        <v>0</v>
      </c>
      <c r="BK693" s="219">
        <f t="shared" si="324"/>
        <v>0</v>
      </c>
      <c r="BL693" s="31">
        <f t="shared" si="325"/>
        <v>0</v>
      </c>
      <c r="BM693" s="219">
        <f t="shared" si="326"/>
        <v>0</v>
      </c>
      <c r="BN693" s="31">
        <f t="shared" si="327"/>
        <v>0</v>
      </c>
      <c r="BO693" s="219">
        <f t="shared" si="328"/>
        <v>0</v>
      </c>
    </row>
    <row r="694" spans="1:67" x14ac:dyDescent="0.25">
      <c r="A694" s="31" t="s">
        <v>1703</v>
      </c>
      <c r="B694" s="176" t="str">
        <f>VLOOKUP(A694,kurspris!$A$1:$B$992,2,FALSE)</f>
        <v>Läraryrkets dimensioner för förskoleklass och grundskolans årskurs 1-3 (VFU)</v>
      </c>
      <c r="D694" s="60" t="s">
        <v>485</v>
      </c>
      <c r="E694" s="576" t="s">
        <v>2226</v>
      </c>
      <c r="F694" s="31" t="s">
        <v>2273</v>
      </c>
      <c r="G694" t="s">
        <v>2456</v>
      </c>
      <c r="H694" t="s">
        <v>2335</v>
      </c>
      <c r="I694" s="31" t="s">
        <v>2276</v>
      </c>
      <c r="L694" s="38">
        <v>1</v>
      </c>
      <c r="M694">
        <v>22.5</v>
      </c>
      <c r="P694" s="31">
        <v>3</v>
      </c>
      <c r="Q694" s="196">
        <f t="shared" si="330"/>
        <v>1.125</v>
      </c>
      <c r="R694" s="38">
        <v>0.85</v>
      </c>
      <c r="S694" s="280">
        <f t="shared" si="301"/>
        <v>0.95624999999999993</v>
      </c>
      <c r="T694" s="31">
        <f>VLOOKUP(A694,'Ansvar kurs'!$A$1:$C$1123,2,FALSE)</f>
        <v>5740</v>
      </c>
      <c r="U694" s="31" t="str">
        <f>VLOOKUP(T694,Orgenheter!$A$1:$C$166,2,FALSE)</f>
        <v>NMD</v>
      </c>
      <c r="V694" s="31" t="str">
        <f>VLOOKUP(T694,Orgenheter!$A$1:$C$166,3,FALSE)</f>
        <v>TekNat</v>
      </c>
      <c r="W694" s="35" t="str">
        <f>VLOOKUP(D694,Program!$A$1:$B$36,2,FALSE)</f>
        <v>Grundlärarprogrammet - förskoleklass och åk 1-3</v>
      </c>
      <c r="X694" s="40">
        <f>VLOOKUP(A694,kurspris!$A$1:$Q$913,15,FALSE)</f>
        <v>25235</v>
      </c>
      <c r="Y694" s="40">
        <f>VLOOKUP(A694,kurspris!$A$1:$Q$913,16,FALSE)</f>
        <v>27976</v>
      </c>
      <c r="Z694" s="40">
        <f t="shared" si="302"/>
        <v>55141.425000000003</v>
      </c>
      <c r="AA694" s="40">
        <f>VLOOKUP(A694,kurspris!$A$1:$Q$913,17,FALSE)</f>
        <v>3600</v>
      </c>
      <c r="AB694" s="40">
        <f t="shared" si="303"/>
        <v>4050</v>
      </c>
      <c r="AC694" s="40">
        <f t="shared" si="304"/>
        <v>59191.425000000003</v>
      </c>
      <c r="AD694" s="31">
        <f>VLOOKUP($A694,kurspris!$A$1:$Q$950,3,FALSE)</f>
        <v>0</v>
      </c>
      <c r="AE694" s="31">
        <f>VLOOKUP($A694,kurspris!$A$1:$Q$950,4,FALSE)</f>
        <v>0</v>
      </c>
      <c r="AF694" s="31">
        <f>VLOOKUP($A694,kurspris!$A$1:$Q$950,5,FALSE)</f>
        <v>0</v>
      </c>
      <c r="AG694" s="31">
        <f>VLOOKUP($A694,kurspris!$A$1:$Q$950,6,FALSE)</f>
        <v>0</v>
      </c>
      <c r="AH694" s="31">
        <f>VLOOKUP($A694,kurspris!$A$1:$Q$950,7,FALSE)</f>
        <v>0</v>
      </c>
      <c r="AI694" s="31">
        <f>VLOOKUP($A694,kurspris!$A$1:$Q$950,8,FALSE)</f>
        <v>0</v>
      </c>
      <c r="AJ694" s="31">
        <f>VLOOKUP($A694,kurspris!$A$1:$Q$950,9,FALSE)</f>
        <v>0</v>
      </c>
      <c r="AK694" s="31">
        <f>VLOOKUP($A694,kurspris!$A$1:$Q$950,10,FALSE)</f>
        <v>0</v>
      </c>
      <c r="AL694" s="31">
        <f>VLOOKUP($A694,kurspris!$A$1:$Q$950,11,FALSE)</f>
        <v>1</v>
      </c>
      <c r="AM694" s="31">
        <f>VLOOKUP($A694,kurspris!$A$1:$Q$950,12,FALSE)</f>
        <v>0</v>
      </c>
      <c r="AN694" s="31">
        <f>VLOOKUP($A694,kurspris!$A$1:$Q$950,13,FALSE)</f>
        <v>0</v>
      </c>
      <c r="AO694" s="31">
        <f>VLOOKUP($A694,kurspris!$A$1:$Q$950,14,FALSE)</f>
        <v>0</v>
      </c>
      <c r="AP694" s="57" t="s">
        <v>2504</v>
      </c>
      <c r="AQ694"/>
      <c r="AR694" s="31">
        <f t="shared" si="305"/>
        <v>0</v>
      </c>
      <c r="AS694" s="219">
        <f t="shared" si="306"/>
        <v>0</v>
      </c>
      <c r="AT694" s="31">
        <f t="shared" si="307"/>
        <v>0</v>
      </c>
      <c r="AU694" s="219">
        <f t="shared" si="308"/>
        <v>0</v>
      </c>
      <c r="AV694" s="31">
        <f t="shared" si="309"/>
        <v>0</v>
      </c>
      <c r="AW694" s="31">
        <f t="shared" si="310"/>
        <v>0</v>
      </c>
      <c r="AX694" s="31">
        <f t="shared" si="311"/>
        <v>0</v>
      </c>
      <c r="AY694" s="219">
        <f t="shared" si="312"/>
        <v>0</v>
      </c>
      <c r="AZ694" s="196">
        <f t="shared" si="313"/>
        <v>0</v>
      </c>
      <c r="BA694" s="219">
        <f t="shared" si="314"/>
        <v>0</v>
      </c>
      <c r="BB694" s="31">
        <f t="shared" si="315"/>
        <v>0</v>
      </c>
      <c r="BC694" s="219">
        <f t="shared" si="316"/>
        <v>0</v>
      </c>
      <c r="BD694" s="31">
        <f t="shared" si="317"/>
        <v>0</v>
      </c>
      <c r="BE694" s="219">
        <f t="shared" si="318"/>
        <v>0</v>
      </c>
      <c r="BF694" s="31">
        <f t="shared" si="319"/>
        <v>0</v>
      </c>
      <c r="BG694" s="219">
        <f t="shared" si="320"/>
        <v>0</v>
      </c>
      <c r="BH694" s="31">
        <f t="shared" si="321"/>
        <v>1.125</v>
      </c>
      <c r="BI694" s="219">
        <f t="shared" si="322"/>
        <v>0.95624999999999993</v>
      </c>
      <c r="BJ694" s="31">
        <f t="shared" si="323"/>
        <v>0</v>
      </c>
      <c r="BK694" s="219">
        <f t="shared" si="324"/>
        <v>0</v>
      </c>
      <c r="BL694" s="31">
        <f t="shared" si="325"/>
        <v>0</v>
      </c>
      <c r="BM694" s="219">
        <f t="shared" si="326"/>
        <v>0</v>
      </c>
      <c r="BN694" s="31">
        <f t="shared" si="327"/>
        <v>0</v>
      </c>
      <c r="BO694" s="219">
        <f t="shared" si="328"/>
        <v>0</v>
      </c>
    </row>
    <row r="695" spans="1:67" x14ac:dyDescent="0.25">
      <c r="A695" s="31" t="s">
        <v>1703</v>
      </c>
      <c r="B695" s="176" t="str">
        <f>VLOOKUP(A695,kurspris!$A$1:$B$992,2,FALSE)</f>
        <v>Läraryrkets dimensioner för förskoleklass och grundskolans årskurs 1-3 (VFU)</v>
      </c>
      <c r="D695" s="60" t="s">
        <v>485</v>
      </c>
      <c r="E695" s="576" t="s">
        <v>2225</v>
      </c>
      <c r="F695" s="31" t="s">
        <v>2273</v>
      </c>
      <c r="G695" t="s">
        <v>2456</v>
      </c>
      <c r="H695" t="s">
        <v>2335</v>
      </c>
      <c r="I695" s="31" t="s">
        <v>2276</v>
      </c>
      <c r="L695" s="38">
        <v>1</v>
      </c>
      <c r="M695">
        <v>22.5</v>
      </c>
      <c r="P695" s="31">
        <v>38</v>
      </c>
      <c r="Q695" s="196">
        <f t="shared" si="330"/>
        <v>14.25</v>
      </c>
      <c r="R695" s="38">
        <v>0.85</v>
      </c>
      <c r="S695" s="280">
        <f t="shared" si="301"/>
        <v>12.112499999999999</v>
      </c>
      <c r="T695" s="31">
        <f>VLOOKUP(A695,'Ansvar kurs'!$A$1:$C$1123,2,FALSE)</f>
        <v>5740</v>
      </c>
      <c r="U695" s="31" t="str">
        <f>VLOOKUP(T695,Orgenheter!$A$1:$C$166,2,FALSE)</f>
        <v>NMD</v>
      </c>
      <c r="V695" s="31" t="str">
        <f>VLOOKUP(T695,Orgenheter!$A$1:$C$166,3,FALSE)</f>
        <v>TekNat</v>
      </c>
      <c r="W695" s="35" t="str">
        <f>VLOOKUP(D695,Program!$A$1:$B$36,2,FALSE)</f>
        <v>Grundlärarprogrammet - förskoleklass och åk 1-3</v>
      </c>
      <c r="X695" s="40">
        <f>VLOOKUP(A695,kurspris!$A$1:$Q$913,15,FALSE)</f>
        <v>25235</v>
      </c>
      <c r="Y695" s="40">
        <f>VLOOKUP(A695,kurspris!$A$1:$Q$913,16,FALSE)</f>
        <v>27976</v>
      </c>
      <c r="Z695" s="40">
        <f t="shared" si="302"/>
        <v>698458.05</v>
      </c>
      <c r="AA695" s="40">
        <f>VLOOKUP(A695,kurspris!$A$1:$Q$913,17,FALSE)</f>
        <v>3600</v>
      </c>
      <c r="AB695" s="40">
        <f t="shared" si="303"/>
        <v>51300</v>
      </c>
      <c r="AC695" s="40">
        <f t="shared" si="304"/>
        <v>749758.05</v>
      </c>
      <c r="AD695" s="31">
        <f>VLOOKUP($A695,kurspris!$A$1:$Q$950,3,FALSE)</f>
        <v>0</v>
      </c>
      <c r="AE695" s="31">
        <f>VLOOKUP($A695,kurspris!$A$1:$Q$950,4,FALSE)</f>
        <v>0</v>
      </c>
      <c r="AF695" s="31">
        <f>VLOOKUP($A695,kurspris!$A$1:$Q$950,5,FALSE)</f>
        <v>0</v>
      </c>
      <c r="AG695" s="31">
        <f>VLOOKUP($A695,kurspris!$A$1:$Q$950,6,FALSE)</f>
        <v>0</v>
      </c>
      <c r="AH695" s="31">
        <f>VLOOKUP($A695,kurspris!$A$1:$Q$950,7,FALSE)</f>
        <v>0</v>
      </c>
      <c r="AI695" s="31">
        <f>VLOOKUP($A695,kurspris!$A$1:$Q$950,8,FALSE)</f>
        <v>0</v>
      </c>
      <c r="AJ695" s="31">
        <f>VLOOKUP($A695,kurspris!$A$1:$Q$950,9,FALSE)</f>
        <v>0</v>
      </c>
      <c r="AK695" s="31">
        <f>VLOOKUP($A695,kurspris!$A$1:$Q$950,10,FALSE)</f>
        <v>0</v>
      </c>
      <c r="AL695" s="31">
        <f>VLOOKUP($A695,kurspris!$A$1:$Q$950,11,FALSE)</f>
        <v>1</v>
      </c>
      <c r="AM695" s="31">
        <f>VLOOKUP($A695,kurspris!$A$1:$Q$950,12,FALSE)</f>
        <v>0</v>
      </c>
      <c r="AN695" s="31">
        <f>VLOOKUP($A695,kurspris!$A$1:$Q$950,13,FALSE)</f>
        <v>0</v>
      </c>
      <c r="AO695" s="31">
        <f>VLOOKUP($A695,kurspris!$A$1:$Q$950,14,FALSE)</f>
        <v>0</v>
      </c>
      <c r="AP695" s="57" t="s">
        <v>2504</v>
      </c>
      <c r="AQ695"/>
      <c r="AR695" s="31">
        <f t="shared" si="305"/>
        <v>0</v>
      </c>
      <c r="AS695" s="219">
        <f t="shared" si="306"/>
        <v>0</v>
      </c>
      <c r="AT695" s="31">
        <f t="shared" si="307"/>
        <v>0</v>
      </c>
      <c r="AU695" s="219">
        <f t="shared" si="308"/>
        <v>0</v>
      </c>
      <c r="AV695" s="31">
        <f t="shared" si="309"/>
        <v>0</v>
      </c>
      <c r="AW695" s="31">
        <f t="shared" si="310"/>
        <v>0</v>
      </c>
      <c r="AX695" s="31">
        <f t="shared" si="311"/>
        <v>0</v>
      </c>
      <c r="AY695" s="219">
        <f t="shared" si="312"/>
        <v>0</v>
      </c>
      <c r="AZ695" s="196">
        <f t="shared" si="313"/>
        <v>0</v>
      </c>
      <c r="BA695" s="219">
        <f t="shared" si="314"/>
        <v>0</v>
      </c>
      <c r="BB695" s="31">
        <f t="shared" si="315"/>
        <v>0</v>
      </c>
      <c r="BC695" s="219">
        <f t="shared" si="316"/>
        <v>0</v>
      </c>
      <c r="BD695" s="31">
        <f t="shared" si="317"/>
        <v>0</v>
      </c>
      <c r="BE695" s="219">
        <f t="shared" si="318"/>
        <v>0</v>
      </c>
      <c r="BF695" s="31">
        <f t="shared" si="319"/>
        <v>0</v>
      </c>
      <c r="BG695" s="219">
        <f t="shared" si="320"/>
        <v>0</v>
      </c>
      <c r="BH695" s="31">
        <f t="shared" si="321"/>
        <v>14.25</v>
      </c>
      <c r="BI695" s="219">
        <f t="shared" si="322"/>
        <v>12.112499999999999</v>
      </c>
      <c r="BJ695" s="31">
        <f t="shared" si="323"/>
        <v>0</v>
      </c>
      <c r="BK695" s="219">
        <f t="shared" si="324"/>
        <v>0</v>
      </c>
      <c r="BL695" s="31">
        <f t="shared" si="325"/>
        <v>0</v>
      </c>
      <c r="BM695" s="219">
        <f t="shared" si="326"/>
        <v>0</v>
      </c>
      <c r="BN695" s="31">
        <f t="shared" si="327"/>
        <v>0</v>
      </c>
      <c r="BO695" s="219">
        <f t="shared" si="328"/>
        <v>0</v>
      </c>
    </row>
    <row r="696" spans="1:67" x14ac:dyDescent="0.25">
      <c r="A696" s="31" t="s">
        <v>1702</v>
      </c>
      <c r="B696" s="176" t="str">
        <f>VLOOKUP(A696,kurspris!$A$1:$B$992,2,FALSE)</f>
        <v>Läraryrkets dimensioner för grundskolans årskurs 4-6 (VFU)</v>
      </c>
      <c r="D696" s="60" t="s">
        <v>523</v>
      </c>
      <c r="E696" s="576" t="s">
        <v>2225</v>
      </c>
      <c r="F696" s="31" t="s">
        <v>2273</v>
      </c>
      <c r="G696" t="s">
        <v>2456</v>
      </c>
      <c r="H696" t="s">
        <v>2335</v>
      </c>
      <c r="I696" s="31" t="s">
        <v>2276</v>
      </c>
      <c r="L696" s="38">
        <v>1</v>
      </c>
      <c r="M696">
        <v>22.5</v>
      </c>
      <c r="P696" s="31">
        <v>18</v>
      </c>
      <c r="Q696" s="196">
        <f t="shared" si="330"/>
        <v>6.75</v>
      </c>
      <c r="R696" s="38">
        <v>0.85</v>
      </c>
      <c r="S696" s="280">
        <f t="shared" si="301"/>
        <v>5.7374999999999998</v>
      </c>
      <c r="T696" s="31">
        <f>VLOOKUP(A696,'Ansvar kurs'!$A$1:$C$1123,2,FALSE)</f>
        <v>5740</v>
      </c>
      <c r="U696" s="31" t="str">
        <f>VLOOKUP(T696,Orgenheter!$A$1:$C$166,2,FALSE)</f>
        <v>NMD</v>
      </c>
      <c r="V696" s="31" t="str">
        <f>VLOOKUP(T696,Orgenheter!$A$1:$C$166,3,FALSE)</f>
        <v>TekNat</v>
      </c>
      <c r="W696" s="35" t="str">
        <f>VLOOKUP(D696,Program!$A$1:$B$36,2,FALSE)</f>
        <v>Grundlärarprogrammet - grundskolans åk 4-6</v>
      </c>
      <c r="X696" s="40">
        <f>VLOOKUP(A696,kurspris!$A$1:$Q$913,15,FALSE)</f>
        <v>25235</v>
      </c>
      <c r="Y696" s="40">
        <f>VLOOKUP(A696,kurspris!$A$1:$Q$913,16,FALSE)</f>
        <v>27976</v>
      </c>
      <c r="Z696" s="40">
        <f t="shared" si="302"/>
        <v>330848.55</v>
      </c>
      <c r="AA696" s="40">
        <f>VLOOKUP(A696,kurspris!$A$1:$Q$913,17,FALSE)</f>
        <v>3600</v>
      </c>
      <c r="AB696" s="40">
        <f t="shared" si="303"/>
        <v>24300</v>
      </c>
      <c r="AC696" s="40">
        <f t="shared" si="304"/>
        <v>355148.55</v>
      </c>
      <c r="AD696" s="31">
        <f>VLOOKUP($A696,kurspris!$A$1:$Q$950,3,FALSE)</f>
        <v>0</v>
      </c>
      <c r="AE696" s="31">
        <f>VLOOKUP($A696,kurspris!$A$1:$Q$950,4,FALSE)</f>
        <v>0</v>
      </c>
      <c r="AF696" s="31">
        <f>VLOOKUP($A696,kurspris!$A$1:$Q$950,5,FALSE)</f>
        <v>0</v>
      </c>
      <c r="AG696" s="31">
        <f>VLOOKUP($A696,kurspris!$A$1:$Q$950,6,FALSE)</f>
        <v>0</v>
      </c>
      <c r="AH696" s="31">
        <f>VLOOKUP($A696,kurspris!$A$1:$Q$950,7,FALSE)</f>
        <v>0</v>
      </c>
      <c r="AI696" s="31">
        <f>VLOOKUP($A696,kurspris!$A$1:$Q$950,8,FALSE)</f>
        <v>0</v>
      </c>
      <c r="AJ696" s="31">
        <f>VLOOKUP($A696,kurspris!$A$1:$Q$950,9,FALSE)</f>
        <v>0</v>
      </c>
      <c r="AK696" s="31">
        <f>VLOOKUP($A696,kurspris!$A$1:$Q$950,10,FALSE)</f>
        <v>0</v>
      </c>
      <c r="AL696" s="31">
        <f>VLOOKUP($A696,kurspris!$A$1:$Q$950,11,FALSE)</f>
        <v>1</v>
      </c>
      <c r="AM696" s="31">
        <f>VLOOKUP($A696,kurspris!$A$1:$Q$950,12,FALSE)</f>
        <v>0</v>
      </c>
      <c r="AN696" s="31">
        <f>VLOOKUP($A696,kurspris!$A$1:$Q$950,13,FALSE)</f>
        <v>0</v>
      </c>
      <c r="AO696" s="31">
        <f>VLOOKUP($A696,kurspris!$A$1:$Q$950,14,FALSE)</f>
        <v>0</v>
      </c>
      <c r="AP696" s="57" t="s">
        <v>2504</v>
      </c>
      <c r="AQ696"/>
      <c r="AR696" s="31">
        <f t="shared" si="305"/>
        <v>0</v>
      </c>
      <c r="AS696" s="219">
        <f t="shared" si="306"/>
        <v>0</v>
      </c>
      <c r="AT696" s="31">
        <f t="shared" si="307"/>
        <v>0</v>
      </c>
      <c r="AU696" s="219">
        <f t="shared" si="308"/>
        <v>0</v>
      </c>
      <c r="AV696" s="31">
        <f t="shared" si="309"/>
        <v>0</v>
      </c>
      <c r="AW696" s="31">
        <f t="shared" si="310"/>
        <v>0</v>
      </c>
      <c r="AX696" s="31">
        <f t="shared" si="311"/>
        <v>0</v>
      </c>
      <c r="AY696" s="219">
        <f t="shared" si="312"/>
        <v>0</v>
      </c>
      <c r="AZ696" s="196">
        <f t="shared" si="313"/>
        <v>0</v>
      </c>
      <c r="BA696" s="219">
        <f t="shared" si="314"/>
        <v>0</v>
      </c>
      <c r="BB696" s="31">
        <f t="shared" si="315"/>
        <v>0</v>
      </c>
      <c r="BC696" s="219">
        <f t="shared" si="316"/>
        <v>0</v>
      </c>
      <c r="BD696" s="31">
        <f t="shared" si="317"/>
        <v>0</v>
      </c>
      <c r="BE696" s="219">
        <f t="shared" si="318"/>
        <v>0</v>
      </c>
      <c r="BF696" s="31">
        <f t="shared" si="319"/>
        <v>0</v>
      </c>
      <c r="BG696" s="219">
        <f t="shared" si="320"/>
        <v>0</v>
      </c>
      <c r="BH696" s="31">
        <f t="shared" si="321"/>
        <v>6.75</v>
      </c>
      <c r="BI696" s="219">
        <f t="shared" si="322"/>
        <v>5.7374999999999998</v>
      </c>
      <c r="BJ696" s="31">
        <f t="shared" si="323"/>
        <v>0</v>
      </c>
      <c r="BK696" s="219">
        <f t="shared" si="324"/>
        <v>0</v>
      </c>
      <c r="BL696" s="31">
        <f t="shared" si="325"/>
        <v>0</v>
      </c>
      <c r="BM696" s="219">
        <f t="shared" si="326"/>
        <v>0</v>
      </c>
      <c r="BN696" s="31">
        <f t="shared" si="327"/>
        <v>0</v>
      </c>
      <c r="BO696" s="219">
        <f t="shared" si="328"/>
        <v>0</v>
      </c>
    </row>
    <row r="697" spans="1:67" x14ac:dyDescent="0.25">
      <c r="A697" s="31" t="s">
        <v>1702</v>
      </c>
      <c r="B697" s="176" t="str">
        <f>VLOOKUP(A697,kurspris!$A$1:$B$992,2,FALSE)</f>
        <v>Läraryrkets dimensioner för grundskolans årskurs 4-6 (VFU)</v>
      </c>
      <c r="D697" s="60" t="s">
        <v>523</v>
      </c>
      <c r="E697" s="576" t="s">
        <v>2434</v>
      </c>
      <c r="F697" s="31" t="s">
        <v>2273</v>
      </c>
      <c r="G697" t="s">
        <v>2456</v>
      </c>
      <c r="H697" t="s">
        <v>2335</v>
      </c>
      <c r="I697" s="31" t="s">
        <v>2276</v>
      </c>
      <c r="L697" s="38">
        <v>1</v>
      </c>
      <c r="M697">
        <v>22.5</v>
      </c>
      <c r="P697" s="31">
        <v>1</v>
      </c>
      <c r="Q697" s="196">
        <f t="shared" si="330"/>
        <v>0.375</v>
      </c>
      <c r="R697" s="38">
        <v>0.85</v>
      </c>
      <c r="S697" s="280">
        <f t="shared" si="301"/>
        <v>0.31874999999999998</v>
      </c>
      <c r="T697" s="31">
        <f>VLOOKUP(A697,'Ansvar kurs'!$A$1:$C$1123,2,FALSE)</f>
        <v>5740</v>
      </c>
      <c r="U697" s="31" t="str">
        <f>VLOOKUP(T697,Orgenheter!$A$1:$C$166,2,FALSE)</f>
        <v>NMD</v>
      </c>
      <c r="V697" s="31" t="str">
        <f>VLOOKUP(T697,Orgenheter!$A$1:$C$166,3,FALSE)</f>
        <v>TekNat</v>
      </c>
      <c r="W697" s="35" t="str">
        <f>VLOOKUP(D697,Program!$A$1:$B$36,2,FALSE)</f>
        <v>Grundlärarprogrammet - grundskolans åk 4-6</v>
      </c>
      <c r="X697" s="40">
        <f>VLOOKUP(A697,kurspris!$A$1:$Q$913,15,FALSE)</f>
        <v>25235</v>
      </c>
      <c r="Y697" s="40">
        <f>VLOOKUP(A697,kurspris!$A$1:$Q$913,16,FALSE)</f>
        <v>27976</v>
      </c>
      <c r="Z697" s="40">
        <f t="shared" si="302"/>
        <v>18380.474999999999</v>
      </c>
      <c r="AA697" s="40">
        <f>VLOOKUP(A697,kurspris!$A$1:$Q$913,17,FALSE)</f>
        <v>3600</v>
      </c>
      <c r="AB697" s="40">
        <f t="shared" si="303"/>
        <v>1350</v>
      </c>
      <c r="AC697" s="40">
        <f t="shared" si="304"/>
        <v>19730.474999999999</v>
      </c>
      <c r="AD697" s="31">
        <f>VLOOKUP($A697,kurspris!$A$1:$Q$950,3,FALSE)</f>
        <v>0</v>
      </c>
      <c r="AE697" s="31">
        <f>VLOOKUP($A697,kurspris!$A$1:$Q$950,4,FALSE)</f>
        <v>0</v>
      </c>
      <c r="AF697" s="31">
        <f>VLOOKUP($A697,kurspris!$A$1:$Q$950,5,FALSE)</f>
        <v>0</v>
      </c>
      <c r="AG697" s="31">
        <f>VLOOKUP($A697,kurspris!$A$1:$Q$950,6,FALSE)</f>
        <v>0</v>
      </c>
      <c r="AH697" s="31">
        <f>VLOOKUP($A697,kurspris!$A$1:$Q$950,7,FALSE)</f>
        <v>0</v>
      </c>
      <c r="AI697" s="31">
        <f>VLOOKUP($A697,kurspris!$A$1:$Q$950,8,FALSE)</f>
        <v>0</v>
      </c>
      <c r="AJ697" s="31">
        <f>VLOOKUP($A697,kurspris!$A$1:$Q$950,9,FALSE)</f>
        <v>0</v>
      </c>
      <c r="AK697" s="31">
        <f>VLOOKUP($A697,kurspris!$A$1:$Q$950,10,FALSE)</f>
        <v>0</v>
      </c>
      <c r="AL697" s="31">
        <f>VLOOKUP($A697,kurspris!$A$1:$Q$950,11,FALSE)</f>
        <v>1</v>
      </c>
      <c r="AM697" s="31">
        <f>VLOOKUP($A697,kurspris!$A$1:$Q$950,12,FALSE)</f>
        <v>0</v>
      </c>
      <c r="AN697" s="31">
        <f>VLOOKUP($A697,kurspris!$A$1:$Q$950,13,FALSE)</f>
        <v>0</v>
      </c>
      <c r="AO697" s="31">
        <f>VLOOKUP($A697,kurspris!$A$1:$Q$950,14,FALSE)</f>
        <v>0</v>
      </c>
      <c r="AP697" s="57" t="s">
        <v>2504</v>
      </c>
      <c r="AQ697"/>
      <c r="AR697" s="31">
        <f t="shared" si="305"/>
        <v>0</v>
      </c>
      <c r="AS697" s="219">
        <f t="shared" si="306"/>
        <v>0</v>
      </c>
      <c r="AT697" s="31">
        <f t="shared" si="307"/>
        <v>0</v>
      </c>
      <c r="AU697" s="219">
        <f t="shared" si="308"/>
        <v>0</v>
      </c>
      <c r="AV697" s="31">
        <f t="shared" si="309"/>
        <v>0</v>
      </c>
      <c r="AW697" s="31">
        <f t="shared" si="310"/>
        <v>0</v>
      </c>
      <c r="AX697" s="31">
        <f t="shared" si="311"/>
        <v>0</v>
      </c>
      <c r="AY697" s="219">
        <f t="shared" si="312"/>
        <v>0</v>
      </c>
      <c r="AZ697" s="196">
        <f t="shared" si="313"/>
        <v>0</v>
      </c>
      <c r="BA697" s="219">
        <f t="shared" si="314"/>
        <v>0</v>
      </c>
      <c r="BB697" s="31">
        <f t="shared" si="315"/>
        <v>0</v>
      </c>
      <c r="BC697" s="219">
        <f t="shared" si="316"/>
        <v>0</v>
      </c>
      <c r="BD697" s="31">
        <f t="shared" si="317"/>
        <v>0</v>
      </c>
      <c r="BE697" s="219">
        <f t="shared" si="318"/>
        <v>0</v>
      </c>
      <c r="BF697" s="31">
        <f t="shared" si="319"/>
        <v>0</v>
      </c>
      <c r="BG697" s="219">
        <f t="shared" si="320"/>
        <v>0</v>
      </c>
      <c r="BH697" s="31">
        <f t="shared" si="321"/>
        <v>0.375</v>
      </c>
      <c r="BI697" s="219">
        <f t="shared" si="322"/>
        <v>0.31874999999999998</v>
      </c>
      <c r="BJ697" s="31">
        <f t="shared" si="323"/>
        <v>0</v>
      </c>
      <c r="BK697" s="219">
        <f t="shared" si="324"/>
        <v>0</v>
      </c>
      <c r="BL697" s="31">
        <f t="shared" si="325"/>
        <v>0</v>
      </c>
      <c r="BM697" s="219">
        <f t="shared" si="326"/>
        <v>0</v>
      </c>
      <c r="BN697" s="31">
        <f t="shared" si="327"/>
        <v>0</v>
      </c>
      <c r="BO697" s="219">
        <f t="shared" si="328"/>
        <v>0</v>
      </c>
    </row>
    <row r="698" spans="1:67" x14ac:dyDescent="0.25">
      <c r="A698" s="31" t="s">
        <v>1733</v>
      </c>
      <c r="B698" s="176" t="str">
        <f>VLOOKUP(A698,kurspris!$A$1:$B$992,2,FALSE)</f>
        <v>Läraryrkets dimensioner för fritidshem 3 (VFU)</v>
      </c>
      <c r="C698" s="31">
        <v>68733</v>
      </c>
      <c r="D698" s="31" t="s">
        <v>484</v>
      </c>
      <c r="F698" s="57" t="s">
        <v>2274</v>
      </c>
      <c r="H698" s="31" t="s">
        <v>2335</v>
      </c>
      <c r="I698" s="31" t="s">
        <v>2399</v>
      </c>
      <c r="L698" s="38"/>
      <c r="M698">
        <v>7.5</v>
      </c>
      <c r="P698" s="31">
        <v>21</v>
      </c>
      <c r="Q698" s="539">
        <v>2.625</v>
      </c>
      <c r="R698" s="38">
        <v>0.85</v>
      </c>
      <c r="S698" s="280">
        <f t="shared" si="301"/>
        <v>2.2312499999999997</v>
      </c>
      <c r="T698" s="31">
        <f>VLOOKUP(A698,'Ansvar kurs'!$A$1:$C$1123,2,FALSE)</f>
        <v>2193</v>
      </c>
      <c r="U698" s="31" t="str">
        <f>VLOOKUP(T698,Orgenheter!$A$1:$C$166,2,FALSE)</f>
        <v xml:space="preserve">TUV </v>
      </c>
      <c r="V698" s="31" t="str">
        <f>VLOOKUP(T698,Orgenheter!$A$1:$C$166,3,FALSE)</f>
        <v>Sam</v>
      </c>
      <c r="W698" s="35" t="str">
        <f>VLOOKUP(D698,Program!$A$1:$B$36,2,FALSE)</f>
        <v>Grundlärarprogrammet - fritidshem</v>
      </c>
      <c r="X698" s="40">
        <f>VLOOKUP(A698,kurspris!$A$1:$Q$913,15,FALSE)</f>
        <v>25235</v>
      </c>
      <c r="Y698" s="40">
        <f>VLOOKUP(A698,kurspris!$A$1:$Q$913,16,FALSE)</f>
        <v>27976</v>
      </c>
      <c r="Z698" s="40">
        <f t="shared" si="302"/>
        <v>128663.32499999998</v>
      </c>
      <c r="AA698" s="40">
        <f>VLOOKUP(A698,kurspris!$A$1:$Q$913,17,FALSE)</f>
        <v>3600</v>
      </c>
      <c r="AB698" s="40">
        <f t="shared" si="303"/>
        <v>9450</v>
      </c>
      <c r="AC698" s="40">
        <f t="shared" si="304"/>
        <v>138113.32499999998</v>
      </c>
      <c r="AD698" s="31">
        <f>VLOOKUP($A698,kurspris!$A$1:$Q$950,3,FALSE)</f>
        <v>0</v>
      </c>
      <c r="AE698" s="31">
        <f>VLOOKUP($A698,kurspris!$A$1:$Q$950,4,FALSE)</f>
        <v>0</v>
      </c>
      <c r="AF698" s="31">
        <f>VLOOKUP($A698,kurspris!$A$1:$Q$950,5,FALSE)</f>
        <v>0</v>
      </c>
      <c r="AG698" s="31">
        <f>VLOOKUP($A698,kurspris!$A$1:$Q$950,6,FALSE)</f>
        <v>0</v>
      </c>
      <c r="AH698" s="31">
        <f>VLOOKUP($A698,kurspris!$A$1:$Q$950,7,FALSE)</f>
        <v>0</v>
      </c>
      <c r="AI698" s="31">
        <f>VLOOKUP($A698,kurspris!$A$1:$Q$950,8,FALSE)</f>
        <v>0</v>
      </c>
      <c r="AJ698" s="31">
        <f>VLOOKUP($A698,kurspris!$A$1:$Q$950,9,FALSE)</f>
        <v>0</v>
      </c>
      <c r="AK698" s="31">
        <f>VLOOKUP($A698,kurspris!$A$1:$Q$950,10,FALSE)</f>
        <v>0</v>
      </c>
      <c r="AL698" s="31">
        <f>VLOOKUP($A698,kurspris!$A$1:$Q$950,11,FALSE)</f>
        <v>1</v>
      </c>
      <c r="AM698" s="31">
        <f>VLOOKUP($A698,kurspris!$A$1:$Q$950,12,FALSE)</f>
        <v>0</v>
      </c>
      <c r="AN698" s="31">
        <f>VLOOKUP($A698,kurspris!$A$1:$Q$950,13,FALSE)</f>
        <v>0</v>
      </c>
      <c r="AO698" s="31">
        <f>VLOOKUP($A698,kurspris!$A$1:$Q$950,14,FALSE)</f>
        <v>0</v>
      </c>
      <c r="AP698" s="57" t="s">
        <v>2402</v>
      </c>
      <c r="AQ698" s="37"/>
      <c r="AR698" s="31">
        <f t="shared" si="305"/>
        <v>0</v>
      </c>
      <c r="AS698" s="219">
        <f t="shared" si="306"/>
        <v>0</v>
      </c>
      <c r="AT698" s="31">
        <f t="shared" si="307"/>
        <v>0</v>
      </c>
      <c r="AU698" s="219">
        <f t="shared" si="308"/>
        <v>0</v>
      </c>
      <c r="AV698" s="31">
        <f t="shared" si="309"/>
        <v>0</v>
      </c>
      <c r="AW698" s="31">
        <f t="shared" si="310"/>
        <v>0</v>
      </c>
      <c r="AX698" s="31">
        <f t="shared" si="311"/>
        <v>0</v>
      </c>
      <c r="AY698" s="219">
        <f t="shared" si="312"/>
        <v>0</v>
      </c>
      <c r="AZ698" s="196">
        <f t="shared" si="313"/>
        <v>0</v>
      </c>
      <c r="BA698" s="219">
        <f t="shared" si="314"/>
        <v>0</v>
      </c>
      <c r="BB698" s="31">
        <f t="shared" si="315"/>
        <v>0</v>
      </c>
      <c r="BC698" s="219">
        <f t="shared" si="316"/>
        <v>0</v>
      </c>
      <c r="BD698" s="31">
        <f t="shared" si="317"/>
        <v>0</v>
      </c>
      <c r="BE698" s="219">
        <f t="shared" si="318"/>
        <v>0</v>
      </c>
      <c r="BF698" s="31">
        <f t="shared" si="319"/>
        <v>0</v>
      </c>
      <c r="BG698" s="219">
        <f t="shared" si="320"/>
        <v>0</v>
      </c>
      <c r="BH698" s="31">
        <f t="shared" si="321"/>
        <v>2.625</v>
      </c>
      <c r="BI698" s="219">
        <f t="shared" si="322"/>
        <v>2.2312499999999997</v>
      </c>
      <c r="BJ698" s="31">
        <f t="shared" si="323"/>
        <v>0</v>
      </c>
      <c r="BK698" s="219">
        <f t="shared" si="324"/>
        <v>0</v>
      </c>
      <c r="BL698" s="31">
        <f t="shared" si="325"/>
        <v>0</v>
      </c>
      <c r="BM698" s="219">
        <f t="shared" si="326"/>
        <v>0</v>
      </c>
      <c r="BN698" s="31">
        <f t="shared" si="327"/>
        <v>0</v>
      </c>
      <c r="BO698" s="219">
        <f t="shared" si="328"/>
        <v>0</v>
      </c>
    </row>
    <row r="699" spans="1:67" x14ac:dyDescent="0.25">
      <c r="A699" s="31" t="s">
        <v>1806</v>
      </c>
      <c r="B699" s="176" t="str">
        <f>VLOOKUP(A699,kurspris!$A$1:$B$992,2,FALSE)</f>
        <v>Samhällsorientering för förskolan</v>
      </c>
      <c r="D699" s="60" t="s">
        <v>483</v>
      </c>
      <c r="E699" s="576" t="s">
        <v>2435</v>
      </c>
      <c r="F699" s="31" t="s">
        <v>2273</v>
      </c>
      <c r="G699" t="s">
        <v>2440</v>
      </c>
      <c r="H699" t="s">
        <v>2335</v>
      </c>
      <c r="I699" s="31" t="s">
        <v>2276</v>
      </c>
      <c r="L699" s="38">
        <v>1</v>
      </c>
      <c r="M699">
        <v>15</v>
      </c>
      <c r="P699" s="31">
        <v>1</v>
      </c>
      <c r="Q699" s="196">
        <f>(M699/60)*P699</f>
        <v>0.25</v>
      </c>
      <c r="R699" s="38">
        <v>0.85</v>
      </c>
      <c r="S699" s="280">
        <f t="shared" si="301"/>
        <v>0.21249999999999999</v>
      </c>
      <c r="T699" s="31">
        <f>VLOOKUP(A699,'Ansvar kurs'!$A$1:$C$1123,2,FALSE)</f>
        <v>2193</v>
      </c>
      <c r="U699" s="31" t="str">
        <f>VLOOKUP(T699,Orgenheter!$A$1:$C$166,2,FALSE)</f>
        <v xml:space="preserve">TUV </v>
      </c>
      <c r="V699" s="31" t="str">
        <f>VLOOKUP(T699,Orgenheter!$A$1:$C$166,3,FALSE)</f>
        <v>Sam</v>
      </c>
      <c r="W699" s="35" t="str">
        <f>VLOOKUP(D699,Program!$A$1:$B$36,2,FALSE)</f>
        <v>Förskollärarprogrammet</v>
      </c>
      <c r="X699" s="40">
        <f>VLOOKUP(A699,kurspris!$A$1:$Q$913,15,FALSE)</f>
        <v>20766</v>
      </c>
      <c r="Y699" s="40">
        <f>VLOOKUP(A699,kurspris!$A$1:$Q$913,16,FALSE)</f>
        <v>17442</v>
      </c>
      <c r="Z699" s="40">
        <f t="shared" si="302"/>
        <v>8897.9249999999993</v>
      </c>
      <c r="AA699" s="40">
        <f>VLOOKUP(A699,kurspris!$A$1:$Q$913,17,FALSE)</f>
        <v>6000</v>
      </c>
      <c r="AB699" s="40">
        <f t="shared" si="303"/>
        <v>1500</v>
      </c>
      <c r="AC699" s="40">
        <f t="shared" si="304"/>
        <v>10397.924999999999</v>
      </c>
      <c r="AD699" s="31">
        <f>VLOOKUP($A699,kurspris!$A$1:$Q$950,3,FALSE)</f>
        <v>0</v>
      </c>
      <c r="AE699" s="31">
        <f>VLOOKUP($A699,kurspris!$A$1:$Q$950,4,FALSE)</f>
        <v>0</v>
      </c>
      <c r="AF699" s="31">
        <f>VLOOKUP($A699,kurspris!$A$1:$Q$950,5,FALSE)</f>
        <v>0</v>
      </c>
      <c r="AG699" s="31">
        <f>VLOOKUP($A699,kurspris!$A$1:$Q$950,6,FALSE)</f>
        <v>0</v>
      </c>
      <c r="AH699" s="31">
        <f>VLOOKUP($A699,kurspris!$A$1:$Q$950,7,FALSE)</f>
        <v>0</v>
      </c>
      <c r="AI699" s="31">
        <f>VLOOKUP($A699,kurspris!$A$1:$Q$950,8,FALSE)</f>
        <v>0</v>
      </c>
      <c r="AJ699" s="31">
        <f>VLOOKUP($A699,kurspris!$A$1:$Q$950,9,FALSE)</f>
        <v>1</v>
      </c>
      <c r="AK699" s="31">
        <f>VLOOKUP($A699,kurspris!$A$1:$Q$950,10,FALSE)</f>
        <v>0</v>
      </c>
      <c r="AL699" s="31">
        <f>VLOOKUP($A699,kurspris!$A$1:$Q$950,11,FALSE)</f>
        <v>0</v>
      </c>
      <c r="AM699" s="31">
        <f>VLOOKUP($A699,kurspris!$A$1:$Q$950,12,FALSE)</f>
        <v>0</v>
      </c>
      <c r="AN699" s="31">
        <f>VLOOKUP($A699,kurspris!$A$1:$Q$950,13,FALSE)</f>
        <v>0</v>
      </c>
      <c r="AO699" s="31">
        <f>VLOOKUP($A699,kurspris!$A$1:$Q$950,14,FALSE)</f>
        <v>0</v>
      </c>
      <c r="AP699" s="57" t="s">
        <v>2506</v>
      </c>
      <c r="AQ699"/>
      <c r="AR699" s="31">
        <f t="shared" si="305"/>
        <v>0</v>
      </c>
      <c r="AS699" s="219">
        <f t="shared" si="306"/>
        <v>0</v>
      </c>
      <c r="AT699" s="31">
        <f t="shared" si="307"/>
        <v>0</v>
      </c>
      <c r="AU699" s="219">
        <f t="shared" si="308"/>
        <v>0</v>
      </c>
      <c r="AV699" s="31">
        <f t="shared" si="309"/>
        <v>0</v>
      </c>
      <c r="AW699" s="31">
        <f t="shared" si="310"/>
        <v>0</v>
      </c>
      <c r="AX699" s="31">
        <f t="shared" si="311"/>
        <v>0</v>
      </c>
      <c r="AY699" s="219">
        <f t="shared" si="312"/>
        <v>0</v>
      </c>
      <c r="AZ699" s="196">
        <f t="shared" si="313"/>
        <v>0</v>
      </c>
      <c r="BA699" s="219">
        <f t="shared" si="314"/>
        <v>0</v>
      </c>
      <c r="BB699" s="31">
        <f t="shared" si="315"/>
        <v>0</v>
      </c>
      <c r="BC699" s="219">
        <f t="shared" si="316"/>
        <v>0</v>
      </c>
      <c r="BD699" s="31">
        <f t="shared" si="317"/>
        <v>0.25</v>
      </c>
      <c r="BE699" s="219">
        <f t="shared" si="318"/>
        <v>0.21249999999999999</v>
      </c>
      <c r="BF699" s="31">
        <f t="shared" si="319"/>
        <v>0</v>
      </c>
      <c r="BG699" s="219">
        <f t="shared" si="320"/>
        <v>0</v>
      </c>
      <c r="BH699" s="31">
        <f t="shared" si="321"/>
        <v>0</v>
      </c>
      <c r="BI699" s="219">
        <f t="shared" si="322"/>
        <v>0</v>
      </c>
      <c r="BJ699" s="31">
        <f t="shared" si="323"/>
        <v>0</v>
      </c>
      <c r="BK699" s="219">
        <f t="shared" si="324"/>
        <v>0</v>
      </c>
      <c r="BL699" s="31">
        <f t="shared" si="325"/>
        <v>0</v>
      </c>
      <c r="BM699" s="219">
        <f t="shared" si="326"/>
        <v>0</v>
      </c>
      <c r="BN699" s="31">
        <f t="shared" si="327"/>
        <v>0</v>
      </c>
      <c r="BO699" s="219">
        <f t="shared" si="328"/>
        <v>0</v>
      </c>
    </row>
    <row r="700" spans="1:67" x14ac:dyDescent="0.25">
      <c r="A700" s="31" t="s">
        <v>1806</v>
      </c>
      <c r="B700" s="176" t="str">
        <f>VLOOKUP(A700,kurspris!$A$1:$B$992,2,FALSE)</f>
        <v>Samhällsorientering för förskolan</v>
      </c>
      <c r="D700" s="60" t="s">
        <v>483</v>
      </c>
      <c r="E700" s="576" t="s">
        <v>2430</v>
      </c>
      <c r="F700" s="31" t="s">
        <v>2273</v>
      </c>
      <c r="G700" t="s">
        <v>2440</v>
      </c>
      <c r="H700" t="s">
        <v>2335</v>
      </c>
      <c r="I700" s="31" t="s">
        <v>2276</v>
      </c>
      <c r="L700" s="38">
        <v>1</v>
      </c>
      <c r="M700">
        <v>15</v>
      </c>
      <c r="P700" s="31">
        <v>1</v>
      </c>
      <c r="Q700" s="196">
        <f>(M700/60)*P700</f>
        <v>0.25</v>
      </c>
      <c r="R700" s="38">
        <v>0.85</v>
      </c>
      <c r="S700" s="280">
        <f t="shared" si="301"/>
        <v>0.21249999999999999</v>
      </c>
      <c r="T700" s="31">
        <f>VLOOKUP(A700,'Ansvar kurs'!$A$1:$C$1123,2,FALSE)</f>
        <v>2193</v>
      </c>
      <c r="U700" s="31" t="str">
        <f>VLOOKUP(T700,Orgenheter!$A$1:$C$166,2,FALSE)</f>
        <v xml:space="preserve">TUV </v>
      </c>
      <c r="V700" s="31" t="str">
        <f>VLOOKUP(T700,Orgenheter!$A$1:$C$166,3,FALSE)</f>
        <v>Sam</v>
      </c>
      <c r="W700" s="35" t="str">
        <f>VLOOKUP(D700,Program!$A$1:$B$36,2,FALSE)</f>
        <v>Förskollärarprogrammet</v>
      </c>
      <c r="X700" s="40">
        <f>VLOOKUP(A700,kurspris!$A$1:$Q$913,15,FALSE)</f>
        <v>20766</v>
      </c>
      <c r="Y700" s="40">
        <f>VLOOKUP(A700,kurspris!$A$1:$Q$913,16,FALSE)</f>
        <v>17442</v>
      </c>
      <c r="Z700" s="40">
        <f t="shared" si="302"/>
        <v>8897.9249999999993</v>
      </c>
      <c r="AA700" s="40">
        <f>VLOOKUP(A700,kurspris!$A$1:$Q$913,17,FALSE)</f>
        <v>6000</v>
      </c>
      <c r="AB700" s="40">
        <f t="shared" si="303"/>
        <v>1500</v>
      </c>
      <c r="AC700" s="40">
        <f t="shared" si="304"/>
        <v>10397.924999999999</v>
      </c>
      <c r="AD700" s="31">
        <f>VLOOKUP($A700,kurspris!$A$1:$Q$950,3,FALSE)</f>
        <v>0</v>
      </c>
      <c r="AE700" s="31">
        <f>VLOOKUP($A700,kurspris!$A$1:$Q$950,4,FALSE)</f>
        <v>0</v>
      </c>
      <c r="AF700" s="31">
        <f>VLOOKUP($A700,kurspris!$A$1:$Q$950,5,FALSE)</f>
        <v>0</v>
      </c>
      <c r="AG700" s="31">
        <f>VLOOKUP($A700,kurspris!$A$1:$Q$950,6,FALSE)</f>
        <v>0</v>
      </c>
      <c r="AH700" s="31">
        <f>VLOOKUP($A700,kurspris!$A$1:$Q$950,7,FALSE)</f>
        <v>0</v>
      </c>
      <c r="AI700" s="31">
        <f>VLOOKUP($A700,kurspris!$A$1:$Q$950,8,FALSE)</f>
        <v>0</v>
      </c>
      <c r="AJ700" s="31">
        <f>VLOOKUP($A700,kurspris!$A$1:$Q$950,9,FALSE)</f>
        <v>1</v>
      </c>
      <c r="AK700" s="31">
        <f>VLOOKUP($A700,kurspris!$A$1:$Q$950,10,FALSE)</f>
        <v>0</v>
      </c>
      <c r="AL700" s="31">
        <f>VLOOKUP($A700,kurspris!$A$1:$Q$950,11,FALSE)</f>
        <v>0</v>
      </c>
      <c r="AM700" s="31">
        <f>VLOOKUP($A700,kurspris!$A$1:$Q$950,12,FALSE)</f>
        <v>0</v>
      </c>
      <c r="AN700" s="31">
        <f>VLOOKUP($A700,kurspris!$A$1:$Q$950,13,FALSE)</f>
        <v>0</v>
      </c>
      <c r="AO700" s="31">
        <f>VLOOKUP($A700,kurspris!$A$1:$Q$950,14,FALSE)</f>
        <v>0</v>
      </c>
      <c r="AP700" s="57" t="s">
        <v>2506</v>
      </c>
      <c r="AQ700"/>
      <c r="AR700" s="31">
        <f t="shared" si="305"/>
        <v>0</v>
      </c>
      <c r="AS700" s="219">
        <f t="shared" si="306"/>
        <v>0</v>
      </c>
      <c r="AT700" s="31">
        <f t="shared" si="307"/>
        <v>0</v>
      </c>
      <c r="AU700" s="219">
        <f t="shared" si="308"/>
        <v>0</v>
      </c>
      <c r="AV700" s="31">
        <f t="shared" si="309"/>
        <v>0</v>
      </c>
      <c r="AW700" s="31">
        <f t="shared" si="310"/>
        <v>0</v>
      </c>
      <c r="AX700" s="31">
        <f t="shared" si="311"/>
        <v>0</v>
      </c>
      <c r="AY700" s="219">
        <f t="shared" si="312"/>
        <v>0</v>
      </c>
      <c r="AZ700" s="196">
        <f t="shared" si="313"/>
        <v>0</v>
      </c>
      <c r="BA700" s="219">
        <f t="shared" si="314"/>
        <v>0</v>
      </c>
      <c r="BB700" s="31">
        <f t="shared" si="315"/>
        <v>0</v>
      </c>
      <c r="BC700" s="219">
        <f t="shared" si="316"/>
        <v>0</v>
      </c>
      <c r="BD700" s="31">
        <f t="shared" si="317"/>
        <v>0.25</v>
      </c>
      <c r="BE700" s="219">
        <f t="shared" si="318"/>
        <v>0.21249999999999999</v>
      </c>
      <c r="BF700" s="31">
        <f t="shared" si="319"/>
        <v>0</v>
      </c>
      <c r="BG700" s="219">
        <f t="shared" si="320"/>
        <v>0</v>
      </c>
      <c r="BH700" s="31">
        <f t="shared" si="321"/>
        <v>0</v>
      </c>
      <c r="BI700" s="219">
        <f t="shared" si="322"/>
        <v>0</v>
      </c>
      <c r="BJ700" s="31">
        <f t="shared" si="323"/>
        <v>0</v>
      </c>
      <c r="BK700" s="219">
        <f t="shared" si="324"/>
        <v>0</v>
      </c>
      <c r="BL700" s="31">
        <f t="shared" si="325"/>
        <v>0</v>
      </c>
      <c r="BM700" s="219">
        <f t="shared" si="326"/>
        <v>0</v>
      </c>
      <c r="BN700" s="31">
        <f t="shared" si="327"/>
        <v>0</v>
      </c>
      <c r="BO700" s="219">
        <f t="shared" si="328"/>
        <v>0</v>
      </c>
    </row>
    <row r="701" spans="1:67" x14ac:dyDescent="0.25">
      <c r="A701" s="31" t="s">
        <v>1806</v>
      </c>
      <c r="B701" s="176" t="str">
        <f>VLOOKUP(A701,kurspris!$A$1:$B$992,2,FALSE)</f>
        <v>Samhällsorientering för förskolan</v>
      </c>
      <c r="D701" s="60" t="s">
        <v>483</v>
      </c>
      <c r="E701" s="576" t="s">
        <v>2431</v>
      </c>
      <c r="F701" s="31" t="s">
        <v>2273</v>
      </c>
      <c r="G701" t="s">
        <v>2440</v>
      </c>
      <c r="H701" t="s">
        <v>2335</v>
      </c>
      <c r="I701" s="31" t="s">
        <v>2276</v>
      </c>
      <c r="L701" s="38">
        <v>1</v>
      </c>
      <c r="M701">
        <v>15</v>
      </c>
      <c r="P701" s="31">
        <v>12</v>
      </c>
      <c r="Q701" s="196">
        <f>(M701/60)*P701</f>
        <v>3</v>
      </c>
      <c r="R701" s="38">
        <v>0.85</v>
      </c>
      <c r="S701" s="280">
        <f t="shared" si="301"/>
        <v>2.5499999999999998</v>
      </c>
      <c r="T701" s="31">
        <f>VLOOKUP(A701,'Ansvar kurs'!$A$1:$C$1123,2,FALSE)</f>
        <v>2193</v>
      </c>
      <c r="U701" s="31" t="str">
        <f>VLOOKUP(T701,Orgenheter!$A$1:$C$166,2,FALSE)</f>
        <v xml:space="preserve">TUV </v>
      </c>
      <c r="V701" s="31" t="str">
        <f>VLOOKUP(T701,Orgenheter!$A$1:$C$166,3,FALSE)</f>
        <v>Sam</v>
      </c>
      <c r="W701" s="35" t="str">
        <f>VLOOKUP(D701,Program!$A$1:$B$36,2,FALSE)</f>
        <v>Förskollärarprogrammet</v>
      </c>
      <c r="X701" s="40">
        <f>VLOOKUP(A701,kurspris!$A$1:$Q$913,15,FALSE)</f>
        <v>20766</v>
      </c>
      <c r="Y701" s="40">
        <f>VLOOKUP(A701,kurspris!$A$1:$Q$913,16,FALSE)</f>
        <v>17442</v>
      </c>
      <c r="Z701" s="40">
        <f t="shared" si="302"/>
        <v>106775.1</v>
      </c>
      <c r="AA701" s="40">
        <f>VLOOKUP(A701,kurspris!$A$1:$Q$913,17,FALSE)</f>
        <v>6000</v>
      </c>
      <c r="AB701" s="40">
        <f t="shared" si="303"/>
        <v>18000</v>
      </c>
      <c r="AC701" s="40">
        <f t="shared" si="304"/>
        <v>124775.1</v>
      </c>
      <c r="AD701" s="31">
        <f>VLOOKUP($A701,kurspris!$A$1:$Q$950,3,FALSE)</f>
        <v>0</v>
      </c>
      <c r="AE701" s="31">
        <f>VLOOKUP($A701,kurspris!$A$1:$Q$950,4,FALSE)</f>
        <v>0</v>
      </c>
      <c r="AF701" s="31">
        <f>VLOOKUP($A701,kurspris!$A$1:$Q$950,5,FALSE)</f>
        <v>0</v>
      </c>
      <c r="AG701" s="31">
        <f>VLOOKUP($A701,kurspris!$A$1:$Q$950,6,FALSE)</f>
        <v>0</v>
      </c>
      <c r="AH701" s="31">
        <f>VLOOKUP($A701,kurspris!$A$1:$Q$950,7,FALSE)</f>
        <v>0</v>
      </c>
      <c r="AI701" s="31">
        <f>VLOOKUP($A701,kurspris!$A$1:$Q$950,8,FALSE)</f>
        <v>0</v>
      </c>
      <c r="AJ701" s="31">
        <f>VLOOKUP($A701,kurspris!$A$1:$Q$950,9,FALSE)</f>
        <v>1</v>
      </c>
      <c r="AK701" s="31">
        <f>VLOOKUP($A701,kurspris!$A$1:$Q$950,10,FALSE)</f>
        <v>0</v>
      </c>
      <c r="AL701" s="31">
        <f>VLOOKUP($A701,kurspris!$A$1:$Q$950,11,FALSE)</f>
        <v>0</v>
      </c>
      <c r="AM701" s="31">
        <f>VLOOKUP($A701,kurspris!$A$1:$Q$950,12,FALSE)</f>
        <v>0</v>
      </c>
      <c r="AN701" s="31">
        <f>VLOOKUP($A701,kurspris!$A$1:$Q$950,13,FALSE)</f>
        <v>0</v>
      </c>
      <c r="AO701" s="31">
        <f>VLOOKUP($A701,kurspris!$A$1:$Q$950,14,FALSE)</f>
        <v>0</v>
      </c>
      <c r="AP701" s="57" t="s">
        <v>2506</v>
      </c>
      <c r="AQ701"/>
      <c r="AR701" s="31">
        <f t="shared" si="305"/>
        <v>0</v>
      </c>
      <c r="AS701" s="219">
        <f t="shared" si="306"/>
        <v>0</v>
      </c>
      <c r="AT701" s="31">
        <f t="shared" si="307"/>
        <v>0</v>
      </c>
      <c r="AU701" s="219">
        <f t="shared" si="308"/>
        <v>0</v>
      </c>
      <c r="AV701" s="31">
        <f t="shared" si="309"/>
        <v>0</v>
      </c>
      <c r="AW701" s="31">
        <f t="shared" si="310"/>
        <v>0</v>
      </c>
      <c r="AX701" s="31">
        <f t="shared" si="311"/>
        <v>0</v>
      </c>
      <c r="AY701" s="219">
        <f t="shared" si="312"/>
        <v>0</v>
      </c>
      <c r="AZ701" s="196">
        <f t="shared" si="313"/>
        <v>0</v>
      </c>
      <c r="BA701" s="219">
        <f t="shared" si="314"/>
        <v>0</v>
      </c>
      <c r="BB701" s="31">
        <f t="shared" si="315"/>
        <v>0</v>
      </c>
      <c r="BC701" s="219">
        <f t="shared" si="316"/>
        <v>0</v>
      </c>
      <c r="BD701" s="31">
        <f t="shared" si="317"/>
        <v>3</v>
      </c>
      <c r="BE701" s="219">
        <f t="shared" si="318"/>
        <v>2.5499999999999998</v>
      </c>
      <c r="BF701" s="31">
        <f t="shared" si="319"/>
        <v>0</v>
      </c>
      <c r="BG701" s="219">
        <f t="shared" si="320"/>
        <v>0</v>
      </c>
      <c r="BH701" s="31">
        <f t="shared" si="321"/>
        <v>0</v>
      </c>
      <c r="BI701" s="219">
        <f t="shared" si="322"/>
        <v>0</v>
      </c>
      <c r="BJ701" s="31">
        <f t="shared" si="323"/>
        <v>0</v>
      </c>
      <c r="BK701" s="219">
        <f t="shared" si="324"/>
        <v>0</v>
      </c>
      <c r="BL701" s="31">
        <f t="shared" si="325"/>
        <v>0</v>
      </c>
      <c r="BM701" s="219">
        <f t="shared" si="326"/>
        <v>0</v>
      </c>
      <c r="BN701" s="31">
        <f t="shared" si="327"/>
        <v>0</v>
      </c>
      <c r="BO701" s="219">
        <f t="shared" si="328"/>
        <v>0</v>
      </c>
    </row>
    <row r="702" spans="1:67" x14ac:dyDescent="0.25">
      <c r="A702" s="31" t="s">
        <v>1806</v>
      </c>
      <c r="B702" s="176" t="str">
        <f>VLOOKUP(A702,kurspris!$A$1:$B$992,2,FALSE)</f>
        <v>Samhällsorientering för förskolan</v>
      </c>
      <c r="C702" s="31">
        <v>68717</v>
      </c>
      <c r="D702" s="31" t="s">
        <v>483</v>
      </c>
      <c r="F702" s="57" t="s">
        <v>2274</v>
      </c>
      <c r="H702" s="31" t="s">
        <v>2335</v>
      </c>
      <c r="I702" s="31" t="s">
        <v>2399</v>
      </c>
      <c r="L702" s="38"/>
      <c r="M702">
        <v>15</v>
      </c>
      <c r="P702" s="31">
        <v>40</v>
      </c>
      <c r="Q702" s="539">
        <v>10</v>
      </c>
      <c r="R702" s="38">
        <v>0.85</v>
      </c>
      <c r="S702" s="280">
        <f t="shared" si="301"/>
        <v>8.5</v>
      </c>
      <c r="T702" s="31">
        <f>VLOOKUP(A702,'Ansvar kurs'!$A$1:$C$1123,2,FALSE)</f>
        <v>2193</v>
      </c>
      <c r="U702" s="31" t="str">
        <f>VLOOKUP(T702,Orgenheter!$A$1:$C$166,2,FALSE)</f>
        <v xml:space="preserve">TUV </v>
      </c>
      <c r="V702" s="31" t="str">
        <f>VLOOKUP(T702,Orgenheter!$A$1:$C$166,3,FALSE)</f>
        <v>Sam</v>
      </c>
      <c r="W702" s="35" t="str">
        <f>VLOOKUP(D702,Program!$A$1:$B$36,2,FALSE)</f>
        <v>Förskollärarprogrammet</v>
      </c>
      <c r="X702" s="40">
        <f>VLOOKUP(A702,kurspris!$A$1:$Q$913,15,FALSE)</f>
        <v>20766</v>
      </c>
      <c r="Y702" s="40">
        <f>VLOOKUP(A702,kurspris!$A$1:$Q$913,16,FALSE)</f>
        <v>17442</v>
      </c>
      <c r="Z702" s="40">
        <f t="shared" si="302"/>
        <v>355917</v>
      </c>
      <c r="AA702" s="40">
        <f>VLOOKUP(A702,kurspris!$A$1:$Q$913,17,FALSE)</f>
        <v>6000</v>
      </c>
      <c r="AB702" s="40">
        <f t="shared" si="303"/>
        <v>60000</v>
      </c>
      <c r="AC702" s="40">
        <f t="shared" si="304"/>
        <v>415917</v>
      </c>
      <c r="AD702" s="31">
        <f>VLOOKUP($A702,kurspris!$A$1:$Q$950,3,FALSE)</f>
        <v>0</v>
      </c>
      <c r="AE702" s="31">
        <f>VLOOKUP($A702,kurspris!$A$1:$Q$950,4,FALSE)</f>
        <v>0</v>
      </c>
      <c r="AF702" s="31">
        <f>VLOOKUP($A702,kurspris!$A$1:$Q$950,5,FALSE)</f>
        <v>0</v>
      </c>
      <c r="AG702" s="31">
        <f>VLOOKUP($A702,kurspris!$A$1:$Q$950,6,FALSE)</f>
        <v>0</v>
      </c>
      <c r="AH702" s="31">
        <f>VLOOKUP($A702,kurspris!$A$1:$Q$950,7,FALSE)</f>
        <v>0</v>
      </c>
      <c r="AI702" s="31">
        <f>VLOOKUP($A702,kurspris!$A$1:$Q$950,8,FALSE)</f>
        <v>0</v>
      </c>
      <c r="AJ702" s="31">
        <f>VLOOKUP($A702,kurspris!$A$1:$Q$950,9,FALSE)</f>
        <v>1</v>
      </c>
      <c r="AK702" s="31">
        <f>VLOOKUP($A702,kurspris!$A$1:$Q$950,10,FALSE)</f>
        <v>0</v>
      </c>
      <c r="AL702" s="31">
        <f>VLOOKUP($A702,kurspris!$A$1:$Q$950,11,FALSE)</f>
        <v>0</v>
      </c>
      <c r="AM702" s="31">
        <f>VLOOKUP($A702,kurspris!$A$1:$Q$950,12,FALSE)</f>
        <v>0</v>
      </c>
      <c r="AN702" s="31">
        <f>VLOOKUP($A702,kurspris!$A$1:$Q$950,13,FALSE)</f>
        <v>0</v>
      </c>
      <c r="AO702" s="31">
        <f>VLOOKUP($A702,kurspris!$A$1:$Q$950,14,FALSE)</f>
        <v>0</v>
      </c>
      <c r="AP702" s="57" t="s">
        <v>2402</v>
      </c>
      <c r="AQ702" s="37"/>
      <c r="AR702" s="31">
        <f t="shared" si="305"/>
        <v>0</v>
      </c>
      <c r="AS702" s="219">
        <f t="shared" si="306"/>
        <v>0</v>
      </c>
      <c r="AT702" s="31">
        <f t="shared" si="307"/>
        <v>0</v>
      </c>
      <c r="AU702" s="219">
        <f t="shared" si="308"/>
        <v>0</v>
      </c>
      <c r="AV702" s="31">
        <f t="shared" si="309"/>
        <v>0</v>
      </c>
      <c r="AW702" s="31">
        <f t="shared" si="310"/>
        <v>0</v>
      </c>
      <c r="AX702" s="31">
        <f t="shared" si="311"/>
        <v>0</v>
      </c>
      <c r="AY702" s="219">
        <f t="shared" si="312"/>
        <v>0</v>
      </c>
      <c r="AZ702" s="196">
        <f t="shared" si="313"/>
        <v>0</v>
      </c>
      <c r="BA702" s="219">
        <f t="shared" si="314"/>
        <v>0</v>
      </c>
      <c r="BB702" s="31">
        <f t="shared" si="315"/>
        <v>0</v>
      </c>
      <c r="BC702" s="219">
        <f t="shared" si="316"/>
        <v>0</v>
      </c>
      <c r="BD702" s="31">
        <f t="shared" si="317"/>
        <v>10</v>
      </c>
      <c r="BE702" s="219">
        <f t="shared" si="318"/>
        <v>8.5</v>
      </c>
      <c r="BF702" s="31">
        <f t="shared" si="319"/>
        <v>0</v>
      </c>
      <c r="BG702" s="219">
        <f t="shared" si="320"/>
        <v>0</v>
      </c>
      <c r="BH702" s="31">
        <f t="shared" si="321"/>
        <v>0</v>
      </c>
      <c r="BI702" s="219">
        <f t="shared" si="322"/>
        <v>0</v>
      </c>
      <c r="BJ702" s="31">
        <f t="shared" si="323"/>
        <v>0</v>
      </c>
      <c r="BK702" s="219">
        <f t="shared" si="324"/>
        <v>0</v>
      </c>
      <c r="BL702" s="31">
        <f t="shared" si="325"/>
        <v>0</v>
      </c>
      <c r="BM702" s="219">
        <f t="shared" si="326"/>
        <v>0</v>
      </c>
      <c r="BN702" s="31">
        <f t="shared" si="327"/>
        <v>0</v>
      </c>
      <c r="BO702" s="219">
        <f t="shared" si="328"/>
        <v>0</v>
      </c>
    </row>
    <row r="703" spans="1:67" x14ac:dyDescent="0.25">
      <c r="A703" s="31" t="s">
        <v>1808</v>
      </c>
      <c r="B703" s="176" t="str">
        <f>VLOOKUP(A703,kurspris!$A$1:$B$992,2,FALSE)</f>
        <v>Profession och vetenskap för fritidshem (UK)</v>
      </c>
      <c r="C703" s="31">
        <v>68723</v>
      </c>
      <c r="D703" s="31" t="s">
        <v>484</v>
      </c>
      <c r="F703" s="57" t="s">
        <v>2274</v>
      </c>
      <c r="H703" s="31" t="s">
        <v>2335</v>
      </c>
      <c r="I703" s="31" t="s">
        <v>2399</v>
      </c>
      <c r="L703" s="38"/>
      <c r="M703">
        <v>7.5</v>
      </c>
      <c r="P703" s="31">
        <v>21</v>
      </c>
      <c r="Q703" s="539">
        <v>2.625</v>
      </c>
      <c r="R703" s="38">
        <v>0.85</v>
      </c>
      <c r="S703" s="280">
        <f t="shared" si="301"/>
        <v>2.2312499999999997</v>
      </c>
      <c r="T703" s="31">
        <f>VLOOKUP(A703,'Ansvar kurs'!$A$1:$C$1123,2,FALSE)</f>
        <v>2193</v>
      </c>
      <c r="U703" s="31" t="str">
        <f>VLOOKUP(T703,Orgenheter!$A$1:$C$166,2,FALSE)</f>
        <v xml:space="preserve">TUV </v>
      </c>
      <c r="V703" s="31" t="str">
        <f>VLOOKUP(T703,Orgenheter!$A$1:$C$166,3,FALSE)</f>
        <v>Sam</v>
      </c>
      <c r="W703" s="35" t="str">
        <f>VLOOKUP(D703,Program!$A$1:$B$36,2,FALSE)</f>
        <v>Grundlärarprogrammet - fritidshem</v>
      </c>
      <c r="X703" s="40">
        <f>VLOOKUP(A703,kurspris!$A$1:$Q$913,15,FALSE)</f>
        <v>26554</v>
      </c>
      <c r="Y703" s="40">
        <f>VLOOKUP(A703,kurspris!$A$1:$Q$913,16,FALSE)</f>
        <v>33465</v>
      </c>
      <c r="Z703" s="40">
        <f t="shared" si="302"/>
        <v>144373.03125</v>
      </c>
      <c r="AA703" s="40">
        <f>VLOOKUP(A703,kurspris!$A$1:$Q$913,17,FALSE)</f>
        <v>6000</v>
      </c>
      <c r="AB703" s="40">
        <f t="shared" si="303"/>
        <v>15750</v>
      </c>
      <c r="AC703" s="40">
        <f t="shared" si="304"/>
        <v>160123.03125</v>
      </c>
      <c r="AD703" s="31">
        <f>VLOOKUP($A703,kurspris!$A$1:$Q$950,3,FALSE)</f>
        <v>0</v>
      </c>
      <c r="AE703" s="31">
        <f>VLOOKUP($A703,kurspris!$A$1:$Q$950,4,FALSE)</f>
        <v>0</v>
      </c>
      <c r="AF703" s="31">
        <f>VLOOKUP($A703,kurspris!$A$1:$Q$950,5,FALSE)</f>
        <v>0</v>
      </c>
      <c r="AG703" s="31">
        <f>VLOOKUP($A703,kurspris!$A$1:$Q$950,6,FALSE)</f>
        <v>1</v>
      </c>
      <c r="AH703" s="31">
        <f>VLOOKUP($A703,kurspris!$A$1:$Q$950,7,FALSE)</f>
        <v>0</v>
      </c>
      <c r="AI703" s="31">
        <f>VLOOKUP($A703,kurspris!$A$1:$Q$950,8,FALSE)</f>
        <v>0</v>
      </c>
      <c r="AJ703" s="31">
        <f>VLOOKUP($A703,kurspris!$A$1:$Q$950,9,FALSE)</f>
        <v>0</v>
      </c>
      <c r="AK703" s="31">
        <f>VLOOKUP($A703,kurspris!$A$1:$Q$950,10,FALSE)</f>
        <v>0</v>
      </c>
      <c r="AL703" s="31">
        <f>VLOOKUP($A703,kurspris!$A$1:$Q$950,11,FALSE)</f>
        <v>0</v>
      </c>
      <c r="AM703" s="31">
        <f>VLOOKUP($A703,kurspris!$A$1:$Q$950,12,FALSE)</f>
        <v>0</v>
      </c>
      <c r="AN703" s="31">
        <f>VLOOKUP($A703,kurspris!$A$1:$Q$950,13,FALSE)</f>
        <v>0</v>
      </c>
      <c r="AO703" s="31">
        <f>VLOOKUP($A703,kurspris!$A$1:$Q$950,14,FALSE)</f>
        <v>0</v>
      </c>
      <c r="AP703" s="57" t="s">
        <v>2402</v>
      </c>
      <c r="AQ703" s="37"/>
      <c r="AR703" s="31">
        <f t="shared" si="305"/>
        <v>0</v>
      </c>
      <c r="AS703" s="219">
        <f t="shared" si="306"/>
        <v>0</v>
      </c>
      <c r="AT703" s="31">
        <f t="shared" si="307"/>
        <v>0</v>
      </c>
      <c r="AU703" s="219">
        <f t="shared" si="308"/>
        <v>0</v>
      </c>
      <c r="AV703" s="31">
        <f t="shared" si="309"/>
        <v>0</v>
      </c>
      <c r="AW703" s="31">
        <f t="shared" si="310"/>
        <v>0</v>
      </c>
      <c r="AX703" s="31">
        <f t="shared" si="311"/>
        <v>2.625</v>
      </c>
      <c r="AY703" s="219">
        <f t="shared" si="312"/>
        <v>2.2312499999999997</v>
      </c>
      <c r="AZ703" s="196">
        <f t="shared" si="313"/>
        <v>0</v>
      </c>
      <c r="BA703" s="219">
        <f t="shared" si="314"/>
        <v>0</v>
      </c>
      <c r="BB703" s="31">
        <f t="shared" si="315"/>
        <v>0</v>
      </c>
      <c r="BC703" s="219">
        <f t="shared" si="316"/>
        <v>0</v>
      </c>
      <c r="BD703" s="31">
        <f t="shared" si="317"/>
        <v>0</v>
      </c>
      <c r="BE703" s="219">
        <f t="shared" si="318"/>
        <v>0</v>
      </c>
      <c r="BF703" s="31">
        <f t="shared" si="319"/>
        <v>0</v>
      </c>
      <c r="BG703" s="219">
        <f t="shared" si="320"/>
        <v>0</v>
      </c>
      <c r="BH703" s="31">
        <f t="shared" si="321"/>
        <v>0</v>
      </c>
      <c r="BI703" s="219">
        <f t="shared" si="322"/>
        <v>0</v>
      </c>
      <c r="BJ703" s="31">
        <f t="shared" si="323"/>
        <v>0</v>
      </c>
      <c r="BK703" s="219">
        <f t="shared" si="324"/>
        <v>0</v>
      </c>
      <c r="BL703" s="31">
        <f t="shared" si="325"/>
        <v>0</v>
      </c>
      <c r="BM703" s="219">
        <f t="shared" si="326"/>
        <v>0</v>
      </c>
      <c r="BN703" s="31">
        <f t="shared" si="327"/>
        <v>0</v>
      </c>
      <c r="BO703" s="219">
        <f t="shared" si="328"/>
        <v>0</v>
      </c>
    </row>
    <row r="704" spans="1:67" x14ac:dyDescent="0.25">
      <c r="A704" s="244" t="s">
        <v>1829</v>
      </c>
      <c r="B704" s="362" t="str">
        <f>VLOOKUP(A704,kurspris!$A$1:$B$992,2,FALSE)</f>
        <v>Grundlärare som profession (UK)</v>
      </c>
      <c r="C704" s="244"/>
      <c r="D704" s="538" t="s">
        <v>484</v>
      </c>
      <c r="E704" s="538" t="s">
        <v>2203</v>
      </c>
      <c r="F704" s="244" t="s">
        <v>2273</v>
      </c>
      <c r="G704" s="244"/>
      <c r="H704" s="244">
        <v>2480</v>
      </c>
      <c r="I704" s="244"/>
      <c r="J704" s="244"/>
      <c r="K704" s="244"/>
      <c r="L704" s="518"/>
      <c r="M704" s="325">
        <v>6</v>
      </c>
      <c r="P704" s="573">
        <v>24</v>
      </c>
      <c r="Q704" s="196">
        <f>(M704/60)*P704</f>
        <v>2.4000000000000004</v>
      </c>
      <c r="R704" s="38">
        <v>0.85</v>
      </c>
      <c r="S704" s="280">
        <f t="shared" si="301"/>
        <v>2.04</v>
      </c>
      <c r="T704" s="31">
        <f>VLOOKUP(A704,'Ansvar kurs'!$A$1:$C$1123,2,FALSE)</f>
        <v>5740</v>
      </c>
      <c r="U704" s="31" t="str">
        <f>VLOOKUP(T704,Orgenheter!$A$1:$C$166,2,FALSE)</f>
        <v>NMD</v>
      </c>
      <c r="V704" s="31" t="str">
        <f>VLOOKUP(T704,Orgenheter!$A$1:$C$166,3,FALSE)</f>
        <v>TekNat</v>
      </c>
      <c r="W704" s="35" t="str">
        <f>VLOOKUP(D704,Program!$A$1:$B$36,2,FALSE)</f>
        <v>Grundlärarprogrammet - fritidshem</v>
      </c>
      <c r="X704" s="40">
        <f>VLOOKUP(A704,kurspris!$A$1:$Q$913,15,FALSE)</f>
        <v>26554</v>
      </c>
      <c r="Y704" s="40">
        <f>VLOOKUP(A704,kurspris!$A$1:$Q$913,16,FALSE)</f>
        <v>33465</v>
      </c>
      <c r="Z704" s="40">
        <f t="shared" si="302"/>
        <v>131998.20000000001</v>
      </c>
      <c r="AA704" s="40">
        <f>VLOOKUP(A704,kurspris!$A$1:$Q$913,17,FALSE)</f>
        <v>6000</v>
      </c>
      <c r="AB704" s="40">
        <f t="shared" si="303"/>
        <v>14400.000000000002</v>
      </c>
      <c r="AC704" s="40">
        <f t="shared" si="304"/>
        <v>146398.20000000001</v>
      </c>
      <c r="AD704" s="31">
        <f>VLOOKUP($A704,kurspris!$A$1:$Q$950,3,FALSE)</f>
        <v>0</v>
      </c>
      <c r="AE704" s="31">
        <f>VLOOKUP($A704,kurspris!$A$1:$Q$950,4,FALSE)</f>
        <v>0</v>
      </c>
      <c r="AF704" s="31">
        <f>VLOOKUP($A704,kurspris!$A$1:$Q$950,5,FALSE)</f>
        <v>0</v>
      </c>
      <c r="AG704" s="31">
        <f>VLOOKUP($A704,kurspris!$A$1:$Q$950,6,FALSE)</f>
        <v>1</v>
      </c>
      <c r="AH704" s="31">
        <f>VLOOKUP($A704,kurspris!$A$1:$Q$950,7,FALSE)</f>
        <v>0</v>
      </c>
      <c r="AI704" s="31">
        <f>VLOOKUP($A704,kurspris!$A$1:$Q$950,8,FALSE)</f>
        <v>0</v>
      </c>
      <c r="AJ704" s="31">
        <f>VLOOKUP($A704,kurspris!$A$1:$Q$950,9,FALSE)</f>
        <v>0</v>
      </c>
      <c r="AK704" s="31">
        <f>VLOOKUP($A704,kurspris!$A$1:$Q$950,10,FALSE)</f>
        <v>0</v>
      </c>
      <c r="AL704" s="31">
        <f>VLOOKUP($A704,kurspris!$A$1:$Q$950,11,FALSE)</f>
        <v>0</v>
      </c>
      <c r="AM704" s="31">
        <f>VLOOKUP($A704,kurspris!$A$1:$Q$950,12,FALSE)</f>
        <v>0</v>
      </c>
      <c r="AN704" s="31">
        <f>VLOOKUP($A704,kurspris!$A$1:$Q$950,13,FALSE)</f>
        <v>0</v>
      </c>
      <c r="AO704" s="31">
        <f>VLOOKUP($A704,kurspris!$A$1:$Q$950,14,FALSE)</f>
        <v>0</v>
      </c>
      <c r="AP704" s="57" t="s">
        <v>2499</v>
      </c>
      <c r="AQ704" s="37"/>
      <c r="AR704" s="31">
        <f t="shared" si="305"/>
        <v>0</v>
      </c>
      <c r="AS704" s="219">
        <f t="shared" si="306"/>
        <v>0</v>
      </c>
      <c r="AT704" s="31">
        <f t="shared" si="307"/>
        <v>0</v>
      </c>
      <c r="AU704" s="219">
        <f t="shared" si="308"/>
        <v>0</v>
      </c>
      <c r="AV704" s="31">
        <f t="shared" si="309"/>
        <v>0</v>
      </c>
      <c r="AW704" s="31">
        <f t="shared" si="310"/>
        <v>0</v>
      </c>
      <c r="AX704" s="31">
        <f t="shared" si="311"/>
        <v>2.4000000000000004</v>
      </c>
      <c r="AY704" s="219">
        <f t="shared" si="312"/>
        <v>2.04</v>
      </c>
      <c r="AZ704" s="196">
        <f t="shared" si="313"/>
        <v>0</v>
      </c>
      <c r="BA704" s="219">
        <f t="shared" si="314"/>
        <v>0</v>
      </c>
      <c r="BB704" s="31">
        <f t="shared" si="315"/>
        <v>0</v>
      </c>
      <c r="BC704" s="219">
        <f t="shared" si="316"/>
        <v>0</v>
      </c>
      <c r="BD704" s="31">
        <f t="shared" si="317"/>
        <v>0</v>
      </c>
      <c r="BE704" s="219">
        <f t="shared" si="318"/>
        <v>0</v>
      </c>
      <c r="BF704" s="31">
        <f t="shared" si="319"/>
        <v>0</v>
      </c>
      <c r="BG704" s="219">
        <f t="shared" si="320"/>
        <v>0</v>
      </c>
      <c r="BH704" s="31">
        <f t="shared" si="321"/>
        <v>0</v>
      </c>
      <c r="BI704" s="219">
        <f t="shared" si="322"/>
        <v>0</v>
      </c>
      <c r="BJ704" s="31">
        <f t="shared" si="323"/>
        <v>0</v>
      </c>
      <c r="BK704" s="219">
        <f t="shared" si="324"/>
        <v>0</v>
      </c>
      <c r="BL704" s="31">
        <f t="shared" si="325"/>
        <v>0</v>
      </c>
      <c r="BM704" s="219">
        <f t="shared" si="326"/>
        <v>0</v>
      </c>
      <c r="BN704" s="31">
        <f t="shared" si="327"/>
        <v>0</v>
      </c>
      <c r="BO704" s="219">
        <f t="shared" si="328"/>
        <v>0</v>
      </c>
    </row>
    <row r="705" spans="1:67" x14ac:dyDescent="0.25">
      <c r="A705" s="283" t="s">
        <v>1829</v>
      </c>
      <c r="B705" s="362" t="str">
        <f>VLOOKUP(A705,kurspris!$A$1:$B$992,2,FALSE)</f>
        <v>Grundlärare som profession (UK)</v>
      </c>
      <c r="C705" s="244"/>
      <c r="D705" s="538" t="s">
        <v>485</v>
      </c>
      <c r="E705" s="538" t="s">
        <v>2203</v>
      </c>
      <c r="F705" s="244" t="s">
        <v>2273</v>
      </c>
      <c r="G705" s="244"/>
      <c r="H705" s="244">
        <v>2480</v>
      </c>
      <c r="I705" s="244"/>
      <c r="J705" s="244"/>
      <c r="K705" s="244"/>
      <c r="L705" s="518"/>
      <c r="M705" s="325">
        <v>6</v>
      </c>
      <c r="P705" s="573">
        <v>41</v>
      </c>
      <c r="Q705" s="196">
        <f>(M705/60)*P705</f>
        <v>4.1000000000000005</v>
      </c>
      <c r="R705" s="38">
        <v>0.85</v>
      </c>
      <c r="S705" s="280">
        <f t="shared" si="301"/>
        <v>3.4850000000000003</v>
      </c>
      <c r="T705" s="31">
        <f>VLOOKUP(A705,'Ansvar kurs'!$A$1:$C$1123,2,FALSE)</f>
        <v>5740</v>
      </c>
      <c r="U705" s="31" t="str">
        <f>VLOOKUP(T705,Orgenheter!$A$1:$C$166,2,FALSE)</f>
        <v>NMD</v>
      </c>
      <c r="V705" s="31" t="str">
        <f>VLOOKUP(T705,Orgenheter!$A$1:$C$166,3,FALSE)</f>
        <v>TekNat</v>
      </c>
      <c r="W705" s="35" t="str">
        <f>VLOOKUP(D705,Program!$A$1:$B$36,2,FALSE)</f>
        <v>Grundlärarprogrammet - förskoleklass och åk 1-3</v>
      </c>
      <c r="X705" s="40">
        <f>VLOOKUP(A705,kurspris!$A$1:$Q$913,15,FALSE)</f>
        <v>26554</v>
      </c>
      <c r="Y705" s="40">
        <f>VLOOKUP(A705,kurspris!$A$1:$Q$913,16,FALSE)</f>
        <v>33465</v>
      </c>
      <c r="Z705" s="40">
        <f t="shared" si="302"/>
        <v>225496.92500000002</v>
      </c>
      <c r="AA705" s="40">
        <f>VLOOKUP(A705,kurspris!$A$1:$Q$913,17,FALSE)</f>
        <v>6000</v>
      </c>
      <c r="AB705" s="40">
        <f t="shared" si="303"/>
        <v>24600.000000000004</v>
      </c>
      <c r="AC705" s="40">
        <f t="shared" si="304"/>
        <v>250096.92500000002</v>
      </c>
      <c r="AD705" s="31">
        <f>VLOOKUP($A705,kurspris!$A$1:$Q$950,3,FALSE)</f>
        <v>0</v>
      </c>
      <c r="AE705" s="31">
        <f>VLOOKUP($A705,kurspris!$A$1:$Q$950,4,FALSE)</f>
        <v>0</v>
      </c>
      <c r="AF705" s="31">
        <f>VLOOKUP($A705,kurspris!$A$1:$Q$950,5,FALSE)</f>
        <v>0</v>
      </c>
      <c r="AG705" s="31">
        <f>VLOOKUP($A705,kurspris!$A$1:$Q$950,6,FALSE)</f>
        <v>1</v>
      </c>
      <c r="AH705" s="31">
        <f>VLOOKUP($A705,kurspris!$A$1:$Q$950,7,FALSE)</f>
        <v>0</v>
      </c>
      <c r="AI705" s="31">
        <f>VLOOKUP($A705,kurspris!$A$1:$Q$950,8,FALSE)</f>
        <v>0</v>
      </c>
      <c r="AJ705" s="31">
        <f>VLOOKUP($A705,kurspris!$A$1:$Q$950,9,FALSE)</f>
        <v>0</v>
      </c>
      <c r="AK705" s="31">
        <f>VLOOKUP($A705,kurspris!$A$1:$Q$950,10,FALSE)</f>
        <v>0</v>
      </c>
      <c r="AL705" s="31">
        <f>VLOOKUP($A705,kurspris!$A$1:$Q$950,11,FALSE)</f>
        <v>0</v>
      </c>
      <c r="AM705" s="31">
        <f>VLOOKUP($A705,kurspris!$A$1:$Q$950,12,FALSE)</f>
        <v>0</v>
      </c>
      <c r="AN705" s="31">
        <f>VLOOKUP($A705,kurspris!$A$1:$Q$950,13,FALSE)</f>
        <v>0</v>
      </c>
      <c r="AO705" s="31">
        <f>VLOOKUP($A705,kurspris!$A$1:$Q$950,14,FALSE)</f>
        <v>0</v>
      </c>
      <c r="AP705" s="57" t="s">
        <v>2499</v>
      </c>
      <c r="AQ705"/>
      <c r="AR705" s="31">
        <f t="shared" si="305"/>
        <v>0</v>
      </c>
      <c r="AS705" s="219">
        <f t="shared" si="306"/>
        <v>0</v>
      </c>
      <c r="AT705" s="31">
        <f t="shared" si="307"/>
        <v>0</v>
      </c>
      <c r="AU705" s="219">
        <f t="shared" si="308"/>
        <v>0</v>
      </c>
      <c r="AV705" s="31">
        <f t="shared" si="309"/>
        <v>0</v>
      </c>
      <c r="AW705" s="31">
        <f t="shared" si="310"/>
        <v>0</v>
      </c>
      <c r="AX705" s="31">
        <f t="shared" si="311"/>
        <v>4.1000000000000005</v>
      </c>
      <c r="AY705" s="219">
        <f t="shared" si="312"/>
        <v>3.4850000000000003</v>
      </c>
      <c r="AZ705" s="196">
        <f t="shared" si="313"/>
        <v>0</v>
      </c>
      <c r="BA705" s="219">
        <f t="shared" si="314"/>
        <v>0</v>
      </c>
      <c r="BB705" s="31">
        <f t="shared" si="315"/>
        <v>0</v>
      </c>
      <c r="BC705" s="219">
        <f t="shared" si="316"/>
        <v>0</v>
      </c>
      <c r="BD705" s="31">
        <f t="shared" si="317"/>
        <v>0</v>
      </c>
      <c r="BE705" s="219">
        <f t="shared" si="318"/>
        <v>0</v>
      </c>
      <c r="BF705" s="31">
        <f t="shared" si="319"/>
        <v>0</v>
      </c>
      <c r="BG705" s="219">
        <f t="shared" si="320"/>
        <v>0</v>
      </c>
      <c r="BH705" s="31">
        <f t="shared" si="321"/>
        <v>0</v>
      </c>
      <c r="BI705" s="219">
        <f t="shared" si="322"/>
        <v>0</v>
      </c>
      <c r="BJ705" s="31">
        <f t="shared" si="323"/>
        <v>0</v>
      </c>
      <c r="BK705" s="219">
        <f t="shared" si="324"/>
        <v>0</v>
      </c>
      <c r="BL705" s="31">
        <f t="shared" si="325"/>
        <v>0</v>
      </c>
      <c r="BM705" s="219">
        <f t="shared" si="326"/>
        <v>0</v>
      </c>
      <c r="BN705" s="31">
        <f t="shared" si="327"/>
        <v>0</v>
      </c>
      <c r="BO705" s="219">
        <f t="shared" si="328"/>
        <v>0</v>
      </c>
    </row>
    <row r="706" spans="1:67" x14ac:dyDescent="0.25">
      <c r="A706" s="31" t="s">
        <v>1829</v>
      </c>
      <c r="B706" s="176" t="str">
        <f>VLOOKUP(A706,kurspris!$A$1:$B$992,2,FALSE)</f>
        <v>Grundlärare som profession (UK)</v>
      </c>
      <c r="D706" s="60" t="s">
        <v>523</v>
      </c>
      <c r="E706" s="576" t="s">
        <v>2432</v>
      </c>
      <c r="F706" s="31" t="s">
        <v>2273</v>
      </c>
      <c r="G706" t="s">
        <v>2457</v>
      </c>
      <c r="H706" t="s">
        <v>2335</v>
      </c>
      <c r="I706" s="31" t="s">
        <v>2276</v>
      </c>
      <c r="L706" s="38">
        <v>1</v>
      </c>
      <c r="M706">
        <v>6</v>
      </c>
      <c r="P706" s="31">
        <v>1</v>
      </c>
      <c r="Q706" s="196">
        <f>(M706/60)*P706</f>
        <v>0.1</v>
      </c>
      <c r="R706" s="38">
        <v>0.85</v>
      </c>
      <c r="S706" s="280">
        <f t="shared" ref="S706:S769" si="331">Q706*R706</f>
        <v>8.5000000000000006E-2</v>
      </c>
      <c r="T706" s="31">
        <f>VLOOKUP(A706,'Ansvar kurs'!$A$1:$C$1123,2,FALSE)</f>
        <v>5740</v>
      </c>
      <c r="U706" s="31" t="str">
        <f>VLOOKUP(T706,Orgenheter!$A$1:$C$166,2,FALSE)</f>
        <v>NMD</v>
      </c>
      <c r="V706" s="31" t="str">
        <f>VLOOKUP(T706,Orgenheter!$A$1:$C$166,3,FALSE)</f>
        <v>TekNat</v>
      </c>
      <c r="W706" s="35" t="str">
        <f>VLOOKUP(D706,Program!$A$1:$B$36,2,FALSE)</f>
        <v>Grundlärarprogrammet - grundskolans åk 4-6</v>
      </c>
      <c r="X706" s="40">
        <f>VLOOKUP(A706,kurspris!$A$1:$Q$913,15,FALSE)</f>
        <v>26554</v>
      </c>
      <c r="Y706" s="40">
        <f>VLOOKUP(A706,kurspris!$A$1:$Q$913,16,FALSE)</f>
        <v>33465</v>
      </c>
      <c r="Z706" s="40">
        <f t="shared" ref="Z706:Z769" si="332">X706*Q706+S706*Y706</f>
        <v>5499.9250000000002</v>
      </c>
      <c r="AA706" s="40">
        <f>VLOOKUP(A706,kurspris!$A$1:$Q$913,17,FALSE)</f>
        <v>6000</v>
      </c>
      <c r="AB706" s="40">
        <f t="shared" ref="AB706:AB769" si="333">AA706*Q706</f>
        <v>600</v>
      </c>
      <c r="AC706" s="40">
        <f t="shared" ref="AC706:AC769" si="334">Z706+AB706</f>
        <v>6099.9250000000002</v>
      </c>
      <c r="AD706" s="31">
        <f>VLOOKUP($A706,kurspris!$A$1:$Q$950,3,FALSE)</f>
        <v>0</v>
      </c>
      <c r="AE706" s="31">
        <f>VLOOKUP($A706,kurspris!$A$1:$Q$950,4,FALSE)</f>
        <v>0</v>
      </c>
      <c r="AF706" s="31">
        <f>VLOOKUP($A706,kurspris!$A$1:$Q$950,5,FALSE)</f>
        <v>0</v>
      </c>
      <c r="AG706" s="31">
        <f>VLOOKUP($A706,kurspris!$A$1:$Q$950,6,FALSE)</f>
        <v>1</v>
      </c>
      <c r="AH706" s="31">
        <f>VLOOKUP($A706,kurspris!$A$1:$Q$950,7,FALSE)</f>
        <v>0</v>
      </c>
      <c r="AI706" s="31">
        <f>VLOOKUP($A706,kurspris!$A$1:$Q$950,8,FALSE)</f>
        <v>0</v>
      </c>
      <c r="AJ706" s="31">
        <f>VLOOKUP($A706,kurspris!$A$1:$Q$950,9,FALSE)</f>
        <v>0</v>
      </c>
      <c r="AK706" s="31">
        <f>VLOOKUP($A706,kurspris!$A$1:$Q$950,10,FALSE)</f>
        <v>0</v>
      </c>
      <c r="AL706" s="31">
        <f>VLOOKUP($A706,kurspris!$A$1:$Q$950,11,FALSE)</f>
        <v>0</v>
      </c>
      <c r="AM706" s="31">
        <f>VLOOKUP($A706,kurspris!$A$1:$Q$950,12,FALSE)</f>
        <v>0</v>
      </c>
      <c r="AN706" s="31">
        <f>VLOOKUP($A706,kurspris!$A$1:$Q$950,13,FALSE)</f>
        <v>0</v>
      </c>
      <c r="AO706" s="31">
        <f>VLOOKUP($A706,kurspris!$A$1:$Q$950,14,FALSE)</f>
        <v>0</v>
      </c>
      <c r="AP706" s="57" t="s">
        <v>2504</v>
      </c>
      <c r="AQ706"/>
      <c r="AR706" s="31">
        <f t="shared" ref="AR706:AR769" si="335">$Q706*AD706</f>
        <v>0</v>
      </c>
      <c r="AS706" s="219">
        <f t="shared" ref="AS706:AS769" si="336">$S706*AD706</f>
        <v>0</v>
      </c>
      <c r="AT706" s="31">
        <f t="shared" ref="AT706:AT769" si="337">$Q706*AE706</f>
        <v>0</v>
      </c>
      <c r="AU706" s="219">
        <f t="shared" ref="AU706:AU769" si="338">$S706*AE706</f>
        <v>0</v>
      </c>
      <c r="AV706" s="31">
        <f t="shared" ref="AV706:AV769" si="339">$Q706*AF706</f>
        <v>0</v>
      </c>
      <c r="AW706" s="31">
        <f t="shared" ref="AW706:AW769" si="340">$S706*AF706</f>
        <v>0</v>
      </c>
      <c r="AX706" s="31">
        <f t="shared" ref="AX706:AX769" si="341">$Q706*AG706</f>
        <v>0.1</v>
      </c>
      <c r="AY706" s="219">
        <f t="shared" ref="AY706:AY769" si="342">$S706*AG706</f>
        <v>8.5000000000000006E-2</v>
      </c>
      <c r="AZ706" s="196">
        <f t="shared" ref="AZ706:AZ769" si="343">$Q706*AH706</f>
        <v>0</v>
      </c>
      <c r="BA706" s="219">
        <f t="shared" ref="BA706:BA769" si="344">$S706*AH706</f>
        <v>0</v>
      </c>
      <c r="BB706" s="31">
        <f t="shared" ref="BB706:BB769" si="345">$Q706*AI706</f>
        <v>0</v>
      </c>
      <c r="BC706" s="219">
        <f t="shared" ref="BC706:BC769" si="346">$S706*AI706</f>
        <v>0</v>
      </c>
      <c r="BD706" s="31">
        <f t="shared" ref="BD706:BD769" si="347">$Q706*AJ706</f>
        <v>0</v>
      </c>
      <c r="BE706" s="219">
        <f t="shared" ref="BE706:BE769" si="348">$S706*AJ706</f>
        <v>0</v>
      </c>
      <c r="BF706" s="31">
        <f t="shared" ref="BF706:BF769" si="349">$Q706*AK706</f>
        <v>0</v>
      </c>
      <c r="BG706" s="219">
        <f t="shared" ref="BG706:BG769" si="350">$S706*AK706</f>
        <v>0</v>
      </c>
      <c r="BH706" s="31">
        <f t="shared" ref="BH706:BH769" si="351">$Q706*AL706</f>
        <v>0</v>
      </c>
      <c r="BI706" s="219">
        <f t="shared" ref="BI706:BI769" si="352">$S706*AL706</f>
        <v>0</v>
      </c>
      <c r="BJ706" s="31">
        <f t="shared" ref="BJ706:BJ769" si="353">$Q706*AM706</f>
        <v>0</v>
      </c>
      <c r="BK706" s="219">
        <f t="shared" ref="BK706:BK769" si="354">$S706*AM706</f>
        <v>0</v>
      </c>
      <c r="BL706" s="31">
        <f t="shared" ref="BL706:BL769" si="355">$Q706*AN706</f>
        <v>0</v>
      </c>
      <c r="BM706" s="219">
        <f t="shared" ref="BM706:BM769" si="356">$S706*AN706</f>
        <v>0</v>
      </c>
      <c r="BN706" s="31">
        <f t="shared" ref="BN706:BN769" si="357">$Q706*AO706</f>
        <v>0</v>
      </c>
      <c r="BO706" s="219">
        <f t="shared" ref="BO706:BO769" si="358">$S706*AO706</f>
        <v>0</v>
      </c>
    </row>
    <row r="707" spans="1:67" x14ac:dyDescent="0.25">
      <c r="A707" s="283" t="s">
        <v>1829</v>
      </c>
      <c r="B707" s="362" t="str">
        <f>VLOOKUP(A707,kurspris!$A$1:$B$992,2,FALSE)</f>
        <v>Grundlärare som profession (UK)</v>
      </c>
      <c r="C707" s="244"/>
      <c r="D707" s="538" t="s">
        <v>523</v>
      </c>
      <c r="E707" s="538" t="s">
        <v>2203</v>
      </c>
      <c r="F707" s="244" t="s">
        <v>2273</v>
      </c>
      <c r="G707" s="244"/>
      <c r="H707" s="244">
        <v>2480</v>
      </c>
      <c r="I707" s="244"/>
      <c r="J707" s="244" t="s">
        <v>2332</v>
      </c>
      <c r="K707" s="244"/>
      <c r="L707" s="518">
        <v>0.75</v>
      </c>
      <c r="M707" s="325">
        <v>6</v>
      </c>
      <c r="P707" s="573">
        <v>23</v>
      </c>
      <c r="Q707" s="196">
        <f>(M707/60)*P707</f>
        <v>2.3000000000000003</v>
      </c>
      <c r="R707" s="38">
        <v>0.85</v>
      </c>
      <c r="S707" s="280">
        <f t="shared" si="331"/>
        <v>1.9550000000000001</v>
      </c>
      <c r="T707" s="31">
        <f>VLOOKUP(A707,'Ansvar kurs'!$A$1:$C$1123,2,FALSE)</f>
        <v>5740</v>
      </c>
      <c r="U707" s="31" t="str">
        <f>VLOOKUP(T707,Orgenheter!$A$1:$C$166,2,FALSE)</f>
        <v>NMD</v>
      </c>
      <c r="V707" s="31" t="str">
        <f>VLOOKUP(T707,Orgenheter!$A$1:$C$166,3,FALSE)</f>
        <v>TekNat</v>
      </c>
      <c r="W707" s="35" t="str">
        <f>VLOOKUP(D707,Program!$A$1:$B$36,2,FALSE)</f>
        <v>Grundlärarprogrammet - grundskolans åk 4-6</v>
      </c>
      <c r="X707" s="40">
        <f>VLOOKUP(A707,kurspris!$A$1:$Q$913,15,FALSE)</f>
        <v>26554</v>
      </c>
      <c r="Y707" s="40">
        <f>VLOOKUP(A707,kurspris!$A$1:$Q$913,16,FALSE)</f>
        <v>33465</v>
      </c>
      <c r="Z707" s="40">
        <f t="shared" si="332"/>
        <v>126498.27500000001</v>
      </c>
      <c r="AA707" s="40">
        <f>VLOOKUP(A707,kurspris!$A$1:$Q$913,17,FALSE)</f>
        <v>6000</v>
      </c>
      <c r="AB707" s="40">
        <f t="shared" si="333"/>
        <v>13800.000000000002</v>
      </c>
      <c r="AC707" s="40">
        <f t="shared" si="334"/>
        <v>140298.27500000002</v>
      </c>
      <c r="AD707" s="31">
        <f>VLOOKUP($A707,kurspris!$A$1:$Q$950,3,FALSE)</f>
        <v>0</v>
      </c>
      <c r="AE707" s="31">
        <f>VLOOKUP($A707,kurspris!$A$1:$Q$950,4,FALSE)</f>
        <v>0</v>
      </c>
      <c r="AF707" s="31">
        <f>VLOOKUP($A707,kurspris!$A$1:$Q$950,5,FALSE)</f>
        <v>0</v>
      </c>
      <c r="AG707" s="31">
        <f>VLOOKUP($A707,kurspris!$A$1:$Q$950,6,FALSE)</f>
        <v>1</v>
      </c>
      <c r="AH707" s="31">
        <f>VLOOKUP($A707,kurspris!$A$1:$Q$950,7,FALSE)</f>
        <v>0</v>
      </c>
      <c r="AI707" s="31">
        <f>VLOOKUP($A707,kurspris!$A$1:$Q$950,8,FALSE)</f>
        <v>0</v>
      </c>
      <c r="AJ707" s="31">
        <f>VLOOKUP($A707,kurspris!$A$1:$Q$950,9,FALSE)</f>
        <v>0</v>
      </c>
      <c r="AK707" s="31">
        <f>VLOOKUP($A707,kurspris!$A$1:$Q$950,10,FALSE)</f>
        <v>0</v>
      </c>
      <c r="AL707" s="31">
        <f>VLOOKUP($A707,kurspris!$A$1:$Q$950,11,FALSE)</f>
        <v>0</v>
      </c>
      <c r="AM707" s="31">
        <f>VLOOKUP($A707,kurspris!$A$1:$Q$950,12,FALSE)</f>
        <v>0</v>
      </c>
      <c r="AN707" s="31">
        <f>VLOOKUP($A707,kurspris!$A$1:$Q$950,13,FALSE)</f>
        <v>0</v>
      </c>
      <c r="AO707" s="31">
        <f>VLOOKUP($A707,kurspris!$A$1:$Q$950,14,FALSE)</f>
        <v>0</v>
      </c>
      <c r="AP707" s="57" t="s">
        <v>2499</v>
      </c>
      <c r="AQ707" s="37" t="s">
        <v>2333</v>
      </c>
      <c r="AR707" s="31">
        <f t="shared" si="335"/>
        <v>0</v>
      </c>
      <c r="AS707" s="219">
        <f t="shared" si="336"/>
        <v>0</v>
      </c>
      <c r="AT707" s="31">
        <f t="shared" si="337"/>
        <v>0</v>
      </c>
      <c r="AU707" s="219">
        <f t="shared" si="338"/>
        <v>0</v>
      </c>
      <c r="AV707" s="31">
        <f t="shared" si="339"/>
        <v>0</v>
      </c>
      <c r="AW707" s="31">
        <f t="shared" si="340"/>
        <v>0</v>
      </c>
      <c r="AX707" s="31">
        <f t="shared" si="341"/>
        <v>2.3000000000000003</v>
      </c>
      <c r="AY707" s="219">
        <f t="shared" si="342"/>
        <v>1.9550000000000001</v>
      </c>
      <c r="AZ707" s="196">
        <f t="shared" si="343"/>
        <v>0</v>
      </c>
      <c r="BA707" s="219">
        <f t="shared" si="344"/>
        <v>0</v>
      </c>
      <c r="BB707" s="31">
        <f t="shared" si="345"/>
        <v>0</v>
      </c>
      <c r="BC707" s="219">
        <f t="shared" si="346"/>
        <v>0</v>
      </c>
      <c r="BD707" s="31">
        <f t="shared" si="347"/>
        <v>0</v>
      </c>
      <c r="BE707" s="219">
        <f t="shared" si="348"/>
        <v>0</v>
      </c>
      <c r="BF707" s="31">
        <f t="shared" si="349"/>
        <v>0</v>
      </c>
      <c r="BG707" s="219">
        <f t="shared" si="350"/>
        <v>0</v>
      </c>
      <c r="BH707" s="31">
        <f t="shared" si="351"/>
        <v>0</v>
      </c>
      <c r="BI707" s="219">
        <f t="shared" si="352"/>
        <v>0</v>
      </c>
      <c r="BJ707" s="31">
        <f t="shared" si="353"/>
        <v>0</v>
      </c>
      <c r="BK707" s="219">
        <f t="shared" si="354"/>
        <v>0</v>
      </c>
      <c r="BL707" s="31">
        <f t="shared" si="355"/>
        <v>0</v>
      </c>
      <c r="BM707" s="219">
        <f t="shared" si="356"/>
        <v>0</v>
      </c>
      <c r="BN707" s="31">
        <f t="shared" si="357"/>
        <v>0</v>
      </c>
      <c r="BO707" s="219">
        <f t="shared" si="358"/>
        <v>0</v>
      </c>
    </row>
    <row r="708" spans="1:67" x14ac:dyDescent="0.25">
      <c r="A708" s="283" t="s">
        <v>1829</v>
      </c>
      <c r="B708" s="362" t="str">
        <f>VLOOKUP(A708,kurspris!$A$1:$B$992,2,FALSE)</f>
        <v>Grundlärare som profession (UK)</v>
      </c>
      <c r="C708" s="244"/>
      <c r="D708" s="538" t="s">
        <v>523</v>
      </c>
      <c r="E708" s="538" t="s">
        <v>2203</v>
      </c>
      <c r="F708" s="244" t="s">
        <v>2273</v>
      </c>
      <c r="G708" s="244"/>
      <c r="H708" s="244">
        <v>2480</v>
      </c>
      <c r="I708" s="244"/>
      <c r="J708" s="244"/>
      <c r="K708" s="244"/>
      <c r="L708" s="518"/>
      <c r="M708" s="325">
        <v>6</v>
      </c>
      <c r="P708" s="573">
        <v>43</v>
      </c>
      <c r="Q708" s="196">
        <f>(M708/60)*P708</f>
        <v>4.3</v>
      </c>
      <c r="R708" s="38">
        <v>0.85</v>
      </c>
      <c r="S708" s="280">
        <f t="shared" si="331"/>
        <v>3.6549999999999998</v>
      </c>
      <c r="T708" s="31">
        <f>VLOOKUP(A708,'Ansvar kurs'!$A$1:$C$1123,2,FALSE)</f>
        <v>5740</v>
      </c>
      <c r="U708" s="31" t="str">
        <f>VLOOKUP(T708,Orgenheter!$A$1:$C$166,2,FALSE)</f>
        <v>NMD</v>
      </c>
      <c r="V708" s="31" t="str">
        <f>VLOOKUP(T708,Orgenheter!$A$1:$C$166,3,FALSE)</f>
        <v>TekNat</v>
      </c>
      <c r="W708" s="35" t="str">
        <f>VLOOKUP(D708,Program!$A$1:$B$36,2,FALSE)</f>
        <v>Grundlärarprogrammet - grundskolans åk 4-6</v>
      </c>
      <c r="X708" s="40">
        <f>VLOOKUP(A708,kurspris!$A$1:$Q$913,15,FALSE)</f>
        <v>26554</v>
      </c>
      <c r="Y708" s="40">
        <f>VLOOKUP(A708,kurspris!$A$1:$Q$913,16,FALSE)</f>
        <v>33465</v>
      </c>
      <c r="Z708" s="40">
        <f t="shared" si="332"/>
        <v>236496.77499999999</v>
      </c>
      <c r="AA708" s="40">
        <f>VLOOKUP(A708,kurspris!$A$1:$Q$913,17,FALSE)</f>
        <v>6000</v>
      </c>
      <c r="AB708" s="40">
        <f t="shared" si="333"/>
        <v>25800</v>
      </c>
      <c r="AC708" s="40">
        <f t="shared" si="334"/>
        <v>262296.77500000002</v>
      </c>
      <c r="AD708" s="31">
        <f>VLOOKUP($A708,kurspris!$A$1:$Q$950,3,FALSE)</f>
        <v>0</v>
      </c>
      <c r="AE708" s="31">
        <f>VLOOKUP($A708,kurspris!$A$1:$Q$950,4,FALSE)</f>
        <v>0</v>
      </c>
      <c r="AF708" s="31">
        <f>VLOOKUP($A708,kurspris!$A$1:$Q$950,5,FALSE)</f>
        <v>0</v>
      </c>
      <c r="AG708" s="31">
        <f>VLOOKUP($A708,kurspris!$A$1:$Q$950,6,FALSE)</f>
        <v>1</v>
      </c>
      <c r="AH708" s="31">
        <f>VLOOKUP($A708,kurspris!$A$1:$Q$950,7,FALSE)</f>
        <v>0</v>
      </c>
      <c r="AI708" s="31">
        <f>VLOOKUP($A708,kurspris!$A$1:$Q$950,8,FALSE)</f>
        <v>0</v>
      </c>
      <c r="AJ708" s="31">
        <f>VLOOKUP($A708,kurspris!$A$1:$Q$950,9,FALSE)</f>
        <v>0</v>
      </c>
      <c r="AK708" s="31">
        <f>VLOOKUP($A708,kurspris!$A$1:$Q$950,10,FALSE)</f>
        <v>0</v>
      </c>
      <c r="AL708" s="31">
        <f>VLOOKUP($A708,kurspris!$A$1:$Q$950,11,FALSE)</f>
        <v>0</v>
      </c>
      <c r="AM708" s="31">
        <f>VLOOKUP($A708,kurspris!$A$1:$Q$950,12,FALSE)</f>
        <v>0</v>
      </c>
      <c r="AN708" s="31">
        <f>VLOOKUP($A708,kurspris!$A$1:$Q$950,13,FALSE)</f>
        <v>0</v>
      </c>
      <c r="AO708" s="31">
        <f>VLOOKUP($A708,kurspris!$A$1:$Q$950,14,FALSE)</f>
        <v>0</v>
      </c>
      <c r="AP708" s="57" t="s">
        <v>2499</v>
      </c>
      <c r="AQ708" s="37" t="s">
        <v>2334</v>
      </c>
      <c r="AR708" s="31">
        <f t="shared" si="335"/>
        <v>0</v>
      </c>
      <c r="AS708" s="219">
        <f t="shared" si="336"/>
        <v>0</v>
      </c>
      <c r="AT708" s="31">
        <f t="shared" si="337"/>
        <v>0</v>
      </c>
      <c r="AU708" s="219">
        <f t="shared" si="338"/>
        <v>0</v>
      </c>
      <c r="AV708" s="31">
        <f t="shared" si="339"/>
        <v>0</v>
      </c>
      <c r="AW708" s="31">
        <f t="shared" si="340"/>
        <v>0</v>
      </c>
      <c r="AX708" s="31">
        <f t="shared" si="341"/>
        <v>4.3</v>
      </c>
      <c r="AY708" s="219">
        <f t="shared" si="342"/>
        <v>3.6549999999999998</v>
      </c>
      <c r="AZ708" s="196">
        <f t="shared" si="343"/>
        <v>0</v>
      </c>
      <c r="BA708" s="219">
        <f t="shared" si="344"/>
        <v>0</v>
      </c>
      <c r="BB708" s="31">
        <f t="shared" si="345"/>
        <v>0</v>
      </c>
      <c r="BC708" s="219">
        <f t="shared" si="346"/>
        <v>0</v>
      </c>
      <c r="BD708" s="31">
        <f t="shared" si="347"/>
        <v>0</v>
      </c>
      <c r="BE708" s="219">
        <f t="shared" si="348"/>
        <v>0</v>
      </c>
      <c r="BF708" s="31">
        <f t="shared" si="349"/>
        <v>0</v>
      </c>
      <c r="BG708" s="219">
        <f t="shared" si="350"/>
        <v>0</v>
      </c>
      <c r="BH708" s="31">
        <f t="shared" si="351"/>
        <v>0</v>
      </c>
      <c r="BI708" s="219">
        <f t="shared" si="352"/>
        <v>0</v>
      </c>
      <c r="BJ708" s="31">
        <f t="shared" si="353"/>
        <v>0</v>
      </c>
      <c r="BK708" s="219">
        <f t="shared" si="354"/>
        <v>0</v>
      </c>
      <c r="BL708" s="31">
        <f t="shared" si="355"/>
        <v>0</v>
      </c>
      <c r="BM708" s="219">
        <f t="shared" si="356"/>
        <v>0</v>
      </c>
      <c r="BN708" s="31">
        <f t="shared" si="357"/>
        <v>0</v>
      </c>
      <c r="BO708" s="219">
        <f t="shared" si="358"/>
        <v>0</v>
      </c>
    </row>
    <row r="709" spans="1:67" x14ac:dyDescent="0.25">
      <c r="A709" s="31" t="s">
        <v>1827</v>
      </c>
      <c r="B709" s="176" t="str">
        <f>VLOOKUP(A709,kurspris!$A$1:$B$992,2,FALSE)</f>
        <v>Profession och vetenskap för åk 4-6 (UK III)</v>
      </c>
      <c r="C709" s="31">
        <v>61906</v>
      </c>
      <c r="D709" s="60" t="s">
        <v>523</v>
      </c>
      <c r="E709" s="60"/>
      <c r="F709" s="57" t="s">
        <v>2274</v>
      </c>
      <c r="H709" s="31" t="s">
        <v>2335</v>
      </c>
      <c r="I709" s="31" t="s">
        <v>2399</v>
      </c>
      <c r="L709" s="38"/>
      <c r="M709">
        <v>7.5</v>
      </c>
      <c r="P709" s="31">
        <v>26</v>
      </c>
      <c r="Q709" s="539">
        <v>3.25</v>
      </c>
      <c r="R709" s="38">
        <v>0.85</v>
      </c>
      <c r="S709" s="280">
        <f t="shared" si="331"/>
        <v>2.7624999999999997</v>
      </c>
      <c r="T709" s="31">
        <f>VLOOKUP(A709,'Ansvar kurs'!$A$1:$C$1123,2,FALSE)</f>
        <v>5740</v>
      </c>
      <c r="U709" s="31" t="str">
        <f>VLOOKUP(T709,Orgenheter!$A$1:$C$166,2,FALSE)</f>
        <v>NMD</v>
      </c>
      <c r="V709" s="31" t="str">
        <f>VLOOKUP(T709,Orgenheter!$A$1:$C$166,3,FALSE)</f>
        <v>TekNat</v>
      </c>
      <c r="W709" s="35" t="str">
        <f>VLOOKUP(D709,Program!$A$1:$B$36,2,FALSE)</f>
        <v>Grundlärarprogrammet - grundskolans åk 4-6</v>
      </c>
      <c r="X709" s="40">
        <f>VLOOKUP(A709,kurspris!$A$1:$Q$913,15,FALSE)</f>
        <v>26554</v>
      </c>
      <c r="Y709" s="40">
        <f>VLOOKUP(A709,kurspris!$A$1:$Q$913,16,FALSE)</f>
        <v>33465</v>
      </c>
      <c r="Z709" s="40">
        <f t="shared" si="332"/>
        <v>178747.5625</v>
      </c>
      <c r="AA709" s="40">
        <f>VLOOKUP(A709,kurspris!$A$1:$Q$913,17,FALSE)</f>
        <v>6000</v>
      </c>
      <c r="AB709" s="40">
        <f t="shared" si="333"/>
        <v>19500</v>
      </c>
      <c r="AC709" s="40">
        <f t="shared" si="334"/>
        <v>198247.5625</v>
      </c>
      <c r="AD709" s="31">
        <f>VLOOKUP($A709,kurspris!$A$1:$Q$950,3,FALSE)</f>
        <v>0</v>
      </c>
      <c r="AE709" s="31">
        <f>VLOOKUP($A709,kurspris!$A$1:$Q$950,4,FALSE)</f>
        <v>0</v>
      </c>
      <c r="AF709" s="31">
        <f>VLOOKUP($A709,kurspris!$A$1:$Q$950,5,FALSE)</f>
        <v>0</v>
      </c>
      <c r="AG709" s="31">
        <f>VLOOKUP($A709,kurspris!$A$1:$Q$950,6,FALSE)</f>
        <v>1</v>
      </c>
      <c r="AH709" s="31">
        <f>VLOOKUP($A709,kurspris!$A$1:$Q$950,7,FALSE)</f>
        <v>0</v>
      </c>
      <c r="AI709" s="31">
        <f>VLOOKUP($A709,kurspris!$A$1:$Q$950,8,FALSE)</f>
        <v>0</v>
      </c>
      <c r="AJ709" s="31">
        <f>VLOOKUP($A709,kurspris!$A$1:$Q$950,9,FALSE)</f>
        <v>0</v>
      </c>
      <c r="AK709" s="31">
        <f>VLOOKUP($A709,kurspris!$A$1:$Q$950,10,FALSE)</f>
        <v>0</v>
      </c>
      <c r="AL709" s="31">
        <f>VLOOKUP($A709,kurspris!$A$1:$Q$950,11,FALSE)</f>
        <v>0</v>
      </c>
      <c r="AM709" s="31">
        <f>VLOOKUP($A709,kurspris!$A$1:$Q$950,12,FALSE)</f>
        <v>0</v>
      </c>
      <c r="AN709" s="31">
        <f>VLOOKUP($A709,kurspris!$A$1:$Q$950,13,FALSE)</f>
        <v>0</v>
      </c>
      <c r="AO709" s="31">
        <f>VLOOKUP($A709,kurspris!$A$1:$Q$950,14,FALSE)</f>
        <v>0</v>
      </c>
      <c r="AP709" s="57" t="s">
        <v>2402</v>
      </c>
      <c r="AQ709"/>
      <c r="AR709" s="31">
        <f t="shared" si="335"/>
        <v>0</v>
      </c>
      <c r="AS709" s="219">
        <f t="shared" si="336"/>
        <v>0</v>
      </c>
      <c r="AT709" s="31">
        <f t="shared" si="337"/>
        <v>0</v>
      </c>
      <c r="AU709" s="219">
        <f t="shared" si="338"/>
        <v>0</v>
      </c>
      <c r="AV709" s="31">
        <f t="shared" si="339"/>
        <v>0</v>
      </c>
      <c r="AW709" s="31">
        <f t="shared" si="340"/>
        <v>0</v>
      </c>
      <c r="AX709" s="31">
        <f t="shared" si="341"/>
        <v>3.25</v>
      </c>
      <c r="AY709" s="219">
        <f t="shared" si="342"/>
        <v>2.7624999999999997</v>
      </c>
      <c r="AZ709" s="196">
        <f t="shared" si="343"/>
        <v>0</v>
      </c>
      <c r="BA709" s="219">
        <f t="shared" si="344"/>
        <v>0</v>
      </c>
      <c r="BB709" s="31">
        <f t="shared" si="345"/>
        <v>0</v>
      </c>
      <c r="BC709" s="219">
        <f t="shared" si="346"/>
        <v>0</v>
      </c>
      <c r="BD709" s="31">
        <f t="shared" si="347"/>
        <v>0</v>
      </c>
      <c r="BE709" s="219">
        <f t="shared" si="348"/>
        <v>0</v>
      </c>
      <c r="BF709" s="31">
        <f t="shared" si="349"/>
        <v>0</v>
      </c>
      <c r="BG709" s="219">
        <f t="shared" si="350"/>
        <v>0</v>
      </c>
      <c r="BH709" s="31">
        <f t="shared" si="351"/>
        <v>0</v>
      </c>
      <c r="BI709" s="219">
        <f t="shared" si="352"/>
        <v>0</v>
      </c>
      <c r="BJ709" s="31">
        <f t="shared" si="353"/>
        <v>0</v>
      </c>
      <c r="BK709" s="219">
        <f t="shared" si="354"/>
        <v>0</v>
      </c>
      <c r="BL709" s="31">
        <f t="shared" si="355"/>
        <v>0</v>
      </c>
      <c r="BM709" s="219">
        <f t="shared" si="356"/>
        <v>0</v>
      </c>
      <c r="BN709" s="31">
        <f t="shared" si="357"/>
        <v>0</v>
      </c>
      <c r="BO709" s="219">
        <f t="shared" si="358"/>
        <v>0</v>
      </c>
    </row>
    <row r="710" spans="1:67" x14ac:dyDescent="0.25">
      <c r="A710" s="31" t="s">
        <v>1828</v>
      </c>
      <c r="B710" s="176" t="str">
        <f>VLOOKUP(A710,kurspris!$A$1:$B$992,2,FALSE)</f>
        <v>Profession och vetenskap för förskoleklass och grundskolans årskurs 1-3 (UK)</v>
      </c>
      <c r="C710" s="31">
        <v>61904</v>
      </c>
      <c r="D710" s="60" t="s">
        <v>485</v>
      </c>
      <c r="E710" s="60"/>
      <c r="F710" s="57" t="s">
        <v>2274</v>
      </c>
      <c r="H710" s="31" t="s">
        <v>2335</v>
      </c>
      <c r="I710" s="31" t="s">
        <v>2399</v>
      </c>
      <c r="L710" s="38"/>
      <c r="M710">
        <v>7.5</v>
      </c>
      <c r="P710" s="31">
        <v>27</v>
      </c>
      <c r="Q710" s="539">
        <v>3.375</v>
      </c>
      <c r="R710" s="38">
        <v>0.85</v>
      </c>
      <c r="S710" s="280">
        <f t="shared" si="331"/>
        <v>2.8687499999999999</v>
      </c>
      <c r="T710" s="31">
        <f>VLOOKUP(A710,'Ansvar kurs'!$A$1:$C$1123,2,FALSE)</f>
        <v>5740</v>
      </c>
      <c r="U710" s="31" t="str">
        <f>VLOOKUP(T710,Orgenheter!$A$1:$C$166,2,FALSE)</f>
        <v>NMD</v>
      </c>
      <c r="V710" s="31" t="str">
        <f>VLOOKUP(T710,Orgenheter!$A$1:$C$166,3,FALSE)</f>
        <v>TekNat</v>
      </c>
      <c r="W710" s="35" t="str">
        <f>VLOOKUP(D710,Program!$A$1:$B$36,2,FALSE)</f>
        <v>Grundlärarprogrammet - förskoleklass och åk 1-3</v>
      </c>
      <c r="X710" s="40">
        <f>VLOOKUP(A710,kurspris!$A$1:$Q$913,15,FALSE)</f>
        <v>26554</v>
      </c>
      <c r="Y710" s="40">
        <f>VLOOKUP(A710,kurspris!$A$1:$Q$913,16,FALSE)</f>
        <v>33465</v>
      </c>
      <c r="Z710" s="40">
        <f t="shared" si="332"/>
        <v>185622.46875</v>
      </c>
      <c r="AA710" s="40">
        <f>VLOOKUP(A710,kurspris!$A$1:$Q$913,17,FALSE)</f>
        <v>6000</v>
      </c>
      <c r="AB710" s="40">
        <f t="shared" si="333"/>
        <v>20250</v>
      </c>
      <c r="AC710" s="40">
        <f t="shared" si="334"/>
        <v>205872.46875</v>
      </c>
      <c r="AD710" s="31">
        <f>VLOOKUP($A710,kurspris!$A$1:$Q$950,3,FALSE)</f>
        <v>0</v>
      </c>
      <c r="AE710" s="31">
        <f>VLOOKUP($A710,kurspris!$A$1:$Q$950,4,FALSE)</f>
        <v>0</v>
      </c>
      <c r="AF710" s="31">
        <f>VLOOKUP($A710,kurspris!$A$1:$Q$950,5,FALSE)</f>
        <v>0</v>
      </c>
      <c r="AG710" s="31">
        <f>VLOOKUP($A710,kurspris!$A$1:$Q$950,6,FALSE)</f>
        <v>1</v>
      </c>
      <c r="AH710" s="31">
        <f>VLOOKUP($A710,kurspris!$A$1:$Q$950,7,FALSE)</f>
        <v>0</v>
      </c>
      <c r="AI710" s="31">
        <f>VLOOKUP($A710,kurspris!$A$1:$Q$950,8,FALSE)</f>
        <v>0</v>
      </c>
      <c r="AJ710" s="31">
        <f>VLOOKUP($A710,kurspris!$A$1:$Q$950,9,FALSE)</f>
        <v>0</v>
      </c>
      <c r="AK710" s="31">
        <f>VLOOKUP($A710,kurspris!$A$1:$Q$950,10,FALSE)</f>
        <v>0</v>
      </c>
      <c r="AL710" s="31">
        <f>VLOOKUP($A710,kurspris!$A$1:$Q$950,11,FALSE)</f>
        <v>0</v>
      </c>
      <c r="AM710" s="31">
        <f>VLOOKUP($A710,kurspris!$A$1:$Q$950,12,FALSE)</f>
        <v>0</v>
      </c>
      <c r="AN710" s="31">
        <f>VLOOKUP($A710,kurspris!$A$1:$Q$950,13,FALSE)</f>
        <v>0</v>
      </c>
      <c r="AO710" s="31">
        <f>VLOOKUP($A710,kurspris!$A$1:$Q$950,14,FALSE)</f>
        <v>0</v>
      </c>
      <c r="AP710" s="57" t="s">
        <v>2402</v>
      </c>
      <c r="AQ710"/>
      <c r="AR710" s="31">
        <f t="shared" si="335"/>
        <v>0</v>
      </c>
      <c r="AS710" s="219">
        <f t="shared" si="336"/>
        <v>0</v>
      </c>
      <c r="AT710" s="31">
        <f t="shared" si="337"/>
        <v>0</v>
      </c>
      <c r="AU710" s="219">
        <f t="shared" si="338"/>
        <v>0</v>
      </c>
      <c r="AV710" s="31">
        <f t="shared" si="339"/>
        <v>0</v>
      </c>
      <c r="AW710" s="31">
        <f t="shared" si="340"/>
        <v>0</v>
      </c>
      <c r="AX710" s="31">
        <f t="shared" si="341"/>
        <v>3.375</v>
      </c>
      <c r="AY710" s="219">
        <f t="shared" si="342"/>
        <v>2.8687499999999999</v>
      </c>
      <c r="AZ710" s="196">
        <f t="shared" si="343"/>
        <v>0</v>
      </c>
      <c r="BA710" s="219">
        <f t="shared" si="344"/>
        <v>0</v>
      </c>
      <c r="BB710" s="31">
        <f t="shared" si="345"/>
        <v>0</v>
      </c>
      <c r="BC710" s="219">
        <f t="shared" si="346"/>
        <v>0</v>
      </c>
      <c r="BD710" s="31">
        <f t="shared" si="347"/>
        <v>0</v>
      </c>
      <c r="BE710" s="219">
        <f t="shared" si="348"/>
        <v>0</v>
      </c>
      <c r="BF710" s="31">
        <f t="shared" si="349"/>
        <v>0</v>
      </c>
      <c r="BG710" s="219">
        <f t="shared" si="350"/>
        <v>0</v>
      </c>
      <c r="BH710" s="31">
        <f t="shared" si="351"/>
        <v>0</v>
      </c>
      <c r="BI710" s="219">
        <f t="shared" si="352"/>
        <v>0</v>
      </c>
      <c r="BJ710" s="31">
        <f t="shared" si="353"/>
        <v>0</v>
      </c>
      <c r="BK710" s="219">
        <f t="shared" si="354"/>
        <v>0</v>
      </c>
      <c r="BL710" s="31">
        <f t="shared" si="355"/>
        <v>0</v>
      </c>
      <c r="BM710" s="219">
        <f t="shared" si="356"/>
        <v>0</v>
      </c>
      <c r="BN710" s="31">
        <f t="shared" si="357"/>
        <v>0</v>
      </c>
      <c r="BO710" s="219">
        <f t="shared" si="358"/>
        <v>0</v>
      </c>
    </row>
    <row r="711" spans="1:67" x14ac:dyDescent="0.25">
      <c r="A711" s="283" t="s">
        <v>1831</v>
      </c>
      <c r="B711" s="362" t="str">
        <f>VLOOKUP(A711,kurspris!$A$1:$B$992,2,FALSE)</f>
        <v>Att vara grundlärare (VFU)</v>
      </c>
      <c r="C711" s="244"/>
      <c r="D711" s="538" t="s">
        <v>484</v>
      </c>
      <c r="E711" s="538" t="s">
        <v>2203</v>
      </c>
      <c r="F711" s="244" t="s">
        <v>2273</v>
      </c>
      <c r="G711" s="244"/>
      <c r="H711" s="244">
        <v>2480</v>
      </c>
      <c r="I711" s="244"/>
      <c r="J711" s="244"/>
      <c r="K711" s="244"/>
      <c r="L711" s="518"/>
      <c r="M711" s="325">
        <v>1.5</v>
      </c>
      <c r="N711" s="38">
        <v>-0.05</v>
      </c>
      <c r="O711" s="31">
        <v>24</v>
      </c>
      <c r="P711" s="31">
        <f>O711+(O711*N711)</f>
        <v>22.8</v>
      </c>
      <c r="Q711" s="196">
        <f t="shared" ref="Q711:Q722" si="359">(M711/60)*P711</f>
        <v>0.57000000000000006</v>
      </c>
      <c r="R711" s="38">
        <v>0.85</v>
      </c>
      <c r="S711" s="280">
        <f t="shared" si="331"/>
        <v>0.48450000000000004</v>
      </c>
      <c r="T711" s="31">
        <f>VLOOKUP(A711,'Ansvar kurs'!$A$1:$C$1123,2,FALSE)</f>
        <v>5740</v>
      </c>
      <c r="U711" s="31" t="str">
        <f>VLOOKUP(T711,Orgenheter!$A$1:$C$166,2,FALSE)</f>
        <v>NMD</v>
      </c>
      <c r="V711" s="31" t="str">
        <f>VLOOKUP(T711,Orgenheter!$A$1:$C$166,3,FALSE)</f>
        <v>TekNat</v>
      </c>
      <c r="W711" s="35" t="str">
        <f>VLOOKUP(D711,Program!$A$1:$B$36,2,FALSE)</f>
        <v>Grundlärarprogrammet - fritidshem</v>
      </c>
      <c r="X711" s="40">
        <f>VLOOKUP(A711,kurspris!$A$1:$Q$913,15,FALSE)</f>
        <v>25235</v>
      </c>
      <c r="Y711" s="40">
        <f>VLOOKUP(A711,kurspris!$A$1:$Q$913,16,FALSE)</f>
        <v>27976</v>
      </c>
      <c r="Z711" s="40">
        <f t="shared" si="332"/>
        <v>27938.322</v>
      </c>
      <c r="AA711" s="40">
        <f>VLOOKUP(A711,kurspris!$A$1:$Q$913,17,FALSE)</f>
        <v>3600</v>
      </c>
      <c r="AB711" s="40">
        <f t="shared" si="333"/>
        <v>2052</v>
      </c>
      <c r="AC711" s="40">
        <f t="shared" si="334"/>
        <v>29990.322</v>
      </c>
      <c r="AD711" s="31">
        <f>VLOOKUP($A711,kurspris!$A$1:$Q$950,3,FALSE)</f>
        <v>0</v>
      </c>
      <c r="AE711" s="31">
        <f>VLOOKUP($A711,kurspris!$A$1:$Q$950,4,FALSE)</f>
        <v>0</v>
      </c>
      <c r="AF711" s="31">
        <f>VLOOKUP($A711,kurspris!$A$1:$Q$950,5,FALSE)</f>
        <v>0</v>
      </c>
      <c r="AG711" s="31">
        <f>VLOOKUP($A711,kurspris!$A$1:$Q$950,6,FALSE)</f>
        <v>0</v>
      </c>
      <c r="AH711" s="31">
        <f>VLOOKUP($A711,kurspris!$A$1:$Q$950,7,FALSE)</f>
        <v>0</v>
      </c>
      <c r="AI711" s="31">
        <f>VLOOKUP($A711,kurspris!$A$1:$Q$950,8,FALSE)</f>
        <v>0</v>
      </c>
      <c r="AJ711" s="31">
        <f>VLOOKUP($A711,kurspris!$A$1:$Q$950,9,FALSE)</f>
        <v>0</v>
      </c>
      <c r="AK711" s="31">
        <f>VLOOKUP($A711,kurspris!$A$1:$Q$950,10,FALSE)</f>
        <v>0</v>
      </c>
      <c r="AL711" s="31">
        <f>VLOOKUP($A711,kurspris!$A$1:$Q$950,11,FALSE)</f>
        <v>1</v>
      </c>
      <c r="AM711" s="31">
        <f>VLOOKUP($A711,kurspris!$A$1:$Q$950,12,FALSE)</f>
        <v>0</v>
      </c>
      <c r="AN711" s="31">
        <f>VLOOKUP($A711,kurspris!$A$1:$Q$950,13,FALSE)</f>
        <v>0</v>
      </c>
      <c r="AO711" s="31">
        <f>VLOOKUP($A711,kurspris!$A$1:$Q$950,14,FALSE)</f>
        <v>0</v>
      </c>
      <c r="AP711" s="57" t="s">
        <v>2222</v>
      </c>
      <c r="AQ711" s="37"/>
      <c r="AR711" s="31">
        <f t="shared" si="335"/>
        <v>0</v>
      </c>
      <c r="AS711" s="219">
        <f t="shared" si="336"/>
        <v>0</v>
      </c>
      <c r="AT711" s="31">
        <f t="shared" si="337"/>
        <v>0</v>
      </c>
      <c r="AU711" s="219">
        <f t="shared" si="338"/>
        <v>0</v>
      </c>
      <c r="AV711" s="31">
        <f t="shared" si="339"/>
        <v>0</v>
      </c>
      <c r="AW711" s="31">
        <f t="shared" si="340"/>
        <v>0</v>
      </c>
      <c r="AX711" s="31">
        <f t="shared" si="341"/>
        <v>0</v>
      </c>
      <c r="AY711" s="219">
        <f t="shared" si="342"/>
        <v>0</v>
      </c>
      <c r="AZ711" s="196">
        <f t="shared" si="343"/>
        <v>0</v>
      </c>
      <c r="BA711" s="219">
        <f t="shared" si="344"/>
        <v>0</v>
      </c>
      <c r="BB711" s="31">
        <f t="shared" si="345"/>
        <v>0</v>
      </c>
      <c r="BC711" s="219">
        <f t="shared" si="346"/>
        <v>0</v>
      </c>
      <c r="BD711" s="31">
        <f t="shared" si="347"/>
        <v>0</v>
      </c>
      <c r="BE711" s="219">
        <f t="shared" si="348"/>
        <v>0</v>
      </c>
      <c r="BF711" s="31">
        <f t="shared" si="349"/>
        <v>0</v>
      </c>
      <c r="BG711" s="219">
        <f t="shared" si="350"/>
        <v>0</v>
      </c>
      <c r="BH711" s="31">
        <f t="shared" si="351"/>
        <v>0.57000000000000006</v>
      </c>
      <c r="BI711" s="219">
        <f t="shared" si="352"/>
        <v>0.48450000000000004</v>
      </c>
      <c r="BJ711" s="31">
        <f t="shared" si="353"/>
        <v>0</v>
      </c>
      <c r="BK711" s="219">
        <f t="shared" si="354"/>
        <v>0</v>
      </c>
      <c r="BL711" s="31">
        <f t="shared" si="355"/>
        <v>0</v>
      </c>
      <c r="BM711" s="219">
        <f t="shared" si="356"/>
        <v>0</v>
      </c>
      <c r="BN711" s="31">
        <f t="shared" si="357"/>
        <v>0</v>
      </c>
      <c r="BO711" s="219">
        <f t="shared" si="358"/>
        <v>0</v>
      </c>
    </row>
    <row r="712" spans="1:67" x14ac:dyDescent="0.25">
      <c r="A712" s="283" t="s">
        <v>1831</v>
      </c>
      <c r="B712" s="362" t="str">
        <f>VLOOKUP(A712,kurspris!$A$1:$B$992,2,FALSE)</f>
        <v>Att vara grundlärare (VFU)</v>
      </c>
      <c r="C712" s="244"/>
      <c r="D712" s="538" t="s">
        <v>485</v>
      </c>
      <c r="E712" s="538" t="s">
        <v>2203</v>
      </c>
      <c r="F712" s="244" t="s">
        <v>2273</v>
      </c>
      <c r="G712" s="244"/>
      <c r="H712" s="244">
        <v>2480</v>
      </c>
      <c r="I712" s="244"/>
      <c r="J712" s="244"/>
      <c r="K712" s="244"/>
      <c r="L712" s="518"/>
      <c r="M712" s="325">
        <v>1.5</v>
      </c>
      <c r="N712" s="38">
        <v>-0.05</v>
      </c>
      <c r="O712" s="31">
        <v>41</v>
      </c>
      <c r="P712" s="31">
        <f>O712+(O712*N712)</f>
        <v>38.950000000000003</v>
      </c>
      <c r="Q712" s="196">
        <f t="shared" si="359"/>
        <v>0.97375000000000012</v>
      </c>
      <c r="R712" s="38">
        <v>0.85</v>
      </c>
      <c r="S712" s="280">
        <f t="shared" si="331"/>
        <v>0.82768750000000013</v>
      </c>
      <c r="T712" s="31">
        <f>VLOOKUP(A712,'Ansvar kurs'!$A$1:$C$1123,2,FALSE)</f>
        <v>5740</v>
      </c>
      <c r="U712" s="31" t="str">
        <f>VLOOKUP(T712,Orgenheter!$A$1:$C$166,2,FALSE)</f>
        <v>NMD</v>
      </c>
      <c r="V712" s="31" t="str">
        <f>VLOOKUP(T712,Orgenheter!$A$1:$C$166,3,FALSE)</f>
        <v>TekNat</v>
      </c>
      <c r="W712" s="35" t="str">
        <f>VLOOKUP(D712,Program!$A$1:$B$36,2,FALSE)</f>
        <v>Grundlärarprogrammet - förskoleklass och åk 1-3</v>
      </c>
      <c r="X712" s="40">
        <f>VLOOKUP(A712,kurspris!$A$1:$Q$913,15,FALSE)</f>
        <v>25235</v>
      </c>
      <c r="Y712" s="40">
        <f>VLOOKUP(A712,kurspris!$A$1:$Q$913,16,FALSE)</f>
        <v>27976</v>
      </c>
      <c r="Z712" s="40">
        <f t="shared" si="332"/>
        <v>47727.966750000007</v>
      </c>
      <c r="AA712" s="40">
        <f>VLOOKUP(A712,kurspris!$A$1:$Q$913,17,FALSE)</f>
        <v>3600</v>
      </c>
      <c r="AB712" s="40">
        <f t="shared" si="333"/>
        <v>3505.5000000000005</v>
      </c>
      <c r="AC712" s="40">
        <f t="shared" si="334"/>
        <v>51233.466750000007</v>
      </c>
      <c r="AD712" s="31">
        <f>VLOOKUP($A712,kurspris!$A$1:$Q$950,3,FALSE)</f>
        <v>0</v>
      </c>
      <c r="AE712" s="31">
        <f>VLOOKUP($A712,kurspris!$A$1:$Q$950,4,FALSE)</f>
        <v>0</v>
      </c>
      <c r="AF712" s="31">
        <f>VLOOKUP($A712,kurspris!$A$1:$Q$950,5,FALSE)</f>
        <v>0</v>
      </c>
      <c r="AG712" s="31">
        <f>VLOOKUP($A712,kurspris!$A$1:$Q$950,6,FALSE)</f>
        <v>0</v>
      </c>
      <c r="AH712" s="31">
        <f>VLOOKUP($A712,kurspris!$A$1:$Q$950,7,FALSE)</f>
        <v>0</v>
      </c>
      <c r="AI712" s="31">
        <f>VLOOKUP($A712,kurspris!$A$1:$Q$950,8,FALSE)</f>
        <v>0</v>
      </c>
      <c r="AJ712" s="31">
        <f>VLOOKUP($A712,kurspris!$A$1:$Q$950,9,FALSE)</f>
        <v>0</v>
      </c>
      <c r="AK712" s="31">
        <f>VLOOKUP($A712,kurspris!$A$1:$Q$950,10,FALSE)</f>
        <v>0</v>
      </c>
      <c r="AL712" s="31">
        <f>VLOOKUP($A712,kurspris!$A$1:$Q$950,11,FALSE)</f>
        <v>1</v>
      </c>
      <c r="AM712" s="31">
        <f>VLOOKUP($A712,kurspris!$A$1:$Q$950,12,FALSE)</f>
        <v>0</v>
      </c>
      <c r="AN712" s="31">
        <f>VLOOKUP($A712,kurspris!$A$1:$Q$950,13,FALSE)</f>
        <v>0</v>
      </c>
      <c r="AO712" s="31">
        <f>VLOOKUP($A712,kurspris!$A$1:$Q$950,14,FALSE)</f>
        <v>0</v>
      </c>
      <c r="AP712" s="57" t="s">
        <v>2222</v>
      </c>
      <c r="AQ712" s="37"/>
      <c r="AR712" s="31">
        <f t="shared" si="335"/>
        <v>0</v>
      </c>
      <c r="AS712" s="219">
        <f t="shared" si="336"/>
        <v>0</v>
      </c>
      <c r="AT712" s="31">
        <f t="shared" si="337"/>
        <v>0</v>
      </c>
      <c r="AU712" s="219">
        <f t="shared" si="338"/>
        <v>0</v>
      </c>
      <c r="AV712" s="31">
        <f t="shared" si="339"/>
        <v>0</v>
      </c>
      <c r="AW712" s="31">
        <f t="shared" si="340"/>
        <v>0</v>
      </c>
      <c r="AX712" s="31">
        <f t="shared" si="341"/>
        <v>0</v>
      </c>
      <c r="AY712" s="219">
        <f t="shared" si="342"/>
        <v>0</v>
      </c>
      <c r="AZ712" s="196">
        <f t="shared" si="343"/>
        <v>0</v>
      </c>
      <c r="BA712" s="219">
        <f t="shared" si="344"/>
        <v>0</v>
      </c>
      <c r="BB712" s="31">
        <f t="shared" si="345"/>
        <v>0</v>
      </c>
      <c r="BC712" s="219">
        <f t="shared" si="346"/>
        <v>0</v>
      </c>
      <c r="BD712" s="31">
        <f t="shared" si="347"/>
        <v>0</v>
      </c>
      <c r="BE712" s="219">
        <f t="shared" si="348"/>
        <v>0</v>
      </c>
      <c r="BF712" s="31">
        <f t="shared" si="349"/>
        <v>0</v>
      </c>
      <c r="BG712" s="219">
        <f t="shared" si="350"/>
        <v>0</v>
      </c>
      <c r="BH712" s="31">
        <f t="shared" si="351"/>
        <v>0.97375000000000012</v>
      </c>
      <c r="BI712" s="219">
        <f t="shared" si="352"/>
        <v>0.82768750000000013</v>
      </c>
      <c r="BJ712" s="31">
        <f t="shared" si="353"/>
        <v>0</v>
      </c>
      <c r="BK712" s="219">
        <f t="shared" si="354"/>
        <v>0</v>
      </c>
      <c r="BL712" s="31">
        <f t="shared" si="355"/>
        <v>0</v>
      </c>
      <c r="BM712" s="219">
        <f t="shared" si="356"/>
        <v>0</v>
      </c>
      <c r="BN712" s="31">
        <f t="shared" si="357"/>
        <v>0</v>
      </c>
      <c r="BO712" s="219">
        <f t="shared" si="358"/>
        <v>0</v>
      </c>
    </row>
    <row r="713" spans="1:67" x14ac:dyDescent="0.25">
      <c r="A713" s="283" t="s">
        <v>1831</v>
      </c>
      <c r="B713" s="362" t="str">
        <f>VLOOKUP(A713,kurspris!$A$1:$B$992,2,FALSE)</f>
        <v>Att vara grundlärare (VFU)</v>
      </c>
      <c r="C713" s="244"/>
      <c r="D713" s="538" t="s">
        <v>523</v>
      </c>
      <c r="E713" s="538" t="s">
        <v>2203</v>
      </c>
      <c r="F713" s="244" t="s">
        <v>2273</v>
      </c>
      <c r="G713" s="244"/>
      <c r="H713" s="244">
        <v>2480</v>
      </c>
      <c r="I713" s="244"/>
      <c r="J713" s="244" t="s">
        <v>2332</v>
      </c>
      <c r="K713" s="244"/>
      <c r="L713" s="518">
        <v>0.75</v>
      </c>
      <c r="M713" s="325">
        <v>1.5</v>
      </c>
      <c r="N713" s="38">
        <v>-0.05</v>
      </c>
      <c r="O713" s="31">
        <v>23</v>
      </c>
      <c r="P713" s="31">
        <f>O713+(O713*N713)</f>
        <v>21.85</v>
      </c>
      <c r="Q713" s="196">
        <f t="shared" si="359"/>
        <v>0.54625000000000001</v>
      </c>
      <c r="R713" s="38">
        <v>0.85</v>
      </c>
      <c r="S713" s="280">
        <f t="shared" si="331"/>
        <v>0.46431250000000002</v>
      </c>
      <c r="T713" s="31">
        <f>VLOOKUP(A713,'Ansvar kurs'!$A$1:$C$1123,2,FALSE)</f>
        <v>5740</v>
      </c>
      <c r="U713" s="31" t="str">
        <f>VLOOKUP(T713,Orgenheter!$A$1:$C$166,2,FALSE)</f>
        <v>NMD</v>
      </c>
      <c r="V713" s="31" t="str">
        <f>VLOOKUP(T713,Orgenheter!$A$1:$C$166,3,FALSE)</f>
        <v>TekNat</v>
      </c>
      <c r="W713" s="35" t="str">
        <f>VLOOKUP(D713,Program!$A$1:$B$36,2,FALSE)</f>
        <v>Grundlärarprogrammet - grundskolans åk 4-6</v>
      </c>
      <c r="X713" s="40">
        <f>VLOOKUP(A713,kurspris!$A$1:$Q$913,15,FALSE)</f>
        <v>25235</v>
      </c>
      <c r="Y713" s="40">
        <f>VLOOKUP(A713,kurspris!$A$1:$Q$913,16,FALSE)</f>
        <v>27976</v>
      </c>
      <c r="Z713" s="40">
        <f t="shared" si="332"/>
        <v>26774.22525</v>
      </c>
      <c r="AA713" s="40">
        <f>VLOOKUP(A713,kurspris!$A$1:$Q$913,17,FALSE)</f>
        <v>3600</v>
      </c>
      <c r="AB713" s="40">
        <f t="shared" si="333"/>
        <v>1966.5</v>
      </c>
      <c r="AC713" s="40">
        <f t="shared" si="334"/>
        <v>28740.72525</v>
      </c>
      <c r="AD713" s="31">
        <f>VLOOKUP($A713,kurspris!$A$1:$Q$950,3,FALSE)</f>
        <v>0</v>
      </c>
      <c r="AE713" s="31">
        <f>VLOOKUP($A713,kurspris!$A$1:$Q$950,4,FALSE)</f>
        <v>0</v>
      </c>
      <c r="AF713" s="31">
        <f>VLOOKUP($A713,kurspris!$A$1:$Q$950,5,FALSE)</f>
        <v>0</v>
      </c>
      <c r="AG713" s="31">
        <f>VLOOKUP($A713,kurspris!$A$1:$Q$950,6,FALSE)</f>
        <v>0</v>
      </c>
      <c r="AH713" s="31">
        <f>VLOOKUP($A713,kurspris!$A$1:$Q$950,7,FALSE)</f>
        <v>0</v>
      </c>
      <c r="AI713" s="31">
        <f>VLOOKUP($A713,kurspris!$A$1:$Q$950,8,FALSE)</f>
        <v>0</v>
      </c>
      <c r="AJ713" s="31">
        <f>VLOOKUP($A713,kurspris!$A$1:$Q$950,9,FALSE)</f>
        <v>0</v>
      </c>
      <c r="AK713" s="31">
        <f>VLOOKUP($A713,kurspris!$A$1:$Q$950,10,FALSE)</f>
        <v>0</v>
      </c>
      <c r="AL713" s="31">
        <f>VLOOKUP($A713,kurspris!$A$1:$Q$950,11,FALSE)</f>
        <v>1</v>
      </c>
      <c r="AM713" s="31">
        <f>VLOOKUP($A713,kurspris!$A$1:$Q$950,12,FALSE)</f>
        <v>0</v>
      </c>
      <c r="AN713" s="31">
        <f>VLOOKUP($A713,kurspris!$A$1:$Q$950,13,FALSE)</f>
        <v>0</v>
      </c>
      <c r="AO713" s="31">
        <f>VLOOKUP($A713,kurspris!$A$1:$Q$950,14,FALSE)</f>
        <v>0</v>
      </c>
      <c r="AP713" s="57" t="s">
        <v>2222</v>
      </c>
      <c r="AQ713"/>
      <c r="AR713" s="31">
        <f t="shared" si="335"/>
        <v>0</v>
      </c>
      <c r="AS713" s="219">
        <f t="shared" si="336"/>
        <v>0</v>
      </c>
      <c r="AT713" s="31">
        <f t="shared" si="337"/>
        <v>0</v>
      </c>
      <c r="AU713" s="219">
        <f t="shared" si="338"/>
        <v>0</v>
      </c>
      <c r="AV713" s="31">
        <f t="shared" si="339"/>
        <v>0</v>
      </c>
      <c r="AW713" s="31">
        <f t="shared" si="340"/>
        <v>0</v>
      </c>
      <c r="AX713" s="31">
        <f t="shared" si="341"/>
        <v>0</v>
      </c>
      <c r="AY713" s="219">
        <f t="shared" si="342"/>
        <v>0</v>
      </c>
      <c r="AZ713" s="196">
        <f t="shared" si="343"/>
        <v>0</v>
      </c>
      <c r="BA713" s="219">
        <f t="shared" si="344"/>
        <v>0</v>
      </c>
      <c r="BB713" s="31">
        <f t="shared" si="345"/>
        <v>0</v>
      </c>
      <c r="BC713" s="219">
        <f t="shared" si="346"/>
        <v>0</v>
      </c>
      <c r="BD713" s="31">
        <f t="shared" si="347"/>
        <v>0</v>
      </c>
      <c r="BE713" s="219">
        <f t="shared" si="348"/>
        <v>0</v>
      </c>
      <c r="BF713" s="31">
        <f t="shared" si="349"/>
        <v>0</v>
      </c>
      <c r="BG713" s="219">
        <f t="shared" si="350"/>
        <v>0</v>
      </c>
      <c r="BH713" s="31">
        <f t="shared" si="351"/>
        <v>0.54625000000000001</v>
      </c>
      <c r="BI713" s="219">
        <f t="shared" si="352"/>
        <v>0.46431250000000002</v>
      </c>
      <c r="BJ713" s="31">
        <f t="shared" si="353"/>
        <v>0</v>
      </c>
      <c r="BK713" s="219">
        <f t="shared" si="354"/>
        <v>0</v>
      </c>
      <c r="BL713" s="31">
        <f t="shared" si="355"/>
        <v>0</v>
      </c>
      <c r="BM713" s="219">
        <f t="shared" si="356"/>
        <v>0</v>
      </c>
      <c r="BN713" s="31">
        <f t="shared" si="357"/>
        <v>0</v>
      </c>
      <c r="BO713" s="219">
        <f t="shared" si="358"/>
        <v>0</v>
      </c>
    </row>
    <row r="714" spans="1:67" x14ac:dyDescent="0.25">
      <c r="A714" s="283" t="s">
        <v>1831</v>
      </c>
      <c r="B714" s="362" t="str">
        <f>VLOOKUP(A714,kurspris!$A$1:$B$992,2,FALSE)</f>
        <v>Att vara grundlärare (VFU)</v>
      </c>
      <c r="C714" s="244"/>
      <c r="D714" s="538" t="s">
        <v>523</v>
      </c>
      <c r="E714" s="538" t="s">
        <v>2203</v>
      </c>
      <c r="F714" s="244" t="s">
        <v>2273</v>
      </c>
      <c r="G714" s="244"/>
      <c r="H714" s="244">
        <v>2480</v>
      </c>
      <c r="I714" s="244"/>
      <c r="J714" s="244"/>
      <c r="K714" s="244"/>
      <c r="L714" s="518"/>
      <c r="M714" s="325">
        <v>1.5</v>
      </c>
      <c r="N714" s="38">
        <v>-0.05</v>
      </c>
      <c r="O714" s="31">
        <v>43</v>
      </c>
      <c r="P714" s="31">
        <f>O714+(O714*N714)</f>
        <v>40.85</v>
      </c>
      <c r="Q714" s="196">
        <f t="shared" si="359"/>
        <v>1.02125</v>
      </c>
      <c r="R714" s="38">
        <v>0.85</v>
      </c>
      <c r="S714" s="280">
        <f t="shared" si="331"/>
        <v>0.86806249999999996</v>
      </c>
      <c r="T714" s="31">
        <f>VLOOKUP(A714,'Ansvar kurs'!$A$1:$C$1123,2,FALSE)</f>
        <v>5740</v>
      </c>
      <c r="U714" s="31" t="str">
        <f>VLOOKUP(T714,Orgenheter!$A$1:$C$166,2,FALSE)</f>
        <v>NMD</v>
      </c>
      <c r="V714" s="31" t="str">
        <f>VLOOKUP(T714,Orgenheter!$A$1:$C$166,3,FALSE)</f>
        <v>TekNat</v>
      </c>
      <c r="W714" s="35" t="str">
        <f>VLOOKUP(D714,Program!$A$1:$B$36,2,FALSE)</f>
        <v>Grundlärarprogrammet - grundskolans åk 4-6</v>
      </c>
      <c r="X714" s="40">
        <f>VLOOKUP(A714,kurspris!$A$1:$Q$913,15,FALSE)</f>
        <v>25235</v>
      </c>
      <c r="Y714" s="40">
        <f>VLOOKUP(A714,kurspris!$A$1:$Q$913,16,FALSE)</f>
        <v>27976</v>
      </c>
      <c r="Z714" s="40">
        <f t="shared" si="332"/>
        <v>50056.160250000001</v>
      </c>
      <c r="AA714" s="40">
        <f>VLOOKUP(A714,kurspris!$A$1:$Q$913,17,FALSE)</f>
        <v>3600</v>
      </c>
      <c r="AB714" s="40">
        <f t="shared" si="333"/>
        <v>3676.5</v>
      </c>
      <c r="AC714" s="40">
        <f t="shared" si="334"/>
        <v>53732.660250000001</v>
      </c>
      <c r="AD714" s="31">
        <f>VLOOKUP($A714,kurspris!$A$1:$Q$950,3,FALSE)</f>
        <v>0</v>
      </c>
      <c r="AE714" s="31">
        <f>VLOOKUP($A714,kurspris!$A$1:$Q$950,4,FALSE)</f>
        <v>0</v>
      </c>
      <c r="AF714" s="31">
        <f>VLOOKUP($A714,kurspris!$A$1:$Q$950,5,FALSE)</f>
        <v>0</v>
      </c>
      <c r="AG714" s="31">
        <f>VLOOKUP($A714,kurspris!$A$1:$Q$950,6,FALSE)</f>
        <v>0</v>
      </c>
      <c r="AH714" s="31">
        <f>VLOOKUP($A714,kurspris!$A$1:$Q$950,7,FALSE)</f>
        <v>0</v>
      </c>
      <c r="AI714" s="31">
        <f>VLOOKUP($A714,kurspris!$A$1:$Q$950,8,FALSE)</f>
        <v>0</v>
      </c>
      <c r="AJ714" s="31">
        <f>VLOOKUP($A714,kurspris!$A$1:$Q$950,9,FALSE)</f>
        <v>0</v>
      </c>
      <c r="AK714" s="31">
        <f>VLOOKUP($A714,kurspris!$A$1:$Q$950,10,FALSE)</f>
        <v>0</v>
      </c>
      <c r="AL714" s="31">
        <f>VLOOKUP($A714,kurspris!$A$1:$Q$950,11,FALSE)</f>
        <v>1</v>
      </c>
      <c r="AM714" s="31">
        <f>VLOOKUP($A714,kurspris!$A$1:$Q$950,12,FALSE)</f>
        <v>0</v>
      </c>
      <c r="AN714" s="31">
        <f>VLOOKUP($A714,kurspris!$A$1:$Q$950,13,FALSE)</f>
        <v>0</v>
      </c>
      <c r="AO714" s="31">
        <f>VLOOKUP($A714,kurspris!$A$1:$Q$950,14,FALSE)</f>
        <v>0</v>
      </c>
      <c r="AP714" s="57" t="s">
        <v>2222</v>
      </c>
      <c r="AQ714"/>
      <c r="AR714" s="31">
        <f t="shared" si="335"/>
        <v>0</v>
      </c>
      <c r="AS714" s="219">
        <f t="shared" si="336"/>
        <v>0</v>
      </c>
      <c r="AT714" s="31">
        <f t="shared" si="337"/>
        <v>0</v>
      </c>
      <c r="AU714" s="219">
        <f t="shared" si="338"/>
        <v>0</v>
      </c>
      <c r="AV714" s="31">
        <f t="shared" si="339"/>
        <v>0</v>
      </c>
      <c r="AW714" s="31">
        <f t="shared" si="340"/>
        <v>0</v>
      </c>
      <c r="AX714" s="31">
        <f t="shared" si="341"/>
        <v>0</v>
      </c>
      <c r="AY714" s="219">
        <f t="shared" si="342"/>
        <v>0</v>
      </c>
      <c r="AZ714" s="196">
        <f t="shared" si="343"/>
        <v>0</v>
      </c>
      <c r="BA714" s="219">
        <f t="shared" si="344"/>
        <v>0</v>
      </c>
      <c r="BB714" s="31">
        <f t="shared" si="345"/>
        <v>0</v>
      </c>
      <c r="BC714" s="219">
        <f t="shared" si="346"/>
        <v>0</v>
      </c>
      <c r="BD714" s="31">
        <f t="shared" si="347"/>
        <v>0</v>
      </c>
      <c r="BE714" s="219">
        <f t="shared" si="348"/>
        <v>0</v>
      </c>
      <c r="BF714" s="31">
        <f t="shared" si="349"/>
        <v>0</v>
      </c>
      <c r="BG714" s="219">
        <f t="shared" si="350"/>
        <v>0</v>
      </c>
      <c r="BH714" s="31">
        <f t="shared" si="351"/>
        <v>1.02125</v>
      </c>
      <c r="BI714" s="219">
        <f t="shared" si="352"/>
        <v>0.86806249999999996</v>
      </c>
      <c r="BJ714" s="31">
        <f t="shared" si="353"/>
        <v>0</v>
      </c>
      <c r="BK714" s="219">
        <f t="shared" si="354"/>
        <v>0</v>
      </c>
      <c r="BL714" s="31">
        <f t="shared" si="355"/>
        <v>0</v>
      </c>
      <c r="BM714" s="219">
        <f t="shared" si="356"/>
        <v>0</v>
      </c>
      <c r="BN714" s="31">
        <f t="shared" si="357"/>
        <v>0</v>
      </c>
      <c r="BO714" s="219">
        <f t="shared" si="358"/>
        <v>0</v>
      </c>
    </row>
    <row r="715" spans="1:67" x14ac:dyDescent="0.25">
      <c r="A715" s="31" t="s">
        <v>1993</v>
      </c>
      <c r="B715" s="176" t="str">
        <f>VLOOKUP(A715,kurspris!$A$1:$B$992,2,FALSE)</f>
        <v>Att undervisa i biologi (VFU)</v>
      </c>
      <c r="D715" s="60" t="s">
        <v>482</v>
      </c>
      <c r="E715" s="576" t="s">
        <v>2225</v>
      </c>
      <c r="F715" s="31" t="s">
        <v>2273</v>
      </c>
      <c r="G715" t="s">
        <v>2444</v>
      </c>
      <c r="H715" t="s">
        <v>2335</v>
      </c>
      <c r="J715" s="31" t="s">
        <v>2234</v>
      </c>
      <c r="L715" s="38">
        <v>1</v>
      </c>
      <c r="M715">
        <v>6</v>
      </c>
      <c r="P715" s="31">
        <v>2</v>
      </c>
      <c r="Q715" s="196">
        <f t="shared" si="359"/>
        <v>0.2</v>
      </c>
      <c r="R715" s="38">
        <v>0.85</v>
      </c>
      <c r="S715" s="280">
        <f t="shared" si="331"/>
        <v>0.17</v>
      </c>
      <c r="T715" s="31">
        <f>VLOOKUP(A715,'Ansvar kurs'!$A$1:$C$1123,2,FALSE)</f>
        <v>5740</v>
      </c>
      <c r="U715" s="31" t="str">
        <f>VLOOKUP(T715,Orgenheter!$A$1:$C$166,2,FALSE)</f>
        <v>NMD</v>
      </c>
      <c r="V715" s="31" t="str">
        <f>VLOOKUP(T715,Orgenheter!$A$1:$C$166,3,FALSE)</f>
        <v>TekNat</v>
      </c>
      <c r="W715" s="35" t="str">
        <f>VLOOKUP(D715,Program!$A$1:$B$36,2,FALSE)</f>
        <v>Ämneslärarprogrammet - Gy</v>
      </c>
      <c r="X715" s="40">
        <f>VLOOKUP(A715,kurspris!$A$1:$Q$913,15,FALSE)</f>
        <v>25235</v>
      </c>
      <c r="Y715" s="40">
        <f>VLOOKUP(A715,kurspris!$A$1:$Q$913,16,FALSE)</f>
        <v>27976</v>
      </c>
      <c r="Z715" s="40">
        <f t="shared" si="332"/>
        <v>9802.92</v>
      </c>
      <c r="AA715" s="40">
        <f>VLOOKUP(A715,kurspris!$A$1:$Q$913,17,FALSE)</f>
        <v>3600</v>
      </c>
      <c r="AB715" s="40">
        <f t="shared" si="333"/>
        <v>720</v>
      </c>
      <c r="AC715" s="40">
        <f t="shared" si="334"/>
        <v>10522.92</v>
      </c>
      <c r="AD715" s="31">
        <f>VLOOKUP($A715,kurspris!$A$1:$Q$950,3,FALSE)</f>
        <v>0</v>
      </c>
      <c r="AE715" s="31">
        <f>VLOOKUP($A715,kurspris!$A$1:$Q$950,4,FALSE)</f>
        <v>0</v>
      </c>
      <c r="AF715" s="31">
        <f>VLOOKUP($A715,kurspris!$A$1:$Q$950,5,FALSE)</f>
        <v>0</v>
      </c>
      <c r="AG715" s="31">
        <f>VLOOKUP($A715,kurspris!$A$1:$Q$950,6,FALSE)</f>
        <v>0</v>
      </c>
      <c r="AH715" s="31">
        <f>VLOOKUP($A715,kurspris!$A$1:$Q$950,7,FALSE)</f>
        <v>0</v>
      </c>
      <c r="AI715" s="31">
        <f>VLOOKUP($A715,kurspris!$A$1:$Q$950,8,FALSE)</f>
        <v>0</v>
      </c>
      <c r="AJ715" s="31">
        <f>VLOOKUP($A715,kurspris!$A$1:$Q$950,9,FALSE)</f>
        <v>0</v>
      </c>
      <c r="AK715" s="31">
        <f>VLOOKUP($A715,kurspris!$A$1:$Q$950,10,FALSE)</f>
        <v>0</v>
      </c>
      <c r="AL715" s="31">
        <f>VLOOKUP($A715,kurspris!$A$1:$Q$950,11,FALSE)</f>
        <v>1</v>
      </c>
      <c r="AM715" s="31">
        <f>VLOOKUP($A715,kurspris!$A$1:$Q$950,12,FALSE)</f>
        <v>0</v>
      </c>
      <c r="AN715" s="31">
        <f>VLOOKUP($A715,kurspris!$A$1:$Q$950,13,FALSE)</f>
        <v>0</v>
      </c>
      <c r="AO715" s="31">
        <f>VLOOKUP($A715,kurspris!$A$1:$Q$950,14,FALSE)</f>
        <v>0</v>
      </c>
      <c r="AP715" s="57" t="s">
        <v>2506</v>
      </c>
      <c r="AQ715"/>
      <c r="AR715" s="31">
        <f t="shared" si="335"/>
        <v>0</v>
      </c>
      <c r="AS715" s="219">
        <f t="shared" si="336"/>
        <v>0</v>
      </c>
      <c r="AT715" s="31">
        <f t="shared" si="337"/>
        <v>0</v>
      </c>
      <c r="AU715" s="219">
        <f t="shared" si="338"/>
        <v>0</v>
      </c>
      <c r="AV715" s="31">
        <f t="shared" si="339"/>
        <v>0</v>
      </c>
      <c r="AW715" s="31">
        <f t="shared" si="340"/>
        <v>0</v>
      </c>
      <c r="AX715" s="31">
        <f t="shared" si="341"/>
        <v>0</v>
      </c>
      <c r="AY715" s="219">
        <f t="shared" si="342"/>
        <v>0</v>
      </c>
      <c r="AZ715" s="196">
        <f t="shared" si="343"/>
        <v>0</v>
      </c>
      <c r="BA715" s="219">
        <f t="shared" si="344"/>
        <v>0</v>
      </c>
      <c r="BB715" s="31">
        <f t="shared" si="345"/>
        <v>0</v>
      </c>
      <c r="BC715" s="219">
        <f t="shared" si="346"/>
        <v>0</v>
      </c>
      <c r="BD715" s="31">
        <f t="shared" si="347"/>
        <v>0</v>
      </c>
      <c r="BE715" s="219">
        <f t="shared" si="348"/>
        <v>0</v>
      </c>
      <c r="BF715" s="31">
        <f t="shared" si="349"/>
        <v>0</v>
      </c>
      <c r="BG715" s="219">
        <f t="shared" si="350"/>
        <v>0</v>
      </c>
      <c r="BH715" s="31">
        <f t="shared" si="351"/>
        <v>0.2</v>
      </c>
      <c r="BI715" s="219">
        <f t="shared" si="352"/>
        <v>0.17</v>
      </c>
      <c r="BJ715" s="31">
        <f t="shared" si="353"/>
        <v>0</v>
      </c>
      <c r="BK715" s="219">
        <f t="shared" si="354"/>
        <v>0</v>
      </c>
      <c r="BL715" s="31">
        <f t="shared" si="355"/>
        <v>0</v>
      </c>
      <c r="BM715" s="219">
        <f t="shared" si="356"/>
        <v>0</v>
      </c>
      <c r="BN715" s="31">
        <f t="shared" si="357"/>
        <v>0</v>
      </c>
      <c r="BO715" s="219">
        <f t="shared" si="358"/>
        <v>0</v>
      </c>
    </row>
    <row r="716" spans="1:67" x14ac:dyDescent="0.25">
      <c r="A716" s="31" t="s">
        <v>1993</v>
      </c>
      <c r="B716" s="176" t="str">
        <f>VLOOKUP(A716,kurspris!$A$1:$B$992,2,FALSE)</f>
        <v>Att undervisa i biologi (VFU)</v>
      </c>
      <c r="D716" s="60" t="s">
        <v>482</v>
      </c>
      <c r="E716" s="576" t="s">
        <v>2434</v>
      </c>
      <c r="F716" s="31" t="s">
        <v>2273</v>
      </c>
      <c r="G716" t="s">
        <v>2444</v>
      </c>
      <c r="H716" t="s">
        <v>2335</v>
      </c>
      <c r="J716" s="31" t="s">
        <v>2234</v>
      </c>
      <c r="L716" s="38">
        <v>1</v>
      </c>
      <c r="M716">
        <v>6</v>
      </c>
      <c r="P716" s="31">
        <v>2</v>
      </c>
      <c r="Q716" s="196">
        <f t="shared" si="359"/>
        <v>0.2</v>
      </c>
      <c r="R716" s="38">
        <v>0.85</v>
      </c>
      <c r="S716" s="280">
        <f t="shared" si="331"/>
        <v>0.17</v>
      </c>
      <c r="T716" s="31">
        <f>VLOOKUP(A716,'Ansvar kurs'!$A$1:$C$1123,2,FALSE)</f>
        <v>5740</v>
      </c>
      <c r="U716" s="31" t="str">
        <f>VLOOKUP(T716,Orgenheter!$A$1:$C$166,2,FALSE)</f>
        <v>NMD</v>
      </c>
      <c r="V716" s="31" t="str">
        <f>VLOOKUP(T716,Orgenheter!$A$1:$C$166,3,FALSE)</f>
        <v>TekNat</v>
      </c>
      <c r="W716" s="35" t="str">
        <f>VLOOKUP(D716,Program!$A$1:$B$36,2,FALSE)</f>
        <v>Ämneslärarprogrammet - Gy</v>
      </c>
      <c r="X716" s="40">
        <f>VLOOKUP(A716,kurspris!$A$1:$Q$913,15,FALSE)</f>
        <v>25235</v>
      </c>
      <c r="Y716" s="40">
        <f>VLOOKUP(A716,kurspris!$A$1:$Q$913,16,FALSE)</f>
        <v>27976</v>
      </c>
      <c r="Z716" s="40">
        <f t="shared" si="332"/>
        <v>9802.92</v>
      </c>
      <c r="AA716" s="40">
        <f>VLOOKUP(A716,kurspris!$A$1:$Q$913,17,FALSE)</f>
        <v>3600</v>
      </c>
      <c r="AB716" s="40">
        <f t="shared" si="333"/>
        <v>720</v>
      </c>
      <c r="AC716" s="40">
        <f t="shared" si="334"/>
        <v>10522.92</v>
      </c>
      <c r="AD716" s="31">
        <f>VLOOKUP($A716,kurspris!$A$1:$Q$950,3,FALSE)</f>
        <v>0</v>
      </c>
      <c r="AE716" s="31">
        <f>VLOOKUP($A716,kurspris!$A$1:$Q$950,4,FALSE)</f>
        <v>0</v>
      </c>
      <c r="AF716" s="31">
        <f>VLOOKUP($A716,kurspris!$A$1:$Q$950,5,FALSE)</f>
        <v>0</v>
      </c>
      <c r="AG716" s="31">
        <f>VLOOKUP($A716,kurspris!$A$1:$Q$950,6,FALSE)</f>
        <v>0</v>
      </c>
      <c r="AH716" s="31">
        <f>VLOOKUP($A716,kurspris!$A$1:$Q$950,7,FALSE)</f>
        <v>0</v>
      </c>
      <c r="AI716" s="31">
        <f>VLOOKUP($A716,kurspris!$A$1:$Q$950,8,FALSE)</f>
        <v>0</v>
      </c>
      <c r="AJ716" s="31">
        <f>VLOOKUP($A716,kurspris!$A$1:$Q$950,9,FALSE)</f>
        <v>0</v>
      </c>
      <c r="AK716" s="31">
        <f>VLOOKUP($A716,kurspris!$A$1:$Q$950,10,FALSE)</f>
        <v>0</v>
      </c>
      <c r="AL716" s="31">
        <f>VLOOKUP($A716,kurspris!$A$1:$Q$950,11,FALSE)</f>
        <v>1</v>
      </c>
      <c r="AM716" s="31">
        <f>VLOOKUP($A716,kurspris!$A$1:$Q$950,12,FALSE)</f>
        <v>0</v>
      </c>
      <c r="AN716" s="31">
        <f>VLOOKUP($A716,kurspris!$A$1:$Q$950,13,FALSE)</f>
        <v>0</v>
      </c>
      <c r="AO716" s="31">
        <f>VLOOKUP($A716,kurspris!$A$1:$Q$950,14,FALSE)</f>
        <v>0</v>
      </c>
      <c r="AP716" s="57" t="s">
        <v>2506</v>
      </c>
      <c r="AQ716"/>
      <c r="AR716" s="31">
        <f t="shared" si="335"/>
        <v>0</v>
      </c>
      <c r="AS716" s="219">
        <f t="shared" si="336"/>
        <v>0</v>
      </c>
      <c r="AT716" s="31">
        <f t="shared" si="337"/>
        <v>0</v>
      </c>
      <c r="AU716" s="219">
        <f t="shared" si="338"/>
        <v>0</v>
      </c>
      <c r="AV716" s="31">
        <f t="shared" si="339"/>
        <v>0</v>
      </c>
      <c r="AW716" s="31">
        <f t="shared" si="340"/>
        <v>0</v>
      </c>
      <c r="AX716" s="31">
        <f t="shared" si="341"/>
        <v>0</v>
      </c>
      <c r="AY716" s="219">
        <f t="shared" si="342"/>
        <v>0</v>
      </c>
      <c r="AZ716" s="196">
        <f t="shared" si="343"/>
        <v>0</v>
      </c>
      <c r="BA716" s="219">
        <f t="shared" si="344"/>
        <v>0</v>
      </c>
      <c r="BB716" s="31">
        <f t="shared" si="345"/>
        <v>0</v>
      </c>
      <c r="BC716" s="219">
        <f t="shared" si="346"/>
        <v>0</v>
      </c>
      <c r="BD716" s="31">
        <f t="shared" si="347"/>
        <v>0</v>
      </c>
      <c r="BE716" s="219">
        <f t="shared" si="348"/>
        <v>0</v>
      </c>
      <c r="BF716" s="31">
        <f t="shared" si="349"/>
        <v>0</v>
      </c>
      <c r="BG716" s="219">
        <f t="shared" si="350"/>
        <v>0</v>
      </c>
      <c r="BH716" s="31">
        <f t="shared" si="351"/>
        <v>0.2</v>
      </c>
      <c r="BI716" s="219">
        <f t="shared" si="352"/>
        <v>0.17</v>
      </c>
      <c r="BJ716" s="31">
        <f t="shared" si="353"/>
        <v>0</v>
      </c>
      <c r="BK716" s="219">
        <f t="shared" si="354"/>
        <v>0</v>
      </c>
      <c r="BL716" s="31">
        <f t="shared" si="355"/>
        <v>0</v>
      </c>
      <c r="BM716" s="219">
        <f t="shared" si="356"/>
        <v>0</v>
      </c>
      <c r="BN716" s="31">
        <f t="shared" si="357"/>
        <v>0</v>
      </c>
      <c r="BO716" s="219">
        <f t="shared" si="358"/>
        <v>0</v>
      </c>
    </row>
    <row r="717" spans="1:67" x14ac:dyDescent="0.25">
      <c r="A717" s="31" t="s">
        <v>1903</v>
      </c>
      <c r="B717" s="176" t="str">
        <f>VLOOKUP(A717,kurspris!$A$1:$B$992,2,FALSE)</f>
        <v>Att undervisa i Idrott och hälsa (VFU)</v>
      </c>
      <c r="D717" s="60" t="s">
        <v>482</v>
      </c>
      <c r="E717" s="576" t="s">
        <v>2429</v>
      </c>
      <c r="F717" s="31" t="s">
        <v>2273</v>
      </c>
      <c r="G717" t="s">
        <v>2444</v>
      </c>
      <c r="H717" t="s">
        <v>2335</v>
      </c>
      <c r="J717" s="31" t="s">
        <v>2232</v>
      </c>
      <c r="L717" s="38">
        <v>1</v>
      </c>
      <c r="M717">
        <v>6</v>
      </c>
      <c r="P717" s="31">
        <v>1</v>
      </c>
      <c r="Q717" s="196">
        <f t="shared" si="359"/>
        <v>0.1</v>
      </c>
      <c r="R717" s="38">
        <v>0.85</v>
      </c>
      <c r="S717" s="280">
        <f t="shared" si="331"/>
        <v>8.5000000000000006E-2</v>
      </c>
      <c r="T717" s="31">
        <f>VLOOKUP(A717,'Ansvar kurs'!$A$1:$C$1123,2,FALSE)</f>
        <v>2180</v>
      </c>
      <c r="U717" s="31" t="str">
        <f>VLOOKUP(T717,Orgenheter!$A$1:$C$166,2,FALSE)</f>
        <v xml:space="preserve">Pedagogik                     </v>
      </c>
      <c r="V717" s="31" t="str">
        <f>VLOOKUP(T717,Orgenheter!$A$1:$C$166,3,FALSE)</f>
        <v>Sam</v>
      </c>
      <c r="W717" s="35" t="str">
        <f>VLOOKUP(D717,Program!$A$1:$B$36,2,FALSE)</f>
        <v>Ämneslärarprogrammet - Gy</v>
      </c>
      <c r="X717" s="40">
        <f>VLOOKUP(A717,kurspris!$A$1:$Q$913,15,FALSE)</f>
        <v>25235</v>
      </c>
      <c r="Y717" s="40">
        <f>VLOOKUP(A717,kurspris!$A$1:$Q$913,16,FALSE)</f>
        <v>27976</v>
      </c>
      <c r="Z717" s="40">
        <f t="shared" si="332"/>
        <v>4901.46</v>
      </c>
      <c r="AA717" s="40">
        <f>VLOOKUP(A717,kurspris!$A$1:$Q$913,17,FALSE)</f>
        <v>3600</v>
      </c>
      <c r="AB717" s="40">
        <f t="shared" si="333"/>
        <v>360</v>
      </c>
      <c r="AC717" s="40">
        <f t="shared" si="334"/>
        <v>5261.46</v>
      </c>
      <c r="AD717" s="31">
        <f>VLOOKUP($A717,kurspris!$A$1:$Q$950,3,FALSE)</f>
        <v>0</v>
      </c>
      <c r="AE717" s="31">
        <f>VLOOKUP($A717,kurspris!$A$1:$Q$950,4,FALSE)</f>
        <v>0</v>
      </c>
      <c r="AF717" s="31">
        <f>VLOOKUP($A717,kurspris!$A$1:$Q$950,5,FALSE)</f>
        <v>0</v>
      </c>
      <c r="AG717" s="31">
        <f>VLOOKUP($A717,kurspris!$A$1:$Q$950,6,FALSE)</f>
        <v>0</v>
      </c>
      <c r="AH717" s="31">
        <f>VLOOKUP($A717,kurspris!$A$1:$Q$950,7,FALSE)</f>
        <v>0</v>
      </c>
      <c r="AI717" s="31">
        <f>VLOOKUP($A717,kurspris!$A$1:$Q$950,8,FALSE)</f>
        <v>0</v>
      </c>
      <c r="AJ717" s="31">
        <f>VLOOKUP($A717,kurspris!$A$1:$Q$950,9,FALSE)</f>
        <v>0</v>
      </c>
      <c r="AK717" s="31">
        <f>VLOOKUP($A717,kurspris!$A$1:$Q$950,10,FALSE)</f>
        <v>0</v>
      </c>
      <c r="AL717" s="31">
        <f>VLOOKUP($A717,kurspris!$A$1:$Q$950,11,FALSE)</f>
        <v>1</v>
      </c>
      <c r="AM717" s="31">
        <f>VLOOKUP($A717,kurspris!$A$1:$Q$950,12,FALSE)</f>
        <v>0</v>
      </c>
      <c r="AN717" s="31">
        <f>VLOOKUP($A717,kurspris!$A$1:$Q$950,13,FALSE)</f>
        <v>0</v>
      </c>
      <c r="AO717" s="31">
        <f>VLOOKUP($A717,kurspris!$A$1:$Q$950,14,FALSE)</f>
        <v>0</v>
      </c>
      <c r="AP717" s="57" t="s">
        <v>2506</v>
      </c>
      <c r="AQ717"/>
      <c r="AR717" s="31">
        <f t="shared" si="335"/>
        <v>0</v>
      </c>
      <c r="AS717" s="219">
        <f t="shared" si="336"/>
        <v>0</v>
      </c>
      <c r="AT717" s="31">
        <f t="shared" si="337"/>
        <v>0</v>
      </c>
      <c r="AU717" s="219">
        <f t="shared" si="338"/>
        <v>0</v>
      </c>
      <c r="AV717" s="31">
        <f t="shared" si="339"/>
        <v>0</v>
      </c>
      <c r="AW717" s="31">
        <f t="shared" si="340"/>
        <v>0</v>
      </c>
      <c r="AX717" s="31">
        <f t="shared" si="341"/>
        <v>0</v>
      </c>
      <c r="AY717" s="219">
        <f t="shared" si="342"/>
        <v>0</v>
      </c>
      <c r="AZ717" s="196">
        <f t="shared" si="343"/>
        <v>0</v>
      </c>
      <c r="BA717" s="219">
        <f t="shared" si="344"/>
        <v>0</v>
      </c>
      <c r="BB717" s="31">
        <f t="shared" si="345"/>
        <v>0</v>
      </c>
      <c r="BC717" s="219">
        <f t="shared" si="346"/>
        <v>0</v>
      </c>
      <c r="BD717" s="31">
        <f t="shared" si="347"/>
        <v>0</v>
      </c>
      <c r="BE717" s="219">
        <f t="shared" si="348"/>
        <v>0</v>
      </c>
      <c r="BF717" s="31">
        <f t="shared" si="349"/>
        <v>0</v>
      </c>
      <c r="BG717" s="219">
        <f t="shared" si="350"/>
        <v>0</v>
      </c>
      <c r="BH717" s="31">
        <f t="shared" si="351"/>
        <v>0.1</v>
      </c>
      <c r="BI717" s="219">
        <f t="shared" si="352"/>
        <v>8.5000000000000006E-2</v>
      </c>
      <c r="BJ717" s="31">
        <f t="shared" si="353"/>
        <v>0</v>
      </c>
      <c r="BK717" s="219">
        <f t="shared" si="354"/>
        <v>0</v>
      </c>
      <c r="BL717" s="31">
        <f t="shared" si="355"/>
        <v>0</v>
      </c>
      <c r="BM717" s="219">
        <f t="shared" si="356"/>
        <v>0</v>
      </c>
      <c r="BN717" s="31">
        <f t="shared" si="357"/>
        <v>0</v>
      </c>
      <c r="BO717" s="219">
        <f t="shared" si="358"/>
        <v>0</v>
      </c>
    </row>
    <row r="718" spans="1:67" x14ac:dyDescent="0.25">
      <c r="A718" s="31" t="s">
        <v>1903</v>
      </c>
      <c r="B718" s="176" t="str">
        <f>VLOOKUP(A718,kurspris!$A$1:$B$992,2,FALSE)</f>
        <v>Att undervisa i Idrott och hälsa (VFU)</v>
      </c>
      <c r="D718" s="60" t="s">
        <v>482</v>
      </c>
      <c r="E718" s="576" t="s">
        <v>2225</v>
      </c>
      <c r="F718" s="31" t="s">
        <v>2273</v>
      </c>
      <c r="G718" t="s">
        <v>2444</v>
      </c>
      <c r="H718" t="s">
        <v>2335</v>
      </c>
      <c r="J718" s="31" t="s">
        <v>2232</v>
      </c>
      <c r="L718" s="38">
        <v>1</v>
      </c>
      <c r="M718">
        <v>6</v>
      </c>
      <c r="P718" s="31">
        <v>2</v>
      </c>
      <c r="Q718" s="196">
        <f t="shared" si="359"/>
        <v>0.2</v>
      </c>
      <c r="R718" s="38">
        <v>0.85</v>
      </c>
      <c r="S718" s="280">
        <f t="shared" si="331"/>
        <v>0.17</v>
      </c>
      <c r="T718" s="31">
        <f>VLOOKUP(A718,'Ansvar kurs'!$A$1:$C$1123,2,FALSE)</f>
        <v>2180</v>
      </c>
      <c r="U718" s="31" t="str">
        <f>VLOOKUP(T718,Orgenheter!$A$1:$C$166,2,FALSE)</f>
        <v xml:space="preserve">Pedagogik                     </v>
      </c>
      <c r="V718" s="31" t="str">
        <f>VLOOKUP(T718,Orgenheter!$A$1:$C$166,3,FALSE)</f>
        <v>Sam</v>
      </c>
      <c r="W718" s="35" t="str">
        <f>VLOOKUP(D718,Program!$A$1:$B$36,2,FALSE)</f>
        <v>Ämneslärarprogrammet - Gy</v>
      </c>
      <c r="X718" s="40">
        <f>VLOOKUP(A718,kurspris!$A$1:$Q$913,15,FALSE)</f>
        <v>25235</v>
      </c>
      <c r="Y718" s="40">
        <f>VLOOKUP(A718,kurspris!$A$1:$Q$913,16,FALSE)</f>
        <v>27976</v>
      </c>
      <c r="Z718" s="40">
        <f t="shared" si="332"/>
        <v>9802.92</v>
      </c>
      <c r="AA718" s="40">
        <f>VLOOKUP(A718,kurspris!$A$1:$Q$913,17,FALSE)</f>
        <v>3600</v>
      </c>
      <c r="AB718" s="40">
        <f t="shared" si="333"/>
        <v>720</v>
      </c>
      <c r="AC718" s="40">
        <f t="shared" si="334"/>
        <v>10522.92</v>
      </c>
      <c r="AD718" s="31">
        <f>VLOOKUP($A718,kurspris!$A$1:$Q$950,3,FALSE)</f>
        <v>0</v>
      </c>
      <c r="AE718" s="31">
        <f>VLOOKUP($A718,kurspris!$A$1:$Q$950,4,FALSE)</f>
        <v>0</v>
      </c>
      <c r="AF718" s="31">
        <f>VLOOKUP($A718,kurspris!$A$1:$Q$950,5,FALSE)</f>
        <v>0</v>
      </c>
      <c r="AG718" s="31">
        <f>VLOOKUP($A718,kurspris!$A$1:$Q$950,6,FALSE)</f>
        <v>0</v>
      </c>
      <c r="AH718" s="31">
        <f>VLOOKUP($A718,kurspris!$A$1:$Q$950,7,FALSE)</f>
        <v>0</v>
      </c>
      <c r="AI718" s="31">
        <f>VLOOKUP($A718,kurspris!$A$1:$Q$950,8,FALSE)</f>
        <v>0</v>
      </c>
      <c r="AJ718" s="31">
        <f>VLOOKUP($A718,kurspris!$A$1:$Q$950,9,FALSE)</f>
        <v>0</v>
      </c>
      <c r="AK718" s="31">
        <f>VLOOKUP($A718,kurspris!$A$1:$Q$950,10,FALSE)</f>
        <v>0</v>
      </c>
      <c r="AL718" s="31">
        <f>VLOOKUP($A718,kurspris!$A$1:$Q$950,11,FALSE)</f>
        <v>1</v>
      </c>
      <c r="AM718" s="31">
        <f>VLOOKUP($A718,kurspris!$A$1:$Q$950,12,FALSE)</f>
        <v>0</v>
      </c>
      <c r="AN718" s="31">
        <f>VLOOKUP($A718,kurspris!$A$1:$Q$950,13,FALSE)</f>
        <v>0</v>
      </c>
      <c r="AO718" s="31">
        <f>VLOOKUP($A718,kurspris!$A$1:$Q$950,14,FALSE)</f>
        <v>0</v>
      </c>
      <c r="AP718" s="57" t="s">
        <v>2506</v>
      </c>
      <c r="AQ718"/>
      <c r="AR718" s="31">
        <f t="shared" si="335"/>
        <v>0</v>
      </c>
      <c r="AS718" s="219">
        <f t="shared" si="336"/>
        <v>0</v>
      </c>
      <c r="AT718" s="31">
        <f t="shared" si="337"/>
        <v>0</v>
      </c>
      <c r="AU718" s="219">
        <f t="shared" si="338"/>
        <v>0</v>
      </c>
      <c r="AV718" s="31">
        <f t="shared" si="339"/>
        <v>0</v>
      </c>
      <c r="AW718" s="31">
        <f t="shared" si="340"/>
        <v>0</v>
      </c>
      <c r="AX718" s="31">
        <f t="shared" si="341"/>
        <v>0</v>
      </c>
      <c r="AY718" s="219">
        <f t="shared" si="342"/>
        <v>0</v>
      </c>
      <c r="AZ718" s="196">
        <f t="shared" si="343"/>
        <v>0</v>
      </c>
      <c r="BA718" s="219">
        <f t="shared" si="344"/>
        <v>0</v>
      </c>
      <c r="BB718" s="31">
        <f t="shared" si="345"/>
        <v>0</v>
      </c>
      <c r="BC718" s="219">
        <f t="shared" si="346"/>
        <v>0</v>
      </c>
      <c r="BD718" s="31">
        <f t="shared" si="347"/>
        <v>0</v>
      </c>
      <c r="BE718" s="219">
        <f t="shared" si="348"/>
        <v>0</v>
      </c>
      <c r="BF718" s="31">
        <f t="shared" si="349"/>
        <v>0</v>
      </c>
      <c r="BG718" s="219">
        <f t="shared" si="350"/>
        <v>0</v>
      </c>
      <c r="BH718" s="31">
        <f t="shared" si="351"/>
        <v>0.2</v>
      </c>
      <c r="BI718" s="219">
        <f t="shared" si="352"/>
        <v>0.17</v>
      </c>
      <c r="BJ718" s="31">
        <f t="shared" si="353"/>
        <v>0</v>
      </c>
      <c r="BK718" s="219">
        <f t="shared" si="354"/>
        <v>0</v>
      </c>
      <c r="BL718" s="31">
        <f t="shared" si="355"/>
        <v>0</v>
      </c>
      <c r="BM718" s="219">
        <f t="shared" si="356"/>
        <v>0</v>
      </c>
      <c r="BN718" s="31">
        <f t="shared" si="357"/>
        <v>0</v>
      </c>
      <c r="BO718" s="219">
        <f t="shared" si="358"/>
        <v>0</v>
      </c>
    </row>
    <row r="719" spans="1:67" x14ac:dyDescent="0.25">
      <c r="A719" s="31" t="s">
        <v>1903</v>
      </c>
      <c r="B719" s="176" t="str">
        <f>VLOOKUP(A719,kurspris!$A$1:$B$992,2,FALSE)</f>
        <v>Att undervisa i Idrott och hälsa (VFU)</v>
      </c>
      <c r="D719" s="60" t="s">
        <v>482</v>
      </c>
      <c r="E719" s="576" t="s">
        <v>2434</v>
      </c>
      <c r="F719" s="31" t="s">
        <v>2273</v>
      </c>
      <c r="G719" t="s">
        <v>2444</v>
      </c>
      <c r="H719" t="s">
        <v>2335</v>
      </c>
      <c r="J719" s="31" t="s">
        <v>2232</v>
      </c>
      <c r="L719" s="38">
        <v>1</v>
      </c>
      <c r="M719">
        <v>6</v>
      </c>
      <c r="P719" s="31">
        <v>17</v>
      </c>
      <c r="Q719" s="196">
        <f t="shared" si="359"/>
        <v>1.7000000000000002</v>
      </c>
      <c r="R719" s="38">
        <v>0.85</v>
      </c>
      <c r="S719" s="280">
        <f t="shared" si="331"/>
        <v>1.4450000000000001</v>
      </c>
      <c r="T719" s="31">
        <f>VLOOKUP(A719,'Ansvar kurs'!$A$1:$C$1123,2,FALSE)</f>
        <v>2180</v>
      </c>
      <c r="U719" s="31" t="str">
        <f>VLOOKUP(T719,Orgenheter!$A$1:$C$166,2,FALSE)</f>
        <v xml:space="preserve">Pedagogik                     </v>
      </c>
      <c r="V719" s="31" t="str">
        <f>VLOOKUP(T719,Orgenheter!$A$1:$C$166,3,FALSE)</f>
        <v>Sam</v>
      </c>
      <c r="W719" s="35" t="str">
        <f>VLOOKUP(D719,Program!$A$1:$B$36,2,FALSE)</f>
        <v>Ämneslärarprogrammet - Gy</v>
      </c>
      <c r="X719" s="40">
        <f>VLOOKUP(A719,kurspris!$A$1:$Q$913,15,FALSE)</f>
        <v>25235</v>
      </c>
      <c r="Y719" s="40">
        <f>VLOOKUP(A719,kurspris!$A$1:$Q$913,16,FALSE)</f>
        <v>27976</v>
      </c>
      <c r="Z719" s="40">
        <f t="shared" si="332"/>
        <v>83324.820000000007</v>
      </c>
      <c r="AA719" s="40">
        <f>VLOOKUP(A719,kurspris!$A$1:$Q$913,17,FALSE)</f>
        <v>3600</v>
      </c>
      <c r="AB719" s="40">
        <f t="shared" si="333"/>
        <v>6120.0000000000009</v>
      </c>
      <c r="AC719" s="40">
        <f t="shared" si="334"/>
        <v>89444.82</v>
      </c>
      <c r="AD719" s="31">
        <f>VLOOKUP($A719,kurspris!$A$1:$Q$950,3,FALSE)</f>
        <v>0</v>
      </c>
      <c r="AE719" s="31">
        <f>VLOOKUP($A719,kurspris!$A$1:$Q$950,4,FALSE)</f>
        <v>0</v>
      </c>
      <c r="AF719" s="31">
        <f>VLOOKUP($A719,kurspris!$A$1:$Q$950,5,FALSE)</f>
        <v>0</v>
      </c>
      <c r="AG719" s="31">
        <f>VLOOKUP($A719,kurspris!$A$1:$Q$950,6,FALSE)</f>
        <v>0</v>
      </c>
      <c r="AH719" s="31">
        <f>VLOOKUP($A719,kurspris!$A$1:$Q$950,7,FALSE)</f>
        <v>0</v>
      </c>
      <c r="AI719" s="31">
        <f>VLOOKUP($A719,kurspris!$A$1:$Q$950,8,FALSE)</f>
        <v>0</v>
      </c>
      <c r="AJ719" s="31">
        <f>VLOOKUP($A719,kurspris!$A$1:$Q$950,9,FALSE)</f>
        <v>0</v>
      </c>
      <c r="AK719" s="31">
        <f>VLOOKUP($A719,kurspris!$A$1:$Q$950,10,FALSE)</f>
        <v>0</v>
      </c>
      <c r="AL719" s="31">
        <f>VLOOKUP($A719,kurspris!$A$1:$Q$950,11,FALSE)</f>
        <v>1</v>
      </c>
      <c r="AM719" s="31">
        <f>VLOOKUP($A719,kurspris!$A$1:$Q$950,12,FALSE)</f>
        <v>0</v>
      </c>
      <c r="AN719" s="31">
        <f>VLOOKUP($A719,kurspris!$A$1:$Q$950,13,FALSE)</f>
        <v>0</v>
      </c>
      <c r="AO719" s="31">
        <f>VLOOKUP($A719,kurspris!$A$1:$Q$950,14,FALSE)</f>
        <v>0</v>
      </c>
      <c r="AP719" s="57" t="s">
        <v>2506</v>
      </c>
      <c r="AQ719"/>
      <c r="AR719" s="31">
        <f t="shared" si="335"/>
        <v>0</v>
      </c>
      <c r="AS719" s="219">
        <f t="shared" si="336"/>
        <v>0</v>
      </c>
      <c r="AT719" s="31">
        <f t="shared" si="337"/>
        <v>0</v>
      </c>
      <c r="AU719" s="219">
        <f t="shared" si="338"/>
        <v>0</v>
      </c>
      <c r="AV719" s="31">
        <f t="shared" si="339"/>
        <v>0</v>
      </c>
      <c r="AW719" s="31">
        <f t="shared" si="340"/>
        <v>0</v>
      </c>
      <c r="AX719" s="31">
        <f t="shared" si="341"/>
        <v>0</v>
      </c>
      <c r="AY719" s="219">
        <f t="shared" si="342"/>
        <v>0</v>
      </c>
      <c r="AZ719" s="196">
        <f t="shared" si="343"/>
        <v>0</v>
      </c>
      <c r="BA719" s="219">
        <f t="shared" si="344"/>
        <v>0</v>
      </c>
      <c r="BB719" s="31">
        <f t="shared" si="345"/>
        <v>0</v>
      </c>
      <c r="BC719" s="219">
        <f t="shared" si="346"/>
        <v>0</v>
      </c>
      <c r="BD719" s="31">
        <f t="shared" si="347"/>
        <v>0</v>
      </c>
      <c r="BE719" s="219">
        <f t="shared" si="348"/>
        <v>0</v>
      </c>
      <c r="BF719" s="31">
        <f t="shared" si="349"/>
        <v>0</v>
      </c>
      <c r="BG719" s="219">
        <f t="shared" si="350"/>
        <v>0</v>
      </c>
      <c r="BH719" s="31">
        <f t="shared" si="351"/>
        <v>1.7000000000000002</v>
      </c>
      <c r="BI719" s="219">
        <f t="shared" si="352"/>
        <v>1.4450000000000001</v>
      </c>
      <c r="BJ719" s="31">
        <f t="shared" si="353"/>
        <v>0</v>
      </c>
      <c r="BK719" s="219">
        <f t="shared" si="354"/>
        <v>0</v>
      </c>
      <c r="BL719" s="31">
        <f t="shared" si="355"/>
        <v>0</v>
      </c>
      <c r="BM719" s="219">
        <f t="shared" si="356"/>
        <v>0</v>
      </c>
      <c r="BN719" s="31">
        <f t="shared" si="357"/>
        <v>0</v>
      </c>
      <c r="BO719" s="219">
        <f t="shared" si="358"/>
        <v>0</v>
      </c>
    </row>
    <row r="720" spans="1:67" x14ac:dyDescent="0.25">
      <c r="A720" s="31" t="s">
        <v>1904</v>
      </c>
      <c r="B720" s="176" t="str">
        <f>VLOOKUP(A720,kurspris!$A$1:$B$992,2,FALSE)</f>
        <v>Att undervisa i Samhällskunskap (VFU)</v>
      </c>
      <c r="D720" s="60" t="s">
        <v>482</v>
      </c>
      <c r="E720" s="576" t="s">
        <v>2434</v>
      </c>
      <c r="F720" s="31" t="s">
        <v>2273</v>
      </c>
      <c r="G720" t="s">
        <v>2444</v>
      </c>
      <c r="H720" t="s">
        <v>2335</v>
      </c>
      <c r="J720" s="31" t="s">
        <v>2232</v>
      </c>
      <c r="L720" s="38">
        <v>1</v>
      </c>
      <c r="M720">
        <v>6</v>
      </c>
      <c r="P720" s="31">
        <v>1</v>
      </c>
      <c r="Q720" s="196">
        <f t="shared" si="359"/>
        <v>0.1</v>
      </c>
      <c r="R720" s="38">
        <v>0.85</v>
      </c>
      <c r="S720" s="280">
        <f t="shared" si="331"/>
        <v>8.5000000000000006E-2</v>
      </c>
      <c r="T720" s="31">
        <f>VLOOKUP(A720,'Ansvar kurs'!$A$1:$C$1123,2,FALSE)</f>
        <v>2180</v>
      </c>
      <c r="U720" s="31" t="str">
        <f>VLOOKUP(T720,Orgenheter!$A$1:$C$166,2,FALSE)</f>
        <v xml:space="preserve">Pedagogik                     </v>
      </c>
      <c r="V720" s="31" t="str">
        <f>VLOOKUP(T720,Orgenheter!$A$1:$C$166,3,FALSE)</f>
        <v>Sam</v>
      </c>
      <c r="W720" s="35" t="str">
        <f>VLOOKUP(D720,Program!$A$1:$B$36,2,FALSE)</f>
        <v>Ämneslärarprogrammet - Gy</v>
      </c>
      <c r="X720" s="40">
        <f>VLOOKUP(A720,kurspris!$A$1:$Q$913,15,FALSE)</f>
        <v>25235</v>
      </c>
      <c r="Y720" s="40">
        <f>VLOOKUP(A720,kurspris!$A$1:$Q$913,16,FALSE)</f>
        <v>27976</v>
      </c>
      <c r="Z720" s="40">
        <f t="shared" si="332"/>
        <v>4901.46</v>
      </c>
      <c r="AA720" s="40">
        <f>VLOOKUP(A720,kurspris!$A$1:$Q$913,17,FALSE)</f>
        <v>3600</v>
      </c>
      <c r="AB720" s="40">
        <f t="shared" si="333"/>
        <v>360</v>
      </c>
      <c r="AC720" s="40">
        <f t="shared" si="334"/>
        <v>5261.46</v>
      </c>
      <c r="AD720" s="31">
        <f>VLOOKUP($A720,kurspris!$A$1:$Q$950,3,FALSE)</f>
        <v>0</v>
      </c>
      <c r="AE720" s="31">
        <f>VLOOKUP($A720,kurspris!$A$1:$Q$950,4,FALSE)</f>
        <v>0</v>
      </c>
      <c r="AF720" s="31">
        <f>VLOOKUP($A720,kurspris!$A$1:$Q$950,5,FALSE)</f>
        <v>0</v>
      </c>
      <c r="AG720" s="31">
        <f>VLOOKUP($A720,kurspris!$A$1:$Q$950,6,FALSE)</f>
        <v>0</v>
      </c>
      <c r="AH720" s="31">
        <f>VLOOKUP($A720,kurspris!$A$1:$Q$950,7,FALSE)</f>
        <v>0</v>
      </c>
      <c r="AI720" s="31">
        <f>VLOOKUP($A720,kurspris!$A$1:$Q$950,8,FALSE)</f>
        <v>0</v>
      </c>
      <c r="AJ720" s="31">
        <f>VLOOKUP($A720,kurspris!$A$1:$Q$950,9,FALSE)</f>
        <v>0</v>
      </c>
      <c r="AK720" s="31">
        <f>VLOOKUP($A720,kurspris!$A$1:$Q$950,10,FALSE)</f>
        <v>0</v>
      </c>
      <c r="AL720" s="31">
        <f>VLOOKUP($A720,kurspris!$A$1:$Q$950,11,FALSE)</f>
        <v>1</v>
      </c>
      <c r="AM720" s="31">
        <f>VLOOKUP($A720,kurspris!$A$1:$Q$950,12,FALSE)</f>
        <v>0</v>
      </c>
      <c r="AN720" s="31">
        <f>VLOOKUP($A720,kurspris!$A$1:$Q$950,13,FALSE)</f>
        <v>0</v>
      </c>
      <c r="AO720" s="31">
        <f>VLOOKUP($A720,kurspris!$A$1:$Q$950,14,FALSE)</f>
        <v>0</v>
      </c>
      <c r="AP720" s="57" t="s">
        <v>2506</v>
      </c>
      <c r="AQ720"/>
      <c r="AR720" s="31">
        <f t="shared" si="335"/>
        <v>0</v>
      </c>
      <c r="AS720" s="219">
        <f t="shared" si="336"/>
        <v>0</v>
      </c>
      <c r="AT720" s="31">
        <f t="shared" si="337"/>
        <v>0</v>
      </c>
      <c r="AU720" s="219">
        <f t="shared" si="338"/>
        <v>0</v>
      </c>
      <c r="AV720" s="31">
        <f t="shared" si="339"/>
        <v>0</v>
      </c>
      <c r="AW720" s="31">
        <f t="shared" si="340"/>
        <v>0</v>
      </c>
      <c r="AX720" s="31">
        <f t="shared" si="341"/>
        <v>0</v>
      </c>
      <c r="AY720" s="219">
        <f t="shared" si="342"/>
        <v>0</v>
      </c>
      <c r="AZ720" s="196">
        <f t="shared" si="343"/>
        <v>0</v>
      </c>
      <c r="BA720" s="219">
        <f t="shared" si="344"/>
        <v>0</v>
      </c>
      <c r="BB720" s="31">
        <f t="shared" si="345"/>
        <v>0</v>
      </c>
      <c r="BC720" s="219">
        <f t="shared" si="346"/>
        <v>0</v>
      </c>
      <c r="BD720" s="31">
        <f t="shared" si="347"/>
        <v>0</v>
      </c>
      <c r="BE720" s="219">
        <f t="shared" si="348"/>
        <v>0</v>
      </c>
      <c r="BF720" s="31">
        <f t="shared" si="349"/>
        <v>0</v>
      </c>
      <c r="BG720" s="219">
        <f t="shared" si="350"/>
        <v>0</v>
      </c>
      <c r="BH720" s="31">
        <f t="shared" si="351"/>
        <v>0.1</v>
      </c>
      <c r="BI720" s="219">
        <f t="shared" si="352"/>
        <v>8.5000000000000006E-2</v>
      </c>
      <c r="BJ720" s="31">
        <f t="shared" si="353"/>
        <v>0</v>
      </c>
      <c r="BK720" s="219">
        <f t="shared" si="354"/>
        <v>0</v>
      </c>
      <c r="BL720" s="31">
        <f t="shared" si="355"/>
        <v>0</v>
      </c>
      <c r="BM720" s="219">
        <f t="shared" si="356"/>
        <v>0</v>
      </c>
      <c r="BN720" s="31">
        <f t="shared" si="357"/>
        <v>0</v>
      </c>
      <c r="BO720" s="219">
        <f t="shared" si="358"/>
        <v>0</v>
      </c>
    </row>
    <row r="721" spans="1:67" x14ac:dyDescent="0.25">
      <c r="A721" s="31" t="s">
        <v>1904</v>
      </c>
      <c r="B721" s="176" t="str">
        <f>VLOOKUP(A721,kurspris!$A$1:$B$992,2,FALSE)</f>
        <v>Att undervisa i Samhällskunskap (VFU)</v>
      </c>
      <c r="D721" s="60" t="s">
        <v>482</v>
      </c>
      <c r="E721" s="576" t="s">
        <v>2434</v>
      </c>
      <c r="F721" s="31" t="s">
        <v>2273</v>
      </c>
      <c r="G721" t="s">
        <v>2444</v>
      </c>
      <c r="H721" t="s">
        <v>2335</v>
      </c>
      <c r="J721" s="31" t="s">
        <v>2242</v>
      </c>
      <c r="L721" s="38">
        <v>1</v>
      </c>
      <c r="M721">
        <v>6</v>
      </c>
      <c r="P721" s="31">
        <v>11</v>
      </c>
      <c r="Q721" s="196">
        <f t="shared" si="359"/>
        <v>1.1000000000000001</v>
      </c>
      <c r="R721" s="38">
        <v>0.85</v>
      </c>
      <c r="S721" s="280">
        <f t="shared" si="331"/>
        <v>0.93500000000000005</v>
      </c>
      <c r="T721" s="31">
        <f>VLOOKUP(A721,'Ansvar kurs'!$A$1:$C$1123,2,FALSE)</f>
        <v>2180</v>
      </c>
      <c r="U721" s="31" t="str">
        <f>VLOOKUP(T721,Orgenheter!$A$1:$C$166,2,FALSE)</f>
        <v xml:space="preserve">Pedagogik                     </v>
      </c>
      <c r="V721" s="31" t="str">
        <f>VLOOKUP(T721,Orgenheter!$A$1:$C$166,3,FALSE)</f>
        <v>Sam</v>
      </c>
      <c r="W721" s="35" t="str">
        <f>VLOOKUP(D721,Program!$A$1:$B$36,2,FALSE)</f>
        <v>Ämneslärarprogrammet - Gy</v>
      </c>
      <c r="X721" s="40">
        <f>VLOOKUP(A721,kurspris!$A$1:$Q$913,15,FALSE)</f>
        <v>25235</v>
      </c>
      <c r="Y721" s="40">
        <f>VLOOKUP(A721,kurspris!$A$1:$Q$913,16,FALSE)</f>
        <v>27976</v>
      </c>
      <c r="Z721" s="40">
        <f t="shared" si="332"/>
        <v>53916.060000000005</v>
      </c>
      <c r="AA721" s="40">
        <f>VLOOKUP(A721,kurspris!$A$1:$Q$913,17,FALSE)</f>
        <v>3600</v>
      </c>
      <c r="AB721" s="40">
        <f t="shared" si="333"/>
        <v>3960.0000000000005</v>
      </c>
      <c r="AC721" s="40">
        <f t="shared" si="334"/>
        <v>57876.060000000005</v>
      </c>
      <c r="AD721" s="31">
        <f>VLOOKUP($A721,kurspris!$A$1:$Q$950,3,FALSE)</f>
        <v>0</v>
      </c>
      <c r="AE721" s="31">
        <f>VLOOKUP($A721,kurspris!$A$1:$Q$950,4,FALSE)</f>
        <v>0</v>
      </c>
      <c r="AF721" s="31">
        <f>VLOOKUP($A721,kurspris!$A$1:$Q$950,5,FALSE)</f>
        <v>0</v>
      </c>
      <c r="AG721" s="31">
        <f>VLOOKUP($A721,kurspris!$A$1:$Q$950,6,FALSE)</f>
        <v>0</v>
      </c>
      <c r="AH721" s="31">
        <f>VLOOKUP($A721,kurspris!$A$1:$Q$950,7,FALSE)</f>
        <v>0</v>
      </c>
      <c r="AI721" s="31">
        <f>VLOOKUP($A721,kurspris!$A$1:$Q$950,8,FALSE)</f>
        <v>0</v>
      </c>
      <c r="AJ721" s="31">
        <f>VLOOKUP($A721,kurspris!$A$1:$Q$950,9,FALSE)</f>
        <v>0</v>
      </c>
      <c r="AK721" s="31">
        <f>VLOOKUP($A721,kurspris!$A$1:$Q$950,10,FALSE)</f>
        <v>0</v>
      </c>
      <c r="AL721" s="31">
        <f>VLOOKUP($A721,kurspris!$A$1:$Q$950,11,FALSE)</f>
        <v>1</v>
      </c>
      <c r="AM721" s="31">
        <f>VLOOKUP($A721,kurspris!$A$1:$Q$950,12,FALSE)</f>
        <v>0</v>
      </c>
      <c r="AN721" s="31">
        <f>VLOOKUP($A721,kurspris!$A$1:$Q$950,13,FALSE)</f>
        <v>0</v>
      </c>
      <c r="AO721" s="31">
        <f>VLOOKUP($A721,kurspris!$A$1:$Q$950,14,FALSE)</f>
        <v>0</v>
      </c>
      <c r="AP721" s="57" t="s">
        <v>2506</v>
      </c>
      <c r="AQ721"/>
      <c r="AR721" s="31">
        <f t="shared" si="335"/>
        <v>0</v>
      </c>
      <c r="AS721" s="219">
        <f t="shared" si="336"/>
        <v>0</v>
      </c>
      <c r="AT721" s="31">
        <f t="shared" si="337"/>
        <v>0</v>
      </c>
      <c r="AU721" s="219">
        <f t="shared" si="338"/>
        <v>0</v>
      </c>
      <c r="AV721" s="31">
        <f t="shared" si="339"/>
        <v>0</v>
      </c>
      <c r="AW721" s="31">
        <f t="shared" si="340"/>
        <v>0</v>
      </c>
      <c r="AX721" s="31">
        <f t="shared" si="341"/>
        <v>0</v>
      </c>
      <c r="AY721" s="219">
        <f t="shared" si="342"/>
        <v>0</v>
      </c>
      <c r="AZ721" s="196">
        <f t="shared" si="343"/>
        <v>0</v>
      </c>
      <c r="BA721" s="219">
        <f t="shared" si="344"/>
        <v>0</v>
      </c>
      <c r="BB721" s="31">
        <f t="shared" si="345"/>
        <v>0</v>
      </c>
      <c r="BC721" s="219">
        <f t="shared" si="346"/>
        <v>0</v>
      </c>
      <c r="BD721" s="31">
        <f t="shared" si="347"/>
        <v>0</v>
      </c>
      <c r="BE721" s="219">
        <f t="shared" si="348"/>
        <v>0</v>
      </c>
      <c r="BF721" s="31">
        <f t="shared" si="349"/>
        <v>0</v>
      </c>
      <c r="BG721" s="219">
        <f t="shared" si="350"/>
        <v>0</v>
      </c>
      <c r="BH721" s="31">
        <f t="shared" si="351"/>
        <v>1.1000000000000001</v>
      </c>
      <c r="BI721" s="219">
        <f t="shared" si="352"/>
        <v>0.93500000000000005</v>
      </c>
      <c r="BJ721" s="31">
        <f t="shared" si="353"/>
        <v>0</v>
      </c>
      <c r="BK721" s="219">
        <f t="shared" si="354"/>
        <v>0</v>
      </c>
      <c r="BL721" s="31">
        <f t="shared" si="355"/>
        <v>0</v>
      </c>
      <c r="BM721" s="219">
        <f t="shared" si="356"/>
        <v>0</v>
      </c>
      <c r="BN721" s="31">
        <f t="shared" si="357"/>
        <v>0</v>
      </c>
      <c r="BO721" s="219">
        <f t="shared" si="358"/>
        <v>0</v>
      </c>
    </row>
    <row r="722" spans="1:67" x14ac:dyDescent="0.25">
      <c r="A722" s="283" t="s">
        <v>2032</v>
      </c>
      <c r="B722" s="362" t="str">
        <f>VLOOKUP(A722,kurspris!$A$1:$B$992,2,FALSE)</f>
        <v>Fjärrundervisning</v>
      </c>
      <c r="C722" s="537"/>
      <c r="D722" s="244" t="s">
        <v>117</v>
      </c>
      <c r="E722" s="244"/>
      <c r="F722" s="538" t="s">
        <v>2319</v>
      </c>
      <c r="G722" s="244"/>
      <c r="H722" s="244"/>
      <c r="I722" s="244"/>
      <c r="J722" s="244"/>
      <c r="K722" s="244"/>
      <c r="L722" s="518">
        <v>0.5</v>
      </c>
      <c r="M722" s="511">
        <v>7.5</v>
      </c>
      <c r="N722" s="244"/>
      <c r="O722" s="244"/>
      <c r="P722" s="244">
        <v>30</v>
      </c>
      <c r="Q722" s="196">
        <f t="shared" si="359"/>
        <v>3.75</v>
      </c>
      <c r="R722" s="38">
        <v>0.8</v>
      </c>
      <c r="S722" s="280">
        <f t="shared" si="331"/>
        <v>3</v>
      </c>
      <c r="T722" s="31">
        <f>VLOOKUP(A722,'Ansvar kurs'!$A$1:$C$1123,2,FALSE)</f>
        <v>2180</v>
      </c>
      <c r="U722" s="31" t="str">
        <f>VLOOKUP(T722,Orgenheter!$A$1:$C$166,2,FALSE)</f>
        <v xml:space="preserve">Pedagogik                     </v>
      </c>
      <c r="V722" s="31" t="str">
        <f>VLOOKUP(T722,Orgenheter!$A$1:$C$166,3,FALSE)</f>
        <v>Sam</v>
      </c>
      <c r="W722" s="35" t="str">
        <f>VLOOKUP(D722,Program!$A$1:$B$36,2,FALSE)</f>
        <v>Fristående och övriga kurser</v>
      </c>
      <c r="X722" s="40">
        <f>VLOOKUP(A722,kurspris!$A$1:$Q$913,15,FALSE)</f>
        <v>20766</v>
      </c>
      <c r="Y722" s="40">
        <f>VLOOKUP(A722,kurspris!$A$1:$Q$913,16,FALSE)</f>
        <v>17442</v>
      </c>
      <c r="Z722" s="40">
        <f t="shared" si="332"/>
        <v>130198.5</v>
      </c>
      <c r="AA722" s="40">
        <f>VLOOKUP(A722,kurspris!$A$1:$Q$913,17,FALSE)</f>
        <v>6000</v>
      </c>
      <c r="AB722" s="40">
        <f t="shared" si="333"/>
        <v>22500</v>
      </c>
      <c r="AC722" s="40">
        <f t="shared" si="334"/>
        <v>152698.5</v>
      </c>
      <c r="AD722" s="31">
        <f>VLOOKUP($A722,kurspris!$A$1:$Q$950,3,FALSE)</f>
        <v>0</v>
      </c>
      <c r="AE722" s="31">
        <f>VLOOKUP($A722,kurspris!$A$1:$Q$950,4,FALSE)</f>
        <v>0</v>
      </c>
      <c r="AF722" s="31">
        <f>VLOOKUP($A722,kurspris!$A$1:$Q$950,5,FALSE)</f>
        <v>0</v>
      </c>
      <c r="AG722" s="31">
        <f>VLOOKUP($A722,kurspris!$A$1:$Q$950,6,FALSE)</f>
        <v>0</v>
      </c>
      <c r="AH722" s="31">
        <f>VLOOKUP($A722,kurspris!$A$1:$Q$950,7,FALSE)</f>
        <v>0</v>
      </c>
      <c r="AI722" s="31">
        <f>VLOOKUP($A722,kurspris!$A$1:$Q$950,8,FALSE)</f>
        <v>0</v>
      </c>
      <c r="AJ722" s="31">
        <f>VLOOKUP($A722,kurspris!$A$1:$Q$950,9,FALSE)</f>
        <v>1</v>
      </c>
      <c r="AK722" s="31">
        <f>VLOOKUP($A722,kurspris!$A$1:$Q$950,10,FALSE)</f>
        <v>0</v>
      </c>
      <c r="AL722" s="31">
        <f>VLOOKUP($A722,kurspris!$A$1:$Q$950,11,FALSE)</f>
        <v>0</v>
      </c>
      <c r="AM722" s="31">
        <f>VLOOKUP($A722,kurspris!$A$1:$Q$950,12,FALSE)</f>
        <v>0</v>
      </c>
      <c r="AN722" s="31">
        <f>VLOOKUP($A722,kurspris!$A$1:$Q$950,13,FALSE)</f>
        <v>0</v>
      </c>
      <c r="AO722" s="31">
        <f>VLOOKUP($A722,kurspris!$A$1:$Q$950,14,FALSE)</f>
        <v>0</v>
      </c>
      <c r="AP722" s="57" t="s">
        <v>2267</v>
      </c>
      <c r="AQ722" s="37"/>
      <c r="AR722" s="31">
        <f t="shared" si="335"/>
        <v>0</v>
      </c>
      <c r="AS722" s="219">
        <f t="shared" si="336"/>
        <v>0</v>
      </c>
      <c r="AT722" s="31">
        <f t="shared" si="337"/>
        <v>0</v>
      </c>
      <c r="AU722" s="219">
        <f t="shared" si="338"/>
        <v>0</v>
      </c>
      <c r="AV722" s="31">
        <f t="shared" si="339"/>
        <v>0</v>
      </c>
      <c r="AW722" s="31">
        <f t="shared" si="340"/>
        <v>0</v>
      </c>
      <c r="AX722" s="31">
        <f t="shared" si="341"/>
        <v>0</v>
      </c>
      <c r="AY722" s="219">
        <f t="shared" si="342"/>
        <v>0</v>
      </c>
      <c r="AZ722" s="196">
        <f t="shared" si="343"/>
        <v>0</v>
      </c>
      <c r="BA722" s="219">
        <f t="shared" si="344"/>
        <v>0</v>
      </c>
      <c r="BB722" s="31">
        <f t="shared" si="345"/>
        <v>0</v>
      </c>
      <c r="BC722" s="219">
        <f t="shared" si="346"/>
        <v>0</v>
      </c>
      <c r="BD722" s="31">
        <f t="shared" si="347"/>
        <v>3.75</v>
      </c>
      <c r="BE722" s="219">
        <f t="shared" si="348"/>
        <v>3</v>
      </c>
      <c r="BF722" s="31">
        <f t="shared" si="349"/>
        <v>0</v>
      </c>
      <c r="BG722" s="219">
        <f t="shared" si="350"/>
        <v>0</v>
      </c>
      <c r="BH722" s="31">
        <f t="shared" si="351"/>
        <v>0</v>
      </c>
      <c r="BI722" s="219">
        <f t="shared" si="352"/>
        <v>0</v>
      </c>
      <c r="BJ722" s="31">
        <f t="shared" si="353"/>
        <v>0</v>
      </c>
      <c r="BK722" s="219">
        <f t="shared" si="354"/>
        <v>0</v>
      </c>
      <c r="BL722" s="31">
        <f t="shared" si="355"/>
        <v>0</v>
      </c>
      <c r="BM722" s="219">
        <f t="shared" si="356"/>
        <v>0</v>
      </c>
      <c r="BN722" s="31">
        <f t="shared" si="357"/>
        <v>0</v>
      </c>
      <c r="BO722" s="219">
        <f t="shared" si="358"/>
        <v>0</v>
      </c>
    </row>
    <row r="723" spans="1:67" x14ac:dyDescent="0.25">
      <c r="A723" s="31" t="s">
        <v>2043</v>
      </c>
      <c r="B723" s="176" t="str">
        <f>VLOOKUP(A723,kurspris!$A$1:$B$992,2,FALSE)</f>
        <v>Genuspedagogik i lärmiljöer</v>
      </c>
      <c r="C723" s="31">
        <v>68701</v>
      </c>
      <c r="D723" s="60" t="s">
        <v>117</v>
      </c>
      <c r="E723" s="60"/>
      <c r="F723" s="57" t="s">
        <v>2274</v>
      </c>
      <c r="H723" s="31" t="s">
        <v>2395</v>
      </c>
      <c r="I723" s="31" t="s">
        <v>2275</v>
      </c>
      <c r="L723" s="38"/>
      <c r="M723">
        <v>15</v>
      </c>
      <c r="P723" s="31">
        <v>41</v>
      </c>
      <c r="Q723" s="539">
        <v>10.25</v>
      </c>
      <c r="R723" s="38">
        <v>0.8</v>
      </c>
      <c r="S723" s="280">
        <f t="shared" si="331"/>
        <v>8.2000000000000011</v>
      </c>
      <c r="T723" s="31">
        <f>VLOOKUP(A723,'Ansvar kurs'!$A$1:$C$1123,2,FALSE)</f>
        <v>2193</v>
      </c>
      <c r="U723" s="31" t="str">
        <f>VLOOKUP(T723,Orgenheter!$A$1:$C$166,2,FALSE)</f>
        <v xml:space="preserve">TUV </v>
      </c>
      <c r="V723" s="31" t="str">
        <f>VLOOKUP(T723,Orgenheter!$A$1:$C$166,3,FALSE)</f>
        <v>Sam</v>
      </c>
      <c r="W723" s="35" t="str">
        <f>VLOOKUP(D723,Program!$A$1:$B$36,2,FALSE)</f>
        <v>Fristående och övriga kurser</v>
      </c>
      <c r="X723" s="40">
        <f>VLOOKUP(A723,kurspris!$A$1:$Q$913,15,FALSE)</f>
        <v>20766</v>
      </c>
      <c r="Y723" s="40">
        <f>VLOOKUP(A723,kurspris!$A$1:$Q$913,16,FALSE)</f>
        <v>17442</v>
      </c>
      <c r="Z723" s="40">
        <f t="shared" si="332"/>
        <v>355875.9</v>
      </c>
      <c r="AA723" s="40">
        <f>VLOOKUP(A723,kurspris!$A$1:$Q$913,17,FALSE)</f>
        <v>6000</v>
      </c>
      <c r="AB723" s="40">
        <f t="shared" si="333"/>
        <v>61500</v>
      </c>
      <c r="AC723" s="40">
        <f t="shared" si="334"/>
        <v>417375.9</v>
      </c>
      <c r="AD723" s="31">
        <f>VLOOKUP($A723,kurspris!$A$1:$Q$950,3,FALSE)</f>
        <v>0</v>
      </c>
      <c r="AE723" s="31">
        <f>VLOOKUP($A723,kurspris!$A$1:$Q$950,4,FALSE)</f>
        <v>0</v>
      </c>
      <c r="AF723" s="31">
        <f>VLOOKUP($A723,kurspris!$A$1:$Q$950,5,FALSE)</f>
        <v>0</v>
      </c>
      <c r="AG723" s="31">
        <f>VLOOKUP($A723,kurspris!$A$1:$Q$950,6,FALSE)</f>
        <v>0</v>
      </c>
      <c r="AH723" s="31">
        <f>VLOOKUP($A723,kurspris!$A$1:$Q$950,7,FALSE)</f>
        <v>0</v>
      </c>
      <c r="AI723" s="31">
        <f>VLOOKUP($A723,kurspris!$A$1:$Q$950,8,FALSE)</f>
        <v>0</v>
      </c>
      <c r="AJ723" s="31">
        <f>VLOOKUP($A723,kurspris!$A$1:$Q$950,9,FALSE)</f>
        <v>1</v>
      </c>
      <c r="AK723" s="31">
        <f>VLOOKUP($A723,kurspris!$A$1:$Q$950,10,FALSE)</f>
        <v>0</v>
      </c>
      <c r="AL723" s="31">
        <f>VLOOKUP($A723,kurspris!$A$1:$Q$950,11,FALSE)</f>
        <v>0</v>
      </c>
      <c r="AM723" s="31">
        <f>VLOOKUP($A723,kurspris!$A$1:$Q$950,12,FALSE)</f>
        <v>0</v>
      </c>
      <c r="AN723" s="31">
        <f>VLOOKUP($A723,kurspris!$A$1:$Q$950,13,FALSE)</f>
        <v>0</v>
      </c>
      <c r="AO723" s="31">
        <f>VLOOKUP($A723,kurspris!$A$1:$Q$950,14,FALSE)</f>
        <v>0</v>
      </c>
      <c r="AP723" s="57" t="s">
        <v>2402</v>
      </c>
      <c r="AQ723"/>
      <c r="AR723" s="31">
        <f t="shared" si="335"/>
        <v>0</v>
      </c>
      <c r="AS723" s="219">
        <f t="shared" si="336"/>
        <v>0</v>
      </c>
      <c r="AT723" s="31">
        <f t="shared" si="337"/>
        <v>0</v>
      </c>
      <c r="AU723" s="219">
        <f t="shared" si="338"/>
        <v>0</v>
      </c>
      <c r="AV723" s="31">
        <f t="shared" si="339"/>
        <v>0</v>
      </c>
      <c r="AW723" s="31">
        <f t="shared" si="340"/>
        <v>0</v>
      </c>
      <c r="AX723" s="31">
        <f t="shared" si="341"/>
        <v>0</v>
      </c>
      <c r="AY723" s="219">
        <f t="shared" si="342"/>
        <v>0</v>
      </c>
      <c r="AZ723" s="196">
        <f t="shared" si="343"/>
        <v>0</v>
      </c>
      <c r="BA723" s="219">
        <f t="shared" si="344"/>
        <v>0</v>
      </c>
      <c r="BB723" s="31">
        <f t="shared" si="345"/>
        <v>0</v>
      </c>
      <c r="BC723" s="219">
        <f t="shared" si="346"/>
        <v>0</v>
      </c>
      <c r="BD723" s="31">
        <f t="shared" si="347"/>
        <v>10.25</v>
      </c>
      <c r="BE723" s="219">
        <f t="shared" si="348"/>
        <v>8.2000000000000011</v>
      </c>
      <c r="BF723" s="31">
        <f t="shared" si="349"/>
        <v>0</v>
      </c>
      <c r="BG723" s="219">
        <f t="shared" si="350"/>
        <v>0</v>
      </c>
      <c r="BH723" s="31">
        <f t="shared" si="351"/>
        <v>0</v>
      </c>
      <c r="BI723" s="219">
        <f t="shared" si="352"/>
        <v>0</v>
      </c>
      <c r="BJ723" s="31">
        <f t="shared" si="353"/>
        <v>0</v>
      </c>
      <c r="BK723" s="219">
        <f t="shared" si="354"/>
        <v>0</v>
      </c>
      <c r="BL723" s="31">
        <f t="shared" si="355"/>
        <v>0</v>
      </c>
      <c r="BM723" s="219">
        <f t="shared" si="356"/>
        <v>0</v>
      </c>
      <c r="BN723" s="31">
        <f t="shared" si="357"/>
        <v>0</v>
      </c>
      <c r="BO723" s="219">
        <f t="shared" si="358"/>
        <v>0</v>
      </c>
    </row>
    <row r="724" spans="1:67" x14ac:dyDescent="0.25">
      <c r="A724" s="157" t="s">
        <v>2043</v>
      </c>
      <c r="B724" s="176" t="str">
        <f>VLOOKUP(A724,kurspris!$A$1:$B$992,2,FALSE)</f>
        <v>Genuspedagogik i lärmiljöer</v>
      </c>
      <c r="C724" s="35"/>
      <c r="D724" s="31" t="s">
        <v>117</v>
      </c>
      <c r="F724" s="31" t="s">
        <v>2273</v>
      </c>
      <c r="I724" s="31" t="s">
        <v>2275</v>
      </c>
      <c r="L724" s="38">
        <v>0.5</v>
      </c>
      <c r="M724" s="325">
        <v>15</v>
      </c>
      <c r="P724" s="31">
        <v>50</v>
      </c>
      <c r="Q724" s="196">
        <f>(M724/60)*P724</f>
        <v>12.5</v>
      </c>
      <c r="R724" s="38">
        <v>0.8</v>
      </c>
      <c r="S724" s="280">
        <f t="shared" si="331"/>
        <v>10</v>
      </c>
      <c r="T724" s="31">
        <f>VLOOKUP(A724,'Ansvar kurs'!$A$1:$C$1123,2,FALSE)</f>
        <v>2193</v>
      </c>
      <c r="U724" s="31" t="str">
        <f>VLOOKUP(T724,Orgenheter!$A$1:$C$166,2,FALSE)</f>
        <v xml:space="preserve">TUV </v>
      </c>
      <c r="V724" s="31" t="str">
        <f>VLOOKUP(T724,Orgenheter!$A$1:$C$166,3,FALSE)</f>
        <v>Sam</v>
      </c>
      <c r="W724" s="35" t="str">
        <f>VLOOKUP(D724,Program!$A$1:$B$36,2,FALSE)</f>
        <v>Fristående och övriga kurser</v>
      </c>
      <c r="X724" s="40">
        <f>VLOOKUP(A724,kurspris!$A$1:$Q$913,15,FALSE)</f>
        <v>20766</v>
      </c>
      <c r="Y724" s="40">
        <f>VLOOKUP(A724,kurspris!$A$1:$Q$913,16,FALSE)</f>
        <v>17442</v>
      </c>
      <c r="Z724" s="40">
        <f t="shared" si="332"/>
        <v>433995</v>
      </c>
      <c r="AA724" s="40">
        <f>VLOOKUP(A724,kurspris!$A$1:$Q$913,17,FALSE)</f>
        <v>6000</v>
      </c>
      <c r="AB724" s="40">
        <f t="shared" si="333"/>
        <v>75000</v>
      </c>
      <c r="AC724" s="40">
        <f t="shared" si="334"/>
        <v>508995</v>
      </c>
      <c r="AD724" s="31">
        <f>VLOOKUP($A724,kurspris!$A$1:$Q$950,3,FALSE)</f>
        <v>0</v>
      </c>
      <c r="AE724" s="31">
        <f>VLOOKUP($A724,kurspris!$A$1:$Q$950,4,FALSE)</f>
        <v>0</v>
      </c>
      <c r="AF724" s="31">
        <f>VLOOKUP($A724,kurspris!$A$1:$Q$950,5,FALSE)</f>
        <v>0</v>
      </c>
      <c r="AG724" s="31">
        <f>VLOOKUP($A724,kurspris!$A$1:$Q$950,6,FALSE)</f>
        <v>0</v>
      </c>
      <c r="AH724" s="31">
        <f>VLOOKUP($A724,kurspris!$A$1:$Q$950,7,FALSE)</f>
        <v>0</v>
      </c>
      <c r="AI724" s="31">
        <f>VLOOKUP($A724,kurspris!$A$1:$Q$950,8,FALSE)</f>
        <v>0</v>
      </c>
      <c r="AJ724" s="31">
        <f>VLOOKUP($A724,kurspris!$A$1:$Q$950,9,FALSE)</f>
        <v>1</v>
      </c>
      <c r="AK724" s="31">
        <f>VLOOKUP($A724,kurspris!$A$1:$Q$950,10,FALSE)</f>
        <v>0</v>
      </c>
      <c r="AL724" s="31">
        <f>VLOOKUP($A724,kurspris!$A$1:$Q$950,11,FALSE)</f>
        <v>0</v>
      </c>
      <c r="AM724" s="31">
        <f>VLOOKUP($A724,kurspris!$A$1:$Q$950,12,FALSE)</f>
        <v>0</v>
      </c>
      <c r="AN724" s="31">
        <f>VLOOKUP($A724,kurspris!$A$1:$Q$950,13,FALSE)</f>
        <v>0</v>
      </c>
      <c r="AO724" s="31">
        <f>VLOOKUP($A724,kurspris!$A$1:$Q$950,14,FALSE)</f>
        <v>0</v>
      </c>
      <c r="AP724" s="57" t="s">
        <v>2267</v>
      </c>
      <c r="AQ724" s="37"/>
      <c r="AR724" s="31">
        <f t="shared" si="335"/>
        <v>0</v>
      </c>
      <c r="AS724" s="219">
        <f t="shared" si="336"/>
        <v>0</v>
      </c>
      <c r="AT724" s="31">
        <f t="shared" si="337"/>
        <v>0</v>
      </c>
      <c r="AU724" s="219">
        <f t="shared" si="338"/>
        <v>0</v>
      </c>
      <c r="AV724" s="31">
        <f t="shared" si="339"/>
        <v>0</v>
      </c>
      <c r="AW724" s="31">
        <f t="shared" si="340"/>
        <v>0</v>
      </c>
      <c r="AX724" s="31">
        <f t="shared" si="341"/>
        <v>0</v>
      </c>
      <c r="AY724" s="219">
        <f t="shared" si="342"/>
        <v>0</v>
      </c>
      <c r="AZ724" s="196">
        <f t="shared" si="343"/>
        <v>0</v>
      </c>
      <c r="BA724" s="219">
        <f t="shared" si="344"/>
        <v>0</v>
      </c>
      <c r="BB724" s="31">
        <f t="shared" si="345"/>
        <v>0</v>
      </c>
      <c r="BC724" s="219">
        <f t="shared" si="346"/>
        <v>0</v>
      </c>
      <c r="BD724" s="31">
        <f t="shared" si="347"/>
        <v>12.5</v>
      </c>
      <c r="BE724" s="219">
        <f t="shared" si="348"/>
        <v>10</v>
      </c>
      <c r="BF724" s="31">
        <f t="shared" si="349"/>
        <v>0</v>
      </c>
      <c r="BG724" s="219">
        <f t="shared" si="350"/>
        <v>0</v>
      </c>
      <c r="BH724" s="31">
        <f t="shared" si="351"/>
        <v>0</v>
      </c>
      <c r="BI724" s="219">
        <f t="shared" si="352"/>
        <v>0</v>
      </c>
      <c r="BJ724" s="31">
        <f t="shared" si="353"/>
        <v>0</v>
      </c>
      <c r="BK724" s="219">
        <f t="shared" si="354"/>
        <v>0</v>
      </c>
      <c r="BL724" s="31">
        <f t="shared" si="355"/>
        <v>0</v>
      </c>
      <c r="BM724" s="219">
        <f t="shared" si="356"/>
        <v>0</v>
      </c>
      <c r="BN724" s="31">
        <f t="shared" si="357"/>
        <v>0</v>
      </c>
      <c r="BO724" s="219">
        <f t="shared" si="358"/>
        <v>0</v>
      </c>
    </row>
    <row r="725" spans="1:67" x14ac:dyDescent="0.25">
      <c r="A725" s="31" t="s">
        <v>2045</v>
      </c>
      <c r="B725" s="176" t="str">
        <f>VLOOKUP(A725,kurspris!$A$1:$B$992,2,FALSE)</f>
        <v>Mobbning i lärmiljöer</v>
      </c>
      <c r="C725" s="31">
        <v>68703</v>
      </c>
      <c r="D725" s="60" t="s">
        <v>117</v>
      </c>
      <c r="E725" s="60"/>
      <c r="F725" s="57" t="s">
        <v>2274</v>
      </c>
      <c r="H725" s="31" t="s">
        <v>2395</v>
      </c>
      <c r="I725" s="31" t="s">
        <v>2275</v>
      </c>
      <c r="L725" s="38"/>
      <c r="M725">
        <v>7.5</v>
      </c>
      <c r="P725" s="31">
        <v>42</v>
      </c>
      <c r="Q725" s="539">
        <v>5.25</v>
      </c>
      <c r="R725" s="38">
        <v>0.8</v>
      </c>
      <c r="S725" s="280">
        <f t="shared" si="331"/>
        <v>4.2</v>
      </c>
      <c r="T725" s="31">
        <f>VLOOKUP(A725,'Ansvar kurs'!$A$1:$C$1123,2,FALSE)</f>
        <v>2193</v>
      </c>
      <c r="U725" s="31" t="str">
        <f>VLOOKUP(T725,Orgenheter!$A$1:$C$166,2,FALSE)</f>
        <v xml:space="preserve">TUV </v>
      </c>
      <c r="V725" s="31" t="str">
        <f>VLOOKUP(T725,Orgenheter!$A$1:$C$166,3,FALSE)</f>
        <v>Sam</v>
      </c>
      <c r="W725" s="35" t="str">
        <f>VLOOKUP(D725,Program!$A$1:$B$36,2,FALSE)</f>
        <v>Fristående och övriga kurser</v>
      </c>
      <c r="X725" s="40">
        <f>VLOOKUP(A725,kurspris!$A$1:$Q$913,15,FALSE)</f>
        <v>20766</v>
      </c>
      <c r="Y725" s="40">
        <f>VLOOKUP(A725,kurspris!$A$1:$Q$913,16,FALSE)</f>
        <v>17442</v>
      </c>
      <c r="Z725" s="40">
        <f t="shared" si="332"/>
        <v>182277.90000000002</v>
      </c>
      <c r="AA725" s="40">
        <f>VLOOKUP(A725,kurspris!$A$1:$Q$913,17,FALSE)</f>
        <v>6000</v>
      </c>
      <c r="AB725" s="40">
        <f t="shared" si="333"/>
        <v>31500</v>
      </c>
      <c r="AC725" s="40">
        <f t="shared" si="334"/>
        <v>213777.90000000002</v>
      </c>
      <c r="AD725" s="31">
        <f>VLOOKUP($A725,kurspris!$A$1:$Q$950,3,FALSE)</f>
        <v>0</v>
      </c>
      <c r="AE725" s="31">
        <f>VLOOKUP($A725,kurspris!$A$1:$Q$950,4,FALSE)</f>
        <v>0</v>
      </c>
      <c r="AF725" s="31">
        <f>VLOOKUP($A725,kurspris!$A$1:$Q$950,5,FALSE)</f>
        <v>0</v>
      </c>
      <c r="AG725" s="31">
        <f>VLOOKUP($A725,kurspris!$A$1:$Q$950,6,FALSE)</f>
        <v>0</v>
      </c>
      <c r="AH725" s="31">
        <f>VLOOKUP($A725,kurspris!$A$1:$Q$950,7,FALSE)</f>
        <v>0</v>
      </c>
      <c r="AI725" s="31">
        <f>VLOOKUP($A725,kurspris!$A$1:$Q$950,8,FALSE)</f>
        <v>0</v>
      </c>
      <c r="AJ725" s="31">
        <f>VLOOKUP($A725,kurspris!$A$1:$Q$950,9,FALSE)</f>
        <v>1</v>
      </c>
      <c r="AK725" s="31">
        <f>VLOOKUP($A725,kurspris!$A$1:$Q$950,10,FALSE)</f>
        <v>0</v>
      </c>
      <c r="AL725" s="31">
        <f>VLOOKUP($A725,kurspris!$A$1:$Q$950,11,FALSE)</f>
        <v>0</v>
      </c>
      <c r="AM725" s="31">
        <f>VLOOKUP($A725,kurspris!$A$1:$Q$950,12,FALSE)</f>
        <v>0</v>
      </c>
      <c r="AN725" s="31">
        <f>VLOOKUP($A725,kurspris!$A$1:$Q$950,13,FALSE)</f>
        <v>0</v>
      </c>
      <c r="AO725" s="31">
        <f>VLOOKUP($A725,kurspris!$A$1:$Q$950,14,FALSE)</f>
        <v>0</v>
      </c>
      <c r="AP725" s="57" t="s">
        <v>2402</v>
      </c>
      <c r="AQ725"/>
      <c r="AR725" s="31">
        <f t="shared" si="335"/>
        <v>0</v>
      </c>
      <c r="AS725" s="219">
        <f t="shared" si="336"/>
        <v>0</v>
      </c>
      <c r="AT725" s="31">
        <f t="shared" si="337"/>
        <v>0</v>
      </c>
      <c r="AU725" s="219">
        <f t="shared" si="338"/>
        <v>0</v>
      </c>
      <c r="AV725" s="31">
        <f t="shared" si="339"/>
        <v>0</v>
      </c>
      <c r="AW725" s="31">
        <f t="shared" si="340"/>
        <v>0</v>
      </c>
      <c r="AX725" s="31">
        <f t="shared" si="341"/>
        <v>0</v>
      </c>
      <c r="AY725" s="219">
        <f t="shared" si="342"/>
        <v>0</v>
      </c>
      <c r="AZ725" s="196">
        <f t="shared" si="343"/>
        <v>0</v>
      </c>
      <c r="BA725" s="219">
        <f t="shared" si="344"/>
        <v>0</v>
      </c>
      <c r="BB725" s="31">
        <f t="shared" si="345"/>
        <v>0</v>
      </c>
      <c r="BC725" s="219">
        <f t="shared" si="346"/>
        <v>0</v>
      </c>
      <c r="BD725" s="31">
        <f t="shared" si="347"/>
        <v>5.25</v>
      </c>
      <c r="BE725" s="219">
        <f t="shared" si="348"/>
        <v>4.2</v>
      </c>
      <c r="BF725" s="31">
        <f t="shared" si="349"/>
        <v>0</v>
      </c>
      <c r="BG725" s="219">
        <f t="shared" si="350"/>
        <v>0</v>
      </c>
      <c r="BH725" s="31">
        <f t="shared" si="351"/>
        <v>0</v>
      </c>
      <c r="BI725" s="219">
        <f t="shared" si="352"/>
        <v>0</v>
      </c>
      <c r="BJ725" s="31">
        <f t="shared" si="353"/>
        <v>0</v>
      </c>
      <c r="BK725" s="219">
        <f t="shared" si="354"/>
        <v>0</v>
      </c>
      <c r="BL725" s="31">
        <f t="shared" si="355"/>
        <v>0</v>
      </c>
      <c r="BM725" s="219">
        <f t="shared" si="356"/>
        <v>0</v>
      </c>
      <c r="BN725" s="31">
        <f t="shared" si="357"/>
        <v>0</v>
      </c>
      <c r="BO725" s="219">
        <f t="shared" si="358"/>
        <v>0</v>
      </c>
    </row>
    <row r="726" spans="1:67" x14ac:dyDescent="0.25">
      <c r="A726" s="157" t="s">
        <v>2045</v>
      </c>
      <c r="B726" s="176" t="str">
        <f>VLOOKUP(A726,kurspris!$A$1:$B$992,2,FALSE)</f>
        <v>Mobbning i lärmiljöer</v>
      </c>
      <c r="C726" s="35"/>
      <c r="D726" s="31" t="s">
        <v>117</v>
      </c>
      <c r="F726" s="31" t="s">
        <v>2273</v>
      </c>
      <c r="I726" s="31" t="s">
        <v>2275</v>
      </c>
      <c r="L726" s="38">
        <v>0.25</v>
      </c>
      <c r="M726" s="325">
        <v>7.5</v>
      </c>
      <c r="P726" s="31">
        <v>50</v>
      </c>
      <c r="Q726" s="196">
        <f t="shared" ref="Q726:Q734" si="360">(M726/60)*P726</f>
        <v>6.25</v>
      </c>
      <c r="R726" s="38">
        <v>0.8</v>
      </c>
      <c r="S726" s="280">
        <f t="shared" si="331"/>
        <v>5</v>
      </c>
      <c r="T726" s="31">
        <f>VLOOKUP(A726,'Ansvar kurs'!$A$1:$C$1123,2,FALSE)</f>
        <v>2193</v>
      </c>
      <c r="U726" s="31" t="str">
        <f>VLOOKUP(T726,Orgenheter!$A$1:$C$166,2,FALSE)</f>
        <v xml:space="preserve">TUV </v>
      </c>
      <c r="V726" s="31" t="str">
        <f>VLOOKUP(T726,Orgenheter!$A$1:$C$166,3,FALSE)</f>
        <v>Sam</v>
      </c>
      <c r="W726" s="35" t="str">
        <f>VLOOKUP(D726,Program!$A$1:$B$36,2,FALSE)</f>
        <v>Fristående och övriga kurser</v>
      </c>
      <c r="X726" s="40">
        <f>VLOOKUP(A726,kurspris!$A$1:$Q$913,15,FALSE)</f>
        <v>20766</v>
      </c>
      <c r="Y726" s="40">
        <f>VLOOKUP(A726,kurspris!$A$1:$Q$913,16,FALSE)</f>
        <v>17442</v>
      </c>
      <c r="Z726" s="40">
        <f t="shared" si="332"/>
        <v>216997.5</v>
      </c>
      <c r="AA726" s="40">
        <f>VLOOKUP(A726,kurspris!$A$1:$Q$913,17,FALSE)</f>
        <v>6000</v>
      </c>
      <c r="AB726" s="40">
        <f t="shared" si="333"/>
        <v>37500</v>
      </c>
      <c r="AC726" s="40">
        <f t="shared" si="334"/>
        <v>254497.5</v>
      </c>
      <c r="AD726" s="31">
        <f>VLOOKUP($A726,kurspris!$A$1:$Q$950,3,FALSE)</f>
        <v>0</v>
      </c>
      <c r="AE726" s="31">
        <f>VLOOKUP($A726,kurspris!$A$1:$Q$950,4,FALSE)</f>
        <v>0</v>
      </c>
      <c r="AF726" s="31">
        <f>VLOOKUP($A726,kurspris!$A$1:$Q$950,5,FALSE)</f>
        <v>0</v>
      </c>
      <c r="AG726" s="31">
        <f>VLOOKUP($A726,kurspris!$A$1:$Q$950,6,FALSE)</f>
        <v>0</v>
      </c>
      <c r="AH726" s="31">
        <f>VLOOKUP($A726,kurspris!$A$1:$Q$950,7,FALSE)</f>
        <v>0</v>
      </c>
      <c r="AI726" s="31">
        <f>VLOOKUP($A726,kurspris!$A$1:$Q$950,8,FALSE)</f>
        <v>0</v>
      </c>
      <c r="AJ726" s="31">
        <f>VLOOKUP($A726,kurspris!$A$1:$Q$950,9,FALSE)</f>
        <v>1</v>
      </c>
      <c r="AK726" s="31">
        <f>VLOOKUP($A726,kurspris!$A$1:$Q$950,10,FALSE)</f>
        <v>0</v>
      </c>
      <c r="AL726" s="31">
        <f>VLOOKUP($A726,kurspris!$A$1:$Q$950,11,FALSE)</f>
        <v>0</v>
      </c>
      <c r="AM726" s="31">
        <f>VLOOKUP($A726,kurspris!$A$1:$Q$950,12,FALSE)</f>
        <v>0</v>
      </c>
      <c r="AN726" s="31">
        <f>VLOOKUP($A726,kurspris!$A$1:$Q$950,13,FALSE)</f>
        <v>0</v>
      </c>
      <c r="AO726" s="31">
        <f>VLOOKUP($A726,kurspris!$A$1:$Q$950,14,FALSE)</f>
        <v>0</v>
      </c>
      <c r="AP726" s="57" t="s">
        <v>2267</v>
      </c>
      <c r="AQ726" s="37"/>
      <c r="AR726" s="31">
        <f t="shared" si="335"/>
        <v>0</v>
      </c>
      <c r="AS726" s="219">
        <f t="shared" si="336"/>
        <v>0</v>
      </c>
      <c r="AT726" s="31">
        <f t="shared" si="337"/>
        <v>0</v>
      </c>
      <c r="AU726" s="219">
        <f t="shared" si="338"/>
        <v>0</v>
      </c>
      <c r="AV726" s="31">
        <f t="shared" si="339"/>
        <v>0</v>
      </c>
      <c r="AW726" s="31">
        <f t="shared" si="340"/>
        <v>0</v>
      </c>
      <c r="AX726" s="31">
        <f t="shared" si="341"/>
        <v>0</v>
      </c>
      <c r="AY726" s="219">
        <f t="shared" si="342"/>
        <v>0</v>
      </c>
      <c r="AZ726" s="196">
        <f t="shared" si="343"/>
        <v>0</v>
      </c>
      <c r="BA726" s="219">
        <f t="shared" si="344"/>
        <v>0</v>
      </c>
      <c r="BB726" s="31">
        <f t="shared" si="345"/>
        <v>0</v>
      </c>
      <c r="BC726" s="219">
        <f t="shared" si="346"/>
        <v>0</v>
      </c>
      <c r="BD726" s="31">
        <f t="shared" si="347"/>
        <v>6.25</v>
      </c>
      <c r="BE726" s="219">
        <f t="shared" si="348"/>
        <v>5</v>
      </c>
      <c r="BF726" s="31">
        <f t="shared" si="349"/>
        <v>0</v>
      </c>
      <c r="BG726" s="219">
        <f t="shared" si="350"/>
        <v>0</v>
      </c>
      <c r="BH726" s="31">
        <f t="shared" si="351"/>
        <v>0</v>
      </c>
      <c r="BI726" s="219">
        <f t="shared" si="352"/>
        <v>0</v>
      </c>
      <c r="BJ726" s="31">
        <f t="shared" si="353"/>
        <v>0</v>
      </c>
      <c r="BK726" s="219">
        <f t="shared" si="354"/>
        <v>0</v>
      </c>
      <c r="BL726" s="31">
        <f t="shared" si="355"/>
        <v>0</v>
      </c>
      <c r="BM726" s="219">
        <f t="shared" si="356"/>
        <v>0</v>
      </c>
      <c r="BN726" s="31">
        <f t="shared" si="357"/>
        <v>0</v>
      </c>
      <c r="BO726" s="219">
        <f t="shared" si="358"/>
        <v>0</v>
      </c>
    </row>
    <row r="727" spans="1:67" x14ac:dyDescent="0.25">
      <c r="A727" s="31" t="s">
        <v>2009</v>
      </c>
      <c r="B727" s="176" t="str">
        <f>VLOOKUP(A727,kurspris!$A$1:$B$992,2,FALSE)</f>
        <v>Kurs i examensarbete - Matematikutveckling</v>
      </c>
      <c r="D727" s="60" t="s">
        <v>115</v>
      </c>
      <c r="E727" s="576" t="s">
        <v>2432</v>
      </c>
      <c r="F727" s="31" t="s">
        <v>2273</v>
      </c>
      <c r="G727" s="31" t="s">
        <v>2463</v>
      </c>
      <c r="H727" s="31" t="s">
        <v>2335</v>
      </c>
      <c r="J727" s="31" t="s">
        <v>2259</v>
      </c>
      <c r="L727" s="38">
        <v>1</v>
      </c>
      <c r="M727" s="325">
        <v>15</v>
      </c>
      <c r="P727" s="31">
        <v>9</v>
      </c>
      <c r="Q727" s="196">
        <f t="shared" si="360"/>
        <v>2.25</v>
      </c>
      <c r="R727" s="38">
        <v>0.85</v>
      </c>
      <c r="S727" s="280">
        <f t="shared" si="331"/>
        <v>1.9124999999999999</v>
      </c>
      <c r="T727" s="31">
        <f>VLOOKUP(A727,'Ansvar kurs'!$A$1:$C$1123,2,FALSE)</f>
        <v>5740</v>
      </c>
      <c r="U727" s="31" t="str">
        <f>VLOOKUP(T727,Orgenheter!$A$1:$C$166,2,FALSE)</f>
        <v>NMD</v>
      </c>
      <c r="V727" s="31" t="str">
        <f>VLOOKUP(T727,Orgenheter!$A$1:$C$166,3,FALSE)</f>
        <v>TekNat</v>
      </c>
      <c r="W727" s="35" t="str">
        <f>VLOOKUP(D727,Program!$A$1:$B$36,2,FALSE)</f>
        <v>Speciallärarprogrammet</v>
      </c>
      <c r="X727" s="40">
        <f>VLOOKUP(A727,kurspris!$A$1:$Q$913,15,FALSE)</f>
        <v>20757</v>
      </c>
      <c r="Y727" s="40">
        <f>VLOOKUP(A727,kurspris!$A$1:$Q$913,16,FALSE)</f>
        <v>36082</v>
      </c>
      <c r="Z727" s="40">
        <f t="shared" si="332"/>
        <v>115710.075</v>
      </c>
      <c r="AA727" s="40">
        <f>VLOOKUP(A727,kurspris!$A$1:$Q$913,17,FALSE)</f>
        <v>22600</v>
      </c>
      <c r="AB727" s="40">
        <f t="shared" si="333"/>
        <v>50850</v>
      </c>
      <c r="AC727" s="40">
        <f t="shared" si="334"/>
        <v>166560.07500000001</v>
      </c>
      <c r="AD727" s="31">
        <f>VLOOKUP($A727,kurspris!$A$1:$Q$950,3,FALSE)</f>
        <v>0</v>
      </c>
      <c r="AE727" s="31">
        <f>VLOOKUP($A727,kurspris!$A$1:$Q$950,4,FALSE)</f>
        <v>0</v>
      </c>
      <c r="AF727" s="31">
        <f>VLOOKUP($A727,kurspris!$A$1:$Q$950,5,FALSE)</f>
        <v>0</v>
      </c>
      <c r="AG727" s="31">
        <f>VLOOKUP($A727,kurspris!$A$1:$Q$950,6,FALSE)</f>
        <v>0</v>
      </c>
      <c r="AH727" s="31">
        <f>VLOOKUP($A727,kurspris!$A$1:$Q$950,7,FALSE)</f>
        <v>0</v>
      </c>
      <c r="AI727" s="31">
        <f>VLOOKUP($A727,kurspris!$A$1:$Q$950,8,FALSE)</f>
        <v>1</v>
      </c>
      <c r="AJ727" s="31">
        <f>VLOOKUP($A727,kurspris!$A$1:$Q$950,9,FALSE)</f>
        <v>0</v>
      </c>
      <c r="AK727" s="31">
        <f>VLOOKUP($A727,kurspris!$A$1:$Q$950,10,FALSE)</f>
        <v>0</v>
      </c>
      <c r="AL727" s="31">
        <f>VLOOKUP($A727,kurspris!$A$1:$Q$950,11,FALSE)</f>
        <v>0</v>
      </c>
      <c r="AM727" s="31">
        <f>VLOOKUP($A727,kurspris!$A$1:$Q$950,12,FALSE)</f>
        <v>0</v>
      </c>
      <c r="AN727" s="31">
        <f>VLOOKUP($A727,kurspris!$A$1:$Q$950,13,FALSE)</f>
        <v>0</v>
      </c>
      <c r="AO727" s="31">
        <f>VLOOKUP($A727,kurspris!$A$1:$Q$950,14,FALSE)</f>
        <v>0</v>
      </c>
      <c r="AP727" s="57" t="s">
        <v>2506</v>
      </c>
      <c r="AQ727"/>
      <c r="AR727" s="31">
        <f t="shared" si="335"/>
        <v>0</v>
      </c>
      <c r="AS727" s="219">
        <f t="shared" si="336"/>
        <v>0</v>
      </c>
      <c r="AT727" s="31">
        <f t="shared" si="337"/>
        <v>0</v>
      </c>
      <c r="AU727" s="219">
        <f t="shared" si="338"/>
        <v>0</v>
      </c>
      <c r="AV727" s="31">
        <f t="shared" si="339"/>
        <v>0</v>
      </c>
      <c r="AW727" s="31">
        <f t="shared" si="340"/>
        <v>0</v>
      </c>
      <c r="AX727" s="31">
        <f t="shared" si="341"/>
        <v>0</v>
      </c>
      <c r="AY727" s="219">
        <f t="shared" si="342"/>
        <v>0</v>
      </c>
      <c r="AZ727" s="196">
        <f t="shared" si="343"/>
        <v>0</v>
      </c>
      <c r="BA727" s="219">
        <f t="shared" si="344"/>
        <v>0</v>
      </c>
      <c r="BB727" s="31">
        <f t="shared" si="345"/>
        <v>2.25</v>
      </c>
      <c r="BC727" s="219">
        <f t="shared" si="346"/>
        <v>1.9124999999999999</v>
      </c>
      <c r="BD727" s="31">
        <f t="shared" si="347"/>
        <v>0</v>
      </c>
      <c r="BE727" s="219">
        <f t="shared" si="348"/>
        <v>0</v>
      </c>
      <c r="BF727" s="31">
        <f t="shared" si="349"/>
        <v>0</v>
      </c>
      <c r="BG727" s="219">
        <f t="shared" si="350"/>
        <v>0</v>
      </c>
      <c r="BH727" s="31">
        <f t="shared" si="351"/>
        <v>0</v>
      </c>
      <c r="BI727" s="219">
        <f t="shared" si="352"/>
        <v>0</v>
      </c>
      <c r="BJ727" s="31">
        <f t="shared" si="353"/>
        <v>0</v>
      </c>
      <c r="BK727" s="219">
        <f t="shared" si="354"/>
        <v>0</v>
      </c>
      <c r="BL727" s="31">
        <f t="shared" si="355"/>
        <v>0</v>
      </c>
      <c r="BM727" s="219">
        <f t="shared" si="356"/>
        <v>0</v>
      </c>
      <c r="BN727" s="31">
        <f t="shared" si="357"/>
        <v>0</v>
      </c>
      <c r="BO727" s="219">
        <f t="shared" si="358"/>
        <v>0</v>
      </c>
    </row>
    <row r="728" spans="1:67" x14ac:dyDescent="0.25">
      <c r="A728" s="157" t="s">
        <v>2027</v>
      </c>
      <c r="B728" s="176" t="str">
        <f>VLOOKUP(A728,kurspris!$A$1:$B$992,2,FALSE)</f>
        <v>Undervisning och kvalitetsutveckling i förskola respektive fritidshem</v>
      </c>
      <c r="C728" s="35"/>
      <c r="D728" s="31" t="s">
        <v>117</v>
      </c>
      <c r="F728" s="60" t="s">
        <v>2273</v>
      </c>
      <c r="I728" s="31" t="s">
        <v>2275</v>
      </c>
      <c r="L728" s="38">
        <v>0.5</v>
      </c>
      <c r="M728" s="325">
        <v>15</v>
      </c>
      <c r="P728" s="31">
        <v>30</v>
      </c>
      <c r="Q728" s="196">
        <f t="shared" si="360"/>
        <v>7.5</v>
      </c>
      <c r="R728" s="38">
        <v>0.8</v>
      </c>
      <c r="S728" s="280">
        <f t="shared" si="331"/>
        <v>6</v>
      </c>
      <c r="T728" s="31">
        <f>VLOOKUP(A728,'Ansvar kurs'!$A$1:$C$1123,2,FALSE)</f>
        <v>2193</v>
      </c>
      <c r="U728" s="31" t="str">
        <f>VLOOKUP(T728,Orgenheter!$A$1:$C$166,2,FALSE)</f>
        <v xml:space="preserve">TUV </v>
      </c>
      <c r="V728" s="31" t="str">
        <f>VLOOKUP(T728,Orgenheter!$A$1:$C$166,3,FALSE)</f>
        <v>Sam</v>
      </c>
      <c r="W728" s="35" t="str">
        <f>VLOOKUP(D728,Program!$A$1:$B$36,2,FALSE)</f>
        <v>Fristående och övriga kurser</v>
      </c>
      <c r="X728" s="40">
        <f>VLOOKUP(A728,kurspris!$A$1:$Q$913,15,FALSE)</f>
        <v>20766</v>
      </c>
      <c r="Y728" s="40">
        <f>VLOOKUP(A728,kurspris!$A$1:$Q$913,16,FALSE)</f>
        <v>17442</v>
      </c>
      <c r="Z728" s="40">
        <f t="shared" si="332"/>
        <v>260397</v>
      </c>
      <c r="AA728" s="40">
        <f>VLOOKUP(A728,kurspris!$A$1:$Q$913,17,FALSE)</f>
        <v>6000</v>
      </c>
      <c r="AB728" s="40">
        <f t="shared" si="333"/>
        <v>45000</v>
      </c>
      <c r="AC728" s="40">
        <f t="shared" si="334"/>
        <v>305397</v>
      </c>
      <c r="AD728" s="31">
        <f>VLOOKUP($A728,kurspris!$A$1:$Q$950,3,FALSE)</f>
        <v>0</v>
      </c>
      <c r="AE728" s="31">
        <f>VLOOKUP($A728,kurspris!$A$1:$Q$950,4,FALSE)</f>
        <v>0</v>
      </c>
      <c r="AF728" s="31">
        <f>VLOOKUP($A728,kurspris!$A$1:$Q$950,5,FALSE)</f>
        <v>0</v>
      </c>
      <c r="AG728" s="31">
        <f>VLOOKUP($A728,kurspris!$A$1:$Q$950,6,FALSE)</f>
        <v>0</v>
      </c>
      <c r="AH728" s="31">
        <f>VLOOKUP($A728,kurspris!$A$1:$Q$950,7,FALSE)</f>
        <v>0</v>
      </c>
      <c r="AI728" s="31">
        <f>VLOOKUP($A728,kurspris!$A$1:$Q$950,8,FALSE)</f>
        <v>0</v>
      </c>
      <c r="AJ728" s="31">
        <f>VLOOKUP($A728,kurspris!$A$1:$Q$950,9,FALSE)</f>
        <v>1</v>
      </c>
      <c r="AK728" s="31">
        <f>VLOOKUP($A728,kurspris!$A$1:$Q$950,10,FALSE)</f>
        <v>0</v>
      </c>
      <c r="AL728" s="31">
        <f>VLOOKUP($A728,kurspris!$A$1:$Q$950,11,FALSE)</f>
        <v>0</v>
      </c>
      <c r="AM728" s="31">
        <f>VLOOKUP($A728,kurspris!$A$1:$Q$950,12,FALSE)</f>
        <v>0</v>
      </c>
      <c r="AN728" s="31">
        <f>VLOOKUP($A728,kurspris!$A$1:$Q$950,13,FALSE)</f>
        <v>0</v>
      </c>
      <c r="AO728" s="31">
        <f>VLOOKUP($A728,kurspris!$A$1:$Q$950,14,FALSE)</f>
        <v>0</v>
      </c>
      <c r="AP728" s="57" t="s">
        <v>2267</v>
      </c>
      <c r="AQ728"/>
      <c r="AR728" s="31">
        <f t="shared" si="335"/>
        <v>0</v>
      </c>
      <c r="AS728" s="219">
        <f t="shared" si="336"/>
        <v>0</v>
      </c>
      <c r="AT728" s="31">
        <f t="shared" si="337"/>
        <v>0</v>
      </c>
      <c r="AU728" s="219">
        <f t="shared" si="338"/>
        <v>0</v>
      </c>
      <c r="AV728" s="31">
        <f t="shared" si="339"/>
        <v>0</v>
      </c>
      <c r="AW728" s="31">
        <f t="shared" si="340"/>
        <v>0</v>
      </c>
      <c r="AX728" s="31">
        <f t="shared" si="341"/>
        <v>0</v>
      </c>
      <c r="AY728" s="219">
        <f t="shared" si="342"/>
        <v>0</v>
      </c>
      <c r="AZ728" s="196">
        <f t="shared" si="343"/>
        <v>0</v>
      </c>
      <c r="BA728" s="219">
        <f t="shared" si="344"/>
        <v>0</v>
      </c>
      <c r="BB728" s="31">
        <f t="shared" si="345"/>
        <v>0</v>
      </c>
      <c r="BC728" s="219">
        <f t="shared" si="346"/>
        <v>0</v>
      </c>
      <c r="BD728" s="31">
        <f t="shared" si="347"/>
        <v>7.5</v>
      </c>
      <c r="BE728" s="219">
        <f t="shared" si="348"/>
        <v>6</v>
      </c>
      <c r="BF728" s="31">
        <f t="shared" si="349"/>
        <v>0</v>
      </c>
      <c r="BG728" s="219">
        <f t="shared" si="350"/>
        <v>0</v>
      </c>
      <c r="BH728" s="31">
        <f t="shared" si="351"/>
        <v>0</v>
      </c>
      <c r="BI728" s="219">
        <f t="shared" si="352"/>
        <v>0</v>
      </c>
      <c r="BJ728" s="31">
        <f t="shared" si="353"/>
        <v>0</v>
      </c>
      <c r="BK728" s="219">
        <f t="shared" si="354"/>
        <v>0</v>
      </c>
      <c r="BL728" s="31">
        <f t="shared" si="355"/>
        <v>0</v>
      </c>
      <c r="BM728" s="219">
        <f t="shared" si="356"/>
        <v>0</v>
      </c>
      <c r="BN728" s="31">
        <f t="shared" si="357"/>
        <v>0</v>
      </c>
      <c r="BO728" s="219">
        <f t="shared" si="358"/>
        <v>0</v>
      </c>
    </row>
    <row r="729" spans="1:67" x14ac:dyDescent="0.25">
      <c r="A729" s="31" t="s">
        <v>2007</v>
      </c>
      <c r="B729" s="176" t="str">
        <f>VLOOKUP(A729,kurspris!$A$1:$B$992,2,FALSE)</f>
        <v>Språk och matematik i ett specialpedagogiskt perspektiv</v>
      </c>
      <c r="D729" s="60" t="s">
        <v>120</v>
      </c>
      <c r="E729" s="576" t="s">
        <v>2434</v>
      </c>
      <c r="F729" s="31" t="s">
        <v>2273</v>
      </c>
      <c r="G729" s="31" t="s">
        <v>2438</v>
      </c>
      <c r="H729" s="31" t="s">
        <v>2335</v>
      </c>
      <c r="J729" s="31" t="s">
        <v>2261</v>
      </c>
      <c r="L729" s="38">
        <v>1</v>
      </c>
      <c r="M729" s="325">
        <v>7.5</v>
      </c>
      <c r="P729" s="31">
        <v>1</v>
      </c>
      <c r="Q729" s="196">
        <f t="shared" si="360"/>
        <v>0.125</v>
      </c>
      <c r="R729" s="38">
        <v>0.85</v>
      </c>
      <c r="S729" s="280">
        <f t="shared" si="331"/>
        <v>0.10625</v>
      </c>
      <c r="T729" s="31">
        <f>VLOOKUP(A729,'Ansvar kurs'!$A$1:$C$1123,2,FALSE)</f>
        <v>5740</v>
      </c>
      <c r="U729" s="31" t="str">
        <f>VLOOKUP(T729,Orgenheter!$A$1:$C$166,2,FALSE)</f>
        <v>NMD</v>
      </c>
      <c r="V729" s="31" t="str">
        <f>VLOOKUP(T729,Orgenheter!$A$1:$C$166,3,FALSE)</f>
        <v>TekNat</v>
      </c>
      <c r="W729" s="35" t="str">
        <f>VLOOKUP(D729,Program!$A$1:$B$36,2,FALSE)</f>
        <v>Specialpedagogprogrammet</v>
      </c>
      <c r="X729" s="40">
        <f>VLOOKUP(A729,kurspris!$A$1:$Q$913,15,FALSE)</f>
        <v>20757</v>
      </c>
      <c r="Y729" s="40">
        <f>VLOOKUP(A729,kurspris!$A$1:$Q$913,16,FALSE)</f>
        <v>36082</v>
      </c>
      <c r="Z729" s="40">
        <f t="shared" si="332"/>
        <v>6428.3374999999996</v>
      </c>
      <c r="AA729" s="40">
        <f>VLOOKUP(A729,kurspris!$A$1:$Q$913,17,FALSE)</f>
        <v>22600</v>
      </c>
      <c r="AB729" s="40">
        <f t="shared" si="333"/>
        <v>2825</v>
      </c>
      <c r="AC729" s="40">
        <f t="shared" si="334"/>
        <v>9253.3374999999996</v>
      </c>
      <c r="AD729" s="31">
        <f>VLOOKUP($A729,kurspris!$A$1:$Q$950,3,FALSE)</f>
        <v>0</v>
      </c>
      <c r="AE729" s="31">
        <f>VLOOKUP($A729,kurspris!$A$1:$Q$950,4,FALSE)</f>
        <v>0</v>
      </c>
      <c r="AF729" s="31">
        <f>VLOOKUP($A729,kurspris!$A$1:$Q$950,5,FALSE)</f>
        <v>0</v>
      </c>
      <c r="AG729" s="31">
        <f>VLOOKUP($A729,kurspris!$A$1:$Q$950,6,FALSE)</f>
        <v>0</v>
      </c>
      <c r="AH729" s="31">
        <f>VLOOKUP($A729,kurspris!$A$1:$Q$950,7,FALSE)</f>
        <v>0</v>
      </c>
      <c r="AI729" s="31">
        <f>VLOOKUP($A729,kurspris!$A$1:$Q$950,8,FALSE)</f>
        <v>1</v>
      </c>
      <c r="AJ729" s="31">
        <f>VLOOKUP($A729,kurspris!$A$1:$Q$950,9,FALSE)</f>
        <v>0</v>
      </c>
      <c r="AK729" s="31">
        <f>VLOOKUP($A729,kurspris!$A$1:$Q$950,10,FALSE)</f>
        <v>0</v>
      </c>
      <c r="AL729" s="31">
        <f>VLOOKUP($A729,kurspris!$A$1:$Q$950,11,FALSE)</f>
        <v>0</v>
      </c>
      <c r="AM729" s="31">
        <f>VLOOKUP($A729,kurspris!$A$1:$Q$950,12,FALSE)</f>
        <v>0</v>
      </c>
      <c r="AN729" s="31">
        <f>VLOOKUP($A729,kurspris!$A$1:$Q$950,13,FALSE)</f>
        <v>0</v>
      </c>
      <c r="AO729" s="31">
        <f>VLOOKUP($A729,kurspris!$A$1:$Q$950,14,FALSE)</f>
        <v>0</v>
      </c>
      <c r="AP729" s="57" t="s">
        <v>2506</v>
      </c>
      <c r="AQ729"/>
      <c r="AR729" s="31">
        <f t="shared" si="335"/>
        <v>0</v>
      </c>
      <c r="AS729" s="219">
        <f t="shared" si="336"/>
        <v>0</v>
      </c>
      <c r="AT729" s="31">
        <f t="shared" si="337"/>
        <v>0</v>
      </c>
      <c r="AU729" s="219">
        <f t="shared" si="338"/>
        <v>0</v>
      </c>
      <c r="AV729" s="31">
        <f t="shared" si="339"/>
        <v>0</v>
      </c>
      <c r="AW729" s="31">
        <f t="shared" si="340"/>
        <v>0</v>
      </c>
      <c r="AX729" s="31">
        <f t="shared" si="341"/>
        <v>0</v>
      </c>
      <c r="AY729" s="219">
        <f t="shared" si="342"/>
        <v>0</v>
      </c>
      <c r="AZ729" s="196">
        <f t="shared" si="343"/>
        <v>0</v>
      </c>
      <c r="BA729" s="219">
        <f t="shared" si="344"/>
        <v>0</v>
      </c>
      <c r="BB729" s="31">
        <f t="shared" si="345"/>
        <v>0.125</v>
      </c>
      <c r="BC729" s="219">
        <f t="shared" si="346"/>
        <v>0.10625</v>
      </c>
      <c r="BD729" s="31">
        <f t="shared" si="347"/>
        <v>0</v>
      </c>
      <c r="BE729" s="219">
        <f t="shared" si="348"/>
        <v>0</v>
      </c>
      <c r="BF729" s="31">
        <f t="shared" si="349"/>
        <v>0</v>
      </c>
      <c r="BG729" s="219">
        <f t="shared" si="350"/>
        <v>0</v>
      </c>
      <c r="BH729" s="31">
        <f t="shared" si="351"/>
        <v>0</v>
      </c>
      <c r="BI729" s="219">
        <f t="shared" si="352"/>
        <v>0</v>
      </c>
      <c r="BJ729" s="31">
        <f t="shared" si="353"/>
        <v>0</v>
      </c>
      <c r="BK729" s="219">
        <f t="shared" si="354"/>
        <v>0</v>
      </c>
      <c r="BL729" s="31">
        <f t="shared" si="355"/>
        <v>0</v>
      </c>
      <c r="BM729" s="219">
        <f t="shared" si="356"/>
        <v>0</v>
      </c>
      <c r="BN729" s="31">
        <f t="shared" si="357"/>
        <v>0</v>
      </c>
      <c r="BO729" s="219">
        <f t="shared" si="358"/>
        <v>0</v>
      </c>
    </row>
    <row r="730" spans="1:67" x14ac:dyDescent="0.25">
      <c r="A730" s="31" t="s">
        <v>2007</v>
      </c>
      <c r="B730" s="176" t="str">
        <f>VLOOKUP(A730,kurspris!$A$1:$B$992,2,FALSE)</f>
        <v>Språk och matematik i ett specialpedagogiskt perspektiv</v>
      </c>
      <c r="D730" s="60" t="s">
        <v>120</v>
      </c>
      <c r="E730" s="576" t="s">
        <v>2432</v>
      </c>
      <c r="F730" s="31" t="s">
        <v>2273</v>
      </c>
      <c r="G730" s="31" t="s">
        <v>2438</v>
      </c>
      <c r="H730" s="31" t="s">
        <v>2335</v>
      </c>
      <c r="J730" s="31" t="s">
        <v>2347</v>
      </c>
      <c r="L730" s="38">
        <v>1</v>
      </c>
      <c r="M730" s="325">
        <v>7.5</v>
      </c>
      <c r="P730" s="31">
        <v>35</v>
      </c>
      <c r="Q730" s="196">
        <f t="shared" si="360"/>
        <v>4.375</v>
      </c>
      <c r="R730" s="38">
        <v>0.85</v>
      </c>
      <c r="S730" s="280">
        <f t="shared" si="331"/>
        <v>3.71875</v>
      </c>
      <c r="T730" s="31">
        <f>VLOOKUP(A730,'Ansvar kurs'!$A$1:$C$1123,2,FALSE)</f>
        <v>5740</v>
      </c>
      <c r="U730" s="31" t="str">
        <f>VLOOKUP(T730,Orgenheter!$A$1:$C$166,2,FALSE)</f>
        <v>NMD</v>
      </c>
      <c r="V730" s="31" t="str">
        <f>VLOOKUP(T730,Orgenheter!$A$1:$C$166,3,FALSE)</f>
        <v>TekNat</v>
      </c>
      <c r="W730" s="35" t="str">
        <f>VLOOKUP(D730,Program!$A$1:$B$36,2,FALSE)</f>
        <v>Specialpedagogprogrammet</v>
      </c>
      <c r="X730" s="40">
        <f>VLOOKUP(A730,kurspris!$A$1:$Q$913,15,FALSE)</f>
        <v>20757</v>
      </c>
      <c r="Y730" s="40">
        <f>VLOOKUP(A730,kurspris!$A$1:$Q$913,16,FALSE)</f>
        <v>36082</v>
      </c>
      <c r="Z730" s="40">
        <f t="shared" si="332"/>
        <v>224991.8125</v>
      </c>
      <c r="AA730" s="40">
        <f>VLOOKUP(A730,kurspris!$A$1:$Q$913,17,FALSE)</f>
        <v>22600</v>
      </c>
      <c r="AB730" s="40">
        <f t="shared" si="333"/>
        <v>98875</v>
      </c>
      <c r="AC730" s="40">
        <f t="shared" si="334"/>
        <v>323866.8125</v>
      </c>
      <c r="AD730" s="31">
        <f>VLOOKUP($A730,kurspris!$A$1:$Q$950,3,FALSE)</f>
        <v>0</v>
      </c>
      <c r="AE730" s="31">
        <f>VLOOKUP($A730,kurspris!$A$1:$Q$950,4,FALSE)</f>
        <v>0</v>
      </c>
      <c r="AF730" s="31">
        <f>VLOOKUP($A730,kurspris!$A$1:$Q$950,5,FALSE)</f>
        <v>0</v>
      </c>
      <c r="AG730" s="31">
        <f>VLOOKUP($A730,kurspris!$A$1:$Q$950,6,FALSE)</f>
        <v>0</v>
      </c>
      <c r="AH730" s="31">
        <f>VLOOKUP($A730,kurspris!$A$1:$Q$950,7,FALSE)</f>
        <v>0</v>
      </c>
      <c r="AI730" s="31">
        <f>VLOOKUP($A730,kurspris!$A$1:$Q$950,8,FALSE)</f>
        <v>1</v>
      </c>
      <c r="AJ730" s="31">
        <f>VLOOKUP($A730,kurspris!$A$1:$Q$950,9,FALSE)</f>
        <v>0</v>
      </c>
      <c r="AK730" s="31">
        <f>VLOOKUP($A730,kurspris!$A$1:$Q$950,10,FALSE)</f>
        <v>0</v>
      </c>
      <c r="AL730" s="31">
        <f>VLOOKUP($A730,kurspris!$A$1:$Q$950,11,FALSE)</f>
        <v>0</v>
      </c>
      <c r="AM730" s="31">
        <f>VLOOKUP($A730,kurspris!$A$1:$Q$950,12,FALSE)</f>
        <v>0</v>
      </c>
      <c r="AN730" s="31">
        <f>VLOOKUP($A730,kurspris!$A$1:$Q$950,13,FALSE)</f>
        <v>0</v>
      </c>
      <c r="AO730" s="31">
        <f>VLOOKUP($A730,kurspris!$A$1:$Q$950,14,FALSE)</f>
        <v>0</v>
      </c>
      <c r="AP730" s="57" t="s">
        <v>2506</v>
      </c>
      <c r="AQ730"/>
      <c r="AR730" s="31">
        <f t="shared" si="335"/>
        <v>0</v>
      </c>
      <c r="AS730" s="219">
        <f t="shared" si="336"/>
        <v>0</v>
      </c>
      <c r="AT730" s="31">
        <f t="shared" si="337"/>
        <v>0</v>
      </c>
      <c r="AU730" s="219">
        <f t="shared" si="338"/>
        <v>0</v>
      </c>
      <c r="AV730" s="31">
        <f t="shared" si="339"/>
        <v>0</v>
      </c>
      <c r="AW730" s="31">
        <f t="shared" si="340"/>
        <v>0</v>
      </c>
      <c r="AX730" s="31">
        <f t="shared" si="341"/>
        <v>0</v>
      </c>
      <c r="AY730" s="219">
        <f t="shared" si="342"/>
        <v>0</v>
      </c>
      <c r="AZ730" s="196">
        <f t="shared" si="343"/>
        <v>0</v>
      </c>
      <c r="BA730" s="219">
        <f t="shared" si="344"/>
        <v>0</v>
      </c>
      <c r="BB730" s="31">
        <f t="shared" si="345"/>
        <v>4.375</v>
      </c>
      <c r="BC730" s="219">
        <f t="shared" si="346"/>
        <v>3.71875</v>
      </c>
      <c r="BD730" s="31">
        <f t="shared" si="347"/>
        <v>0</v>
      </c>
      <c r="BE730" s="219">
        <f t="shared" si="348"/>
        <v>0</v>
      </c>
      <c r="BF730" s="31">
        <f t="shared" si="349"/>
        <v>0</v>
      </c>
      <c r="BG730" s="219">
        <f t="shared" si="350"/>
        <v>0</v>
      </c>
      <c r="BH730" s="31">
        <f t="shared" si="351"/>
        <v>0</v>
      </c>
      <c r="BI730" s="219">
        <f t="shared" si="352"/>
        <v>0</v>
      </c>
      <c r="BJ730" s="31">
        <f t="shared" si="353"/>
        <v>0</v>
      </c>
      <c r="BK730" s="219">
        <f t="shared" si="354"/>
        <v>0</v>
      </c>
      <c r="BL730" s="31">
        <f t="shared" si="355"/>
        <v>0</v>
      </c>
      <c r="BM730" s="219">
        <f t="shared" si="356"/>
        <v>0</v>
      </c>
      <c r="BN730" s="31">
        <f t="shared" si="357"/>
        <v>0</v>
      </c>
      <c r="BO730" s="219">
        <f t="shared" si="358"/>
        <v>0</v>
      </c>
    </row>
    <row r="731" spans="1:67" x14ac:dyDescent="0.25">
      <c r="A731" s="31" t="s">
        <v>2007</v>
      </c>
      <c r="B731" s="176" t="str">
        <f>VLOOKUP(A731,kurspris!$A$1:$B$992,2,FALSE)</f>
        <v>Språk och matematik i ett specialpedagogiskt perspektiv</v>
      </c>
      <c r="D731" s="60" t="s">
        <v>115</v>
      </c>
      <c r="E731" s="576" t="s">
        <v>2434</v>
      </c>
      <c r="F731" s="31" t="s">
        <v>2273</v>
      </c>
      <c r="G731" s="31" t="s">
        <v>2438</v>
      </c>
      <c r="H731" s="31" t="s">
        <v>2335</v>
      </c>
      <c r="J731" s="31" t="s">
        <v>2260</v>
      </c>
      <c r="L731" s="38">
        <v>1</v>
      </c>
      <c r="M731" s="325">
        <v>7.5</v>
      </c>
      <c r="P731" s="31">
        <v>1</v>
      </c>
      <c r="Q731" s="196">
        <f t="shared" si="360"/>
        <v>0.125</v>
      </c>
      <c r="R731" s="38">
        <v>0.85</v>
      </c>
      <c r="S731" s="280">
        <f t="shared" si="331"/>
        <v>0.10625</v>
      </c>
      <c r="T731" s="31">
        <f>VLOOKUP(A731,'Ansvar kurs'!$A$1:$C$1123,2,FALSE)</f>
        <v>5740</v>
      </c>
      <c r="U731" s="31" t="str">
        <f>VLOOKUP(T731,Orgenheter!$A$1:$C$166,2,FALSE)</f>
        <v>NMD</v>
      </c>
      <c r="V731" s="31" t="str">
        <f>VLOOKUP(T731,Orgenheter!$A$1:$C$166,3,FALSE)</f>
        <v>TekNat</v>
      </c>
      <c r="W731" s="35" t="str">
        <f>VLOOKUP(D731,Program!$A$1:$B$36,2,FALSE)</f>
        <v>Speciallärarprogrammet</v>
      </c>
      <c r="X731" s="40">
        <f>VLOOKUP(A731,kurspris!$A$1:$Q$913,15,FALSE)</f>
        <v>20757</v>
      </c>
      <c r="Y731" s="40">
        <f>VLOOKUP(A731,kurspris!$A$1:$Q$913,16,FALSE)</f>
        <v>36082</v>
      </c>
      <c r="Z731" s="40">
        <f t="shared" si="332"/>
        <v>6428.3374999999996</v>
      </c>
      <c r="AA731" s="40">
        <f>VLOOKUP(A731,kurspris!$A$1:$Q$913,17,FALSE)</f>
        <v>22600</v>
      </c>
      <c r="AB731" s="40">
        <f t="shared" si="333"/>
        <v>2825</v>
      </c>
      <c r="AC731" s="40">
        <f t="shared" si="334"/>
        <v>9253.3374999999996</v>
      </c>
      <c r="AD731" s="31">
        <f>VLOOKUP($A731,kurspris!$A$1:$Q$950,3,FALSE)</f>
        <v>0</v>
      </c>
      <c r="AE731" s="31">
        <f>VLOOKUP($A731,kurspris!$A$1:$Q$950,4,FALSE)</f>
        <v>0</v>
      </c>
      <c r="AF731" s="31">
        <f>VLOOKUP($A731,kurspris!$A$1:$Q$950,5,FALSE)</f>
        <v>0</v>
      </c>
      <c r="AG731" s="31">
        <f>VLOOKUP($A731,kurspris!$A$1:$Q$950,6,FALSE)</f>
        <v>0</v>
      </c>
      <c r="AH731" s="31">
        <f>VLOOKUP($A731,kurspris!$A$1:$Q$950,7,FALSE)</f>
        <v>0</v>
      </c>
      <c r="AI731" s="31">
        <f>VLOOKUP($A731,kurspris!$A$1:$Q$950,8,FALSE)</f>
        <v>1</v>
      </c>
      <c r="AJ731" s="31">
        <f>VLOOKUP($A731,kurspris!$A$1:$Q$950,9,FALSE)</f>
        <v>0</v>
      </c>
      <c r="AK731" s="31">
        <f>VLOOKUP($A731,kurspris!$A$1:$Q$950,10,FALSE)</f>
        <v>0</v>
      </c>
      <c r="AL731" s="31">
        <f>VLOOKUP($A731,kurspris!$A$1:$Q$950,11,FALSE)</f>
        <v>0</v>
      </c>
      <c r="AM731" s="31">
        <f>VLOOKUP($A731,kurspris!$A$1:$Q$950,12,FALSE)</f>
        <v>0</v>
      </c>
      <c r="AN731" s="31">
        <f>VLOOKUP($A731,kurspris!$A$1:$Q$950,13,FALSE)</f>
        <v>0</v>
      </c>
      <c r="AO731" s="31">
        <f>VLOOKUP($A731,kurspris!$A$1:$Q$950,14,FALSE)</f>
        <v>0</v>
      </c>
      <c r="AP731" s="57" t="s">
        <v>2506</v>
      </c>
      <c r="AQ731"/>
      <c r="AR731" s="31">
        <f t="shared" si="335"/>
        <v>0</v>
      </c>
      <c r="AS731" s="219">
        <f t="shared" si="336"/>
        <v>0</v>
      </c>
      <c r="AT731" s="31">
        <f t="shared" si="337"/>
        <v>0</v>
      </c>
      <c r="AU731" s="219">
        <f t="shared" si="338"/>
        <v>0</v>
      </c>
      <c r="AV731" s="31">
        <f t="shared" si="339"/>
        <v>0</v>
      </c>
      <c r="AW731" s="31">
        <f t="shared" si="340"/>
        <v>0</v>
      </c>
      <c r="AX731" s="31">
        <f t="shared" si="341"/>
        <v>0</v>
      </c>
      <c r="AY731" s="219">
        <f t="shared" si="342"/>
        <v>0</v>
      </c>
      <c r="AZ731" s="196">
        <f t="shared" si="343"/>
        <v>0</v>
      </c>
      <c r="BA731" s="219">
        <f t="shared" si="344"/>
        <v>0</v>
      </c>
      <c r="BB731" s="31">
        <f t="shared" si="345"/>
        <v>0.125</v>
      </c>
      <c r="BC731" s="219">
        <f t="shared" si="346"/>
        <v>0.10625</v>
      </c>
      <c r="BD731" s="31">
        <f t="shared" si="347"/>
        <v>0</v>
      </c>
      <c r="BE731" s="219">
        <f t="shared" si="348"/>
        <v>0</v>
      </c>
      <c r="BF731" s="31">
        <f t="shared" si="349"/>
        <v>0</v>
      </c>
      <c r="BG731" s="219">
        <f t="shared" si="350"/>
        <v>0</v>
      </c>
      <c r="BH731" s="31">
        <f t="shared" si="351"/>
        <v>0</v>
      </c>
      <c r="BI731" s="219">
        <f t="shared" si="352"/>
        <v>0</v>
      </c>
      <c r="BJ731" s="31">
        <f t="shared" si="353"/>
        <v>0</v>
      </c>
      <c r="BK731" s="219">
        <f t="shared" si="354"/>
        <v>0</v>
      </c>
      <c r="BL731" s="31">
        <f t="shared" si="355"/>
        <v>0</v>
      </c>
      <c r="BM731" s="219">
        <f t="shared" si="356"/>
        <v>0</v>
      </c>
      <c r="BN731" s="31">
        <f t="shared" si="357"/>
        <v>0</v>
      </c>
      <c r="BO731" s="219">
        <f t="shared" si="358"/>
        <v>0</v>
      </c>
    </row>
    <row r="732" spans="1:67" x14ac:dyDescent="0.25">
      <c r="A732" s="31" t="s">
        <v>2007</v>
      </c>
      <c r="B732" s="176" t="str">
        <f>VLOOKUP(A732,kurspris!$A$1:$B$992,2,FALSE)</f>
        <v>Språk och matematik i ett specialpedagogiskt perspektiv</v>
      </c>
      <c r="D732" s="60" t="s">
        <v>115</v>
      </c>
      <c r="E732" s="576" t="s">
        <v>2432</v>
      </c>
      <c r="F732" s="31" t="s">
        <v>2273</v>
      </c>
      <c r="G732" s="31" t="s">
        <v>2438</v>
      </c>
      <c r="H732" s="31" t="s">
        <v>2335</v>
      </c>
      <c r="J732" s="31" t="s">
        <v>2260</v>
      </c>
      <c r="L732" s="38">
        <v>1</v>
      </c>
      <c r="M732" s="325">
        <v>7.5</v>
      </c>
      <c r="P732" s="31">
        <v>14</v>
      </c>
      <c r="Q732" s="196">
        <f t="shared" si="360"/>
        <v>1.75</v>
      </c>
      <c r="R732" s="38">
        <v>0.85</v>
      </c>
      <c r="S732" s="280">
        <f t="shared" si="331"/>
        <v>1.4875</v>
      </c>
      <c r="T732" s="31">
        <f>VLOOKUP(A732,'Ansvar kurs'!$A$1:$C$1123,2,FALSE)</f>
        <v>5740</v>
      </c>
      <c r="U732" s="31" t="str">
        <f>VLOOKUP(T732,Orgenheter!$A$1:$C$166,2,FALSE)</f>
        <v>NMD</v>
      </c>
      <c r="V732" s="31" t="str">
        <f>VLOOKUP(T732,Orgenheter!$A$1:$C$166,3,FALSE)</f>
        <v>TekNat</v>
      </c>
      <c r="W732" s="35" t="str">
        <f>VLOOKUP(D732,Program!$A$1:$B$36,2,FALSE)</f>
        <v>Speciallärarprogrammet</v>
      </c>
      <c r="X732" s="40">
        <f>VLOOKUP(A732,kurspris!$A$1:$Q$913,15,FALSE)</f>
        <v>20757</v>
      </c>
      <c r="Y732" s="40">
        <f>VLOOKUP(A732,kurspris!$A$1:$Q$913,16,FALSE)</f>
        <v>36082</v>
      </c>
      <c r="Z732" s="40">
        <f t="shared" si="332"/>
        <v>89996.725000000006</v>
      </c>
      <c r="AA732" s="40">
        <f>VLOOKUP(A732,kurspris!$A$1:$Q$913,17,FALSE)</f>
        <v>22600</v>
      </c>
      <c r="AB732" s="40">
        <f t="shared" si="333"/>
        <v>39550</v>
      </c>
      <c r="AC732" s="40">
        <f t="shared" si="334"/>
        <v>129546.72500000001</v>
      </c>
      <c r="AD732" s="31">
        <f>VLOOKUP($A732,kurspris!$A$1:$Q$950,3,FALSE)</f>
        <v>0</v>
      </c>
      <c r="AE732" s="31">
        <f>VLOOKUP($A732,kurspris!$A$1:$Q$950,4,FALSE)</f>
        <v>0</v>
      </c>
      <c r="AF732" s="31">
        <f>VLOOKUP($A732,kurspris!$A$1:$Q$950,5,FALSE)</f>
        <v>0</v>
      </c>
      <c r="AG732" s="31">
        <f>VLOOKUP($A732,kurspris!$A$1:$Q$950,6,FALSE)</f>
        <v>0</v>
      </c>
      <c r="AH732" s="31">
        <f>VLOOKUP($A732,kurspris!$A$1:$Q$950,7,FALSE)</f>
        <v>0</v>
      </c>
      <c r="AI732" s="31">
        <f>VLOOKUP($A732,kurspris!$A$1:$Q$950,8,FALSE)</f>
        <v>1</v>
      </c>
      <c r="AJ732" s="31">
        <f>VLOOKUP($A732,kurspris!$A$1:$Q$950,9,FALSE)</f>
        <v>0</v>
      </c>
      <c r="AK732" s="31">
        <f>VLOOKUP($A732,kurspris!$A$1:$Q$950,10,FALSE)</f>
        <v>0</v>
      </c>
      <c r="AL732" s="31">
        <f>VLOOKUP($A732,kurspris!$A$1:$Q$950,11,FALSE)</f>
        <v>0</v>
      </c>
      <c r="AM732" s="31">
        <f>VLOOKUP($A732,kurspris!$A$1:$Q$950,12,FALSE)</f>
        <v>0</v>
      </c>
      <c r="AN732" s="31">
        <f>VLOOKUP($A732,kurspris!$A$1:$Q$950,13,FALSE)</f>
        <v>0</v>
      </c>
      <c r="AO732" s="31">
        <f>VLOOKUP($A732,kurspris!$A$1:$Q$950,14,FALSE)</f>
        <v>0</v>
      </c>
      <c r="AP732" s="57" t="s">
        <v>2506</v>
      </c>
      <c r="AQ732"/>
      <c r="AR732" s="31">
        <f t="shared" si="335"/>
        <v>0</v>
      </c>
      <c r="AS732" s="219">
        <f t="shared" si="336"/>
        <v>0</v>
      </c>
      <c r="AT732" s="31">
        <f t="shared" si="337"/>
        <v>0</v>
      </c>
      <c r="AU732" s="219">
        <f t="shared" si="338"/>
        <v>0</v>
      </c>
      <c r="AV732" s="31">
        <f t="shared" si="339"/>
        <v>0</v>
      </c>
      <c r="AW732" s="31">
        <f t="shared" si="340"/>
        <v>0</v>
      </c>
      <c r="AX732" s="31">
        <f t="shared" si="341"/>
        <v>0</v>
      </c>
      <c r="AY732" s="219">
        <f t="shared" si="342"/>
        <v>0</v>
      </c>
      <c r="AZ732" s="196">
        <f t="shared" si="343"/>
        <v>0</v>
      </c>
      <c r="BA732" s="219">
        <f t="shared" si="344"/>
        <v>0</v>
      </c>
      <c r="BB732" s="31">
        <f t="shared" si="345"/>
        <v>1.75</v>
      </c>
      <c r="BC732" s="219">
        <f t="shared" si="346"/>
        <v>1.4875</v>
      </c>
      <c r="BD732" s="31">
        <f t="shared" si="347"/>
        <v>0</v>
      </c>
      <c r="BE732" s="219">
        <f t="shared" si="348"/>
        <v>0</v>
      </c>
      <c r="BF732" s="31">
        <f t="shared" si="349"/>
        <v>0</v>
      </c>
      <c r="BG732" s="219">
        <f t="shared" si="350"/>
        <v>0</v>
      </c>
      <c r="BH732" s="31">
        <f t="shared" si="351"/>
        <v>0</v>
      </c>
      <c r="BI732" s="219">
        <f t="shared" si="352"/>
        <v>0</v>
      </c>
      <c r="BJ732" s="31">
        <f t="shared" si="353"/>
        <v>0</v>
      </c>
      <c r="BK732" s="219">
        <f t="shared" si="354"/>
        <v>0</v>
      </c>
      <c r="BL732" s="31">
        <f t="shared" si="355"/>
        <v>0</v>
      </c>
      <c r="BM732" s="219">
        <f t="shared" si="356"/>
        <v>0</v>
      </c>
      <c r="BN732" s="31">
        <f t="shared" si="357"/>
        <v>0</v>
      </c>
      <c r="BO732" s="219">
        <f t="shared" si="358"/>
        <v>0</v>
      </c>
    </row>
    <row r="733" spans="1:67" x14ac:dyDescent="0.25">
      <c r="A733" s="31" t="s">
        <v>2010</v>
      </c>
      <c r="B733" s="176" t="str">
        <f>VLOOKUP(A733,kurspris!$A$1:$B$992,2,FALSE)</f>
        <v>Matematik i specialpedagogiskt perspektiv</v>
      </c>
      <c r="D733" s="60" t="s">
        <v>120</v>
      </c>
      <c r="E733" s="576" t="s">
        <v>2434</v>
      </c>
      <c r="F733" s="31" t="s">
        <v>2273</v>
      </c>
      <c r="G733" s="31" t="s">
        <v>2438</v>
      </c>
      <c r="H733" s="31" t="s">
        <v>2335</v>
      </c>
      <c r="J733" s="31" t="s">
        <v>2347</v>
      </c>
      <c r="L733" s="38">
        <v>1</v>
      </c>
      <c r="M733" s="325">
        <v>7.5</v>
      </c>
      <c r="P733" s="31">
        <v>1</v>
      </c>
      <c r="Q733" s="196">
        <f t="shared" si="360"/>
        <v>0.125</v>
      </c>
      <c r="R733" s="38">
        <v>0.85</v>
      </c>
      <c r="S733" s="280">
        <f t="shared" si="331"/>
        <v>0.10625</v>
      </c>
      <c r="T733" s="31">
        <f>VLOOKUP(A733,'Ansvar kurs'!$A$1:$C$1123,2,FALSE)</f>
        <v>5740</v>
      </c>
      <c r="U733" s="31" t="str">
        <f>VLOOKUP(T733,Orgenheter!$A$1:$C$166,2,FALSE)</f>
        <v>NMD</v>
      </c>
      <c r="V733" s="31" t="str">
        <f>VLOOKUP(T733,Orgenheter!$A$1:$C$166,3,FALSE)</f>
        <v>TekNat</v>
      </c>
      <c r="W733" s="35" t="str">
        <f>VLOOKUP(D733,Program!$A$1:$B$36,2,FALSE)</f>
        <v>Specialpedagogprogrammet</v>
      </c>
      <c r="X733" s="40">
        <f>VLOOKUP(A733,kurspris!$A$1:$Q$913,15,FALSE)</f>
        <v>20757</v>
      </c>
      <c r="Y733" s="40">
        <f>VLOOKUP(A733,kurspris!$A$1:$Q$913,16,FALSE)</f>
        <v>36082</v>
      </c>
      <c r="Z733" s="40">
        <f t="shared" si="332"/>
        <v>6428.3374999999996</v>
      </c>
      <c r="AA733" s="40">
        <f>VLOOKUP(A733,kurspris!$A$1:$Q$913,17,FALSE)</f>
        <v>22600</v>
      </c>
      <c r="AB733" s="40">
        <f t="shared" si="333"/>
        <v>2825</v>
      </c>
      <c r="AC733" s="40">
        <f t="shared" si="334"/>
        <v>9253.3374999999996</v>
      </c>
      <c r="AD733" s="31">
        <f>VLOOKUP($A733,kurspris!$A$1:$Q$950,3,FALSE)</f>
        <v>0</v>
      </c>
      <c r="AE733" s="31">
        <f>VLOOKUP($A733,kurspris!$A$1:$Q$950,4,FALSE)</f>
        <v>0</v>
      </c>
      <c r="AF733" s="31">
        <f>VLOOKUP($A733,kurspris!$A$1:$Q$950,5,FALSE)</f>
        <v>0</v>
      </c>
      <c r="AG733" s="31">
        <f>VLOOKUP($A733,kurspris!$A$1:$Q$950,6,FALSE)</f>
        <v>0</v>
      </c>
      <c r="AH733" s="31">
        <f>VLOOKUP($A733,kurspris!$A$1:$Q$950,7,FALSE)</f>
        <v>0</v>
      </c>
      <c r="AI733" s="31">
        <f>VLOOKUP($A733,kurspris!$A$1:$Q$950,8,FALSE)</f>
        <v>1</v>
      </c>
      <c r="AJ733" s="31">
        <f>VLOOKUP($A733,kurspris!$A$1:$Q$950,9,FALSE)</f>
        <v>0</v>
      </c>
      <c r="AK733" s="31">
        <f>VLOOKUP($A733,kurspris!$A$1:$Q$950,10,FALSE)</f>
        <v>0</v>
      </c>
      <c r="AL733" s="31">
        <f>VLOOKUP($A733,kurspris!$A$1:$Q$950,11,FALSE)</f>
        <v>0</v>
      </c>
      <c r="AM733" s="31">
        <f>VLOOKUP($A733,kurspris!$A$1:$Q$950,12,FALSE)</f>
        <v>0</v>
      </c>
      <c r="AN733" s="31">
        <f>VLOOKUP($A733,kurspris!$A$1:$Q$950,13,FALSE)</f>
        <v>0</v>
      </c>
      <c r="AO733" s="31">
        <f>VLOOKUP($A733,kurspris!$A$1:$Q$950,14,FALSE)</f>
        <v>0</v>
      </c>
      <c r="AP733" s="57" t="s">
        <v>2506</v>
      </c>
      <c r="AQ733"/>
      <c r="AR733" s="31">
        <f t="shared" si="335"/>
        <v>0</v>
      </c>
      <c r="AS733" s="219">
        <f t="shared" si="336"/>
        <v>0</v>
      </c>
      <c r="AT733" s="31">
        <f t="shared" si="337"/>
        <v>0</v>
      </c>
      <c r="AU733" s="219">
        <f t="shared" si="338"/>
        <v>0</v>
      </c>
      <c r="AV733" s="31">
        <f t="shared" si="339"/>
        <v>0</v>
      </c>
      <c r="AW733" s="31">
        <f t="shared" si="340"/>
        <v>0</v>
      </c>
      <c r="AX733" s="31">
        <f t="shared" si="341"/>
        <v>0</v>
      </c>
      <c r="AY733" s="219">
        <f t="shared" si="342"/>
        <v>0</v>
      </c>
      <c r="AZ733" s="196">
        <f t="shared" si="343"/>
        <v>0</v>
      </c>
      <c r="BA733" s="219">
        <f t="shared" si="344"/>
        <v>0</v>
      </c>
      <c r="BB733" s="31">
        <f t="shared" si="345"/>
        <v>0.125</v>
      </c>
      <c r="BC733" s="219">
        <f t="shared" si="346"/>
        <v>0.10625</v>
      </c>
      <c r="BD733" s="31">
        <f t="shared" si="347"/>
        <v>0</v>
      </c>
      <c r="BE733" s="219">
        <f t="shared" si="348"/>
        <v>0</v>
      </c>
      <c r="BF733" s="31">
        <f t="shared" si="349"/>
        <v>0</v>
      </c>
      <c r="BG733" s="219">
        <f t="shared" si="350"/>
        <v>0</v>
      </c>
      <c r="BH733" s="31">
        <f t="shared" si="351"/>
        <v>0</v>
      </c>
      <c r="BI733" s="219">
        <f t="shared" si="352"/>
        <v>0</v>
      </c>
      <c r="BJ733" s="31">
        <f t="shared" si="353"/>
        <v>0</v>
      </c>
      <c r="BK733" s="219">
        <f t="shared" si="354"/>
        <v>0</v>
      </c>
      <c r="BL733" s="31">
        <f t="shared" si="355"/>
        <v>0</v>
      </c>
      <c r="BM733" s="219">
        <f t="shared" si="356"/>
        <v>0</v>
      </c>
      <c r="BN733" s="31">
        <f t="shared" si="357"/>
        <v>0</v>
      </c>
      <c r="BO733" s="219">
        <f t="shared" si="358"/>
        <v>0</v>
      </c>
    </row>
    <row r="734" spans="1:67" x14ac:dyDescent="0.25">
      <c r="A734" s="31" t="s">
        <v>2010</v>
      </c>
      <c r="B734" s="176" t="str">
        <f>VLOOKUP(A734,kurspris!$A$1:$B$992,2,FALSE)</f>
        <v>Matematik i specialpedagogiskt perspektiv</v>
      </c>
      <c r="D734" s="60" t="s">
        <v>115</v>
      </c>
      <c r="E734" s="576" t="s">
        <v>2432</v>
      </c>
      <c r="F734" s="31" t="s">
        <v>2273</v>
      </c>
      <c r="G734" s="31" t="s">
        <v>2438</v>
      </c>
      <c r="H734" s="31" t="s">
        <v>2335</v>
      </c>
      <c r="J734" s="31" t="s">
        <v>2261</v>
      </c>
      <c r="L734" s="38">
        <v>1</v>
      </c>
      <c r="M734" s="325">
        <v>7.5</v>
      </c>
      <c r="P734" s="31">
        <v>14</v>
      </c>
      <c r="Q734" s="196">
        <f t="shared" si="360"/>
        <v>1.75</v>
      </c>
      <c r="R734" s="38">
        <v>0.85</v>
      </c>
      <c r="S734" s="280">
        <f t="shared" si="331"/>
        <v>1.4875</v>
      </c>
      <c r="T734" s="31">
        <f>VLOOKUP(A734,'Ansvar kurs'!$A$1:$C$1123,2,FALSE)</f>
        <v>5740</v>
      </c>
      <c r="U734" s="31" t="str">
        <f>VLOOKUP(T734,Orgenheter!$A$1:$C$166,2,FALSE)</f>
        <v>NMD</v>
      </c>
      <c r="V734" s="31" t="str">
        <f>VLOOKUP(T734,Orgenheter!$A$1:$C$166,3,FALSE)</f>
        <v>TekNat</v>
      </c>
      <c r="W734" s="35" t="str">
        <f>VLOOKUP(D734,Program!$A$1:$B$36,2,FALSE)</f>
        <v>Speciallärarprogrammet</v>
      </c>
      <c r="X734" s="40">
        <f>VLOOKUP(A734,kurspris!$A$1:$Q$913,15,FALSE)</f>
        <v>20757</v>
      </c>
      <c r="Y734" s="40">
        <f>VLOOKUP(A734,kurspris!$A$1:$Q$913,16,FALSE)</f>
        <v>36082</v>
      </c>
      <c r="Z734" s="40">
        <f t="shared" si="332"/>
        <v>89996.725000000006</v>
      </c>
      <c r="AA734" s="40">
        <f>VLOOKUP(A734,kurspris!$A$1:$Q$913,17,FALSE)</f>
        <v>22600</v>
      </c>
      <c r="AB734" s="40">
        <f t="shared" si="333"/>
        <v>39550</v>
      </c>
      <c r="AC734" s="40">
        <f t="shared" si="334"/>
        <v>129546.72500000001</v>
      </c>
      <c r="AD734" s="31">
        <f>VLOOKUP($A734,kurspris!$A$1:$Q$950,3,FALSE)</f>
        <v>0</v>
      </c>
      <c r="AE734" s="31">
        <f>VLOOKUP($A734,kurspris!$A$1:$Q$950,4,FALSE)</f>
        <v>0</v>
      </c>
      <c r="AF734" s="31">
        <f>VLOOKUP($A734,kurspris!$A$1:$Q$950,5,FALSE)</f>
        <v>0</v>
      </c>
      <c r="AG734" s="31">
        <f>VLOOKUP($A734,kurspris!$A$1:$Q$950,6,FALSE)</f>
        <v>0</v>
      </c>
      <c r="AH734" s="31">
        <f>VLOOKUP($A734,kurspris!$A$1:$Q$950,7,FALSE)</f>
        <v>0</v>
      </c>
      <c r="AI734" s="31">
        <f>VLOOKUP($A734,kurspris!$A$1:$Q$950,8,FALSE)</f>
        <v>1</v>
      </c>
      <c r="AJ734" s="31">
        <f>VLOOKUP($A734,kurspris!$A$1:$Q$950,9,FALSE)</f>
        <v>0</v>
      </c>
      <c r="AK734" s="31">
        <f>VLOOKUP($A734,kurspris!$A$1:$Q$950,10,FALSE)</f>
        <v>0</v>
      </c>
      <c r="AL734" s="31">
        <f>VLOOKUP($A734,kurspris!$A$1:$Q$950,11,FALSE)</f>
        <v>0</v>
      </c>
      <c r="AM734" s="31">
        <f>VLOOKUP($A734,kurspris!$A$1:$Q$950,12,FALSE)</f>
        <v>0</v>
      </c>
      <c r="AN734" s="31">
        <f>VLOOKUP($A734,kurspris!$A$1:$Q$950,13,FALSE)</f>
        <v>0</v>
      </c>
      <c r="AO734" s="31">
        <f>VLOOKUP($A734,kurspris!$A$1:$Q$950,14,FALSE)</f>
        <v>0</v>
      </c>
      <c r="AP734" s="57" t="s">
        <v>2506</v>
      </c>
      <c r="AQ734"/>
      <c r="AR734" s="31">
        <f t="shared" si="335"/>
        <v>0</v>
      </c>
      <c r="AS734" s="219">
        <f t="shared" si="336"/>
        <v>0</v>
      </c>
      <c r="AT734" s="31">
        <f t="shared" si="337"/>
        <v>0</v>
      </c>
      <c r="AU734" s="219">
        <f t="shared" si="338"/>
        <v>0</v>
      </c>
      <c r="AV734" s="31">
        <f t="shared" si="339"/>
        <v>0</v>
      </c>
      <c r="AW734" s="31">
        <f t="shared" si="340"/>
        <v>0</v>
      </c>
      <c r="AX734" s="31">
        <f t="shared" si="341"/>
        <v>0</v>
      </c>
      <c r="AY734" s="219">
        <f t="shared" si="342"/>
        <v>0</v>
      </c>
      <c r="AZ734" s="196">
        <f t="shared" si="343"/>
        <v>0</v>
      </c>
      <c r="BA734" s="219">
        <f t="shared" si="344"/>
        <v>0</v>
      </c>
      <c r="BB734" s="31">
        <f t="shared" si="345"/>
        <v>1.75</v>
      </c>
      <c r="BC734" s="219">
        <f t="shared" si="346"/>
        <v>1.4875</v>
      </c>
      <c r="BD734" s="31">
        <f t="shared" si="347"/>
        <v>0</v>
      </c>
      <c r="BE734" s="219">
        <f t="shared" si="348"/>
        <v>0</v>
      </c>
      <c r="BF734" s="31">
        <f t="shared" si="349"/>
        <v>0</v>
      </c>
      <c r="BG734" s="219">
        <f t="shared" si="350"/>
        <v>0</v>
      </c>
      <c r="BH734" s="31">
        <f t="shared" si="351"/>
        <v>0</v>
      </c>
      <c r="BI734" s="219">
        <f t="shared" si="352"/>
        <v>0</v>
      </c>
      <c r="BJ734" s="31">
        <f t="shared" si="353"/>
        <v>0</v>
      </c>
      <c r="BK734" s="219">
        <f t="shared" si="354"/>
        <v>0</v>
      </c>
      <c r="BL734" s="31">
        <f t="shared" si="355"/>
        <v>0</v>
      </c>
      <c r="BM734" s="219">
        <f t="shared" si="356"/>
        <v>0</v>
      </c>
      <c r="BN734" s="31">
        <f t="shared" si="357"/>
        <v>0</v>
      </c>
      <c r="BO734" s="219">
        <f t="shared" si="358"/>
        <v>0</v>
      </c>
    </row>
    <row r="735" spans="1:67" x14ac:dyDescent="0.25">
      <c r="A735" s="31" t="s">
        <v>2327</v>
      </c>
      <c r="B735" s="176" t="str">
        <f>VLOOKUP(A735,kurspris!$A$1:$B$992,2,FALSE)</f>
        <v>Ämnesdidaktik för yrkeslärare (UVK)</v>
      </c>
      <c r="C735" s="31">
        <v>68729</v>
      </c>
      <c r="D735" s="60" t="s">
        <v>623</v>
      </c>
      <c r="E735" s="60"/>
      <c r="F735" s="57" t="s">
        <v>2274</v>
      </c>
      <c r="H735" s="31" t="s">
        <v>2335</v>
      </c>
      <c r="I735" s="31" t="s">
        <v>2275</v>
      </c>
      <c r="L735" s="38"/>
      <c r="M735">
        <v>10</v>
      </c>
      <c r="P735" s="31">
        <v>71</v>
      </c>
      <c r="Q735" s="539">
        <v>11.833</v>
      </c>
      <c r="R735" s="38">
        <v>0.85</v>
      </c>
      <c r="S735" s="280">
        <f t="shared" si="331"/>
        <v>10.05805</v>
      </c>
      <c r="T735" s="31">
        <f>VLOOKUP(A735,'Ansvar kurs'!$A$1:$C$1123,2,FALSE)</f>
        <v>2193</v>
      </c>
      <c r="U735" s="31" t="str">
        <f>VLOOKUP(T735,Orgenheter!$A$1:$C$166,2,FALSE)</f>
        <v xml:space="preserve">TUV </v>
      </c>
      <c r="V735" s="31" t="str">
        <f>VLOOKUP(T735,Orgenheter!$A$1:$C$166,3,FALSE)</f>
        <v>Sam</v>
      </c>
      <c r="W735" s="35" t="str">
        <f>VLOOKUP(D735,Program!$A$1:$B$36,2,FALSE)</f>
        <v>Yrkeslärarprogrammet</v>
      </c>
      <c r="X735" s="40">
        <f>VLOOKUP(A735,kurspris!$A$1:$Q$913,15,FALSE)</f>
        <v>26554</v>
      </c>
      <c r="Y735" s="40">
        <f>VLOOKUP(A735,kurspris!$A$1:$Q$913,16,FALSE)</f>
        <v>33465</v>
      </c>
      <c r="Z735" s="40">
        <f t="shared" si="332"/>
        <v>650806.12525000004</v>
      </c>
      <c r="AA735" s="40">
        <f>VLOOKUP(A735,kurspris!$A$1:$Q$913,17,FALSE)</f>
        <v>6000</v>
      </c>
      <c r="AB735" s="40">
        <f t="shared" si="333"/>
        <v>70998</v>
      </c>
      <c r="AC735" s="40">
        <f t="shared" si="334"/>
        <v>721804.12525000004</v>
      </c>
      <c r="AD735" s="31">
        <f>VLOOKUP($A735,kurspris!$A$1:$Q$950,3,FALSE)</f>
        <v>0</v>
      </c>
      <c r="AE735" s="31">
        <f>VLOOKUP($A735,kurspris!$A$1:$Q$950,4,FALSE)</f>
        <v>0</v>
      </c>
      <c r="AF735" s="31">
        <f>VLOOKUP($A735,kurspris!$A$1:$Q$950,5,FALSE)</f>
        <v>0</v>
      </c>
      <c r="AG735" s="31">
        <f>VLOOKUP($A735,kurspris!$A$1:$Q$950,6,FALSE)</f>
        <v>1</v>
      </c>
      <c r="AH735" s="31">
        <f>VLOOKUP($A735,kurspris!$A$1:$Q$950,7,FALSE)</f>
        <v>0</v>
      </c>
      <c r="AI735" s="31">
        <f>VLOOKUP($A735,kurspris!$A$1:$Q$950,8,FALSE)</f>
        <v>0</v>
      </c>
      <c r="AJ735" s="31">
        <f>VLOOKUP($A735,kurspris!$A$1:$Q$950,9,FALSE)</f>
        <v>0</v>
      </c>
      <c r="AK735" s="31">
        <f>VLOOKUP($A735,kurspris!$A$1:$Q$950,10,FALSE)</f>
        <v>0</v>
      </c>
      <c r="AL735" s="31">
        <f>VLOOKUP($A735,kurspris!$A$1:$Q$950,11,FALSE)</f>
        <v>0</v>
      </c>
      <c r="AM735" s="31">
        <f>VLOOKUP($A735,kurspris!$A$1:$Q$950,12,FALSE)</f>
        <v>0</v>
      </c>
      <c r="AN735" s="31">
        <f>VLOOKUP($A735,kurspris!$A$1:$Q$950,13,FALSE)</f>
        <v>0</v>
      </c>
      <c r="AO735" s="31">
        <f>VLOOKUP($A735,kurspris!$A$1:$Q$950,14,FALSE)</f>
        <v>0</v>
      </c>
      <c r="AP735" s="57" t="s">
        <v>2402</v>
      </c>
      <c r="AQ735"/>
      <c r="AR735" s="31">
        <f t="shared" si="335"/>
        <v>0</v>
      </c>
      <c r="AS735" s="219">
        <f t="shared" si="336"/>
        <v>0</v>
      </c>
      <c r="AT735" s="31">
        <f t="shared" si="337"/>
        <v>0</v>
      </c>
      <c r="AU735" s="219">
        <f t="shared" si="338"/>
        <v>0</v>
      </c>
      <c r="AV735" s="31">
        <f t="shared" si="339"/>
        <v>0</v>
      </c>
      <c r="AW735" s="31">
        <f t="shared" si="340"/>
        <v>0</v>
      </c>
      <c r="AX735" s="31">
        <f t="shared" si="341"/>
        <v>11.833</v>
      </c>
      <c r="AY735" s="219">
        <f t="shared" si="342"/>
        <v>10.05805</v>
      </c>
      <c r="AZ735" s="196">
        <f t="shared" si="343"/>
        <v>0</v>
      </c>
      <c r="BA735" s="219">
        <f t="shared" si="344"/>
        <v>0</v>
      </c>
      <c r="BB735" s="31">
        <f t="shared" si="345"/>
        <v>0</v>
      </c>
      <c r="BC735" s="219">
        <f t="shared" si="346"/>
        <v>0</v>
      </c>
      <c r="BD735" s="31">
        <f t="shared" si="347"/>
        <v>0</v>
      </c>
      <c r="BE735" s="219">
        <f t="shared" si="348"/>
        <v>0</v>
      </c>
      <c r="BF735" s="31">
        <f t="shared" si="349"/>
        <v>0</v>
      </c>
      <c r="BG735" s="219">
        <f t="shared" si="350"/>
        <v>0</v>
      </c>
      <c r="BH735" s="31">
        <f t="shared" si="351"/>
        <v>0</v>
      </c>
      <c r="BI735" s="219">
        <f t="shared" si="352"/>
        <v>0</v>
      </c>
      <c r="BJ735" s="31">
        <f t="shared" si="353"/>
        <v>0</v>
      </c>
      <c r="BK735" s="219">
        <f t="shared" si="354"/>
        <v>0</v>
      </c>
      <c r="BL735" s="31">
        <f t="shared" si="355"/>
        <v>0</v>
      </c>
      <c r="BM735" s="219">
        <f t="shared" si="356"/>
        <v>0</v>
      </c>
      <c r="BN735" s="31">
        <f t="shared" si="357"/>
        <v>0</v>
      </c>
      <c r="BO735" s="219">
        <f t="shared" si="358"/>
        <v>0</v>
      </c>
    </row>
    <row r="736" spans="1:67" x14ac:dyDescent="0.25">
      <c r="A736" s="31" t="s">
        <v>2345</v>
      </c>
      <c r="B736" s="176" t="str">
        <f>VLOOKUP(A736,kurspris!$A$1:$B$992,2,FALSE)</f>
        <v>Profession och vetenskap för yrkeslärare (UVK)</v>
      </c>
      <c r="C736" s="31">
        <v>68730</v>
      </c>
      <c r="D736" s="60" t="s">
        <v>623</v>
      </c>
      <c r="E736" s="60"/>
      <c r="F736" s="57" t="s">
        <v>2274</v>
      </c>
      <c r="H736" s="31" t="s">
        <v>2335</v>
      </c>
      <c r="I736" s="31" t="s">
        <v>2275</v>
      </c>
      <c r="L736" s="38"/>
      <c r="M736">
        <v>5</v>
      </c>
      <c r="P736" s="31">
        <v>69</v>
      </c>
      <c r="Q736" s="539">
        <v>5.75</v>
      </c>
      <c r="R736" s="38">
        <v>0.85</v>
      </c>
      <c r="S736" s="280">
        <f t="shared" si="331"/>
        <v>4.8875000000000002</v>
      </c>
      <c r="T736" s="31">
        <f>VLOOKUP(A736,'Ansvar kurs'!$A$1:$C$1123,2,FALSE)</f>
        <v>2193</v>
      </c>
      <c r="U736" s="31" t="str">
        <f>VLOOKUP(T736,Orgenheter!$A$1:$C$166,2,FALSE)</f>
        <v xml:space="preserve">TUV </v>
      </c>
      <c r="V736" s="31" t="str">
        <f>VLOOKUP(T736,Orgenheter!$A$1:$C$166,3,FALSE)</f>
        <v>Sam</v>
      </c>
      <c r="W736" s="35" t="str">
        <f>VLOOKUP(D736,Program!$A$1:$B$36,2,FALSE)</f>
        <v>Yrkeslärarprogrammet</v>
      </c>
      <c r="X736" s="40">
        <f>VLOOKUP(A736,kurspris!$A$1:$Q$913,15,FALSE)</f>
        <v>26554</v>
      </c>
      <c r="Y736" s="40">
        <f>VLOOKUP(A736,kurspris!$A$1:$Q$913,16,FALSE)</f>
        <v>33465</v>
      </c>
      <c r="Z736" s="40">
        <f t="shared" si="332"/>
        <v>316245.6875</v>
      </c>
      <c r="AA736" s="40">
        <f>VLOOKUP(A736,kurspris!$A$1:$Q$913,17,FALSE)</f>
        <v>6000</v>
      </c>
      <c r="AB736" s="40">
        <f t="shared" si="333"/>
        <v>34500</v>
      </c>
      <c r="AC736" s="40">
        <f t="shared" si="334"/>
        <v>350745.6875</v>
      </c>
      <c r="AD736" s="31">
        <f>VLOOKUP($A736,kurspris!$A$1:$Q$950,3,FALSE)</f>
        <v>0</v>
      </c>
      <c r="AE736" s="31">
        <f>VLOOKUP($A736,kurspris!$A$1:$Q$950,4,FALSE)</f>
        <v>0</v>
      </c>
      <c r="AF736" s="31">
        <f>VLOOKUP($A736,kurspris!$A$1:$Q$950,5,FALSE)</f>
        <v>0</v>
      </c>
      <c r="AG736" s="31">
        <f>VLOOKUP($A736,kurspris!$A$1:$Q$950,6,FALSE)</f>
        <v>1</v>
      </c>
      <c r="AH736" s="31">
        <f>VLOOKUP($A736,kurspris!$A$1:$Q$950,7,FALSE)</f>
        <v>0</v>
      </c>
      <c r="AI736" s="31">
        <f>VLOOKUP($A736,kurspris!$A$1:$Q$950,8,FALSE)</f>
        <v>0</v>
      </c>
      <c r="AJ736" s="31">
        <f>VLOOKUP($A736,kurspris!$A$1:$Q$950,9,FALSE)</f>
        <v>0</v>
      </c>
      <c r="AK736" s="31">
        <f>VLOOKUP($A736,kurspris!$A$1:$Q$950,10,FALSE)</f>
        <v>0</v>
      </c>
      <c r="AL736" s="31">
        <f>VLOOKUP($A736,kurspris!$A$1:$Q$950,11,FALSE)</f>
        <v>0</v>
      </c>
      <c r="AM736" s="31">
        <f>VLOOKUP($A736,kurspris!$A$1:$Q$950,12,FALSE)</f>
        <v>0</v>
      </c>
      <c r="AN736" s="31">
        <f>VLOOKUP($A736,kurspris!$A$1:$Q$950,13,FALSE)</f>
        <v>0</v>
      </c>
      <c r="AO736" s="31">
        <f>VLOOKUP($A736,kurspris!$A$1:$Q$950,14,FALSE)</f>
        <v>0</v>
      </c>
      <c r="AP736" s="57" t="s">
        <v>2402</v>
      </c>
      <c r="AQ736"/>
      <c r="AR736" s="31">
        <f t="shared" si="335"/>
        <v>0</v>
      </c>
      <c r="AS736" s="219">
        <f t="shared" si="336"/>
        <v>0</v>
      </c>
      <c r="AT736" s="31">
        <f t="shared" si="337"/>
        <v>0</v>
      </c>
      <c r="AU736" s="219">
        <f t="shared" si="338"/>
        <v>0</v>
      </c>
      <c r="AV736" s="31">
        <f t="shared" si="339"/>
        <v>0</v>
      </c>
      <c r="AW736" s="31">
        <f t="shared" si="340"/>
        <v>0</v>
      </c>
      <c r="AX736" s="31">
        <f t="shared" si="341"/>
        <v>5.75</v>
      </c>
      <c r="AY736" s="219">
        <f t="shared" si="342"/>
        <v>4.8875000000000002</v>
      </c>
      <c r="AZ736" s="196">
        <f t="shared" si="343"/>
        <v>0</v>
      </c>
      <c r="BA736" s="219">
        <f t="shared" si="344"/>
        <v>0</v>
      </c>
      <c r="BB736" s="31">
        <f t="shared" si="345"/>
        <v>0</v>
      </c>
      <c r="BC736" s="219">
        <f t="shared" si="346"/>
        <v>0</v>
      </c>
      <c r="BD736" s="31">
        <f t="shared" si="347"/>
        <v>0</v>
      </c>
      <c r="BE736" s="219">
        <f t="shared" si="348"/>
        <v>0</v>
      </c>
      <c r="BF736" s="31">
        <f t="shared" si="349"/>
        <v>0</v>
      </c>
      <c r="BG736" s="219">
        <f t="shared" si="350"/>
        <v>0</v>
      </c>
      <c r="BH736" s="31">
        <f t="shared" si="351"/>
        <v>0</v>
      </c>
      <c r="BI736" s="219">
        <f t="shared" si="352"/>
        <v>0</v>
      </c>
      <c r="BJ736" s="31">
        <f t="shared" si="353"/>
        <v>0</v>
      </c>
      <c r="BK736" s="219">
        <f t="shared" si="354"/>
        <v>0</v>
      </c>
      <c r="BL736" s="31">
        <f t="shared" si="355"/>
        <v>0</v>
      </c>
      <c r="BM736" s="219">
        <f t="shared" si="356"/>
        <v>0</v>
      </c>
      <c r="BN736" s="31">
        <f t="shared" si="357"/>
        <v>0</v>
      </c>
      <c r="BO736" s="219">
        <f t="shared" si="358"/>
        <v>0</v>
      </c>
    </row>
    <row r="737" spans="1:67" x14ac:dyDescent="0.25">
      <c r="A737" s="31" t="s">
        <v>2173</v>
      </c>
      <c r="B737" s="176" t="str">
        <f>VLOOKUP(A737,kurspris!$A$1:$B$992,2,FALSE)</f>
        <v>Kunskap, undervisning och lärande 2 (UVK)</v>
      </c>
      <c r="D737" s="60" t="s">
        <v>623</v>
      </c>
      <c r="E737" s="576" t="s">
        <v>2434</v>
      </c>
      <c r="F737" s="31" t="s">
        <v>2273</v>
      </c>
      <c r="G737" t="s">
        <v>2458</v>
      </c>
      <c r="H737" t="s">
        <v>2335</v>
      </c>
      <c r="L737" s="38">
        <v>0.5</v>
      </c>
      <c r="M737" s="325">
        <v>15</v>
      </c>
      <c r="P737" s="31">
        <v>1</v>
      </c>
      <c r="Q737" s="196">
        <f>(M737/60)*P737</f>
        <v>0.25</v>
      </c>
      <c r="R737" s="38">
        <v>0.85</v>
      </c>
      <c r="S737" s="280">
        <f t="shared" si="331"/>
        <v>0.21249999999999999</v>
      </c>
      <c r="T737" s="31">
        <f>VLOOKUP(A737,'Ansvar kurs'!$A$1:$C$1123,2,FALSE)</f>
        <v>2180</v>
      </c>
      <c r="U737" s="31" t="str">
        <f>VLOOKUP(T737,Orgenheter!$A$1:$C$166,2,FALSE)</f>
        <v xml:space="preserve">Pedagogik                     </v>
      </c>
      <c r="V737" s="31" t="str">
        <f>VLOOKUP(T737,Orgenheter!$A$1:$C$166,3,FALSE)</f>
        <v>Sam</v>
      </c>
      <c r="W737" s="35" t="str">
        <f>VLOOKUP(D737,Program!$A$1:$B$36,2,FALSE)</f>
        <v>Yrkeslärarprogrammet</v>
      </c>
      <c r="X737" s="40">
        <f>VLOOKUP(A737,kurspris!$A$1:$Q$913,15,FALSE)</f>
        <v>26554</v>
      </c>
      <c r="Y737" s="40">
        <f>VLOOKUP(A737,kurspris!$A$1:$Q$913,16,FALSE)</f>
        <v>33465</v>
      </c>
      <c r="Z737" s="40">
        <f t="shared" si="332"/>
        <v>13749.8125</v>
      </c>
      <c r="AA737" s="40">
        <f>VLOOKUP(A737,kurspris!$A$1:$Q$913,17,FALSE)</f>
        <v>6000</v>
      </c>
      <c r="AB737" s="40">
        <f t="shared" si="333"/>
        <v>1500</v>
      </c>
      <c r="AC737" s="40">
        <f t="shared" si="334"/>
        <v>15249.8125</v>
      </c>
      <c r="AD737" s="31">
        <f>VLOOKUP($A737,kurspris!$A$1:$Q$950,3,FALSE)</f>
        <v>0</v>
      </c>
      <c r="AE737" s="31">
        <f>VLOOKUP($A737,kurspris!$A$1:$Q$950,4,FALSE)</f>
        <v>0</v>
      </c>
      <c r="AF737" s="31">
        <f>VLOOKUP($A737,kurspris!$A$1:$Q$950,5,FALSE)</f>
        <v>0</v>
      </c>
      <c r="AG737" s="31">
        <f>VLOOKUP($A737,kurspris!$A$1:$Q$950,6,FALSE)</f>
        <v>1</v>
      </c>
      <c r="AH737" s="31">
        <f>VLOOKUP($A737,kurspris!$A$1:$Q$950,7,FALSE)</f>
        <v>0</v>
      </c>
      <c r="AI737" s="31">
        <f>VLOOKUP($A737,kurspris!$A$1:$Q$950,8,FALSE)</f>
        <v>0</v>
      </c>
      <c r="AJ737" s="31">
        <f>VLOOKUP($A737,kurspris!$A$1:$Q$950,9,FALSE)</f>
        <v>0</v>
      </c>
      <c r="AK737" s="31">
        <f>VLOOKUP($A737,kurspris!$A$1:$Q$950,10,FALSE)</f>
        <v>0</v>
      </c>
      <c r="AL737" s="31">
        <f>VLOOKUP($A737,kurspris!$A$1:$Q$950,11,FALSE)</f>
        <v>0</v>
      </c>
      <c r="AM737" s="31">
        <f>VLOOKUP($A737,kurspris!$A$1:$Q$950,12,FALSE)</f>
        <v>0</v>
      </c>
      <c r="AN737" s="31">
        <f>VLOOKUP($A737,kurspris!$A$1:$Q$950,13,FALSE)</f>
        <v>0</v>
      </c>
      <c r="AO737" s="31">
        <f>VLOOKUP($A737,kurspris!$A$1:$Q$950,14,FALSE)</f>
        <v>0</v>
      </c>
      <c r="AP737" s="57" t="s">
        <v>2508</v>
      </c>
      <c r="AQ737"/>
      <c r="AR737" s="31">
        <f t="shared" si="335"/>
        <v>0</v>
      </c>
      <c r="AS737" s="219">
        <f t="shared" si="336"/>
        <v>0</v>
      </c>
      <c r="AT737" s="31">
        <f t="shared" si="337"/>
        <v>0</v>
      </c>
      <c r="AU737" s="219">
        <f t="shared" si="338"/>
        <v>0</v>
      </c>
      <c r="AV737" s="31">
        <f t="shared" si="339"/>
        <v>0</v>
      </c>
      <c r="AW737" s="31">
        <f t="shared" si="340"/>
        <v>0</v>
      </c>
      <c r="AX737" s="31">
        <f t="shared" si="341"/>
        <v>0.25</v>
      </c>
      <c r="AY737" s="219">
        <f t="shared" si="342"/>
        <v>0.21249999999999999</v>
      </c>
      <c r="AZ737" s="196">
        <f t="shared" si="343"/>
        <v>0</v>
      </c>
      <c r="BA737" s="219">
        <f t="shared" si="344"/>
        <v>0</v>
      </c>
      <c r="BB737" s="31">
        <f t="shared" si="345"/>
        <v>0</v>
      </c>
      <c r="BC737" s="219">
        <f t="shared" si="346"/>
        <v>0</v>
      </c>
      <c r="BD737" s="31">
        <f t="shared" si="347"/>
        <v>0</v>
      </c>
      <c r="BE737" s="219">
        <f t="shared" si="348"/>
        <v>0</v>
      </c>
      <c r="BF737" s="31">
        <f t="shared" si="349"/>
        <v>0</v>
      </c>
      <c r="BG737" s="219">
        <f t="shared" si="350"/>
        <v>0</v>
      </c>
      <c r="BH737" s="31">
        <f t="shared" si="351"/>
        <v>0</v>
      </c>
      <c r="BI737" s="219">
        <f t="shared" si="352"/>
        <v>0</v>
      </c>
      <c r="BJ737" s="31">
        <f t="shared" si="353"/>
        <v>0</v>
      </c>
      <c r="BK737" s="219">
        <f t="shared" si="354"/>
        <v>0</v>
      </c>
      <c r="BL737" s="31">
        <f t="shared" si="355"/>
        <v>0</v>
      </c>
      <c r="BM737" s="219">
        <f t="shared" si="356"/>
        <v>0</v>
      </c>
      <c r="BN737" s="31">
        <f t="shared" si="357"/>
        <v>0</v>
      </c>
      <c r="BO737" s="219">
        <f t="shared" si="358"/>
        <v>0</v>
      </c>
    </row>
    <row r="738" spans="1:67" x14ac:dyDescent="0.25">
      <c r="A738" s="31" t="s">
        <v>2173</v>
      </c>
      <c r="B738" s="176" t="str">
        <f>VLOOKUP(A738,kurspris!$A$1:$B$992,2,FALSE)</f>
        <v>Kunskap, undervisning och lärande 2 (UVK)</v>
      </c>
      <c r="D738" s="60" t="s">
        <v>623</v>
      </c>
      <c r="E738" s="576" t="s">
        <v>2432</v>
      </c>
      <c r="F738" s="31" t="s">
        <v>2273</v>
      </c>
      <c r="G738" t="s">
        <v>2458</v>
      </c>
      <c r="H738" t="s">
        <v>2335</v>
      </c>
      <c r="L738" s="38">
        <v>0.5</v>
      </c>
      <c r="M738" s="325">
        <v>15</v>
      </c>
      <c r="P738" s="31">
        <v>43</v>
      </c>
      <c r="Q738" s="196">
        <f>(M738/60)*P738</f>
        <v>10.75</v>
      </c>
      <c r="R738" s="38">
        <v>0.85</v>
      </c>
      <c r="S738" s="280">
        <f t="shared" si="331"/>
        <v>9.1374999999999993</v>
      </c>
      <c r="T738" s="31">
        <f>VLOOKUP(A738,'Ansvar kurs'!$A$1:$C$1123,2,FALSE)</f>
        <v>2180</v>
      </c>
      <c r="U738" s="31" t="str">
        <f>VLOOKUP(T738,Orgenheter!$A$1:$C$166,2,FALSE)</f>
        <v xml:space="preserve">Pedagogik                     </v>
      </c>
      <c r="V738" s="31" t="str">
        <f>VLOOKUP(T738,Orgenheter!$A$1:$C$166,3,FALSE)</f>
        <v>Sam</v>
      </c>
      <c r="W738" s="35" t="str">
        <f>VLOOKUP(D738,Program!$A$1:$B$36,2,FALSE)</f>
        <v>Yrkeslärarprogrammet</v>
      </c>
      <c r="X738" s="40">
        <f>VLOOKUP(A738,kurspris!$A$1:$Q$913,15,FALSE)</f>
        <v>26554</v>
      </c>
      <c r="Y738" s="40">
        <f>VLOOKUP(A738,kurspris!$A$1:$Q$913,16,FALSE)</f>
        <v>33465</v>
      </c>
      <c r="Z738" s="40">
        <f t="shared" si="332"/>
        <v>591241.9375</v>
      </c>
      <c r="AA738" s="40">
        <f>VLOOKUP(A738,kurspris!$A$1:$Q$913,17,FALSE)</f>
        <v>6000</v>
      </c>
      <c r="AB738" s="40">
        <f t="shared" si="333"/>
        <v>64500</v>
      </c>
      <c r="AC738" s="40">
        <f t="shared" si="334"/>
        <v>655741.9375</v>
      </c>
      <c r="AD738" s="31">
        <f>VLOOKUP($A738,kurspris!$A$1:$Q$950,3,FALSE)</f>
        <v>0</v>
      </c>
      <c r="AE738" s="31">
        <f>VLOOKUP($A738,kurspris!$A$1:$Q$950,4,FALSE)</f>
        <v>0</v>
      </c>
      <c r="AF738" s="31">
        <f>VLOOKUP($A738,kurspris!$A$1:$Q$950,5,FALSE)</f>
        <v>0</v>
      </c>
      <c r="AG738" s="31">
        <f>VLOOKUP($A738,kurspris!$A$1:$Q$950,6,FALSE)</f>
        <v>1</v>
      </c>
      <c r="AH738" s="31">
        <f>VLOOKUP($A738,kurspris!$A$1:$Q$950,7,FALSE)</f>
        <v>0</v>
      </c>
      <c r="AI738" s="31">
        <f>VLOOKUP($A738,kurspris!$A$1:$Q$950,8,FALSE)</f>
        <v>0</v>
      </c>
      <c r="AJ738" s="31">
        <f>VLOOKUP($A738,kurspris!$A$1:$Q$950,9,FALSE)</f>
        <v>0</v>
      </c>
      <c r="AK738" s="31">
        <f>VLOOKUP($A738,kurspris!$A$1:$Q$950,10,FALSE)</f>
        <v>0</v>
      </c>
      <c r="AL738" s="31">
        <f>VLOOKUP($A738,kurspris!$A$1:$Q$950,11,FALSE)</f>
        <v>0</v>
      </c>
      <c r="AM738" s="31">
        <f>VLOOKUP($A738,kurspris!$A$1:$Q$950,12,FALSE)</f>
        <v>0</v>
      </c>
      <c r="AN738" s="31">
        <f>VLOOKUP($A738,kurspris!$A$1:$Q$950,13,FALSE)</f>
        <v>0</v>
      </c>
      <c r="AO738" s="31">
        <f>VLOOKUP($A738,kurspris!$A$1:$Q$950,14,FALSE)</f>
        <v>0</v>
      </c>
      <c r="AP738" s="57" t="s">
        <v>2508</v>
      </c>
      <c r="AQ738"/>
      <c r="AR738" s="31">
        <f t="shared" si="335"/>
        <v>0</v>
      </c>
      <c r="AS738" s="219">
        <f t="shared" si="336"/>
        <v>0</v>
      </c>
      <c r="AT738" s="31">
        <f t="shared" si="337"/>
        <v>0</v>
      </c>
      <c r="AU738" s="219">
        <f t="shared" si="338"/>
        <v>0</v>
      </c>
      <c r="AV738" s="31">
        <f t="shared" si="339"/>
        <v>0</v>
      </c>
      <c r="AW738" s="31">
        <f t="shared" si="340"/>
        <v>0</v>
      </c>
      <c r="AX738" s="31">
        <f t="shared" si="341"/>
        <v>10.75</v>
      </c>
      <c r="AY738" s="219">
        <f t="shared" si="342"/>
        <v>9.1374999999999993</v>
      </c>
      <c r="AZ738" s="196">
        <f t="shared" si="343"/>
        <v>0</v>
      </c>
      <c r="BA738" s="219">
        <f t="shared" si="344"/>
        <v>0</v>
      </c>
      <c r="BB738" s="31">
        <f t="shared" si="345"/>
        <v>0</v>
      </c>
      <c r="BC738" s="219">
        <f t="shared" si="346"/>
        <v>0</v>
      </c>
      <c r="BD738" s="31">
        <f t="shared" si="347"/>
        <v>0</v>
      </c>
      <c r="BE738" s="219">
        <f t="shared" si="348"/>
        <v>0</v>
      </c>
      <c r="BF738" s="31">
        <f t="shared" si="349"/>
        <v>0</v>
      </c>
      <c r="BG738" s="219">
        <f t="shared" si="350"/>
        <v>0</v>
      </c>
      <c r="BH738" s="31">
        <f t="shared" si="351"/>
        <v>0</v>
      </c>
      <c r="BI738" s="219">
        <f t="shared" si="352"/>
        <v>0</v>
      </c>
      <c r="BJ738" s="31">
        <f t="shared" si="353"/>
        <v>0</v>
      </c>
      <c r="BK738" s="219">
        <f t="shared" si="354"/>
        <v>0</v>
      </c>
      <c r="BL738" s="31">
        <f t="shared" si="355"/>
        <v>0</v>
      </c>
      <c r="BM738" s="219">
        <f t="shared" si="356"/>
        <v>0</v>
      </c>
      <c r="BN738" s="31">
        <f t="shared" si="357"/>
        <v>0</v>
      </c>
      <c r="BO738" s="219">
        <f t="shared" si="358"/>
        <v>0</v>
      </c>
    </row>
    <row r="739" spans="1:67" x14ac:dyDescent="0.25">
      <c r="A739" s="31" t="s">
        <v>2209</v>
      </c>
      <c r="B739" s="176" t="str">
        <f>VLOOKUP(A739,kurspris!$A$1:$B$992,2,FALSE)</f>
        <v>Pedagogiskt ledarskap, sociala relationer och specialpedagogik (UVK)</v>
      </c>
      <c r="C739" s="31">
        <v>64504</v>
      </c>
      <c r="D739" s="60" t="s">
        <v>623</v>
      </c>
      <c r="E739" s="60"/>
      <c r="F739" s="57" t="s">
        <v>2274</v>
      </c>
      <c r="H739" s="31" t="s">
        <v>2335</v>
      </c>
      <c r="I739" s="31" t="s">
        <v>2275</v>
      </c>
      <c r="L739" s="38"/>
      <c r="M739">
        <v>10</v>
      </c>
      <c r="P739" s="31">
        <v>46</v>
      </c>
      <c r="Q739" s="539">
        <v>7.6669999999999998</v>
      </c>
      <c r="R739" s="38">
        <v>0.85</v>
      </c>
      <c r="S739" s="280">
        <f t="shared" si="331"/>
        <v>6.5169499999999996</v>
      </c>
      <c r="T739" s="31">
        <f>VLOOKUP(A739,'Ansvar kurs'!$A$1:$C$1123,2,FALSE)</f>
        <v>2180</v>
      </c>
      <c r="U739" s="31" t="str">
        <f>VLOOKUP(T739,Orgenheter!$A$1:$C$166,2,FALSE)</f>
        <v xml:space="preserve">Pedagogik                     </v>
      </c>
      <c r="V739" s="31" t="str">
        <f>VLOOKUP(T739,Orgenheter!$A$1:$C$166,3,FALSE)</f>
        <v>Sam</v>
      </c>
      <c r="W739" s="35" t="str">
        <f>VLOOKUP(D739,Program!$A$1:$B$36,2,FALSE)</f>
        <v>Yrkeslärarprogrammet</v>
      </c>
      <c r="X739" s="40">
        <f>VLOOKUP(A739,kurspris!$A$1:$Q$913,15,FALSE)</f>
        <v>26554</v>
      </c>
      <c r="Y739" s="40">
        <f>VLOOKUP(A739,kurspris!$A$1:$Q$913,16,FALSE)</f>
        <v>33465</v>
      </c>
      <c r="Z739" s="40">
        <f t="shared" si="332"/>
        <v>421679.24974999996</v>
      </c>
      <c r="AA739" s="40">
        <f>VLOOKUP(A739,kurspris!$A$1:$Q$913,17,FALSE)</f>
        <v>6000</v>
      </c>
      <c r="AB739" s="40">
        <f t="shared" si="333"/>
        <v>46002</v>
      </c>
      <c r="AC739" s="40">
        <f t="shared" si="334"/>
        <v>467681.24974999996</v>
      </c>
      <c r="AD739" s="31">
        <f>VLOOKUP($A739,kurspris!$A$1:$Q$950,3,FALSE)</f>
        <v>0</v>
      </c>
      <c r="AE739" s="31">
        <f>VLOOKUP($A739,kurspris!$A$1:$Q$950,4,FALSE)</f>
        <v>0</v>
      </c>
      <c r="AF739" s="31">
        <f>VLOOKUP($A739,kurspris!$A$1:$Q$950,5,FALSE)</f>
        <v>0</v>
      </c>
      <c r="AG739" s="31">
        <f>VLOOKUP($A739,kurspris!$A$1:$Q$950,6,FALSE)</f>
        <v>1</v>
      </c>
      <c r="AH739" s="31">
        <f>VLOOKUP($A739,kurspris!$A$1:$Q$950,7,FALSE)</f>
        <v>0</v>
      </c>
      <c r="AI739" s="31">
        <f>VLOOKUP($A739,kurspris!$A$1:$Q$950,8,FALSE)</f>
        <v>0</v>
      </c>
      <c r="AJ739" s="31">
        <f>VLOOKUP($A739,kurspris!$A$1:$Q$950,9,FALSE)</f>
        <v>0</v>
      </c>
      <c r="AK739" s="31">
        <f>VLOOKUP($A739,kurspris!$A$1:$Q$950,10,FALSE)</f>
        <v>0</v>
      </c>
      <c r="AL739" s="31">
        <f>VLOOKUP($A739,kurspris!$A$1:$Q$950,11,FALSE)</f>
        <v>0</v>
      </c>
      <c r="AM739" s="31">
        <f>VLOOKUP($A739,kurspris!$A$1:$Q$950,12,FALSE)</f>
        <v>0</v>
      </c>
      <c r="AN739" s="31">
        <f>VLOOKUP($A739,kurspris!$A$1:$Q$950,13,FALSE)</f>
        <v>0</v>
      </c>
      <c r="AO739" s="31">
        <f>VLOOKUP($A739,kurspris!$A$1:$Q$950,14,FALSE)</f>
        <v>0</v>
      </c>
      <c r="AP739" s="57" t="s">
        <v>2402</v>
      </c>
      <c r="AQ739"/>
      <c r="AR739" s="31">
        <f t="shared" si="335"/>
        <v>0</v>
      </c>
      <c r="AS739" s="219">
        <f t="shared" si="336"/>
        <v>0</v>
      </c>
      <c r="AT739" s="31">
        <f t="shared" si="337"/>
        <v>0</v>
      </c>
      <c r="AU739" s="219">
        <f t="shared" si="338"/>
        <v>0</v>
      </c>
      <c r="AV739" s="31">
        <f t="shared" si="339"/>
        <v>0</v>
      </c>
      <c r="AW739" s="31">
        <f t="shared" si="340"/>
        <v>0</v>
      </c>
      <c r="AX739" s="31">
        <f t="shared" si="341"/>
        <v>7.6669999999999998</v>
      </c>
      <c r="AY739" s="219">
        <f t="shared" si="342"/>
        <v>6.5169499999999996</v>
      </c>
      <c r="AZ739" s="196">
        <f t="shared" si="343"/>
        <v>0</v>
      </c>
      <c r="BA739" s="219">
        <f t="shared" si="344"/>
        <v>0</v>
      </c>
      <c r="BB739" s="31">
        <f t="shared" si="345"/>
        <v>0</v>
      </c>
      <c r="BC739" s="219">
        <f t="shared" si="346"/>
        <v>0</v>
      </c>
      <c r="BD739" s="31">
        <f t="shared" si="347"/>
        <v>0</v>
      </c>
      <c r="BE739" s="219">
        <f t="shared" si="348"/>
        <v>0</v>
      </c>
      <c r="BF739" s="31">
        <f t="shared" si="349"/>
        <v>0</v>
      </c>
      <c r="BG739" s="219">
        <f t="shared" si="350"/>
        <v>0</v>
      </c>
      <c r="BH739" s="31">
        <f t="shared" si="351"/>
        <v>0</v>
      </c>
      <c r="BI739" s="219">
        <f t="shared" si="352"/>
        <v>0</v>
      </c>
      <c r="BJ739" s="31">
        <f t="shared" si="353"/>
        <v>0</v>
      </c>
      <c r="BK739" s="219">
        <f t="shared" si="354"/>
        <v>0</v>
      </c>
      <c r="BL739" s="31">
        <f t="shared" si="355"/>
        <v>0</v>
      </c>
      <c r="BM739" s="219">
        <f t="shared" si="356"/>
        <v>0</v>
      </c>
      <c r="BN739" s="31">
        <f t="shared" si="357"/>
        <v>0</v>
      </c>
      <c r="BO739" s="219">
        <f t="shared" si="358"/>
        <v>0</v>
      </c>
    </row>
    <row r="740" spans="1:67" x14ac:dyDescent="0.25">
      <c r="A740" s="173" t="s">
        <v>2174</v>
      </c>
      <c r="B740" s="530" t="str">
        <f>VLOOKUP(A740,kurspris!$A$1:$B$992,2,FALSE)</f>
        <v>Verksamhetsförlagd utbildning för yrkeslärare (VFU)</v>
      </c>
      <c r="C740" s="173"/>
      <c r="D740" s="531" t="s">
        <v>623</v>
      </c>
      <c r="E740" s="531" t="s">
        <v>2227</v>
      </c>
      <c r="F740" s="173" t="s">
        <v>2274</v>
      </c>
      <c r="G740" s="173" t="s">
        <v>2346</v>
      </c>
      <c r="H740" s="173" t="s">
        <v>2335</v>
      </c>
      <c r="I740" s="173"/>
      <c r="J740" s="173"/>
      <c r="K740" s="173"/>
      <c r="L740" s="532">
        <v>0.5</v>
      </c>
      <c r="M740" s="533">
        <v>15</v>
      </c>
      <c r="N740" s="173"/>
      <c r="O740" s="173"/>
      <c r="P740" s="173">
        <v>1</v>
      </c>
      <c r="Q740" s="196">
        <f t="shared" ref="Q740:Q748" si="361">(M740/60)*P740</f>
        <v>0.25</v>
      </c>
      <c r="R740" s="38">
        <v>0.85</v>
      </c>
      <c r="S740" s="280">
        <f t="shared" si="331"/>
        <v>0.21249999999999999</v>
      </c>
      <c r="T740" s="31">
        <f>VLOOKUP(A740,'Ansvar kurs'!$A$1:$C$1123,2,FALSE)</f>
        <v>2180</v>
      </c>
      <c r="U740" s="31" t="str">
        <f>VLOOKUP(T740,Orgenheter!$A$1:$C$166,2,FALSE)</f>
        <v xml:space="preserve">Pedagogik                     </v>
      </c>
      <c r="V740" s="31" t="str">
        <f>VLOOKUP(T740,Orgenheter!$A$1:$C$166,3,FALSE)</f>
        <v>Sam</v>
      </c>
      <c r="W740" s="35" t="str">
        <f>VLOOKUP(D740,Program!$A$1:$B$36,2,FALSE)</f>
        <v>Yrkeslärarprogrammet</v>
      </c>
      <c r="X740" s="40">
        <f>VLOOKUP(A740,kurspris!$A$1:$Q$913,15,FALSE)</f>
        <v>25235</v>
      </c>
      <c r="Y740" s="40">
        <f>VLOOKUP(A740,kurspris!$A$1:$Q$913,16,FALSE)</f>
        <v>27976</v>
      </c>
      <c r="Z740" s="40">
        <f t="shared" si="332"/>
        <v>12253.65</v>
      </c>
      <c r="AA740" s="40">
        <f>VLOOKUP(A740,kurspris!$A$1:$Q$913,17,FALSE)</f>
        <v>3600</v>
      </c>
      <c r="AB740" s="40">
        <f t="shared" si="333"/>
        <v>900</v>
      </c>
      <c r="AC740" s="40">
        <f t="shared" si="334"/>
        <v>13153.65</v>
      </c>
      <c r="AD740" s="31">
        <f>VLOOKUP($A740,kurspris!$A$1:$Q$950,3,FALSE)</f>
        <v>0</v>
      </c>
      <c r="AE740" s="31">
        <f>VLOOKUP($A740,kurspris!$A$1:$Q$950,4,FALSE)</f>
        <v>0</v>
      </c>
      <c r="AF740" s="31">
        <f>VLOOKUP($A740,kurspris!$A$1:$Q$950,5,FALSE)</f>
        <v>0</v>
      </c>
      <c r="AG740" s="31">
        <f>VLOOKUP($A740,kurspris!$A$1:$Q$950,6,FALSE)</f>
        <v>0</v>
      </c>
      <c r="AH740" s="31">
        <f>VLOOKUP($A740,kurspris!$A$1:$Q$950,7,FALSE)</f>
        <v>0</v>
      </c>
      <c r="AI740" s="31">
        <f>VLOOKUP($A740,kurspris!$A$1:$Q$950,8,FALSE)</f>
        <v>0</v>
      </c>
      <c r="AJ740" s="31">
        <f>VLOOKUP($A740,kurspris!$A$1:$Q$950,9,FALSE)</f>
        <v>0</v>
      </c>
      <c r="AK740" s="31">
        <f>VLOOKUP($A740,kurspris!$A$1:$Q$950,10,FALSE)</f>
        <v>0</v>
      </c>
      <c r="AL740" s="31">
        <f>VLOOKUP($A740,kurspris!$A$1:$Q$950,11,FALSE)</f>
        <v>1</v>
      </c>
      <c r="AM740" s="31">
        <f>VLOOKUP($A740,kurspris!$A$1:$Q$950,12,FALSE)</f>
        <v>0</v>
      </c>
      <c r="AN740" s="31">
        <f>VLOOKUP($A740,kurspris!$A$1:$Q$950,13,FALSE)</f>
        <v>0</v>
      </c>
      <c r="AO740" s="31">
        <f>VLOOKUP($A740,kurspris!$A$1:$Q$950,14,FALSE)</f>
        <v>0</v>
      </c>
      <c r="AP740" s="57" t="s">
        <v>2342</v>
      </c>
      <c r="AQ740" t="s">
        <v>2308</v>
      </c>
      <c r="AR740" s="31">
        <f t="shared" si="335"/>
        <v>0</v>
      </c>
      <c r="AS740" s="219">
        <f t="shared" si="336"/>
        <v>0</v>
      </c>
      <c r="AT740" s="31">
        <f t="shared" si="337"/>
        <v>0</v>
      </c>
      <c r="AU740" s="219">
        <f t="shared" si="338"/>
        <v>0</v>
      </c>
      <c r="AV740" s="31">
        <f t="shared" si="339"/>
        <v>0</v>
      </c>
      <c r="AW740" s="31">
        <f t="shared" si="340"/>
        <v>0</v>
      </c>
      <c r="AX740" s="31">
        <f t="shared" si="341"/>
        <v>0</v>
      </c>
      <c r="AY740" s="219">
        <f t="shared" si="342"/>
        <v>0</v>
      </c>
      <c r="AZ740" s="196">
        <f t="shared" si="343"/>
        <v>0</v>
      </c>
      <c r="BA740" s="219">
        <f t="shared" si="344"/>
        <v>0</v>
      </c>
      <c r="BB740" s="31">
        <f t="shared" si="345"/>
        <v>0</v>
      </c>
      <c r="BC740" s="219">
        <f t="shared" si="346"/>
        <v>0</v>
      </c>
      <c r="BD740" s="31">
        <f t="shared" si="347"/>
        <v>0</v>
      </c>
      <c r="BE740" s="219">
        <f t="shared" si="348"/>
        <v>0</v>
      </c>
      <c r="BF740" s="31">
        <f t="shared" si="349"/>
        <v>0</v>
      </c>
      <c r="BG740" s="219">
        <f t="shared" si="350"/>
        <v>0</v>
      </c>
      <c r="BH740" s="31">
        <f t="shared" si="351"/>
        <v>0.25</v>
      </c>
      <c r="BI740" s="219">
        <f t="shared" si="352"/>
        <v>0.21249999999999999</v>
      </c>
      <c r="BJ740" s="31">
        <f t="shared" si="353"/>
        <v>0</v>
      </c>
      <c r="BK740" s="219">
        <f t="shared" si="354"/>
        <v>0</v>
      </c>
      <c r="BL740" s="31">
        <f t="shared" si="355"/>
        <v>0</v>
      </c>
      <c r="BM740" s="219">
        <f t="shared" si="356"/>
        <v>0</v>
      </c>
      <c r="BN740" s="31">
        <f t="shared" si="357"/>
        <v>0</v>
      </c>
      <c r="BO740" s="219">
        <f t="shared" si="358"/>
        <v>0</v>
      </c>
    </row>
    <row r="741" spans="1:67" x14ac:dyDescent="0.25">
      <c r="A741" s="173" t="s">
        <v>2174</v>
      </c>
      <c r="B741" s="530" t="str">
        <f>VLOOKUP(A741,kurspris!$A$1:$B$992,2,FALSE)</f>
        <v>Verksamhetsförlagd utbildning för yrkeslärare (VFU)</v>
      </c>
      <c r="C741" s="173"/>
      <c r="D741" s="531" t="s">
        <v>623</v>
      </c>
      <c r="E741" s="531" t="s">
        <v>2226</v>
      </c>
      <c r="F741" s="173" t="s">
        <v>2274</v>
      </c>
      <c r="G741" s="173" t="s">
        <v>2346</v>
      </c>
      <c r="H741" s="173" t="s">
        <v>2335</v>
      </c>
      <c r="I741" s="173"/>
      <c r="J741" s="173"/>
      <c r="K741" s="173"/>
      <c r="L741" s="532">
        <v>0.5</v>
      </c>
      <c r="M741" s="533">
        <v>15</v>
      </c>
      <c r="N741" s="173"/>
      <c r="O741" s="173"/>
      <c r="P741" s="173">
        <v>2</v>
      </c>
      <c r="Q741" s="196">
        <f t="shared" si="361"/>
        <v>0.5</v>
      </c>
      <c r="R741" s="38">
        <v>0.85</v>
      </c>
      <c r="S741" s="280">
        <f t="shared" si="331"/>
        <v>0.42499999999999999</v>
      </c>
      <c r="T741" s="31">
        <f>VLOOKUP(A741,'Ansvar kurs'!$A$1:$C$1123,2,FALSE)</f>
        <v>2180</v>
      </c>
      <c r="U741" s="31" t="str">
        <f>VLOOKUP(T741,Orgenheter!$A$1:$C$166,2,FALSE)</f>
        <v xml:space="preserve">Pedagogik                     </v>
      </c>
      <c r="V741" s="31" t="str">
        <f>VLOOKUP(T741,Orgenheter!$A$1:$C$166,3,FALSE)</f>
        <v>Sam</v>
      </c>
      <c r="W741" s="35" t="str">
        <f>VLOOKUP(D741,Program!$A$1:$B$36,2,FALSE)</f>
        <v>Yrkeslärarprogrammet</v>
      </c>
      <c r="X741" s="40">
        <f>VLOOKUP(A741,kurspris!$A$1:$Q$913,15,FALSE)</f>
        <v>25235</v>
      </c>
      <c r="Y741" s="40">
        <f>VLOOKUP(A741,kurspris!$A$1:$Q$913,16,FALSE)</f>
        <v>27976</v>
      </c>
      <c r="Z741" s="40">
        <f t="shared" si="332"/>
        <v>24507.3</v>
      </c>
      <c r="AA741" s="40">
        <f>VLOOKUP(A741,kurspris!$A$1:$Q$913,17,FALSE)</f>
        <v>3600</v>
      </c>
      <c r="AB741" s="40">
        <f t="shared" si="333"/>
        <v>1800</v>
      </c>
      <c r="AC741" s="40">
        <f t="shared" si="334"/>
        <v>26307.3</v>
      </c>
      <c r="AD741" s="31">
        <f>VLOOKUP($A741,kurspris!$A$1:$Q$950,3,FALSE)</f>
        <v>0</v>
      </c>
      <c r="AE741" s="31">
        <f>VLOOKUP($A741,kurspris!$A$1:$Q$950,4,FALSE)</f>
        <v>0</v>
      </c>
      <c r="AF741" s="31">
        <f>VLOOKUP($A741,kurspris!$A$1:$Q$950,5,FALSE)</f>
        <v>0</v>
      </c>
      <c r="AG741" s="31">
        <f>VLOOKUP($A741,kurspris!$A$1:$Q$950,6,FALSE)</f>
        <v>0</v>
      </c>
      <c r="AH741" s="31">
        <f>VLOOKUP($A741,kurspris!$A$1:$Q$950,7,FALSE)</f>
        <v>0</v>
      </c>
      <c r="AI741" s="31">
        <f>VLOOKUP($A741,kurspris!$A$1:$Q$950,8,FALSE)</f>
        <v>0</v>
      </c>
      <c r="AJ741" s="31">
        <f>VLOOKUP($A741,kurspris!$A$1:$Q$950,9,FALSE)</f>
        <v>0</v>
      </c>
      <c r="AK741" s="31">
        <f>VLOOKUP($A741,kurspris!$A$1:$Q$950,10,FALSE)</f>
        <v>0</v>
      </c>
      <c r="AL741" s="31">
        <f>VLOOKUP($A741,kurspris!$A$1:$Q$950,11,FALSE)</f>
        <v>1</v>
      </c>
      <c r="AM741" s="31">
        <f>VLOOKUP($A741,kurspris!$A$1:$Q$950,12,FALSE)</f>
        <v>0</v>
      </c>
      <c r="AN741" s="31">
        <f>VLOOKUP($A741,kurspris!$A$1:$Q$950,13,FALSE)</f>
        <v>0</v>
      </c>
      <c r="AO741" s="31">
        <f>VLOOKUP($A741,kurspris!$A$1:$Q$950,14,FALSE)</f>
        <v>0</v>
      </c>
      <c r="AP741" s="57" t="s">
        <v>2342</v>
      </c>
      <c r="AQ741" t="s">
        <v>2308</v>
      </c>
      <c r="AR741" s="31">
        <f t="shared" si="335"/>
        <v>0</v>
      </c>
      <c r="AS741" s="219">
        <f t="shared" si="336"/>
        <v>0</v>
      </c>
      <c r="AT741" s="31">
        <f t="shared" si="337"/>
        <v>0</v>
      </c>
      <c r="AU741" s="219">
        <f t="shared" si="338"/>
        <v>0</v>
      </c>
      <c r="AV741" s="31">
        <f t="shared" si="339"/>
        <v>0</v>
      </c>
      <c r="AW741" s="31">
        <f t="shared" si="340"/>
        <v>0</v>
      </c>
      <c r="AX741" s="31">
        <f t="shared" si="341"/>
        <v>0</v>
      </c>
      <c r="AY741" s="219">
        <f t="shared" si="342"/>
        <v>0</v>
      </c>
      <c r="AZ741" s="196">
        <f t="shared" si="343"/>
        <v>0</v>
      </c>
      <c r="BA741" s="219">
        <f t="shared" si="344"/>
        <v>0</v>
      </c>
      <c r="BB741" s="31">
        <f t="shared" si="345"/>
        <v>0</v>
      </c>
      <c r="BC741" s="219">
        <f t="shared" si="346"/>
        <v>0</v>
      </c>
      <c r="BD741" s="31">
        <f t="shared" si="347"/>
        <v>0</v>
      </c>
      <c r="BE741" s="219">
        <f t="shared" si="348"/>
        <v>0</v>
      </c>
      <c r="BF741" s="31">
        <f t="shared" si="349"/>
        <v>0</v>
      </c>
      <c r="BG741" s="219">
        <f t="shared" si="350"/>
        <v>0</v>
      </c>
      <c r="BH741" s="31">
        <f t="shared" si="351"/>
        <v>0.5</v>
      </c>
      <c r="BI741" s="219">
        <f t="shared" si="352"/>
        <v>0.42499999999999999</v>
      </c>
      <c r="BJ741" s="31">
        <f t="shared" si="353"/>
        <v>0</v>
      </c>
      <c r="BK741" s="219">
        <f t="shared" si="354"/>
        <v>0</v>
      </c>
      <c r="BL741" s="31">
        <f t="shared" si="355"/>
        <v>0</v>
      </c>
      <c r="BM741" s="219">
        <f t="shared" si="356"/>
        <v>0</v>
      </c>
      <c r="BN741" s="31">
        <f t="shared" si="357"/>
        <v>0</v>
      </c>
      <c r="BO741" s="219">
        <f t="shared" si="358"/>
        <v>0</v>
      </c>
    </row>
    <row r="742" spans="1:67" x14ac:dyDescent="0.25">
      <c r="A742" s="31" t="s">
        <v>2174</v>
      </c>
      <c r="B742" s="176" t="str">
        <f>VLOOKUP(A742,kurspris!$A$1:$B$992,2,FALSE)</f>
        <v>Verksamhetsförlagd utbildning för yrkeslärare (VFU)</v>
      </c>
      <c r="D742" s="60" t="s">
        <v>623</v>
      </c>
      <c r="E742" s="576" t="s">
        <v>2226</v>
      </c>
      <c r="F742" s="31" t="s">
        <v>2273</v>
      </c>
      <c r="G742" s="244" t="s">
        <v>2461</v>
      </c>
      <c r="H742" t="s">
        <v>2335</v>
      </c>
      <c r="L742" s="38">
        <v>0.5</v>
      </c>
      <c r="M742" s="511">
        <v>15</v>
      </c>
      <c r="P742" s="31">
        <v>1</v>
      </c>
      <c r="Q742" s="196">
        <f t="shared" si="361"/>
        <v>0.25</v>
      </c>
      <c r="R742" s="38">
        <v>0.85</v>
      </c>
      <c r="S742" s="280">
        <f t="shared" si="331"/>
        <v>0.21249999999999999</v>
      </c>
      <c r="T742" s="31">
        <f>VLOOKUP(A742,'Ansvar kurs'!$A$1:$C$1123,2,FALSE)</f>
        <v>2180</v>
      </c>
      <c r="U742" s="31" t="str">
        <f>VLOOKUP(T742,Orgenheter!$A$1:$C$166,2,FALSE)</f>
        <v xml:space="preserve">Pedagogik                     </v>
      </c>
      <c r="V742" s="31" t="str">
        <f>VLOOKUP(T742,Orgenheter!$A$1:$C$166,3,FALSE)</f>
        <v>Sam</v>
      </c>
      <c r="W742" s="35" t="str">
        <f>VLOOKUP(D742,Program!$A$1:$B$36,2,FALSE)</f>
        <v>Yrkeslärarprogrammet</v>
      </c>
      <c r="X742" s="40">
        <f>VLOOKUP(A742,kurspris!$A$1:$Q$913,15,FALSE)</f>
        <v>25235</v>
      </c>
      <c r="Y742" s="40">
        <f>VLOOKUP(A742,kurspris!$A$1:$Q$913,16,FALSE)</f>
        <v>27976</v>
      </c>
      <c r="Z742" s="40">
        <f t="shared" si="332"/>
        <v>12253.65</v>
      </c>
      <c r="AA742" s="40">
        <f>VLOOKUP(A742,kurspris!$A$1:$Q$913,17,FALSE)</f>
        <v>3600</v>
      </c>
      <c r="AB742" s="40">
        <f t="shared" si="333"/>
        <v>900</v>
      </c>
      <c r="AC742" s="40">
        <f t="shared" si="334"/>
        <v>13153.65</v>
      </c>
      <c r="AD742" s="31">
        <f>VLOOKUP($A742,kurspris!$A$1:$Q$950,3,FALSE)</f>
        <v>0</v>
      </c>
      <c r="AE742" s="31">
        <f>VLOOKUP($A742,kurspris!$A$1:$Q$950,4,FALSE)</f>
        <v>0</v>
      </c>
      <c r="AF742" s="31">
        <f>VLOOKUP($A742,kurspris!$A$1:$Q$950,5,FALSE)</f>
        <v>0</v>
      </c>
      <c r="AG742" s="31">
        <f>VLOOKUP($A742,kurspris!$A$1:$Q$950,6,FALSE)</f>
        <v>0</v>
      </c>
      <c r="AH742" s="31">
        <f>VLOOKUP($A742,kurspris!$A$1:$Q$950,7,FALSE)</f>
        <v>0</v>
      </c>
      <c r="AI742" s="31">
        <f>VLOOKUP($A742,kurspris!$A$1:$Q$950,8,FALSE)</f>
        <v>0</v>
      </c>
      <c r="AJ742" s="31">
        <f>VLOOKUP($A742,kurspris!$A$1:$Q$950,9,FALSE)</f>
        <v>0</v>
      </c>
      <c r="AK742" s="31">
        <f>VLOOKUP($A742,kurspris!$A$1:$Q$950,10,FALSE)</f>
        <v>0</v>
      </c>
      <c r="AL742" s="31">
        <f>VLOOKUP($A742,kurspris!$A$1:$Q$950,11,FALSE)</f>
        <v>1</v>
      </c>
      <c r="AM742" s="31">
        <f>VLOOKUP($A742,kurspris!$A$1:$Q$950,12,FALSE)</f>
        <v>0</v>
      </c>
      <c r="AN742" s="31">
        <f>VLOOKUP($A742,kurspris!$A$1:$Q$950,13,FALSE)</f>
        <v>0</v>
      </c>
      <c r="AO742" s="31">
        <f>VLOOKUP($A742,kurspris!$A$1:$Q$950,14,FALSE)</f>
        <v>0</v>
      </c>
      <c r="AP742" s="57" t="s">
        <v>2508</v>
      </c>
      <c r="AQ742" t="s">
        <v>2308</v>
      </c>
      <c r="AR742" s="31">
        <f t="shared" si="335"/>
        <v>0</v>
      </c>
      <c r="AS742" s="219">
        <f t="shared" si="336"/>
        <v>0</v>
      </c>
      <c r="AT742" s="31">
        <f t="shared" si="337"/>
        <v>0</v>
      </c>
      <c r="AU742" s="219">
        <f t="shared" si="338"/>
        <v>0</v>
      </c>
      <c r="AV742" s="31">
        <f t="shared" si="339"/>
        <v>0</v>
      </c>
      <c r="AW742" s="31">
        <f t="shared" si="340"/>
        <v>0</v>
      </c>
      <c r="AX742" s="31">
        <f t="shared" si="341"/>
        <v>0</v>
      </c>
      <c r="AY742" s="219">
        <f t="shared" si="342"/>
        <v>0</v>
      </c>
      <c r="AZ742" s="196">
        <f t="shared" si="343"/>
        <v>0</v>
      </c>
      <c r="BA742" s="219">
        <f t="shared" si="344"/>
        <v>0</v>
      </c>
      <c r="BB742" s="31">
        <f t="shared" si="345"/>
        <v>0</v>
      </c>
      <c r="BC742" s="219">
        <f t="shared" si="346"/>
        <v>0</v>
      </c>
      <c r="BD742" s="31">
        <f t="shared" si="347"/>
        <v>0</v>
      </c>
      <c r="BE742" s="219">
        <f t="shared" si="348"/>
        <v>0</v>
      </c>
      <c r="BF742" s="31">
        <f t="shared" si="349"/>
        <v>0</v>
      </c>
      <c r="BG742" s="219">
        <f t="shared" si="350"/>
        <v>0</v>
      </c>
      <c r="BH742" s="31">
        <f t="shared" si="351"/>
        <v>0.25</v>
      </c>
      <c r="BI742" s="219">
        <f t="shared" si="352"/>
        <v>0.21249999999999999</v>
      </c>
      <c r="BJ742" s="31">
        <f t="shared" si="353"/>
        <v>0</v>
      </c>
      <c r="BK742" s="219">
        <f t="shared" si="354"/>
        <v>0</v>
      </c>
      <c r="BL742" s="31">
        <f t="shared" si="355"/>
        <v>0</v>
      </c>
      <c r="BM742" s="219">
        <f t="shared" si="356"/>
        <v>0</v>
      </c>
      <c r="BN742" s="31">
        <f t="shared" si="357"/>
        <v>0</v>
      </c>
      <c r="BO742" s="219">
        <f t="shared" si="358"/>
        <v>0</v>
      </c>
    </row>
    <row r="743" spans="1:67" x14ac:dyDescent="0.25">
      <c r="A743" s="173" t="s">
        <v>2174</v>
      </c>
      <c r="B743" s="530" t="str">
        <f>VLOOKUP(A743,kurspris!$A$1:$B$992,2,FALSE)</f>
        <v>Verksamhetsförlagd utbildning för yrkeslärare (VFU)</v>
      </c>
      <c r="C743" s="173"/>
      <c r="D743" s="531" t="s">
        <v>623</v>
      </c>
      <c r="E743" s="531" t="s">
        <v>2225</v>
      </c>
      <c r="F743" s="173" t="s">
        <v>2274</v>
      </c>
      <c r="G743" s="173" t="s">
        <v>2346</v>
      </c>
      <c r="H743" s="173" t="s">
        <v>2335</v>
      </c>
      <c r="I743" s="173"/>
      <c r="J743" s="173"/>
      <c r="K743" s="173"/>
      <c r="L743" s="532">
        <v>0.5</v>
      </c>
      <c r="M743" s="533">
        <v>15</v>
      </c>
      <c r="N743" s="173"/>
      <c r="O743" s="173"/>
      <c r="P743" s="173">
        <v>37</v>
      </c>
      <c r="Q743" s="196">
        <f t="shared" si="361"/>
        <v>9.25</v>
      </c>
      <c r="R743" s="38">
        <v>0.85</v>
      </c>
      <c r="S743" s="280">
        <f t="shared" si="331"/>
        <v>7.8624999999999998</v>
      </c>
      <c r="T743" s="31">
        <f>VLOOKUP(A743,'Ansvar kurs'!$A$1:$C$1123,2,FALSE)</f>
        <v>2180</v>
      </c>
      <c r="U743" s="31" t="str">
        <f>VLOOKUP(T743,Orgenheter!$A$1:$C$166,2,FALSE)</f>
        <v xml:space="preserve">Pedagogik                     </v>
      </c>
      <c r="V743" s="31" t="str">
        <f>VLOOKUP(T743,Orgenheter!$A$1:$C$166,3,FALSE)</f>
        <v>Sam</v>
      </c>
      <c r="W743" s="35" t="str">
        <f>VLOOKUP(D743,Program!$A$1:$B$36,2,FALSE)</f>
        <v>Yrkeslärarprogrammet</v>
      </c>
      <c r="X743" s="40">
        <f>VLOOKUP(A743,kurspris!$A$1:$Q$913,15,FALSE)</f>
        <v>25235</v>
      </c>
      <c r="Y743" s="40">
        <f>VLOOKUP(A743,kurspris!$A$1:$Q$913,16,FALSE)</f>
        <v>27976</v>
      </c>
      <c r="Z743" s="40">
        <f t="shared" si="332"/>
        <v>453385.05</v>
      </c>
      <c r="AA743" s="40">
        <f>VLOOKUP(A743,kurspris!$A$1:$Q$913,17,FALSE)</f>
        <v>3600</v>
      </c>
      <c r="AB743" s="40">
        <f t="shared" si="333"/>
        <v>33300</v>
      </c>
      <c r="AC743" s="40">
        <f t="shared" si="334"/>
        <v>486685.05</v>
      </c>
      <c r="AD743" s="31">
        <f>VLOOKUP($A743,kurspris!$A$1:$Q$950,3,FALSE)</f>
        <v>0</v>
      </c>
      <c r="AE743" s="31">
        <f>VLOOKUP($A743,kurspris!$A$1:$Q$950,4,FALSE)</f>
        <v>0</v>
      </c>
      <c r="AF743" s="31">
        <f>VLOOKUP($A743,kurspris!$A$1:$Q$950,5,FALSE)</f>
        <v>0</v>
      </c>
      <c r="AG743" s="31">
        <f>VLOOKUP($A743,kurspris!$A$1:$Q$950,6,FALSE)</f>
        <v>0</v>
      </c>
      <c r="AH743" s="31">
        <f>VLOOKUP($A743,kurspris!$A$1:$Q$950,7,FALSE)</f>
        <v>0</v>
      </c>
      <c r="AI743" s="31">
        <f>VLOOKUP($A743,kurspris!$A$1:$Q$950,8,FALSE)</f>
        <v>0</v>
      </c>
      <c r="AJ743" s="31">
        <f>VLOOKUP($A743,kurspris!$A$1:$Q$950,9,FALSE)</f>
        <v>0</v>
      </c>
      <c r="AK743" s="31">
        <f>VLOOKUP($A743,kurspris!$A$1:$Q$950,10,FALSE)</f>
        <v>0</v>
      </c>
      <c r="AL743" s="31">
        <f>VLOOKUP($A743,kurspris!$A$1:$Q$950,11,FALSE)</f>
        <v>1</v>
      </c>
      <c r="AM743" s="31">
        <f>VLOOKUP($A743,kurspris!$A$1:$Q$950,12,FALSE)</f>
        <v>0</v>
      </c>
      <c r="AN743" s="31">
        <f>VLOOKUP($A743,kurspris!$A$1:$Q$950,13,FALSE)</f>
        <v>0</v>
      </c>
      <c r="AO743" s="31">
        <f>VLOOKUP($A743,kurspris!$A$1:$Q$950,14,FALSE)</f>
        <v>0</v>
      </c>
      <c r="AP743" s="57" t="s">
        <v>2342</v>
      </c>
      <c r="AQ743" t="s">
        <v>2308</v>
      </c>
      <c r="AR743" s="31">
        <f t="shared" si="335"/>
        <v>0</v>
      </c>
      <c r="AS743" s="219">
        <f t="shared" si="336"/>
        <v>0</v>
      </c>
      <c r="AT743" s="31">
        <f t="shared" si="337"/>
        <v>0</v>
      </c>
      <c r="AU743" s="219">
        <f t="shared" si="338"/>
        <v>0</v>
      </c>
      <c r="AV743" s="31">
        <f t="shared" si="339"/>
        <v>0</v>
      </c>
      <c r="AW743" s="31">
        <f t="shared" si="340"/>
        <v>0</v>
      </c>
      <c r="AX743" s="31">
        <f t="shared" si="341"/>
        <v>0</v>
      </c>
      <c r="AY743" s="219">
        <f t="shared" si="342"/>
        <v>0</v>
      </c>
      <c r="AZ743" s="196">
        <f t="shared" si="343"/>
        <v>0</v>
      </c>
      <c r="BA743" s="219">
        <f t="shared" si="344"/>
        <v>0</v>
      </c>
      <c r="BB743" s="31">
        <f t="shared" si="345"/>
        <v>0</v>
      </c>
      <c r="BC743" s="219">
        <f t="shared" si="346"/>
        <v>0</v>
      </c>
      <c r="BD743" s="31">
        <f t="shared" si="347"/>
        <v>0</v>
      </c>
      <c r="BE743" s="219">
        <f t="shared" si="348"/>
        <v>0</v>
      </c>
      <c r="BF743" s="31">
        <f t="shared" si="349"/>
        <v>0</v>
      </c>
      <c r="BG743" s="219">
        <f t="shared" si="350"/>
        <v>0</v>
      </c>
      <c r="BH743" s="31">
        <f t="shared" si="351"/>
        <v>9.25</v>
      </c>
      <c r="BI743" s="219">
        <f t="shared" si="352"/>
        <v>7.8624999999999998</v>
      </c>
      <c r="BJ743" s="31">
        <f t="shared" si="353"/>
        <v>0</v>
      </c>
      <c r="BK743" s="219">
        <f t="shared" si="354"/>
        <v>0</v>
      </c>
      <c r="BL743" s="31">
        <f t="shared" si="355"/>
        <v>0</v>
      </c>
      <c r="BM743" s="219">
        <f t="shared" si="356"/>
        <v>0</v>
      </c>
      <c r="BN743" s="31">
        <f t="shared" si="357"/>
        <v>0</v>
      </c>
      <c r="BO743" s="219">
        <f t="shared" si="358"/>
        <v>0</v>
      </c>
    </row>
    <row r="744" spans="1:67" x14ac:dyDescent="0.25">
      <c r="A744" s="31" t="s">
        <v>2174</v>
      </c>
      <c r="B744" s="176" t="str">
        <f>VLOOKUP(A744,kurspris!$A$1:$B$992,2,FALSE)</f>
        <v>Verksamhetsförlagd utbildning för yrkeslärare (VFU)</v>
      </c>
      <c r="D744" s="60" t="s">
        <v>623</v>
      </c>
      <c r="E744" s="576" t="s">
        <v>2225</v>
      </c>
      <c r="F744" s="31" t="s">
        <v>2273</v>
      </c>
      <c r="G744" s="244" t="s">
        <v>2461</v>
      </c>
      <c r="H744" t="s">
        <v>2335</v>
      </c>
      <c r="L744" s="38">
        <v>0.5</v>
      </c>
      <c r="M744" s="511">
        <v>15</v>
      </c>
      <c r="P744" s="31">
        <v>1</v>
      </c>
      <c r="Q744" s="196">
        <f t="shared" si="361"/>
        <v>0.25</v>
      </c>
      <c r="R744" s="38">
        <v>0.85</v>
      </c>
      <c r="S744" s="280">
        <f t="shared" si="331"/>
        <v>0.21249999999999999</v>
      </c>
      <c r="T744" s="31">
        <f>VLOOKUP(A744,'Ansvar kurs'!$A$1:$C$1123,2,FALSE)</f>
        <v>2180</v>
      </c>
      <c r="U744" s="31" t="str">
        <f>VLOOKUP(T744,Orgenheter!$A$1:$C$166,2,FALSE)</f>
        <v xml:space="preserve">Pedagogik                     </v>
      </c>
      <c r="V744" s="31" t="str">
        <f>VLOOKUP(T744,Orgenheter!$A$1:$C$166,3,FALSE)</f>
        <v>Sam</v>
      </c>
      <c r="W744" s="35" t="str">
        <f>VLOOKUP(D744,Program!$A$1:$B$36,2,FALSE)</f>
        <v>Yrkeslärarprogrammet</v>
      </c>
      <c r="X744" s="40">
        <f>VLOOKUP(A744,kurspris!$A$1:$Q$913,15,FALSE)</f>
        <v>25235</v>
      </c>
      <c r="Y744" s="40">
        <f>VLOOKUP(A744,kurspris!$A$1:$Q$913,16,FALSE)</f>
        <v>27976</v>
      </c>
      <c r="Z744" s="40">
        <f t="shared" si="332"/>
        <v>12253.65</v>
      </c>
      <c r="AA744" s="40">
        <f>VLOOKUP(A744,kurspris!$A$1:$Q$913,17,FALSE)</f>
        <v>3600</v>
      </c>
      <c r="AB744" s="40">
        <f t="shared" si="333"/>
        <v>900</v>
      </c>
      <c r="AC744" s="40">
        <f t="shared" si="334"/>
        <v>13153.65</v>
      </c>
      <c r="AD744" s="31">
        <f>VLOOKUP($A744,kurspris!$A$1:$Q$950,3,FALSE)</f>
        <v>0</v>
      </c>
      <c r="AE744" s="31">
        <f>VLOOKUP($A744,kurspris!$A$1:$Q$950,4,FALSE)</f>
        <v>0</v>
      </c>
      <c r="AF744" s="31">
        <f>VLOOKUP($A744,kurspris!$A$1:$Q$950,5,FALSE)</f>
        <v>0</v>
      </c>
      <c r="AG744" s="31">
        <f>VLOOKUP($A744,kurspris!$A$1:$Q$950,6,FALSE)</f>
        <v>0</v>
      </c>
      <c r="AH744" s="31">
        <f>VLOOKUP($A744,kurspris!$A$1:$Q$950,7,FALSE)</f>
        <v>0</v>
      </c>
      <c r="AI744" s="31">
        <f>VLOOKUP($A744,kurspris!$A$1:$Q$950,8,FALSE)</f>
        <v>0</v>
      </c>
      <c r="AJ744" s="31">
        <f>VLOOKUP($A744,kurspris!$A$1:$Q$950,9,FALSE)</f>
        <v>0</v>
      </c>
      <c r="AK744" s="31">
        <f>VLOOKUP($A744,kurspris!$A$1:$Q$950,10,FALSE)</f>
        <v>0</v>
      </c>
      <c r="AL744" s="31">
        <f>VLOOKUP($A744,kurspris!$A$1:$Q$950,11,FALSE)</f>
        <v>1</v>
      </c>
      <c r="AM744" s="31">
        <f>VLOOKUP($A744,kurspris!$A$1:$Q$950,12,FALSE)</f>
        <v>0</v>
      </c>
      <c r="AN744" s="31">
        <f>VLOOKUP($A744,kurspris!$A$1:$Q$950,13,FALSE)</f>
        <v>0</v>
      </c>
      <c r="AO744" s="31">
        <f>VLOOKUP($A744,kurspris!$A$1:$Q$950,14,FALSE)</f>
        <v>0</v>
      </c>
      <c r="AP744" s="57" t="s">
        <v>2508</v>
      </c>
      <c r="AQ744" t="s">
        <v>2308</v>
      </c>
      <c r="AR744" s="31">
        <f t="shared" si="335"/>
        <v>0</v>
      </c>
      <c r="AS744" s="219">
        <f t="shared" si="336"/>
        <v>0</v>
      </c>
      <c r="AT744" s="31">
        <f t="shared" si="337"/>
        <v>0</v>
      </c>
      <c r="AU744" s="219">
        <f t="shared" si="338"/>
        <v>0</v>
      </c>
      <c r="AV744" s="31">
        <f t="shared" si="339"/>
        <v>0</v>
      </c>
      <c r="AW744" s="31">
        <f t="shared" si="340"/>
        <v>0</v>
      </c>
      <c r="AX744" s="31">
        <f t="shared" si="341"/>
        <v>0</v>
      </c>
      <c r="AY744" s="219">
        <f t="shared" si="342"/>
        <v>0</v>
      </c>
      <c r="AZ744" s="196">
        <f t="shared" si="343"/>
        <v>0</v>
      </c>
      <c r="BA744" s="219">
        <f t="shared" si="344"/>
        <v>0</v>
      </c>
      <c r="BB744" s="31">
        <f t="shared" si="345"/>
        <v>0</v>
      </c>
      <c r="BC744" s="219">
        <f t="shared" si="346"/>
        <v>0</v>
      </c>
      <c r="BD744" s="31">
        <f t="shared" si="347"/>
        <v>0</v>
      </c>
      <c r="BE744" s="219">
        <f t="shared" si="348"/>
        <v>0</v>
      </c>
      <c r="BF744" s="31">
        <f t="shared" si="349"/>
        <v>0</v>
      </c>
      <c r="BG744" s="219">
        <f t="shared" si="350"/>
        <v>0</v>
      </c>
      <c r="BH744" s="31">
        <f t="shared" si="351"/>
        <v>0.25</v>
      </c>
      <c r="BI744" s="219">
        <f t="shared" si="352"/>
        <v>0.21249999999999999</v>
      </c>
      <c r="BJ744" s="31">
        <f t="shared" si="353"/>
        <v>0</v>
      </c>
      <c r="BK744" s="219">
        <f t="shared" si="354"/>
        <v>0</v>
      </c>
      <c r="BL744" s="31">
        <f t="shared" si="355"/>
        <v>0</v>
      </c>
      <c r="BM744" s="219">
        <f t="shared" si="356"/>
        <v>0</v>
      </c>
      <c r="BN744" s="31">
        <f t="shared" si="357"/>
        <v>0</v>
      </c>
      <c r="BO744" s="219">
        <f t="shared" si="358"/>
        <v>0</v>
      </c>
    </row>
    <row r="745" spans="1:67" x14ac:dyDescent="0.25">
      <c r="A745" s="31" t="s">
        <v>2174</v>
      </c>
      <c r="B745" s="176" t="str">
        <f>VLOOKUP(A745,kurspris!$A$1:$B$992,2,FALSE)</f>
        <v>Verksamhetsförlagd utbildning för yrkeslärare (VFU)</v>
      </c>
      <c r="D745" s="60" t="s">
        <v>623</v>
      </c>
      <c r="E745" s="576" t="s">
        <v>2434</v>
      </c>
      <c r="F745" s="31" t="s">
        <v>2273</v>
      </c>
      <c r="G745" s="244" t="s">
        <v>2461</v>
      </c>
      <c r="H745" t="s">
        <v>2335</v>
      </c>
      <c r="L745" s="38">
        <v>0.5</v>
      </c>
      <c r="M745" s="511">
        <v>15</v>
      </c>
      <c r="P745" s="31">
        <v>66</v>
      </c>
      <c r="Q745" s="196">
        <f t="shared" si="361"/>
        <v>16.5</v>
      </c>
      <c r="R745" s="38">
        <v>0.85</v>
      </c>
      <c r="S745" s="280">
        <f t="shared" si="331"/>
        <v>14.025</v>
      </c>
      <c r="T745" s="31">
        <f>VLOOKUP(A745,'Ansvar kurs'!$A$1:$C$1123,2,FALSE)</f>
        <v>2180</v>
      </c>
      <c r="U745" s="31" t="str">
        <f>VLOOKUP(T745,Orgenheter!$A$1:$C$166,2,FALSE)</f>
        <v xml:space="preserve">Pedagogik                     </v>
      </c>
      <c r="V745" s="31" t="str">
        <f>VLOOKUP(T745,Orgenheter!$A$1:$C$166,3,FALSE)</f>
        <v>Sam</v>
      </c>
      <c r="W745" s="35" t="str">
        <f>VLOOKUP(D745,Program!$A$1:$B$36,2,FALSE)</f>
        <v>Yrkeslärarprogrammet</v>
      </c>
      <c r="X745" s="40">
        <f>VLOOKUP(A745,kurspris!$A$1:$Q$913,15,FALSE)</f>
        <v>25235</v>
      </c>
      <c r="Y745" s="40">
        <f>VLOOKUP(A745,kurspris!$A$1:$Q$913,16,FALSE)</f>
        <v>27976</v>
      </c>
      <c r="Z745" s="40">
        <f t="shared" si="332"/>
        <v>808740.9</v>
      </c>
      <c r="AA745" s="40">
        <f>VLOOKUP(A745,kurspris!$A$1:$Q$913,17,FALSE)</f>
        <v>3600</v>
      </c>
      <c r="AB745" s="40">
        <f t="shared" si="333"/>
        <v>59400</v>
      </c>
      <c r="AC745" s="40">
        <f t="shared" si="334"/>
        <v>868140.9</v>
      </c>
      <c r="AD745" s="31">
        <f>VLOOKUP($A745,kurspris!$A$1:$Q$950,3,FALSE)</f>
        <v>0</v>
      </c>
      <c r="AE745" s="31">
        <f>VLOOKUP($A745,kurspris!$A$1:$Q$950,4,FALSE)</f>
        <v>0</v>
      </c>
      <c r="AF745" s="31">
        <f>VLOOKUP($A745,kurspris!$A$1:$Q$950,5,FALSE)</f>
        <v>0</v>
      </c>
      <c r="AG745" s="31">
        <f>VLOOKUP($A745,kurspris!$A$1:$Q$950,6,FALSE)</f>
        <v>0</v>
      </c>
      <c r="AH745" s="31">
        <f>VLOOKUP($A745,kurspris!$A$1:$Q$950,7,FALSE)</f>
        <v>0</v>
      </c>
      <c r="AI745" s="31">
        <f>VLOOKUP($A745,kurspris!$A$1:$Q$950,8,FALSE)</f>
        <v>0</v>
      </c>
      <c r="AJ745" s="31">
        <f>VLOOKUP($A745,kurspris!$A$1:$Q$950,9,FALSE)</f>
        <v>0</v>
      </c>
      <c r="AK745" s="31">
        <f>VLOOKUP($A745,kurspris!$A$1:$Q$950,10,FALSE)</f>
        <v>0</v>
      </c>
      <c r="AL745" s="31">
        <f>VLOOKUP($A745,kurspris!$A$1:$Q$950,11,FALSE)</f>
        <v>1</v>
      </c>
      <c r="AM745" s="31">
        <f>VLOOKUP($A745,kurspris!$A$1:$Q$950,12,FALSE)</f>
        <v>0</v>
      </c>
      <c r="AN745" s="31">
        <f>VLOOKUP($A745,kurspris!$A$1:$Q$950,13,FALSE)</f>
        <v>0</v>
      </c>
      <c r="AO745" s="31">
        <f>VLOOKUP($A745,kurspris!$A$1:$Q$950,14,FALSE)</f>
        <v>0</v>
      </c>
      <c r="AP745" s="57" t="s">
        <v>2508</v>
      </c>
      <c r="AQ745" t="s">
        <v>2308</v>
      </c>
      <c r="AR745" s="31">
        <f t="shared" si="335"/>
        <v>0</v>
      </c>
      <c r="AS745" s="219">
        <f t="shared" si="336"/>
        <v>0</v>
      </c>
      <c r="AT745" s="31">
        <f t="shared" si="337"/>
        <v>0</v>
      </c>
      <c r="AU745" s="219">
        <f t="shared" si="338"/>
        <v>0</v>
      </c>
      <c r="AV745" s="31">
        <f t="shared" si="339"/>
        <v>0</v>
      </c>
      <c r="AW745" s="31">
        <f t="shared" si="340"/>
        <v>0</v>
      </c>
      <c r="AX745" s="31">
        <f t="shared" si="341"/>
        <v>0</v>
      </c>
      <c r="AY745" s="219">
        <f t="shared" si="342"/>
        <v>0</v>
      </c>
      <c r="AZ745" s="196">
        <f t="shared" si="343"/>
        <v>0</v>
      </c>
      <c r="BA745" s="219">
        <f t="shared" si="344"/>
        <v>0</v>
      </c>
      <c r="BB745" s="31">
        <f t="shared" si="345"/>
        <v>0</v>
      </c>
      <c r="BC745" s="219">
        <f t="shared" si="346"/>
        <v>0</v>
      </c>
      <c r="BD745" s="31">
        <f t="shared" si="347"/>
        <v>0</v>
      </c>
      <c r="BE745" s="219">
        <f t="shared" si="348"/>
        <v>0</v>
      </c>
      <c r="BF745" s="31">
        <f t="shared" si="349"/>
        <v>0</v>
      </c>
      <c r="BG745" s="219">
        <f t="shared" si="350"/>
        <v>0</v>
      </c>
      <c r="BH745" s="31">
        <f t="shared" si="351"/>
        <v>16.5</v>
      </c>
      <c r="BI745" s="219">
        <f t="shared" si="352"/>
        <v>14.025</v>
      </c>
      <c r="BJ745" s="31">
        <f t="shared" si="353"/>
        <v>0</v>
      </c>
      <c r="BK745" s="219">
        <f t="shared" si="354"/>
        <v>0</v>
      </c>
      <c r="BL745" s="31">
        <f t="shared" si="355"/>
        <v>0</v>
      </c>
      <c r="BM745" s="219">
        <f t="shared" si="356"/>
        <v>0</v>
      </c>
      <c r="BN745" s="31">
        <f t="shared" si="357"/>
        <v>0</v>
      </c>
      <c r="BO745" s="219">
        <f t="shared" si="358"/>
        <v>0</v>
      </c>
    </row>
    <row r="746" spans="1:67" x14ac:dyDescent="0.25">
      <c r="A746" s="31" t="s">
        <v>2136</v>
      </c>
      <c r="B746" s="176" t="str">
        <f>VLOOKUP(A746,kurspris!$A$1:$B$992,2,FALSE)</f>
        <v>Läraryrkets dimensioner för förskolan 2 (VFU)</v>
      </c>
      <c r="D746" s="60" t="s">
        <v>483</v>
      </c>
      <c r="E746" s="576" t="s">
        <v>2225</v>
      </c>
      <c r="F746" s="31" t="s">
        <v>2273</v>
      </c>
      <c r="G746" t="s">
        <v>2448</v>
      </c>
      <c r="H746" t="s">
        <v>2335</v>
      </c>
      <c r="I746" s="31" t="s">
        <v>2276</v>
      </c>
      <c r="L746" s="38">
        <v>1</v>
      </c>
      <c r="M746">
        <v>7.5</v>
      </c>
      <c r="P746" s="31">
        <v>38</v>
      </c>
      <c r="Q746" s="196">
        <f t="shared" si="361"/>
        <v>4.75</v>
      </c>
      <c r="R746" s="38">
        <v>0.85</v>
      </c>
      <c r="S746" s="280">
        <f t="shared" si="331"/>
        <v>4.0374999999999996</v>
      </c>
      <c r="T746" s="31">
        <f>VLOOKUP(A746,'Ansvar kurs'!$A$1:$C$1123,2,FALSE)</f>
        <v>2193</v>
      </c>
      <c r="U746" s="31" t="str">
        <f>VLOOKUP(T746,Orgenheter!$A$1:$C$166,2,FALSE)</f>
        <v xml:space="preserve">TUV </v>
      </c>
      <c r="V746" s="31" t="str">
        <f>VLOOKUP(T746,Orgenheter!$A$1:$C$166,3,FALSE)</f>
        <v>Sam</v>
      </c>
      <c r="W746" s="35" t="str">
        <f>VLOOKUP(D746,Program!$A$1:$B$36,2,FALSE)</f>
        <v>Förskollärarprogrammet</v>
      </c>
      <c r="X746" s="40">
        <f>VLOOKUP(A746,kurspris!$A$1:$Q$913,15,FALSE)</f>
        <v>25235</v>
      </c>
      <c r="Y746" s="40">
        <f>VLOOKUP(A746,kurspris!$A$1:$Q$913,16,FALSE)</f>
        <v>27976</v>
      </c>
      <c r="Z746" s="40">
        <f t="shared" si="332"/>
        <v>232819.34999999998</v>
      </c>
      <c r="AA746" s="40">
        <f>VLOOKUP(A746,kurspris!$A$1:$Q$913,17,FALSE)</f>
        <v>3600</v>
      </c>
      <c r="AB746" s="40">
        <f t="shared" si="333"/>
        <v>17100</v>
      </c>
      <c r="AC746" s="40">
        <f t="shared" si="334"/>
        <v>249919.34999999998</v>
      </c>
      <c r="AD746" s="31">
        <f>VLOOKUP($A746,kurspris!$A$1:$Q$950,3,FALSE)</f>
        <v>0</v>
      </c>
      <c r="AE746" s="31">
        <f>VLOOKUP($A746,kurspris!$A$1:$Q$950,4,FALSE)</f>
        <v>0</v>
      </c>
      <c r="AF746" s="31">
        <f>VLOOKUP($A746,kurspris!$A$1:$Q$950,5,FALSE)</f>
        <v>0</v>
      </c>
      <c r="AG746" s="31">
        <f>VLOOKUP($A746,kurspris!$A$1:$Q$950,6,FALSE)</f>
        <v>0</v>
      </c>
      <c r="AH746" s="31">
        <f>VLOOKUP($A746,kurspris!$A$1:$Q$950,7,FALSE)</f>
        <v>0</v>
      </c>
      <c r="AI746" s="31">
        <f>VLOOKUP($A746,kurspris!$A$1:$Q$950,8,FALSE)</f>
        <v>0</v>
      </c>
      <c r="AJ746" s="31">
        <f>VLOOKUP($A746,kurspris!$A$1:$Q$950,9,FALSE)</f>
        <v>0</v>
      </c>
      <c r="AK746" s="31">
        <f>VLOOKUP($A746,kurspris!$A$1:$Q$950,10,FALSE)</f>
        <v>0</v>
      </c>
      <c r="AL746" s="31">
        <f>VLOOKUP($A746,kurspris!$A$1:$Q$950,11,FALSE)</f>
        <v>1</v>
      </c>
      <c r="AM746" s="31">
        <f>VLOOKUP($A746,kurspris!$A$1:$Q$950,12,FALSE)</f>
        <v>0</v>
      </c>
      <c r="AN746" s="31">
        <f>VLOOKUP($A746,kurspris!$A$1:$Q$950,13,FALSE)</f>
        <v>0</v>
      </c>
      <c r="AO746" s="31">
        <f>VLOOKUP($A746,kurspris!$A$1:$Q$950,14,FALSE)</f>
        <v>0</v>
      </c>
      <c r="AP746" s="57" t="s">
        <v>2506</v>
      </c>
      <c r="AQ746"/>
      <c r="AR746" s="31">
        <f t="shared" si="335"/>
        <v>0</v>
      </c>
      <c r="AS746" s="219">
        <f t="shared" si="336"/>
        <v>0</v>
      </c>
      <c r="AT746" s="31">
        <f t="shared" si="337"/>
        <v>0</v>
      </c>
      <c r="AU746" s="219">
        <f t="shared" si="338"/>
        <v>0</v>
      </c>
      <c r="AV746" s="31">
        <f t="shared" si="339"/>
        <v>0</v>
      </c>
      <c r="AW746" s="31">
        <f t="shared" si="340"/>
        <v>0</v>
      </c>
      <c r="AX746" s="31">
        <f t="shared" si="341"/>
        <v>0</v>
      </c>
      <c r="AY746" s="219">
        <f t="shared" si="342"/>
        <v>0</v>
      </c>
      <c r="AZ746" s="196">
        <f t="shared" si="343"/>
        <v>0</v>
      </c>
      <c r="BA746" s="219">
        <f t="shared" si="344"/>
        <v>0</v>
      </c>
      <c r="BB746" s="31">
        <f t="shared" si="345"/>
        <v>0</v>
      </c>
      <c r="BC746" s="219">
        <f t="shared" si="346"/>
        <v>0</v>
      </c>
      <c r="BD746" s="31">
        <f t="shared" si="347"/>
        <v>0</v>
      </c>
      <c r="BE746" s="219">
        <f t="shared" si="348"/>
        <v>0</v>
      </c>
      <c r="BF746" s="31">
        <f t="shared" si="349"/>
        <v>0</v>
      </c>
      <c r="BG746" s="219">
        <f t="shared" si="350"/>
        <v>0</v>
      </c>
      <c r="BH746" s="31">
        <f t="shared" si="351"/>
        <v>4.75</v>
      </c>
      <c r="BI746" s="219">
        <f t="shared" si="352"/>
        <v>4.0374999999999996</v>
      </c>
      <c r="BJ746" s="31">
        <f t="shared" si="353"/>
        <v>0</v>
      </c>
      <c r="BK746" s="219">
        <f t="shared" si="354"/>
        <v>0</v>
      </c>
      <c r="BL746" s="31">
        <f t="shared" si="355"/>
        <v>0</v>
      </c>
      <c r="BM746" s="219">
        <f t="shared" si="356"/>
        <v>0</v>
      </c>
      <c r="BN746" s="31">
        <f t="shared" si="357"/>
        <v>0</v>
      </c>
      <c r="BO746" s="219">
        <f t="shared" si="358"/>
        <v>0</v>
      </c>
    </row>
    <row r="747" spans="1:67" x14ac:dyDescent="0.25">
      <c r="A747" s="31" t="s">
        <v>2136</v>
      </c>
      <c r="B747" s="176" t="str">
        <f>VLOOKUP(A747,kurspris!$A$1:$B$992,2,FALSE)</f>
        <v>Läraryrkets dimensioner för förskolan 2 (VFU)</v>
      </c>
      <c r="D747" s="60" t="s">
        <v>483</v>
      </c>
      <c r="E747" s="576" t="s">
        <v>2430</v>
      </c>
      <c r="F747" s="31" t="s">
        <v>2273</v>
      </c>
      <c r="G747" t="s">
        <v>2448</v>
      </c>
      <c r="H747" t="s">
        <v>2335</v>
      </c>
      <c r="I747" s="31" t="s">
        <v>2276</v>
      </c>
      <c r="L747" s="38">
        <v>1</v>
      </c>
      <c r="M747">
        <v>7.5</v>
      </c>
      <c r="P747" s="31">
        <v>1</v>
      </c>
      <c r="Q747" s="196">
        <f t="shared" si="361"/>
        <v>0.125</v>
      </c>
      <c r="R747" s="38">
        <v>0.85</v>
      </c>
      <c r="S747" s="280">
        <f t="shared" si="331"/>
        <v>0.10625</v>
      </c>
      <c r="T747" s="31">
        <f>VLOOKUP(A747,'Ansvar kurs'!$A$1:$C$1123,2,FALSE)</f>
        <v>2193</v>
      </c>
      <c r="U747" s="31" t="str">
        <f>VLOOKUP(T747,Orgenheter!$A$1:$C$166,2,FALSE)</f>
        <v xml:space="preserve">TUV </v>
      </c>
      <c r="V747" s="31" t="str">
        <f>VLOOKUP(T747,Orgenheter!$A$1:$C$166,3,FALSE)</f>
        <v>Sam</v>
      </c>
      <c r="W747" s="35" t="str">
        <f>VLOOKUP(D747,Program!$A$1:$B$36,2,FALSE)</f>
        <v>Förskollärarprogrammet</v>
      </c>
      <c r="X747" s="40">
        <f>VLOOKUP(A747,kurspris!$A$1:$Q$913,15,FALSE)</f>
        <v>25235</v>
      </c>
      <c r="Y747" s="40">
        <f>VLOOKUP(A747,kurspris!$A$1:$Q$913,16,FALSE)</f>
        <v>27976</v>
      </c>
      <c r="Z747" s="40">
        <f t="shared" si="332"/>
        <v>6126.8249999999998</v>
      </c>
      <c r="AA747" s="40">
        <f>VLOOKUP(A747,kurspris!$A$1:$Q$913,17,FALSE)</f>
        <v>3600</v>
      </c>
      <c r="AB747" s="40">
        <f t="shared" si="333"/>
        <v>450</v>
      </c>
      <c r="AC747" s="40">
        <f t="shared" si="334"/>
        <v>6576.8249999999998</v>
      </c>
      <c r="AD747" s="31">
        <f>VLOOKUP($A747,kurspris!$A$1:$Q$950,3,FALSE)</f>
        <v>0</v>
      </c>
      <c r="AE747" s="31">
        <f>VLOOKUP($A747,kurspris!$A$1:$Q$950,4,FALSE)</f>
        <v>0</v>
      </c>
      <c r="AF747" s="31">
        <f>VLOOKUP($A747,kurspris!$A$1:$Q$950,5,FALSE)</f>
        <v>0</v>
      </c>
      <c r="AG747" s="31">
        <f>VLOOKUP($A747,kurspris!$A$1:$Q$950,6,FALSE)</f>
        <v>0</v>
      </c>
      <c r="AH747" s="31">
        <f>VLOOKUP($A747,kurspris!$A$1:$Q$950,7,FALSE)</f>
        <v>0</v>
      </c>
      <c r="AI747" s="31">
        <f>VLOOKUP($A747,kurspris!$A$1:$Q$950,8,FALSE)</f>
        <v>0</v>
      </c>
      <c r="AJ747" s="31">
        <f>VLOOKUP($A747,kurspris!$A$1:$Q$950,9,FALSE)</f>
        <v>0</v>
      </c>
      <c r="AK747" s="31">
        <f>VLOOKUP($A747,kurspris!$A$1:$Q$950,10,FALSE)</f>
        <v>0</v>
      </c>
      <c r="AL747" s="31">
        <f>VLOOKUP($A747,kurspris!$A$1:$Q$950,11,FALSE)</f>
        <v>1</v>
      </c>
      <c r="AM747" s="31">
        <f>VLOOKUP($A747,kurspris!$A$1:$Q$950,12,FALSE)</f>
        <v>0</v>
      </c>
      <c r="AN747" s="31">
        <f>VLOOKUP($A747,kurspris!$A$1:$Q$950,13,FALSE)</f>
        <v>0</v>
      </c>
      <c r="AO747" s="31">
        <f>VLOOKUP($A747,kurspris!$A$1:$Q$950,14,FALSE)</f>
        <v>0</v>
      </c>
      <c r="AP747" s="57" t="s">
        <v>2506</v>
      </c>
      <c r="AQ747"/>
      <c r="AR747" s="31">
        <f t="shared" si="335"/>
        <v>0</v>
      </c>
      <c r="AS747" s="219">
        <f t="shared" si="336"/>
        <v>0</v>
      </c>
      <c r="AT747" s="31">
        <f t="shared" si="337"/>
        <v>0</v>
      </c>
      <c r="AU747" s="219">
        <f t="shared" si="338"/>
        <v>0</v>
      </c>
      <c r="AV747" s="31">
        <f t="shared" si="339"/>
        <v>0</v>
      </c>
      <c r="AW747" s="31">
        <f t="shared" si="340"/>
        <v>0</v>
      </c>
      <c r="AX747" s="31">
        <f t="shared" si="341"/>
        <v>0</v>
      </c>
      <c r="AY747" s="219">
        <f t="shared" si="342"/>
        <v>0</v>
      </c>
      <c r="AZ747" s="196">
        <f t="shared" si="343"/>
        <v>0</v>
      </c>
      <c r="BA747" s="219">
        <f t="shared" si="344"/>
        <v>0</v>
      </c>
      <c r="BB747" s="31">
        <f t="shared" si="345"/>
        <v>0</v>
      </c>
      <c r="BC747" s="219">
        <f t="shared" si="346"/>
        <v>0</v>
      </c>
      <c r="BD747" s="31">
        <f t="shared" si="347"/>
        <v>0</v>
      </c>
      <c r="BE747" s="219">
        <f t="shared" si="348"/>
        <v>0</v>
      </c>
      <c r="BF747" s="31">
        <f t="shared" si="349"/>
        <v>0</v>
      </c>
      <c r="BG747" s="219">
        <f t="shared" si="350"/>
        <v>0</v>
      </c>
      <c r="BH747" s="31">
        <f t="shared" si="351"/>
        <v>0.125</v>
      </c>
      <c r="BI747" s="219">
        <f t="shared" si="352"/>
        <v>0.10625</v>
      </c>
      <c r="BJ747" s="31">
        <f t="shared" si="353"/>
        <v>0</v>
      </c>
      <c r="BK747" s="219">
        <f t="shared" si="354"/>
        <v>0</v>
      </c>
      <c r="BL747" s="31">
        <f t="shared" si="355"/>
        <v>0</v>
      </c>
      <c r="BM747" s="219">
        <f t="shared" si="356"/>
        <v>0</v>
      </c>
      <c r="BN747" s="31">
        <f t="shared" si="357"/>
        <v>0</v>
      </c>
      <c r="BO747" s="219">
        <f t="shared" si="358"/>
        <v>0</v>
      </c>
    </row>
    <row r="748" spans="1:67" x14ac:dyDescent="0.25">
      <c r="A748" s="31" t="s">
        <v>2136</v>
      </c>
      <c r="B748" s="176" t="str">
        <f>VLOOKUP(A748,kurspris!$A$1:$B$992,2,FALSE)</f>
        <v>Läraryrkets dimensioner för förskolan 2 (VFU)</v>
      </c>
      <c r="D748" s="60" t="s">
        <v>483</v>
      </c>
      <c r="E748" s="576" t="s">
        <v>2431</v>
      </c>
      <c r="F748" s="31" t="s">
        <v>2273</v>
      </c>
      <c r="G748" t="s">
        <v>2448</v>
      </c>
      <c r="H748" t="s">
        <v>2335</v>
      </c>
      <c r="I748" s="31" t="s">
        <v>2276</v>
      </c>
      <c r="L748" s="38">
        <v>1</v>
      </c>
      <c r="M748">
        <v>7.5</v>
      </c>
      <c r="P748" s="31">
        <v>1</v>
      </c>
      <c r="Q748" s="196">
        <f t="shared" si="361"/>
        <v>0.125</v>
      </c>
      <c r="R748" s="38">
        <v>0.85</v>
      </c>
      <c r="S748" s="280">
        <f t="shared" si="331"/>
        <v>0.10625</v>
      </c>
      <c r="T748" s="31">
        <f>VLOOKUP(A748,'Ansvar kurs'!$A$1:$C$1123,2,FALSE)</f>
        <v>2193</v>
      </c>
      <c r="U748" s="31" t="str">
        <f>VLOOKUP(T748,Orgenheter!$A$1:$C$166,2,FALSE)</f>
        <v xml:space="preserve">TUV </v>
      </c>
      <c r="V748" s="31" t="str">
        <f>VLOOKUP(T748,Orgenheter!$A$1:$C$166,3,FALSE)</f>
        <v>Sam</v>
      </c>
      <c r="W748" s="35" t="str">
        <f>VLOOKUP(D748,Program!$A$1:$B$36,2,FALSE)</f>
        <v>Förskollärarprogrammet</v>
      </c>
      <c r="X748" s="40">
        <f>VLOOKUP(A748,kurspris!$A$1:$Q$913,15,FALSE)</f>
        <v>25235</v>
      </c>
      <c r="Y748" s="40">
        <f>VLOOKUP(A748,kurspris!$A$1:$Q$913,16,FALSE)</f>
        <v>27976</v>
      </c>
      <c r="Z748" s="40">
        <f t="shared" si="332"/>
        <v>6126.8249999999998</v>
      </c>
      <c r="AA748" s="40">
        <f>VLOOKUP(A748,kurspris!$A$1:$Q$913,17,FALSE)</f>
        <v>3600</v>
      </c>
      <c r="AB748" s="40">
        <f t="shared" si="333"/>
        <v>450</v>
      </c>
      <c r="AC748" s="40">
        <f t="shared" si="334"/>
        <v>6576.8249999999998</v>
      </c>
      <c r="AD748" s="31">
        <f>VLOOKUP($A748,kurspris!$A$1:$Q$950,3,FALSE)</f>
        <v>0</v>
      </c>
      <c r="AE748" s="31">
        <f>VLOOKUP($A748,kurspris!$A$1:$Q$950,4,FALSE)</f>
        <v>0</v>
      </c>
      <c r="AF748" s="31">
        <f>VLOOKUP($A748,kurspris!$A$1:$Q$950,5,FALSE)</f>
        <v>0</v>
      </c>
      <c r="AG748" s="31">
        <f>VLOOKUP($A748,kurspris!$A$1:$Q$950,6,FALSE)</f>
        <v>0</v>
      </c>
      <c r="AH748" s="31">
        <f>VLOOKUP($A748,kurspris!$A$1:$Q$950,7,FALSE)</f>
        <v>0</v>
      </c>
      <c r="AI748" s="31">
        <f>VLOOKUP($A748,kurspris!$A$1:$Q$950,8,FALSE)</f>
        <v>0</v>
      </c>
      <c r="AJ748" s="31">
        <f>VLOOKUP($A748,kurspris!$A$1:$Q$950,9,FALSE)</f>
        <v>0</v>
      </c>
      <c r="AK748" s="31">
        <f>VLOOKUP($A748,kurspris!$A$1:$Q$950,10,FALSE)</f>
        <v>0</v>
      </c>
      <c r="AL748" s="31">
        <f>VLOOKUP($A748,kurspris!$A$1:$Q$950,11,FALSE)</f>
        <v>1</v>
      </c>
      <c r="AM748" s="31">
        <f>VLOOKUP($A748,kurspris!$A$1:$Q$950,12,FALSE)</f>
        <v>0</v>
      </c>
      <c r="AN748" s="31">
        <f>VLOOKUP($A748,kurspris!$A$1:$Q$950,13,FALSE)</f>
        <v>0</v>
      </c>
      <c r="AO748" s="31">
        <f>VLOOKUP($A748,kurspris!$A$1:$Q$950,14,FALSE)</f>
        <v>0</v>
      </c>
      <c r="AP748" s="57" t="s">
        <v>2506</v>
      </c>
      <c r="AQ748"/>
      <c r="AR748" s="31">
        <f t="shared" si="335"/>
        <v>0</v>
      </c>
      <c r="AS748" s="219">
        <f t="shared" si="336"/>
        <v>0</v>
      </c>
      <c r="AT748" s="31">
        <f t="shared" si="337"/>
        <v>0</v>
      </c>
      <c r="AU748" s="219">
        <f t="shared" si="338"/>
        <v>0</v>
      </c>
      <c r="AV748" s="31">
        <f t="shared" si="339"/>
        <v>0</v>
      </c>
      <c r="AW748" s="31">
        <f t="shared" si="340"/>
        <v>0</v>
      </c>
      <c r="AX748" s="31">
        <f t="shared" si="341"/>
        <v>0</v>
      </c>
      <c r="AY748" s="219">
        <f t="shared" si="342"/>
        <v>0</v>
      </c>
      <c r="AZ748" s="196">
        <f t="shared" si="343"/>
        <v>0</v>
      </c>
      <c r="BA748" s="219">
        <f t="shared" si="344"/>
        <v>0</v>
      </c>
      <c r="BB748" s="31">
        <f t="shared" si="345"/>
        <v>0</v>
      </c>
      <c r="BC748" s="219">
        <f t="shared" si="346"/>
        <v>0</v>
      </c>
      <c r="BD748" s="31">
        <f t="shared" si="347"/>
        <v>0</v>
      </c>
      <c r="BE748" s="219">
        <f t="shared" si="348"/>
        <v>0</v>
      </c>
      <c r="BF748" s="31">
        <f t="shared" si="349"/>
        <v>0</v>
      </c>
      <c r="BG748" s="219">
        <f t="shared" si="350"/>
        <v>0</v>
      </c>
      <c r="BH748" s="31">
        <f t="shared" si="351"/>
        <v>0.125</v>
      </c>
      <c r="BI748" s="219">
        <f t="shared" si="352"/>
        <v>0.10625</v>
      </c>
      <c r="BJ748" s="31">
        <f t="shared" si="353"/>
        <v>0</v>
      </c>
      <c r="BK748" s="219">
        <f t="shared" si="354"/>
        <v>0</v>
      </c>
      <c r="BL748" s="31">
        <f t="shared" si="355"/>
        <v>0</v>
      </c>
      <c r="BM748" s="219">
        <f t="shared" si="356"/>
        <v>0</v>
      </c>
      <c r="BN748" s="31">
        <f t="shared" si="357"/>
        <v>0</v>
      </c>
      <c r="BO748" s="219">
        <f t="shared" si="358"/>
        <v>0</v>
      </c>
    </row>
    <row r="749" spans="1:67" x14ac:dyDescent="0.25">
      <c r="A749" s="31" t="s">
        <v>2136</v>
      </c>
      <c r="B749" s="176" t="str">
        <f>VLOOKUP(A749,kurspris!$A$1:$B$992,2,FALSE)</f>
        <v>Läraryrkets dimensioner för förskolan 2 (VFU)</v>
      </c>
      <c r="C749" s="31">
        <v>68706</v>
      </c>
      <c r="D749" s="60" t="s">
        <v>483</v>
      </c>
      <c r="E749" s="60"/>
      <c r="F749" s="57" t="s">
        <v>2274</v>
      </c>
      <c r="H749" s="31" t="s">
        <v>2335</v>
      </c>
      <c r="I749" s="31" t="s">
        <v>2399</v>
      </c>
      <c r="L749" s="38"/>
      <c r="M749">
        <v>7.5</v>
      </c>
      <c r="P749" s="31">
        <v>17</v>
      </c>
      <c r="Q749" s="539">
        <v>2.125</v>
      </c>
      <c r="R749" s="38">
        <v>0.85</v>
      </c>
      <c r="S749" s="280">
        <f t="shared" si="331"/>
        <v>1.8062499999999999</v>
      </c>
      <c r="T749" s="31">
        <f>VLOOKUP(A749,'Ansvar kurs'!$A$1:$C$1123,2,FALSE)</f>
        <v>2193</v>
      </c>
      <c r="U749" s="31" t="str">
        <f>VLOOKUP(T749,Orgenheter!$A$1:$C$166,2,FALSE)</f>
        <v xml:space="preserve">TUV </v>
      </c>
      <c r="V749" s="31" t="str">
        <f>VLOOKUP(T749,Orgenheter!$A$1:$C$166,3,FALSE)</f>
        <v>Sam</v>
      </c>
      <c r="W749" s="35" t="str">
        <f>VLOOKUP(D749,Program!$A$1:$B$36,2,FALSE)</f>
        <v>Förskollärarprogrammet</v>
      </c>
      <c r="X749" s="40">
        <f>VLOOKUP(A749,kurspris!$A$1:$Q$913,15,FALSE)</f>
        <v>25235</v>
      </c>
      <c r="Y749" s="40">
        <f>VLOOKUP(A749,kurspris!$A$1:$Q$913,16,FALSE)</f>
        <v>27976</v>
      </c>
      <c r="Z749" s="40">
        <f t="shared" si="332"/>
        <v>104156.02499999999</v>
      </c>
      <c r="AA749" s="40">
        <f>VLOOKUP(A749,kurspris!$A$1:$Q$913,17,FALSE)</f>
        <v>3600</v>
      </c>
      <c r="AB749" s="40">
        <f t="shared" si="333"/>
        <v>7650</v>
      </c>
      <c r="AC749" s="40">
        <f t="shared" si="334"/>
        <v>111806.02499999999</v>
      </c>
      <c r="AD749" s="31">
        <f>VLOOKUP($A749,kurspris!$A$1:$Q$950,3,FALSE)</f>
        <v>0</v>
      </c>
      <c r="AE749" s="31">
        <f>VLOOKUP($A749,kurspris!$A$1:$Q$950,4,FALSE)</f>
        <v>0</v>
      </c>
      <c r="AF749" s="31">
        <f>VLOOKUP($A749,kurspris!$A$1:$Q$950,5,FALSE)</f>
        <v>0</v>
      </c>
      <c r="AG749" s="31">
        <f>VLOOKUP($A749,kurspris!$A$1:$Q$950,6,FALSE)</f>
        <v>0</v>
      </c>
      <c r="AH749" s="31">
        <f>VLOOKUP($A749,kurspris!$A$1:$Q$950,7,FALSE)</f>
        <v>0</v>
      </c>
      <c r="AI749" s="31">
        <f>VLOOKUP($A749,kurspris!$A$1:$Q$950,8,FALSE)</f>
        <v>0</v>
      </c>
      <c r="AJ749" s="31">
        <f>VLOOKUP($A749,kurspris!$A$1:$Q$950,9,FALSE)</f>
        <v>0</v>
      </c>
      <c r="AK749" s="31">
        <f>VLOOKUP($A749,kurspris!$A$1:$Q$950,10,FALSE)</f>
        <v>0</v>
      </c>
      <c r="AL749" s="31">
        <f>VLOOKUP($A749,kurspris!$A$1:$Q$950,11,FALSE)</f>
        <v>1</v>
      </c>
      <c r="AM749" s="31">
        <f>VLOOKUP($A749,kurspris!$A$1:$Q$950,12,FALSE)</f>
        <v>0</v>
      </c>
      <c r="AN749" s="31">
        <f>VLOOKUP($A749,kurspris!$A$1:$Q$950,13,FALSE)</f>
        <v>0</v>
      </c>
      <c r="AO749" s="31">
        <f>VLOOKUP($A749,kurspris!$A$1:$Q$950,14,FALSE)</f>
        <v>0</v>
      </c>
      <c r="AP749" s="57" t="s">
        <v>2402</v>
      </c>
      <c r="AQ749"/>
      <c r="AR749" s="31">
        <f t="shared" si="335"/>
        <v>0</v>
      </c>
      <c r="AS749" s="219">
        <f t="shared" si="336"/>
        <v>0</v>
      </c>
      <c r="AT749" s="31">
        <f t="shared" si="337"/>
        <v>0</v>
      </c>
      <c r="AU749" s="219">
        <f t="shared" si="338"/>
        <v>0</v>
      </c>
      <c r="AV749" s="31">
        <f t="shared" si="339"/>
        <v>0</v>
      </c>
      <c r="AW749" s="31">
        <f t="shared" si="340"/>
        <v>0</v>
      </c>
      <c r="AX749" s="31">
        <f t="shared" si="341"/>
        <v>0</v>
      </c>
      <c r="AY749" s="219">
        <f t="shared" si="342"/>
        <v>0</v>
      </c>
      <c r="AZ749" s="196">
        <f t="shared" si="343"/>
        <v>0</v>
      </c>
      <c r="BA749" s="219">
        <f t="shared" si="344"/>
        <v>0</v>
      </c>
      <c r="BB749" s="31">
        <f t="shared" si="345"/>
        <v>0</v>
      </c>
      <c r="BC749" s="219">
        <f t="shared" si="346"/>
        <v>0</v>
      </c>
      <c r="BD749" s="31">
        <f t="shared" si="347"/>
        <v>0</v>
      </c>
      <c r="BE749" s="219">
        <f t="shared" si="348"/>
        <v>0</v>
      </c>
      <c r="BF749" s="31">
        <f t="shared" si="349"/>
        <v>0</v>
      </c>
      <c r="BG749" s="219">
        <f t="shared" si="350"/>
        <v>0</v>
      </c>
      <c r="BH749" s="31">
        <f t="shared" si="351"/>
        <v>2.125</v>
      </c>
      <c r="BI749" s="219">
        <f t="shared" si="352"/>
        <v>1.8062499999999999</v>
      </c>
      <c r="BJ749" s="31">
        <f t="shared" si="353"/>
        <v>0</v>
      </c>
      <c r="BK749" s="219">
        <f t="shared" si="354"/>
        <v>0</v>
      </c>
      <c r="BL749" s="31">
        <f t="shared" si="355"/>
        <v>0</v>
      </c>
      <c r="BM749" s="219">
        <f t="shared" si="356"/>
        <v>0</v>
      </c>
      <c r="BN749" s="31">
        <f t="shared" si="357"/>
        <v>0</v>
      </c>
      <c r="BO749" s="219">
        <f t="shared" si="358"/>
        <v>0</v>
      </c>
    </row>
    <row r="750" spans="1:67" x14ac:dyDescent="0.25">
      <c r="A750" s="157" t="s">
        <v>2136</v>
      </c>
      <c r="B750" s="176" t="str">
        <f>VLOOKUP(A750,kurspris!$A$1:$B$992,2,FALSE)</f>
        <v>Läraryrkets dimensioner för förskolan 2 (VFU)</v>
      </c>
      <c r="C750" s="31">
        <v>68719</v>
      </c>
      <c r="D750" s="31" t="s">
        <v>483</v>
      </c>
      <c r="E750" s="60"/>
      <c r="F750" s="57" t="s">
        <v>2274</v>
      </c>
      <c r="H750" s="31" t="s">
        <v>2336</v>
      </c>
      <c r="I750" s="60" t="s">
        <v>2399</v>
      </c>
      <c r="L750" s="38"/>
      <c r="M750">
        <v>7.5</v>
      </c>
      <c r="P750" s="31">
        <v>16</v>
      </c>
      <c r="Q750" s="539">
        <v>2</v>
      </c>
      <c r="R750" s="38">
        <v>0.85</v>
      </c>
      <c r="S750" s="280">
        <f t="shared" si="331"/>
        <v>1.7</v>
      </c>
      <c r="T750" s="31">
        <f>VLOOKUP(A750,'Ansvar kurs'!$A$1:$C$1123,2,FALSE)</f>
        <v>2193</v>
      </c>
      <c r="U750" s="31" t="str">
        <f>VLOOKUP(T750,Orgenheter!$A$1:$C$166,2,FALSE)</f>
        <v xml:space="preserve">TUV </v>
      </c>
      <c r="V750" s="31" t="str">
        <f>VLOOKUP(T750,Orgenheter!$A$1:$C$166,3,FALSE)</f>
        <v>Sam</v>
      </c>
      <c r="W750" s="35" t="str">
        <f>VLOOKUP(D750,Program!$A$1:$B$36,2,FALSE)</f>
        <v>Förskollärarprogrammet</v>
      </c>
      <c r="X750" s="40">
        <f>VLOOKUP(A750,kurspris!$A$1:$Q$913,15,FALSE)</f>
        <v>25235</v>
      </c>
      <c r="Y750" s="40">
        <f>VLOOKUP(A750,kurspris!$A$1:$Q$913,16,FALSE)</f>
        <v>27976</v>
      </c>
      <c r="Z750" s="40">
        <f t="shared" si="332"/>
        <v>98029.2</v>
      </c>
      <c r="AA750" s="40">
        <f>VLOOKUP(A750,kurspris!$A$1:$Q$913,17,FALSE)</f>
        <v>3600</v>
      </c>
      <c r="AB750" s="40">
        <f t="shared" si="333"/>
        <v>7200</v>
      </c>
      <c r="AC750" s="40">
        <f t="shared" si="334"/>
        <v>105229.2</v>
      </c>
      <c r="AD750" s="31">
        <f>VLOOKUP($A750,kurspris!$A$1:$Q$950,3,FALSE)</f>
        <v>0</v>
      </c>
      <c r="AE750" s="31">
        <f>VLOOKUP($A750,kurspris!$A$1:$Q$950,4,FALSE)</f>
        <v>0</v>
      </c>
      <c r="AF750" s="31">
        <f>VLOOKUP($A750,kurspris!$A$1:$Q$950,5,FALSE)</f>
        <v>0</v>
      </c>
      <c r="AG750" s="31">
        <f>VLOOKUP($A750,kurspris!$A$1:$Q$950,6,FALSE)</f>
        <v>0</v>
      </c>
      <c r="AH750" s="31">
        <f>VLOOKUP($A750,kurspris!$A$1:$Q$950,7,FALSE)</f>
        <v>0</v>
      </c>
      <c r="AI750" s="31">
        <f>VLOOKUP($A750,kurspris!$A$1:$Q$950,8,FALSE)</f>
        <v>0</v>
      </c>
      <c r="AJ750" s="31">
        <f>VLOOKUP($A750,kurspris!$A$1:$Q$950,9,FALSE)</f>
        <v>0</v>
      </c>
      <c r="AK750" s="31">
        <f>VLOOKUP($A750,kurspris!$A$1:$Q$950,10,FALSE)</f>
        <v>0</v>
      </c>
      <c r="AL750" s="31">
        <f>VLOOKUP($A750,kurspris!$A$1:$Q$950,11,FALSE)</f>
        <v>1</v>
      </c>
      <c r="AM750" s="31">
        <f>VLOOKUP($A750,kurspris!$A$1:$Q$950,12,FALSE)</f>
        <v>0</v>
      </c>
      <c r="AN750" s="31">
        <f>VLOOKUP($A750,kurspris!$A$1:$Q$950,13,FALSE)</f>
        <v>0</v>
      </c>
      <c r="AO750" s="31">
        <f>VLOOKUP($A750,kurspris!$A$1:$Q$950,14,FALSE)</f>
        <v>0</v>
      </c>
      <c r="AP750" s="57" t="s">
        <v>2402</v>
      </c>
      <c r="AQ750"/>
      <c r="AR750" s="31">
        <f t="shared" si="335"/>
        <v>0</v>
      </c>
      <c r="AS750" s="219">
        <f t="shared" si="336"/>
        <v>0</v>
      </c>
      <c r="AT750" s="31">
        <f t="shared" si="337"/>
        <v>0</v>
      </c>
      <c r="AU750" s="219">
        <f t="shared" si="338"/>
        <v>0</v>
      </c>
      <c r="AV750" s="31">
        <f t="shared" si="339"/>
        <v>0</v>
      </c>
      <c r="AW750" s="31">
        <f t="shared" si="340"/>
        <v>0</v>
      </c>
      <c r="AX750" s="31">
        <f t="shared" si="341"/>
        <v>0</v>
      </c>
      <c r="AY750" s="219">
        <f t="shared" si="342"/>
        <v>0</v>
      </c>
      <c r="AZ750" s="196">
        <f t="shared" si="343"/>
        <v>0</v>
      </c>
      <c r="BA750" s="219">
        <f t="shared" si="344"/>
        <v>0</v>
      </c>
      <c r="BB750" s="31">
        <f t="shared" si="345"/>
        <v>0</v>
      </c>
      <c r="BC750" s="219">
        <f t="shared" si="346"/>
        <v>0</v>
      </c>
      <c r="BD750" s="31">
        <f t="shared" si="347"/>
        <v>0</v>
      </c>
      <c r="BE750" s="219">
        <f t="shared" si="348"/>
        <v>0</v>
      </c>
      <c r="BF750" s="31">
        <f t="shared" si="349"/>
        <v>0</v>
      </c>
      <c r="BG750" s="219">
        <f t="shared" si="350"/>
        <v>0</v>
      </c>
      <c r="BH750" s="31">
        <f t="shared" si="351"/>
        <v>2</v>
      </c>
      <c r="BI750" s="219">
        <f t="shared" si="352"/>
        <v>1.7</v>
      </c>
      <c r="BJ750" s="31">
        <f t="shared" si="353"/>
        <v>0</v>
      </c>
      <c r="BK750" s="219">
        <f t="shared" si="354"/>
        <v>0</v>
      </c>
      <c r="BL750" s="31">
        <f t="shared" si="355"/>
        <v>0</v>
      </c>
      <c r="BM750" s="219">
        <f t="shared" si="356"/>
        <v>0</v>
      </c>
      <c r="BN750" s="31">
        <f t="shared" si="357"/>
        <v>0</v>
      </c>
      <c r="BO750" s="219">
        <f t="shared" si="358"/>
        <v>0</v>
      </c>
    </row>
    <row r="751" spans="1:67" x14ac:dyDescent="0.25">
      <c r="A751" s="31" t="s">
        <v>2137</v>
      </c>
      <c r="B751" s="176" t="str">
        <f>VLOOKUP(A751,kurspris!$A$1:$B$992,2,FALSE)</f>
        <v>Forskningsmetod och profession (UVK)</v>
      </c>
      <c r="D751" s="60" t="s">
        <v>483</v>
      </c>
      <c r="E751" s="576" t="s">
        <v>2225</v>
      </c>
      <c r="F751" s="31" t="s">
        <v>2273</v>
      </c>
      <c r="G751" t="s">
        <v>2441</v>
      </c>
      <c r="H751" t="s">
        <v>2335</v>
      </c>
      <c r="I751" s="31" t="s">
        <v>2276</v>
      </c>
      <c r="L751" s="38">
        <v>1</v>
      </c>
      <c r="M751">
        <v>7.5</v>
      </c>
      <c r="P751" s="31">
        <v>38</v>
      </c>
      <c r="Q751" s="196">
        <f>(M751/60)*P751</f>
        <v>4.75</v>
      </c>
      <c r="R751" s="38">
        <v>0.85</v>
      </c>
      <c r="S751" s="280">
        <f t="shared" si="331"/>
        <v>4.0374999999999996</v>
      </c>
      <c r="T751" s="31">
        <f>VLOOKUP(A751,'Ansvar kurs'!$A$1:$C$1123,2,FALSE)</f>
        <v>2193</v>
      </c>
      <c r="U751" s="31" t="str">
        <f>VLOOKUP(T751,Orgenheter!$A$1:$C$166,2,FALSE)</f>
        <v xml:space="preserve">TUV </v>
      </c>
      <c r="V751" s="31" t="str">
        <f>VLOOKUP(T751,Orgenheter!$A$1:$C$166,3,FALSE)</f>
        <v>Sam</v>
      </c>
      <c r="W751" s="35" t="str">
        <f>VLOOKUP(D751,Program!$A$1:$B$36,2,FALSE)</f>
        <v>Förskollärarprogrammet</v>
      </c>
      <c r="X751" s="40">
        <f>VLOOKUP(A751,kurspris!$A$1:$Q$913,15,FALSE)</f>
        <v>26554</v>
      </c>
      <c r="Y751" s="40">
        <f>VLOOKUP(A751,kurspris!$A$1:$Q$913,16,FALSE)</f>
        <v>33465</v>
      </c>
      <c r="Z751" s="40">
        <f t="shared" si="332"/>
        <v>261246.4375</v>
      </c>
      <c r="AA751" s="40">
        <f>VLOOKUP(A751,kurspris!$A$1:$Q$913,17,FALSE)</f>
        <v>6000</v>
      </c>
      <c r="AB751" s="40">
        <f t="shared" si="333"/>
        <v>28500</v>
      </c>
      <c r="AC751" s="40">
        <f t="shared" si="334"/>
        <v>289746.4375</v>
      </c>
      <c r="AD751" s="31">
        <f>VLOOKUP($A751,kurspris!$A$1:$Q$950,3,FALSE)</f>
        <v>0</v>
      </c>
      <c r="AE751" s="31">
        <f>VLOOKUP($A751,kurspris!$A$1:$Q$950,4,FALSE)</f>
        <v>0</v>
      </c>
      <c r="AF751" s="31">
        <f>VLOOKUP($A751,kurspris!$A$1:$Q$950,5,FALSE)</f>
        <v>0</v>
      </c>
      <c r="AG751" s="31">
        <f>VLOOKUP($A751,kurspris!$A$1:$Q$950,6,FALSE)</f>
        <v>1</v>
      </c>
      <c r="AH751" s="31">
        <f>VLOOKUP($A751,kurspris!$A$1:$Q$950,7,FALSE)</f>
        <v>0</v>
      </c>
      <c r="AI751" s="31">
        <f>VLOOKUP($A751,kurspris!$A$1:$Q$950,8,FALSE)</f>
        <v>0</v>
      </c>
      <c r="AJ751" s="31">
        <f>VLOOKUP($A751,kurspris!$A$1:$Q$950,9,FALSE)</f>
        <v>0</v>
      </c>
      <c r="AK751" s="31">
        <f>VLOOKUP($A751,kurspris!$A$1:$Q$950,10,FALSE)</f>
        <v>0</v>
      </c>
      <c r="AL751" s="31">
        <f>VLOOKUP($A751,kurspris!$A$1:$Q$950,11,FALSE)</f>
        <v>0</v>
      </c>
      <c r="AM751" s="31">
        <f>VLOOKUP($A751,kurspris!$A$1:$Q$950,12,FALSE)</f>
        <v>0</v>
      </c>
      <c r="AN751" s="31">
        <f>VLOOKUP($A751,kurspris!$A$1:$Q$950,13,FALSE)</f>
        <v>0</v>
      </c>
      <c r="AO751" s="31">
        <f>VLOOKUP($A751,kurspris!$A$1:$Q$950,14,FALSE)</f>
        <v>0</v>
      </c>
      <c r="AP751" s="57" t="s">
        <v>2506</v>
      </c>
      <c r="AQ751"/>
      <c r="AR751" s="31">
        <f t="shared" si="335"/>
        <v>0</v>
      </c>
      <c r="AS751" s="219">
        <f t="shared" si="336"/>
        <v>0</v>
      </c>
      <c r="AT751" s="31">
        <f t="shared" si="337"/>
        <v>0</v>
      </c>
      <c r="AU751" s="219">
        <f t="shared" si="338"/>
        <v>0</v>
      </c>
      <c r="AV751" s="31">
        <f t="shared" si="339"/>
        <v>0</v>
      </c>
      <c r="AW751" s="31">
        <f t="shared" si="340"/>
        <v>0</v>
      </c>
      <c r="AX751" s="31">
        <f t="shared" si="341"/>
        <v>4.75</v>
      </c>
      <c r="AY751" s="219">
        <f t="shared" si="342"/>
        <v>4.0374999999999996</v>
      </c>
      <c r="AZ751" s="196">
        <f t="shared" si="343"/>
        <v>0</v>
      </c>
      <c r="BA751" s="219">
        <f t="shared" si="344"/>
        <v>0</v>
      </c>
      <c r="BB751" s="31">
        <f t="shared" si="345"/>
        <v>0</v>
      </c>
      <c r="BC751" s="219">
        <f t="shared" si="346"/>
        <v>0</v>
      </c>
      <c r="BD751" s="31">
        <f t="shared" si="347"/>
        <v>0</v>
      </c>
      <c r="BE751" s="219">
        <f t="shared" si="348"/>
        <v>0</v>
      </c>
      <c r="BF751" s="31">
        <f t="shared" si="349"/>
        <v>0</v>
      </c>
      <c r="BG751" s="219">
        <f t="shared" si="350"/>
        <v>0</v>
      </c>
      <c r="BH751" s="31">
        <f t="shared" si="351"/>
        <v>0</v>
      </c>
      <c r="BI751" s="219">
        <f t="shared" si="352"/>
        <v>0</v>
      </c>
      <c r="BJ751" s="31">
        <f t="shared" si="353"/>
        <v>0</v>
      </c>
      <c r="BK751" s="219">
        <f t="shared" si="354"/>
        <v>0</v>
      </c>
      <c r="BL751" s="31">
        <f t="shared" si="355"/>
        <v>0</v>
      </c>
      <c r="BM751" s="219">
        <f t="shared" si="356"/>
        <v>0</v>
      </c>
      <c r="BN751" s="31">
        <f t="shared" si="357"/>
        <v>0</v>
      </c>
      <c r="BO751" s="219">
        <f t="shared" si="358"/>
        <v>0</v>
      </c>
    </row>
    <row r="752" spans="1:67" x14ac:dyDescent="0.25">
      <c r="A752" s="31" t="s">
        <v>2137</v>
      </c>
      <c r="B752" s="176" t="str">
        <f>VLOOKUP(A752,kurspris!$A$1:$B$992,2,FALSE)</f>
        <v>Forskningsmetod och profession (UVK)</v>
      </c>
      <c r="D752" s="60" t="s">
        <v>483</v>
      </c>
      <c r="E752" s="576" t="s">
        <v>2430</v>
      </c>
      <c r="F752" s="31" t="s">
        <v>2273</v>
      </c>
      <c r="G752" t="s">
        <v>2441</v>
      </c>
      <c r="H752" t="s">
        <v>2335</v>
      </c>
      <c r="I752" s="31" t="s">
        <v>2276</v>
      </c>
      <c r="L752" s="38">
        <v>1</v>
      </c>
      <c r="M752">
        <v>7.5</v>
      </c>
      <c r="P752" s="31">
        <v>1</v>
      </c>
      <c r="Q752" s="196">
        <f>(M752/60)*P752</f>
        <v>0.125</v>
      </c>
      <c r="R752" s="38">
        <v>0.85</v>
      </c>
      <c r="S752" s="280">
        <f t="shared" si="331"/>
        <v>0.10625</v>
      </c>
      <c r="T752" s="31">
        <f>VLOOKUP(A752,'Ansvar kurs'!$A$1:$C$1123,2,FALSE)</f>
        <v>2193</v>
      </c>
      <c r="U752" s="31" t="str">
        <f>VLOOKUP(T752,Orgenheter!$A$1:$C$166,2,FALSE)</f>
        <v xml:space="preserve">TUV </v>
      </c>
      <c r="V752" s="31" t="str">
        <f>VLOOKUP(T752,Orgenheter!$A$1:$C$166,3,FALSE)</f>
        <v>Sam</v>
      </c>
      <c r="W752" s="35" t="str">
        <f>VLOOKUP(D752,Program!$A$1:$B$36,2,FALSE)</f>
        <v>Förskollärarprogrammet</v>
      </c>
      <c r="X752" s="40">
        <f>VLOOKUP(A752,kurspris!$A$1:$Q$913,15,FALSE)</f>
        <v>26554</v>
      </c>
      <c r="Y752" s="40">
        <f>VLOOKUP(A752,kurspris!$A$1:$Q$913,16,FALSE)</f>
        <v>33465</v>
      </c>
      <c r="Z752" s="40">
        <f t="shared" si="332"/>
        <v>6874.90625</v>
      </c>
      <c r="AA752" s="40">
        <f>VLOOKUP(A752,kurspris!$A$1:$Q$913,17,FALSE)</f>
        <v>6000</v>
      </c>
      <c r="AB752" s="40">
        <f t="shared" si="333"/>
        <v>750</v>
      </c>
      <c r="AC752" s="40">
        <f t="shared" si="334"/>
        <v>7624.90625</v>
      </c>
      <c r="AD752" s="31">
        <f>VLOOKUP($A752,kurspris!$A$1:$Q$950,3,FALSE)</f>
        <v>0</v>
      </c>
      <c r="AE752" s="31">
        <f>VLOOKUP($A752,kurspris!$A$1:$Q$950,4,FALSE)</f>
        <v>0</v>
      </c>
      <c r="AF752" s="31">
        <f>VLOOKUP($A752,kurspris!$A$1:$Q$950,5,FALSE)</f>
        <v>0</v>
      </c>
      <c r="AG752" s="31">
        <f>VLOOKUP($A752,kurspris!$A$1:$Q$950,6,FALSE)</f>
        <v>1</v>
      </c>
      <c r="AH752" s="31">
        <f>VLOOKUP($A752,kurspris!$A$1:$Q$950,7,FALSE)</f>
        <v>0</v>
      </c>
      <c r="AI752" s="31">
        <f>VLOOKUP($A752,kurspris!$A$1:$Q$950,8,FALSE)</f>
        <v>0</v>
      </c>
      <c r="AJ752" s="31">
        <f>VLOOKUP($A752,kurspris!$A$1:$Q$950,9,FALSE)</f>
        <v>0</v>
      </c>
      <c r="AK752" s="31">
        <f>VLOOKUP($A752,kurspris!$A$1:$Q$950,10,FALSE)</f>
        <v>0</v>
      </c>
      <c r="AL752" s="31">
        <f>VLOOKUP($A752,kurspris!$A$1:$Q$950,11,FALSE)</f>
        <v>0</v>
      </c>
      <c r="AM752" s="31">
        <f>VLOOKUP($A752,kurspris!$A$1:$Q$950,12,FALSE)</f>
        <v>0</v>
      </c>
      <c r="AN752" s="31">
        <f>VLOOKUP($A752,kurspris!$A$1:$Q$950,13,FALSE)</f>
        <v>0</v>
      </c>
      <c r="AO752" s="31">
        <f>VLOOKUP($A752,kurspris!$A$1:$Q$950,14,FALSE)</f>
        <v>0</v>
      </c>
      <c r="AP752" s="57" t="s">
        <v>2506</v>
      </c>
      <c r="AQ752"/>
      <c r="AR752" s="31">
        <f t="shared" si="335"/>
        <v>0</v>
      </c>
      <c r="AS752" s="219">
        <f t="shared" si="336"/>
        <v>0</v>
      </c>
      <c r="AT752" s="31">
        <f t="shared" si="337"/>
        <v>0</v>
      </c>
      <c r="AU752" s="219">
        <f t="shared" si="338"/>
        <v>0</v>
      </c>
      <c r="AV752" s="31">
        <f t="shared" si="339"/>
        <v>0</v>
      </c>
      <c r="AW752" s="31">
        <f t="shared" si="340"/>
        <v>0</v>
      </c>
      <c r="AX752" s="31">
        <f t="shared" si="341"/>
        <v>0.125</v>
      </c>
      <c r="AY752" s="219">
        <f t="shared" si="342"/>
        <v>0.10625</v>
      </c>
      <c r="AZ752" s="196">
        <f t="shared" si="343"/>
        <v>0</v>
      </c>
      <c r="BA752" s="219">
        <f t="shared" si="344"/>
        <v>0</v>
      </c>
      <c r="BB752" s="31">
        <f t="shared" si="345"/>
        <v>0</v>
      </c>
      <c r="BC752" s="219">
        <f t="shared" si="346"/>
        <v>0</v>
      </c>
      <c r="BD752" s="31">
        <f t="shared" si="347"/>
        <v>0</v>
      </c>
      <c r="BE752" s="219">
        <f t="shared" si="348"/>
        <v>0</v>
      </c>
      <c r="BF752" s="31">
        <f t="shared" si="349"/>
        <v>0</v>
      </c>
      <c r="BG752" s="219">
        <f t="shared" si="350"/>
        <v>0</v>
      </c>
      <c r="BH752" s="31">
        <f t="shared" si="351"/>
        <v>0</v>
      </c>
      <c r="BI752" s="219">
        <f t="shared" si="352"/>
        <v>0</v>
      </c>
      <c r="BJ752" s="31">
        <f t="shared" si="353"/>
        <v>0</v>
      </c>
      <c r="BK752" s="219">
        <f t="shared" si="354"/>
        <v>0</v>
      </c>
      <c r="BL752" s="31">
        <f t="shared" si="355"/>
        <v>0</v>
      </c>
      <c r="BM752" s="219">
        <f t="shared" si="356"/>
        <v>0</v>
      </c>
      <c r="BN752" s="31">
        <f t="shared" si="357"/>
        <v>0</v>
      </c>
      <c r="BO752" s="219">
        <f t="shared" si="358"/>
        <v>0</v>
      </c>
    </row>
    <row r="753" spans="1:67" x14ac:dyDescent="0.25">
      <c r="A753" s="31" t="s">
        <v>2137</v>
      </c>
      <c r="B753" s="176" t="str">
        <f>VLOOKUP(A753,kurspris!$A$1:$B$992,2,FALSE)</f>
        <v>Forskningsmetod och profession (UVK)</v>
      </c>
      <c r="D753" s="60" t="s">
        <v>483</v>
      </c>
      <c r="E753" s="576" t="s">
        <v>2431</v>
      </c>
      <c r="F753" s="31" t="s">
        <v>2273</v>
      </c>
      <c r="G753" t="s">
        <v>2441</v>
      </c>
      <c r="H753" t="s">
        <v>2335</v>
      </c>
      <c r="I753" s="31" t="s">
        <v>2276</v>
      </c>
      <c r="L753" s="38">
        <v>1</v>
      </c>
      <c r="M753">
        <v>7.5</v>
      </c>
      <c r="P753" s="31">
        <v>1</v>
      </c>
      <c r="Q753" s="196">
        <f>(M753/60)*P753</f>
        <v>0.125</v>
      </c>
      <c r="R753" s="38">
        <v>0.85</v>
      </c>
      <c r="S753" s="280">
        <f t="shared" si="331"/>
        <v>0.10625</v>
      </c>
      <c r="T753" s="31">
        <f>VLOOKUP(A753,'Ansvar kurs'!$A$1:$C$1123,2,FALSE)</f>
        <v>2193</v>
      </c>
      <c r="U753" s="31" t="str">
        <f>VLOOKUP(T753,Orgenheter!$A$1:$C$166,2,FALSE)</f>
        <v xml:space="preserve">TUV </v>
      </c>
      <c r="V753" s="31" t="str">
        <f>VLOOKUP(T753,Orgenheter!$A$1:$C$166,3,FALSE)</f>
        <v>Sam</v>
      </c>
      <c r="W753" s="35" t="str">
        <f>VLOOKUP(D753,Program!$A$1:$B$36,2,FALSE)</f>
        <v>Förskollärarprogrammet</v>
      </c>
      <c r="X753" s="40">
        <f>VLOOKUP(A753,kurspris!$A$1:$Q$913,15,FALSE)</f>
        <v>26554</v>
      </c>
      <c r="Y753" s="40">
        <f>VLOOKUP(A753,kurspris!$A$1:$Q$913,16,FALSE)</f>
        <v>33465</v>
      </c>
      <c r="Z753" s="40">
        <f t="shared" si="332"/>
        <v>6874.90625</v>
      </c>
      <c r="AA753" s="40">
        <f>VLOOKUP(A753,kurspris!$A$1:$Q$913,17,FALSE)</f>
        <v>6000</v>
      </c>
      <c r="AB753" s="40">
        <f t="shared" si="333"/>
        <v>750</v>
      </c>
      <c r="AC753" s="40">
        <f t="shared" si="334"/>
        <v>7624.90625</v>
      </c>
      <c r="AD753" s="31">
        <f>VLOOKUP($A753,kurspris!$A$1:$Q$950,3,FALSE)</f>
        <v>0</v>
      </c>
      <c r="AE753" s="31">
        <f>VLOOKUP($A753,kurspris!$A$1:$Q$950,4,FALSE)</f>
        <v>0</v>
      </c>
      <c r="AF753" s="31">
        <f>VLOOKUP($A753,kurspris!$A$1:$Q$950,5,FALSE)</f>
        <v>0</v>
      </c>
      <c r="AG753" s="31">
        <f>VLOOKUP($A753,kurspris!$A$1:$Q$950,6,FALSE)</f>
        <v>1</v>
      </c>
      <c r="AH753" s="31">
        <f>VLOOKUP($A753,kurspris!$A$1:$Q$950,7,FALSE)</f>
        <v>0</v>
      </c>
      <c r="AI753" s="31">
        <f>VLOOKUP($A753,kurspris!$A$1:$Q$950,8,FALSE)</f>
        <v>0</v>
      </c>
      <c r="AJ753" s="31">
        <f>VLOOKUP($A753,kurspris!$A$1:$Q$950,9,FALSE)</f>
        <v>0</v>
      </c>
      <c r="AK753" s="31">
        <f>VLOOKUP($A753,kurspris!$A$1:$Q$950,10,FALSE)</f>
        <v>0</v>
      </c>
      <c r="AL753" s="31">
        <f>VLOOKUP($A753,kurspris!$A$1:$Q$950,11,FALSE)</f>
        <v>0</v>
      </c>
      <c r="AM753" s="31">
        <f>VLOOKUP($A753,kurspris!$A$1:$Q$950,12,FALSE)</f>
        <v>0</v>
      </c>
      <c r="AN753" s="31">
        <f>VLOOKUP($A753,kurspris!$A$1:$Q$950,13,FALSE)</f>
        <v>0</v>
      </c>
      <c r="AO753" s="31">
        <f>VLOOKUP($A753,kurspris!$A$1:$Q$950,14,FALSE)</f>
        <v>0</v>
      </c>
      <c r="AP753" s="57" t="s">
        <v>2506</v>
      </c>
      <c r="AQ753"/>
      <c r="AR753" s="31">
        <f t="shared" si="335"/>
        <v>0</v>
      </c>
      <c r="AS753" s="219">
        <f t="shared" si="336"/>
        <v>0</v>
      </c>
      <c r="AT753" s="31">
        <f t="shared" si="337"/>
        <v>0</v>
      </c>
      <c r="AU753" s="219">
        <f t="shared" si="338"/>
        <v>0</v>
      </c>
      <c r="AV753" s="31">
        <f t="shared" si="339"/>
        <v>0</v>
      </c>
      <c r="AW753" s="31">
        <f t="shared" si="340"/>
        <v>0</v>
      </c>
      <c r="AX753" s="31">
        <f t="shared" si="341"/>
        <v>0.125</v>
      </c>
      <c r="AY753" s="219">
        <f t="shared" si="342"/>
        <v>0.10625</v>
      </c>
      <c r="AZ753" s="196">
        <f t="shared" si="343"/>
        <v>0</v>
      </c>
      <c r="BA753" s="219">
        <f t="shared" si="344"/>
        <v>0</v>
      </c>
      <c r="BB753" s="31">
        <f t="shared" si="345"/>
        <v>0</v>
      </c>
      <c r="BC753" s="219">
        <f t="shared" si="346"/>
        <v>0</v>
      </c>
      <c r="BD753" s="31">
        <f t="shared" si="347"/>
        <v>0</v>
      </c>
      <c r="BE753" s="219">
        <f t="shared" si="348"/>
        <v>0</v>
      </c>
      <c r="BF753" s="31">
        <f t="shared" si="349"/>
        <v>0</v>
      </c>
      <c r="BG753" s="219">
        <f t="shared" si="350"/>
        <v>0</v>
      </c>
      <c r="BH753" s="31">
        <f t="shared" si="351"/>
        <v>0</v>
      </c>
      <c r="BI753" s="219">
        <f t="shared" si="352"/>
        <v>0</v>
      </c>
      <c r="BJ753" s="31">
        <f t="shared" si="353"/>
        <v>0</v>
      </c>
      <c r="BK753" s="219">
        <f t="shared" si="354"/>
        <v>0</v>
      </c>
      <c r="BL753" s="31">
        <f t="shared" si="355"/>
        <v>0</v>
      </c>
      <c r="BM753" s="219">
        <f t="shared" si="356"/>
        <v>0</v>
      </c>
      <c r="BN753" s="31">
        <f t="shared" si="357"/>
        <v>0</v>
      </c>
      <c r="BO753" s="219">
        <f t="shared" si="358"/>
        <v>0</v>
      </c>
    </row>
    <row r="754" spans="1:67" x14ac:dyDescent="0.25">
      <c r="A754" s="31" t="s">
        <v>2137</v>
      </c>
      <c r="B754" s="176" t="str">
        <f>VLOOKUP(A754,kurspris!$A$1:$B$992,2,FALSE)</f>
        <v>Forskningsmetod och profession (UVK)</v>
      </c>
      <c r="C754" s="31">
        <v>68707</v>
      </c>
      <c r="D754" s="60" t="s">
        <v>483</v>
      </c>
      <c r="E754" s="60"/>
      <c r="F754" s="57" t="s">
        <v>2274</v>
      </c>
      <c r="H754" s="31" t="s">
        <v>2335</v>
      </c>
      <c r="I754" s="31" t="s">
        <v>2399</v>
      </c>
      <c r="L754" s="38"/>
      <c r="M754">
        <v>7.5</v>
      </c>
      <c r="P754" s="31">
        <v>18</v>
      </c>
      <c r="Q754" s="539">
        <v>2.25</v>
      </c>
      <c r="R754" s="38">
        <v>0.85</v>
      </c>
      <c r="S754" s="280">
        <f t="shared" si="331"/>
        <v>1.9124999999999999</v>
      </c>
      <c r="T754" s="31">
        <f>VLOOKUP(A754,'Ansvar kurs'!$A$1:$C$1123,2,FALSE)</f>
        <v>2193</v>
      </c>
      <c r="U754" s="31" t="str">
        <f>VLOOKUP(T754,Orgenheter!$A$1:$C$166,2,FALSE)</f>
        <v xml:space="preserve">TUV </v>
      </c>
      <c r="V754" s="31" t="str">
        <f>VLOOKUP(T754,Orgenheter!$A$1:$C$166,3,FALSE)</f>
        <v>Sam</v>
      </c>
      <c r="W754" s="35" t="str">
        <f>VLOOKUP(D754,Program!$A$1:$B$36,2,FALSE)</f>
        <v>Förskollärarprogrammet</v>
      </c>
      <c r="X754" s="40">
        <f>VLOOKUP(A754,kurspris!$A$1:$Q$913,15,FALSE)</f>
        <v>26554</v>
      </c>
      <c r="Y754" s="40">
        <f>VLOOKUP(A754,kurspris!$A$1:$Q$913,16,FALSE)</f>
        <v>33465</v>
      </c>
      <c r="Z754" s="40">
        <f t="shared" si="332"/>
        <v>123748.3125</v>
      </c>
      <c r="AA754" s="40">
        <f>VLOOKUP(A754,kurspris!$A$1:$Q$913,17,FALSE)</f>
        <v>6000</v>
      </c>
      <c r="AB754" s="40">
        <f t="shared" si="333"/>
        <v>13500</v>
      </c>
      <c r="AC754" s="40">
        <f t="shared" si="334"/>
        <v>137248.3125</v>
      </c>
      <c r="AD754" s="31">
        <f>VLOOKUP($A754,kurspris!$A$1:$Q$950,3,FALSE)</f>
        <v>0</v>
      </c>
      <c r="AE754" s="31">
        <f>VLOOKUP($A754,kurspris!$A$1:$Q$950,4,FALSE)</f>
        <v>0</v>
      </c>
      <c r="AF754" s="31">
        <f>VLOOKUP($A754,kurspris!$A$1:$Q$950,5,FALSE)</f>
        <v>0</v>
      </c>
      <c r="AG754" s="31">
        <f>VLOOKUP($A754,kurspris!$A$1:$Q$950,6,FALSE)</f>
        <v>1</v>
      </c>
      <c r="AH754" s="31">
        <f>VLOOKUP($A754,kurspris!$A$1:$Q$950,7,FALSE)</f>
        <v>0</v>
      </c>
      <c r="AI754" s="31">
        <f>VLOOKUP($A754,kurspris!$A$1:$Q$950,8,FALSE)</f>
        <v>0</v>
      </c>
      <c r="AJ754" s="31">
        <f>VLOOKUP($A754,kurspris!$A$1:$Q$950,9,FALSE)</f>
        <v>0</v>
      </c>
      <c r="AK754" s="31">
        <f>VLOOKUP($A754,kurspris!$A$1:$Q$950,10,FALSE)</f>
        <v>0</v>
      </c>
      <c r="AL754" s="31">
        <f>VLOOKUP($A754,kurspris!$A$1:$Q$950,11,FALSE)</f>
        <v>0</v>
      </c>
      <c r="AM754" s="31">
        <f>VLOOKUP($A754,kurspris!$A$1:$Q$950,12,FALSE)</f>
        <v>0</v>
      </c>
      <c r="AN754" s="31">
        <f>VLOOKUP($A754,kurspris!$A$1:$Q$950,13,FALSE)</f>
        <v>0</v>
      </c>
      <c r="AO754" s="31">
        <f>VLOOKUP($A754,kurspris!$A$1:$Q$950,14,FALSE)</f>
        <v>0</v>
      </c>
      <c r="AP754" s="57" t="s">
        <v>2402</v>
      </c>
      <c r="AQ754"/>
      <c r="AR754" s="31">
        <f t="shared" si="335"/>
        <v>0</v>
      </c>
      <c r="AS754" s="219">
        <f t="shared" si="336"/>
        <v>0</v>
      </c>
      <c r="AT754" s="31">
        <f t="shared" si="337"/>
        <v>0</v>
      </c>
      <c r="AU754" s="219">
        <f t="shared" si="338"/>
        <v>0</v>
      </c>
      <c r="AV754" s="31">
        <f t="shared" si="339"/>
        <v>0</v>
      </c>
      <c r="AW754" s="31">
        <f t="shared" si="340"/>
        <v>0</v>
      </c>
      <c r="AX754" s="31">
        <f t="shared" si="341"/>
        <v>2.25</v>
      </c>
      <c r="AY754" s="219">
        <f t="shared" si="342"/>
        <v>1.9124999999999999</v>
      </c>
      <c r="AZ754" s="196">
        <f t="shared" si="343"/>
        <v>0</v>
      </c>
      <c r="BA754" s="219">
        <f t="shared" si="344"/>
        <v>0</v>
      </c>
      <c r="BB754" s="31">
        <f t="shared" si="345"/>
        <v>0</v>
      </c>
      <c r="BC754" s="219">
        <f t="shared" si="346"/>
        <v>0</v>
      </c>
      <c r="BD754" s="31">
        <f t="shared" si="347"/>
        <v>0</v>
      </c>
      <c r="BE754" s="219">
        <f t="shared" si="348"/>
        <v>0</v>
      </c>
      <c r="BF754" s="31">
        <f t="shared" si="349"/>
        <v>0</v>
      </c>
      <c r="BG754" s="219">
        <f t="shared" si="350"/>
        <v>0</v>
      </c>
      <c r="BH754" s="31">
        <f t="shared" si="351"/>
        <v>0</v>
      </c>
      <c r="BI754" s="219">
        <f t="shared" si="352"/>
        <v>0</v>
      </c>
      <c r="BJ754" s="31">
        <f t="shared" si="353"/>
        <v>0</v>
      </c>
      <c r="BK754" s="219">
        <f t="shared" si="354"/>
        <v>0</v>
      </c>
      <c r="BL754" s="31">
        <f t="shared" si="355"/>
        <v>0</v>
      </c>
      <c r="BM754" s="219">
        <f t="shared" si="356"/>
        <v>0</v>
      </c>
      <c r="BN754" s="31">
        <f t="shared" si="357"/>
        <v>0</v>
      </c>
      <c r="BO754" s="219">
        <f t="shared" si="358"/>
        <v>0</v>
      </c>
    </row>
    <row r="755" spans="1:67" x14ac:dyDescent="0.25">
      <c r="A755" s="31" t="s">
        <v>2137</v>
      </c>
      <c r="B755" s="176" t="str">
        <f>VLOOKUP(A755,kurspris!$A$1:$B$992,2,FALSE)</f>
        <v>Forskningsmetod och profession (UVK)</v>
      </c>
      <c r="C755" s="31">
        <v>68720</v>
      </c>
      <c r="D755" s="60" t="s">
        <v>483</v>
      </c>
      <c r="E755" s="60"/>
      <c r="F755" s="57" t="s">
        <v>2274</v>
      </c>
      <c r="H755" s="31" t="s">
        <v>2336</v>
      </c>
      <c r="I755" s="31" t="s">
        <v>2399</v>
      </c>
      <c r="L755" s="38"/>
      <c r="M755">
        <v>7.5</v>
      </c>
      <c r="P755" s="31">
        <v>16</v>
      </c>
      <c r="Q755" s="539">
        <v>2</v>
      </c>
      <c r="R755" s="38">
        <v>0.85</v>
      </c>
      <c r="S755" s="280">
        <f t="shared" si="331"/>
        <v>1.7</v>
      </c>
      <c r="T755" s="31">
        <f>VLOOKUP(A755,'Ansvar kurs'!$A$1:$C$1123,2,FALSE)</f>
        <v>2193</v>
      </c>
      <c r="U755" s="31" t="str">
        <f>VLOOKUP(T755,Orgenheter!$A$1:$C$166,2,FALSE)</f>
        <v xml:space="preserve">TUV </v>
      </c>
      <c r="V755" s="31" t="str">
        <f>VLOOKUP(T755,Orgenheter!$A$1:$C$166,3,FALSE)</f>
        <v>Sam</v>
      </c>
      <c r="W755" s="35" t="str">
        <f>VLOOKUP(D755,Program!$A$1:$B$36,2,FALSE)</f>
        <v>Förskollärarprogrammet</v>
      </c>
      <c r="X755" s="40">
        <f>VLOOKUP(A755,kurspris!$A$1:$Q$913,15,FALSE)</f>
        <v>26554</v>
      </c>
      <c r="Y755" s="40">
        <f>VLOOKUP(A755,kurspris!$A$1:$Q$913,16,FALSE)</f>
        <v>33465</v>
      </c>
      <c r="Z755" s="40">
        <f t="shared" si="332"/>
        <v>109998.5</v>
      </c>
      <c r="AA755" s="40">
        <f>VLOOKUP(A755,kurspris!$A$1:$Q$913,17,FALSE)</f>
        <v>6000</v>
      </c>
      <c r="AB755" s="40">
        <f t="shared" si="333"/>
        <v>12000</v>
      </c>
      <c r="AC755" s="40">
        <f t="shared" si="334"/>
        <v>121998.5</v>
      </c>
      <c r="AD755" s="31">
        <f>VLOOKUP($A755,kurspris!$A$1:$Q$950,3,FALSE)</f>
        <v>0</v>
      </c>
      <c r="AE755" s="31">
        <f>VLOOKUP($A755,kurspris!$A$1:$Q$950,4,FALSE)</f>
        <v>0</v>
      </c>
      <c r="AF755" s="31">
        <f>VLOOKUP($A755,kurspris!$A$1:$Q$950,5,FALSE)</f>
        <v>0</v>
      </c>
      <c r="AG755" s="31">
        <f>VLOOKUP($A755,kurspris!$A$1:$Q$950,6,FALSE)</f>
        <v>1</v>
      </c>
      <c r="AH755" s="31">
        <f>VLOOKUP($A755,kurspris!$A$1:$Q$950,7,FALSE)</f>
        <v>0</v>
      </c>
      <c r="AI755" s="31">
        <f>VLOOKUP($A755,kurspris!$A$1:$Q$950,8,FALSE)</f>
        <v>0</v>
      </c>
      <c r="AJ755" s="31">
        <f>VLOOKUP($A755,kurspris!$A$1:$Q$950,9,FALSE)</f>
        <v>0</v>
      </c>
      <c r="AK755" s="31">
        <f>VLOOKUP($A755,kurspris!$A$1:$Q$950,10,FALSE)</f>
        <v>0</v>
      </c>
      <c r="AL755" s="31">
        <f>VLOOKUP($A755,kurspris!$A$1:$Q$950,11,FALSE)</f>
        <v>0</v>
      </c>
      <c r="AM755" s="31">
        <f>VLOOKUP($A755,kurspris!$A$1:$Q$950,12,FALSE)</f>
        <v>0</v>
      </c>
      <c r="AN755" s="31">
        <f>VLOOKUP($A755,kurspris!$A$1:$Q$950,13,FALSE)</f>
        <v>0</v>
      </c>
      <c r="AO755" s="31">
        <f>VLOOKUP($A755,kurspris!$A$1:$Q$950,14,FALSE)</f>
        <v>0</v>
      </c>
      <c r="AP755" s="57" t="s">
        <v>2402</v>
      </c>
      <c r="AQ755"/>
      <c r="AR755" s="31">
        <f t="shared" si="335"/>
        <v>0</v>
      </c>
      <c r="AS755" s="219">
        <f t="shared" si="336"/>
        <v>0</v>
      </c>
      <c r="AT755" s="31">
        <f t="shared" si="337"/>
        <v>0</v>
      </c>
      <c r="AU755" s="219">
        <f t="shared" si="338"/>
        <v>0</v>
      </c>
      <c r="AV755" s="31">
        <f t="shared" si="339"/>
        <v>0</v>
      </c>
      <c r="AW755" s="31">
        <f t="shared" si="340"/>
        <v>0</v>
      </c>
      <c r="AX755" s="31">
        <f t="shared" si="341"/>
        <v>2</v>
      </c>
      <c r="AY755" s="219">
        <f t="shared" si="342"/>
        <v>1.7</v>
      </c>
      <c r="AZ755" s="196">
        <f t="shared" si="343"/>
        <v>0</v>
      </c>
      <c r="BA755" s="219">
        <f t="shared" si="344"/>
        <v>0</v>
      </c>
      <c r="BB755" s="31">
        <f t="shared" si="345"/>
        <v>0</v>
      </c>
      <c r="BC755" s="219">
        <f t="shared" si="346"/>
        <v>0</v>
      </c>
      <c r="BD755" s="31">
        <f t="shared" si="347"/>
        <v>0</v>
      </c>
      <c r="BE755" s="219">
        <f t="shared" si="348"/>
        <v>0</v>
      </c>
      <c r="BF755" s="31">
        <f t="shared" si="349"/>
        <v>0</v>
      </c>
      <c r="BG755" s="219">
        <f t="shared" si="350"/>
        <v>0</v>
      </c>
      <c r="BH755" s="31">
        <f t="shared" si="351"/>
        <v>0</v>
      </c>
      <c r="BI755" s="219">
        <f t="shared" si="352"/>
        <v>0</v>
      </c>
      <c r="BJ755" s="31">
        <f t="shared" si="353"/>
        <v>0</v>
      </c>
      <c r="BK755" s="219">
        <f t="shared" si="354"/>
        <v>0</v>
      </c>
      <c r="BL755" s="31">
        <f t="shared" si="355"/>
        <v>0</v>
      </c>
      <c r="BM755" s="219">
        <f t="shared" si="356"/>
        <v>0</v>
      </c>
      <c r="BN755" s="31">
        <f t="shared" si="357"/>
        <v>0</v>
      </c>
      <c r="BO755" s="219">
        <f t="shared" si="358"/>
        <v>0</v>
      </c>
    </row>
    <row r="756" spans="1:67" x14ac:dyDescent="0.25">
      <c r="A756" s="31" t="s">
        <v>2138</v>
      </c>
      <c r="B756" s="176" t="str">
        <f>VLOOKUP(A756,kurspris!$A$1:$B$992,2,FALSE)</f>
        <v>Examensarbete för förskollärarexamen</v>
      </c>
      <c r="D756" s="60" t="s">
        <v>483</v>
      </c>
      <c r="E756" s="576" t="s">
        <v>2225</v>
      </c>
      <c r="F756" s="31" t="s">
        <v>2273</v>
      </c>
      <c r="G756" t="s">
        <v>2437</v>
      </c>
      <c r="H756" t="s">
        <v>2335</v>
      </c>
      <c r="I756" s="31" t="s">
        <v>2276</v>
      </c>
      <c r="L756" s="38">
        <v>1</v>
      </c>
      <c r="M756">
        <v>15</v>
      </c>
      <c r="P756" s="31">
        <v>38</v>
      </c>
      <c r="Q756" s="196">
        <f>(M756/60)*P756</f>
        <v>9.5</v>
      </c>
      <c r="R756" s="38">
        <v>0.85</v>
      </c>
      <c r="S756" s="280">
        <f t="shared" si="331"/>
        <v>8.0749999999999993</v>
      </c>
      <c r="T756" s="31">
        <f>VLOOKUP(A756,'Ansvar kurs'!$A$1:$C$1123,2,FALSE)</f>
        <v>2193</v>
      </c>
      <c r="U756" s="31" t="str">
        <f>VLOOKUP(T756,Orgenheter!$A$1:$C$166,2,FALSE)</f>
        <v xml:space="preserve">TUV </v>
      </c>
      <c r="V756" s="31" t="str">
        <f>VLOOKUP(T756,Orgenheter!$A$1:$C$166,3,FALSE)</f>
        <v>Sam</v>
      </c>
      <c r="W756" s="35" t="str">
        <f>VLOOKUP(D756,Program!$A$1:$B$36,2,FALSE)</f>
        <v>Förskollärarprogrammet</v>
      </c>
      <c r="X756" s="40">
        <f>VLOOKUP(A756,kurspris!$A$1:$Q$913,15,FALSE)</f>
        <v>20766</v>
      </c>
      <c r="Y756" s="40">
        <f>VLOOKUP(A756,kurspris!$A$1:$Q$913,16,FALSE)</f>
        <v>17442</v>
      </c>
      <c r="Z756" s="40">
        <f t="shared" si="332"/>
        <v>338121.15</v>
      </c>
      <c r="AA756" s="40">
        <f>VLOOKUP(A756,kurspris!$A$1:$Q$913,17,FALSE)</f>
        <v>6000</v>
      </c>
      <c r="AB756" s="40">
        <f t="shared" si="333"/>
        <v>57000</v>
      </c>
      <c r="AC756" s="40">
        <f t="shared" si="334"/>
        <v>395121.15</v>
      </c>
      <c r="AD756" s="31">
        <f>VLOOKUP($A756,kurspris!$A$1:$Q$950,3,FALSE)</f>
        <v>0</v>
      </c>
      <c r="AE756" s="31">
        <f>VLOOKUP($A756,kurspris!$A$1:$Q$950,4,FALSE)</f>
        <v>0</v>
      </c>
      <c r="AF756" s="31">
        <f>VLOOKUP($A756,kurspris!$A$1:$Q$950,5,FALSE)</f>
        <v>0</v>
      </c>
      <c r="AG756" s="31">
        <f>VLOOKUP($A756,kurspris!$A$1:$Q$950,6,FALSE)</f>
        <v>0</v>
      </c>
      <c r="AH756" s="31">
        <f>VLOOKUP($A756,kurspris!$A$1:$Q$950,7,FALSE)</f>
        <v>0</v>
      </c>
      <c r="AI756" s="31">
        <f>VLOOKUP($A756,kurspris!$A$1:$Q$950,8,FALSE)</f>
        <v>0</v>
      </c>
      <c r="AJ756" s="31">
        <f>VLOOKUP($A756,kurspris!$A$1:$Q$950,9,FALSE)</f>
        <v>1</v>
      </c>
      <c r="AK756" s="31">
        <f>VLOOKUP($A756,kurspris!$A$1:$Q$950,10,FALSE)</f>
        <v>0</v>
      </c>
      <c r="AL756" s="31">
        <f>VLOOKUP($A756,kurspris!$A$1:$Q$950,11,FALSE)</f>
        <v>0</v>
      </c>
      <c r="AM756" s="31">
        <f>VLOOKUP($A756,kurspris!$A$1:$Q$950,12,FALSE)</f>
        <v>0</v>
      </c>
      <c r="AN756" s="31">
        <f>VLOOKUP($A756,kurspris!$A$1:$Q$950,13,FALSE)</f>
        <v>0</v>
      </c>
      <c r="AO756" s="31">
        <f>VLOOKUP($A756,kurspris!$A$1:$Q$950,14,FALSE)</f>
        <v>0</v>
      </c>
      <c r="AP756" s="57" t="s">
        <v>2506</v>
      </c>
      <c r="AQ756"/>
      <c r="AR756" s="31">
        <f t="shared" si="335"/>
        <v>0</v>
      </c>
      <c r="AS756" s="219">
        <f t="shared" si="336"/>
        <v>0</v>
      </c>
      <c r="AT756" s="31">
        <f t="shared" si="337"/>
        <v>0</v>
      </c>
      <c r="AU756" s="219">
        <f t="shared" si="338"/>
        <v>0</v>
      </c>
      <c r="AV756" s="31">
        <f t="shared" si="339"/>
        <v>0</v>
      </c>
      <c r="AW756" s="31">
        <f t="shared" si="340"/>
        <v>0</v>
      </c>
      <c r="AX756" s="31">
        <f t="shared" si="341"/>
        <v>0</v>
      </c>
      <c r="AY756" s="219">
        <f t="shared" si="342"/>
        <v>0</v>
      </c>
      <c r="AZ756" s="196">
        <f t="shared" si="343"/>
        <v>0</v>
      </c>
      <c r="BA756" s="219">
        <f t="shared" si="344"/>
        <v>0</v>
      </c>
      <c r="BB756" s="31">
        <f t="shared" si="345"/>
        <v>0</v>
      </c>
      <c r="BC756" s="219">
        <f t="shared" si="346"/>
        <v>0</v>
      </c>
      <c r="BD756" s="31">
        <f t="shared" si="347"/>
        <v>9.5</v>
      </c>
      <c r="BE756" s="219">
        <f t="shared" si="348"/>
        <v>8.0749999999999993</v>
      </c>
      <c r="BF756" s="31">
        <f t="shared" si="349"/>
        <v>0</v>
      </c>
      <c r="BG756" s="219">
        <f t="shared" si="350"/>
        <v>0</v>
      </c>
      <c r="BH756" s="31">
        <f t="shared" si="351"/>
        <v>0</v>
      </c>
      <c r="BI756" s="219">
        <f t="shared" si="352"/>
        <v>0</v>
      </c>
      <c r="BJ756" s="31">
        <f t="shared" si="353"/>
        <v>0</v>
      </c>
      <c r="BK756" s="219">
        <f t="shared" si="354"/>
        <v>0</v>
      </c>
      <c r="BL756" s="31">
        <f t="shared" si="355"/>
        <v>0</v>
      </c>
      <c r="BM756" s="219">
        <f t="shared" si="356"/>
        <v>0</v>
      </c>
      <c r="BN756" s="31">
        <f t="shared" si="357"/>
        <v>0</v>
      </c>
      <c r="BO756" s="219">
        <f t="shared" si="358"/>
        <v>0</v>
      </c>
    </row>
    <row r="757" spans="1:67" x14ac:dyDescent="0.25">
      <c r="A757" s="31" t="s">
        <v>2138</v>
      </c>
      <c r="B757" s="176" t="str">
        <f>VLOOKUP(A757,kurspris!$A$1:$B$992,2,FALSE)</f>
        <v>Examensarbete för förskollärarexamen</v>
      </c>
      <c r="D757" s="60" t="s">
        <v>483</v>
      </c>
      <c r="E757" s="576" t="s">
        <v>2430</v>
      </c>
      <c r="F757" s="31" t="s">
        <v>2273</v>
      </c>
      <c r="G757" t="s">
        <v>2437</v>
      </c>
      <c r="H757" t="s">
        <v>2335</v>
      </c>
      <c r="I757" s="31" t="s">
        <v>2276</v>
      </c>
      <c r="L757" s="38">
        <v>1</v>
      </c>
      <c r="M757">
        <v>15</v>
      </c>
      <c r="P757" s="31">
        <v>1</v>
      </c>
      <c r="Q757" s="196">
        <f>(M757/60)*P757</f>
        <v>0.25</v>
      </c>
      <c r="R757" s="38">
        <v>0.85</v>
      </c>
      <c r="S757" s="280">
        <f t="shared" si="331"/>
        <v>0.21249999999999999</v>
      </c>
      <c r="T757" s="31">
        <f>VLOOKUP(A757,'Ansvar kurs'!$A$1:$C$1123,2,FALSE)</f>
        <v>2193</v>
      </c>
      <c r="U757" s="31" t="str">
        <f>VLOOKUP(T757,Orgenheter!$A$1:$C$166,2,FALSE)</f>
        <v xml:space="preserve">TUV </v>
      </c>
      <c r="V757" s="31" t="str">
        <f>VLOOKUP(T757,Orgenheter!$A$1:$C$166,3,FALSE)</f>
        <v>Sam</v>
      </c>
      <c r="W757" s="35" t="str">
        <f>VLOOKUP(D757,Program!$A$1:$B$36,2,FALSE)</f>
        <v>Förskollärarprogrammet</v>
      </c>
      <c r="X757" s="40">
        <f>VLOOKUP(A757,kurspris!$A$1:$Q$913,15,FALSE)</f>
        <v>20766</v>
      </c>
      <c r="Y757" s="40">
        <f>VLOOKUP(A757,kurspris!$A$1:$Q$913,16,FALSE)</f>
        <v>17442</v>
      </c>
      <c r="Z757" s="40">
        <f t="shared" si="332"/>
        <v>8897.9249999999993</v>
      </c>
      <c r="AA757" s="40">
        <f>VLOOKUP(A757,kurspris!$A$1:$Q$913,17,FALSE)</f>
        <v>6000</v>
      </c>
      <c r="AB757" s="40">
        <f t="shared" si="333"/>
        <v>1500</v>
      </c>
      <c r="AC757" s="40">
        <f t="shared" si="334"/>
        <v>10397.924999999999</v>
      </c>
      <c r="AD757" s="31">
        <f>VLOOKUP($A757,kurspris!$A$1:$Q$950,3,FALSE)</f>
        <v>0</v>
      </c>
      <c r="AE757" s="31">
        <f>VLOOKUP($A757,kurspris!$A$1:$Q$950,4,FALSE)</f>
        <v>0</v>
      </c>
      <c r="AF757" s="31">
        <f>VLOOKUP($A757,kurspris!$A$1:$Q$950,5,FALSE)</f>
        <v>0</v>
      </c>
      <c r="AG757" s="31">
        <f>VLOOKUP($A757,kurspris!$A$1:$Q$950,6,FALSE)</f>
        <v>0</v>
      </c>
      <c r="AH757" s="31">
        <f>VLOOKUP($A757,kurspris!$A$1:$Q$950,7,FALSE)</f>
        <v>0</v>
      </c>
      <c r="AI757" s="31">
        <f>VLOOKUP($A757,kurspris!$A$1:$Q$950,8,FALSE)</f>
        <v>0</v>
      </c>
      <c r="AJ757" s="31">
        <f>VLOOKUP($A757,kurspris!$A$1:$Q$950,9,FALSE)</f>
        <v>1</v>
      </c>
      <c r="AK757" s="31">
        <f>VLOOKUP($A757,kurspris!$A$1:$Q$950,10,FALSE)</f>
        <v>0</v>
      </c>
      <c r="AL757" s="31">
        <f>VLOOKUP($A757,kurspris!$A$1:$Q$950,11,FALSE)</f>
        <v>0</v>
      </c>
      <c r="AM757" s="31">
        <f>VLOOKUP($A757,kurspris!$A$1:$Q$950,12,FALSE)</f>
        <v>0</v>
      </c>
      <c r="AN757" s="31">
        <f>VLOOKUP($A757,kurspris!$A$1:$Q$950,13,FALSE)</f>
        <v>0</v>
      </c>
      <c r="AO757" s="31">
        <f>VLOOKUP($A757,kurspris!$A$1:$Q$950,14,FALSE)</f>
        <v>0</v>
      </c>
      <c r="AP757" s="57" t="s">
        <v>2506</v>
      </c>
      <c r="AQ757"/>
      <c r="AR757" s="31">
        <f t="shared" si="335"/>
        <v>0</v>
      </c>
      <c r="AS757" s="219">
        <f t="shared" si="336"/>
        <v>0</v>
      </c>
      <c r="AT757" s="31">
        <f t="shared" si="337"/>
        <v>0</v>
      </c>
      <c r="AU757" s="219">
        <f t="shared" si="338"/>
        <v>0</v>
      </c>
      <c r="AV757" s="31">
        <f t="shared" si="339"/>
        <v>0</v>
      </c>
      <c r="AW757" s="31">
        <f t="shared" si="340"/>
        <v>0</v>
      </c>
      <c r="AX757" s="31">
        <f t="shared" si="341"/>
        <v>0</v>
      </c>
      <c r="AY757" s="219">
        <f t="shared" si="342"/>
        <v>0</v>
      </c>
      <c r="AZ757" s="196">
        <f t="shared" si="343"/>
        <v>0</v>
      </c>
      <c r="BA757" s="219">
        <f t="shared" si="344"/>
        <v>0</v>
      </c>
      <c r="BB757" s="31">
        <f t="shared" si="345"/>
        <v>0</v>
      </c>
      <c r="BC757" s="219">
        <f t="shared" si="346"/>
        <v>0</v>
      </c>
      <c r="BD757" s="31">
        <f t="shared" si="347"/>
        <v>0.25</v>
      </c>
      <c r="BE757" s="219">
        <f t="shared" si="348"/>
        <v>0.21249999999999999</v>
      </c>
      <c r="BF757" s="31">
        <f t="shared" si="349"/>
        <v>0</v>
      </c>
      <c r="BG757" s="219">
        <f t="shared" si="350"/>
        <v>0</v>
      </c>
      <c r="BH757" s="31">
        <f t="shared" si="351"/>
        <v>0</v>
      </c>
      <c r="BI757" s="219">
        <f t="shared" si="352"/>
        <v>0</v>
      </c>
      <c r="BJ757" s="31">
        <f t="shared" si="353"/>
        <v>0</v>
      </c>
      <c r="BK757" s="219">
        <f t="shared" si="354"/>
        <v>0</v>
      </c>
      <c r="BL757" s="31">
        <f t="shared" si="355"/>
        <v>0</v>
      </c>
      <c r="BM757" s="219">
        <f t="shared" si="356"/>
        <v>0</v>
      </c>
      <c r="BN757" s="31">
        <f t="shared" si="357"/>
        <v>0</v>
      </c>
      <c r="BO757" s="219">
        <f t="shared" si="358"/>
        <v>0</v>
      </c>
    </row>
    <row r="758" spans="1:67" x14ac:dyDescent="0.25">
      <c r="A758" s="31" t="s">
        <v>2138</v>
      </c>
      <c r="B758" s="176" t="str">
        <f>VLOOKUP(A758,kurspris!$A$1:$B$992,2,FALSE)</f>
        <v>Examensarbete för förskollärarexamen</v>
      </c>
      <c r="D758" s="60" t="s">
        <v>483</v>
      </c>
      <c r="E758" s="576" t="s">
        <v>2431</v>
      </c>
      <c r="F758" s="31" t="s">
        <v>2273</v>
      </c>
      <c r="G758" t="s">
        <v>2437</v>
      </c>
      <c r="H758" t="s">
        <v>2335</v>
      </c>
      <c r="I758" s="31" t="s">
        <v>2276</v>
      </c>
      <c r="L758" s="38">
        <v>1</v>
      </c>
      <c r="M758">
        <v>15</v>
      </c>
      <c r="P758" s="31">
        <v>1</v>
      </c>
      <c r="Q758" s="196">
        <f>(M758/60)*P758</f>
        <v>0.25</v>
      </c>
      <c r="R758" s="38">
        <v>0.85</v>
      </c>
      <c r="S758" s="280">
        <f t="shared" si="331"/>
        <v>0.21249999999999999</v>
      </c>
      <c r="T758" s="31">
        <f>VLOOKUP(A758,'Ansvar kurs'!$A$1:$C$1123,2,FALSE)</f>
        <v>2193</v>
      </c>
      <c r="U758" s="31" t="str">
        <f>VLOOKUP(T758,Orgenheter!$A$1:$C$166,2,FALSE)</f>
        <v xml:space="preserve">TUV </v>
      </c>
      <c r="V758" s="31" t="str">
        <f>VLOOKUP(T758,Orgenheter!$A$1:$C$166,3,FALSE)</f>
        <v>Sam</v>
      </c>
      <c r="W758" s="35" t="str">
        <f>VLOOKUP(D758,Program!$A$1:$B$36,2,FALSE)</f>
        <v>Förskollärarprogrammet</v>
      </c>
      <c r="X758" s="40">
        <f>VLOOKUP(A758,kurspris!$A$1:$Q$913,15,FALSE)</f>
        <v>20766</v>
      </c>
      <c r="Y758" s="40">
        <f>VLOOKUP(A758,kurspris!$A$1:$Q$913,16,FALSE)</f>
        <v>17442</v>
      </c>
      <c r="Z758" s="40">
        <f t="shared" si="332"/>
        <v>8897.9249999999993</v>
      </c>
      <c r="AA758" s="40">
        <f>VLOOKUP(A758,kurspris!$A$1:$Q$913,17,FALSE)</f>
        <v>6000</v>
      </c>
      <c r="AB758" s="40">
        <f t="shared" si="333"/>
        <v>1500</v>
      </c>
      <c r="AC758" s="40">
        <f t="shared" si="334"/>
        <v>10397.924999999999</v>
      </c>
      <c r="AD758" s="31">
        <f>VLOOKUP($A758,kurspris!$A$1:$Q$950,3,FALSE)</f>
        <v>0</v>
      </c>
      <c r="AE758" s="31">
        <f>VLOOKUP($A758,kurspris!$A$1:$Q$950,4,FALSE)</f>
        <v>0</v>
      </c>
      <c r="AF758" s="31">
        <f>VLOOKUP($A758,kurspris!$A$1:$Q$950,5,FALSE)</f>
        <v>0</v>
      </c>
      <c r="AG758" s="31">
        <f>VLOOKUP($A758,kurspris!$A$1:$Q$950,6,FALSE)</f>
        <v>0</v>
      </c>
      <c r="AH758" s="31">
        <f>VLOOKUP($A758,kurspris!$A$1:$Q$950,7,FALSE)</f>
        <v>0</v>
      </c>
      <c r="AI758" s="31">
        <f>VLOOKUP($A758,kurspris!$A$1:$Q$950,8,FALSE)</f>
        <v>0</v>
      </c>
      <c r="AJ758" s="31">
        <f>VLOOKUP($A758,kurspris!$A$1:$Q$950,9,FALSE)</f>
        <v>1</v>
      </c>
      <c r="AK758" s="31">
        <f>VLOOKUP($A758,kurspris!$A$1:$Q$950,10,FALSE)</f>
        <v>0</v>
      </c>
      <c r="AL758" s="31">
        <f>VLOOKUP($A758,kurspris!$A$1:$Q$950,11,FALSE)</f>
        <v>0</v>
      </c>
      <c r="AM758" s="31">
        <f>VLOOKUP($A758,kurspris!$A$1:$Q$950,12,FALSE)</f>
        <v>0</v>
      </c>
      <c r="AN758" s="31">
        <f>VLOOKUP($A758,kurspris!$A$1:$Q$950,13,FALSE)</f>
        <v>0</v>
      </c>
      <c r="AO758" s="31">
        <f>VLOOKUP($A758,kurspris!$A$1:$Q$950,14,FALSE)</f>
        <v>0</v>
      </c>
      <c r="AP758" s="57" t="s">
        <v>2506</v>
      </c>
      <c r="AQ758"/>
      <c r="AR758" s="31">
        <f t="shared" si="335"/>
        <v>0</v>
      </c>
      <c r="AS758" s="219">
        <f t="shared" si="336"/>
        <v>0</v>
      </c>
      <c r="AT758" s="31">
        <f t="shared" si="337"/>
        <v>0</v>
      </c>
      <c r="AU758" s="219">
        <f t="shared" si="338"/>
        <v>0</v>
      </c>
      <c r="AV758" s="31">
        <f t="shared" si="339"/>
        <v>0</v>
      </c>
      <c r="AW758" s="31">
        <f t="shared" si="340"/>
        <v>0</v>
      </c>
      <c r="AX758" s="31">
        <f t="shared" si="341"/>
        <v>0</v>
      </c>
      <c r="AY758" s="219">
        <f t="shared" si="342"/>
        <v>0</v>
      </c>
      <c r="AZ758" s="196">
        <f t="shared" si="343"/>
        <v>0</v>
      </c>
      <c r="BA758" s="219">
        <f t="shared" si="344"/>
        <v>0</v>
      </c>
      <c r="BB758" s="31">
        <f t="shared" si="345"/>
        <v>0</v>
      </c>
      <c r="BC758" s="219">
        <f t="shared" si="346"/>
        <v>0</v>
      </c>
      <c r="BD758" s="31">
        <f t="shared" si="347"/>
        <v>0.25</v>
      </c>
      <c r="BE758" s="219">
        <f t="shared" si="348"/>
        <v>0.21249999999999999</v>
      </c>
      <c r="BF758" s="31">
        <f t="shared" si="349"/>
        <v>0</v>
      </c>
      <c r="BG758" s="219">
        <f t="shared" si="350"/>
        <v>0</v>
      </c>
      <c r="BH758" s="31">
        <f t="shared" si="351"/>
        <v>0</v>
      </c>
      <c r="BI758" s="219">
        <f t="shared" si="352"/>
        <v>0</v>
      </c>
      <c r="BJ758" s="31">
        <f t="shared" si="353"/>
        <v>0</v>
      </c>
      <c r="BK758" s="219">
        <f t="shared" si="354"/>
        <v>0</v>
      </c>
      <c r="BL758" s="31">
        <f t="shared" si="355"/>
        <v>0</v>
      </c>
      <c r="BM758" s="219">
        <f t="shared" si="356"/>
        <v>0</v>
      </c>
      <c r="BN758" s="31">
        <f t="shared" si="357"/>
        <v>0</v>
      </c>
      <c r="BO758" s="219">
        <f t="shared" si="358"/>
        <v>0</v>
      </c>
    </row>
    <row r="759" spans="1:67" x14ac:dyDescent="0.25">
      <c r="A759" s="157" t="s">
        <v>2138</v>
      </c>
      <c r="B759" s="176" t="str">
        <f>VLOOKUP(A759,kurspris!$A$1:$B$992,2,FALSE)</f>
        <v>Examensarbete för förskollärarexamen</v>
      </c>
      <c r="C759" s="31">
        <v>68712</v>
      </c>
      <c r="D759" s="31" t="s">
        <v>483</v>
      </c>
      <c r="E759" s="60"/>
      <c r="F759" s="57" t="s">
        <v>2274</v>
      </c>
      <c r="H759" s="31" t="s">
        <v>2335</v>
      </c>
      <c r="I759" s="60" t="s">
        <v>2399</v>
      </c>
      <c r="L759" s="38"/>
      <c r="M759">
        <v>15</v>
      </c>
      <c r="P759" s="31">
        <v>18</v>
      </c>
      <c r="Q759" s="539">
        <v>4.5</v>
      </c>
      <c r="R759" s="38">
        <v>0.85</v>
      </c>
      <c r="S759" s="280">
        <f t="shared" si="331"/>
        <v>3.8249999999999997</v>
      </c>
      <c r="T759" s="31">
        <f>VLOOKUP(A759,'Ansvar kurs'!$A$1:$C$1123,2,FALSE)</f>
        <v>2193</v>
      </c>
      <c r="U759" s="31" t="str">
        <f>VLOOKUP(T759,Orgenheter!$A$1:$C$166,2,FALSE)</f>
        <v xml:space="preserve">TUV </v>
      </c>
      <c r="V759" s="31" t="str">
        <f>VLOOKUP(T759,Orgenheter!$A$1:$C$166,3,FALSE)</f>
        <v>Sam</v>
      </c>
      <c r="W759" s="35" t="str">
        <f>VLOOKUP(D759,Program!$A$1:$B$36,2,FALSE)</f>
        <v>Förskollärarprogrammet</v>
      </c>
      <c r="X759" s="40">
        <f>VLOOKUP(A759,kurspris!$A$1:$Q$913,15,FALSE)</f>
        <v>20766</v>
      </c>
      <c r="Y759" s="40">
        <f>VLOOKUP(A759,kurspris!$A$1:$Q$913,16,FALSE)</f>
        <v>17442</v>
      </c>
      <c r="Z759" s="40">
        <f t="shared" si="332"/>
        <v>160162.65</v>
      </c>
      <c r="AA759" s="40">
        <f>VLOOKUP(A759,kurspris!$A$1:$Q$913,17,FALSE)</f>
        <v>6000</v>
      </c>
      <c r="AB759" s="40">
        <f t="shared" si="333"/>
        <v>27000</v>
      </c>
      <c r="AC759" s="40">
        <f t="shared" si="334"/>
        <v>187162.65</v>
      </c>
      <c r="AD759" s="31">
        <f>VLOOKUP($A759,kurspris!$A$1:$Q$950,3,FALSE)</f>
        <v>0</v>
      </c>
      <c r="AE759" s="31">
        <f>VLOOKUP($A759,kurspris!$A$1:$Q$950,4,FALSE)</f>
        <v>0</v>
      </c>
      <c r="AF759" s="31">
        <f>VLOOKUP($A759,kurspris!$A$1:$Q$950,5,FALSE)</f>
        <v>0</v>
      </c>
      <c r="AG759" s="31">
        <f>VLOOKUP($A759,kurspris!$A$1:$Q$950,6,FALSE)</f>
        <v>0</v>
      </c>
      <c r="AH759" s="31">
        <f>VLOOKUP($A759,kurspris!$A$1:$Q$950,7,FALSE)</f>
        <v>0</v>
      </c>
      <c r="AI759" s="31">
        <f>VLOOKUP($A759,kurspris!$A$1:$Q$950,8,FALSE)</f>
        <v>0</v>
      </c>
      <c r="AJ759" s="31">
        <f>VLOOKUP($A759,kurspris!$A$1:$Q$950,9,FALSE)</f>
        <v>1</v>
      </c>
      <c r="AK759" s="31">
        <f>VLOOKUP($A759,kurspris!$A$1:$Q$950,10,FALSE)</f>
        <v>0</v>
      </c>
      <c r="AL759" s="31">
        <f>VLOOKUP($A759,kurspris!$A$1:$Q$950,11,FALSE)</f>
        <v>0</v>
      </c>
      <c r="AM759" s="31">
        <f>VLOOKUP($A759,kurspris!$A$1:$Q$950,12,FALSE)</f>
        <v>0</v>
      </c>
      <c r="AN759" s="31">
        <f>VLOOKUP($A759,kurspris!$A$1:$Q$950,13,FALSE)</f>
        <v>0</v>
      </c>
      <c r="AO759" s="31">
        <f>VLOOKUP($A759,kurspris!$A$1:$Q$950,14,FALSE)</f>
        <v>0</v>
      </c>
      <c r="AP759" s="57" t="s">
        <v>2402</v>
      </c>
      <c r="AQ759" s="37"/>
      <c r="AR759" s="31">
        <f t="shared" si="335"/>
        <v>0</v>
      </c>
      <c r="AS759" s="219">
        <f t="shared" si="336"/>
        <v>0</v>
      </c>
      <c r="AT759" s="31">
        <f t="shared" si="337"/>
        <v>0</v>
      </c>
      <c r="AU759" s="219">
        <f t="shared" si="338"/>
        <v>0</v>
      </c>
      <c r="AV759" s="31">
        <f t="shared" si="339"/>
        <v>0</v>
      </c>
      <c r="AW759" s="31">
        <f t="shared" si="340"/>
        <v>0</v>
      </c>
      <c r="AX759" s="31">
        <f t="shared" si="341"/>
        <v>0</v>
      </c>
      <c r="AY759" s="219">
        <f t="shared" si="342"/>
        <v>0</v>
      </c>
      <c r="AZ759" s="196">
        <f t="shared" si="343"/>
        <v>0</v>
      </c>
      <c r="BA759" s="219">
        <f t="shared" si="344"/>
        <v>0</v>
      </c>
      <c r="BB759" s="31">
        <f t="shared" si="345"/>
        <v>0</v>
      </c>
      <c r="BC759" s="219">
        <f t="shared" si="346"/>
        <v>0</v>
      </c>
      <c r="BD759" s="31">
        <f t="shared" si="347"/>
        <v>4.5</v>
      </c>
      <c r="BE759" s="219">
        <f t="shared" si="348"/>
        <v>3.8249999999999997</v>
      </c>
      <c r="BF759" s="31">
        <f t="shared" si="349"/>
        <v>0</v>
      </c>
      <c r="BG759" s="219">
        <f t="shared" si="350"/>
        <v>0</v>
      </c>
      <c r="BH759" s="31">
        <f t="shared" si="351"/>
        <v>0</v>
      </c>
      <c r="BI759" s="219">
        <f t="shared" si="352"/>
        <v>0</v>
      </c>
      <c r="BJ759" s="31">
        <f t="shared" si="353"/>
        <v>0</v>
      </c>
      <c r="BK759" s="219">
        <f t="shared" si="354"/>
        <v>0</v>
      </c>
      <c r="BL759" s="31">
        <f t="shared" si="355"/>
        <v>0</v>
      </c>
      <c r="BM759" s="219">
        <f t="shared" si="356"/>
        <v>0</v>
      </c>
      <c r="BN759" s="31">
        <f t="shared" si="357"/>
        <v>0</v>
      </c>
      <c r="BO759" s="219">
        <f t="shared" si="358"/>
        <v>0</v>
      </c>
    </row>
    <row r="760" spans="1:67" x14ac:dyDescent="0.25">
      <c r="A760" s="31" t="s">
        <v>2138</v>
      </c>
      <c r="B760" s="176" t="str">
        <f>VLOOKUP(A760,kurspris!$A$1:$B$992,2,FALSE)</f>
        <v>Examensarbete för förskollärarexamen</v>
      </c>
      <c r="C760" s="31">
        <v>68721</v>
      </c>
      <c r="D760" s="60" t="s">
        <v>483</v>
      </c>
      <c r="E760" s="60"/>
      <c r="F760" s="57" t="s">
        <v>2274</v>
      </c>
      <c r="H760" s="31" t="s">
        <v>2336</v>
      </c>
      <c r="I760" s="31" t="s">
        <v>2399</v>
      </c>
      <c r="L760" s="38"/>
      <c r="M760">
        <v>15</v>
      </c>
      <c r="P760" s="31">
        <v>16</v>
      </c>
      <c r="Q760" s="539">
        <v>4</v>
      </c>
      <c r="R760" s="38">
        <v>0.85</v>
      </c>
      <c r="S760" s="280">
        <f t="shared" si="331"/>
        <v>3.4</v>
      </c>
      <c r="T760" s="31">
        <f>VLOOKUP(A760,'Ansvar kurs'!$A$1:$C$1123,2,FALSE)</f>
        <v>2193</v>
      </c>
      <c r="U760" s="31" t="str">
        <f>VLOOKUP(T760,Orgenheter!$A$1:$C$166,2,FALSE)</f>
        <v xml:space="preserve">TUV </v>
      </c>
      <c r="V760" s="31" t="str">
        <f>VLOOKUP(T760,Orgenheter!$A$1:$C$166,3,FALSE)</f>
        <v>Sam</v>
      </c>
      <c r="W760" s="35" t="str">
        <f>VLOOKUP(D760,Program!$A$1:$B$36,2,FALSE)</f>
        <v>Förskollärarprogrammet</v>
      </c>
      <c r="X760" s="40">
        <f>VLOOKUP(A760,kurspris!$A$1:$Q$913,15,FALSE)</f>
        <v>20766</v>
      </c>
      <c r="Y760" s="40">
        <f>VLOOKUP(A760,kurspris!$A$1:$Q$913,16,FALSE)</f>
        <v>17442</v>
      </c>
      <c r="Z760" s="40">
        <f t="shared" si="332"/>
        <v>142366.79999999999</v>
      </c>
      <c r="AA760" s="40">
        <f>VLOOKUP(A760,kurspris!$A$1:$Q$913,17,FALSE)</f>
        <v>6000</v>
      </c>
      <c r="AB760" s="40">
        <f t="shared" si="333"/>
        <v>24000</v>
      </c>
      <c r="AC760" s="40">
        <f t="shared" si="334"/>
        <v>166366.79999999999</v>
      </c>
      <c r="AD760" s="31">
        <f>VLOOKUP($A760,kurspris!$A$1:$Q$950,3,FALSE)</f>
        <v>0</v>
      </c>
      <c r="AE760" s="31">
        <f>VLOOKUP($A760,kurspris!$A$1:$Q$950,4,FALSE)</f>
        <v>0</v>
      </c>
      <c r="AF760" s="31">
        <f>VLOOKUP($A760,kurspris!$A$1:$Q$950,5,FALSE)</f>
        <v>0</v>
      </c>
      <c r="AG760" s="31">
        <f>VLOOKUP($A760,kurspris!$A$1:$Q$950,6,FALSE)</f>
        <v>0</v>
      </c>
      <c r="AH760" s="31">
        <f>VLOOKUP($A760,kurspris!$A$1:$Q$950,7,FALSE)</f>
        <v>0</v>
      </c>
      <c r="AI760" s="31">
        <f>VLOOKUP($A760,kurspris!$A$1:$Q$950,8,FALSE)</f>
        <v>0</v>
      </c>
      <c r="AJ760" s="31">
        <f>VLOOKUP($A760,kurspris!$A$1:$Q$950,9,FALSE)</f>
        <v>1</v>
      </c>
      <c r="AK760" s="31">
        <f>VLOOKUP($A760,kurspris!$A$1:$Q$950,10,FALSE)</f>
        <v>0</v>
      </c>
      <c r="AL760" s="31">
        <f>VLOOKUP($A760,kurspris!$A$1:$Q$950,11,FALSE)</f>
        <v>0</v>
      </c>
      <c r="AM760" s="31">
        <f>VLOOKUP($A760,kurspris!$A$1:$Q$950,12,FALSE)</f>
        <v>0</v>
      </c>
      <c r="AN760" s="31">
        <f>VLOOKUP($A760,kurspris!$A$1:$Q$950,13,FALSE)</f>
        <v>0</v>
      </c>
      <c r="AO760" s="31">
        <f>VLOOKUP($A760,kurspris!$A$1:$Q$950,14,FALSE)</f>
        <v>0</v>
      </c>
      <c r="AP760" s="57" t="s">
        <v>2402</v>
      </c>
      <c r="AQ760"/>
      <c r="AR760" s="31">
        <f t="shared" si="335"/>
        <v>0</v>
      </c>
      <c r="AS760" s="219">
        <f t="shared" si="336"/>
        <v>0</v>
      </c>
      <c r="AT760" s="31">
        <f t="shared" si="337"/>
        <v>0</v>
      </c>
      <c r="AU760" s="219">
        <f t="shared" si="338"/>
        <v>0</v>
      </c>
      <c r="AV760" s="31">
        <f t="shared" si="339"/>
        <v>0</v>
      </c>
      <c r="AW760" s="31">
        <f t="shared" si="340"/>
        <v>0</v>
      </c>
      <c r="AX760" s="31">
        <f t="shared" si="341"/>
        <v>0</v>
      </c>
      <c r="AY760" s="219">
        <f t="shared" si="342"/>
        <v>0</v>
      </c>
      <c r="AZ760" s="196">
        <f t="shared" si="343"/>
        <v>0</v>
      </c>
      <c r="BA760" s="219">
        <f t="shared" si="344"/>
        <v>0</v>
      </c>
      <c r="BB760" s="31">
        <f t="shared" si="345"/>
        <v>0</v>
      </c>
      <c r="BC760" s="219">
        <f t="shared" si="346"/>
        <v>0</v>
      </c>
      <c r="BD760" s="31">
        <f t="shared" si="347"/>
        <v>4</v>
      </c>
      <c r="BE760" s="219">
        <f t="shared" si="348"/>
        <v>3.4</v>
      </c>
      <c r="BF760" s="31">
        <f t="shared" si="349"/>
        <v>0</v>
      </c>
      <c r="BG760" s="219">
        <f t="shared" si="350"/>
        <v>0</v>
      </c>
      <c r="BH760" s="31">
        <f t="shared" si="351"/>
        <v>0</v>
      </c>
      <c r="BI760" s="219">
        <f t="shared" si="352"/>
        <v>0</v>
      </c>
      <c r="BJ760" s="31">
        <f t="shared" si="353"/>
        <v>0</v>
      </c>
      <c r="BK760" s="219">
        <f t="shared" si="354"/>
        <v>0</v>
      </c>
      <c r="BL760" s="31">
        <f t="shared" si="355"/>
        <v>0</v>
      </c>
      <c r="BM760" s="219">
        <f t="shared" si="356"/>
        <v>0</v>
      </c>
      <c r="BN760" s="31">
        <f t="shared" si="357"/>
        <v>0</v>
      </c>
      <c r="BO760" s="219">
        <f t="shared" si="358"/>
        <v>0</v>
      </c>
    </row>
    <row r="761" spans="1:67" x14ac:dyDescent="0.25">
      <c r="A761" s="31" t="s">
        <v>2197</v>
      </c>
      <c r="B761" s="176" t="str">
        <f>VLOOKUP(A761,kurspris!$A$1:$B$992,2,FALSE)</f>
        <v>Utbildningsvetenskap, undervisning och lärande för grundskolan - fritidshem (UK)</v>
      </c>
      <c r="C761" s="31">
        <v>68724</v>
      </c>
      <c r="D761" s="60" t="s">
        <v>484</v>
      </c>
      <c r="E761" s="60"/>
      <c r="F761" s="57" t="s">
        <v>2274</v>
      </c>
      <c r="H761" s="31" t="s">
        <v>2335</v>
      </c>
      <c r="I761" s="31" t="s">
        <v>2399</v>
      </c>
      <c r="L761" s="38"/>
      <c r="M761">
        <v>8</v>
      </c>
      <c r="P761" s="31">
        <v>15</v>
      </c>
      <c r="Q761" s="539">
        <v>2</v>
      </c>
      <c r="R761" s="38">
        <v>0.85</v>
      </c>
      <c r="S761" s="280">
        <f t="shared" si="331"/>
        <v>1.7</v>
      </c>
      <c r="T761" s="31">
        <f>VLOOKUP(A761,'Ansvar kurs'!$A$1:$C$1123,2,FALSE)</f>
        <v>2193</v>
      </c>
      <c r="U761" s="31" t="str">
        <f>VLOOKUP(T761,Orgenheter!$A$1:$C$166,2,FALSE)</f>
        <v xml:space="preserve">TUV </v>
      </c>
      <c r="V761" s="31" t="str">
        <f>VLOOKUP(T761,Orgenheter!$A$1:$C$166,3,FALSE)</f>
        <v>Sam</v>
      </c>
      <c r="W761" s="35" t="str">
        <f>VLOOKUP(D761,Program!$A$1:$B$36,2,FALSE)</f>
        <v>Grundlärarprogrammet - fritidshem</v>
      </c>
      <c r="X761" s="40">
        <f>VLOOKUP(A761,kurspris!$A$1:$Q$913,15,FALSE)</f>
        <v>26554</v>
      </c>
      <c r="Y761" s="40">
        <f>VLOOKUP(A761,kurspris!$A$1:$Q$913,16,FALSE)</f>
        <v>33465</v>
      </c>
      <c r="Z761" s="40">
        <f t="shared" si="332"/>
        <v>109998.5</v>
      </c>
      <c r="AA761" s="40">
        <f>VLOOKUP(A761,kurspris!$A$1:$Q$913,17,FALSE)</f>
        <v>6000</v>
      </c>
      <c r="AB761" s="40">
        <f t="shared" si="333"/>
        <v>12000</v>
      </c>
      <c r="AC761" s="40">
        <f t="shared" si="334"/>
        <v>121998.5</v>
      </c>
      <c r="AD761" s="31">
        <f>VLOOKUP($A761,kurspris!$A$1:$Q$950,3,FALSE)</f>
        <v>0</v>
      </c>
      <c r="AE761" s="31">
        <f>VLOOKUP($A761,kurspris!$A$1:$Q$950,4,FALSE)</f>
        <v>0</v>
      </c>
      <c r="AF761" s="31">
        <f>VLOOKUP($A761,kurspris!$A$1:$Q$950,5,FALSE)</f>
        <v>0</v>
      </c>
      <c r="AG761" s="31">
        <f>VLOOKUP($A761,kurspris!$A$1:$Q$950,6,FALSE)</f>
        <v>1</v>
      </c>
      <c r="AH761" s="31">
        <f>VLOOKUP($A761,kurspris!$A$1:$Q$950,7,FALSE)</f>
        <v>0</v>
      </c>
      <c r="AI761" s="31">
        <f>VLOOKUP($A761,kurspris!$A$1:$Q$950,8,FALSE)</f>
        <v>0</v>
      </c>
      <c r="AJ761" s="31">
        <f>VLOOKUP($A761,kurspris!$A$1:$Q$950,9,FALSE)</f>
        <v>0</v>
      </c>
      <c r="AK761" s="31">
        <f>VLOOKUP($A761,kurspris!$A$1:$Q$950,10,FALSE)</f>
        <v>0</v>
      </c>
      <c r="AL761" s="31">
        <f>VLOOKUP($A761,kurspris!$A$1:$Q$950,11,FALSE)</f>
        <v>0</v>
      </c>
      <c r="AM761" s="31">
        <f>VLOOKUP($A761,kurspris!$A$1:$Q$950,12,FALSE)</f>
        <v>0</v>
      </c>
      <c r="AN761" s="31">
        <f>VLOOKUP($A761,kurspris!$A$1:$Q$950,13,FALSE)</f>
        <v>0</v>
      </c>
      <c r="AO761" s="31">
        <f>VLOOKUP($A761,kurspris!$A$1:$Q$950,14,FALSE)</f>
        <v>0</v>
      </c>
      <c r="AP761" s="57" t="s">
        <v>2402</v>
      </c>
      <c r="AQ761"/>
      <c r="AR761" s="31">
        <f t="shared" si="335"/>
        <v>0</v>
      </c>
      <c r="AS761" s="219">
        <f t="shared" si="336"/>
        <v>0</v>
      </c>
      <c r="AT761" s="31">
        <f t="shared" si="337"/>
        <v>0</v>
      </c>
      <c r="AU761" s="219">
        <f t="shared" si="338"/>
        <v>0</v>
      </c>
      <c r="AV761" s="31">
        <f t="shared" si="339"/>
        <v>0</v>
      </c>
      <c r="AW761" s="31">
        <f t="shared" si="340"/>
        <v>0</v>
      </c>
      <c r="AX761" s="31">
        <f t="shared" si="341"/>
        <v>2</v>
      </c>
      <c r="AY761" s="219">
        <f t="shared" si="342"/>
        <v>1.7</v>
      </c>
      <c r="AZ761" s="196">
        <f t="shared" si="343"/>
        <v>0</v>
      </c>
      <c r="BA761" s="219">
        <f t="shared" si="344"/>
        <v>0</v>
      </c>
      <c r="BB761" s="31">
        <f t="shared" si="345"/>
        <v>0</v>
      </c>
      <c r="BC761" s="219">
        <f t="shared" si="346"/>
        <v>0</v>
      </c>
      <c r="BD761" s="31">
        <f t="shared" si="347"/>
        <v>0</v>
      </c>
      <c r="BE761" s="219">
        <f t="shared" si="348"/>
        <v>0</v>
      </c>
      <c r="BF761" s="31">
        <f t="shared" si="349"/>
        <v>0</v>
      </c>
      <c r="BG761" s="219">
        <f t="shared" si="350"/>
        <v>0</v>
      </c>
      <c r="BH761" s="31">
        <f t="shared" si="351"/>
        <v>0</v>
      </c>
      <c r="BI761" s="219">
        <f t="shared" si="352"/>
        <v>0</v>
      </c>
      <c r="BJ761" s="31">
        <f t="shared" si="353"/>
        <v>0</v>
      </c>
      <c r="BK761" s="219">
        <f t="shared" si="354"/>
        <v>0</v>
      </c>
      <c r="BL761" s="31">
        <f t="shared" si="355"/>
        <v>0</v>
      </c>
      <c r="BM761" s="219">
        <f t="shared" si="356"/>
        <v>0</v>
      </c>
      <c r="BN761" s="31">
        <f t="shared" si="357"/>
        <v>0</v>
      </c>
      <c r="BO761" s="219">
        <f t="shared" si="358"/>
        <v>0</v>
      </c>
    </row>
    <row r="762" spans="1:67" x14ac:dyDescent="0.25">
      <c r="A762" s="57" t="s">
        <v>2368</v>
      </c>
      <c r="B762" s="176" t="str">
        <f>VLOOKUP(A762,kurspris!$A$1:$B$992,2,FALSE)</f>
        <v>Specialpedagogik för yrkeslärare</v>
      </c>
      <c r="C762" s="35"/>
      <c r="D762" s="31" t="s">
        <v>117</v>
      </c>
      <c r="E762" s="60"/>
      <c r="F762" s="60" t="s">
        <v>2273</v>
      </c>
      <c r="I762" s="31" t="s">
        <v>2275</v>
      </c>
      <c r="L762" s="518">
        <v>0.25</v>
      </c>
      <c r="M762" s="325">
        <v>7.5</v>
      </c>
      <c r="N762" s="38"/>
      <c r="P762" s="244">
        <v>15</v>
      </c>
      <c r="Q762" s="196">
        <f t="shared" ref="Q762:Q772" si="362">(M762/60)*P762</f>
        <v>1.875</v>
      </c>
      <c r="R762" s="38">
        <v>0.8</v>
      </c>
      <c r="S762" s="280">
        <f t="shared" si="331"/>
        <v>1.5</v>
      </c>
      <c r="T762" s="31">
        <f>VLOOKUP(A762,'Ansvar kurs'!$A$1:$C$1123,2,FALSE)</f>
        <v>2180</v>
      </c>
      <c r="U762" s="31" t="str">
        <f>VLOOKUP(T762,Orgenheter!$A$1:$C$166,2,FALSE)</f>
        <v xml:space="preserve">Pedagogik                     </v>
      </c>
      <c r="V762" s="31" t="str">
        <f>VLOOKUP(T762,Orgenheter!$A$1:$C$166,3,FALSE)</f>
        <v>Sam</v>
      </c>
      <c r="W762" s="35" t="str">
        <f>VLOOKUP(D762,Program!$A$1:$B$36,2,FALSE)</f>
        <v>Fristående och övriga kurser</v>
      </c>
      <c r="X762" s="40">
        <f>VLOOKUP(A762,kurspris!$A$1:$Q$913,15,FALSE)</f>
        <v>26554</v>
      </c>
      <c r="Y762" s="40">
        <f>VLOOKUP(A762,kurspris!$A$1:$Q$913,16,FALSE)</f>
        <v>33465</v>
      </c>
      <c r="Z762" s="40">
        <f t="shared" si="332"/>
        <v>99986.25</v>
      </c>
      <c r="AA762" s="40">
        <f>VLOOKUP(A762,kurspris!$A$1:$Q$913,17,FALSE)</f>
        <v>6000</v>
      </c>
      <c r="AB762" s="40">
        <f t="shared" si="333"/>
        <v>11250</v>
      </c>
      <c r="AC762" s="40">
        <f t="shared" si="334"/>
        <v>111236.25</v>
      </c>
      <c r="AD762" s="31">
        <f>VLOOKUP($A762,kurspris!$A$1:$Q$950,3,FALSE)</f>
        <v>0</v>
      </c>
      <c r="AE762" s="31">
        <f>VLOOKUP($A762,kurspris!$A$1:$Q$950,4,FALSE)</f>
        <v>0</v>
      </c>
      <c r="AF762" s="31">
        <f>VLOOKUP($A762,kurspris!$A$1:$Q$950,5,FALSE)</f>
        <v>0</v>
      </c>
      <c r="AG762" s="31">
        <f>VLOOKUP($A762,kurspris!$A$1:$Q$950,6,FALSE)</f>
        <v>1</v>
      </c>
      <c r="AH762" s="31">
        <f>VLOOKUP($A762,kurspris!$A$1:$Q$950,7,FALSE)</f>
        <v>0</v>
      </c>
      <c r="AI762" s="31">
        <f>VLOOKUP($A762,kurspris!$A$1:$Q$950,8,FALSE)</f>
        <v>0</v>
      </c>
      <c r="AJ762" s="31">
        <f>VLOOKUP($A762,kurspris!$A$1:$Q$950,9,FALSE)</f>
        <v>0</v>
      </c>
      <c r="AK762" s="31">
        <f>VLOOKUP($A762,kurspris!$A$1:$Q$950,10,FALSE)</f>
        <v>0</v>
      </c>
      <c r="AL762" s="31">
        <f>VLOOKUP($A762,kurspris!$A$1:$Q$950,11,FALSE)</f>
        <v>0</v>
      </c>
      <c r="AM762" s="31">
        <f>VLOOKUP($A762,kurspris!$A$1:$Q$950,12,FALSE)</f>
        <v>0</v>
      </c>
      <c r="AN762" s="31">
        <f>VLOOKUP($A762,kurspris!$A$1:$Q$950,13,FALSE)</f>
        <v>0</v>
      </c>
      <c r="AO762" s="31">
        <f>VLOOKUP($A762,kurspris!$A$1:$Q$950,14,FALSE)</f>
        <v>0</v>
      </c>
      <c r="AP762" s="57" t="s">
        <v>2267</v>
      </c>
      <c r="AQ762"/>
      <c r="AR762" s="31">
        <f t="shared" si="335"/>
        <v>0</v>
      </c>
      <c r="AS762" s="219">
        <f t="shared" si="336"/>
        <v>0</v>
      </c>
      <c r="AT762" s="31">
        <f t="shared" si="337"/>
        <v>0</v>
      </c>
      <c r="AU762" s="219">
        <f t="shared" si="338"/>
        <v>0</v>
      </c>
      <c r="AV762" s="31">
        <f t="shared" si="339"/>
        <v>0</v>
      </c>
      <c r="AW762" s="31">
        <f t="shared" si="340"/>
        <v>0</v>
      </c>
      <c r="AX762" s="31">
        <f t="shared" si="341"/>
        <v>1.875</v>
      </c>
      <c r="AY762" s="219">
        <f t="shared" si="342"/>
        <v>1.5</v>
      </c>
      <c r="AZ762" s="196">
        <f t="shared" si="343"/>
        <v>0</v>
      </c>
      <c r="BA762" s="219">
        <f t="shared" si="344"/>
        <v>0</v>
      </c>
      <c r="BB762" s="31">
        <f t="shared" si="345"/>
        <v>0</v>
      </c>
      <c r="BC762" s="219">
        <f t="shared" si="346"/>
        <v>0</v>
      </c>
      <c r="BD762" s="31">
        <f t="shared" si="347"/>
        <v>0</v>
      </c>
      <c r="BE762" s="219">
        <f t="shared" si="348"/>
        <v>0</v>
      </c>
      <c r="BF762" s="31">
        <f t="shared" si="349"/>
        <v>0</v>
      </c>
      <c r="BG762" s="219">
        <f t="shared" si="350"/>
        <v>0</v>
      </c>
      <c r="BH762" s="31">
        <f t="shared" si="351"/>
        <v>0</v>
      </c>
      <c r="BI762" s="219">
        <f t="shared" si="352"/>
        <v>0</v>
      </c>
      <c r="BJ762" s="31">
        <f t="shared" si="353"/>
        <v>0</v>
      </c>
      <c r="BK762" s="219">
        <f t="shared" si="354"/>
        <v>0</v>
      </c>
      <c r="BL762" s="31">
        <f t="shared" si="355"/>
        <v>0</v>
      </c>
      <c r="BM762" s="219">
        <f t="shared" si="356"/>
        <v>0</v>
      </c>
      <c r="BN762" s="31">
        <f t="shared" si="357"/>
        <v>0</v>
      </c>
      <c r="BO762" s="219">
        <f t="shared" si="358"/>
        <v>0</v>
      </c>
    </row>
    <row r="763" spans="1:67" x14ac:dyDescent="0.25">
      <c r="A763" s="31" t="s">
        <v>2375</v>
      </c>
      <c r="B763" s="176" t="str">
        <f>VLOOKUP(A763,kurspris!$A$1:$B$992,2,FALSE)</f>
        <v>Att undervisa i förskolan (VFU)</v>
      </c>
      <c r="D763" s="60" t="s">
        <v>483</v>
      </c>
      <c r="E763" s="576" t="s">
        <v>2434</v>
      </c>
      <c r="F763" s="31" t="s">
        <v>2273</v>
      </c>
      <c r="G763" t="s">
        <v>2449</v>
      </c>
      <c r="H763" t="s">
        <v>2335</v>
      </c>
      <c r="I763" s="31" t="s">
        <v>2276</v>
      </c>
      <c r="L763" s="38">
        <v>1</v>
      </c>
      <c r="M763">
        <v>10</v>
      </c>
      <c r="P763" s="31">
        <v>1</v>
      </c>
      <c r="Q763" s="196">
        <f t="shared" si="362"/>
        <v>0.16666666666666666</v>
      </c>
      <c r="R763" s="38">
        <v>0.85</v>
      </c>
      <c r="S763" s="280">
        <f t="shared" si="331"/>
        <v>0.14166666666666666</v>
      </c>
      <c r="T763" s="31">
        <f>VLOOKUP(A763,'Ansvar kurs'!$A$1:$C$1123,2,FALSE)</f>
        <v>2193</v>
      </c>
      <c r="U763" s="31" t="str">
        <f>VLOOKUP(T763,Orgenheter!$A$1:$C$166,2,FALSE)</f>
        <v xml:space="preserve">TUV </v>
      </c>
      <c r="V763" s="31" t="str">
        <f>VLOOKUP(T763,Orgenheter!$A$1:$C$166,3,FALSE)</f>
        <v>Sam</v>
      </c>
      <c r="W763" s="35" t="str">
        <f>VLOOKUP(D763,Program!$A$1:$B$36,2,FALSE)</f>
        <v>Förskollärarprogrammet</v>
      </c>
      <c r="X763" s="40">
        <f>VLOOKUP(A763,kurspris!$A$1:$Q$913,15,FALSE)</f>
        <v>25235</v>
      </c>
      <c r="Y763" s="40">
        <f>VLOOKUP(A763,kurspris!$A$1:$Q$913,16,FALSE)</f>
        <v>27976</v>
      </c>
      <c r="Z763" s="40">
        <f t="shared" si="332"/>
        <v>8169.0999999999995</v>
      </c>
      <c r="AA763" s="40">
        <f>VLOOKUP(A763,kurspris!$A$1:$Q$913,17,FALSE)</f>
        <v>3600</v>
      </c>
      <c r="AB763" s="40">
        <f t="shared" si="333"/>
        <v>600</v>
      </c>
      <c r="AC763" s="40">
        <f t="shared" si="334"/>
        <v>8769.0999999999985</v>
      </c>
      <c r="AD763" s="31">
        <f>VLOOKUP($A763,kurspris!$A$1:$Q$950,3,FALSE)</f>
        <v>0</v>
      </c>
      <c r="AE763" s="31">
        <f>VLOOKUP($A763,kurspris!$A$1:$Q$950,4,FALSE)</f>
        <v>0</v>
      </c>
      <c r="AF763" s="31">
        <f>VLOOKUP($A763,kurspris!$A$1:$Q$950,5,FALSE)</f>
        <v>0</v>
      </c>
      <c r="AG763" s="31">
        <f>VLOOKUP($A763,kurspris!$A$1:$Q$950,6,FALSE)</f>
        <v>0</v>
      </c>
      <c r="AH763" s="31">
        <f>VLOOKUP($A763,kurspris!$A$1:$Q$950,7,FALSE)</f>
        <v>0</v>
      </c>
      <c r="AI763" s="31">
        <f>VLOOKUP($A763,kurspris!$A$1:$Q$950,8,FALSE)</f>
        <v>0</v>
      </c>
      <c r="AJ763" s="31">
        <f>VLOOKUP($A763,kurspris!$A$1:$Q$950,9,FALSE)</f>
        <v>0</v>
      </c>
      <c r="AK763" s="31">
        <f>VLOOKUP($A763,kurspris!$A$1:$Q$950,10,FALSE)</f>
        <v>0</v>
      </c>
      <c r="AL763" s="31">
        <f>VLOOKUP($A763,kurspris!$A$1:$Q$950,11,FALSE)</f>
        <v>1</v>
      </c>
      <c r="AM763" s="31">
        <f>VLOOKUP($A763,kurspris!$A$1:$Q$950,12,FALSE)</f>
        <v>0</v>
      </c>
      <c r="AN763" s="31">
        <f>VLOOKUP($A763,kurspris!$A$1:$Q$950,13,FALSE)</f>
        <v>0</v>
      </c>
      <c r="AO763" s="31">
        <f>VLOOKUP($A763,kurspris!$A$1:$Q$950,14,FALSE)</f>
        <v>0</v>
      </c>
      <c r="AP763" s="57" t="s">
        <v>2506</v>
      </c>
      <c r="AQ763"/>
      <c r="AR763" s="31">
        <f t="shared" si="335"/>
        <v>0</v>
      </c>
      <c r="AS763" s="219">
        <f t="shared" si="336"/>
        <v>0</v>
      </c>
      <c r="AT763" s="31">
        <f t="shared" si="337"/>
        <v>0</v>
      </c>
      <c r="AU763" s="219">
        <f t="shared" si="338"/>
        <v>0</v>
      </c>
      <c r="AV763" s="31">
        <f t="shared" si="339"/>
        <v>0</v>
      </c>
      <c r="AW763" s="31">
        <f t="shared" si="340"/>
        <v>0</v>
      </c>
      <c r="AX763" s="31">
        <f t="shared" si="341"/>
        <v>0</v>
      </c>
      <c r="AY763" s="219">
        <f t="shared" si="342"/>
        <v>0</v>
      </c>
      <c r="AZ763" s="196">
        <f t="shared" si="343"/>
        <v>0</v>
      </c>
      <c r="BA763" s="219">
        <f t="shared" si="344"/>
        <v>0</v>
      </c>
      <c r="BB763" s="31">
        <f t="shared" si="345"/>
        <v>0</v>
      </c>
      <c r="BC763" s="219">
        <f t="shared" si="346"/>
        <v>0</v>
      </c>
      <c r="BD763" s="31">
        <f t="shared" si="347"/>
        <v>0</v>
      </c>
      <c r="BE763" s="219">
        <f t="shared" si="348"/>
        <v>0</v>
      </c>
      <c r="BF763" s="31">
        <f t="shared" si="349"/>
        <v>0</v>
      </c>
      <c r="BG763" s="219">
        <f t="shared" si="350"/>
        <v>0</v>
      </c>
      <c r="BH763" s="31">
        <f t="shared" si="351"/>
        <v>0.16666666666666666</v>
      </c>
      <c r="BI763" s="219">
        <f t="shared" si="352"/>
        <v>0.14166666666666666</v>
      </c>
      <c r="BJ763" s="31">
        <f t="shared" si="353"/>
        <v>0</v>
      </c>
      <c r="BK763" s="219">
        <f t="shared" si="354"/>
        <v>0</v>
      </c>
      <c r="BL763" s="31">
        <f t="shared" si="355"/>
        <v>0</v>
      </c>
      <c r="BM763" s="219">
        <f t="shared" si="356"/>
        <v>0</v>
      </c>
      <c r="BN763" s="31">
        <f t="shared" si="357"/>
        <v>0</v>
      </c>
      <c r="BO763" s="219">
        <f t="shared" si="358"/>
        <v>0</v>
      </c>
    </row>
    <row r="764" spans="1:67" x14ac:dyDescent="0.25">
      <c r="A764" s="31" t="s">
        <v>2375</v>
      </c>
      <c r="B764" s="176" t="str">
        <f>VLOOKUP(A764,kurspris!$A$1:$B$992,2,FALSE)</f>
        <v>Att undervisa i förskolan (VFU)</v>
      </c>
      <c r="D764" s="60" t="s">
        <v>483</v>
      </c>
      <c r="E764" s="576" t="s">
        <v>2433</v>
      </c>
      <c r="F764" s="31" t="s">
        <v>2273</v>
      </c>
      <c r="G764" t="s">
        <v>2449</v>
      </c>
      <c r="H764" t="s">
        <v>2335</v>
      </c>
      <c r="I764" s="31" t="s">
        <v>2276</v>
      </c>
      <c r="L764" s="38">
        <v>1</v>
      </c>
      <c r="M764">
        <v>10</v>
      </c>
      <c r="P764" s="31">
        <v>25</v>
      </c>
      <c r="Q764" s="196">
        <f t="shared" si="362"/>
        <v>4.1666666666666661</v>
      </c>
      <c r="R764" s="38">
        <v>0.85</v>
      </c>
      <c r="S764" s="280">
        <f t="shared" si="331"/>
        <v>3.5416666666666661</v>
      </c>
      <c r="T764" s="31">
        <f>VLOOKUP(A764,'Ansvar kurs'!$A$1:$C$1123,2,FALSE)</f>
        <v>2193</v>
      </c>
      <c r="U764" s="31" t="str">
        <f>VLOOKUP(T764,Orgenheter!$A$1:$C$166,2,FALSE)</f>
        <v xml:space="preserve">TUV </v>
      </c>
      <c r="V764" s="31" t="str">
        <f>VLOOKUP(T764,Orgenheter!$A$1:$C$166,3,FALSE)</f>
        <v>Sam</v>
      </c>
      <c r="W764" s="35" t="str">
        <f>VLOOKUP(D764,Program!$A$1:$B$36,2,FALSE)</f>
        <v>Förskollärarprogrammet</v>
      </c>
      <c r="X764" s="40">
        <f>VLOOKUP(A764,kurspris!$A$1:$Q$913,15,FALSE)</f>
        <v>25235</v>
      </c>
      <c r="Y764" s="40">
        <f>VLOOKUP(A764,kurspris!$A$1:$Q$913,16,FALSE)</f>
        <v>27976</v>
      </c>
      <c r="Z764" s="40">
        <f t="shared" si="332"/>
        <v>204227.49999999997</v>
      </c>
      <c r="AA764" s="40">
        <f>VLOOKUP(A764,kurspris!$A$1:$Q$913,17,FALSE)</f>
        <v>3600</v>
      </c>
      <c r="AB764" s="40">
        <f t="shared" si="333"/>
        <v>14999.999999999998</v>
      </c>
      <c r="AC764" s="40">
        <f t="shared" si="334"/>
        <v>219227.49999999997</v>
      </c>
      <c r="AD764" s="31">
        <f>VLOOKUP($A764,kurspris!$A$1:$Q$950,3,FALSE)</f>
        <v>0</v>
      </c>
      <c r="AE764" s="31">
        <f>VLOOKUP($A764,kurspris!$A$1:$Q$950,4,FALSE)</f>
        <v>0</v>
      </c>
      <c r="AF764" s="31">
        <f>VLOOKUP($A764,kurspris!$A$1:$Q$950,5,FALSE)</f>
        <v>0</v>
      </c>
      <c r="AG764" s="31">
        <f>VLOOKUP($A764,kurspris!$A$1:$Q$950,6,FALSE)</f>
        <v>0</v>
      </c>
      <c r="AH764" s="31">
        <f>VLOOKUP($A764,kurspris!$A$1:$Q$950,7,FALSE)</f>
        <v>0</v>
      </c>
      <c r="AI764" s="31">
        <f>VLOOKUP($A764,kurspris!$A$1:$Q$950,8,FALSE)</f>
        <v>0</v>
      </c>
      <c r="AJ764" s="31">
        <f>VLOOKUP($A764,kurspris!$A$1:$Q$950,9,FALSE)</f>
        <v>0</v>
      </c>
      <c r="AK764" s="31">
        <f>VLOOKUP($A764,kurspris!$A$1:$Q$950,10,FALSE)</f>
        <v>0</v>
      </c>
      <c r="AL764" s="31">
        <f>VLOOKUP($A764,kurspris!$A$1:$Q$950,11,FALSE)</f>
        <v>1</v>
      </c>
      <c r="AM764" s="31">
        <f>VLOOKUP($A764,kurspris!$A$1:$Q$950,12,FALSE)</f>
        <v>0</v>
      </c>
      <c r="AN764" s="31">
        <f>VLOOKUP($A764,kurspris!$A$1:$Q$950,13,FALSE)</f>
        <v>0</v>
      </c>
      <c r="AO764" s="31">
        <f>VLOOKUP($A764,kurspris!$A$1:$Q$950,14,FALSE)</f>
        <v>0</v>
      </c>
      <c r="AP764" s="57" t="s">
        <v>2506</v>
      </c>
      <c r="AQ764"/>
      <c r="AR764" s="31">
        <f t="shared" si="335"/>
        <v>0</v>
      </c>
      <c r="AS764" s="219">
        <f t="shared" si="336"/>
        <v>0</v>
      </c>
      <c r="AT764" s="31">
        <f t="shared" si="337"/>
        <v>0</v>
      </c>
      <c r="AU764" s="219">
        <f t="shared" si="338"/>
        <v>0</v>
      </c>
      <c r="AV764" s="31">
        <f t="shared" si="339"/>
        <v>0</v>
      </c>
      <c r="AW764" s="31">
        <f t="shared" si="340"/>
        <v>0</v>
      </c>
      <c r="AX764" s="31">
        <f t="shared" si="341"/>
        <v>0</v>
      </c>
      <c r="AY764" s="219">
        <f t="shared" si="342"/>
        <v>0</v>
      </c>
      <c r="AZ764" s="196">
        <f t="shared" si="343"/>
        <v>0</v>
      </c>
      <c r="BA764" s="219">
        <f t="shared" si="344"/>
        <v>0</v>
      </c>
      <c r="BB764" s="31">
        <f t="shared" si="345"/>
        <v>0</v>
      </c>
      <c r="BC764" s="219">
        <f t="shared" si="346"/>
        <v>0</v>
      </c>
      <c r="BD764" s="31">
        <f t="shared" si="347"/>
        <v>0</v>
      </c>
      <c r="BE764" s="219">
        <f t="shared" si="348"/>
        <v>0</v>
      </c>
      <c r="BF764" s="31">
        <f t="shared" si="349"/>
        <v>0</v>
      </c>
      <c r="BG764" s="219">
        <f t="shared" si="350"/>
        <v>0</v>
      </c>
      <c r="BH764" s="31">
        <f t="shared" si="351"/>
        <v>4.1666666666666661</v>
      </c>
      <c r="BI764" s="219">
        <f t="shared" si="352"/>
        <v>3.5416666666666661</v>
      </c>
      <c r="BJ764" s="31">
        <f t="shared" si="353"/>
        <v>0</v>
      </c>
      <c r="BK764" s="219">
        <f t="shared" si="354"/>
        <v>0</v>
      </c>
      <c r="BL764" s="31">
        <f t="shared" si="355"/>
        <v>0</v>
      </c>
      <c r="BM764" s="219">
        <f t="shared" si="356"/>
        <v>0</v>
      </c>
      <c r="BN764" s="31">
        <f t="shared" si="357"/>
        <v>0</v>
      </c>
      <c r="BO764" s="219">
        <f t="shared" si="358"/>
        <v>0</v>
      </c>
    </row>
    <row r="765" spans="1:67" x14ac:dyDescent="0.25">
      <c r="A765" s="397" t="s">
        <v>2376</v>
      </c>
      <c r="B765" s="176" t="str">
        <f>VLOOKUP(A765,kurspris!$A$1:$B$992,2,FALSE)</f>
        <v>Läraryrkets dimensioner för förskolan 1 (VFU)</v>
      </c>
      <c r="D765" s="60" t="s">
        <v>483</v>
      </c>
      <c r="E765" s="576" t="s">
        <v>2225</v>
      </c>
      <c r="F765" s="31" t="s">
        <v>2273</v>
      </c>
      <c r="G765" t="s">
        <v>2450</v>
      </c>
      <c r="H765" t="s">
        <v>2335</v>
      </c>
      <c r="I765" s="31" t="s">
        <v>2276</v>
      </c>
      <c r="L765" s="38">
        <v>1</v>
      </c>
      <c r="M765">
        <v>11</v>
      </c>
      <c r="P765" s="31">
        <v>1</v>
      </c>
      <c r="Q765" s="196">
        <f t="shared" si="362"/>
        <v>0.18333333333333332</v>
      </c>
      <c r="R765" s="38">
        <v>0.85</v>
      </c>
      <c r="S765" s="280">
        <f t="shared" si="331"/>
        <v>0.15583333333333332</v>
      </c>
      <c r="T765" s="31">
        <f>VLOOKUP(A765,'Ansvar kurs'!$A$1:$C$1123,2,FALSE)</f>
        <v>2193</v>
      </c>
      <c r="U765" s="31" t="str">
        <f>VLOOKUP(T765,Orgenheter!$A$1:$C$166,2,FALSE)</f>
        <v xml:space="preserve">TUV </v>
      </c>
      <c r="V765" s="31" t="str">
        <f>VLOOKUP(T765,Orgenheter!$A$1:$C$166,3,FALSE)</f>
        <v>Sam</v>
      </c>
      <c r="W765" s="35" t="str">
        <f>VLOOKUP(D765,Program!$A$1:$B$36,2,FALSE)</f>
        <v>Förskollärarprogrammet</v>
      </c>
      <c r="X765" s="40">
        <f>VLOOKUP(A765,kurspris!$A$1:$Q$913,15,FALSE)</f>
        <v>25235</v>
      </c>
      <c r="Y765" s="40">
        <f>VLOOKUP(A765,kurspris!$A$1:$Q$913,16,FALSE)</f>
        <v>27976</v>
      </c>
      <c r="Z765" s="40">
        <f t="shared" si="332"/>
        <v>8986.0099999999984</v>
      </c>
      <c r="AA765" s="40">
        <f>VLOOKUP(A765,kurspris!$A$1:$Q$913,17,FALSE)</f>
        <v>3600</v>
      </c>
      <c r="AB765" s="40">
        <f t="shared" si="333"/>
        <v>660</v>
      </c>
      <c r="AC765" s="40">
        <f t="shared" si="334"/>
        <v>9646.0099999999984</v>
      </c>
      <c r="AD765" s="31">
        <f>VLOOKUP($A765,kurspris!$A$1:$Q$950,3,FALSE)</f>
        <v>0</v>
      </c>
      <c r="AE765" s="31">
        <f>VLOOKUP($A765,kurspris!$A$1:$Q$950,4,FALSE)</f>
        <v>0</v>
      </c>
      <c r="AF765" s="31">
        <f>VLOOKUP($A765,kurspris!$A$1:$Q$950,5,FALSE)</f>
        <v>0</v>
      </c>
      <c r="AG765" s="31">
        <f>VLOOKUP($A765,kurspris!$A$1:$Q$950,6,FALSE)</f>
        <v>0</v>
      </c>
      <c r="AH765" s="31">
        <f>VLOOKUP($A765,kurspris!$A$1:$Q$950,7,FALSE)</f>
        <v>0</v>
      </c>
      <c r="AI765" s="31">
        <f>VLOOKUP($A765,kurspris!$A$1:$Q$950,8,FALSE)</f>
        <v>0</v>
      </c>
      <c r="AJ765" s="31">
        <f>VLOOKUP($A765,kurspris!$A$1:$Q$950,9,FALSE)</f>
        <v>0</v>
      </c>
      <c r="AK765" s="31">
        <f>VLOOKUP($A765,kurspris!$A$1:$Q$950,10,FALSE)</f>
        <v>0</v>
      </c>
      <c r="AL765" s="31">
        <f>VLOOKUP($A765,kurspris!$A$1:$Q$950,11,FALSE)</f>
        <v>1</v>
      </c>
      <c r="AM765" s="31">
        <f>VLOOKUP($A765,kurspris!$A$1:$Q$950,12,FALSE)</f>
        <v>0</v>
      </c>
      <c r="AN765" s="31">
        <f>VLOOKUP($A765,kurspris!$A$1:$Q$950,13,FALSE)</f>
        <v>0</v>
      </c>
      <c r="AO765" s="31">
        <f>VLOOKUP($A765,kurspris!$A$1:$Q$950,14,FALSE)</f>
        <v>0</v>
      </c>
      <c r="AP765" s="57" t="s">
        <v>2506</v>
      </c>
      <c r="AQ765"/>
      <c r="AR765" s="31">
        <f t="shared" si="335"/>
        <v>0</v>
      </c>
      <c r="AS765" s="219">
        <f t="shared" si="336"/>
        <v>0</v>
      </c>
      <c r="AT765" s="31">
        <f t="shared" si="337"/>
        <v>0</v>
      </c>
      <c r="AU765" s="219">
        <f t="shared" si="338"/>
        <v>0</v>
      </c>
      <c r="AV765" s="31">
        <f t="shared" si="339"/>
        <v>0</v>
      </c>
      <c r="AW765" s="31">
        <f t="shared" si="340"/>
        <v>0</v>
      </c>
      <c r="AX765" s="31">
        <f t="shared" si="341"/>
        <v>0</v>
      </c>
      <c r="AY765" s="219">
        <f t="shared" si="342"/>
        <v>0</v>
      </c>
      <c r="AZ765" s="196">
        <f t="shared" si="343"/>
        <v>0</v>
      </c>
      <c r="BA765" s="219">
        <f t="shared" si="344"/>
        <v>0</v>
      </c>
      <c r="BB765" s="31">
        <f t="shared" si="345"/>
        <v>0</v>
      </c>
      <c r="BC765" s="219">
        <f t="shared" si="346"/>
        <v>0</v>
      </c>
      <c r="BD765" s="31">
        <f t="shared" si="347"/>
        <v>0</v>
      </c>
      <c r="BE765" s="219">
        <f t="shared" si="348"/>
        <v>0</v>
      </c>
      <c r="BF765" s="31">
        <f t="shared" si="349"/>
        <v>0</v>
      </c>
      <c r="BG765" s="219">
        <f t="shared" si="350"/>
        <v>0</v>
      </c>
      <c r="BH765" s="31">
        <f t="shared" si="351"/>
        <v>0.18333333333333332</v>
      </c>
      <c r="BI765" s="219">
        <f t="shared" si="352"/>
        <v>0.15583333333333332</v>
      </c>
      <c r="BJ765" s="31">
        <f t="shared" si="353"/>
        <v>0</v>
      </c>
      <c r="BK765" s="219">
        <f t="shared" si="354"/>
        <v>0</v>
      </c>
      <c r="BL765" s="31">
        <f t="shared" si="355"/>
        <v>0</v>
      </c>
      <c r="BM765" s="219">
        <f t="shared" si="356"/>
        <v>0</v>
      </c>
      <c r="BN765" s="31">
        <f t="shared" si="357"/>
        <v>0</v>
      </c>
      <c r="BO765" s="219">
        <f t="shared" si="358"/>
        <v>0</v>
      </c>
    </row>
    <row r="766" spans="1:67" x14ac:dyDescent="0.25">
      <c r="A766" s="31" t="s">
        <v>2376</v>
      </c>
      <c r="B766" s="176" t="str">
        <f>VLOOKUP(A766,kurspris!$A$1:$B$992,2,FALSE)</f>
        <v>Läraryrkets dimensioner för förskolan 1 (VFU)</v>
      </c>
      <c r="D766" s="60" t="s">
        <v>483</v>
      </c>
      <c r="E766" s="576" t="s">
        <v>2434</v>
      </c>
      <c r="F766" s="31" t="s">
        <v>2273</v>
      </c>
      <c r="G766" t="s">
        <v>2450</v>
      </c>
      <c r="H766" t="s">
        <v>2335</v>
      </c>
      <c r="I766" s="31" t="s">
        <v>2276</v>
      </c>
      <c r="L766" s="38">
        <v>1</v>
      </c>
      <c r="M766">
        <v>11</v>
      </c>
      <c r="P766" s="31">
        <v>38</v>
      </c>
      <c r="Q766" s="196">
        <f t="shared" si="362"/>
        <v>6.9666666666666659</v>
      </c>
      <c r="R766" s="38">
        <v>0.85</v>
      </c>
      <c r="S766" s="280">
        <f t="shared" si="331"/>
        <v>5.921666666666666</v>
      </c>
      <c r="T766" s="31">
        <f>VLOOKUP(A766,'Ansvar kurs'!$A$1:$C$1123,2,FALSE)</f>
        <v>2193</v>
      </c>
      <c r="U766" s="31" t="str">
        <f>VLOOKUP(T766,Orgenheter!$A$1:$C$166,2,FALSE)</f>
        <v xml:space="preserve">TUV </v>
      </c>
      <c r="V766" s="31" t="str">
        <f>VLOOKUP(T766,Orgenheter!$A$1:$C$166,3,FALSE)</f>
        <v>Sam</v>
      </c>
      <c r="W766" s="35" t="str">
        <f>VLOOKUP(D766,Program!$A$1:$B$36,2,FALSE)</f>
        <v>Förskollärarprogrammet</v>
      </c>
      <c r="X766" s="40">
        <f>VLOOKUP(A766,kurspris!$A$1:$Q$913,15,FALSE)</f>
        <v>25235</v>
      </c>
      <c r="Y766" s="40">
        <f>VLOOKUP(A766,kurspris!$A$1:$Q$913,16,FALSE)</f>
        <v>27976</v>
      </c>
      <c r="Z766" s="40">
        <f t="shared" si="332"/>
        <v>341468.38</v>
      </c>
      <c r="AA766" s="40">
        <f>VLOOKUP(A766,kurspris!$A$1:$Q$913,17,FALSE)</f>
        <v>3600</v>
      </c>
      <c r="AB766" s="40">
        <f t="shared" si="333"/>
        <v>25079.999999999996</v>
      </c>
      <c r="AC766" s="40">
        <f t="shared" si="334"/>
        <v>366548.38</v>
      </c>
      <c r="AD766" s="31">
        <f>VLOOKUP($A766,kurspris!$A$1:$Q$950,3,FALSE)</f>
        <v>0</v>
      </c>
      <c r="AE766" s="31">
        <f>VLOOKUP($A766,kurspris!$A$1:$Q$950,4,FALSE)</f>
        <v>0</v>
      </c>
      <c r="AF766" s="31">
        <f>VLOOKUP($A766,kurspris!$A$1:$Q$950,5,FALSE)</f>
        <v>0</v>
      </c>
      <c r="AG766" s="31">
        <f>VLOOKUP($A766,kurspris!$A$1:$Q$950,6,FALSE)</f>
        <v>0</v>
      </c>
      <c r="AH766" s="31">
        <f>VLOOKUP($A766,kurspris!$A$1:$Q$950,7,FALSE)</f>
        <v>0</v>
      </c>
      <c r="AI766" s="31">
        <f>VLOOKUP($A766,kurspris!$A$1:$Q$950,8,FALSE)</f>
        <v>0</v>
      </c>
      <c r="AJ766" s="31">
        <f>VLOOKUP($A766,kurspris!$A$1:$Q$950,9,FALSE)</f>
        <v>0</v>
      </c>
      <c r="AK766" s="31">
        <f>VLOOKUP($A766,kurspris!$A$1:$Q$950,10,FALSE)</f>
        <v>0</v>
      </c>
      <c r="AL766" s="31">
        <f>VLOOKUP($A766,kurspris!$A$1:$Q$950,11,FALSE)</f>
        <v>1</v>
      </c>
      <c r="AM766" s="31">
        <f>VLOOKUP($A766,kurspris!$A$1:$Q$950,12,FALSE)</f>
        <v>0</v>
      </c>
      <c r="AN766" s="31">
        <f>VLOOKUP($A766,kurspris!$A$1:$Q$950,13,FALSE)</f>
        <v>0</v>
      </c>
      <c r="AO766" s="31">
        <f>VLOOKUP($A766,kurspris!$A$1:$Q$950,14,FALSE)</f>
        <v>0</v>
      </c>
      <c r="AP766" s="57" t="s">
        <v>2506</v>
      </c>
      <c r="AQ766"/>
      <c r="AR766" s="31">
        <f t="shared" si="335"/>
        <v>0</v>
      </c>
      <c r="AS766" s="219">
        <f t="shared" si="336"/>
        <v>0</v>
      </c>
      <c r="AT766" s="31">
        <f t="shared" si="337"/>
        <v>0</v>
      </c>
      <c r="AU766" s="219">
        <f t="shared" si="338"/>
        <v>0</v>
      </c>
      <c r="AV766" s="31">
        <f t="shared" si="339"/>
        <v>0</v>
      </c>
      <c r="AW766" s="31">
        <f t="shared" si="340"/>
        <v>0</v>
      </c>
      <c r="AX766" s="31">
        <f t="shared" si="341"/>
        <v>0</v>
      </c>
      <c r="AY766" s="219">
        <f t="shared" si="342"/>
        <v>0</v>
      </c>
      <c r="AZ766" s="196">
        <f t="shared" si="343"/>
        <v>0</v>
      </c>
      <c r="BA766" s="219">
        <f t="shared" si="344"/>
        <v>0</v>
      </c>
      <c r="BB766" s="31">
        <f t="shared" si="345"/>
        <v>0</v>
      </c>
      <c r="BC766" s="219">
        <f t="shared" si="346"/>
        <v>0</v>
      </c>
      <c r="BD766" s="31">
        <f t="shared" si="347"/>
        <v>0</v>
      </c>
      <c r="BE766" s="219">
        <f t="shared" si="348"/>
        <v>0</v>
      </c>
      <c r="BF766" s="31">
        <f t="shared" si="349"/>
        <v>0</v>
      </c>
      <c r="BG766" s="219">
        <f t="shared" si="350"/>
        <v>0</v>
      </c>
      <c r="BH766" s="31">
        <f t="shared" si="351"/>
        <v>6.9666666666666659</v>
      </c>
      <c r="BI766" s="219">
        <f t="shared" si="352"/>
        <v>5.921666666666666</v>
      </c>
      <c r="BJ766" s="31">
        <f t="shared" si="353"/>
        <v>0</v>
      </c>
      <c r="BK766" s="219">
        <f t="shared" si="354"/>
        <v>0</v>
      </c>
      <c r="BL766" s="31">
        <f t="shared" si="355"/>
        <v>0</v>
      </c>
      <c r="BM766" s="219">
        <f t="shared" si="356"/>
        <v>0</v>
      </c>
      <c r="BN766" s="31">
        <f t="shared" si="357"/>
        <v>0</v>
      </c>
      <c r="BO766" s="219">
        <f t="shared" si="358"/>
        <v>0</v>
      </c>
    </row>
    <row r="767" spans="1:67" x14ac:dyDescent="0.25">
      <c r="A767" s="31" t="s">
        <v>1528</v>
      </c>
      <c r="B767" s="176" t="str">
        <f>VLOOKUP(A767,kurspris!$A$1:$B$992,2,FALSE)</f>
        <v>Examensarbete för ämneslärarexamen - religion</v>
      </c>
      <c r="D767" s="60" t="s">
        <v>482</v>
      </c>
      <c r="E767" s="576" t="s">
        <v>2226</v>
      </c>
      <c r="F767" s="31" t="s">
        <v>2273</v>
      </c>
      <c r="G767" s="244" t="s">
        <v>2454</v>
      </c>
      <c r="H767" t="s">
        <v>2335</v>
      </c>
      <c r="J767" s="31" t="s">
        <v>2241</v>
      </c>
      <c r="L767" s="38">
        <v>1</v>
      </c>
      <c r="M767" s="244">
        <v>7.5</v>
      </c>
      <c r="P767" s="31">
        <v>1</v>
      </c>
      <c r="Q767" s="196">
        <f t="shared" si="362"/>
        <v>0.125</v>
      </c>
      <c r="R767" s="38">
        <v>0.85</v>
      </c>
      <c r="S767" s="280">
        <f t="shared" si="331"/>
        <v>0.10625</v>
      </c>
      <c r="T767" s="31">
        <f>VLOOKUP(A767,'Ansvar kurs'!$A$1:$C$1123,2,FALSE)</f>
        <v>1630</v>
      </c>
      <c r="U767" s="31" t="str">
        <f>VLOOKUP(T767,Orgenheter!$A$1:$C$166,2,FALSE)</f>
        <v>Inst för ide- o samhällsstudier</v>
      </c>
      <c r="V767" s="31" t="str">
        <f>VLOOKUP(T767,Orgenheter!$A$1:$C$166,3,FALSE)</f>
        <v>Hum</v>
      </c>
      <c r="W767" s="35" t="str">
        <f>VLOOKUP(D767,Program!$A$1:$B$36,2,FALSE)</f>
        <v>Ämneslärarprogrammet - Gy</v>
      </c>
      <c r="X767" s="40">
        <f>VLOOKUP(A767,kurspris!$A$1:$Q$913,15,FALSE)</f>
        <v>20766</v>
      </c>
      <c r="Y767" s="40">
        <f>VLOOKUP(A767,kurspris!$A$1:$Q$913,16,FALSE)</f>
        <v>17442</v>
      </c>
      <c r="Z767" s="40">
        <f t="shared" si="332"/>
        <v>4448.9624999999996</v>
      </c>
      <c r="AA767" s="40">
        <f>VLOOKUP(A767,kurspris!$A$1:$Q$913,17,FALSE)</f>
        <v>6000</v>
      </c>
      <c r="AB767" s="40">
        <f t="shared" si="333"/>
        <v>750</v>
      </c>
      <c r="AC767" s="40">
        <f t="shared" si="334"/>
        <v>5198.9624999999996</v>
      </c>
      <c r="AD767" s="31">
        <f>VLOOKUP($A767,kurspris!$A$1:$Q$950,3,FALSE)</f>
        <v>0</v>
      </c>
      <c r="AE767" s="31">
        <f>VLOOKUP($A767,kurspris!$A$1:$Q$950,4,FALSE)</f>
        <v>1</v>
      </c>
      <c r="AF767" s="31">
        <f>VLOOKUP($A767,kurspris!$A$1:$Q$950,5,FALSE)</f>
        <v>0</v>
      </c>
      <c r="AG767" s="31">
        <f>VLOOKUP($A767,kurspris!$A$1:$Q$950,6,FALSE)</f>
        <v>0</v>
      </c>
      <c r="AH767" s="31">
        <f>VLOOKUP($A767,kurspris!$A$1:$Q$950,7,FALSE)</f>
        <v>0</v>
      </c>
      <c r="AI767" s="31">
        <f>VLOOKUP($A767,kurspris!$A$1:$Q$950,8,FALSE)</f>
        <v>0</v>
      </c>
      <c r="AJ767" s="31">
        <f>VLOOKUP($A767,kurspris!$A$1:$Q$950,9,FALSE)</f>
        <v>0</v>
      </c>
      <c r="AK767" s="31">
        <f>VLOOKUP($A767,kurspris!$A$1:$Q$950,10,FALSE)</f>
        <v>0</v>
      </c>
      <c r="AL767" s="31">
        <f>VLOOKUP($A767,kurspris!$A$1:$Q$950,11,FALSE)</f>
        <v>0</v>
      </c>
      <c r="AM767" s="31">
        <f>VLOOKUP($A767,kurspris!$A$1:$Q$950,12,FALSE)</f>
        <v>0</v>
      </c>
      <c r="AN767" s="31">
        <f>VLOOKUP($A767,kurspris!$A$1:$Q$950,13,FALSE)</f>
        <v>0</v>
      </c>
      <c r="AO767" s="31">
        <f>VLOOKUP($A767,kurspris!$A$1:$Q$950,14,FALSE)</f>
        <v>0</v>
      </c>
      <c r="AP767" s="57" t="s">
        <v>2506</v>
      </c>
      <c r="AQ767" t="s">
        <v>2311</v>
      </c>
      <c r="AR767" s="31">
        <f t="shared" si="335"/>
        <v>0</v>
      </c>
      <c r="AS767" s="219">
        <f t="shared" si="336"/>
        <v>0</v>
      </c>
      <c r="AT767" s="31">
        <f t="shared" si="337"/>
        <v>0.125</v>
      </c>
      <c r="AU767" s="219">
        <f t="shared" si="338"/>
        <v>0.10625</v>
      </c>
      <c r="AV767" s="31">
        <f t="shared" si="339"/>
        <v>0</v>
      </c>
      <c r="AW767" s="31">
        <f t="shared" si="340"/>
        <v>0</v>
      </c>
      <c r="AX767" s="31">
        <f t="shared" si="341"/>
        <v>0</v>
      </c>
      <c r="AY767" s="219">
        <f t="shared" si="342"/>
        <v>0</v>
      </c>
      <c r="AZ767" s="196">
        <f t="shared" si="343"/>
        <v>0</v>
      </c>
      <c r="BA767" s="219">
        <f t="shared" si="344"/>
        <v>0</v>
      </c>
      <c r="BB767" s="31">
        <f t="shared" si="345"/>
        <v>0</v>
      </c>
      <c r="BC767" s="219">
        <f t="shared" si="346"/>
        <v>0</v>
      </c>
      <c r="BD767" s="31">
        <f t="shared" si="347"/>
        <v>0</v>
      </c>
      <c r="BE767" s="219">
        <f t="shared" si="348"/>
        <v>0</v>
      </c>
      <c r="BF767" s="31">
        <f t="shared" si="349"/>
        <v>0</v>
      </c>
      <c r="BG767" s="219">
        <f t="shared" si="350"/>
        <v>0</v>
      </c>
      <c r="BH767" s="31">
        <f t="shared" si="351"/>
        <v>0</v>
      </c>
      <c r="BI767" s="219">
        <f t="shared" si="352"/>
        <v>0</v>
      </c>
      <c r="BJ767" s="31">
        <f t="shared" si="353"/>
        <v>0</v>
      </c>
      <c r="BK767" s="219">
        <f t="shared" si="354"/>
        <v>0</v>
      </c>
      <c r="BL767" s="31">
        <f t="shared" si="355"/>
        <v>0</v>
      </c>
      <c r="BM767" s="219">
        <f t="shared" si="356"/>
        <v>0</v>
      </c>
      <c r="BN767" s="31">
        <f t="shared" si="357"/>
        <v>0</v>
      </c>
      <c r="BO767" s="219">
        <f t="shared" si="358"/>
        <v>0</v>
      </c>
    </row>
    <row r="768" spans="1:67" x14ac:dyDescent="0.25">
      <c r="A768" s="31" t="s">
        <v>1528</v>
      </c>
      <c r="B768" s="176" t="str">
        <f>VLOOKUP(A768,kurspris!$A$1:$B$992,2,FALSE)</f>
        <v>Examensarbete för ämneslärarexamen - religion</v>
      </c>
      <c r="D768" s="60" t="s">
        <v>482</v>
      </c>
      <c r="E768" s="576" t="s">
        <v>2226</v>
      </c>
      <c r="F768" s="31" t="s">
        <v>2273</v>
      </c>
      <c r="G768" s="244" t="s">
        <v>2454</v>
      </c>
      <c r="H768" t="s">
        <v>2335</v>
      </c>
      <c r="J768" s="31" t="s">
        <v>2239</v>
      </c>
      <c r="L768" s="38">
        <v>1</v>
      </c>
      <c r="M768" s="244">
        <v>7.5</v>
      </c>
      <c r="P768" s="31">
        <v>1</v>
      </c>
      <c r="Q768" s="196">
        <f t="shared" si="362"/>
        <v>0.125</v>
      </c>
      <c r="R768" s="38">
        <v>0.85</v>
      </c>
      <c r="S768" s="280">
        <f t="shared" si="331"/>
        <v>0.10625</v>
      </c>
      <c r="T768" s="31">
        <f>VLOOKUP(A768,'Ansvar kurs'!$A$1:$C$1123,2,FALSE)</f>
        <v>1630</v>
      </c>
      <c r="U768" s="31" t="str">
        <f>VLOOKUP(T768,Orgenheter!$A$1:$C$166,2,FALSE)</f>
        <v>Inst för ide- o samhällsstudier</v>
      </c>
      <c r="V768" s="31" t="str">
        <f>VLOOKUP(T768,Orgenheter!$A$1:$C$166,3,FALSE)</f>
        <v>Hum</v>
      </c>
      <c r="W768" s="35" t="str">
        <f>VLOOKUP(D768,Program!$A$1:$B$36,2,FALSE)</f>
        <v>Ämneslärarprogrammet - Gy</v>
      </c>
      <c r="X768" s="40">
        <f>VLOOKUP(A768,kurspris!$A$1:$Q$913,15,FALSE)</f>
        <v>20766</v>
      </c>
      <c r="Y768" s="40">
        <f>VLOOKUP(A768,kurspris!$A$1:$Q$913,16,FALSE)</f>
        <v>17442</v>
      </c>
      <c r="Z768" s="40">
        <f t="shared" si="332"/>
        <v>4448.9624999999996</v>
      </c>
      <c r="AA768" s="40">
        <f>VLOOKUP(A768,kurspris!$A$1:$Q$913,17,FALSE)</f>
        <v>6000</v>
      </c>
      <c r="AB768" s="40">
        <f t="shared" si="333"/>
        <v>750</v>
      </c>
      <c r="AC768" s="40">
        <f t="shared" si="334"/>
        <v>5198.9624999999996</v>
      </c>
      <c r="AD768" s="31">
        <f>VLOOKUP($A768,kurspris!$A$1:$Q$950,3,FALSE)</f>
        <v>0</v>
      </c>
      <c r="AE768" s="31">
        <f>VLOOKUP($A768,kurspris!$A$1:$Q$950,4,FALSE)</f>
        <v>1</v>
      </c>
      <c r="AF768" s="31">
        <f>VLOOKUP($A768,kurspris!$A$1:$Q$950,5,FALSE)</f>
        <v>0</v>
      </c>
      <c r="AG768" s="31">
        <f>VLOOKUP($A768,kurspris!$A$1:$Q$950,6,FALSE)</f>
        <v>0</v>
      </c>
      <c r="AH768" s="31">
        <f>VLOOKUP($A768,kurspris!$A$1:$Q$950,7,FALSE)</f>
        <v>0</v>
      </c>
      <c r="AI768" s="31">
        <f>VLOOKUP($A768,kurspris!$A$1:$Q$950,8,FALSE)</f>
        <v>0</v>
      </c>
      <c r="AJ768" s="31">
        <f>VLOOKUP($A768,kurspris!$A$1:$Q$950,9,FALSE)</f>
        <v>0</v>
      </c>
      <c r="AK768" s="31">
        <f>VLOOKUP($A768,kurspris!$A$1:$Q$950,10,FALSE)</f>
        <v>0</v>
      </c>
      <c r="AL768" s="31">
        <f>VLOOKUP($A768,kurspris!$A$1:$Q$950,11,FALSE)</f>
        <v>0</v>
      </c>
      <c r="AM768" s="31">
        <f>VLOOKUP($A768,kurspris!$A$1:$Q$950,12,FALSE)</f>
        <v>0</v>
      </c>
      <c r="AN768" s="31">
        <f>VLOOKUP($A768,kurspris!$A$1:$Q$950,13,FALSE)</f>
        <v>0</v>
      </c>
      <c r="AO768" s="31">
        <f>VLOOKUP($A768,kurspris!$A$1:$Q$950,14,FALSE)</f>
        <v>0</v>
      </c>
      <c r="AP768" s="57" t="s">
        <v>2506</v>
      </c>
      <c r="AQ768" t="s">
        <v>2311</v>
      </c>
      <c r="AR768" s="31">
        <f t="shared" si="335"/>
        <v>0</v>
      </c>
      <c r="AS768" s="219">
        <f t="shared" si="336"/>
        <v>0</v>
      </c>
      <c r="AT768" s="31">
        <f t="shared" si="337"/>
        <v>0.125</v>
      </c>
      <c r="AU768" s="219">
        <f t="shared" si="338"/>
        <v>0.10625</v>
      </c>
      <c r="AV768" s="31">
        <f t="shared" si="339"/>
        <v>0</v>
      </c>
      <c r="AW768" s="31">
        <f t="shared" si="340"/>
        <v>0</v>
      </c>
      <c r="AX768" s="31">
        <f t="shared" si="341"/>
        <v>0</v>
      </c>
      <c r="AY768" s="219">
        <f t="shared" si="342"/>
        <v>0</v>
      </c>
      <c r="AZ768" s="196">
        <f t="shared" si="343"/>
        <v>0</v>
      </c>
      <c r="BA768" s="219">
        <f t="shared" si="344"/>
        <v>0</v>
      </c>
      <c r="BB768" s="31">
        <f t="shared" si="345"/>
        <v>0</v>
      </c>
      <c r="BC768" s="219">
        <f t="shared" si="346"/>
        <v>0</v>
      </c>
      <c r="BD768" s="31">
        <f t="shared" si="347"/>
        <v>0</v>
      </c>
      <c r="BE768" s="219">
        <f t="shared" si="348"/>
        <v>0</v>
      </c>
      <c r="BF768" s="31">
        <f t="shared" si="349"/>
        <v>0</v>
      </c>
      <c r="BG768" s="219">
        <f t="shared" si="350"/>
        <v>0</v>
      </c>
      <c r="BH768" s="31">
        <f t="shared" si="351"/>
        <v>0</v>
      </c>
      <c r="BI768" s="219">
        <f t="shared" si="352"/>
        <v>0</v>
      </c>
      <c r="BJ768" s="31">
        <f t="shared" si="353"/>
        <v>0</v>
      </c>
      <c r="BK768" s="219">
        <f t="shared" si="354"/>
        <v>0</v>
      </c>
      <c r="BL768" s="31">
        <f t="shared" si="355"/>
        <v>0</v>
      </c>
      <c r="BM768" s="219">
        <f t="shared" si="356"/>
        <v>0</v>
      </c>
      <c r="BN768" s="31">
        <f t="shared" si="357"/>
        <v>0</v>
      </c>
      <c r="BO768" s="219">
        <f t="shared" si="358"/>
        <v>0</v>
      </c>
    </row>
    <row r="769" spans="1:67" x14ac:dyDescent="0.25">
      <c r="A769" s="31" t="s">
        <v>1528</v>
      </c>
      <c r="B769" s="176" t="str">
        <f>VLOOKUP(A769,kurspris!$A$1:$B$992,2,FALSE)</f>
        <v>Examensarbete för ämneslärarexamen - religion</v>
      </c>
      <c r="D769" s="60" t="s">
        <v>482</v>
      </c>
      <c r="E769" s="576" t="s">
        <v>2225</v>
      </c>
      <c r="F769" s="31" t="s">
        <v>2273</v>
      </c>
      <c r="G769" s="244" t="s">
        <v>2454</v>
      </c>
      <c r="H769" t="s">
        <v>2335</v>
      </c>
      <c r="J769" s="31" t="s">
        <v>2239</v>
      </c>
      <c r="L769" s="38">
        <v>1</v>
      </c>
      <c r="M769" s="244">
        <v>7.5</v>
      </c>
      <c r="P769" s="31">
        <v>1</v>
      </c>
      <c r="Q769" s="196">
        <f t="shared" si="362"/>
        <v>0.125</v>
      </c>
      <c r="R769" s="38">
        <v>0.85</v>
      </c>
      <c r="S769" s="280">
        <f t="shared" si="331"/>
        <v>0.10625</v>
      </c>
      <c r="T769" s="31">
        <f>VLOOKUP(A769,'Ansvar kurs'!$A$1:$C$1123,2,FALSE)</f>
        <v>1630</v>
      </c>
      <c r="U769" s="31" t="str">
        <f>VLOOKUP(T769,Orgenheter!$A$1:$C$166,2,FALSE)</f>
        <v>Inst för ide- o samhällsstudier</v>
      </c>
      <c r="V769" s="31" t="str">
        <f>VLOOKUP(T769,Orgenheter!$A$1:$C$166,3,FALSE)</f>
        <v>Hum</v>
      </c>
      <c r="W769" s="35" t="str">
        <f>VLOOKUP(D769,Program!$A$1:$B$36,2,FALSE)</f>
        <v>Ämneslärarprogrammet - Gy</v>
      </c>
      <c r="X769" s="40">
        <f>VLOOKUP(A769,kurspris!$A$1:$Q$913,15,FALSE)</f>
        <v>20766</v>
      </c>
      <c r="Y769" s="40">
        <f>VLOOKUP(A769,kurspris!$A$1:$Q$913,16,FALSE)</f>
        <v>17442</v>
      </c>
      <c r="Z769" s="40">
        <f t="shared" si="332"/>
        <v>4448.9624999999996</v>
      </c>
      <c r="AA769" s="40">
        <f>VLOOKUP(A769,kurspris!$A$1:$Q$913,17,FALSE)</f>
        <v>6000</v>
      </c>
      <c r="AB769" s="40">
        <f t="shared" si="333"/>
        <v>750</v>
      </c>
      <c r="AC769" s="40">
        <f t="shared" si="334"/>
        <v>5198.9624999999996</v>
      </c>
      <c r="AD769" s="31">
        <f>VLOOKUP($A769,kurspris!$A$1:$Q$950,3,FALSE)</f>
        <v>0</v>
      </c>
      <c r="AE769" s="31">
        <f>VLOOKUP($A769,kurspris!$A$1:$Q$950,4,FALSE)</f>
        <v>1</v>
      </c>
      <c r="AF769" s="31">
        <f>VLOOKUP($A769,kurspris!$A$1:$Q$950,5,FALSE)</f>
        <v>0</v>
      </c>
      <c r="AG769" s="31">
        <f>VLOOKUP($A769,kurspris!$A$1:$Q$950,6,FALSE)</f>
        <v>0</v>
      </c>
      <c r="AH769" s="31">
        <f>VLOOKUP($A769,kurspris!$A$1:$Q$950,7,FALSE)</f>
        <v>0</v>
      </c>
      <c r="AI769" s="31">
        <f>VLOOKUP($A769,kurspris!$A$1:$Q$950,8,FALSE)</f>
        <v>0</v>
      </c>
      <c r="AJ769" s="31">
        <f>VLOOKUP($A769,kurspris!$A$1:$Q$950,9,FALSE)</f>
        <v>0</v>
      </c>
      <c r="AK769" s="31">
        <f>VLOOKUP($A769,kurspris!$A$1:$Q$950,10,FALSE)</f>
        <v>0</v>
      </c>
      <c r="AL769" s="31">
        <f>VLOOKUP($A769,kurspris!$A$1:$Q$950,11,FALSE)</f>
        <v>0</v>
      </c>
      <c r="AM769" s="31">
        <f>VLOOKUP($A769,kurspris!$A$1:$Q$950,12,FALSE)</f>
        <v>0</v>
      </c>
      <c r="AN769" s="31">
        <f>VLOOKUP($A769,kurspris!$A$1:$Q$950,13,FALSE)</f>
        <v>0</v>
      </c>
      <c r="AO769" s="31">
        <f>VLOOKUP($A769,kurspris!$A$1:$Q$950,14,FALSE)</f>
        <v>0</v>
      </c>
      <c r="AP769" s="57" t="s">
        <v>2506</v>
      </c>
      <c r="AQ769" t="s">
        <v>2311</v>
      </c>
      <c r="AR769" s="31">
        <f t="shared" si="335"/>
        <v>0</v>
      </c>
      <c r="AS769" s="219">
        <f t="shared" si="336"/>
        <v>0</v>
      </c>
      <c r="AT769" s="31">
        <f t="shared" si="337"/>
        <v>0.125</v>
      </c>
      <c r="AU769" s="219">
        <f t="shared" si="338"/>
        <v>0.10625</v>
      </c>
      <c r="AV769" s="31">
        <f t="shared" si="339"/>
        <v>0</v>
      </c>
      <c r="AW769" s="31">
        <f t="shared" si="340"/>
        <v>0</v>
      </c>
      <c r="AX769" s="31">
        <f t="shared" si="341"/>
        <v>0</v>
      </c>
      <c r="AY769" s="219">
        <f t="shared" si="342"/>
        <v>0</v>
      </c>
      <c r="AZ769" s="196">
        <f t="shared" si="343"/>
        <v>0</v>
      </c>
      <c r="BA769" s="219">
        <f t="shared" si="344"/>
        <v>0</v>
      </c>
      <c r="BB769" s="31">
        <f t="shared" si="345"/>
        <v>0</v>
      </c>
      <c r="BC769" s="219">
        <f t="shared" si="346"/>
        <v>0</v>
      </c>
      <c r="BD769" s="31">
        <f t="shared" si="347"/>
        <v>0</v>
      </c>
      <c r="BE769" s="219">
        <f t="shared" si="348"/>
        <v>0</v>
      </c>
      <c r="BF769" s="31">
        <f t="shared" si="349"/>
        <v>0</v>
      </c>
      <c r="BG769" s="219">
        <f t="shared" si="350"/>
        <v>0</v>
      </c>
      <c r="BH769" s="31">
        <f t="shared" si="351"/>
        <v>0</v>
      </c>
      <c r="BI769" s="219">
        <f t="shared" si="352"/>
        <v>0</v>
      </c>
      <c r="BJ769" s="31">
        <f t="shared" si="353"/>
        <v>0</v>
      </c>
      <c r="BK769" s="219">
        <f t="shared" si="354"/>
        <v>0</v>
      </c>
      <c r="BL769" s="31">
        <f t="shared" si="355"/>
        <v>0</v>
      </c>
      <c r="BM769" s="219">
        <f t="shared" si="356"/>
        <v>0</v>
      </c>
      <c r="BN769" s="31">
        <f t="shared" si="357"/>
        <v>0</v>
      </c>
      <c r="BO769" s="219">
        <f t="shared" si="358"/>
        <v>0</v>
      </c>
    </row>
    <row r="770" spans="1:67" x14ac:dyDescent="0.25">
      <c r="A770" s="31" t="s">
        <v>1748</v>
      </c>
      <c r="B770" s="176" t="str">
        <f>VLOOKUP(A770,kurspris!$A$1:$B$992,2,FALSE)</f>
        <v>Läraryrkets dimensioner- ingångsämne religion (VFU)</v>
      </c>
      <c r="D770" s="60" t="s">
        <v>482</v>
      </c>
      <c r="E770" s="576" t="s">
        <v>2227</v>
      </c>
      <c r="F770" s="31" t="s">
        <v>2273</v>
      </c>
      <c r="G770" t="s">
        <v>2456</v>
      </c>
      <c r="H770" t="s">
        <v>2335</v>
      </c>
      <c r="J770" s="31" t="s">
        <v>2239</v>
      </c>
      <c r="L770" s="38">
        <v>1</v>
      </c>
      <c r="M770">
        <v>22.5</v>
      </c>
      <c r="P770" s="31">
        <v>1</v>
      </c>
      <c r="Q770" s="196">
        <f t="shared" si="362"/>
        <v>0.375</v>
      </c>
      <c r="R770" s="38">
        <v>0.85</v>
      </c>
      <c r="S770" s="280">
        <f t="shared" ref="S770:S833" si="363">Q770*R770</f>
        <v>0.31874999999999998</v>
      </c>
      <c r="T770" s="31">
        <f>VLOOKUP(A770,'Ansvar kurs'!$A$1:$C$1123,2,FALSE)</f>
        <v>1630</v>
      </c>
      <c r="U770" s="31" t="str">
        <f>VLOOKUP(T770,Orgenheter!$A$1:$C$166,2,FALSE)</f>
        <v>Inst för ide- o samhällsstudier</v>
      </c>
      <c r="V770" s="31" t="str">
        <f>VLOOKUP(T770,Orgenheter!$A$1:$C$166,3,FALSE)</f>
        <v>Hum</v>
      </c>
      <c r="W770" s="35" t="str">
        <f>VLOOKUP(D770,Program!$A$1:$B$36,2,FALSE)</f>
        <v>Ämneslärarprogrammet - Gy</v>
      </c>
      <c r="X770" s="40">
        <f>VLOOKUP(A770,kurspris!$A$1:$Q$913,15,FALSE)</f>
        <v>25235</v>
      </c>
      <c r="Y770" s="40">
        <f>VLOOKUP(A770,kurspris!$A$1:$Q$913,16,FALSE)</f>
        <v>27976</v>
      </c>
      <c r="Z770" s="40">
        <f t="shared" ref="Z770:Z833" si="364">X770*Q770+S770*Y770</f>
        <v>18380.474999999999</v>
      </c>
      <c r="AA770" s="40">
        <f>VLOOKUP(A770,kurspris!$A$1:$Q$913,17,FALSE)</f>
        <v>3600</v>
      </c>
      <c r="AB770" s="40">
        <f t="shared" ref="AB770:AB833" si="365">AA770*Q770</f>
        <v>1350</v>
      </c>
      <c r="AC770" s="40">
        <f t="shared" ref="AC770:AC833" si="366">Z770+AB770</f>
        <v>19730.474999999999</v>
      </c>
      <c r="AD770" s="31">
        <f>VLOOKUP($A770,kurspris!$A$1:$Q$950,3,FALSE)</f>
        <v>0</v>
      </c>
      <c r="AE770" s="31">
        <f>VLOOKUP($A770,kurspris!$A$1:$Q$950,4,FALSE)</f>
        <v>0</v>
      </c>
      <c r="AF770" s="31">
        <f>VLOOKUP($A770,kurspris!$A$1:$Q$950,5,FALSE)</f>
        <v>0</v>
      </c>
      <c r="AG770" s="31">
        <f>VLOOKUP($A770,kurspris!$A$1:$Q$950,6,FALSE)</f>
        <v>0</v>
      </c>
      <c r="AH770" s="31">
        <f>VLOOKUP($A770,kurspris!$A$1:$Q$950,7,FALSE)</f>
        <v>0</v>
      </c>
      <c r="AI770" s="31">
        <f>VLOOKUP($A770,kurspris!$A$1:$Q$950,8,FALSE)</f>
        <v>0</v>
      </c>
      <c r="AJ770" s="31">
        <f>VLOOKUP($A770,kurspris!$A$1:$Q$950,9,FALSE)</f>
        <v>0</v>
      </c>
      <c r="AK770" s="31">
        <f>VLOOKUP($A770,kurspris!$A$1:$Q$950,10,FALSE)</f>
        <v>0</v>
      </c>
      <c r="AL770" s="31">
        <f>VLOOKUP($A770,kurspris!$A$1:$Q$950,11,FALSE)</f>
        <v>1</v>
      </c>
      <c r="AM770" s="31">
        <f>VLOOKUP($A770,kurspris!$A$1:$Q$950,12,FALSE)</f>
        <v>0</v>
      </c>
      <c r="AN770" s="31">
        <f>VLOOKUP($A770,kurspris!$A$1:$Q$950,13,FALSE)</f>
        <v>0</v>
      </c>
      <c r="AO770" s="31">
        <f>VLOOKUP($A770,kurspris!$A$1:$Q$950,14,FALSE)</f>
        <v>0</v>
      </c>
      <c r="AP770" s="57" t="s">
        <v>2506</v>
      </c>
      <c r="AQ770"/>
      <c r="AR770" s="31">
        <f t="shared" ref="AR770:AR833" si="367">$Q770*AD770</f>
        <v>0</v>
      </c>
      <c r="AS770" s="219">
        <f t="shared" ref="AS770:AS833" si="368">$S770*AD770</f>
        <v>0</v>
      </c>
      <c r="AT770" s="31">
        <f t="shared" ref="AT770:AT833" si="369">$Q770*AE770</f>
        <v>0</v>
      </c>
      <c r="AU770" s="219">
        <f t="shared" ref="AU770:AU833" si="370">$S770*AE770</f>
        <v>0</v>
      </c>
      <c r="AV770" s="31">
        <f t="shared" ref="AV770:AV833" si="371">$Q770*AF770</f>
        <v>0</v>
      </c>
      <c r="AW770" s="31">
        <f t="shared" ref="AW770:AW833" si="372">$S770*AF770</f>
        <v>0</v>
      </c>
      <c r="AX770" s="31">
        <f t="shared" ref="AX770:AX833" si="373">$Q770*AG770</f>
        <v>0</v>
      </c>
      <c r="AY770" s="219">
        <f t="shared" ref="AY770:AY833" si="374">$S770*AG770</f>
        <v>0</v>
      </c>
      <c r="AZ770" s="196">
        <f t="shared" ref="AZ770:AZ833" si="375">$Q770*AH770</f>
        <v>0</v>
      </c>
      <c r="BA770" s="219">
        <f t="shared" ref="BA770:BA833" si="376">$S770*AH770</f>
        <v>0</v>
      </c>
      <c r="BB770" s="31">
        <f t="shared" ref="BB770:BB833" si="377">$Q770*AI770</f>
        <v>0</v>
      </c>
      <c r="BC770" s="219">
        <f t="shared" ref="BC770:BC833" si="378">$S770*AI770</f>
        <v>0</v>
      </c>
      <c r="BD770" s="31">
        <f t="shared" ref="BD770:BD833" si="379">$Q770*AJ770</f>
        <v>0</v>
      </c>
      <c r="BE770" s="219">
        <f t="shared" ref="BE770:BE833" si="380">$S770*AJ770</f>
        <v>0</v>
      </c>
      <c r="BF770" s="31">
        <f t="shared" ref="BF770:BF833" si="381">$Q770*AK770</f>
        <v>0</v>
      </c>
      <c r="BG770" s="219">
        <f t="shared" ref="BG770:BG833" si="382">$S770*AK770</f>
        <v>0</v>
      </c>
      <c r="BH770" s="31">
        <f t="shared" ref="BH770:BH833" si="383">$Q770*AL770</f>
        <v>0.375</v>
      </c>
      <c r="BI770" s="219">
        <f t="shared" ref="BI770:BI833" si="384">$S770*AL770</f>
        <v>0.31874999999999998</v>
      </c>
      <c r="BJ770" s="31">
        <f t="shared" ref="BJ770:BJ833" si="385">$Q770*AM770</f>
        <v>0</v>
      </c>
      <c r="BK770" s="219">
        <f t="shared" ref="BK770:BK833" si="386">$S770*AM770</f>
        <v>0</v>
      </c>
      <c r="BL770" s="31">
        <f t="shared" ref="BL770:BL833" si="387">$Q770*AN770</f>
        <v>0</v>
      </c>
      <c r="BM770" s="219">
        <f t="shared" ref="BM770:BM833" si="388">$S770*AN770</f>
        <v>0</v>
      </c>
      <c r="BN770" s="31">
        <f t="shared" ref="BN770:BN833" si="389">$Q770*AO770</f>
        <v>0</v>
      </c>
      <c r="BO770" s="219">
        <f t="shared" ref="BO770:BO833" si="390">$S770*AO770</f>
        <v>0</v>
      </c>
    </row>
    <row r="771" spans="1:67" x14ac:dyDescent="0.25">
      <c r="A771" s="31" t="s">
        <v>1748</v>
      </c>
      <c r="B771" s="176" t="str">
        <f>VLOOKUP(A771,kurspris!$A$1:$B$992,2,FALSE)</f>
        <v>Läraryrkets dimensioner- ingångsämne religion (VFU)</v>
      </c>
      <c r="D771" s="60" t="s">
        <v>482</v>
      </c>
      <c r="E771" s="576" t="s">
        <v>2226</v>
      </c>
      <c r="F771" s="31" t="s">
        <v>2273</v>
      </c>
      <c r="G771" t="s">
        <v>2456</v>
      </c>
      <c r="H771" t="s">
        <v>2335</v>
      </c>
      <c r="J771" s="31" t="s">
        <v>2239</v>
      </c>
      <c r="L771" s="38">
        <v>1</v>
      </c>
      <c r="M771">
        <v>22.5</v>
      </c>
      <c r="P771" s="31">
        <v>2</v>
      </c>
      <c r="Q771" s="196">
        <f t="shared" si="362"/>
        <v>0.75</v>
      </c>
      <c r="R771" s="38">
        <v>0.85</v>
      </c>
      <c r="S771" s="280">
        <f t="shared" si="363"/>
        <v>0.63749999999999996</v>
      </c>
      <c r="T771" s="31">
        <f>VLOOKUP(A771,'Ansvar kurs'!$A$1:$C$1123,2,FALSE)</f>
        <v>1630</v>
      </c>
      <c r="U771" s="31" t="str">
        <f>VLOOKUP(T771,Orgenheter!$A$1:$C$166,2,FALSE)</f>
        <v>Inst för ide- o samhällsstudier</v>
      </c>
      <c r="V771" s="31" t="str">
        <f>VLOOKUP(T771,Orgenheter!$A$1:$C$166,3,FALSE)</f>
        <v>Hum</v>
      </c>
      <c r="W771" s="35" t="str">
        <f>VLOOKUP(D771,Program!$A$1:$B$36,2,FALSE)</f>
        <v>Ämneslärarprogrammet - Gy</v>
      </c>
      <c r="X771" s="40">
        <f>VLOOKUP(A771,kurspris!$A$1:$Q$913,15,FALSE)</f>
        <v>25235</v>
      </c>
      <c r="Y771" s="40">
        <f>VLOOKUP(A771,kurspris!$A$1:$Q$913,16,FALSE)</f>
        <v>27976</v>
      </c>
      <c r="Z771" s="40">
        <f t="shared" si="364"/>
        <v>36760.949999999997</v>
      </c>
      <c r="AA771" s="40">
        <f>VLOOKUP(A771,kurspris!$A$1:$Q$913,17,FALSE)</f>
        <v>3600</v>
      </c>
      <c r="AB771" s="40">
        <f t="shared" si="365"/>
        <v>2700</v>
      </c>
      <c r="AC771" s="40">
        <f t="shared" si="366"/>
        <v>39460.949999999997</v>
      </c>
      <c r="AD771" s="31">
        <f>VLOOKUP($A771,kurspris!$A$1:$Q$950,3,FALSE)</f>
        <v>0</v>
      </c>
      <c r="AE771" s="31">
        <f>VLOOKUP($A771,kurspris!$A$1:$Q$950,4,FALSE)</f>
        <v>0</v>
      </c>
      <c r="AF771" s="31">
        <f>VLOOKUP($A771,kurspris!$A$1:$Q$950,5,FALSE)</f>
        <v>0</v>
      </c>
      <c r="AG771" s="31">
        <f>VLOOKUP($A771,kurspris!$A$1:$Q$950,6,FALSE)</f>
        <v>0</v>
      </c>
      <c r="AH771" s="31">
        <f>VLOOKUP($A771,kurspris!$A$1:$Q$950,7,FALSE)</f>
        <v>0</v>
      </c>
      <c r="AI771" s="31">
        <f>VLOOKUP($A771,kurspris!$A$1:$Q$950,8,FALSE)</f>
        <v>0</v>
      </c>
      <c r="AJ771" s="31">
        <f>VLOOKUP($A771,kurspris!$A$1:$Q$950,9,FALSE)</f>
        <v>0</v>
      </c>
      <c r="AK771" s="31">
        <f>VLOOKUP($A771,kurspris!$A$1:$Q$950,10,FALSE)</f>
        <v>0</v>
      </c>
      <c r="AL771" s="31">
        <f>VLOOKUP($A771,kurspris!$A$1:$Q$950,11,FALSE)</f>
        <v>1</v>
      </c>
      <c r="AM771" s="31">
        <f>VLOOKUP($A771,kurspris!$A$1:$Q$950,12,FALSE)</f>
        <v>0</v>
      </c>
      <c r="AN771" s="31">
        <f>VLOOKUP($A771,kurspris!$A$1:$Q$950,13,FALSE)</f>
        <v>0</v>
      </c>
      <c r="AO771" s="31">
        <f>VLOOKUP($A771,kurspris!$A$1:$Q$950,14,FALSE)</f>
        <v>0</v>
      </c>
      <c r="AP771" s="57" t="s">
        <v>2506</v>
      </c>
      <c r="AQ771"/>
      <c r="AR771" s="31">
        <f t="shared" si="367"/>
        <v>0</v>
      </c>
      <c r="AS771" s="219">
        <f t="shared" si="368"/>
        <v>0</v>
      </c>
      <c r="AT771" s="31">
        <f t="shared" si="369"/>
        <v>0</v>
      </c>
      <c r="AU771" s="219">
        <f t="shared" si="370"/>
        <v>0</v>
      </c>
      <c r="AV771" s="31">
        <f t="shared" si="371"/>
        <v>0</v>
      </c>
      <c r="AW771" s="31">
        <f t="shared" si="372"/>
        <v>0</v>
      </c>
      <c r="AX771" s="31">
        <f t="shared" si="373"/>
        <v>0</v>
      </c>
      <c r="AY771" s="219">
        <f t="shared" si="374"/>
        <v>0</v>
      </c>
      <c r="AZ771" s="196">
        <f t="shared" si="375"/>
        <v>0</v>
      </c>
      <c r="BA771" s="219">
        <f t="shared" si="376"/>
        <v>0</v>
      </c>
      <c r="BB771" s="31">
        <f t="shared" si="377"/>
        <v>0</v>
      </c>
      <c r="BC771" s="219">
        <f t="shared" si="378"/>
        <v>0</v>
      </c>
      <c r="BD771" s="31">
        <f t="shared" si="379"/>
        <v>0</v>
      </c>
      <c r="BE771" s="219">
        <f t="shared" si="380"/>
        <v>0</v>
      </c>
      <c r="BF771" s="31">
        <f t="shared" si="381"/>
        <v>0</v>
      </c>
      <c r="BG771" s="219">
        <f t="shared" si="382"/>
        <v>0</v>
      </c>
      <c r="BH771" s="31">
        <f t="shared" si="383"/>
        <v>0.75</v>
      </c>
      <c r="BI771" s="219">
        <f t="shared" si="384"/>
        <v>0.63749999999999996</v>
      </c>
      <c r="BJ771" s="31">
        <f t="shared" si="385"/>
        <v>0</v>
      </c>
      <c r="BK771" s="219">
        <f t="shared" si="386"/>
        <v>0</v>
      </c>
      <c r="BL771" s="31">
        <f t="shared" si="387"/>
        <v>0</v>
      </c>
      <c r="BM771" s="219">
        <f t="shared" si="388"/>
        <v>0</v>
      </c>
      <c r="BN771" s="31">
        <f t="shared" si="389"/>
        <v>0</v>
      </c>
      <c r="BO771" s="219">
        <f t="shared" si="390"/>
        <v>0</v>
      </c>
    </row>
    <row r="772" spans="1:67" x14ac:dyDescent="0.25">
      <c r="A772" s="31" t="s">
        <v>1748</v>
      </c>
      <c r="B772" s="176" t="str">
        <f>VLOOKUP(A772,kurspris!$A$1:$B$992,2,FALSE)</f>
        <v>Läraryrkets dimensioner- ingångsämne religion (VFU)</v>
      </c>
      <c r="D772" s="60" t="s">
        <v>482</v>
      </c>
      <c r="E772" s="576" t="s">
        <v>2225</v>
      </c>
      <c r="F772" s="31" t="s">
        <v>2273</v>
      </c>
      <c r="G772" t="s">
        <v>2456</v>
      </c>
      <c r="H772" t="s">
        <v>2335</v>
      </c>
      <c r="J772" s="31" t="s">
        <v>2239</v>
      </c>
      <c r="L772" s="38">
        <v>1</v>
      </c>
      <c r="M772">
        <v>22.5</v>
      </c>
      <c r="P772" s="31">
        <v>1</v>
      </c>
      <c r="Q772" s="196">
        <f t="shared" si="362"/>
        <v>0.375</v>
      </c>
      <c r="R772" s="38">
        <v>0.85</v>
      </c>
      <c r="S772" s="280">
        <f t="shared" si="363"/>
        <v>0.31874999999999998</v>
      </c>
      <c r="T772" s="31">
        <f>VLOOKUP(A772,'Ansvar kurs'!$A$1:$C$1123,2,FALSE)</f>
        <v>1630</v>
      </c>
      <c r="U772" s="31" t="str">
        <f>VLOOKUP(T772,Orgenheter!$A$1:$C$166,2,FALSE)</f>
        <v>Inst för ide- o samhällsstudier</v>
      </c>
      <c r="V772" s="31" t="str">
        <f>VLOOKUP(T772,Orgenheter!$A$1:$C$166,3,FALSE)</f>
        <v>Hum</v>
      </c>
      <c r="W772" s="35" t="str">
        <f>VLOOKUP(D772,Program!$A$1:$B$36,2,FALSE)</f>
        <v>Ämneslärarprogrammet - Gy</v>
      </c>
      <c r="X772" s="40">
        <f>VLOOKUP(A772,kurspris!$A$1:$Q$913,15,FALSE)</f>
        <v>25235</v>
      </c>
      <c r="Y772" s="40">
        <f>VLOOKUP(A772,kurspris!$A$1:$Q$913,16,FALSE)</f>
        <v>27976</v>
      </c>
      <c r="Z772" s="40">
        <f t="shared" si="364"/>
        <v>18380.474999999999</v>
      </c>
      <c r="AA772" s="40">
        <f>VLOOKUP(A772,kurspris!$A$1:$Q$913,17,FALSE)</f>
        <v>3600</v>
      </c>
      <c r="AB772" s="40">
        <f t="shared" si="365"/>
        <v>1350</v>
      </c>
      <c r="AC772" s="40">
        <f t="shared" si="366"/>
        <v>19730.474999999999</v>
      </c>
      <c r="AD772" s="31">
        <f>VLOOKUP($A772,kurspris!$A$1:$Q$950,3,FALSE)</f>
        <v>0</v>
      </c>
      <c r="AE772" s="31">
        <f>VLOOKUP($A772,kurspris!$A$1:$Q$950,4,FALSE)</f>
        <v>0</v>
      </c>
      <c r="AF772" s="31">
        <f>VLOOKUP($A772,kurspris!$A$1:$Q$950,5,FALSE)</f>
        <v>0</v>
      </c>
      <c r="AG772" s="31">
        <f>VLOOKUP($A772,kurspris!$A$1:$Q$950,6,FALSE)</f>
        <v>0</v>
      </c>
      <c r="AH772" s="31">
        <f>VLOOKUP($A772,kurspris!$A$1:$Q$950,7,FALSE)</f>
        <v>0</v>
      </c>
      <c r="AI772" s="31">
        <f>VLOOKUP($A772,kurspris!$A$1:$Q$950,8,FALSE)</f>
        <v>0</v>
      </c>
      <c r="AJ772" s="31">
        <f>VLOOKUP($A772,kurspris!$A$1:$Q$950,9,FALSE)</f>
        <v>0</v>
      </c>
      <c r="AK772" s="31">
        <f>VLOOKUP($A772,kurspris!$A$1:$Q$950,10,FALSE)</f>
        <v>0</v>
      </c>
      <c r="AL772" s="31">
        <f>VLOOKUP($A772,kurspris!$A$1:$Q$950,11,FALSE)</f>
        <v>1</v>
      </c>
      <c r="AM772" s="31">
        <f>VLOOKUP($A772,kurspris!$A$1:$Q$950,12,FALSE)</f>
        <v>0</v>
      </c>
      <c r="AN772" s="31">
        <f>VLOOKUP($A772,kurspris!$A$1:$Q$950,13,FALSE)</f>
        <v>0</v>
      </c>
      <c r="AO772" s="31">
        <f>VLOOKUP($A772,kurspris!$A$1:$Q$950,14,FALSE)</f>
        <v>0</v>
      </c>
      <c r="AP772" s="57" t="s">
        <v>2506</v>
      </c>
      <c r="AQ772"/>
      <c r="AR772" s="31">
        <f t="shared" si="367"/>
        <v>0</v>
      </c>
      <c r="AS772" s="219">
        <f t="shared" si="368"/>
        <v>0</v>
      </c>
      <c r="AT772" s="31">
        <f t="shared" si="369"/>
        <v>0</v>
      </c>
      <c r="AU772" s="219">
        <f t="shared" si="370"/>
        <v>0</v>
      </c>
      <c r="AV772" s="31">
        <f t="shared" si="371"/>
        <v>0</v>
      </c>
      <c r="AW772" s="31">
        <f t="shared" si="372"/>
        <v>0</v>
      </c>
      <c r="AX772" s="31">
        <f t="shared" si="373"/>
        <v>0</v>
      </c>
      <c r="AY772" s="219">
        <f t="shared" si="374"/>
        <v>0</v>
      </c>
      <c r="AZ772" s="196">
        <f t="shared" si="375"/>
        <v>0</v>
      </c>
      <c r="BA772" s="219">
        <f t="shared" si="376"/>
        <v>0</v>
      </c>
      <c r="BB772" s="31">
        <f t="shared" si="377"/>
        <v>0</v>
      </c>
      <c r="BC772" s="219">
        <f t="shared" si="378"/>
        <v>0</v>
      </c>
      <c r="BD772" s="31">
        <f t="shared" si="379"/>
        <v>0</v>
      </c>
      <c r="BE772" s="219">
        <f t="shared" si="380"/>
        <v>0</v>
      </c>
      <c r="BF772" s="31">
        <f t="shared" si="381"/>
        <v>0</v>
      </c>
      <c r="BG772" s="219">
        <f t="shared" si="382"/>
        <v>0</v>
      </c>
      <c r="BH772" s="31">
        <f t="shared" si="383"/>
        <v>0.375</v>
      </c>
      <c r="BI772" s="219">
        <f t="shared" si="384"/>
        <v>0.31874999999999998</v>
      </c>
      <c r="BJ772" s="31">
        <f t="shared" si="385"/>
        <v>0</v>
      </c>
      <c r="BK772" s="219">
        <f t="shared" si="386"/>
        <v>0</v>
      </c>
      <c r="BL772" s="31">
        <f t="shared" si="387"/>
        <v>0</v>
      </c>
      <c r="BM772" s="219">
        <f t="shared" si="388"/>
        <v>0</v>
      </c>
      <c r="BN772" s="31">
        <f t="shared" si="389"/>
        <v>0</v>
      </c>
      <c r="BO772" s="219">
        <f t="shared" si="390"/>
        <v>0</v>
      </c>
    </row>
    <row r="773" spans="1:67" x14ac:dyDescent="0.25">
      <c r="A773" s="31" t="s">
        <v>1748</v>
      </c>
      <c r="B773" s="176" t="str">
        <f>VLOOKUP(A773,kurspris!$A$1:$B$992,2,FALSE)</f>
        <v>Läraryrkets dimensioner- ingångsämne religion (VFU)</v>
      </c>
      <c r="C773" s="31">
        <v>71242</v>
      </c>
      <c r="D773" s="60" t="s">
        <v>482</v>
      </c>
      <c r="E773" s="60"/>
      <c r="F773" s="57" t="s">
        <v>2274</v>
      </c>
      <c r="H773" s="31" t="s">
        <v>2335</v>
      </c>
      <c r="I773" s="31" t="s">
        <v>2399</v>
      </c>
      <c r="J773" s="31" t="s">
        <v>2239</v>
      </c>
      <c r="L773" s="38"/>
      <c r="M773">
        <v>22.5</v>
      </c>
      <c r="P773" s="31">
        <v>4</v>
      </c>
      <c r="Q773" s="539">
        <v>1.5</v>
      </c>
      <c r="R773" s="38">
        <v>0.85</v>
      </c>
      <c r="S773" s="280">
        <f t="shared" si="363"/>
        <v>1.2749999999999999</v>
      </c>
      <c r="T773" s="31">
        <f>VLOOKUP(A773,'Ansvar kurs'!$A$1:$C$1123,2,FALSE)</f>
        <v>1630</v>
      </c>
      <c r="U773" s="31" t="str">
        <f>VLOOKUP(T773,Orgenheter!$A$1:$C$166,2,FALSE)</f>
        <v>Inst för ide- o samhällsstudier</v>
      </c>
      <c r="V773" s="31" t="str">
        <f>VLOOKUP(T773,Orgenheter!$A$1:$C$166,3,FALSE)</f>
        <v>Hum</v>
      </c>
      <c r="W773" s="35" t="str">
        <f>VLOOKUP(D773,Program!$A$1:$B$36,2,FALSE)</f>
        <v>Ämneslärarprogrammet - Gy</v>
      </c>
      <c r="X773" s="40">
        <f>VLOOKUP(A773,kurspris!$A$1:$Q$913,15,FALSE)</f>
        <v>25235</v>
      </c>
      <c r="Y773" s="40">
        <f>VLOOKUP(A773,kurspris!$A$1:$Q$913,16,FALSE)</f>
        <v>27976</v>
      </c>
      <c r="Z773" s="40">
        <f t="shared" si="364"/>
        <v>73521.899999999994</v>
      </c>
      <c r="AA773" s="40">
        <f>VLOOKUP(A773,kurspris!$A$1:$Q$913,17,FALSE)</f>
        <v>3600</v>
      </c>
      <c r="AB773" s="40">
        <f t="shared" si="365"/>
        <v>5400</v>
      </c>
      <c r="AC773" s="40">
        <f t="shared" si="366"/>
        <v>78921.899999999994</v>
      </c>
      <c r="AD773" s="31">
        <f>VLOOKUP($A773,kurspris!$A$1:$Q$950,3,FALSE)</f>
        <v>0</v>
      </c>
      <c r="AE773" s="31">
        <f>VLOOKUP($A773,kurspris!$A$1:$Q$950,4,FALSE)</f>
        <v>0</v>
      </c>
      <c r="AF773" s="31">
        <f>VLOOKUP($A773,kurspris!$A$1:$Q$950,5,FALSE)</f>
        <v>0</v>
      </c>
      <c r="AG773" s="31">
        <f>VLOOKUP($A773,kurspris!$A$1:$Q$950,6,FALSE)</f>
        <v>0</v>
      </c>
      <c r="AH773" s="31">
        <f>VLOOKUP($A773,kurspris!$A$1:$Q$950,7,FALSE)</f>
        <v>0</v>
      </c>
      <c r="AI773" s="31">
        <f>VLOOKUP($A773,kurspris!$A$1:$Q$950,8,FALSE)</f>
        <v>0</v>
      </c>
      <c r="AJ773" s="31">
        <f>VLOOKUP($A773,kurspris!$A$1:$Q$950,9,FALSE)</f>
        <v>0</v>
      </c>
      <c r="AK773" s="31">
        <f>VLOOKUP($A773,kurspris!$A$1:$Q$950,10,FALSE)</f>
        <v>0</v>
      </c>
      <c r="AL773" s="31">
        <f>VLOOKUP($A773,kurspris!$A$1:$Q$950,11,FALSE)</f>
        <v>1</v>
      </c>
      <c r="AM773" s="31">
        <f>VLOOKUP($A773,kurspris!$A$1:$Q$950,12,FALSE)</f>
        <v>0</v>
      </c>
      <c r="AN773" s="31">
        <f>VLOOKUP($A773,kurspris!$A$1:$Q$950,13,FALSE)</f>
        <v>0</v>
      </c>
      <c r="AO773" s="31">
        <f>VLOOKUP($A773,kurspris!$A$1:$Q$950,14,FALSE)</f>
        <v>0</v>
      </c>
      <c r="AP773" s="57" t="s">
        <v>2402</v>
      </c>
      <c r="AQ773"/>
      <c r="AR773" s="31">
        <f t="shared" si="367"/>
        <v>0</v>
      </c>
      <c r="AS773" s="219">
        <f t="shared" si="368"/>
        <v>0</v>
      </c>
      <c r="AT773" s="31">
        <f t="shared" si="369"/>
        <v>0</v>
      </c>
      <c r="AU773" s="219">
        <f t="shared" si="370"/>
        <v>0</v>
      </c>
      <c r="AV773" s="31">
        <f t="shared" si="371"/>
        <v>0</v>
      </c>
      <c r="AW773" s="31">
        <f t="shared" si="372"/>
        <v>0</v>
      </c>
      <c r="AX773" s="31">
        <f t="shared" si="373"/>
        <v>0</v>
      </c>
      <c r="AY773" s="219">
        <f t="shared" si="374"/>
        <v>0</v>
      </c>
      <c r="AZ773" s="196">
        <f t="shared" si="375"/>
        <v>0</v>
      </c>
      <c r="BA773" s="219">
        <f t="shared" si="376"/>
        <v>0</v>
      </c>
      <c r="BB773" s="31">
        <f t="shared" si="377"/>
        <v>0</v>
      </c>
      <c r="BC773" s="219">
        <f t="shared" si="378"/>
        <v>0</v>
      </c>
      <c r="BD773" s="31">
        <f t="shared" si="379"/>
        <v>0</v>
      </c>
      <c r="BE773" s="219">
        <f t="shared" si="380"/>
        <v>0</v>
      </c>
      <c r="BF773" s="31">
        <f t="shared" si="381"/>
        <v>0</v>
      </c>
      <c r="BG773" s="219">
        <f t="shared" si="382"/>
        <v>0</v>
      </c>
      <c r="BH773" s="31">
        <f t="shared" si="383"/>
        <v>1.5</v>
      </c>
      <c r="BI773" s="219">
        <f t="shared" si="384"/>
        <v>1.2749999999999999</v>
      </c>
      <c r="BJ773" s="31">
        <f t="shared" si="385"/>
        <v>0</v>
      </c>
      <c r="BK773" s="219">
        <f t="shared" si="386"/>
        <v>0</v>
      </c>
      <c r="BL773" s="31">
        <f t="shared" si="387"/>
        <v>0</v>
      </c>
      <c r="BM773" s="219">
        <f t="shared" si="388"/>
        <v>0</v>
      </c>
      <c r="BN773" s="31">
        <f t="shared" si="389"/>
        <v>0</v>
      </c>
      <c r="BO773" s="219">
        <f t="shared" si="390"/>
        <v>0</v>
      </c>
    </row>
    <row r="774" spans="1:67" x14ac:dyDescent="0.25">
      <c r="A774" s="31" t="s">
        <v>1905</v>
      </c>
      <c r="B774" s="176" t="str">
        <f>VLOOKUP(A774,kurspris!$A$1:$B$992,2,FALSE)</f>
        <v>Att undervisa i religionskunskap (VFU)</v>
      </c>
      <c r="D774" s="60" t="s">
        <v>482</v>
      </c>
      <c r="E774" s="576" t="s">
        <v>2225</v>
      </c>
      <c r="F774" s="31" t="s">
        <v>2273</v>
      </c>
      <c r="G774" t="s">
        <v>2444</v>
      </c>
      <c r="H774" t="s">
        <v>2335</v>
      </c>
      <c r="J774" s="31" t="s">
        <v>2239</v>
      </c>
      <c r="L774" s="38">
        <v>1</v>
      </c>
      <c r="M774">
        <v>6</v>
      </c>
      <c r="P774" s="31">
        <v>1</v>
      </c>
      <c r="Q774" s="196">
        <f t="shared" ref="Q774:Q786" si="391">(M774/60)*P774</f>
        <v>0.1</v>
      </c>
      <c r="R774" s="38">
        <v>0.85</v>
      </c>
      <c r="S774" s="280">
        <f t="shared" si="363"/>
        <v>8.5000000000000006E-2</v>
      </c>
      <c r="T774" s="31">
        <f>VLOOKUP(A774,'Ansvar kurs'!$A$1:$C$1123,2,FALSE)</f>
        <v>1630</v>
      </c>
      <c r="U774" s="31" t="str">
        <f>VLOOKUP(T774,Orgenheter!$A$1:$C$166,2,FALSE)</f>
        <v>Inst för ide- o samhällsstudier</v>
      </c>
      <c r="V774" s="31" t="str">
        <f>VLOOKUP(T774,Orgenheter!$A$1:$C$166,3,FALSE)</f>
        <v>Hum</v>
      </c>
      <c r="W774" s="35" t="str">
        <f>VLOOKUP(D774,Program!$A$1:$B$36,2,FALSE)</f>
        <v>Ämneslärarprogrammet - Gy</v>
      </c>
      <c r="X774" s="40">
        <f>VLOOKUP(A774,kurspris!$A$1:$Q$913,15,FALSE)</f>
        <v>25235</v>
      </c>
      <c r="Y774" s="40">
        <f>VLOOKUP(A774,kurspris!$A$1:$Q$913,16,FALSE)</f>
        <v>27976</v>
      </c>
      <c r="Z774" s="40">
        <f t="shared" si="364"/>
        <v>4901.46</v>
      </c>
      <c r="AA774" s="40">
        <f>VLOOKUP(A774,kurspris!$A$1:$Q$913,17,FALSE)</f>
        <v>3600</v>
      </c>
      <c r="AB774" s="40">
        <f t="shared" si="365"/>
        <v>360</v>
      </c>
      <c r="AC774" s="40">
        <f t="shared" si="366"/>
        <v>5261.46</v>
      </c>
      <c r="AD774" s="31">
        <f>VLOOKUP($A774,kurspris!$A$1:$Q$950,3,FALSE)</f>
        <v>0</v>
      </c>
      <c r="AE774" s="31">
        <f>VLOOKUP($A774,kurspris!$A$1:$Q$950,4,FALSE)</f>
        <v>0</v>
      </c>
      <c r="AF774" s="31">
        <f>VLOOKUP($A774,kurspris!$A$1:$Q$950,5,FALSE)</f>
        <v>0</v>
      </c>
      <c r="AG774" s="31">
        <f>VLOOKUP($A774,kurspris!$A$1:$Q$950,6,FALSE)</f>
        <v>0</v>
      </c>
      <c r="AH774" s="31">
        <f>VLOOKUP($A774,kurspris!$A$1:$Q$950,7,FALSE)</f>
        <v>0</v>
      </c>
      <c r="AI774" s="31">
        <f>VLOOKUP($A774,kurspris!$A$1:$Q$950,8,FALSE)</f>
        <v>0</v>
      </c>
      <c r="AJ774" s="31">
        <f>VLOOKUP($A774,kurspris!$A$1:$Q$950,9,FALSE)</f>
        <v>0</v>
      </c>
      <c r="AK774" s="31">
        <f>VLOOKUP($A774,kurspris!$A$1:$Q$950,10,FALSE)</f>
        <v>0</v>
      </c>
      <c r="AL774" s="31">
        <f>VLOOKUP($A774,kurspris!$A$1:$Q$950,11,FALSE)</f>
        <v>1</v>
      </c>
      <c r="AM774" s="31">
        <f>VLOOKUP($A774,kurspris!$A$1:$Q$950,12,FALSE)</f>
        <v>0</v>
      </c>
      <c r="AN774" s="31">
        <f>VLOOKUP($A774,kurspris!$A$1:$Q$950,13,FALSE)</f>
        <v>0</v>
      </c>
      <c r="AO774" s="31">
        <f>VLOOKUP($A774,kurspris!$A$1:$Q$950,14,FALSE)</f>
        <v>0</v>
      </c>
      <c r="AP774" s="57" t="s">
        <v>2506</v>
      </c>
      <c r="AQ774"/>
      <c r="AR774" s="31">
        <f t="shared" si="367"/>
        <v>0</v>
      </c>
      <c r="AS774" s="219">
        <f t="shared" si="368"/>
        <v>0</v>
      </c>
      <c r="AT774" s="31">
        <f t="shared" si="369"/>
        <v>0</v>
      </c>
      <c r="AU774" s="219">
        <f t="shared" si="370"/>
        <v>0</v>
      </c>
      <c r="AV774" s="31">
        <f t="shared" si="371"/>
        <v>0</v>
      </c>
      <c r="AW774" s="31">
        <f t="shared" si="372"/>
        <v>0</v>
      </c>
      <c r="AX774" s="31">
        <f t="shared" si="373"/>
        <v>0</v>
      </c>
      <c r="AY774" s="219">
        <f t="shared" si="374"/>
        <v>0</v>
      </c>
      <c r="AZ774" s="196">
        <f t="shared" si="375"/>
        <v>0</v>
      </c>
      <c r="BA774" s="219">
        <f t="shared" si="376"/>
        <v>0</v>
      </c>
      <c r="BB774" s="31">
        <f t="shared" si="377"/>
        <v>0</v>
      </c>
      <c r="BC774" s="219">
        <f t="shared" si="378"/>
        <v>0</v>
      </c>
      <c r="BD774" s="31">
        <f t="shared" si="379"/>
        <v>0</v>
      </c>
      <c r="BE774" s="219">
        <f t="shared" si="380"/>
        <v>0</v>
      </c>
      <c r="BF774" s="31">
        <f t="shared" si="381"/>
        <v>0</v>
      </c>
      <c r="BG774" s="219">
        <f t="shared" si="382"/>
        <v>0</v>
      </c>
      <c r="BH774" s="31">
        <f t="shared" si="383"/>
        <v>0.1</v>
      </c>
      <c r="BI774" s="219">
        <f t="shared" si="384"/>
        <v>8.5000000000000006E-2</v>
      </c>
      <c r="BJ774" s="31">
        <f t="shared" si="385"/>
        <v>0</v>
      </c>
      <c r="BK774" s="219">
        <f t="shared" si="386"/>
        <v>0</v>
      </c>
      <c r="BL774" s="31">
        <f t="shared" si="387"/>
        <v>0</v>
      </c>
      <c r="BM774" s="219">
        <f t="shared" si="388"/>
        <v>0</v>
      </c>
      <c r="BN774" s="31">
        <f t="shared" si="389"/>
        <v>0</v>
      </c>
      <c r="BO774" s="219">
        <f t="shared" si="390"/>
        <v>0</v>
      </c>
    </row>
    <row r="775" spans="1:67" x14ac:dyDescent="0.25">
      <c r="A775" s="31" t="s">
        <v>1905</v>
      </c>
      <c r="B775" s="176" t="str">
        <f>VLOOKUP(A775,kurspris!$A$1:$B$992,2,FALSE)</f>
        <v>Att undervisa i religionskunskap (VFU)</v>
      </c>
      <c r="D775" s="60" t="s">
        <v>482</v>
      </c>
      <c r="E775" s="576" t="s">
        <v>2434</v>
      </c>
      <c r="F775" s="31" t="s">
        <v>2273</v>
      </c>
      <c r="G775" t="s">
        <v>2444</v>
      </c>
      <c r="H775" t="s">
        <v>2335</v>
      </c>
      <c r="J775" s="31" t="s">
        <v>2239</v>
      </c>
      <c r="L775" s="38">
        <v>1</v>
      </c>
      <c r="M775">
        <v>6</v>
      </c>
      <c r="P775" s="31">
        <v>2</v>
      </c>
      <c r="Q775" s="196">
        <f t="shared" si="391"/>
        <v>0.2</v>
      </c>
      <c r="R775" s="38">
        <v>0.85</v>
      </c>
      <c r="S775" s="280">
        <f t="shared" si="363"/>
        <v>0.17</v>
      </c>
      <c r="T775" s="31">
        <f>VLOOKUP(A775,'Ansvar kurs'!$A$1:$C$1123,2,FALSE)</f>
        <v>1630</v>
      </c>
      <c r="U775" s="31" t="str">
        <f>VLOOKUP(T775,Orgenheter!$A$1:$C$166,2,FALSE)</f>
        <v>Inst för ide- o samhällsstudier</v>
      </c>
      <c r="V775" s="31" t="str">
        <f>VLOOKUP(T775,Orgenheter!$A$1:$C$166,3,FALSE)</f>
        <v>Hum</v>
      </c>
      <c r="W775" s="35" t="str">
        <f>VLOOKUP(D775,Program!$A$1:$B$36,2,FALSE)</f>
        <v>Ämneslärarprogrammet - Gy</v>
      </c>
      <c r="X775" s="40">
        <f>VLOOKUP(A775,kurspris!$A$1:$Q$913,15,FALSE)</f>
        <v>25235</v>
      </c>
      <c r="Y775" s="40">
        <f>VLOOKUP(A775,kurspris!$A$1:$Q$913,16,FALSE)</f>
        <v>27976</v>
      </c>
      <c r="Z775" s="40">
        <f t="shared" si="364"/>
        <v>9802.92</v>
      </c>
      <c r="AA775" s="40">
        <f>VLOOKUP(A775,kurspris!$A$1:$Q$913,17,FALSE)</f>
        <v>3600</v>
      </c>
      <c r="AB775" s="40">
        <f t="shared" si="365"/>
        <v>720</v>
      </c>
      <c r="AC775" s="40">
        <f t="shared" si="366"/>
        <v>10522.92</v>
      </c>
      <c r="AD775" s="31">
        <f>VLOOKUP($A775,kurspris!$A$1:$Q$950,3,FALSE)</f>
        <v>0</v>
      </c>
      <c r="AE775" s="31">
        <f>VLOOKUP($A775,kurspris!$A$1:$Q$950,4,FALSE)</f>
        <v>0</v>
      </c>
      <c r="AF775" s="31">
        <f>VLOOKUP($A775,kurspris!$A$1:$Q$950,5,FALSE)</f>
        <v>0</v>
      </c>
      <c r="AG775" s="31">
        <f>VLOOKUP($A775,kurspris!$A$1:$Q$950,6,FALSE)</f>
        <v>0</v>
      </c>
      <c r="AH775" s="31">
        <f>VLOOKUP($A775,kurspris!$A$1:$Q$950,7,FALSE)</f>
        <v>0</v>
      </c>
      <c r="AI775" s="31">
        <f>VLOOKUP($A775,kurspris!$A$1:$Q$950,8,FALSE)</f>
        <v>0</v>
      </c>
      <c r="AJ775" s="31">
        <f>VLOOKUP($A775,kurspris!$A$1:$Q$950,9,FALSE)</f>
        <v>0</v>
      </c>
      <c r="AK775" s="31">
        <f>VLOOKUP($A775,kurspris!$A$1:$Q$950,10,FALSE)</f>
        <v>0</v>
      </c>
      <c r="AL775" s="31">
        <f>VLOOKUP($A775,kurspris!$A$1:$Q$950,11,FALSE)</f>
        <v>1</v>
      </c>
      <c r="AM775" s="31">
        <f>VLOOKUP($A775,kurspris!$A$1:$Q$950,12,FALSE)</f>
        <v>0</v>
      </c>
      <c r="AN775" s="31">
        <f>VLOOKUP($A775,kurspris!$A$1:$Q$950,13,FALSE)</f>
        <v>0</v>
      </c>
      <c r="AO775" s="31">
        <f>VLOOKUP($A775,kurspris!$A$1:$Q$950,14,FALSE)</f>
        <v>0</v>
      </c>
      <c r="AP775" s="57" t="s">
        <v>2506</v>
      </c>
      <c r="AQ775"/>
      <c r="AR775" s="31">
        <f t="shared" si="367"/>
        <v>0</v>
      </c>
      <c r="AS775" s="219">
        <f t="shared" si="368"/>
        <v>0</v>
      </c>
      <c r="AT775" s="31">
        <f t="shared" si="369"/>
        <v>0</v>
      </c>
      <c r="AU775" s="219">
        <f t="shared" si="370"/>
        <v>0</v>
      </c>
      <c r="AV775" s="31">
        <f t="shared" si="371"/>
        <v>0</v>
      </c>
      <c r="AW775" s="31">
        <f t="shared" si="372"/>
        <v>0</v>
      </c>
      <c r="AX775" s="31">
        <f t="shared" si="373"/>
        <v>0</v>
      </c>
      <c r="AY775" s="219">
        <f t="shared" si="374"/>
        <v>0</v>
      </c>
      <c r="AZ775" s="196">
        <f t="shared" si="375"/>
        <v>0</v>
      </c>
      <c r="BA775" s="219">
        <f t="shared" si="376"/>
        <v>0</v>
      </c>
      <c r="BB775" s="31">
        <f t="shared" si="377"/>
        <v>0</v>
      </c>
      <c r="BC775" s="219">
        <f t="shared" si="378"/>
        <v>0</v>
      </c>
      <c r="BD775" s="31">
        <f t="shared" si="379"/>
        <v>0</v>
      </c>
      <c r="BE775" s="219">
        <f t="shared" si="380"/>
        <v>0</v>
      </c>
      <c r="BF775" s="31">
        <f t="shared" si="381"/>
        <v>0</v>
      </c>
      <c r="BG775" s="219">
        <f t="shared" si="382"/>
        <v>0</v>
      </c>
      <c r="BH775" s="31">
        <f t="shared" si="383"/>
        <v>0.2</v>
      </c>
      <c r="BI775" s="219">
        <f t="shared" si="384"/>
        <v>0.17</v>
      </c>
      <c r="BJ775" s="31">
        <f t="shared" si="385"/>
        <v>0</v>
      </c>
      <c r="BK775" s="219">
        <f t="shared" si="386"/>
        <v>0</v>
      </c>
      <c r="BL775" s="31">
        <f t="shared" si="387"/>
        <v>0</v>
      </c>
      <c r="BM775" s="219">
        <f t="shared" si="388"/>
        <v>0</v>
      </c>
      <c r="BN775" s="31">
        <f t="shared" si="389"/>
        <v>0</v>
      </c>
      <c r="BO775" s="219">
        <f t="shared" si="390"/>
        <v>0</v>
      </c>
    </row>
    <row r="776" spans="1:67" x14ac:dyDescent="0.25">
      <c r="A776" s="31" t="s">
        <v>1884</v>
      </c>
      <c r="B776" s="176" t="str">
        <f>VLOOKUP(A776,kurspris!$A$1:$B$992,2,FALSE)</f>
        <v>Religionsvetenskap 2</v>
      </c>
      <c r="D776" s="31" t="s">
        <v>117</v>
      </c>
      <c r="F776" s="31" t="s">
        <v>2273</v>
      </c>
      <c r="I776" s="31" t="s">
        <v>2276</v>
      </c>
      <c r="L776" s="38">
        <v>1</v>
      </c>
      <c r="M776" s="325">
        <v>30</v>
      </c>
      <c r="P776" s="31">
        <v>5</v>
      </c>
      <c r="Q776" s="196">
        <f t="shared" si="391"/>
        <v>2.5</v>
      </c>
      <c r="R776" s="38">
        <v>0.8</v>
      </c>
      <c r="S776" s="280">
        <f t="shared" si="363"/>
        <v>2</v>
      </c>
      <c r="T776" s="31">
        <f>VLOOKUP(A776,'Ansvar kurs'!$A$1:$C$1123,2,FALSE)</f>
        <v>1630</v>
      </c>
      <c r="U776" s="31" t="str">
        <f>VLOOKUP(T776,Orgenheter!$A$1:$C$166,2,FALSE)</f>
        <v>Inst för ide- o samhällsstudier</v>
      </c>
      <c r="V776" s="31" t="str">
        <f>VLOOKUP(T776,Orgenheter!$A$1:$C$166,3,FALSE)</f>
        <v>Hum</v>
      </c>
      <c r="W776" s="35" t="str">
        <f>VLOOKUP(D776,Program!$A$1:$B$36,2,FALSE)</f>
        <v>Fristående och övriga kurser</v>
      </c>
      <c r="X776" s="40">
        <f>VLOOKUP(A776,kurspris!$A$1:$Q$913,15,FALSE)</f>
        <v>20766</v>
      </c>
      <c r="Y776" s="40">
        <f>VLOOKUP(A776,kurspris!$A$1:$Q$913,16,FALSE)</f>
        <v>17442</v>
      </c>
      <c r="Z776" s="40">
        <f t="shared" si="364"/>
        <v>86799</v>
      </c>
      <c r="AA776" s="40">
        <f>VLOOKUP(A776,kurspris!$A$1:$Q$913,17,FALSE)</f>
        <v>6000</v>
      </c>
      <c r="AB776" s="40">
        <f t="shared" si="365"/>
        <v>15000</v>
      </c>
      <c r="AC776" s="40">
        <f t="shared" si="366"/>
        <v>101799</v>
      </c>
      <c r="AD776" s="31">
        <f>VLOOKUP($A776,kurspris!$A$1:$Q$950,3,FALSE)</f>
        <v>0</v>
      </c>
      <c r="AE776" s="31">
        <f>VLOOKUP($A776,kurspris!$A$1:$Q$950,4,FALSE)</f>
        <v>1</v>
      </c>
      <c r="AF776" s="31">
        <f>VLOOKUP($A776,kurspris!$A$1:$Q$950,5,FALSE)</f>
        <v>0</v>
      </c>
      <c r="AG776" s="31">
        <f>VLOOKUP($A776,kurspris!$A$1:$Q$950,6,FALSE)</f>
        <v>0</v>
      </c>
      <c r="AH776" s="31">
        <f>VLOOKUP($A776,kurspris!$A$1:$Q$950,7,FALSE)</f>
        <v>0</v>
      </c>
      <c r="AI776" s="31">
        <f>VLOOKUP($A776,kurspris!$A$1:$Q$950,8,FALSE)</f>
        <v>0</v>
      </c>
      <c r="AJ776" s="31">
        <f>VLOOKUP($A776,kurspris!$A$1:$Q$950,9,FALSE)</f>
        <v>0</v>
      </c>
      <c r="AK776" s="31">
        <f>VLOOKUP($A776,kurspris!$A$1:$Q$950,10,FALSE)</f>
        <v>0</v>
      </c>
      <c r="AL776" s="31">
        <f>VLOOKUP($A776,kurspris!$A$1:$Q$950,11,FALSE)</f>
        <v>0</v>
      </c>
      <c r="AM776" s="31">
        <f>VLOOKUP($A776,kurspris!$A$1:$Q$950,12,FALSE)</f>
        <v>0</v>
      </c>
      <c r="AN776" s="31">
        <f>VLOOKUP($A776,kurspris!$A$1:$Q$950,13,FALSE)</f>
        <v>0</v>
      </c>
      <c r="AO776" s="31">
        <f>VLOOKUP($A776,kurspris!$A$1:$Q$950,14,FALSE)</f>
        <v>0</v>
      </c>
      <c r="AP776" s="57" t="s">
        <v>2267</v>
      </c>
      <c r="AQ776" s="37"/>
      <c r="AR776" s="31">
        <f t="shared" si="367"/>
        <v>0</v>
      </c>
      <c r="AS776" s="219">
        <f t="shared" si="368"/>
        <v>0</v>
      </c>
      <c r="AT776" s="31">
        <f t="shared" si="369"/>
        <v>2.5</v>
      </c>
      <c r="AU776" s="219">
        <f t="shared" si="370"/>
        <v>2</v>
      </c>
      <c r="AV776" s="31">
        <f t="shared" si="371"/>
        <v>0</v>
      </c>
      <c r="AW776" s="31">
        <f t="shared" si="372"/>
        <v>0</v>
      </c>
      <c r="AX776" s="31">
        <f t="shared" si="373"/>
        <v>0</v>
      </c>
      <c r="AY776" s="219">
        <f t="shared" si="374"/>
        <v>0</v>
      </c>
      <c r="AZ776" s="196">
        <f t="shared" si="375"/>
        <v>0</v>
      </c>
      <c r="BA776" s="219">
        <f t="shared" si="376"/>
        <v>0</v>
      </c>
      <c r="BB776" s="31">
        <f t="shared" si="377"/>
        <v>0</v>
      </c>
      <c r="BC776" s="219">
        <f t="shared" si="378"/>
        <v>0</v>
      </c>
      <c r="BD776" s="31">
        <f t="shared" si="379"/>
        <v>0</v>
      </c>
      <c r="BE776" s="219">
        <f t="shared" si="380"/>
        <v>0</v>
      </c>
      <c r="BF776" s="31">
        <f t="shared" si="381"/>
        <v>0</v>
      </c>
      <c r="BG776" s="219">
        <f t="shared" si="382"/>
        <v>0</v>
      </c>
      <c r="BH776" s="31">
        <f t="shared" si="383"/>
        <v>0</v>
      </c>
      <c r="BI776" s="219">
        <f t="shared" si="384"/>
        <v>0</v>
      </c>
      <c r="BJ776" s="31">
        <f t="shared" si="385"/>
        <v>0</v>
      </c>
      <c r="BK776" s="219">
        <f t="shared" si="386"/>
        <v>0</v>
      </c>
      <c r="BL776" s="31">
        <f t="shared" si="387"/>
        <v>0</v>
      </c>
      <c r="BM776" s="219">
        <f t="shared" si="388"/>
        <v>0</v>
      </c>
      <c r="BN776" s="31">
        <f t="shared" si="389"/>
        <v>0</v>
      </c>
      <c r="BO776" s="219">
        <f t="shared" si="390"/>
        <v>0</v>
      </c>
    </row>
    <row r="777" spans="1:67" x14ac:dyDescent="0.25">
      <c r="A777" s="31" t="s">
        <v>1884</v>
      </c>
      <c r="B777" s="176" t="str">
        <f>VLOOKUP(A777,kurspris!$A$1:$B$992,2,FALSE)</f>
        <v>Religionsvetenskap 2</v>
      </c>
      <c r="D777" s="60" t="s">
        <v>482</v>
      </c>
      <c r="E777" s="576" t="s">
        <v>2226</v>
      </c>
      <c r="F777" s="31" t="s">
        <v>2273</v>
      </c>
      <c r="G777" t="s">
        <v>2458</v>
      </c>
      <c r="H777" t="s">
        <v>2335</v>
      </c>
      <c r="J777" s="31" t="s">
        <v>2231</v>
      </c>
      <c r="L777" s="38">
        <v>1</v>
      </c>
      <c r="M777">
        <v>30</v>
      </c>
      <c r="P777" s="31">
        <v>1</v>
      </c>
      <c r="Q777" s="196">
        <f t="shared" si="391"/>
        <v>0.5</v>
      </c>
      <c r="R777" s="38">
        <v>0.85</v>
      </c>
      <c r="S777" s="280">
        <f t="shared" si="363"/>
        <v>0.42499999999999999</v>
      </c>
      <c r="T777" s="31">
        <f>VLOOKUP(A777,'Ansvar kurs'!$A$1:$C$1123,2,FALSE)</f>
        <v>1630</v>
      </c>
      <c r="U777" s="31" t="str">
        <f>VLOOKUP(T777,Orgenheter!$A$1:$C$166,2,FALSE)</f>
        <v>Inst för ide- o samhällsstudier</v>
      </c>
      <c r="V777" s="31" t="str">
        <f>VLOOKUP(T777,Orgenheter!$A$1:$C$166,3,FALSE)</f>
        <v>Hum</v>
      </c>
      <c r="W777" s="35" t="str">
        <f>VLOOKUP(D777,Program!$A$1:$B$36,2,FALSE)</f>
        <v>Ämneslärarprogrammet - Gy</v>
      </c>
      <c r="X777" s="40">
        <f>VLOOKUP(A777,kurspris!$A$1:$Q$913,15,FALSE)</f>
        <v>20766</v>
      </c>
      <c r="Y777" s="40">
        <f>VLOOKUP(A777,kurspris!$A$1:$Q$913,16,FALSE)</f>
        <v>17442</v>
      </c>
      <c r="Z777" s="40">
        <f t="shared" si="364"/>
        <v>17795.849999999999</v>
      </c>
      <c r="AA777" s="40">
        <f>VLOOKUP(A777,kurspris!$A$1:$Q$913,17,FALSE)</f>
        <v>6000</v>
      </c>
      <c r="AB777" s="40">
        <f t="shared" si="365"/>
        <v>3000</v>
      </c>
      <c r="AC777" s="40">
        <f t="shared" si="366"/>
        <v>20795.849999999999</v>
      </c>
      <c r="AD777" s="31">
        <f>VLOOKUP($A777,kurspris!$A$1:$Q$950,3,FALSE)</f>
        <v>0</v>
      </c>
      <c r="AE777" s="31">
        <f>VLOOKUP($A777,kurspris!$A$1:$Q$950,4,FALSE)</f>
        <v>1</v>
      </c>
      <c r="AF777" s="31">
        <f>VLOOKUP($A777,kurspris!$A$1:$Q$950,5,FALSE)</f>
        <v>0</v>
      </c>
      <c r="AG777" s="31">
        <f>VLOOKUP($A777,kurspris!$A$1:$Q$950,6,FALSE)</f>
        <v>0</v>
      </c>
      <c r="AH777" s="31">
        <f>VLOOKUP($A777,kurspris!$A$1:$Q$950,7,FALSE)</f>
        <v>0</v>
      </c>
      <c r="AI777" s="31">
        <f>VLOOKUP($A777,kurspris!$A$1:$Q$950,8,FALSE)</f>
        <v>0</v>
      </c>
      <c r="AJ777" s="31">
        <f>VLOOKUP($A777,kurspris!$A$1:$Q$950,9,FALSE)</f>
        <v>0</v>
      </c>
      <c r="AK777" s="31">
        <f>VLOOKUP($A777,kurspris!$A$1:$Q$950,10,FALSE)</f>
        <v>0</v>
      </c>
      <c r="AL777" s="31">
        <f>VLOOKUP($A777,kurspris!$A$1:$Q$950,11,FALSE)</f>
        <v>0</v>
      </c>
      <c r="AM777" s="31">
        <f>VLOOKUP($A777,kurspris!$A$1:$Q$950,12,FALSE)</f>
        <v>0</v>
      </c>
      <c r="AN777" s="31">
        <f>VLOOKUP($A777,kurspris!$A$1:$Q$950,13,FALSE)</f>
        <v>0</v>
      </c>
      <c r="AO777" s="31">
        <f>VLOOKUP($A777,kurspris!$A$1:$Q$950,14,FALSE)</f>
        <v>0</v>
      </c>
      <c r="AP777" s="57" t="s">
        <v>2506</v>
      </c>
      <c r="AQ777"/>
      <c r="AR777" s="31">
        <f t="shared" si="367"/>
        <v>0</v>
      </c>
      <c r="AS777" s="219">
        <f t="shared" si="368"/>
        <v>0</v>
      </c>
      <c r="AT777" s="31">
        <f t="shared" si="369"/>
        <v>0.5</v>
      </c>
      <c r="AU777" s="219">
        <f t="shared" si="370"/>
        <v>0.42499999999999999</v>
      </c>
      <c r="AV777" s="31">
        <f t="shared" si="371"/>
        <v>0</v>
      </c>
      <c r="AW777" s="31">
        <f t="shared" si="372"/>
        <v>0</v>
      </c>
      <c r="AX777" s="31">
        <f t="shared" si="373"/>
        <v>0</v>
      </c>
      <c r="AY777" s="219">
        <f t="shared" si="374"/>
        <v>0</v>
      </c>
      <c r="AZ777" s="196">
        <f t="shared" si="375"/>
        <v>0</v>
      </c>
      <c r="BA777" s="219">
        <f t="shared" si="376"/>
        <v>0</v>
      </c>
      <c r="BB777" s="31">
        <f t="shared" si="377"/>
        <v>0</v>
      </c>
      <c r="BC777" s="219">
        <f t="shared" si="378"/>
        <v>0</v>
      </c>
      <c r="BD777" s="31">
        <f t="shared" si="379"/>
        <v>0</v>
      </c>
      <c r="BE777" s="219">
        <f t="shared" si="380"/>
        <v>0</v>
      </c>
      <c r="BF777" s="31">
        <f t="shared" si="381"/>
        <v>0</v>
      </c>
      <c r="BG777" s="219">
        <f t="shared" si="382"/>
        <v>0</v>
      </c>
      <c r="BH777" s="31">
        <f t="shared" si="383"/>
        <v>0</v>
      </c>
      <c r="BI777" s="219">
        <f t="shared" si="384"/>
        <v>0</v>
      </c>
      <c r="BJ777" s="31">
        <f t="shared" si="385"/>
        <v>0</v>
      </c>
      <c r="BK777" s="219">
        <f t="shared" si="386"/>
        <v>0</v>
      </c>
      <c r="BL777" s="31">
        <f t="shared" si="387"/>
        <v>0</v>
      </c>
      <c r="BM777" s="219">
        <f t="shared" si="388"/>
        <v>0</v>
      </c>
      <c r="BN777" s="31">
        <f t="shared" si="389"/>
        <v>0</v>
      </c>
      <c r="BO777" s="219">
        <f t="shared" si="390"/>
        <v>0</v>
      </c>
    </row>
    <row r="778" spans="1:67" x14ac:dyDescent="0.25">
      <c r="A778" s="31" t="s">
        <v>1884</v>
      </c>
      <c r="B778" s="176" t="str">
        <f>VLOOKUP(A778,kurspris!$A$1:$B$992,2,FALSE)</f>
        <v>Religionsvetenskap 2</v>
      </c>
      <c r="D778" s="60" t="s">
        <v>482</v>
      </c>
      <c r="E778" s="576" t="s">
        <v>2226</v>
      </c>
      <c r="F778" s="31" t="s">
        <v>2273</v>
      </c>
      <c r="G778" t="s">
        <v>2458</v>
      </c>
      <c r="H778" t="s">
        <v>2335</v>
      </c>
      <c r="J778" s="31" t="s">
        <v>2241</v>
      </c>
      <c r="L778" s="38">
        <v>1</v>
      </c>
      <c r="M778">
        <v>30</v>
      </c>
      <c r="P778" s="31">
        <v>1</v>
      </c>
      <c r="Q778" s="196">
        <f t="shared" si="391"/>
        <v>0.5</v>
      </c>
      <c r="R778" s="38">
        <v>0.85</v>
      </c>
      <c r="S778" s="280">
        <f t="shared" si="363"/>
        <v>0.42499999999999999</v>
      </c>
      <c r="T778" s="31">
        <f>VLOOKUP(A778,'Ansvar kurs'!$A$1:$C$1123,2,FALSE)</f>
        <v>1630</v>
      </c>
      <c r="U778" s="31" t="str">
        <f>VLOOKUP(T778,Orgenheter!$A$1:$C$166,2,FALSE)</f>
        <v>Inst för ide- o samhällsstudier</v>
      </c>
      <c r="V778" s="31" t="str">
        <f>VLOOKUP(T778,Orgenheter!$A$1:$C$166,3,FALSE)</f>
        <v>Hum</v>
      </c>
      <c r="W778" s="35" t="str">
        <f>VLOOKUP(D778,Program!$A$1:$B$36,2,FALSE)</f>
        <v>Ämneslärarprogrammet - Gy</v>
      </c>
      <c r="X778" s="40">
        <f>VLOOKUP(A778,kurspris!$A$1:$Q$913,15,FALSE)</f>
        <v>20766</v>
      </c>
      <c r="Y778" s="40">
        <f>VLOOKUP(A778,kurspris!$A$1:$Q$913,16,FALSE)</f>
        <v>17442</v>
      </c>
      <c r="Z778" s="40">
        <f t="shared" si="364"/>
        <v>17795.849999999999</v>
      </c>
      <c r="AA778" s="40">
        <f>VLOOKUP(A778,kurspris!$A$1:$Q$913,17,FALSE)</f>
        <v>6000</v>
      </c>
      <c r="AB778" s="40">
        <f t="shared" si="365"/>
        <v>3000</v>
      </c>
      <c r="AC778" s="40">
        <f t="shared" si="366"/>
        <v>20795.849999999999</v>
      </c>
      <c r="AD778" s="31">
        <f>VLOOKUP($A778,kurspris!$A$1:$Q$950,3,FALSE)</f>
        <v>0</v>
      </c>
      <c r="AE778" s="31">
        <f>VLOOKUP($A778,kurspris!$A$1:$Q$950,4,FALSE)</f>
        <v>1</v>
      </c>
      <c r="AF778" s="31">
        <f>VLOOKUP($A778,kurspris!$A$1:$Q$950,5,FALSE)</f>
        <v>0</v>
      </c>
      <c r="AG778" s="31">
        <f>VLOOKUP($A778,kurspris!$A$1:$Q$950,6,FALSE)</f>
        <v>0</v>
      </c>
      <c r="AH778" s="31">
        <f>VLOOKUP($A778,kurspris!$A$1:$Q$950,7,FALSE)</f>
        <v>0</v>
      </c>
      <c r="AI778" s="31">
        <f>VLOOKUP($A778,kurspris!$A$1:$Q$950,8,FALSE)</f>
        <v>0</v>
      </c>
      <c r="AJ778" s="31">
        <f>VLOOKUP($A778,kurspris!$A$1:$Q$950,9,FALSE)</f>
        <v>0</v>
      </c>
      <c r="AK778" s="31">
        <f>VLOOKUP($A778,kurspris!$A$1:$Q$950,10,FALSE)</f>
        <v>0</v>
      </c>
      <c r="AL778" s="31">
        <f>VLOOKUP($A778,kurspris!$A$1:$Q$950,11,FALSE)</f>
        <v>0</v>
      </c>
      <c r="AM778" s="31">
        <f>VLOOKUP($A778,kurspris!$A$1:$Q$950,12,FALSE)</f>
        <v>0</v>
      </c>
      <c r="AN778" s="31">
        <f>VLOOKUP($A778,kurspris!$A$1:$Q$950,13,FALSE)</f>
        <v>0</v>
      </c>
      <c r="AO778" s="31">
        <f>VLOOKUP($A778,kurspris!$A$1:$Q$950,14,FALSE)</f>
        <v>0</v>
      </c>
      <c r="AP778" s="57" t="s">
        <v>2506</v>
      </c>
      <c r="AQ778"/>
      <c r="AR778" s="31">
        <f t="shared" si="367"/>
        <v>0</v>
      </c>
      <c r="AS778" s="219">
        <f t="shared" si="368"/>
        <v>0</v>
      </c>
      <c r="AT778" s="31">
        <f t="shared" si="369"/>
        <v>0.5</v>
      </c>
      <c r="AU778" s="219">
        <f t="shared" si="370"/>
        <v>0.42499999999999999</v>
      </c>
      <c r="AV778" s="31">
        <f t="shared" si="371"/>
        <v>0</v>
      </c>
      <c r="AW778" s="31">
        <f t="shared" si="372"/>
        <v>0</v>
      </c>
      <c r="AX778" s="31">
        <f t="shared" si="373"/>
        <v>0</v>
      </c>
      <c r="AY778" s="219">
        <f t="shared" si="374"/>
        <v>0</v>
      </c>
      <c r="AZ778" s="196">
        <f t="shared" si="375"/>
        <v>0</v>
      </c>
      <c r="BA778" s="219">
        <f t="shared" si="376"/>
        <v>0</v>
      </c>
      <c r="BB778" s="31">
        <f t="shared" si="377"/>
        <v>0</v>
      </c>
      <c r="BC778" s="219">
        <f t="shared" si="378"/>
        <v>0</v>
      </c>
      <c r="BD778" s="31">
        <f t="shared" si="379"/>
        <v>0</v>
      </c>
      <c r="BE778" s="219">
        <f t="shared" si="380"/>
        <v>0</v>
      </c>
      <c r="BF778" s="31">
        <f t="shared" si="381"/>
        <v>0</v>
      </c>
      <c r="BG778" s="219">
        <f t="shared" si="382"/>
        <v>0</v>
      </c>
      <c r="BH778" s="31">
        <f t="shared" si="383"/>
        <v>0</v>
      </c>
      <c r="BI778" s="219">
        <f t="shared" si="384"/>
        <v>0</v>
      </c>
      <c r="BJ778" s="31">
        <f t="shared" si="385"/>
        <v>0</v>
      </c>
      <c r="BK778" s="219">
        <f t="shared" si="386"/>
        <v>0</v>
      </c>
      <c r="BL778" s="31">
        <f t="shared" si="387"/>
        <v>0</v>
      </c>
      <c r="BM778" s="219">
        <f t="shared" si="388"/>
        <v>0</v>
      </c>
      <c r="BN778" s="31">
        <f t="shared" si="389"/>
        <v>0</v>
      </c>
      <c r="BO778" s="219">
        <f t="shared" si="390"/>
        <v>0</v>
      </c>
    </row>
    <row r="779" spans="1:67" x14ac:dyDescent="0.25">
      <c r="A779" s="31" t="s">
        <v>1884</v>
      </c>
      <c r="B779" s="176" t="str">
        <f>VLOOKUP(A779,kurspris!$A$1:$B$992,2,FALSE)</f>
        <v>Religionsvetenskap 2</v>
      </c>
      <c r="D779" s="60" t="s">
        <v>482</v>
      </c>
      <c r="E779" s="576" t="s">
        <v>2225</v>
      </c>
      <c r="F779" s="31" t="s">
        <v>2273</v>
      </c>
      <c r="G779" t="s">
        <v>2458</v>
      </c>
      <c r="H779" t="s">
        <v>2335</v>
      </c>
      <c r="J779" s="31" t="s">
        <v>2231</v>
      </c>
      <c r="L779" s="38">
        <v>1</v>
      </c>
      <c r="M779">
        <v>30</v>
      </c>
      <c r="P779" s="31">
        <v>1</v>
      </c>
      <c r="Q779" s="196">
        <f t="shared" si="391"/>
        <v>0.5</v>
      </c>
      <c r="R779" s="38">
        <v>0.85</v>
      </c>
      <c r="S779" s="280">
        <f t="shared" si="363"/>
        <v>0.42499999999999999</v>
      </c>
      <c r="T779" s="31">
        <f>VLOOKUP(A779,'Ansvar kurs'!$A$1:$C$1123,2,FALSE)</f>
        <v>1630</v>
      </c>
      <c r="U779" s="31" t="str">
        <f>VLOOKUP(T779,Orgenheter!$A$1:$C$166,2,FALSE)</f>
        <v>Inst för ide- o samhällsstudier</v>
      </c>
      <c r="V779" s="31" t="str">
        <f>VLOOKUP(T779,Orgenheter!$A$1:$C$166,3,FALSE)</f>
        <v>Hum</v>
      </c>
      <c r="W779" s="35" t="str">
        <f>VLOOKUP(D779,Program!$A$1:$B$36,2,FALSE)</f>
        <v>Ämneslärarprogrammet - Gy</v>
      </c>
      <c r="X779" s="40">
        <f>VLOOKUP(A779,kurspris!$A$1:$Q$913,15,FALSE)</f>
        <v>20766</v>
      </c>
      <c r="Y779" s="40">
        <f>VLOOKUP(A779,kurspris!$A$1:$Q$913,16,FALSE)</f>
        <v>17442</v>
      </c>
      <c r="Z779" s="40">
        <f t="shared" si="364"/>
        <v>17795.849999999999</v>
      </c>
      <c r="AA779" s="40">
        <f>VLOOKUP(A779,kurspris!$A$1:$Q$913,17,FALSE)</f>
        <v>6000</v>
      </c>
      <c r="AB779" s="40">
        <f t="shared" si="365"/>
        <v>3000</v>
      </c>
      <c r="AC779" s="40">
        <f t="shared" si="366"/>
        <v>20795.849999999999</v>
      </c>
      <c r="AD779" s="31">
        <f>VLOOKUP($A779,kurspris!$A$1:$Q$950,3,FALSE)</f>
        <v>0</v>
      </c>
      <c r="AE779" s="31">
        <f>VLOOKUP($A779,kurspris!$A$1:$Q$950,4,FALSE)</f>
        <v>1</v>
      </c>
      <c r="AF779" s="31">
        <f>VLOOKUP($A779,kurspris!$A$1:$Q$950,5,FALSE)</f>
        <v>0</v>
      </c>
      <c r="AG779" s="31">
        <f>VLOOKUP($A779,kurspris!$A$1:$Q$950,6,FALSE)</f>
        <v>0</v>
      </c>
      <c r="AH779" s="31">
        <f>VLOOKUP($A779,kurspris!$A$1:$Q$950,7,FALSE)</f>
        <v>0</v>
      </c>
      <c r="AI779" s="31">
        <f>VLOOKUP($A779,kurspris!$A$1:$Q$950,8,FALSE)</f>
        <v>0</v>
      </c>
      <c r="AJ779" s="31">
        <f>VLOOKUP($A779,kurspris!$A$1:$Q$950,9,FALSE)</f>
        <v>0</v>
      </c>
      <c r="AK779" s="31">
        <f>VLOOKUP($A779,kurspris!$A$1:$Q$950,10,FALSE)</f>
        <v>0</v>
      </c>
      <c r="AL779" s="31">
        <f>VLOOKUP($A779,kurspris!$A$1:$Q$950,11,FALSE)</f>
        <v>0</v>
      </c>
      <c r="AM779" s="31">
        <f>VLOOKUP($A779,kurspris!$A$1:$Q$950,12,FALSE)</f>
        <v>0</v>
      </c>
      <c r="AN779" s="31">
        <f>VLOOKUP($A779,kurspris!$A$1:$Q$950,13,FALSE)</f>
        <v>0</v>
      </c>
      <c r="AO779" s="31">
        <f>VLOOKUP($A779,kurspris!$A$1:$Q$950,14,FALSE)</f>
        <v>0</v>
      </c>
      <c r="AP779" s="57" t="s">
        <v>2506</v>
      </c>
      <c r="AQ779"/>
      <c r="AR779" s="31">
        <f t="shared" si="367"/>
        <v>0</v>
      </c>
      <c r="AS779" s="219">
        <f t="shared" si="368"/>
        <v>0</v>
      </c>
      <c r="AT779" s="31">
        <f t="shared" si="369"/>
        <v>0.5</v>
      </c>
      <c r="AU779" s="219">
        <f t="shared" si="370"/>
        <v>0.42499999999999999</v>
      </c>
      <c r="AV779" s="31">
        <f t="shared" si="371"/>
        <v>0</v>
      </c>
      <c r="AW779" s="31">
        <f t="shared" si="372"/>
        <v>0</v>
      </c>
      <c r="AX779" s="31">
        <f t="shared" si="373"/>
        <v>0</v>
      </c>
      <c r="AY779" s="219">
        <f t="shared" si="374"/>
        <v>0</v>
      </c>
      <c r="AZ779" s="196">
        <f t="shared" si="375"/>
        <v>0</v>
      </c>
      <c r="BA779" s="219">
        <f t="shared" si="376"/>
        <v>0</v>
      </c>
      <c r="BB779" s="31">
        <f t="shared" si="377"/>
        <v>0</v>
      </c>
      <c r="BC779" s="219">
        <f t="shared" si="378"/>
        <v>0</v>
      </c>
      <c r="BD779" s="31">
        <f t="shared" si="379"/>
        <v>0</v>
      </c>
      <c r="BE779" s="219">
        <f t="shared" si="380"/>
        <v>0</v>
      </c>
      <c r="BF779" s="31">
        <f t="shared" si="381"/>
        <v>0</v>
      </c>
      <c r="BG779" s="219">
        <f t="shared" si="382"/>
        <v>0</v>
      </c>
      <c r="BH779" s="31">
        <f t="shared" si="383"/>
        <v>0</v>
      </c>
      <c r="BI779" s="219">
        <f t="shared" si="384"/>
        <v>0</v>
      </c>
      <c r="BJ779" s="31">
        <f t="shared" si="385"/>
        <v>0</v>
      </c>
      <c r="BK779" s="219">
        <f t="shared" si="386"/>
        <v>0</v>
      </c>
      <c r="BL779" s="31">
        <f t="shared" si="387"/>
        <v>0</v>
      </c>
      <c r="BM779" s="219">
        <f t="shared" si="388"/>
        <v>0</v>
      </c>
      <c r="BN779" s="31">
        <f t="shared" si="389"/>
        <v>0</v>
      </c>
      <c r="BO779" s="219">
        <f t="shared" si="390"/>
        <v>0</v>
      </c>
    </row>
    <row r="780" spans="1:67" x14ac:dyDescent="0.25">
      <c r="A780" s="222" t="s">
        <v>1884</v>
      </c>
      <c r="B780" s="176" t="str">
        <f>VLOOKUP(A780,kurspris!$A$1:$B$992,2,FALSE)</f>
        <v>Religionsvetenskap 2</v>
      </c>
      <c r="D780" s="60" t="s">
        <v>482</v>
      </c>
      <c r="E780" s="576" t="s">
        <v>2225</v>
      </c>
      <c r="F780" s="31" t="s">
        <v>2273</v>
      </c>
      <c r="G780" t="s">
        <v>2458</v>
      </c>
      <c r="H780" t="s">
        <v>2335</v>
      </c>
      <c r="J780" s="31" t="s">
        <v>2241</v>
      </c>
      <c r="L780" s="38">
        <v>1</v>
      </c>
      <c r="M780">
        <v>30</v>
      </c>
      <c r="P780" s="31">
        <v>3</v>
      </c>
      <c r="Q780" s="196">
        <f t="shared" si="391"/>
        <v>1.5</v>
      </c>
      <c r="R780" s="38">
        <v>0.85</v>
      </c>
      <c r="S780" s="280">
        <f t="shared" si="363"/>
        <v>1.2749999999999999</v>
      </c>
      <c r="T780" s="31">
        <f>VLOOKUP(A780,'Ansvar kurs'!$A$1:$C$1123,2,FALSE)</f>
        <v>1630</v>
      </c>
      <c r="U780" s="31" t="str">
        <f>VLOOKUP(T780,Orgenheter!$A$1:$C$166,2,FALSE)</f>
        <v>Inst för ide- o samhällsstudier</v>
      </c>
      <c r="V780" s="31" t="str">
        <f>VLOOKUP(T780,Orgenheter!$A$1:$C$166,3,FALSE)</f>
        <v>Hum</v>
      </c>
      <c r="W780" s="35" t="str">
        <f>VLOOKUP(D780,Program!$A$1:$B$36,2,FALSE)</f>
        <v>Ämneslärarprogrammet - Gy</v>
      </c>
      <c r="X780" s="40">
        <f>VLOOKUP(A780,kurspris!$A$1:$Q$913,15,FALSE)</f>
        <v>20766</v>
      </c>
      <c r="Y780" s="40">
        <f>VLOOKUP(A780,kurspris!$A$1:$Q$913,16,FALSE)</f>
        <v>17442</v>
      </c>
      <c r="Z780" s="40">
        <f t="shared" si="364"/>
        <v>53387.55</v>
      </c>
      <c r="AA780" s="40">
        <f>VLOOKUP(A780,kurspris!$A$1:$Q$913,17,FALSE)</f>
        <v>6000</v>
      </c>
      <c r="AB780" s="40">
        <f t="shared" si="365"/>
        <v>9000</v>
      </c>
      <c r="AC780" s="40">
        <f t="shared" si="366"/>
        <v>62387.55</v>
      </c>
      <c r="AD780" s="31">
        <f>VLOOKUP($A780,kurspris!$A$1:$Q$950,3,FALSE)</f>
        <v>0</v>
      </c>
      <c r="AE780" s="31">
        <f>VLOOKUP($A780,kurspris!$A$1:$Q$950,4,FALSE)</f>
        <v>1</v>
      </c>
      <c r="AF780" s="31">
        <f>VLOOKUP($A780,kurspris!$A$1:$Q$950,5,FALSE)</f>
        <v>0</v>
      </c>
      <c r="AG780" s="31">
        <f>VLOOKUP($A780,kurspris!$A$1:$Q$950,6,FALSE)</f>
        <v>0</v>
      </c>
      <c r="AH780" s="31">
        <f>VLOOKUP($A780,kurspris!$A$1:$Q$950,7,FALSE)</f>
        <v>0</v>
      </c>
      <c r="AI780" s="31">
        <f>VLOOKUP($A780,kurspris!$A$1:$Q$950,8,FALSE)</f>
        <v>0</v>
      </c>
      <c r="AJ780" s="31">
        <f>VLOOKUP($A780,kurspris!$A$1:$Q$950,9,FALSE)</f>
        <v>0</v>
      </c>
      <c r="AK780" s="31">
        <f>VLOOKUP($A780,kurspris!$A$1:$Q$950,10,FALSE)</f>
        <v>0</v>
      </c>
      <c r="AL780" s="31">
        <f>VLOOKUP($A780,kurspris!$A$1:$Q$950,11,FALSE)</f>
        <v>0</v>
      </c>
      <c r="AM780" s="31">
        <f>VLOOKUP($A780,kurspris!$A$1:$Q$950,12,FALSE)</f>
        <v>0</v>
      </c>
      <c r="AN780" s="31">
        <f>VLOOKUP($A780,kurspris!$A$1:$Q$950,13,FALSE)</f>
        <v>0</v>
      </c>
      <c r="AO780" s="31">
        <f>VLOOKUP($A780,kurspris!$A$1:$Q$950,14,FALSE)</f>
        <v>0</v>
      </c>
      <c r="AP780" s="57" t="s">
        <v>2506</v>
      </c>
      <c r="AQ780"/>
      <c r="AR780" s="31">
        <f t="shared" si="367"/>
        <v>0</v>
      </c>
      <c r="AS780" s="219">
        <f t="shared" si="368"/>
        <v>0</v>
      </c>
      <c r="AT780" s="31">
        <f t="shared" si="369"/>
        <v>1.5</v>
      </c>
      <c r="AU780" s="219">
        <f t="shared" si="370"/>
        <v>1.2749999999999999</v>
      </c>
      <c r="AV780" s="31">
        <f t="shared" si="371"/>
        <v>0</v>
      </c>
      <c r="AW780" s="31">
        <f t="shared" si="372"/>
        <v>0</v>
      </c>
      <c r="AX780" s="31">
        <f t="shared" si="373"/>
        <v>0</v>
      </c>
      <c r="AY780" s="219">
        <f t="shared" si="374"/>
        <v>0</v>
      </c>
      <c r="AZ780" s="196">
        <f t="shared" si="375"/>
        <v>0</v>
      </c>
      <c r="BA780" s="219">
        <f t="shared" si="376"/>
        <v>0</v>
      </c>
      <c r="BB780" s="31">
        <f t="shared" si="377"/>
        <v>0</v>
      </c>
      <c r="BC780" s="219">
        <f t="shared" si="378"/>
        <v>0</v>
      </c>
      <c r="BD780" s="31">
        <f t="shared" si="379"/>
        <v>0</v>
      </c>
      <c r="BE780" s="219">
        <f t="shared" si="380"/>
        <v>0</v>
      </c>
      <c r="BF780" s="31">
        <f t="shared" si="381"/>
        <v>0</v>
      </c>
      <c r="BG780" s="219">
        <f t="shared" si="382"/>
        <v>0</v>
      </c>
      <c r="BH780" s="31">
        <f t="shared" si="383"/>
        <v>0</v>
      </c>
      <c r="BI780" s="219">
        <f t="shared" si="384"/>
        <v>0</v>
      </c>
      <c r="BJ780" s="31">
        <f t="shared" si="385"/>
        <v>0</v>
      </c>
      <c r="BK780" s="219">
        <f t="shared" si="386"/>
        <v>0</v>
      </c>
      <c r="BL780" s="31">
        <f t="shared" si="387"/>
        <v>0</v>
      </c>
      <c r="BM780" s="219">
        <f t="shared" si="388"/>
        <v>0</v>
      </c>
      <c r="BN780" s="31">
        <f t="shared" si="389"/>
        <v>0</v>
      </c>
      <c r="BO780" s="219">
        <f t="shared" si="390"/>
        <v>0</v>
      </c>
    </row>
    <row r="781" spans="1:67" x14ac:dyDescent="0.25">
      <c r="A781" s="157" t="s">
        <v>1884</v>
      </c>
      <c r="B781" s="176" t="str">
        <f>VLOOKUP(A781,kurspris!$A$1:$B$992,2,FALSE)</f>
        <v>Religionsvetenskap 2</v>
      </c>
      <c r="D781" s="31" t="s">
        <v>482</v>
      </c>
      <c r="E781" s="574" t="s">
        <v>2225</v>
      </c>
      <c r="F781" s="31" t="s">
        <v>2273</v>
      </c>
      <c r="G781" t="s">
        <v>2458</v>
      </c>
      <c r="H781" t="s">
        <v>2335</v>
      </c>
      <c r="J781" s="31" t="s">
        <v>2232</v>
      </c>
      <c r="L781" s="38">
        <v>1</v>
      </c>
      <c r="M781">
        <v>30</v>
      </c>
      <c r="P781" s="31">
        <v>1</v>
      </c>
      <c r="Q781" s="196">
        <f t="shared" si="391"/>
        <v>0.5</v>
      </c>
      <c r="R781" s="38">
        <v>0.85</v>
      </c>
      <c r="S781" s="280">
        <f t="shared" si="363"/>
        <v>0.42499999999999999</v>
      </c>
      <c r="T781" s="31">
        <f>VLOOKUP(A781,'Ansvar kurs'!$A$1:$C$1123,2,FALSE)</f>
        <v>1630</v>
      </c>
      <c r="U781" s="31" t="str">
        <f>VLOOKUP(T781,Orgenheter!$A$1:$C$166,2,FALSE)</f>
        <v>Inst för ide- o samhällsstudier</v>
      </c>
      <c r="V781" s="31" t="str">
        <f>VLOOKUP(T781,Orgenheter!$A$1:$C$166,3,FALSE)</f>
        <v>Hum</v>
      </c>
      <c r="W781" s="35" t="str">
        <f>VLOOKUP(D781,Program!$A$1:$B$36,2,FALSE)</f>
        <v>Ämneslärarprogrammet - Gy</v>
      </c>
      <c r="X781" s="40">
        <f>VLOOKUP(A781,kurspris!$A$1:$Q$913,15,FALSE)</f>
        <v>20766</v>
      </c>
      <c r="Y781" s="40">
        <f>VLOOKUP(A781,kurspris!$A$1:$Q$913,16,FALSE)</f>
        <v>17442</v>
      </c>
      <c r="Z781" s="40">
        <f t="shared" si="364"/>
        <v>17795.849999999999</v>
      </c>
      <c r="AA781" s="40">
        <f>VLOOKUP(A781,kurspris!$A$1:$Q$913,17,FALSE)</f>
        <v>6000</v>
      </c>
      <c r="AB781" s="40">
        <f t="shared" si="365"/>
        <v>3000</v>
      </c>
      <c r="AC781" s="40">
        <f t="shared" si="366"/>
        <v>20795.849999999999</v>
      </c>
      <c r="AD781" s="31">
        <f>VLOOKUP($A781,kurspris!$A$1:$Q$950,3,FALSE)</f>
        <v>0</v>
      </c>
      <c r="AE781" s="31">
        <f>VLOOKUP($A781,kurspris!$A$1:$Q$950,4,FALSE)</f>
        <v>1</v>
      </c>
      <c r="AF781" s="31">
        <f>VLOOKUP($A781,kurspris!$A$1:$Q$950,5,FALSE)</f>
        <v>0</v>
      </c>
      <c r="AG781" s="31">
        <f>VLOOKUP($A781,kurspris!$A$1:$Q$950,6,FALSE)</f>
        <v>0</v>
      </c>
      <c r="AH781" s="31">
        <f>VLOOKUP($A781,kurspris!$A$1:$Q$950,7,FALSE)</f>
        <v>0</v>
      </c>
      <c r="AI781" s="31">
        <f>VLOOKUP($A781,kurspris!$A$1:$Q$950,8,FALSE)</f>
        <v>0</v>
      </c>
      <c r="AJ781" s="31">
        <f>VLOOKUP($A781,kurspris!$A$1:$Q$950,9,FALSE)</f>
        <v>0</v>
      </c>
      <c r="AK781" s="31">
        <f>VLOOKUP($A781,kurspris!$A$1:$Q$950,10,FALSE)</f>
        <v>0</v>
      </c>
      <c r="AL781" s="31">
        <f>VLOOKUP($A781,kurspris!$A$1:$Q$950,11,FALSE)</f>
        <v>0</v>
      </c>
      <c r="AM781" s="31">
        <f>VLOOKUP($A781,kurspris!$A$1:$Q$950,12,FALSE)</f>
        <v>0</v>
      </c>
      <c r="AN781" s="31">
        <f>VLOOKUP($A781,kurspris!$A$1:$Q$950,13,FALSE)</f>
        <v>0</v>
      </c>
      <c r="AO781" s="31">
        <f>VLOOKUP($A781,kurspris!$A$1:$Q$950,14,FALSE)</f>
        <v>0</v>
      </c>
      <c r="AP781" s="57" t="s">
        <v>2506</v>
      </c>
      <c r="AQ781" s="37"/>
      <c r="AR781" s="31">
        <f t="shared" si="367"/>
        <v>0</v>
      </c>
      <c r="AS781" s="219">
        <f t="shared" si="368"/>
        <v>0</v>
      </c>
      <c r="AT781" s="31">
        <f t="shared" si="369"/>
        <v>0.5</v>
      </c>
      <c r="AU781" s="219">
        <f t="shared" si="370"/>
        <v>0.42499999999999999</v>
      </c>
      <c r="AV781" s="31">
        <f t="shared" si="371"/>
        <v>0</v>
      </c>
      <c r="AW781" s="31">
        <f t="shared" si="372"/>
        <v>0</v>
      </c>
      <c r="AX781" s="31">
        <f t="shared" si="373"/>
        <v>0</v>
      </c>
      <c r="AY781" s="219">
        <f t="shared" si="374"/>
        <v>0</v>
      </c>
      <c r="AZ781" s="196">
        <f t="shared" si="375"/>
        <v>0</v>
      </c>
      <c r="BA781" s="219">
        <f t="shared" si="376"/>
        <v>0</v>
      </c>
      <c r="BB781" s="31">
        <f t="shared" si="377"/>
        <v>0</v>
      </c>
      <c r="BC781" s="219">
        <f t="shared" si="378"/>
        <v>0</v>
      </c>
      <c r="BD781" s="31">
        <f t="shared" si="379"/>
        <v>0</v>
      </c>
      <c r="BE781" s="219">
        <f t="shared" si="380"/>
        <v>0</v>
      </c>
      <c r="BF781" s="31">
        <f t="shared" si="381"/>
        <v>0</v>
      </c>
      <c r="BG781" s="219">
        <f t="shared" si="382"/>
        <v>0</v>
      </c>
      <c r="BH781" s="31">
        <f t="shared" si="383"/>
        <v>0</v>
      </c>
      <c r="BI781" s="219">
        <f t="shared" si="384"/>
        <v>0</v>
      </c>
      <c r="BJ781" s="31">
        <f t="shared" si="385"/>
        <v>0</v>
      </c>
      <c r="BK781" s="219">
        <f t="shared" si="386"/>
        <v>0</v>
      </c>
      <c r="BL781" s="31">
        <f t="shared" si="387"/>
        <v>0</v>
      </c>
      <c r="BM781" s="219">
        <f t="shared" si="388"/>
        <v>0</v>
      </c>
      <c r="BN781" s="31">
        <f t="shared" si="389"/>
        <v>0</v>
      </c>
      <c r="BO781" s="219">
        <f t="shared" si="390"/>
        <v>0</v>
      </c>
    </row>
    <row r="782" spans="1:67" x14ac:dyDescent="0.25">
      <c r="A782" s="157" t="s">
        <v>1884</v>
      </c>
      <c r="B782" s="176" t="str">
        <f>VLOOKUP(A782,kurspris!$A$1:$B$992,2,FALSE)</f>
        <v>Religionsvetenskap 2</v>
      </c>
      <c r="D782" s="31" t="s">
        <v>482</v>
      </c>
      <c r="E782" s="574" t="s">
        <v>2225</v>
      </c>
      <c r="F782" s="31" t="s">
        <v>2273</v>
      </c>
      <c r="G782" t="s">
        <v>2458</v>
      </c>
      <c r="H782" t="s">
        <v>2335</v>
      </c>
      <c r="J782" s="31" t="s">
        <v>2233</v>
      </c>
      <c r="L782" s="38">
        <v>1</v>
      </c>
      <c r="M782">
        <v>30</v>
      </c>
      <c r="P782" s="31">
        <v>1</v>
      </c>
      <c r="Q782" s="196">
        <f t="shared" si="391"/>
        <v>0.5</v>
      </c>
      <c r="R782" s="38">
        <v>0.85</v>
      </c>
      <c r="S782" s="280">
        <f t="shared" si="363"/>
        <v>0.42499999999999999</v>
      </c>
      <c r="T782" s="31">
        <f>VLOOKUP(A782,'Ansvar kurs'!$A$1:$C$1123,2,FALSE)</f>
        <v>1630</v>
      </c>
      <c r="U782" s="31" t="str">
        <f>VLOOKUP(T782,Orgenheter!$A$1:$C$166,2,FALSE)</f>
        <v>Inst för ide- o samhällsstudier</v>
      </c>
      <c r="V782" s="31" t="str">
        <f>VLOOKUP(T782,Orgenheter!$A$1:$C$166,3,FALSE)</f>
        <v>Hum</v>
      </c>
      <c r="W782" s="35" t="str">
        <f>VLOOKUP(D782,Program!$A$1:$B$36,2,FALSE)</f>
        <v>Ämneslärarprogrammet - Gy</v>
      </c>
      <c r="X782" s="40">
        <f>VLOOKUP(A782,kurspris!$A$1:$Q$913,15,FALSE)</f>
        <v>20766</v>
      </c>
      <c r="Y782" s="40">
        <f>VLOOKUP(A782,kurspris!$A$1:$Q$913,16,FALSE)</f>
        <v>17442</v>
      </c>
      <c r="Z782" s="40">
        <f t="shared" si="364"/>
        <v>17795.849999999999</v>
      </c>
      <c r="AA782" s="40">
        <f>VLOOKUP(A782,kurspris!$A$1:$Q$913,17,FALSE)</f>
        <v>6000</v>
      </c>
      <c r="AB782" s="40">
        <f t="shared" si="365"/>
        <v>3000</v>
      </c>
      <c r="AC782" s="40">
        <f t="shared" si="366"/>
        <v>20795.849999999999</v>
      </c>
      <c r="AD782" s="31">
        <f>VLOOKUP($A782,kurspris!$A$1:$Q$950,3,FALSE)</f>
        <v>0</v>
      </c>
      <c r="AE782" s="31">
        <f>VLOOKUP($A782,kurspris!$A$1:$Q$950,4,FALSE)</f>
        <v>1</v>
      </c>
      <c r="AF782" s="31">
        <f>VLOOKUP($A782,kurspris!$A$1:$Q$950,5,FALSE)</f>
        <v>0</v>
      </c>
      <c r="AG782" s="31">
        <f>VLOOKUP($A782,kurspris!$A$1:$Q$950,6,FALSE)</f>
        <v>0</v>
      </c>
      <c r="AH782" s="31">
        <f>VLOOKUP($A782,kurspris!$A$1:$Q$950,7,FALSE)</f>
        <v>0</v>
      </c>
      <c r="AI782" s="31">
        <f>VLOOKUP($A782,kurspris!$A$1:$Q$950,8,FALSE)</f>
        <v>0</v>
      </c>
      <c r="AJ782" s="31">
        <f>VLOOKUP($A782,kurspris!$A$1:$Q$950,9,FALSE)</f>
        <v>0</v>
      </c>
      <c r="AK782" s="31">
        <f>VLOOKUP($A782,kurspris!$A$1:$Q$950,10,FALSE)</f>
        <v>0</v>
      </c>
      <c r="AL782" s="31">
        <f>VLOOKUP($A782,kurspris!$A$1:$Q$950,11,FALSE)</f>
        <v>0</v>
      </c>
      <c r="AM782" s="31">
        <f>VLOOKUP($A782,kurspris!$A$1:$Q$950,12,FALSE)</f>
        <v>0</v>
      </c>
      <c r="AN782" s="31">
        <f>VLOOKUP($A782,kurspris!$A$1:$Q$950,13,FALSE)</f>
        <v>0</v>
      </c>
      <c r="AO782" s="31">
        <f>VLOOKUP($A782,kurspris!$A$1:$Q$950,14,FALSE)</f>
        <v>0</v>
      </c>
      <c r="AP782" s="57" t="s">
        <v>2506</v>
      </c>
      <c r="AQ782" s="37"/>
      <c r="AR782" s="31">
        <f t="shared" si="367"/>
        <v>0</v>
      </c>
      <c r="AS782" s="219">
        <f t="shared" si="368"/>
        <v>0</v>
      </c>
      <c r="AT782" s="31">
        <f t="shared" si="369"/>
        <v>0.5</v>
      </c>
      <c r="AU782" s="219">
        <f t="shared" si="370"/>
        <v>0.42499999999999999</v>
      </c>
      <c r="AV782" s="31">
        <f t="shared" si="371"/>
        <v>0</v>
      </c>
      <c r="AW782" s="31">
        <f t="shared" si="372"/>
        <v>0</v>
      </c>
      <c r="AX782" s="31">
        <f t="shared" si="373"/>
        <v>0</v>
      </c>
      <c r="AY782" s="219">
        <f t="shared" si="374"/>
        <v>0</v>
      </c>
      <c r="AZ782" s="196">
        <f t="shared" si="375"/>
        <v>0</v>
      </c>
      <c r="BA782" s="219">
        <f t="shared" si="376"/>
        <v>0</v>
      </c>
      <c r="BB782" s="31">
        <f t="shared" si="377"/>
        <v>0</v>
      </c>
      <c r="BC782" s="219">
        <f t="shared" si="378"/>
        <v>0</v>
      </c>
      <c r="BD782" s="31">
        <f t="shared" si="379"/>
        <v>0</v>
      </c>
      <c r="BE782" s="219">
        <f t="shared" si="380"/>
        <v>0</v>
      </c>
      <c r="BF782" s="31">
        <f t="shared" si="381"/>
        <v>0</v>
      </c>
      <c r="BG782" s="219">
        <f t="shared" si="382"/>
        <v>0</v>
      </c>
      <c r="BH782" s="31">
        <f t="shared" si="383"/>
        <v>0</v>
      </c>
      <c r="BI782" s="219">
        <f t="shared" si="384"/>
        <v>0</v>
      </c>
      <c r="BJ782" s="31">
        <f t="shared" si="385"/>
        <v>0</v>
      </c>
      <c r="BK782" s="219">
        <f t="shared" si="386"/>
        <v>0</v>
      </c>
      <c r="BL782" s="31">
        <f t="shared" si="387"/>
        <v>0</v>
      </c>
      <c r="BM782" s="219">
        <f t="shared" si="388"/>
        <v>0</v>
      </c>
      <c r="BN782" s="31">
        <f t="shared" si="389"/>
        <v>0</v>
      </c>
      <c r="BO782" s="219">
        <f t="shared" si="390"/>
        <v>0</v>
      </c>
    </row>
    <row r="783" spans="1:67" x14ac:dyDescent="0.25">
      <c r="A783" s="31" t="s">
        <v>1884</v>
      </c>
      <c r="B783" s="176" t="str">
        <f>VLOOKUP(A783,kurspris!$A$1:$B$992,2,FALSE)</f>
        <v>Religionsvetenskap 2</v>
      </c>
      <c r="D783" s="60" t="s">
        <v>482</v>
      </c>
      <c r="E783" s="576" t="s">
        <v>2225</v>
      </c>
      <c r="F783" s="31" t="s">
        <v>2273</v>
      </c>
      <c r="G783" t="s">
        <v>2458</v>
      </c>
      <c r="H783" t="s">
        <v>2335</v>
      </c>
      <c r="J783" s="31" t="s">
        <v>2240</v>
      </c>
      <c r="L783" s="38">
        <v>1</v>
      </c>
      <c r="M783">
        <v>30</v>
      </c>
      <c r="P783" s="31">
        <v>1</v>
      </c>
      <c r="Q783" s="196">
        <f t="shared" si="391"/>
        <v>0.5</v>
      </c>
      <c r="R783" s="38">
        <v>0.85</v>
      </c>
      <c r="S783" s="280">
        <f t="shared" si="363"/>
        <v>0.42499999999999999</v>
      </c>
      <c r="T783" s="31">
        <f>VLOOKUP(A783,'Ansvar kurs'!$A$1:$C$1123,2,FALSE)</f>
        <v>1630</v>
      </c>
      <c r="U783" s="31" t="str">
        <f>VLOOKUP(T783,Orgenheter!$A$1:$C$166,2,FALSE)</f>
        <v>Inst för ide- o samhällsstudier</v>
      </c>
      <c r="V783" s="31" t="str">
        <f>VLOOKUP(T783,Orgenheter!$A$1:$C$166,3,FALSE)</f>
        <v>Hum</v>
      </c>
      <c r="W783" s="35" t="str">
        <f>VLOOKUP(D783,Program!$A$1:$B$36,2,FALSE)</f>
        <v>Ämneslärarprogrammet - Gy</v>
      </c>
      <c r="X783" s="40">
        <f>VLOOKUP(A783,kurspris!$A$1:$Q$913,15,FALSE)</f>
        <v>20766</v>
      </c>
      <c r="Y783" s="40">
        <f>VLOOKUP(A783,kurspris!$A$1:$Q$913,16,FALSE)</f>
        <v>17442</v>
      </c>
      <c r="Z783" s="40">
        <f t="shared" si="364"/>
        <v>17795.849999999999</v>
      </c>
      <c r="AA783" s="40">
        <f>VLOOKUP(A783,kurspris!$A$1:$Q$913,17,FALSE)</f>
        <v>6000</v>
      </c>
      <c r="AB783" s="40">
        <f t="shared" si="365"/>
        <v>3000</v>
      </c>
      <c r="AC783" s="40">
        <f t="shared" si="366"/>
        <v>20795.849999999999</v>
      </c>
      <c r="AD783" s="31">
        <f>VLOOKUP($A783,kurspris!$A$1:$Q$950,3,FALSE)</f>
        <v>0</v>
      </c>
      <c r="AE783" s="31">
        <f>VLOOKUP($A783,kurspris!$A$1:$Q$950,4,FALSE)</f>
        <v>1</v>
      </c>
      <c r="AF783" s="31">
        <f>VLOOKUP($A783,kurspris!$A$1:$Q$950,5,FALSE)</f>
        <v>0</v>
      </c>
      <c r="AG783" s="31">
        <f>VLOOKUP($A783,kurspris!$A$1:$Q$950,6,FALSE)</f>
        <v>0</v>
      </c>
      <c r="AH783" s="31">
        <f>VLOOKUP($A783,kurspris!$A$1:$Q$950,7,FALSE)</f>
        <v>0</v>
      </c>
      <c r="AI783" s="31">
        <f>VLOOKUP($A783,kurspris!$A$1:$Q$950,8,FALSE)</f>
        <v>0</v>
      </c>
      <c r="AJ783" s="31">
        <f>VLOOKUP($A783,kurspris!$A$1:$Q$950,9,FALSE)</f>
        <v>0</v>
      </c>
      <c r="AK783" s="31">
        <f>VLOOKUP($A783,kurspris!$A$1:$Q$950,10,FALSE)</f>
        <v>0</v>
      </c>
      <c r="AL783" s="31">
        <f>VLOOKUP($A783,kurspris!$A$1:$Q$950,11,FALSE)</f>
        <v>0</v>
      </c>
      <c r="AM783" s="31">
        <f>VLOOKUP($A783,kurspris!$A$1:$Q$950,12,FALSE)</f>
        <v>0</v>
      </c>
      <c r="AN783" s="31">
        <f>VLOOKUP($A783,kurspris!$A$1:$Q$950,13,FALSE)</f>
        <v>0</v>
      </c>
      <c r="AO783" s="31">
        <f>VLOOKUP($A783,kurspris!$A$1:$Q$950,14,FALSE)</f>
        <v>0</v>
      </c>
      <c r="AP783" s="57" t="s">
        <v>2506</v>
      </c>
      <c r="AQ783"/>
      <c r="AR783" s="31">
        <f t="shared" si="367"/>
        <v>0</v>
      </c>
      <c r="AS783" s="219">
        <f t="shared" si="368"/>
        <v>0</v>
      </c>
      <c r="AT783" s="31">
        <f t="shared" si="369"/>
        <v>0.5</v>
      </c>
      <c r="AU783" s="219">
        <f t="shared" si="370"/>
        <v>0.42499999999999999</v>
      </c>
      <c r="AV783" s="31">
        <f t="shared" si="371"/>
        <v>0</v>
      </c>
      <c r="AW783" s="31">
        <f t="shared" si="372"/>
        <v>0</v>
      </c>
      <c r="AX783" s="31">
        <f t="shared" si="373"/>
        <v>0</v>
      </c>
      <c r="AY783" s="219">
        <f t="shared" si="374"/>
        <v>0</v>
      </c>
      <c r="AZ783" s="196">
        <f t="shared" si="375"/>
        <v>0</v>
      </c>
      <c r="BA783" s="219">
        <f t="shared" si="376"/>
        <v>0</v>
      </c>
      <c r="BB783" s="31">
        <f t="shared" si="377"/>
        <v>0</v>
      </c>
      <c r="BC783" s="219">
        <f t="shared" si="378"/>
        <v>0</v>
      </c>
      <c r="BD783" s="31">
        <f t="shared" si="379"/>
        <v>0</v>
      </c>
      <c r="BE783" s="219">
        <f t="shared" si="380"/>
        <v>0</v>
      </c>
      <c r="BF783" s="31">
        <f t="shared" si="381"/>
        <v>0</v>
      </c>
      <c r="BG783" s="219">
        <f t="shared" si="382"/>
        <v>0</v>
      </c>
      <c r="BH783" s="31">
        <f t="shared" si="383"/>
        <v>0</v>
      </c>
      <c r="BI783" s="219">
        <f t="shared" si="384"/>
        <v>0</v>
      </c>
      <c r="BJ783" s="31">
        <f t="shared" si="385"/>
        <v>0</v>
      </c>
      <c r="BK783" s="219">
        <f t="shared" si="386"/>
        <v>0</v>
      </c>
      <c r="BL783" s="31">
        <f t="shared" si="387"/>
        <v>0</v>
      </c>
      <c r="BM783" s="219">
        <f t="shared" si="388"/>
        <v>0</v>
      </c>
      <c r="BN783" s="31">
        <f t="shared" si="389"/>
        <v>0</v>
      </c>
      <c r="BO783" s="219">
        <f t="shared" si="390"/>
        <v>0</v>
      </c>
    </row>
    <row r="784" spans="1:67" x14ac:dyDescent="0.25">
      <c r="A784" s="31" t="s">
        <v>1884</v>
      </c>
      <c r="B784" s="176" t="str">
        <f>VLOOKUP(A784,kurspris!$A$1:$B$992,2,FALSE)</f>
        <v>Religionsvetenskap 2</v>
      </c>
      <c r="D784" s="60" t="s">
        <v>482</v>
      </c>
      <c r="E784" s="576" t="s">
        <v>2434</v>
      </c>
      <c r="F784" s="31" t="s">
        <v>2273</v>
      </c>
      <c r="G784" t="s">
        <v>2458</v>
      </c>
      <c r="H784" t="s">
        <v>2335</v>
      </c>
      <c r="J784" s="31" t="s">
        <v>2239</v>
      </c>
      <c r="L784" s="38">
        <v>1</v>
      </c>
      <c r="M784">
        <v>30</v>
      </c>
      <c r="P784" s="31">
        <v>2</v>
      </c>
      <c r="Q784" s="196">
        <f t="shared" si="391"/>
        <v>1</v>
      </c>
      <c r="R784" s="38">
        <v>0.85</v>
      </c>
      <c r="S784" s="280">
        <f t="shared" si="363"/>
        <v>0.85</v>
      </c>
      <c r="T784" s="31">
        <f>VLOOKUP(A784,'Ansvar kurs'!$A$1:$C$1123,2,FALSE)</f>
        <v>1630</v>
      </c>
      <c r="U784" s="31" t="str">
        <f>VLOOKUP(T784,Orgenheter!$A$1:$C$166,2,FALSE)</f>
        <v>Inst för ide- o samhällsstudier</v>
      </c>
      <c r="V784" s="31" t="str">
        <f>VLOOKUP(T784,Orgenheter!$A$1:$C$166,3,FALSE)</f>
        <v>Hum</v>
      </c>
      <c r="W784" s="35" t="str">
        <f>VLOOKUP(D784,Program!$A$1:$B$36,2,FALSE)</f>
        <v>Ämneslärarprogrammet - Gy</v>
      </c>
      <c r="X784" s="40">
        <f>VLOOKUP(A784,kurspris!$A$1:$Q$913,15,FALSE)</f>
        <v>20766</v>
      </c>
      <c r="Y784" s="40">
        <f>VLOOKUP(A784,kurspris!$A$1:$Q$913,16,FALSE)</f>
        <v>17442</v>
      </c>
      <c r="Z784" s="40">
        <f t="shared" si="364"/>
        <v>35591.699999999997</v>
      </c>
      <c r="AA784" s="40">
        <f>VLOOKUP(A784,kurspris!$A$1:$Q$913,17,FALSE)</f>
        <v>6000</v>
      </c>
      <c r="AB784" s="40">
        <f t="shared" si="365"/>
        <v>6000</v>
      </c>
      <c r="AC784" s="40">
        <f t="shared" si="366"/>
        <v>41591.699999999997</v>
      </c>
      <c r="AD784" s="31">
        <f>VLOOKUP($A784,kurspris!$A$1:$Q$950,3,FALSE)</f>
        <v>0</v>
      </c>
      <c r="AE784" s="31">
        <f>VLOOKUP($A784,kurspris!$A$1:$Q$950,4,FALSE)</f>
        <v>1</v>
      </c>
      <c r="AF784" s="31">
        <f>VLOOKUP($A784,kurspris!$A$1:$Q$950,5,FALSE)</f>
        <v>0</v>
      </c>
      <c r="AG784" s="31">
        <f>VLOOKUP($A784,kurspris!$A$1:$Q$950,6,FALSE)</f>
        <v>0</v>
      </c>
      <c r="AH784" s="31">
        <f>VLOOKUP($A784,kurspris!$A$1:$Q$950,7,FALSE)</f>
        <v>0</v>
      </c>
      <c r="AI784" s="31">
        <f>VLOOKUP($A784,kurspris!$A$1:$Q$950,8,FALSE)</f>
        <v>0</v>
      </c>
      <c r="AJ784" s="31">
        <f>VLOOKUP($A784,kurspris!$A$1:$Q$950,9,FALSE)</f>
        <v>0</v>
      </c>
      <c r="AK784" s="31">
        <f>VLOOKUP($A784,kurspris!$A$1:$Q$950,10,FALSE)</f>
        <v>0</v>
      </c>
      <c r="AL784" s="31">
        <f>VLOOKUP($A784,kurspris!$A$1:$Q$950,11,FALSE)</f>
        <v>0</v>
      </c>
      <c r="AM784" s="31">
        <f>VLOOKUP($A784,kurspris!$A$1:$Q$950,12,FALSE)</f>
        <v>0</v>
      </c>
      <c r="AN784" s="31">
        <f>VLOOKUP($A784,kurspris!$A$1:$Q$950,13,FALSE)</f>
        <v>0</v>
      </c>
      <c r="AO784" s="31">
        <f>VLOOKUP($A784,kurspris!$A$1:$Q$950,14,FALSE)</f>
        <v>0</v>
      </c>
      <c r="AP784" s="57" t="s">
        <v>2506</v>
      </c>
      <c r="AQ784"/>
      <c r="AR784" s="31">
        <f t="shared" si="367"/>
        <v>0</v>
      </c>
      <c r="AS784" s="219">
        <f t="shared" si="368"/>
        <v>0</v>
      </c>
      <c r="AT784" s="31">
        <f t="shared" si="369"/>
        <v>1</v>
      </c>
      <c r="AU784" s="219">
        <f t="shared" si="370"/>
        <v>0.85</v>
      </c>
      <c r="AV784" s="31">
        <f t="shared" si="371"/>
        <v>0</v>
      </c>
      <c r="AW784" s="31">
        <f t="shared" si="372"/>
        <v>0</v>
      </c>
      <c r="AX784" s="31">
        <f t="shared" si="373"/>
        <v>0</v>
      </c>
      <c r="AY784" s="219">
        <f t="shared" si="374"/>
        <v>0</v>
      </c>
      <c r="AZ784" s="196">
        <f t="shared" si="375"/>
        <v>0</v>
      </c>
      <c r="BA784" s="219">
        <f t="shared" si="376"/>
        <v>0</v>
      </c>
      <c r="BB784" s="31">
        <f t="shared" si="377"/>
        <v>0</v>
      </c>
      <c r="BC784" s="219">
        <f t="shared" si="378"/>
        <v>0</v>
      </c>
      <c r="BD784" s="31">
        <f t="shared" si="379"/>
        <v>0</v>
      </c>
      <c r="BE784" s="219">
        <f t="shared" si="380"/>
        <v>0</v>
      </c>
      <c r="BF784" s="31">
        <f t="shared" si="381"/>
        <v>0</v>
      </c>
      <c r="BG784" s="219">
        <f t="shared" si="382"/>
        <v>0</v>
      </c>
      <c r="BH784" s="31">
        <f t="shared" si="383"/>
        <v>0</v>
      </c>
      <c r="BI784" s="219">
        <f t="shared" si="384"/>
        <v>0</v>
      </c>
      <c r="BJ784" s="31">
        <f t="shared" si="385"/>
        <v>0</v>
      </c>
      <c r="BK784" s="219">
        <f t="shared" si="386"/>
        <v>0</v>
      </c>
      <c r="BL784" s="31">
        <f t="shared" si="387"/>
        <v>0</v>
      </c>
      <c r="BM784" s="219">
        <f t="shared" si="388"/>
        <v>0</v>
      </c>
      <c r="BN784" s="31">
        <f t="shared" si="389"/>
        <v>0</v>
      </c>
      <c r="BO784" s="219">
        <f t="shared" si="390"/>
        <v>0</v>
      </c>
    </row>
    <row r="785" spans="1:67" x14ac:dyDescent="0.25">
      <c r="A785" s="31" t="s">
        <v>1884</v>
      </c>
      <c r="B785" s="176" t="str">
        <f>VLOOKUP(A785,kurspris!$A$1:$B$992,2,FALSE)</f>
        <v>Religionsvetenskap 2</v>
      </c>
      <c r="D785" s="60" t="s">
        <v>482</v>
      </c>
      <c r="E785" s="576" t="s">
        <v>2432</v>
      </c>
      <c r="F785" s="31" t="s">
        <v>2273</v>
      </c>
      <c r="G785" t="s">
        <v>2458</v>
      </c>
      <c r="H785" t="s">
        <v>2335</v>
      </c>
      <c r="J785" s="31" t="s">
        <v>2239</v>
      </c>
      <c r="L785" s="38">
        <v>1</v>
      </c>
      <c r="M785">
        <v>30</v>
      </c>
      <c r="P785" s="31">
        <v>2</v>
      </c>
      <c r="Q785" s="196">
        <f t="shared" si="391"/>
        <v>1</v>
      </c>
      <c r="R785" s="38">
        <v>0.85</v>
      </c>
      <c r="S785" s="280">
        <f t="shared" si="363"/>
        <v>0.85</v>
      </c>
      <c r="T785" s="31">
        <f>VLOOKUP(A785,'Ansvar kurs'!$A$1:$C$1123,2,FALSE)</f>
        <v>1630</v>
      </c>
      <c r="U785" s="31" t="str">
        <f>VLOOKUP(T785,Orgenheter!$A$1:$C$166,2,FALSE)</f>
        <v>Inst för ide- o samhällsstudier</v>
      </c>
      <c r="V785" s="31" t="str">
        <f>VLOOKUP(T785,Orgenheter!$A$1:$C$166,3,FALSE)</f>
        <v>Hum</v>
      </c>
      <c r="W785" s="35" t="str">
        <f>VLOOKUP(D785,Program!$A$1:$B$36,2,FALSE)</f>
        <v>Ämneslärarprogrammet - Gy</v>
      </c>
      <c r="X785" s="40">
        <f>VLOOKUP(A785,kurspris!$A$1:$Q$913,15,FALSE)</f>
        <v>20766</v>
      </c>
      <c r="Y785" s="40">
        <f>VLOOKUP(A785,kurspris!$A$1:$Q$913,16,FALSE)</f>
        <v>17442</v>
      </c>
      <c r="Z785" s="40">
        <f t="shared" si="364"/>
        <v>35591.699999999997</v>
      </c>
      <c r="AA785" s="40">
        <f>VLOOKUP(A785,kurspris!$A$1:$Q$913,17,FALSE)</f>
        <v>6000</v>
      </c>
      <c r="AB785" s="40">
        <f t="shared" si="365"/>
        <v>6000</v>
      </c>
      <c r="AC785" s="40">
        <f t="shared" si="366"/>
        <v>41591.699999999997</v>
      </c>
      <c r="AD785" s="31">
        <f>VLOOKUP($A785,kurspris!$A$1:$Q$950,3,FALSE)</f>
        <v>0</v>
      </c>
      <c r="AE785" s="31">
        <f>VLOOKUP($A785,kurspris!$A$1:$Q$950,4,FALSE)</f>
        <v>1</v>
      </c>
      <c r="AF785" s="31">
        <f>VLOOKUP($A785,kurspris!$A$1:$Q$950,5,FALSE)</f>
        <v>0</v>
      </c>
      <c r="AG785" s="31">
        <f>VLOOKUP($A785,kurspris!$A$1:$Q$950,6,FALSE)</f>
        <v>0</v>
      </c>
      <c r="AH785" s="31">
        <f>VLOOKUP($A785,kurspris!$A$1:$Q$950,7,FALSE)</f>
        <v>0</v>
      </c>
      <c r="AI785" s="31">
        <f>VLOOKUP($A785,kurspris!$A$1:$Q$950,8,FALSE)</f>
        <v>0</v>
      </c>
      <c r="AJ785" s="31">
        <f>VLOOKUP($A785,kurspris!$A$1:$Q$950,9,FALSE)</f>
        <v>0</v>
      </c>
      <c r="AK785" s="31">
        <f>VLOOKUP($A785,kurspris!$A$1:$Q$950,10,FALSE)</f>
        <v>0</v>
      </c>
      <c r="AL785" s="31">
        <f>VLOOKUP($A785,kurspris!$A$1:$Q$950,11,FALSE)</f>
        <v>0</v>
      </c>
      <c r="AM785" s="31">
        <f>VLOOKUP($A785,kurspris!$A$1:$Q$950,12,FALSE)</f>
        <v>0</v>
      </c>
      <c r="AN785" s="31">
        <f>VLOOKUP($A785,kurspris!$A$1:$Q$950,13,FALSE)</f>
        <v>0</v>
      </c>
      <c r="AO785" s="31">
        <f>VLOOKUP($A785,kurspris!$A$1:$Q$950,14,FALSE)</f>
        <v>0</v>
      </c>
      <c r="AP785" s="57" t="s">
        <v>2506</v>
      </c>
      <c r="AQ785"/>
      <c r="AR785" s="31">
        <f t="shared" si="367"/>
        <v>0</v>
      </c>
      <c r="AS785" s="219">
        <f t="shared" si="368"/>
        <v>0</v>
      </c>
      <c r="AT785" s="31">
        <f t="shared" si="369"/>
        <v>1</v>
      </c>
      <c r="AU785" s="219">
        <f t="shared" si="370"/>
        <v>0.85</v>
      </c>
      <c r="AV785" s="31">
        <f t="shared" si="371"/>
        <v>0</v>
      </c>
      <c r="AW785" s="31">
        <f t="shared" si="372"/>
        <v>0</v>
      </c>
      <c r="AX785" s="31">
        <f t="shared" si="373"/>
        <v>0</v>
      </c>
      <c r="AY785" s="219">
        <f t="shared" si="374"/>
        <v>0</v>
      </c>
      <c r="AZ785" s="196">
        <f t="shared" si="375"/>
        <v>0</v>
      </c>
      <c r="BA785" s="219">
        <f t="shared" si="376"/>
        <v>0</v>
      </c>
      <c r="BB785" s="31">
        <f t="shared" si="377"/>
        <v>0</v>
      </c>
      <c r="BC785" s="219">
        <f t="shared" si="378"/>
        <v>0</v>
      </c>
      <c r="BD785" s="31">
        <f t="shared" si="379"/>
        <v>0</v>
      </c>
      <c r="BE785" s="219">
        <f t="shared" si="380"/>
        <v>0</v>
      </c>
      <c r="BF785" s="31">
        <f t="shared" si="381"/>
        <v>0</v>
      </c>
      <c r="BG785" s="219">
        <f t="shared" si="382"/>
        <v>0</v>
      </c>
      <c r="BH785" s="31">
        <f t="shared" si="383"/>
        <v>0</v>
      </c>
      <c r="BI785" s="219">
        <f t="shared" si="384"/>
        <v>0</v>
      </c>
      <c r="BJ785" s="31">
        <f t="shared" si="385"/>
        <v>0</v>
      </c>
      <c r="BK785" s="219">
        <f t="shared" si="386"/>
        <v>0</v>
      </c>
      <c r="BL785" s="31">
        <f t="shared" si="387"/>
        <v>0</v>
      </c>
      <c r="BM785" s="219">
        <f t="shared" si="388"/>
        <v>0</v>
      </c>
      <c r="BN785" s="31">
        <f t="shared" si="389"/>
        <v>0</v>
      </c>
      <c r="BO785" s="219">
        <f t="shared" si="390"/>
        <v>0</v>
      </c>
    </row>
    <row r="786" spans="1:67" x14ac:dyDescent="0.25">
      <c r="A786" s="157" t="s">
        <v>1884</v>
      </c>
      <c r="B786" s="176" t="str">
        <f>VLOOKUP(A786,kurspris!$A$1:$B$992,2,FALSE)</f>
        <v>Religionsvetenskap 2</v>
      </c>
      <c r="D786" s="31" t="s">
        <v>482</v>
      </c>
      <c r="E786" s="574" t="s">
        <v>2431</v>
      </c>
      <c r="F786" s="31" t="s">
        <v>2273</v>
      </c>
      <c r="G786" t="s">
        <v>2458</v>
      </c>
      <c r="H786" t="s">
        <v>2335</v>
      </c>
      <c r="J786" s="31" t="s">
        <v>2239</v>
      </c>
      <c r="L786" s="38">
        <v>1</v>
      </c>
      <c r="M786">
        <v>30</v>
      </c>
      <c r="P786" s="31">
        <v>1</v>
      </c>
      <c r="Q786" s="196">
        <f t="shared" si="391"/>
        <v>0.5</v>
      </c>
      <c r="R786" s="38">
        <v>0.85</v>
      </c>
      <c r="S786" s="280">
        <f t="shared" si="363"/>
        <v>0.42499999999999999</v>
      </c>
      <c r="T786" s="31">
        <f>VLOOKUP(A786,'Ansvar kurs'!$A$1:$C$1123,2,FALSE)</f>
        <v>1630</v>
      </c>
      <c r="U786" s="31" t="str">
        <f>VLOOKUP(T786,Orgenheter!$A$1:$C$166,2,FALSE)</f>
        <v>Inst för ide- o samhällsstudier</v>
      </c>
      <c r="V786" s="31" t="str">
        <f>VLOOKUP(T786,Orgenheter!$A$1:$C$166,3,FALSE)</f>
        <v>Hum</v>
      </c>
      <c r="W786" s="35" t="str">
        <f>VLOOKUP(D786,Program!$A$1:$B$36,2,FALSE)</f>
        <v>Ämneslärarprogrammet - Gy</v>
      </c>
      <c r="X786" s="40">
        <f>VLOOKUP(A786,kurspris!$A$1:$Q$913,15,FALSE)</f>
        <v>20766</v>
      </c>
      <c r="Y786" s="40">
        <f>VLOOKUP(A786,kurspris!$A$1:$Q$913,16,FALSE)</f>
        <v>17442</v>
      </c>
      <c r="Z786" s="40">
        <f t="shared" si="364"/>
        <v>17795.849999999999</v>
      </c>
      <c r="AA786" s="40">
        <f>VLOOKUP(A786,kurspris!$A$1:$Q$913,17,FALSE)</f>
        <v>6000</v>
      </c>
      <c r="AB786" s="40">
        <f t="shared" si="365"/>
        <v>3000</v>
      </c>
      <c r="AC786" s="40">
        <f t="shared" si="366"/>
        <v>20795.849999999999</v>
      </c>
      <c r="AD786" s="31">
        <f>VLOOKUP($A786,kurspris!$A$1:$Q$950,3,FALSE)</f>
        <v>0</v>
      </c>
      <c r="AE786" s="31">
        <f>VLOOKUP($A786,kurspris!$A$1:$Q$950,4,FALSE)</f>
        <v>1</v>
      </c>
      <c r="AF786" s="31">
        <f>VLOOKUP($A786,kurspris!$A$1:$Q$950,5,FALSE)</f>
        <v>0</v>
      </c>
      <c r="AG786" s="31">
        <f>VLOOKUP($A786,kurspris!$A$1:$Q$950,6,FALSE)</f>
        <v>0</v>
      </c>
      <c r="AH786" s="31">
        <f>VLOOKUP($A786,kurspris!$A$1:$Q$950,7,FALSE)</f>
        <v>0</v>
      </c>
      <c r="AI786" s="31">
        <f>VLOOKUP($A786,kurspris!$A$1:$Q$950,8,FALSE)</f>
        <v>0</v>
      </c>
      <c r="AJ786" s="31">
        <f>VLOOKUP($A786,kurspris!$A$1:$Q$950,9,FALSE)</f>
        <v>0</v>
      </c>
      <c r="AK786" s="31">
        <f>VLOOKUP($A786,kurspris!$A$1:$Q$950,10,FALSE)</f>
        <v>0</v>
      </c>
      <c r="AL786" s="31">
        <f>VLOOKUP($A786,kurspris!$A$1:$Q$950,11,FALSE)</f>
        <v>0</v>
      </c>
      <c r="AM786" s="31">
        <f>VLOOKUP($A786,kurspris!$A$1:$Q$950,12,FALSE)</f>
        <v>0</v>
      </c>
      <c r="AN786" s="31">
        <f>VLOOKUP($A786,kurspris!$A$1:$Q$950,13,FALSE)</f>
        <v>0</v>
      </c>
      <c r="AO786" s="31">
        <f>VLOOKUP($A786,kurspris!$A$1:$Q$950,14,FALSE)</f>
        <v>0</v>
      </c>
      <c r="AP786" s="57" t="s">
        <v>2506</v>
      </c>
      <c r="AQ786" s="37"/>
      <c r="AR786" s="31">
        <f t="shared" si="367"/>
        <v>0</v>
      </c>
      <c r="AS786" s="219">
        <f t="shared" si="368"/>
        <v>0</v>
      </c>
      <c r="AT786" s="31">
        <f t="shared" si="369"/>
        <v>0.5</v>
      </c>
      <c r="AU786" s="219">
        <f t="shared" si="370"/>
        <v>0.42499999999999999</v>
      </c>
      <c r="AV786" s="31">
        <f t="shared" si="371"/>
        <v>0</v>
      </c>
      <c r="AW786" s="31">
        <f t="shared" si="372"/>
        <v>0</v>
      </c>
      <c r="AX786" s="31">
        <f t="shared" si="373"/>
        <v>0</v>
      </c>
      <c r="AY786" s="219">
        <f t="shared" si="374"/>
        <v>0</v>
      </c>
      <c r="AZ786" s="196">
        <f t="shared" si="375"/>
        <v>0</v>
      </c>
      <c r="BA786" s="219">
        <f t="shared" si="376"/>
        <v>0</v>
      </c>
      <c r="BB786" s="31">
        <f t="shared" si="377"/>
        <v>0</v>
      </c>
      <c r="BC786" s="219">
        <f t="shared" si="378"/>
        <v>0</v>
      </c>
      <c r="BD786" s="31">
        <f t="shared" si="379"/>
        <v>0</v>
      </c>
      <c r="BE786" s="219">
        <f t="shared" si="380"/>
        <v>0</v>
      </c>
      <c r="BF786" s="31">
        <f t="shared" si="381"/>
        <v>0</v>
      </c>
      <c r="BG786" s="219">
        <f t="shared" si="382"/>
        <v>0</v>
      </c>
      <c r="BH786" s="31">
        <f t="shared" si="383"/>
        <v>0</v>
      </c>
      <c r="BI786" s="219">
        <f t="shared" si="384"/>
        <v>0</v>
      </c>
      <c r="BJ786" s="31">
        <f t="shared" si="385"/>
        <v>0</v>
      </c>
      <c r="BK786" s="219">
        <f t="shared" si="386"/>
        <v>0</v>
      </c>
      <c r="BL786" s="31">
        <f t="shared" si="387"/>
        <v>0</v>
      </c>
      <c r="BM786" s="219">
        <f t="shared" si="388"/>
        <v>0</v>
      </c>
      <c r="BN786" s="31">
        <f t="shared" si="389"/>
        <v>0</v>
      </c>
      <c r="BO786" s="219">
        <f t="shared" si="390"/>
        <v>0</v>
      </c>
    </row>
    <row r="787" spans="1:67" x14ac:dyDescent="0.25">
      <c r="A787" s="31" t="s">
        <v>1986</v>
      </c>
      <c r="B787" s="176" t="str">
        <f>VLOOKUP(A787,kurspris!$A$1:$B$992,2,FALSE)</f>
        <v>Religionsvetenskap 1</v>
      </c>
      <c r="C787" s="31">
        <v>71258</v>
      </c>
      <c r="D787" s="60" t="s">
        <v>117</v>
      </c>
      <c r="E787" s="60"/>
      <c r="F787" s="57" t="s">
        <v>2274</v>
      </c>
      <c r="H787" s="31" t="s">
        <v>2335</v>
      </c>
      <c r="I787" s="31" t="s">
        <v>2399</v>
      </c>
      <c r="L787" s="38"/>
      <c r="M787">
        <v>30</v>
      </c>
      <c r="P787" s="31">
        <v>8</v>
      </c>
      <c r="Q787" s="539">
        <v>4</v>
      </c>
      <c r="R787" s="38">
        <v>0.8</v>
      </c>
      <c r="S787" s="280">
        <f t="shared" si="363"/>
        <v>3.2</v>
      </c>
      <c r="T787" s="31">
        <f>VLOOKUP(A787,'Ansvar kurs'!$A$1:$C$1123,2,FALSE)</f>
        <v>1630</v>
      </c>
      <c r="U787" s="31" t="str">
        <f>VLOOKUP(T787,Orgenheter!$A$1:$C$166,2,FALSE)</f>
        <v>Inst för ide- o samhällsstudier</v>
      </c>
      <c r="V787" s="31" t="str">
        <f>VLOOKUP(T787,Orgenheter!$A$1:$C$166,3,FALSE)</f>
        <v>Hum</v>
      </c>
      <c r="W787" s="35" t="str">
        <f>VLOOKUP(D787,Program!$A$1:$B$36,2,FALSE)</f>
        <v>Fristående och övriga kurser</v>
      </c>
      <c r="X787" s="40">
        <f>VLOOKUP(A787,kurspris!$A$1:$Q$913,15,FALSE)</f>
        <v>20766</v>
      </c>
      <c r="Y787" s="40">
        <f>VLOOKUP(A787,kurspris!$A$1:$Q$913,16,FALSE)</f>
        <v>17442</v>
      </c>
      <c r="Z787" s="40">
        <f t="shared" si="364"/>
        <v>138878.39999999999</v>
      </c>
      <c r="AA787" s="40">
        <f>VLOOKUP(A787,kurspris!$A$1:$Q$913,17,FALSE)</f>
        <v>6000</v>
      </c>
      <c r="AB787" s="40">
        <f t="shared" si="365"/>
        <v>24000</v>
      </c>
      <c r="AC787" s="40">
        <f t="shared" si="366"/>
        <v>162878.39999999999</v>
      </c>
      <c r="AD787" s="31">
        <f>VLOOKUP($A787,kurspris!$A$1:$Q$950,3,FALSE)</f>
        <v>0</v>
      </c>
      <c r="AE787" s="31">
        <f>VLOOKUP($A787,kurspris!$A$1:$Q$950,4,FALSE)</f>
        <v>1</v>
      </c>
      <c r="AF787" s="31">
        <f>VLOOKUP($A787,kurspris!$A$1:$Q$950,5,FALSE)</f>
        <v>0</v>
      </c>
      <c r="AG787" s="31">
        <f>VLOOKUP($A787,kurspris!$A$1:$Q$950,6,FALSE)</f>
        <v>0</v>
      </c>
      <c r="AH787" s="31">
        <f>VLOOKUP($A787,kurspris!$A$1:$Q$950,7,FALSE)</f>
        <v>0</v>
      </c>
      <c r="AI787" s="31">
        <f>VLOOKUP($A787,kurspris!$A$1:$Q$950,8,FALSE)</f>
        <v>0</v>
      </c>
      <c r="AJ787" s="31">
        <f>VLOOKUP($A787,kurspris!$A$1:$Q$950,9,FALSE)</f>
        <v>0</v>
      </c>
      <c r="AK787" s="31">
        <f>VLOOKUP($A787,kurspris!$A$1:$Q$950,10,FALSE)</f>
        <v>0</v>
      </c>
      <c r="AL787" s="31">
        <f>VLOOKUP($A787,kurspris!$A$1:$Q$950,11,FALSE)</f>
        <v>0</v>
      </c>
      <c r="AM787" s="31">
        <f>VLOOKUP($A787,kurspris!$A$1:$Q$950,12,FALSE)</f>
        <v>0</v>
      </c>
      <c r="AN787" s="31">
        <f>VLOOKUP($A787,kurspris!$A$1:$Q$950,13,FALSE)</f>
        <v>0</v>
      </c>
      <c r="AO787" s="31">
        <f>VLOOKUP($A787,kurspris!$A$1:$Q$950,14,FALSE)</f>
        <v>0</v>
      </c>
      <c r="AP787" s="57" t="s">
        <v>2402</v>
      </c>
      <c r="AQ787"/>
      <c r="AR787" s="31">
        <f t="shared" si="367"/>
        <v>0</v>
      </c>
      <c r="AS787" s="219">
        <f t="shared" si="368"/>
        <v>0</v>
      </c>
      <c r="AT787" s="31">
        <f t="shared" si="369"/>
        <v>4</v>
      </c>
      <c r="AU787" s="219">
        <f t="shared" si="370"/>
        <v>3.2</v>
      </c>
      <c r="AV787" s="31">
        <f t="shared" si="371"/>
        <v>0</v>
      </c>
      <c r="AW787" s="31">
        <f t="shared" si="372"/>
        <v>0</v>
      </c>
      <c r="AX787" s="31">
        <f t="shared" si="373"/>
        <v>0</v>
      </c>
      <c r="AY787" s="219">
        <f t="shared" si="374"/>
        <v>0</v>
      </c>
      <c r="AZ787" s="196">
        <f t="shared" si="375"/>
        <v>0</v>
      </c>
      <c r="BA787" s="219">
        <f t="shared" si="376"/>
        <v>0</v>
      </c>
      <c r="BB787" s="31">
        <f t="shared" si="377"/>
        <v>0</v>
      </c>
      <c r="BC787" s="219">
        <f t="shared" si="378"/>
        <v>0</v>
      </c>
      <c r="BD787" s="31">
        <f t="shared" si="379"/>
        <v>0</v>
      </c>
      <c r="BE787" s="219">
        <f t="shared" si="380"/>
        <v>0</v>
      </c>
      <c r="BF787" s="31">
        <f t="shared" si="381"/>
        <v>0</v>
      </c>
      <c r="BG787" s="219">
        <f t="shared" si="382"/>
        <v>0</v>
      </c>
      <c r="BH787" s="31">
        <f t="shared" si="383"/>
        <v>0</v>
      </c>
      <c r="BI787" s="219">
        <f t="shared" si="384"/>
        <v>0</v>
      </c>
      <c r="BJ787" s="31">
        <f t="shared" si="385"/>
        <v>0</v>
      </c>
      <c r="BK787" s="219">
        <f t="shared" si="386"/>
        <v>0</v>
      </c>
      <c r="BL787" s="31">
        <f t="shared" si="387"/>
        <v>0</v>
      </c>
      <c r="BM787" s="219">
        <f t="shared" si="388"/>
        <v>0</v>
      </c>
      <c r="BN787" s="31">
        <f t="shared" si="389"/>
        <v>0</v>
      </c>
      <c r="BO787" s="219">
        <f t="shared" si="390"/>
        <v>0</v>
      </c>
    </row>
    <row r="788" spans="1:67" x14ac:dyDescent="0.25">
      <c r="A788" s="31" t="s">
        <v>1986</v>
      </c>
      <c r="B788" s="176" t="str">
        <f>VLOOKUP(A788,kurspris!$A$1:$B$992,2,FALSE)</f>
        <v>Religionsvetenskap 1</v>
      </c>
      <c r="C788" s="31">
        <v>71258</v>
      </c>
      <c r="D788" s="60" t="s">
        <v>482</v>
      </c>
      <c r="E788" s="60"/>
      <c r="F788" s="57" t="s">
        <v>2274</v>
      </c>
      <c r="H788" s="31" t="s">
        <v>2335</v>
      </c>
      <c r="I788" s="31" t="s">
        <v>2399</v>
      </c>
      <c r="J788" s="31" t="s">
        <v>2231</v>
      </c>
      <c r="L788" s="38"/>
      <c r="M788">
        <v>30</v>
      </c>
      <c r="P788" s="31">
        <v>1</v>
      </c>
      <c r="Q788" s="539">
        <v>0.5</v>
      </c>
      <c r="R788" s="38">
        <v>0.85</v>
      </c>
      <c r="S788" s="280">
        <f t="shared" si="363"/>
        <v>0.42499999999999999</v>
      </c>
      <c r="T788" s="31">
        <f>VLOOKUP(A788,'Ansvar kurs'!$A$1:$C$1123,2,FALSE)</f>
        <v>1630</v>
      </c>
      <c r="U788" s="31" t="str">
        <f>VLOOKUP(T788,Orgenheter!$A$1:$C$166,2,FALSE)</f>
        <v>Inst för ide- o samhällsstudier</v>
      </c>
      <c r="V788" s="31" t="str">
        <f>VLOOKUP(T788,Orgenheter!$A$1:$C$166,3,FALSE)</f>
        <v>Hum</v>
      </c>
      <c r="W788" s="35" t="str">
        <f>VLOOKUP(D788,Program!$A$1:$B$36,2,FALSE)</f>
        <v>Ämneslärarprogrammet - Gy</v>
      </c>
      <c r="X788" s="40">
        <f>VLOOKUP(A788,kurspris!$A$1:$Q$913,15,FALSE)</f>
        <v>20766</v>
      </c>
      <c r="Y788" s="40">
        <f>VLOOKUP(A788,kurspris!$A$1:$Q$913,16,FALSE)</f>
        <v>17442</v>
      </c>
      <c r="Z788" s="40">
        <f t="shared" si="364"/>
        <v>17795.849999999999</v>
      </c>
      <c r="AA788" s="40">
        <f>VLOOKUP(A788,kurspris!$A$1:$Q$913,17,FALSE)</f>
        <v>6000</v>
      </c>
      <c r="AB788" s="40">
        <f t="shared" si="365"/>
        <v>3000</v>
      </c>
      <c r="AC788" s="40">
        <f t="shared" si="366"/>
        <v>20795.849999999999</v>
      </c>
      <c r="AD788" s="31">
        <f>VLOOKUP($A788,kurspris!$A$1:$Q$950,3,FALSE)</f>
        <v>0</v>
      </c>
      <c r="AE788" s="31">
        <f>VLOOKUP($A788,kurspris!$A$1:$Q$950,4,FALSE)</f>
        <v>1</v>
      </c>
      <c r="AF788" s="31">
        <f>VLOOKUP($A788,kurspris!$A$1:$Q$950,5,FALSE)</f>
        <v>0</v>
      </c>
      <c r="AG788" s="31">
        <f>VLOOKUP($A788,kurspris!$A$1:$Q$950,6,FALSE)</f>
        <v>0</v>
      </c>
      <c r="AH788" s="31">
        <f>VLOOKUP($A788,kurspris!$A$1:$Q$950,7,FALSE)</f>
        <v>0</v>
      </c>
      <c r="AI788" s="31">
        <f>VLOOKUP($A788,kurspris!$A$1:$Q$950,8,FALSE)</f>
        <v>0</v>
      </c>
      <c r="AJ788" s="31">
        <f>VLOOKUP($A788,kurspris!$A$1:$Q$950,9,FALSE)</f>
        <v>0</v>
      </c>
      <c r="AK788" s="31">
        <f>VLOOKUP($A788,kurspris!$A$1:$Q$950,10,FALSE)</f>
        <v>0</v>
      </c>
      <c r="AL788" s="31">
        <f>VLOOKUP($A788,kurspris!$A$1:$Q$950,11,FALSE)</f>
        <v>0</v>
      </c>
      <c r="AM788" s="31">
        <f>VLOOKUP($A788,kurspris!$A$1:$Q$950,12,FALSE)</f>
        <v>0</v>
      </c>
      <c r="AN788" s="31">
        <f>VLOOKUP($A788,kurspris!$A$1:$Q$950,13,FALSE)</f>
        <v>0</v>
      </c>
      <c r="AO788" s="31">
        <f>VLOOKUP($A788,kurspris!$A$1:$Q$950,14,FALSE)</f>
        <v>0</v>
      </c>
      <c r="AP788" s="57" t="s">
        <v>2402</v>
      </c>
      <c r="AQ788"/>
      <c r="AR788" s="31">
        <f t="shared" si="367"/>
        <v>0</v>
      </c>
      <c r="AS788" s="219">
        <f t="shared" si="368"/>
        <v>0</v>
      </c>
      <c r="AT788" s="31">
        <f t="shared" si="369"/>
        <v>0.5</v>
      </c>
      <c r="AU788" s="219">
        <f t="shared" si="370"/>
        <v>0.42499999999999999</v>
      </c>
      <c r="AV788" s="31">
        <f t="shared" si="371"/>
        <v>0</v>
      </c>
      <c r="AW788" s="31">
        <f t="shared" si="372"/>
        <v>0</v>
      </c>
      <c r="AX788" s="31">
        <f t="shared" si="373"/>
        <v>0</v>
      </c>
      <c r="AY788" s="219">
        <f t="shared" si="374"/>
        <v>0</v>
      </c>
      <c r="AZ788" s="196">
        <f t="shared" si="375"/>
        <v>0</v>
      </c>
      <c r="BA788" s="219">
        <f t="shared" si="376"/>
        <v>0</v>
      </c>
      <c r="BB788" s="31">
        <f t="shared" si="377"/>
        <v>0</v>
      </c>
      <c r="BC788" s="219">
        <f t="shared" si="378"/>
        <v>0</v>
      </c>
      <c r="BD788" s="31">
        <f t="shared" si="379"/>
        <v>0</v>
      </c>
      <c r="BE788" s="219">
        <f t="shared" si="380"/>
        <v>0</v>
      </c>
      <c r="BF788" s="31">
        <f t="shared" si="381"/>
        <v>0</v>
      </c>
      <c r="BG788" s="219">
        <f t="shared" si="382"/>
        <v>0</v>
      </c>
      <c r="BH788" s="31">
        <f t="shared" si="383"/>
        <v>0</v>
      </c>
      <c r="BI788" s="219">
        <f t="shared" si="384"/>
        <v>0</v>
      </c>
      <c r="BJ788" s="31">
        <f t="shared" si="385"/>
        <v>0</v>
      </c>
      <c r="BK788" s="219">
        <f t="shared" si="386"/>
        <v>0</v>
      </c>
      <c r="BL788" s="31">
        <f t="shared" si="387"/>
        <v>0</v>
      </c>
      <c r="BM788" s="219">
        <f t="shared" si="388"/>
        <v>0</v>
      </c>
      <c r="BN788" s="31">
        <f t="shared" si="389"/>
        <v>0</v>
      </c>
      <c r="BO788" s="219">
        <f t="shared" si="390"/>
        <v>0</v>
      </c>
    </row>
    <row r="789" spans="1:67" x14ac:dyDescent="0.25">
      <c r="A789" s="31" t="s">
        <v>1986</v>
      </c>
      <c r="B789" s="176" t="str">
        <f>VLOOKUP(A789,kurspris!$A$1:$B$992,2,FALSE)</f>
        <v>Religionsvetenskap 1</v>
      </c>
      <c r="C789" s="31">
        <v>71275</v>
      </c>
      <c r="D789" s="60" t="s">
        <v>482</v>
      </c>
      <c r="E789" s="60"/>
      <c r="F789" s="57" t="s">
        <v>2274</v>
      </c>
      <c r="H789" s="31" t="s">
        <v>2335</v>
      </c>
      <c r="I789" s="31" t="s">
        <v>2399</v>
      </c>
      <c r="J789" s="31" t="s">
        <v>2231</v>
      </c>
      <c r="L789" s="38"/>
      <c r="M789">
        <v>30</v>
      </c>
      <c r="P789" s="31">
        <v>1</v>
      </c>
      <c r="Q789" s="539">
        <v>0.5</v>
      </c>
      <c r="R789" s="38">
        <v>0.85</v>
      </c>
      <c r="S789" s="280">
        <f t="shared" si="363"/>
        <v>0.42499999999999999</v>
      </c>
      <c r="T789" s="31">
        <f>VLOOKUP(A789,'Ansvar kurs'!$A$1:$C$1123,2,FALSE)</f>
        <v>1630</v>
      </c>
      <c r="U789" s="31" t="str">
        <f>VLOOKUP(T789,Orgenheter!$A$1:$C$166,2,FALSE)</f>
        <v>Inst för ide- o samhällsstudier</v>
      </c>
      <c r="V789" s="31" t="str">
        <f>VLOOKUP(T789,Orgenheter!$A$1:$C$166,3,FALSE)</f>
        <v>Hum</v>
      </c>
      <c r="W789" s="35" t="str">
        <f>VLOOKUP(D789,Program!$A$1:$B$36,2,FALSE)</f>
        <v>Ämneslärarprogrammet - Gy</v>
      </c>
      <c r="X789" s="40">
        <f>VLOOKUP(A789,kurspris!$A$1:$Q$913,15,FALSE)</f>
        <v>20766</v>
      </c>
      <c r="Y789" s="40">
        <f>VLOOKUP(A789,kurspris!$A$1:$Q$913,16,FALSE)</f>
        <v>17442</v>
      </c>
      <c r="Z789" s="40">
        <f t="shared" si="364"/>
        <v>17795.849999999999</v>
      </c>
      <c r="AA789" s="40">
        <f>VLOOKUP(A789,kurspris!$A$1:$Q$913,17,FALSE)</f>
        <v>6000</v>
      </c>
      <c r="AB789" s="40">
        <f t="shared" si="365"/>
        <v>3000</v>
      </c>
      <c r="AC789" s="40">
        <f t="shared" si="366"/>
        <v>20795.849999999999</v>
      </c>
      <c r="AD789" s="31">
        <f>VLOOKUP($A789,kurspris!$A$1:$Q$950,3,FALSE)</f>
        <v>0</v>
      </c>
      <c r="AE789" s="31">
        <f>VLOOKUP($A789,kurspris!$A$1:$Q$950,4,FALSE)</f>
        <v>1</v>
      </c>
      <c r="AF789" s="31">
        <f>VLOOKUP($A789,kurspris!$A$1:$Q$950,5,FALSE)</f>
        <v>0</v>
      </c>
      <c r="AG789" s="31">
        <f>VLOOKUP($A789,kurspris!$A$1:$Q$950,6,FALSE)</f>
        <v>0</v>
      </c>
      <c r="AH789" s="31">
        <f>VLOOKUP($A789,kurspris!$A$1:$Q$950,7,FALSE)</f>
        <v>0</v>
      </c>
      <c r="AI789" s="31">
        <f>VLOOKUP($A789,kurspris!$A$1:$Q$950,8,FALSE)</f>
        <v>0</v>
      </c>
      <c r="AJ789" s="31">
        <f>VLOOKUP($A789,kurspris!$A$1:$Q$950,9,FALSE)</f>
        <v>0</v>
      </c>
      <c r="AK789" s="31">
        <f>VLOOKUP($A789,kurspris!$A$1:$Q$950,10,FALSE)</f>
        <v>0</v>
      </c>
      <c r="AL789" s="31">
        <f>VLOOKUP($A789,kurspris!$A$1:$Q$950,11,FALSE)</f>
        <v>0</v>
      </c>
      <c r="AM789" s="31">
        <f>VLOOKUP($A789,kurspris!$A$1:$Q$950,12,FALSE)</f>
        <v>0</v>
      </c>
      <c r="AN789" s="31">
        <f>VLOOKUP($A789,kurspris!$A$1:$Q$950,13,FALSE)</f>
        <v>0</v>
      </c>
      <c r="AO789" s="31">
        <f>VLOOKUP($A789,kurspris!$A$1:$Q$950,14,FALSE)</f>
        <v>0</v>
      </c>
      <c r="AP789" s="57" t="s">
        <v>2402</v>
      </c>
      <c r="AQ789"/>
      <c r="AR789" s="31">
        <f t="shared" si="367"/>
        <v>0</v>
      </c>
      <c r="AS789" s="219">
        <f t="shared" si="368"/>
        <v>0</v>
      </c>
      <c r="AT789" s="31">
        <f t="shared" si="369"/>
        <v>0.5</v>
      </c>
      <c r="AU789" s="219">
        <f t="shared" si="370"/>
        <v>0.42499999999999999</v>
      </c>
      <c r="AV789" s="31">
        <f t="shared" si="371"/>
        <v>0</v>
      </c>
      <c r="AW789" s="31">
        <f t="shared" si="372"/>
        <v>0</v>
      </c>
      <c r="AX789" s="31">
        <f t="shared" si="373"/>
        <v>0</v>
      </c>
      <c r="AY789" s="219">
        <f t="shared" si="374"/>
        <v>0</v>
      </c>
      <c r="AZ789" s="196">
        <f t="shared" si="375"/>
        <v>0</v>
      </c>
      <c r="BA789" s="219">
        <f t="shared" si="376"/>
        <v>0</v>
      </c>
      <c r="BB789" s="31">
        <f t="shared" si="377"/>
        <v>0</v>
      </c>
      <c r="BC789" s="219">
        <f t="shared" si="378"/>
        <v>0</v>
      </c>
      <c r="BD789" s="31">
        <f t="shared" si="379"/>
        <v>0</v>
      </c>
      <c r="BE789" s="219">
        <f t="shared" si="380"/>
        <v>0</v>
      </c>
      <c r="BF789" s="31">
        <f t="shared" si="381"/>
        <v>0</v>
      </c>
      <c r="BG789" s="219">
        <f t="shared" si="382"/>
        <v>0</v>
      </c>
      <c r="BH789" s="31">
        <f t="shared" si="383"/>
        <v>0</v>
      </c>
      <c r="BI789" s="219">
        <f t="shared" si="384"/>
        <v>0</v>
      </c>
      <c r="BJ789" s="31">
        <f t="shared" si="385"/>
        <v>0</v>
      </c>
      <c r="BK789" s="219">
        <f t="shared" si="386"/>
        <v>0</v>
      </c>
      <c r="BL789" s="31">
        <f t="shared" si="387"/>
        <v>0</v>
      </c>
      <c r="BM789" s="219">
        <f t="shared" si="388"/>
        <v>0</v>
      </c>
      <c r="BN789" s="31">
        <f t="shared" si="389"/>
        <v>0</v>
      </c>
      <c r="BO789" s="219">
        <f t="shared" si="390"/>
        <v>0</v>
      </c>
    </row>
    <row r="790" spans="1:67" x14ac:dyDescent="0.25">
      <c r="A790" s="31" t="s">
        <v>1986</v>
      </c>
      <c r="B790" s="176" t="str">
        <f>VLOOKUP(A790,kurspris!$A$1:$B$992,2,FALSE)</f>
        <v>Religionsvetenskap 1</v>
      </c>
      <c r="C790" s="31">
        <v>71275</v>
      </c>
      <c r="D790" s="60" t="s">
        <v>482</v>
      </c>
      <c r="E790" s="60"/>
      <c r="F790" s="57" t="s">
        <v>2274</v>
      </c>
      <c r="H790" s="31" t="s">
        <v>2335</v>
      </c>
      <c r="I790" s="31" t="s">
        <v>2399</v>
      </c>
      <c r="J790" s="31" t="s">
        <v>2241</v>
      </c>
      <c r="L790" s="38"/>
      <c r="M790">
        <v>30</v>
      </c>
      <c r="P790" s="31">
        <v>4</v>
      </c>
      <c r="Q790" s="539">
        <v>2</v>
      </c>
      <c r="R790" s="38">
        <v>0.85</v>
      </c>
      <c r="S790" s="280">
        <f t="shared" si="363"/>
        <v>1.7</v>
      </c>
      <c r="T790" s="31">
        <f>VLOOKUP(A790,'Ansvar kurs'!$A$1:$C$1123,2,FALSE)</f>
        <v>1630</v>
      </c>
      <c r="U790" s="31" t="str">
        <f>VLOOKUP(T790,Orgenheter!$A$1:$C$166,2,FALSE)</f>
        <v>Inst för ide- o samhällsstudier</v>
      </c>
      <c r="V790" s="31" t="str">
        <f>VLOOKUP(T790,Orgenheter!$A$1:$C$166,3,FALSE)</f>
        <v>Hum</v>
      </c>
      <c r="W790" s="35" t="str">
        <f>VLOOKUP(D790,Program!$A$1:$B$36,2,FALSE)</f>
        <v>Ämneslärarprogrammet - Gy</v>
      </c>
      <c r="X790" s="40">
        <f>VLOOKUP(A790,kurspris!$A$1:$Q$913,15,FALSE)</f>
        <v>20766</v>
      </c>
      <c r="Y790" s="40">
        <f>VLOOKUP(A790,kurspris!$A$1:$Q$913,16,FALSE)</f>
        <v>17442</v>
      </c>
      <c r="Z790" s="40">
        <f t="shared" si="364"/>
        <v>71183.399999999994</v>
      </c>
      <c r="AA790" s="40">
        <f>VLOOKUP(A790,kurspris!$A$1:$Q$913,17,FALSE)</f>
        <v>6000</v>
      </c>
      <c r="AB790" s="40">
        <f t="shared" si="365"/>
        <v>12000</v>
      </c>
      <c r="AC790" s="40">
        <f t="shared" si="366"/>
        <v>83183.399999999994</v>
      </c>
      <c r="AD790" s="31">
        <f>VLOOKUP($A790,kurspris!$A$1:$Q$950,3,FALSE)</f>
        <v>0</v>
      </c>
      <c r="AE790" s="31">
        <f>VLOOKUP($A790,kurspris!$A$1:$Q$950,4,FALSE)</f>
        <v>1</v>
      </c>
      <c r="AF790" s="31">
        <f>VLOOKUP($A790,kurspris!$A$1:$Q$950,5,FALSE)</f>
        <v>0</v>
      </c>
      <c r="AG790" s="31">
        <f>VLOOKUP($A790,kurspris!$A$1:$Q$950,6,FALSE)</f>
        <v>0</v>
      </c>
      <c r="AH790" s="31">
        <f>VLOOKUP($A790,kurspris!$A$1:$Q$950,7,FALSE)</f>
        <v>0</v>
      </c>
      <c r="AI790" s="31">
        <f>VLOOKUP($A790,kurspris!$A$1:$Q$950,8,FALSE)</f>
        <v>0</v>
      </c>
      <c r="AJ790" s="31">
        <f>VLOOKUP($A790,kurspris!$A$1:$Q$950,9,FALSE)</f>
        <v>0</v>
      </c>
      <c r="AK790" s="31">
        <f>VLOOKUP($A790,kurspris!$A$1:$Q$950,10,FALSE)</f>
        <v>0</v>
      </c>
      <c r="AL790" s="31">
        <f>VLOOKUP($A790,kurspris!$A$1:$Q$950,11,FALSE)</f>
        <v>0</v>
      </c>
      <c r="AM790" s="31">
        <f>VLOOKUP($A790,kurspris!$A$1:$Q$950,12,FALSE)</f>
        <v>0</v>
      </c>
      <c r="AN790" s="31">
        <f>VLOOKUP($A790,kurspris!$A$1:$Q$950,13,FALSE)</f>
        <v>0</v>
      </c>
      <c r="AO790" s="31">
        <f>VLOOKUP($A790,kurspris!$A$1:$Q$950,14,FALSE)</f>
        <v>0</v>
      </c>
      <c r="AP790" s="57" t="s">
        <v>2402</v>
      </c>
      <c r="AQ790"/>
      <c r="AR790" s="31">
        <f t="shared" si="367"/>
        <v>0</v>
      </c>
      <c r="AS790" s="219">
        <f t="shared" si="368"/>
        <v>0</v>
      </c>
      <c r="AT790" s="31">
        <f t="shared" si="369"/>
        <v>2</v>
      </c>
      <c r="AU790" s="219">
        <f t="shared" si="370"/>
        <v>1.7</v>
      </c>
      <c r="AV790" s="31">
        <f t="shared" si="371"/>
        <v>0</v>
      </c>
      <c r="AW790" s="31">
        <f t="shared" si="372"/>
        <v>0</v>
      </c>
      <c r="AX790" s="31">
        <f t="shared" si="373"/>
        <v>0</v>
      </c>
      <c r="AY790" s="219">
        <f t="shared" si="374"/>
        <v>0</v>
      </c>
      <c r="AZ790" s="196">
        <f t="shared" si="375"/>
        <v>0</v>
      </c>
      <c r="BA790" s="219">
        <f t="shared" si="376"/>
        <v>0</v>
      </c>
      <c r="BB790" s="31">
        <f t="shared" si="377"/>
        <v>0</v>
      </c>
      <c r="BC790" s="219">
        <f t="shared" si="378"/>
        <v>0</v>
      </c>
      <c r="BD790" s="31">
        <f t="shared" si="379"/>
        <v>0</v>
      </c>
      <c r="BE790" s="219">
        <f t="shared" si="380"/>
        <v>0</v>
      </c>
      <c r="BF790" s="31">
        <f t="shared" si="381"/>
        <v>0</v>
      </c>
      <c r="BG790" s="219">
        <f t="shared" si="382"/>
        <v>0</v>
      </c>
      <c r="BH790" s="31">
        <f t="shared" si="383"/>
        <v>0</v>
      </c>
      <c r="BI790" s="219">
        <f t="shared" si="384"/>
        <v>0</v>
      </c>
      <c r="BJ790" s="31">
        <f t="shared" si="385"/>
        <v>0</v>
      </c>
      <c r="BK790" s="219">
        <f t="shared" si="386"/>
        <v>0</v>
      </c>
      <c r="BL790" s="31">
        <f t="shared" si="387"/>
        <v>0</v>
      </c>
      <c r="BM790" s="219">
        <f t="shared" si="388"/>
        <v>0</v>
      </c>
      <c r="BN790" s="31">
        <f t="shared" si="389"/>
        <v>0</v>
      </c>
      <c r="BO790" s="219">
        <f t="shared" si="390"/>
        <v>0</v>
      </c>
    </row>
    <row r="791" spans="1:67" x14ac:dyDescent="0.25">
      <c r="A791" s="157" t="s">
        <v>1986</v>
      </c>
      <c r="B791" s="176" t="str">
        <f>VLOOKUP(A791,kurspris!$A$1:$B$992,2,FALSE)</f>
        <v>Religionsvetenskap 1</v>
      </c>
      <c r="C791" s="31">
        <v>71275</v>
      </c>
      <c r="D791" s="31" t="s">
        <v>482</v>
      </c>
      <c r="E791" s="60"/>
      <c r="F791" s="57" t="s">
        <v>2274</v>
      </c>
      <c r="H791" s="31" t="s">
        <v>2335</v>
      </c>
      <c r="I791" s="60" t="s">
        <v>2399</v>
      </c>
      <c r="J791" s="31" t="s">
        <v>2232</v>
      </c>
      <c r="L791" s="38"/>
      <c r="M791">
        <v>30</v>
      </c>
      <c r="P791" s="31">
        <v>1</v>
      </c>
      <c r="Q791" s="539">
        <v>0.5</v>
      </c>
      <c r="R791" s="38">
        <v>0.85</v>
      </c>
      <c r="S791" s="280">
        <f t="shared" si="363"/>
        <v>0.42499999999999999</v>
      </c>
      <c r="T791" s="31">
        <f>VLOOKUP(A791,'Ansvar kurs'!$A$1:$C$1123,2,FALSE)</f>
        <v>1630</v>
      </c>
      <c r="U791" s="31" t="str">
        <f>VLOOKUP(T791,Orgenheter!$A$1:$C$166,2,FALSE)</f>
        <v>Inst för ide- o samhällsstudier</v>
      </c>
      <c r="V791" s="31" t="str">
        <f>VLOOKUP(T791,Orgenheter!$A$1:$C$166,3,FALSE)</f>
        <v>Hum</v>
      </c>
      <c r="W791" s="35" t="str">
        <f>VLOOKUP(D791,Program!$A$1:$B$36,2,FALSE)</f>
        <v>Ämneslärarprogrammet - Gy</v>
      </c>
      <c r="X791" s="40">
        <f>VLOOKUP(A791,kurspris!$A$1:$Q$913,15,FALSE)</f>
        <v>20766</v>
      </c>
      <c r="Y791" s="40">
        <f>VLOOKUP(A791,kurspris!$A$1:$Q$913,16,FALSE)</f>
        <v>17442</v>
      </c>
      <c r="Z791" s="40">
        <f t="shared" si="364"/>
        <v>17795.849999999999</v>
      </c>
      <c r="AA791" s="40">
        <f>VLOOKUP(A791,kurspris!$A$1:$Q$913,17,FALSE)</f>
        <v>6000</v>
      </c>
      <c r="AB791" s="40">
        <f t="shared" si="365"/>
        <v>3000</v>
      </c>
      <c r="AC791" s="40">
        <f t="shared" si="366"/>
        <v>20795.849999999999</v>
      </c>
      <c r="AD791" s="31">
        <f>VLOOKUP($A791,kurspris!$A$1:$Q$950,3,FALSE)</f>
        <v>0</v>
      </c>
      <c r="AE791" s="31">
        <f>VLOOKUP($A791,kurspris!$A$1:$Q$950,4,FALSE)</f>
        <v>1</v>
      </c>
      <c r="AF791" s="31">
        <f>VLOOKUP($A791,kurspris!$A$1:$Q$950,5,FALSE)</f>
        <v>0</v>
      </c>
      <c r="AG791" s="31">
        <f>VLOOKUP($A791,kurspris!$A$1:$Q$950,6,FALSE)</f>
        <v>0</v>
      </c>
      <c r="AH791" s="31">
        <f>VLOOKUP($A791,kurspris!$A$1:$Q$950,7,FALSE)</f>
        <v>0</v>
      </c>
      <c r="AI791" s="31">
        <f>VLOOKUP($A791,kurspris!$A$1:$Q$950,8,FALSE)</f>
        <v>0</v>
      </c>
      <c r="AJ791" s="31">
        <f>VLOOKUP($A791,kurspris!$A$1:$Q$950,9,FALSE)</f>
        <v>0</v>
      </c>
      <c r="AK791" s="31">
        <f>VLOOKUP($A791,kurspris!$A$1:$Q$950,10,FALSE)</f>
        <v>0</v>
      </c>
      <c r="AL791" s="31">
        <f>VLOOKUP($A791,kurspris!$A$1:$Q$950,11,FALSE)</f>
        <v>0</v>
      </c>
      <c r="AM791" s="31">
        <f>VLOOKUP($A791,kurspris!$A$1:$Q$950,12,FALSE)</f>
        <v>0</v>
      </c>
      <c r="AN791" s="31">
        <f>VLOOKUP($A791,kurspris!$A$1:$Q$950,13,FALSE)</f>
        <v>0</v>
      </c>
      <c r="AO791" s="31">
        <f>VLOOKUP($A791,kurspris!$A$1:$Q$950,14,FALSE)</f>
        <v>0</v>
      </c>
      <c r="AP791" s="57" t="s">
        <v>2402</v>
      </c>
      <c r="AQ791"/>
      <c r="AR791" s="31">
        <f t="shared" si="367"/>
        <v>0</v>
      </c>
      <c r="AS791" s="219">
        <f t="shared" si="368"/>
        <v>0</v>
      </c>
      <c r="AT791" s="31">
        <f t="shared" si="369"/>
        <v>0.5</v>
      </c>
      <c r="AU791" s="219">
        <f t="shared" si="370"/>
        <v>0.42499999999999999</v>
      </c>
      <c r="AV791" s="31">
        <f t="shared" si="371"/>
        <v>0</v>
      </c>
      <c r="AW791" s="31">
        <f t="shared" si="372"/>
        <v>0</v>
      </c>
      <c r="AX791" s="31">
        <f t="shared" si="373"/>
        <v>0</v>
      </c>
      <c r="AY791" s="219">
        <f t="shared" si="374"/>
        <v>0</v>
      </c>
      <c r="AZ791" s="196">
        <f t="shared" si="375"/>
        <v>0</v>
      </c>
      <c r="BA791" s="219">
        <f t="shared" si="376"/>
        <v>0</v>
      </c>
      <c r="BB791" s="31">
        <f t="shared" si="377"/>
        <v>0</v>
      </c>
      <c r="BC791" s="219">
        <f t="shared" si="378"/>
        <v>0</v>
      </c>
      <c r="BD791" s="31">
        <f t="shared" si="379"/>
        <v>0</v>
      </c>
      <c r="BE791" s="219">
        <f t="shared" si="380"/>
        <v>0</v>
      </c>
      <c r="BF791" s="31">
        <f t="shared" si="381"/>
        <v>0</v>
      </c>
      <c r="BG791" s="219">
        <f t="shared" si="382"/>
        <v>0</v>
      </c>
      <c r="BH791" s="31">
        <f t="shared" si="383"/>
        <v>0</v>
      </c>
      <c r="BI791" s="219">
        <f t="shared" si="384"/>
        <v>0</v>
      </c>
      <c r="BJ791" s="31">
        <f t="shared" si="385"/>
        <v>0</v>
      </c>
      <c r="BK791" s="219">
        <f t="shared" si="386"/>
        <v>0</v>
      </c>
      <c r="BL791" s="31">
        <f t="shared" si="387"/>
        <v>0</v>
      </c>
      <c r="BM791" s="219">
        <f t="shared" si="388"/>
        <v>0</v>
      </c>
      <c r="BN791" s="31">
        <f t="shared" si="389"/>
        <v>0</v>
      </c>
      <c r="BO791" s="219">
        <f t="shared" si="390"/>
        <v>0</v>
      </c>
    </row>
    <row r="792" spans="1:67" x14ac:dyDescent="0.25">
      <c r="A792" s="157" t="s">
        <v>1986</v>
      </c>
      <c r="B792" s="176" t="str">
        <f>VLOOKUP(A792,kurspris!$A$1:$B$992,2,FALSE)</f>
        <v>Religionsvetenskap 1</v>
      </c>
      <c r="C792" s="31">
        <v>71275</v>
      </c>
      <c r="D792" s="31" t="s">
        <v>482</v>
      </c>
      <c r="E792" s="60"/>
      <c r="F792" s="57" t="s">
        <v>2274</v>
      </c>
      <c r="H792" s="31" t="s">
        <v>2335</v>
      </c>
      <c r="I792" s="31" t="s">
        <v>2399</v>
      </c>
      <c r="J792" s="31" t="s">
        <v>2233</v>
      </c>
      <c r="L792" s="38"/>
      <c r="M792">
        <v>30</v>
      </c>
      <c r="P792" s="31">
        <v>1</v>
      </c>
      <c r="Q792" s="539">
        <v>0.5</v>
      </c>
      <c r="R792" s="38">
        <v>0.85</v>
      </c>
      <c r="S792" s="280">
        <f t="shared" si="363"/>
        <v>0.42499999999999999</v>
      </c>
      <c r="T792" s="31">
        <f>VLOOKUP(A792,'Ansvar kurs'!$A$1:$C$1123,2,FALSE)</f>
        <v>1630</v>
      </c>
      <c r="U792" s="31" t="str">
        <f>VLOOKUP(T792,Orgenheter!$A$1:$C$166,2,FALSE)</f>
        <v>Inst för ide- o samhällsstudier</v>
      </c>
      <c r="V792" s="31" t="str">
        <f>VLOOKUP(T792,Orgenheter!$A$1:$C$166,3,FALSE)</f>
        <v>Hum</v>
      </c>
      <c r="W792" s="35" t="str">
        <f>VLOOKUP(D792,Program!$A$1:$B$36,2,FALSE)</f>
        <v>Ämneslärarprogrammet - Gy</v>
      </c>
      <c r="X792" s="40">
        <f>VLOOKUP(A792,kurspris!$A$1:$Q$913,15,FALSE)</f>
        <v>20766</v>
      </c>
      <c r="Y792" s="40">
        <f>VLOOKUP(A792,kurspris!$A$1:$Q$913,16,FALSE)</f>
        <v>17442</v>
      </c>
      <c r="Z792" s="40">
        <f t="shared" si="364"/>
        <v>17795.849999999999</v>
      </c>
      <c r="AA792" s="40">
        <f>VLOOKUP(A792,kurspris!$A$1:$Q$913,17,FALSE)</f>
        <v>6000</v>
      </c>
      <c r="AB792" s="40">
        <f t="shared" si="365"/>
        <v>3000</v>
      </c>
      <c r="AC792" s="40">
        <f t="shared" si="366"/>
        <v>20795.849999999999</v>
      </c>
      <c r="AD792" s="31">
        <f>VLOOKUP($A792,kurspris!$A$1:$Q$950,3,FALSE)</f>
        <v>0</v>
      </c>
      <c r="AE792" s="31">
        <f>VLOOKUP($A792,kurspris!$A$1:$Q$950,4,FALSE)</f>
        <v>1</v>
      </c>
      <c r="AF792" s="31">
        <f>VLOOKUP($A792,kurspris!$A$1:$Q$950,5,FALSE)</f>
        <v>0</v>
      </c>
      <c r="AG792" s="31">
        <f>VLOOKUP($A792,kurspris!$A$1:$Q$950,6,FALSE)</f>
        <v>0</v>
      </c>
      <c r="AH792" s="31">
        <f>VLOOKUP($A792,kurspris!$A$1:$Q$950,7,FALSE)</f>
        <v>0</v>
      </c>
      <c r="AI792" s="31">
        <f>VLOOKUP($A792,kurspris!$A$1:$Q$950,8,FALSE)</f>
        <v>0</v>
      </c>
      <c r="AJ792" s="31">
        <f>VLOOKUP($A792,kurspris!$A$1:$Q$950,9,FALSE)</f>
        <v>0</v>
      </c>
      <c r="AK792" s="31">
        <f>VLOOKUP($A792,kurspris!$A$1:$Q$950,10,FALSE)</f>
        <v>0</v>
      </c>
      <c r="AL792" s="31">
        <f>VLOOKUP($A792,kurspris!$A$1:$Q$950,11,FALSE)</f>
        <v>0</v>
      </c>
      <c r="AM792" s="31">
        <f>VLOOKUP($A792,kurspris!$A$1:$Q$950,12,FALSE)</f>
        <v>0</v>
      </c>
      <c r="AN792" s="31">
        <f>VLOOKUP($A792,kurspris!$A$1:$Q$950,13,FALSE)</f>
        <v>0</v>
      </c>
      <c r="AO792" s="31">
        <f>VLOOKUP($A792,kurspris!$A$1:$Q$950,14,FALSE)</f>
        <v>0</v>
      </c>
      <c r="AP792" s="57" t="s">
        <v>2402</v>
      </c>
      <c r="AQ792" s="37"/>
      <c r="AR792" s="31">
        <f t="shared" si="367"/>
        <v>0</v>
      </c>
      <c r="AS792" s="219">
        <f t="shared" si="368"/>
        <v>0</v>
      </c>
      <c r="AT792" s="31">
        <f t="shared" si="369"/>
        <v>0.5</v>
      </c>
      <c r="AU792" s="219">
        <f t="shared" si="370"/>
        <v>0.42499999999999999</v>
      </c>
      <c r="AV792" s="31">
        <f t="shared" si="371"/>
        <v>0</v>
      </c>
      <c r="AW792" s="31">
        <f t="shared" si="372"/>
        <v>0</v>
      </c>
      <c r="AX792" s="31">
        <f t="shared" si="373"/>
        <v>0</v>
      </c>
      <c r="AY792" s="219">
        <f t="shared" si="374"/>
        <v>0</v>
      </c>
      <c r="AZ792" s="196">
        <f t="shared" si="375"/>
        <v>0</v>
      </c>
      <c r="BA792" s="219">
        <f t="shared" si="376"/>
        <v>0</v>
      </c>
      <c r="BB792" s="31">
        <f t="shared" si="377"/>
        <v>0</v>
      </c>
      <c r="BC792" s="219">
        <f t="shared" si="378"/>
        <v>0</v>
      </c>
      <c r="BD792" s="31">
        <f t="shared" si="379"/>
        <v>0</v>
      </c>
      <c r="BE792" s="219">
        <f t="shared" si="380"/>
        <v>0</v>
      </c>
      <c r="BF792" s="31">
        <f t="shared" si="381"/>
        <v>0</v>
      </c>
      <c r="BG792" s="219">
        <f t="shared" si="382"/>
        <v>0</v>
      </c>
      <c r="BH792" s="31">
        <f t="shared" si="383"/>
        <v>0</v>
      </c>
      <c r="BI792" s="219">
        <f t="shared" si="384"/>
        <v>0</v>
      </c>
      <c r="BJ792" s="31">
        <f t="shared" si="385"/>
        <v>0</v>
      </c>
      <c r="BK792" s="219">
        <f t="shared" si="386"/>
        <v>0</v>
      </c>
      <c r="BL792" s="31">
        <f t="shared" si="387"/>
        <v>0</v>
      </c>
      <c r="BM792" s="219">
        <f t="shared" si="388"/>
        <v>0</v>
      </c>
      <c r="BN792" s="31">
        <f t="shared" si="389"/>
        <v>0</v>
      </c>
      <c r="BO792" s="219">
        <f t="shared" si="390"/>
        <v>0</v>
      </c>
    </row>
    <row r="793" spans="1:67" x14ac:dyDescent="0.25">
      <c r="A793" s="157" t="s">
        <v>1986</v>
      </c>
      <c r="B793" s="176" t="str">
        <f>VLOOKUP(A793,kurspris!$A$1:$B$992,2,FALSE)</f>
        <v>Religionsvetenskap 1</v>
      </c>
      <c r="C793" s="31">
        <v>71275</v>
      </c>
      <c r="D793" s="31" t="s">
        <v>482</v>
      </c>
      <c r="F793" s="57" t="s">
        <v>2274</v>
      </c>
      <c r="H793" s="31" t="s">
        <v>2335</v>
      </c>
      <c r="I793" s="31" t="s">
        <v>2399</v>
      </c>
      <c r="J793" s="31" t="s">
        <v>2239</v>
      </c>
      <c r="L793" s="38"/>
      <c r="M793">
        <v>30</v>
      </c>
      <c r="P793" s="31">
        <v>6</v>
      </c>
      <c r="Q793" s="539">
        <v>3</v>
      </c>
      <c r="R793" s="38">
        <v>0.85</v>
      </c>
      <c r="S793" s="280">
        <f t="shared" si="363"/>
        <v>2.5499999999999998</v>
      </c>
      <c r="T793" s="31">
        <f>VLOOKUP(A793,'Ansvar kurs'!$A$1:$C$1123,2,FALSE)</f>
        <v>1630</v>
      </c>
      <c r="U793" s="31" t="str">
        <f>VLOOKUP(T793,Orgenheter!$A$1:$C$166,2,FALSE)</f>
        <v>Inst för ide- o samhällsstudier</v>
      </c>
      <c r="V793" s="31" t="str">
        <f>VLOOKUP(T793,Orgenheter!$A$1:$C$166,3,FALSE)</f>
        <v>Hum</v>
      </c>
      <c r="W793" s="35" t="str">
        <f>VLOOKUP(D793,Program!$A$1:$B$36,2,FALSE)</f>
        <v>Ämneslärarprogrammet - Gy</v>
      </c>
      <c r="X793" s="40">
        <f>VLOOKUP(A793,kurspris!$A$1:$Q$913,15,FALSE)</f>
        <v>20766</v>
      </c>
      <c r="Y793" s="40">
        <f>VLOOKUP(A793,kurspris!$A$1:$Q$913,16,FALSE)</f>
        <v>17442</v>
      </c>
      <c r="Z793" s="40">
        <f t="shared" si="364"/>
        <v>106775.1</v>
      </c>
      <c r="AA793" s="40">
        <f>VLOOKUP(A793,kurspris!$A$1:$Q$913,17,FALSE)</f>
        <v>6000</v>
      </c>
      <c r="AB793" s="40">
        <f t="shared" si="365"/>
        <v>18000</v>
      </c>
      <c r="AC793" s="40">
        <f t="shared" si="366"/>
        <v>124775.1</v>
      </c>
      <c r="AD793" s="31">
        <f>VLOOKUP($A793,kurspris!$A$1:$Q$950,3,FALSE)</f>
        <v>0</v>
      </c>
      <c r="AE793" s="31">
        <f>VLOOKUP($A793,kurspris!$A$1:$Q$950,4,FALSE)</f>
        <v>1</v>
      </c>
      <c r="AF793" s="31">
        <f>VLOOKUP($A793,kurspris!$A$1:$Q$950,5,FALSE)</f>
        <v>0</v>
      </c>
      <c r="AG793" s="31">
        <f>VLOOKUP($A793,kurspris!$A$1:$Q$950,6,FALSE)</f>
        <v>0</v>
      </c>
      <c r="AH793" s="31">
        <f>VLOOKUP($A793,kurspris!$A$1:$Q$950,7,FALSE)</f>
        <v>0</v>
      </c>
      <c r="AI793" s="31">
        <f>VLOOKUP($A793,kurspris!$A$1:$Q$950,8,FALSE)</f>
        <v>0</v>
      </c>
      <c r="AJ793" s="31">
        <f>VLOOKUP($A793,kurspris!$A$1:$Q$950,9,FALSE)</f>
        <v>0</v>
      </c>
      <c r="AK793" s="31">
        <f>VLOOKUP($A793,kurspris!$A$1:$Q$950,10,FALSE)</f>
        <v>0</v>
      </c>
      <c r="AL793" s="31">
        <f>VLOOKUP($A793,kurspris!$A$1:$Q$950,11,FALSE)</f>
        <v>0</v>
      </c>
      <c r="AM793" s="31">
        <f>VLOOKUP($A793,kurspris!$A$1:$Q$950,12,FALSE)</f>
        <v>0</v>
      </c>
      <c r="AN793" s="31">
        <f>VLOOKUP($A793,kurspris!$A$1:$Q$950,13,FALSE)</f>
        <v>0</v>
      </c>
      <c r="AO793" s="31">
        <f>VLOOKUP($A793,kurspris!$A$1:$Q$950,14,FALSE)</f>
        <v>0</v>
      </c>
      <c r="AP793" s="57" t="s">
        <v>2402</v>
      </c>
      <c r="AQ793" s="37"/>
      <c r="AR793" s="31">
        <f t="shared" si="367"/>
        <v>0</v>
      </c>
      <c r="AS793" s="219">
        <f t="shared" si="368"/>
        <v>0</v>
      </c>
      <c r="AT793" s="31">
        <f t="shared" si="369"/>
        <v>3</v>
      </c>
      <c r="AU793" s="219">
        <f t="shared" si="370"/>
        <v>2.5499999999999998</v>
      </c>
      <c r="AV793" s="31">
        <f t="shared" si="371"/>
        <v>0</v>
      </c>
      <c r="AW793" s="31">
        <f t="shared" si="372"/>
        <v>0</v>
      </c>
      <c r="AX793" s="31">
        <f t="shared" si="373"/>
        <v>0</v>
      </c>
      <c r="AY793" s="219">
        <f t="shared" si="374"/>
        <v>0</v>
      </c>
      <c r="AZ793" s="196">
        <f t="shared" si="375"/>
        <v>0</v>
      </c>
      <c r="BA793" s="219">
        <f t="shared" si="376"/>
        <v>0</v>
      </c>
      <c r="BB793" s="31">
        <f t="shared" si="377"/>
        <v>0</v>
      </c>
      <c r="BC793" s="219">
        <f t="shared" si="378"/>
        <v>0</v>
      </c>
      <c r="BD793" s="31">
        <f t="shared" si="379"/>
        <v>0</v>
      </c>
      <c r="BE793" s="219">
        <f t="shared" si="380"/>
        <v>0</v>
      </c>
      <c r="BF793" s="31">
        <f t="shared" si="381"/>
        <v>0</v>
      </c>
      <c r="BG793" s="219">
        <f t="shared" si="382"/>
        <v>0</v>
      </c>
      <c r="BH793" s="31">
        <f t="shared" si="383"/>
        <v>0</v>
      </c>
      <c r="BI793" s="219">
        <f t="shared" si="384"/>
        <v>0</v>
      </c>
      <c r="BJ793" s="31">
        <f t="shared" si="385"/>
        <v>0</v>
      </c>
      <c r="BK793" s="219">
        <f t="shared" si="386"/>
        <v>0</v>
      </c>
      <c r="BL793" s="31">
        <f t="shared" si="387"/>
        <v>0</v>
      </c>
      <c r="BM793" s="219">
        <f t="shared" si="388"/>
        <v>0</v>
      </c>
      <c r="BN793" s="31">
        <f t="shared" si="389"/>
        <v>0</v>
      </c>
      <c r="BO793" s="219">
        <f t="shared" si="390"/>
        <v>0</v>
      </c>
    </row>
    <row r="794" spans="1:67" x14ac:dyDescent="0.25">
      <c r="A794" s="31" t="s">
        <v>1986</v>
      </c>
      <c r="B794" s="176" t="str">
        <f>VLOOKUP(A794,kurspris!$A$1:$B$992,2,FALSE)</f>
        <v>Religionsvetenskap 1</v>
      </c>
      <c r="C794" s="31">
        <v>71275</v>
      </c>
      <c r="D794" s="60" t="s">
        <v>482</v>
      </c>
      <c r="E794" s="60"/>
      <c r="F794" s="57" t="s">
        <v>2274</v>
      </c>
      <c r="H794" s="31" t="s">
        <v>2335</v>
      </c>
      <c r="I794" s="31" t="s">
        <v>2399</v>
      </c>
      <c r="J794" s="31" t="s">
        <v>2240</v>
      </c>
      <c r="L794" s="38"/>
      <c r="M794">
        <v>30</v>
      </c>
      <c r="P794" s="31">
        <v>1</v>
      </c>
      <c r="Q794" s="539">
        <v>0.5</v>
      </c>
      <c r="R794" s="38">
        <v>0.85</v>
      </c>
      <c r="S794" s="280">
        <f t="shared" si="363"/>
        <v>0.42499999999999999</v>
      </c>
      <c r="T794" s="31">
        <f>VLOOKUP(A794,'Ansvar kurs'!$A$1:$C$1123,2,FALSE)</f>
        <v>1630</v>
      </c>
      <c r="U794" s="31" t="str">
        <f>VLOOKUP(T794,Orgenheter!$A$1:$C$166,2,FALSE)</f>
        <v>Inst för ide- o samhällsstudier</v>
      </c>
      <c r="V794" s="31" t="str">
        <f>VLOOKUP(T794,Orgenheter!$A$1:$C$166,3,FALSE)</f>
        <v>Hum</v>
      </c>
      <c r="W794" s="35" t="str">
        <f>VLOOKUP(D794,Program!$A$1:$B$36,2,FALSE)</f>
        <v>Ämneslärarprogrammet - Gy</v>
      </c>
      <c r="X794" s="40">
        <f>VLOOKUP(A794,kurspris!$A$1:$Q$913,15,FALSE)</f>
        <v>20766</v>
      </c>
      <c r="Y794" s="40">
        <f>VLOOKUP(A794,kurspris!$A$1:$Q$913,16,FALSE)</f>
        <v>17442</v>
      </c>
      <c r="Z794" s="40">
        <f t="shared" si="364"/>
        <v>17795.849999999999</v>
      </c>
      <c r="AA794" s="40">
        <f>VLOOKUP(A794,kurspris!$A$1:$Q$913,17,FALSE)</f>
        <v>6000</v>
      </c>
      <c r="AB794" s="40">
        <f t="shared" si="365"/>
        <v>3000</v>
      </c>
      <c r="AC794" s="40">
        <f t="shared" si="366"/>
        <v>20795.849999999999</v>
      </c>
      <c r="AD794" s="31">
        <f>VLOOKUP($A794,kurspris!$A$1:$Q$950,3,FALSE)</f>
        <v>0</v>
      </c>
      <c r="AE794" s="31">
        <f>VLOOKUP($A794,kurspris!$A$1:$Q$950,4,FALSE)</f>
        <v>1</v>
      </c>
      <c r="AF794" s="31">
        <f>VLOOKUP($A794,kurspris!$A$1:$Q$950,5,FALSE)</f>
        <v>0</v>
      </c>
      <c r="AG794" s="31">
        <f>VLOOKUP($A794,kurspris!$A$1:$Q$950,6,FALSE)</f>
        <v>0</v>
      </c>
      <c r="AH794" s="31">
        <f>VLOOKUP($A794,kurspris!$A$1:$Q$950,7,FALSE)</f>
        <v>0</v>
      </c>
      <c r="AI794" s="31">
        <f>VLOOKUP($A794,kurspris!$A$1:$Q$950,8,FALSE)</f>
        <v>0</v>
      </c>
      <c r="AJ794" s="31">
        <f>VLOOKUP($A794,kurspris!$A$1:$Q$950,9,FALSE)</f>
        <v>0</v>
      </c>
      <c r="AK794" s="31">
        <f>VLOOKUP($A794,kurspris!$A$1:$Q$950,10,FALSE)</f>
        <v>0</v>
      </c>
      <c r="AL794" s="31">
        <f>VLOOKUP($A794,kurspris!$A$1:$Q$950,11,FALSE)</f>
        <v>0</v>
      </c>
      <c r="AM794" s="31">
        <f>VLOOKUP($A794,kurspris!$A$1:$Q$950,12,FALSE)</f>
        <v>0</v>
      </c>
      <c r="AN794" s="31">
        <f>VLOOKUP($A794,kurspris!$A$1:$Q$950,13,FALSE)</f>
        <v>0</v>
      </c>
      <c r="AO794" s="31">
        <f>VLOOKUP($A794,kurspris!$A$1:$Q$950,14,FALSE)</f>
        <v>0</v>
      </c>
      <c r="AP794" s="57" t="s">
        <v>2402</v>
      </c>
      <c r="AQ794"/>
      <c r="AR794" s="31">
        <f t="shared" si="367"/>
        <v>0</v>
      </c>
      <c r="AS794" s="219">
        <f t="shared" si="368"/>
        <v>0</v>
      </c>
      <c r="AT794" s="31">
        <f t="shared" si="369"/>
        <v>0.5</v>
      </c>
      <c r="AU794" s="219">
        <f t="shared" si="370"/>
        <v>0.42499999999999999</v>
      </c>
      <c r="AV794" s="31">
        <f t="shared" si="371"/>
        <v>0</v>
      </c>
      <c r="AW794" s="31">
        <f t="shared" si="372"/>
        <v>0</v>
      </c>
      <c r="AX794" s="31">
        <f t="shared" si="373"/>
        <v>0</v>
      </c>
      <c r="AY794" s="219">
        <f t="shared" si="374"/>
        <v>0</v>
      </c>
      <c r="AZ794" s="196">
        <f t="shared" si="375"/>
        <v>0</v>
      </c>
      <c r="BA794" s="219">
        <f t="shared" si="376"/>
        <v>0</v>
      </c>
      <c r="BB794" s="31">
        <f t="shared" si="377"/>
        <v>0</v>
      </c>
      <c r="BC794" s="219">
        <f t="shared" si="378"/>
        <v>0</v>
      </c>
      <c r="BD794" s="31">
        <f t="shared" si="379"/>
        <v>0</v>
      </c>
      <c r="BE794" s="219">
        <f t="shared" si="380"/>
        <v>0</v>
      </c>
      <c r="BF794" s="31">
        <f t="shared" si="381"/>
        <v>0</v>
      </c>
      <c r="BG794" s="219">
        <f t="shared" si="382"/>
        <v>0</v>
      </c>
      <c r="BH794" s="31">
        <f t="shared" si="383"/>
        <v>0</v>
      </c>
      <c r="BI794" s="219">
        <f t="shared" si="384"/>
        <v>0</v>
      </c>
      <c r="BJ794" s="31">
        <f t="shared" si="385"/>
        <v>0</v>
      </c>
      <c r="BK794" s="219">
        <f t="shared" si="386"/>
        <v>0</v>
      </c>
      <c r="BL794" s="31">
        <f t="shared" si="387"/>
        <v>0</v>
      </c>
      <c r="BM794" s="219">
        <f t="shared" si="388"/>
        <v>0</v>
      </c>
      <c r="BN794" s="31">
        <f t="shared" si="389"/>
        <v>0</v>
      </c>
      <c r="BO794" s="219">
        <f t="shared" si="390"/>
        <v>0</v>
      </c>
    </row>
    <row r="795" spans="1:67" x14ac:dyDescent="0.25">
      <c r="A795" s="31" t="s">
        <v>1986</v>
      </c>
      <c r="B795" s="176" t="str">
        <f>VLOOKUP(A795,kurspris!$A$1:$B$992,2,FALSE)</f>
        <v>Religionsvetenskap 1</v>
      </c>
      <c r="C795" s="31">
        <v>71258</v>
      </c>
      <c r="D795" s="60" t="s">
        <v>482</v>
      </c>
      <c r="E795" s="60"/>
      <c r="F795" s="57" t="s">
        <v>2274</v>
      </c>
      <c r="H795" s="31" t="s">
        <v>2335</v>
      </c>
      <c r="I795" s="31" t="s">
        <v>2399</v>
      </c>
      <c r="L795" s="38"/>
      <c r="M795">
        <v>30</v>
      </c>
      <c r="P795" s="31">
        <v>1</v>
      </c>
      <c r="Q795" s="539">
        <v>0.5</v>
      </c>
      <c r="R795" s="38">
        <v>0.85</v>
      </c>
      <c r="S795" s="280">
        <f t="shared" si="363"/>
        <v>0.42499999999999999</v>
      </c>
      <c r="T795" s="31">
        <f>VLOOKUP(A795,'Ansvar kurs'!$A$1:$C$1123,2,FALSE)</f>
        <v>1630</v>
      </c>
      <c r="U795" s="31" t="str">
        <f>VLOOKUP(T795,Orgenheter!$A$1:$C$166,2,FALSE)</f>
        <v>Inst för ide- o samhällsstudier</v>
      </c>
      <c r="V795" s="31" t="str">
        <f>VLOOKUP(T795,Orgenheter!$A$1:$C$166,3,FALSE)</f>
        <v>Hum</v>
      </c>
      <c r="W795" s="35" t="str">
        <f>VLOOKUP(D795,Program!$A$1:$B$36,2,FALSE)</f>
        <v>Ämneslärarprogrammet - Gy</v>
      </c>
      <c r="X795" s="40">
        <f>VLOOKUP(A795,kurspris!$A$1:$Q$913,15,FALSE)</f>
        <v>20766</v>
      </c>
      <c r="Y795" s="40">
        <f>VLOOKUP(A795,kurspris!$A$1:$Q$913,16,FALSE)</f>
        <v>17442</v>
      </c>
      <c r="Z795" s="40">
        <f t="shared" si="364"/>
        <v>17795.849999999999</v>
      </c>
      <c r="AA795" s="40">
        <f>VLOOKUP(A795,kurspris!$A$1:$Q$913,17,FALSE)</f>
        <v>6000</v>
      </c>
      <c r="AB795" s="40">
        <f t="shared" si="365"/>
        <v>3000</v>
      </c>
      <c r="AC795" s="40">
        <f t="shared" si="366"/>
        <v>20795.849999999999</v>
      </c>
      <c r="AD795" s="31">
        <f>VLOOKUP($A795,kurspris!$A$1:$Q$950,3,FALSE)</f>
        <v>0</v>
      </c>
      <c r="AE795" s="31">
        <f>VLOOKUP($A795,kurspris!$A$1:$Q$950,4,FALSE)</f>
        <v>1</v>
      </c>
      <c r="AF795" s="31">
        <f>VLOOKUP($A795,kurspris!$A$1:$Q$950,5,FALSE)</f>
        <v>0</v>
      </c>
      <c r="AG795" s="31">
        <f>VLOOKUP($A795,kurspris!$A$1:$Q$950,6,FALSE)</f>
        <v>0</v>
      </c>
      <c r="AH795" s="31">
        <f>VLOOKUP($A795,kurspris!$A$1:$Q$950,7,FALSE)</f>
        <v>0</v>
      </c>
      <c r="AI795" s="31">
        <f>VLOOKUP($A795,kurspris!$A$1:$Q$950,8,FALSE)</f>
        <v>0</v>
      </c>
      <c r="AJ795" s="31">
        <f>VLOOKUP($A795,kurspris!$A$1:$Q$950,9,FALSE)</f>
        <v>0</v>
      </c>
      <c r="AK795" s="31">
        <f>VLOOKUP($A795,kurspris!$A$1:$Q$950,10,FALSE)</f>
        <v>0</v>
      </c>
      <c r="AL795" s="31">
        <f>VLOOKUP($A795,kurspris!$A$1:$Q$950,11,FALSE)</f>
        <v>0</v>
      </c>
      <c r="AM795" s="31">
        <f>VLOOKUP($A795,kurspris!$A$1:$Q$950,12,FALSE)</f>
        <v>0</v>
      </c>
      <c r="AN795" s="31">
        <f>VLOOKUP($A795,kurspris!$A$1:$Q$950,13,FALSE)</f>
        <v>0</v>
      </c>
      <c r="AO795" s="31">
        <f>VLOOKUP($A795,kurspris!$A$1:$Q$950,14,FALSE)</f>
        <v>0</v>
      </c>
      <c r="AP795" s="57" t="s">
        <v>2402</v>
      </c>
      <c r="AQ795"/>
      <c r="AR795" s="31">
        <f t="shared" si="367"/>
        <v>0</v>
      </c>
      <c r="AS795" s="219">
        <f t="shared" si="368"/>
        <v>0</v>
      </c>
      <c r="AT795" s="31">
        <f t="shared" si="369"/>
        <v>0.5</v>
      </c>
      <c r="AU795" s="219">
        <f t="shared" si="370"/>
        <v>0.42499999999999999</v>
      </c>
      <c r="AV795" s="31">
        <f t="shared" si="371"/>
        <v>0</v>
      </c>
      <c r="AW795" s="31">
        <f t="shared" si="372"/>
        <v>0</v>
      </c>
      <c r="AX795" s="31">
        <f t="shared" si="373"/>
        <v>0</v>
      </c>
      <c r="AY795" s="219">
        <f t="shared" si="374"/>
        <v>0</v>
      </c>
      <c r="AZ795" s="196">
        <f t="shared" si="375"/>
        <v>0</v>
      </c>
      <c r="BA795" s="219">
        <f t="shared" si="376"/>
        <v>0</v>
      </c>
      <c r="BB795" s="31">
        <f t="shared" si="377"/>
        <v>0</v>
      </c>
      <c r="BC795" s="219">
        <f t="shared" si="378"/>
        <v>0</v>
      </c>
      <c r="BD795" s="31">
        <f t="shared" si="379"/>
        <v>0</v>
      </c>
      <c r="BE795" s="219">
        <f t="shared" si="380"/>
        <v>0</v>
      </c>
      <c r="BF795" s="31">
        <f t="shared" si="381"/>
        <v>0</v>
      </c>
      <c r="BG795" s="219">
        <f t="shared" si="382"/>
        <v>0</v>
      </c>
      <c r="BH795" s="31">
        <f t="shared" si="383"/>
        <v>0</v>
      </c>
      <c r="BI795" s="219">
        <f t="shared" si="384"/>
        <v>0</v>
      </c>
      <c r="BJ795" s="31">
        <f t="shared" si="385"/>
        <v>0</v>
      </c>
      <c r="BK795" s="219">
        <f t="shared" si="386"/>
        <v>0</v>
      </c>
      <c r="BL795" s="31">
        <f t="shared" si="387"/>
        <v>0</v>
      </c>
      <c r="BM795" s="219">
        <f t="shared" si="388"/>
        <v>0</v>
      </c>
      <c r="BN795" s="31">
        <f t="shared" si="389"/>
        <v>0</v>
      </c>
      <c r="BO795" s="219">
        <f t="shared" si="390"/>
        <v>0</v>
      </c>
    </row>
    <row r="796" spans="1:67" x14ac:dyDescent="0.25">
      <c r="A796" s="31" t="s">
        <v>1986</v>
      </c>
      <c r="B796" s="176" t="str">
        <f>VLOOKUP(A796,kurspris!$A$1:$B$992,2,FALSE)</f>
        <v>Religionsvetenskap 1</v>
      </c>
      <c r="C796" s="31">
        <v>71275</v>
      </c>
      <c r="D796" s="60" t="s">
        <v>482</v>
      </c>
      <c r="E796" s="60"/>
      <c r="F796" s="57" t="s">
        <v>2274</v>
      </c>
      <c r="H796" s="31" t="s">
        <v>2335</v>
      </c>
      <c r="I796" s="31" t="s">
        <v>2399</v>
      </c>
      <c r="L796" s="38"/>
      <c r="M796">
        <v>30</v>
      </c>
      <c r="P796" s="31">
        <v>1</v>
      </c>
      <c r="Q796" s="539">
        <v>0.5</v>
      </c>
      <c r="R796" s="38">
        <v>0.85</v>
      </c>
      <c r="S796" s="280">
        <f t="shared" si="363"/>
        <v>0.42499999999999999</v>
      </c>
      <c r="T796" s="31">
        <f>VLOOKUP(A796,'Ansvar kurs'!$A$1:$C$1123,2,FALSE)</f>
        <v>1630</v>
      </c>
      <c r="U796" s="31" t="str">
        <f>VLOOKUP(T796,Orgenheter!$A$1:$C$166,2,FALSE)</f>
        <v>Inst för ide- o samhällsstudier</v>
      </c>
      <c r="V796" s="31" t="str">
        <f>VLOOKUP(T796,Orgenheter!$A$1:$C$166,3,FALSE)</f>
        <v>Hum</v>
      </c>
      <c r="W796" s="35" t="str">
        <f>VLOOKUP(D796,Program!$A$1:$B$36,2,FALSE)</f>
        <v>Ämneslärarprogrammet - Gy</v>
      </c>
      <c r="X796" s="40">
        <f>VLOOKUP(A796,kurspris!$A$1:$Q$913,15,FALSE)</f>
        <v>20766</v>
      </c>
      <c r="Y796" s="40">
        <f>VLOOKUP(A796,kurspris!$A$1:$Q$913,16,FALSE)</f>
        <v>17442</v>
      </c>
      <c r="Z796" s="40">
        <f t="shared" si="364"/>
        <v>17795.849999999999</v>
      </c>
      <c r="AA796" s="40">
        <f>VLOOKUP(A796,kurspris!$A$1:$Q$913,17,FALSE)</f>
        <v>6000</v>
      </c>
      <c r="AB796" s="40">
        <f t="shared" si="365"/>
        <v>3000</v>
      </c>
      <c r="AC796" s="40">
        <f t="shared" si="366"/>
        <v>20795.849999999999</v>
      </c>
      <c r="AD796" s="31">
        <f>VLOOKUP($A796,kurspris!$A$1:$Q$950,3,FALSE)</f>
        <v>0</v>
      </c>
      <c r="AE796" s="31">
        <f>VLOOKUP($A796,kurspris!$A$1:$Q$950,4,FALSE)</f>
        <v>1</v>
      </c>
      <c r="AF796" s="31">
        <f>VLOOKUP($A796,kurspris!$A$1:$Q$950,5,FALSE)</f>
        <v>0</v>
      </c>
      <c r="AG796" s="31">
        <f>VLOOKUP($A796,kurspris!$A$1:$Q$950,6,FALSE)</f>
        <v>0</v>
      </c>
      <c r="AH796" s="31">
        <f>VLOOKUP($A796,kurspris!$A$1:$Q$950,7,FALSE)</f>
        <v>0</v>
      </c>
      <c r="AI796" s="31">
        <f>VLOOKUP($A796,kurspris!$A$1:$Q$950,8,FALSE)</f>
        <v>0</v>
      </c>
      <c r="AJ796" s="31">
        <f>VLOOKUP($A796,kurspris!$A$1:$Q$950,9,FALSE)</f>
        <v>0</v>
      </c>
      <c r="AK796" s="31">
        <f>VLOOKUP($A796,kurspris!$A$1:$Q$950,10,FALSE)</f>
        <v>0</v>
      </c>
      <c r="AL796" s="31">
        <f>VLOOKUP($A796,kurspris!$A$1:$Q$950,11,FALSE)</f>
        <v>0</v>
      </c>
      <c r="AM796" s="31">
        <f>VLOOKUP($A796,kurspris!$A$1:$Q$950,12,FALSE)</f>
        <v>0</v>
      </c>
      <c r="AN796" s="31">
        <f>VLOOKUP($A796,kurspris!$A$1:$Q$950,13,FALSE)</f>
        <v>0</v>
      </c>
      <c r="AO796" s="31">
        <f>VLOOKUP($A796,kurspris!$A$1:$Q$950,14,FALSE)</f>
        <v>0</v>
      </c>
      <c r="AP796" s="57" t="s">
        <v>2402</v>
      </c>
      <c r="AQ796"/>
      <c r="AR796" s="31">
        <f t="shared" si="367"/>
        <v>0</v>
      </c>
      <c r="AS796" s="219">
        <f t="shared" si="368"/>
        <v>0</v>
      </c>
      <c r="AT796" s="31">
        <f t="shared" si="369"/>
        <v>0.5</v>
      </c>
      <c r="AU796" s="219">
        <f t="shared" si="370"/>
        <v>0.42499999999999999</v>
      </c>
      <c r="AV796" s="31">
        <f t="shared" si="371"/>
        <v>0</v>
      </c>
      <c r="AW796" s="31">
        <f t="shared" si="372"/>
        <v>0</v>
      </c>
      <c r="AX796" s="31">
        <f t="shared" si="373"/>
        <v>0</v>
      </c>
      <c r="AY796" s="219">
        <f t="shared" si="374"/>
        <v>0</v>
      </c>
      <c r="AZ796" s="196">
        <f t="shared" si="375"/>
        <v>0</v>
      </c>
      <c r="BA796" s="219">
        <f t="shared" si="376"/>
        <v>0</v>
      </c>
      <c r="BB796" s="31">
        <f t="shared" si="377"/>
        <v>0</v>
      </c>
      <c r="BC796" s="219">
        <f t="shared" si="378"/>
        <v>0</v>
      </c>
      <c r="BD796" s="31">
        <f t="shared" si="379"/>
        <v>0</v>
      </c>
      <c r="BE796" s="219">
        <f t="shared" si="380"/>
        <v>0</v>
      </c>
      <c r="BF796" s="31">
        <f t="shared" si="381"/>
        <v>0</v>
      </c>
      <c r="BG796" s="219">
        <f t="shared" si="382"/>
        <v>0</v>
      </c>
      <c r="BH796" s="31">
        <f t="shared" si="383"/>
        <v>0</v>
      </c>
      <c r="BI796" s="219">
        <f t="shared" si="384"/>
        <v>0</v>
      </c>
      <c r="BJ796" s="31">
        <f t="shared" si="385"/>
        <v>0</v>
      </c>
      <c r="BK796" s="219">
        <f t="shared" si="386"/>
        <v>0</v>
      </c>
      <c r="BL796" s="31">
        <f t="shared" si="387"/>
        <v>0</v>
      </c>
      <c r="BM796" s="219">
        <f t="shared" si="388"/>
        <v>0</v>
      </c>
      <c r="BN796" s="31">
        <f t="shared" si="389"/>
        <v>0</v>
      </c>
      <c r="BO796" s="219">
        <f t="shared" si="390"/>
        <v>0</v>
      </c>
    </row>
    <row r="797" spans="1:67" x14ac:dyDescent="0.25">
      <c r="A797" s="31" t="s">
        <v>2016</v>
      </c>
      <c r="B797" s="176" t="str">
        <f>VLOOKUP(A797,kurspris!$A$1:$B$992,2,FALSE)</f>
        <v>Religionsvetenskap 3, med kandidatuppsats</v>
      </c>
      <c r="C797" s="31">
        <v>71283</v>
      </c>
      <c r="D797" s="60" t="s">
        <v>482</v>
      </c>
      <c r="E797" s="60"/>
      <c r="F797" s="57" t="s">
        <v>2274</v>
      </c>
      <c r="H797" s="31" t="s">
        <v>2335</v>
      </c>
      <c r="I797" s="31" t="s">
        <v>2399</v>
      </c>
      <c r="J797" s="31" t="s">
        <v>2231</v>
      </c>
      <c r="L797" s="38"/>
      <c r="M797">
        <v>30</v>
      </c>
      <c r="P797" s="31">
        <v>1</v>
      </c>
      <c r="Q797" s="539">
        <v>0.5</v>
      </c>
      <c r="R797" s="38">
        <v>0.85</v>
      </c>
      <c r="S797" s="280">
        <f t="shared" si="363"/>
        <v>0.42499999999999999</v>
      </c>
      <c r="T797" s="31">
        <f>VLOOKUP(A797,'Ansvar kurs'!$A$1:$C$1123,2,FALSE)</f>
        <v>1630</v>
      </c>
      <c r="U797" s="31" t="str">
        <f>VLOOKUP(T797,Orgenheter!$A$1:$C$166,2,FALSE)</f>
        <v>Inst för ide- o samhällsstudier</v>
      </c>
      <c r="V797" s="31" t="str">
        <f>VLOOKUP(T797,Orgenheter!$A$1:$C$166,3,FALSE)</f>
        <v>Hum</v>
      </c>
      <c r="W797" s="35" t="str">
        <f>VLOOKUP(D797,Program!$A$1:$B$36,2,FALSE)</f>
        <v>Ämneslärarprogrammet - Gy</v>
      </c>
      <c r="X797" s="40">
        <f>VLOOKUP(A797,kurspris!$A$1:$Q$913,15,FALSE)</f>
        <v>20766</v>
      </c>
      <c r="Y797" s="40">
        <f>VLOOKUP(A797,kurspris!$A$1:$Q$913,16,FALSE)</f>
        <v>17442</v>
      </c>
      <c r="Z797" s="40">
        <f t="shared" si="364"/>
        <v>17795.849999999999</v>
      </c>
      <c r="AA797" s="40">
        <f>VLOOKUP(A797,kurspris!$A$1:$Q$913,17,FALSE)</f>
        <v>6000</v>
      </c>
      <c r="AB797" s="40">
        <f t="shared" si="365"/>
        <v>3000</v>
      </c>
      <c r="AC797" s="40">
        <f t="shared" si="366"/>
        <v>20795.849999999999</v>
      </c>
      <c r="AD797" s="31">
        <f>VLOOKUP($A797,kurspris!$A$1:$Q$950,3,FALSE)</f>
        <v>0</v>
      </c>
      <c r="AE797" s="31">
        <f>VLOOKUP($A797,kurspris!$A$1:$Q$950,4,FALSE)</f>
        <v>1</v>
      </c>
      <c r="AF797" s="31">
        <f>VLOOKUP($A797,kurspris!$A$1:$Q$950,5,FALSE)</f>
        <v>0</v>
      </c>
      <c r="AG797" s="31">
        <f>VLOOKUP($A797,kurspris!$A$1:$Q$950,6,FALSE)</f>
        <v>0</v>
      </c>
      <c r="AH797" s="31">
        <f>VLOOKUP($A797,kurspris!$A$1:$Q$950,7,FALSE)</f>
        <v>0</v>
      </c>
      <c r="AI797" s="31">
        <f>VLOOKUP($A797,kurspris!$A$1:$Q$950,8,FALSE)</f>
        <v>0</v>
      </c>
      <c r="AJ797" s="31">
        <f>VLOOKUP($A797,kurspris!$A$1:$Q$950,9,FALSE)</f>
        <v>0</v>
      </c>
      <c r="AK797" s="31">
        <f>VLOOKUP($A797,kurspris!$A$1:$Q$950,10,FALSE)</f>
        <v>0</v>
      </c>
      <c r="AL797" s="31">
        <f>VLOOKUP($A797,kurspris!$A$1:$Q$950,11,FALSE)</f>
        <v>0</v>
      </c>
      <c r="AM797" s="31">
        <f>VLOOKUP($A797,kurspris!$A$1:$Q$950,12,FALSE)</f>
        <v>0</v>
      </c>
      <c r="AN797" s="31">
        <f>VLOOKUP($A797,kurspris!$A$1:$Q$950,13,FALSE)</f>
        <v>0</v>
      </c>
      <c r="AO797" s="31">
        <f>VLOOKUP($A797,kurspris!$A$1:$Q$950,14,FALSE)</f>
        <v>0</v>
      </c>
      <c r="AP797" s="57" t="s">
        <v>2402</v>
      </c>
      <c r="AQ797"/>
      <c r="AR797" s="31">
        <f t="shared" si="367"/>
        <v>0</v>
      </c>
      <c r="AS797" s="219">
        <f t="shared" si="368"/>
        <v>0</v>
      </c>
      <c r="AT797" s="31">
        <f t="shared" si="369"/>
        <v>0.5</v>
      </c>
      <c r="AU797" s="219">
        <f t="shared" si="370"/>
        <v>0.42499999999999999</v>
      </c>
      <c r="AV797" s="31">
        <f t="shared" si="371"/>
        <v>0</v>
      </c>
      <c r="AW797" s="31">
        <f t="shared" si="372"/>
        <v>0</v>
      </c>
      <c r="AX797" s="31">
        <f t="shared" si="373"/>
        <v>0</v>
      </c>
      <c r="AY797" s="219">
        <f t="shared" si="374"/>
        <v>0</v>
      </c>
      <c r="AZ797" s="196">
        <f t="shared" si="375"/>
        <v>0</v>
      </c>
      <c r="BA797" s="219">
        <f t="shared" si="376"/>
        <v>0</v>
      </c>
      <c r="BB797" s="31">
        <f t="shared" si="377"/>
        <v>0</v>
      </c>
      <c r="BC797" s="219">
        <f t="shared" si="378"/>
        <v>0</v>
      </c>
      <c r="BD797" s="31">
        <f t="shared" si="379"/>
        <v>0</v>
      </c>
      <c r="BE797" s="219">
        <f t="shared" si="380"/>
        <v>0</v>
      </c>
      <c r="BF797" s="31">
        <f t="shared" si="381"/>
        <v>0</v>
      </c>
      <c r="BG797" s="219">
        <f t="shared" si="382"/>
        <v>0</v>
      </c>
      <c r="BH797" s="31">
        <f t="shared" si="383"/>
        <v>0</v>
      </c>
      <c r="BI797" s="219">
        <f t="shared" si="384"/>
        <v>0</v>
      </c>
      <c r="BJ797" s="31">
        <f t="shared" si="385"/>
        <v>0</v>
      </c>
      <c r="BK797" s="219">
        <f t="shared" si="386"/>
        <v>0</v>
      </c>
      <c r="BL797" s="31">
        <f t="shared" si="387"/>
        <v>0</v>
      </c>
      <c r="BM797" s="219">
        <f t="shared" si="388"/>
        <v>0</v>
      </c>
      <c r="BN797" s="31">
        <f t="shared" si="389"/>
        <v>0</v>
      </c>
      <c r="BO797" s="219">
        <f t="shared" si="390"/>
        <v>0</v>
      </c>
    </row>
    <row r="798" spans="1:67" x14ac:dyDescent="0.25">
      <c r="A798" s="31" t="s">
        <v>2016</v>
      </c>
      <c r="B798" s="176" t="str">
        <f>VLOOKUP(A798,kurspris!$A$1:$B$992,2,FALSE)</f>
        <v>Religionsvetenskap 3, med kandidatuppsats</v>
      </c>
      <c r="C798" s="31">
        <v>71283</v>
      </c>
      <c r="D798" s="60" t="s">
        <v>482</v>
      </c>
      <c r="E798" s="60"/>
      <c r="F798" s="57" t="s">
        <v>2274</v>
      </c>
      <c r="H798" s="31" t="s">
        <v>2335</v>
      </c>
      <c r="I798" s="31" t="s">
        <v>2399</v>
      </c>
      <c r="J798" s="31" t="s">
        <v>2241</v>
      </c>
      <c r="L798" s="38"/>
      <c r="M798">
        <v>30</v>
      </c>
      <c r="P798" s="31">
        <v>6</v>
      </c>
      <c r="Q798" s="539">
        <v>3</v>
      </c>
      <c r="R798" s="38">
        <v>0.85</v>
      </c>
      <c r="S798" s="280">
        <f t="shared" si="363"/>
        <v>2.5499999999999998</v>
      </c>
      <c r="T798" s="31">
        <f>VLOOKUP(A798,'Ansvar kurs'!$A$1:$C$1123,2,FALSE)</f>
        <v>1630</v>
      </c>
      <c r="U798" s="31" t="str">
        <f>VLOOKUP(T798,Orgenheter!$A$1:$C$166,2,FALSE)</f>
        <v>Inst för ide- o samhällsstudier</v>
      </c>
      <c r="V798" s="31" t="str">
        <f>VLOOKUP(T798,Orgenheter!$A$1:$C$166,3,FALSE)</f>
        <v>Hum</v>
      </c>
      <c r="W798" s="35" t="str">
        <f>VLOOKUP(D798,Program!$A$1:$B$36,2,FALSE)</f>
        <v>Ämneslärarprogrammet - Gy</v>
      </c>
      <c r="X798" s="40">
        <f>VLOOKUP(A798,kurspris!$A$1:$Q$913,15,FALSE)</f>
        <v>20766</v>
      </c>
      <c r="Y798" s="40">
        <f>VLOOKUP(A798,kurspris!$A$1:$Q$913,16,FALSE)</f>
        <v>17442</v>
      </c>
      <c r="Z798" s="40">
        <f t="shared" si="364"/>
        <v>106775.1</v>
      </c>
      <c r="AA798" s="40">
        <f>VLOOKUP(A798,kurspris!$A$1:$Q$913,17,FALSE)</f>
        <v>6000</v>
      </c>
      <c r="AB798" s="40">
        <f t="shared" si="365"/>
        <v>18000</v>
      </c>
      <c r="AC798" s="40">
        <f t="shared" si="366"/>
        <v>124775.1</v>
      </c>
      <c r="AD798" s="31">
        <f>VLOOKUP($A798,kurspris!$A$1:$Q$950,3,FALSE)</f>
        <v>0</v>
      </c>
      <c r="AE798" s="31">
        <f>VLOOKUP($A798,kurspris!$A$1:$Q$950,4,FALSE)</f>
        <v>1</v>
      </c>
      <c r="AF798" s="31">
        <f>VLOOKUP($A798,kurspris!$A$1:$Q$950,5,FALSE)</f>
        <v>0</v>
      </c>
      <c r="AG798" s="31">
        <f>VLOOKUP($A798,kurspris!$A$1:$Q$950,6,FALSE)</f>
        <v>0</v>
      </c>
      <c r="AH798" s="31">
        <f>VLOOKUP($A798,kurspris!$A$1:$Q$950,7,FALSE)</f>
        <v>0</v>
      </c>
      <c r="AI798" s="31">
        <f>VLOOKUP($A798,kurspris!$A$1:$Q$950,8,FALSE)</f>
        <v>0</v>
      </c>
      <c r="AJ798" s="31">
        <f>VLOOKUP($A798,kurspris!$A$1:$Q$950,9,FALSE)</f>
        <v>0</v>
      </c>
      <c r="AK798" s="31">
        <f>VLOOKUP($A798,kurspris!$A$1:$Q$950,10,FALSE)</f>
        <v>0</v>
      </c>
      <c r="AL798" s="31">
        <f>VLOOKUP($A798,kurspris!$A$1:$Q$950,11,FALSE)</f>
        <v>0</v>
      </c>
      <c r="AM798" s="31">
        <f>VLOOKUP($A798,kurspris!$A$1:$Q$950,12,FALSE)</f>
        <v>0</v>
      </c>
      <c r="AN798" s="31">
        <f>VLOOKUP($A798,kurspris!$A$1:$Q$950,13,FALSE)</f>
        <v>0</v>
      </c>
      <c r="AO798" s="31">
        <f>VLOOKUP($A798,kurspris!$A$1:$Q$950,14,FALSE)</f>
        <v>0</v>
      </c>
      <c r="AP798" s="57" t="s">
        <v>2402</v>
      </c>
      <c r="AQ798"/>
      <c r="AR798" s="31">
        <f t="shared" si="367"/>
        <v>0</v>
      </c>
      <c r="AS798" s="219">
        <f t="shared" si="368"/>
        <v>0</v>
      </c>
      <c r="AT798" s="31">
        <f t="shared" si="369"/>
        <v>3</v>
      </c>
      <c r="AU798" s="219">
        <f t="shared" si="370"/>
        <v>2.5499999999999998</v>
      </c>
      <c r="AV798" s="31">
        <f t="shared" si="371"/>
        <v>0</v>
      </c>
      <c r="AW798" s="31">
        <f t="shared" si="372"/>
        <v>0</v>
      </c>
      <c r="AX798" s="31">
        <f t="shared" si="373"/>
        <v>0</v>
      </c>
      <c r="AY798" s="219">
        <f t="shared" si="374"/>
        <v>0</v>
      </c>
      <c r="AZ798" s="196">
        <f t="shared" si="375"/>
        <v>0</v>
      </c>
      <c r="BA798" s="219">
        <f t="shared" si="376"/>
        <v>0</v>
      </c>
      <c r="BB798" s="31">
        <f t="shared" si="377"/>
        <v>0</v>
      </c>
      <c r="BC798" s="219">
        <f t="shared" si="378"/>
        <v>0</v>
      </c>
      <c r="BD798" s="31">
        <f t="shared" si="379"/>
        <v>0</v>
      </c>
      <c r="BE798" s="219">
        <f t="shared" si="380"/>
        <v>0</v>
      </c>
      <c r="BF798" s="31">
        <f t="shared" si="381"/>
        <v>0</v>
      </c>
      <c r="BG798" s="219">
        <f t="shared" si="382"/>
        <v>0</v>
      </c>
      <c r="BH798" s="31">
        <f t="shared" si="383"/>
        <v>0</v>
      </c>
      <c r="BI798" s="219">
        <f t="shared" si="384"/>
        <v>0</v>
      </c>
      <c r="BJ798" s="31">
        <f t="shared" si="385"/>
        <v>0</v>
      </c>
      <c r="BK798" s="219">
        <f t="shared" si="386"/>
        <v>0</v>
      </c>
      <c r="BL798" s="31">
        <f t="shared" si="387"/>
        <v>0</v>
      </c>
      <c r="BM798" s="219">
        <f t="shared" si="388"/>
        <v>0</v>
      </c>
      <c r="BN798" s="31">
        <f t="shared" si="389"/>
        <v>0</v>
      </c>
      <c r="BO798" s="219">
        <f t="shared" si="390"/>
        <v>0</v>
      </c>
    </row>
    <row r="799" spans="1:67" x14ac:dyDescent="0.25">
      <c r="A799" s="31" t="s">
        <v>2016</v>
      </c>
      <c r="B799" s="176" t="str">
        <f>VLOOKUP(A799,kurspris!$A$1:$B$992,2,FALSE)</f>
        <v>Religionsvetenskap 3, med kandidatuppsats</v>
      </c>
      <c r="C799" s="31">
        <v>71283</v>
      </c>
      <c r="D799" s="60" t="s">
        <v>482</v>
      </c>
      <c r="E799" s="60"/>
      <c r="F799" s="57" t="s">
        <v>2274</v>
      </c>
      <c r="H799" s="31" t="s">
        <v>2335</v>
      </c>
      <c r="I799" s="31" t="s">
        <v>2399</v>
      </c>
      <c r="J799" s="31" t="s">
        <v>2233</v>
      </c>
      <c r="L799" s="38"/>
      <c r="M799">
        <v>30</v>
      </c>
      <c r="P799" s="31">
        <v>1</v>
      </c>
      <c r="Q799" s="539">
        <v>0.5</v>
      </c>
      <c r="R799" s="38">
        <v>0.85</v>
      </c>
      <c r="S799" s="280">
        <f t="shared" si="363"/>
        <v>0.42499999999999999</v>
      </c>
      <c r="T799" s="31">
        <f>VLOOKUP(A799,'Ansvar kurs'!$A$1:$C$1123,2,FALSE)</f>
        <v>1630</v>
      </c>
      <c r="U799" s="31" t="str">
        <f>VLOOKUP(T799,Orgenheter!$A$1:$C$166,2,FALSE)</f>
        <v>Inst för ide- o samhällsstudier</v>
      </c>
      <c r="V799" s="31" t="str">
        <f>VLOOKUP(T799,Orgenheter!$A$1:$C$166,3,FALSE)</f>
        <v>Hum</v>
      </c>
      <c r="W799" s="35" t="str">
        <f>VLOOKUP(D799,Program!$A$1:$B$36,2,FALSE)</f>
        <v>Ämneslärarprogrammet - Gy</v>
      </c>
      <c r="X799" s="40">
        <f>VLOOKUP(A799,kurspris!$A$1:$Q$913,15,FALSE)</f>
        <v>20766</v>
      </c>
      <c r="Y799" s="40">
        <f>VLOOKUP(A799,kurspris!$A$1:$Q$913,16,FALSE)</f>
        <v>17442</v>
      </c>
      <c r="Z799" s="40">
        <f t="shared" si="364"/>
        <v>17795.849999999999</v>
      </c>
      <c r="AA799" s="40">
        <f>VLOOKUP(A799,kurspris!$A$1:$Q$913,17,FALSE)</f>
        <v>6000</v>
      </c>
      <c r="AB799" s="40">
        <f t="shared" si="365"/>
        <v>3000</v>
      </c>
      <c r="AC799" s="40">
        <f t="shared" si="366"/>
        <v>20795.849999999999</v>
      </c>
      <c r="AD799" s="31">
        <f>VLOOKUP($A799,kurspris!$A$1:$Q$950,3,FALSE)</f>
        <v>0</v>
      </c>
      <c r="AE799" s="31">
        <f>VLOOKUP($A799,kurspris!$A$1:$Q$950,4,FALSE)</f>
        <v>1</v>
      </c>
      <c r="AF799" s="31">
        <f>VLOOKUP($A799,kurspris!$A$1:$Q$950,5,FALSE)</f>
        <v>0</v>
      </c>
      <c r="AG799" s="31">
        <f>VLOOKUP($A799,kurspris!$A$1:$Q$950,6,FALSE)</f>
        <v>0</v>
      </c>
      <c r="AH799" s="31">
        <f>VLOOKUP($A799,kurspris!$A$1:$Q$950,7,FALSE)</f>
        <v>0</v>
      </c>
      <c r="AI799" s="31">
        <f>VLOOKUP($A799,kurspris!$A$1:$Q$950,8,FALSE)</f>
        <v>0</v>
      </c>
      <c r="AJ799" s="31">
        <f>VLOOKUP($A799,kurspris!$A$1:$Q$950,9,FALSE)</f>
        <v>0</v>
      </c>
      <c r="AK799" s="31">
        <f>VLOOKUP($A799,kurspris!$A$1:$Q$950,10,FALSE)</f>
        <v>0</v>
      </c>
      <c r="AL799" s="31">
        <f>VLOOKUP($A799,kurspris!$A$1:$Q$950,11,FALSE)</f>
        <v>0</v>
      </c>
      <c r="AM799" s="31">
        <f>VLOOKUP($A799,kurspris!$A$1:$Q$950,12,FALSE)</f>
        <v>0</v>
      </c>
      <c r="AN799" s="31">
        <f>VLOOKUP($A799,kurspris!$A$1:$Q$950,13,FALSE)</f>
        <v>0</v>
      </c>
      <c r="AO799" s="31">
        <f>VLOOKUP($A799,kurspris!$A$1:$Q$950,14,FALSE)</f>
        <v>0</v>
      </c>
      <c r="AP799" s="57" t="s">
        <v>2402</v>
      </c>
      <c r="AQ799"/>
      <c r="AR799" s="31">
        <f t="shared" si="367"/>
        <v>0</v>
      </c>
      <c r="AS799" s="219">
        <f t="shared" si="368"/>
        <v>0</v>
      </c>
      <c r="AT799" s="31">
        <f t="shared" si="369"/>
        <v>0.5</v>
      </c>
      <c r="AU799" s="219">
        <f t="shared" si="370"/>
        <v>0.42499999999999999</v>
      </c>
      <c r="AV799" s="31">
        <f t="shared" si="371"/>
        <v>0</v>
      </c>
      <c r="AW799" s="31">
        <f t="shared" si="372"/>
        <v>0</v>
      </c>
      <c r="AX799" s="31">
        <f t="shared" si="373"/>
        <v>0</v>
      </c>
      <c r="AY799" s="219">
        <f t="shared" si="374"/>
        <v>0</v>
      </c>
      <c r="AZ799" s="196">
        <f t="shared" si="375"/>
        <v>0</v>
      </c>
      <c r="BA799" s="219">
        <f t="shared" si="376"/>
        <v>0</v>
      </c>
      <c r="BB799" s="31">
        <f t="shared" si="377"/>
        <v>0</v>
      </c>
      <c r="BC799" s="219">
        <f t="shared" si="378"/>
        <v>0</v>
      </c>
      <c r="BD799" s="31">
        <f t="shared" si="379"/>
        <v>0</v>
      </c>
      <c r="BE799" s="219">
        <f t="shared" si="380"/>
        <v>0</v>
      </c>
      <c r="BF799" s="31">
        <f t="shared" si="381"/>
        <v>0</v>
      </c>
      <c r="BG799" s="219">
        <f t="shared" si="382"/>
        <v>0</v>
      </c>
      <c r="BH799" s="31">
        <f t="shared" si="383"/>
        <v>0</v>
      </c>
      <c r="BI799" s="219">
        <f t="shared" si="384"/>
        <v>0</v>
      </c>
      <c r="BJ799" s="31">
        <f t="shared" si="385"/>
        <v>0</v>
      </c>
      <c r="BK799" s="219">
        <f t="shared" si="386"/>
        <v>0</v>
      </c>
      <c r="BL799" s="31">
        <f t="shared" si="387"/>
        <v>0</v>
      </c>
      <c r="BM799" s="219">
        <f t="shared" si="388"/>
        <v>0</v>
      </c>
      <c r="BN799" s="31">
        <f t="shared" si="389"/>
        <v>0</v>
      </c>
      <c r="BO799" s="219">
        <f t="shared" si="390"/>
        <v>0</v>
      </c>
    </row>
    <row r="800" spans="1:67" x14ac:dyDescent="0.25">
      <c r="A800" s="31" t="s">
        <v>2016</v>
      </c>
      <c r="B800" s="176" t="str">
        <f>VLOOKUP(A800,kurspris!$A$1:$B$992,2,FALSE)</f>
        <v>Religionsvetenskap 3, med kandidatuppsats</v>
      </c>
      <c r="C800" s="31">
        <v>71283</v>
      </c>
      <c r="D800" s="60" t="s">
        <v>482</v>
      </c>
      <c r="E800" s="60"/>
      <c r="F800" s="57" t="s">
        <v>2274</v>
      </c>
      <c r="H800" s="31" t="s">
        <v>2335</v>
      </c>
      <c r="I800" s="31" t="s">
        <v>2399</v>
      </c>
      <c r="J800" s="31" t="s">
        <v>2239</v>
      </c>
      <c r="L800" s="38"/>
      <c r="M800">
        <v>30</v>
      </c>
      <c r="P800" s="31">
        <v>3</v>
      </c>
      <c r="Q800" s="539">
        <v>1.5</v>
      </c>
      <c r="R800" s="38">
        <v>0.85</v>
      </c>
      <c r="S800" s="280">
        <f t="shared" si="363"/>
        <v>1.2749999999999999</v>
      </c>
      <c r="T800" s="31">
        <f>VLOOKUP(A800,'Ansvar kurs'!$A$1:$C$1123,2,FALSE)</f>
        <v>1630</v>
      </c>
      <c r="U800" s="31" t="str">
        <f>VLOOKUP(T800,Orgenheter!$A$1:$C$166,2,FALSE)</f>
        <v>Inst för ide- o samhällsstudier</v>
      </c>
      <c r="V800" s="31" t="str">
        <f>VLOOKUP(T800,Orgenheter!$A$1:$C$166,3,FALSE)</f>
        <v>Hum</v>
      </c>
      <c r="W800" s="35" t="str">
        <f>VLOOKUP(D800,Program!$A$1:$B$36,2,FALSE)</f>
        <v>Ämneslärarprogrammet - Gy</v>
      </c>
      <c r="X800" s="40">
        <f>VLOOKUP(A800,kurspris!$A$1:$Q$913,15,FALSE)</f>
        <v>20766</v>
      </c>
      <c r="Y800" s="40">
        <f>VLOOKUP(A800,kurspris!$A$1:$Q$913,16,FALSE)</f>
        <v>17442</v>
      </c>
      <c r="Z800" s="40">
        <f t="shared" si="364"/>
        <v>53387.55</v>
      </c>
      <c r="AA800" s="40">
        <f>VLOOKUP(A800,kurspris!$A$1:$Q$913,17,FALSE)</f>
        <v>6000</v>
      </c>
      <c r="AB800" s="40">
        <f t="shared" si="365"/>
        <v>9000</v>
      </c>
      <c r="AC800" s="40">
        <f t="shared" si="366"/>
        <v>62387.55</v>
      </c>
      <c r="AD800" s="31">
        <f>VLOOKUP($A800,kurspris!$A$1:$Q$950,3,FALSE)</f>
        <v>0</v>
      </c>
      <c r="AE800" s="31">
        <f>VLOOKUP($A800,kurspris!$A$1:$Q$950,4,FALSE)</f>
        <v>1</v>
      </c>
      <c r="AF800" s="31">
        <f>VLOOKUP($A800,kurspris!$A$1:$Q$950,5,FALSE)</f>
        <v>0</v>
      </c>
      <c r="AG800" s="31">
        <f>VLOOKUP($A800,kurspris!$A$1:$Q$950,6,FALSE)</f>
        <v>0</v>
      </c>
      <c r="AH800" s="31">
        <f>VLOOKUP($A800,kurspris!$A$1:$Q$950,7,FALSE)</f>
        <v>0</v>
      </c>
      <c r="AI800" s="31">
        <f>VLOOKUP($A800,kurspris!$A$1:$Q$950,8,FALSE)</f>
        <v>0</v>
      </c>
      <c r="AJ800" s="31">
        <f>VLOOKUP($A800,kurspris!$A$1:$Q$950,9,FALSE)</f>
        <v>0</v>
      </c>
      <c r="AK800" s="31">
        <f>VLOOKUP($A800,kurspris!$A$1:$Q$950,10,FALSE)</f>
        <v>0</v>
      </c>
      <c r="AL800" s="31">
        <f>VLOOKUP($A800,kurspris!$A$1:$Q$950,11,FALSE)</f>
        <v>0</v>
      </c>
      <c r="AM800" s="31">
        <f>VLOOKUP($A800,kurspris!$A$1:$Q$950,12,FALSE)</f>
        <v>0</v>
      </c>
      <c r="AN800" s="31">
        <f>VLOOKUP($A800,kurspris!$A$1:$Q$950,13,FALSE)</f>
        <v>0</v>
      </c>
      <c r="AO800" s="31">
        <f>VLOOKUP($A800,kurspris!$A$1:$Q$950,14,FALSE)</f>
        <v>0</v>
      </c>
      <c r="AP800" s="57" t="s">
        <v>2402</v>
      </c>
      <c r="AQ800"/>
      <c r="AR800" s="31">
        <f t="shared" si="367"/>
        <v>0</v>
      </c>
      <c r="AS800" s="219">
        <f t="shared" si="368"/>
        <v>0</v>
      </c>
      <c r="AT800" s="31">
        <f t="shared" si="369"/>
        <v>1.5</v>
      </c>
      <c r="AU800" s="219">
        <f t="shared" si="370"/>
        <v>1.2749999999999999</v>
      </c>
      <c r="AV800" s="31">
        <f t="shared" si="371"/>
        <v>0</v>
      </c>
      <c r="AW800" s="31">
        <f t="shared" si="372"/>
        <v>0</v>
      </c>
      <c r="AX800" s="31">
        <f t="shared" si="373"/>
        <v>0</v>
      </c>
      <c r="AY800" s="219">
        <f t="shared" si="374"/>
        <v>0</v>
      </c>
      <c r="AZ800" s="196">
        <f t="shared" si="375"/>
        <v>0</v>
      </c>
      <c r="BA800" s="219">
        <f t="shared" si="376"/>
        <v>0</v>
      </c>
      <c r="BB800" s="31">
        <f t="shared" si="377"/>
        <v>0</v>
      </c>
      <c r="BC800" s="219">
        <f t="shared" si="378"/>
        <v>0</v>
      </c>
      <c r="BD800" s="31">
        <f t="shared" si="379"/>
        <v>0</v>
      </c>
      <c r="BE800" s="219">
        <f t="shared" si="380"/>
        <v>0</v>
      </c>
      <c r="BF800" s="31">
        <f t="shared" si="381"/>
        <v>0</v>
      </c>
      <c r="BG800" s="219">
        <f t="shared" si="382"/>
        <v>0</v>
      </c>
      <c r="BH800" s="31">
        <f t="shared" si="383"/>
        <v>0</v>
      </c>
      <c r="BI800" s="219">
        <f t="shared" si="384"/>
        <v>0</v>
      </c>
      <c r="BJ800" s="31">
        <f t="shared" si="385"/>
        <v>0</v>
      </c>
      <c r="BK800" s="219">
        <f t="shared" si="386"/>
        <v>0</v>
      </c>
      <c r="BL800" s="31">
        <f t="shared" si="387"/>
        <v>0</v>
      </c>
      <c r="BM800" s="219">
        <f t="shared" si="388"/>
        <v>0</v>
      </c>
      <c r="BN800" s="31">
        <f t="shared" si="389"/>
        <v>0</v>
      </c>
      <c r="BO800" s="219">
        <f t="shared" si="390"/>
        <v>0</v>
      </c>
    </row>
    <row r="801" spans="1:67" x14ac:dyDescent="0.25">
      <c r="A801" s="31" t="s">
        <v>2016</v>
      </c>
      <c r="B801" s="176" t="str">
        <f>VLOOKUP(A801,kurspris!$A$1:$B$992,2,FALSE)</f>
        <v>Religionsvetenskap 3, med kandidatuppsats</v>
      </c>
      <c r="C801" s="31">
        <v>71283</v>
      </c>
      <c r="D801" s="60" t="s">
        <v>482</v>
      </c>
      <c r="E801" s="60"/>
      <c r="F801" s="57" t="s">
        <v>2274</v>
      </c>
      <c r="H801" s="31" t="s">
        <v>2335</v>
      </c>
      <c r="I801" s="31" t="s">
        <v>2399</v>
      </c>
      <c r="J801" s="31" t="s">
        <v>2240</v>
      </c>
      <c r="L801" s="38"/>
      <c r="M801">
        <v>30</v>
      </c>
      <c r="P801" s="31">
        <v>2</v>
      </c>
      <c r="Q801" s="539">
        <v>1</v>
      </c>
      <c r="R801" s="38">
        <v>0.85</v>
      </c>
      <c r="S801" s="280">
        <f t="shared" si="363"/>
        <v>0.85</v>
      </c>
      <c r="T801" s="31">
        <f>VLOOKUP(A801,'Ansvar kurs'!$A$1:$C$1123,2,FALSE)</f>
        <v>1630</v>
      </c>
      <c r="U801" s="31" t="str">
        <f>VLOOKUP(T801,Orgenheter!$A$1:$C$166,2,FALSE)</f>
        <v>Inst för ide- o samhällsstudier</v>
      </c>
      <c r="V801" s="31" t="str">
        <f>VLOOKUP(T801,Orgenheter!$A$1:$C$166,3,FALSE)</f>
        <v>Hum</v>
      </c>
      <c r="W801" s="35" t="str">
        <f>VLOOKUP(D801,Program!$A$1:$B$36,2,FALSE)</f>
        <v>Ämneslärarprogrammet - Gy</v>
      </c>
      <c r="X801" s="40">
        <f>VLOOKUP(A801,kurspris!$A$1:$Q$913,15,FALSE)</f>
        <v>20766</v>
      </c>
      <c r="Y801" s="40">
        <f>VLOOKUP(A801,kurspris!$A$1:$Q$913,16,FALSE)</f>
        <v>17442</v>
      </c>
      <c r="Z801" s="40">
        <f t="shared" si="364"/>
        <v>35591.699999999997</v>
      </c>
      <c r="AA801" s="40">
        <f>VLOOKUP(A801,kurspris!$A$1:$Q$913,17,FALSE)</f>
        <v>6000</v>
      </c>
      <c r="AB801" s="40">
        <f t="shared" si="365"/>
        <v>6000</v>
      </c>
      <c r="AC801" s="40">
        <f t="shared" si="366"/>
        <v>41591.699999999997</v>
      </c>
      <c r="AD801" s="31">
        <f>VLOOKUP($A801,kurspris!$A$1:$Q$950,3,FALSE)</f>
        <v>0</v>
      </c>
      <c r="AE801" s="31">
        <f>VLOOKUP($A801,kurspris!$A$1:$Q$950,4,FALSE)</f>
        <v>1</v>
      </c>
      <c r="AF801" s="31">
        <f>VLOOKUP($A801,kurspris!$A$1:$Q$950,5,FALSE)</f>
        <v>0</v>
      </c>
      <c r="AG801" s="31">
        <f>VLOOKUP($A801,kurspris!$A$1:$Q$950,6,FALSE)</f>
        <v>0</v>
      </c>
      <c r="AH801" s="31">
        <f>VLOOKUP($A801,kurspris!$A$1:$Q$950,7,FALSE)</f>
        <v>0</v>
      </c>
      <c r="AI801" s="31">
        <f>VLOOKUP($A801,kurspris!$A$1:$Q$950,8,FALSE)</f>
        <v>0</v>
      </c>
      <c r="AJ801" s="31">
        <f>VLOOKUP($A801,kurspris!$A$1:$Q$950,9,FALSE)</f>
        <v>0</v>
      </c>
      <c r="AK801" s="31">
        <f>VLOOKUP($A801,kurspris!$A$1:$Q$950,10,FALSE)</f>
        <v>0</v>
      </c>
      <c r="AL801" s="31">
        <f>VLOOKUP($A801,kurspris!$A$1:$Q$950,11,FALSE)</f>
        <v>0</v>
      </c>
      <c r="AM801" s="31">
        <f>VLOOKUP($A801,kurspris!$A$1:$Q$950,12,FALSE)</f>
        <v>0</v>
      </c>
      <c r="AN801" s="31">
        <f>VLOOKUP($A801,kurspris!$A$1:$Q$950,13,FALSE)</f>
        <v>0</v>
      </c>
      <c r="AO801" s="31">
        <f>VLOOKUP($A801,kurspris!$A$1:$Q$950,14,FALSE)</f>
        <v>0</v>
      </c>
      <c r="AP801" s="57" t="s">
        <v>2402</v>
      </c>
      <c r="AQ801"/>
      <c r="AR801" s="31">
        <f t="shared" si="367"/>
        <v>0</v>
      </c>
      <c r="AS801" s="219">
        <f t="shared" si="368"/>
        <v>0</v>
      </c>
      <c r="AT801" s="31">
        <f t="shared" si="369"/>
        <v>1</v>
      </c>
      <c r="AU801" s="219">
        <f t="shared" si="370"/>
        <v>0.85</v>
      </c>
      <c r="AV801" s="31">
        <f t="shared" si="371"/>
        <v>0</v>
      </c>
      <c r="AW801" s="31">
        <f t="shared" si="372"/>
        <v>0</v>
      </c>
      <c r="AX801" s="31">
        <f t="shared" si="373"/>
        <v>0</v>
      </c>
      <c r="AY801" s="219">
        <f t="shared" si="374"/>
        <v>0</v>
      </c>
      <c r="AZ801" s="196">
        <f t="shared" si="375"/>
        <v>0</v>
      </c>
      <c r="BA801" s="219">
        <f t="shared" si="376"/>
        <v>0</v>
      </c>
      <c r="BB801" s="31">
        <f t="shared" si="377"/>
        <v>0</v>
      </c>
      <c r="BC801" s="219">
        <f t="shared" si="378"/>
        <v>0</v>
      </c>
      <c r="BD801" s="31">
        <f t="shared" si="379"/>
        <v>0</v>
      </c>
      <c r="BE801" s="219">
        <f t="shared" si="380"/>
        <v>0</v>
      </c>
      <c r="BF801" s="31">
        <f t="shared" si="381"/>
        <v>0</v>
      </c>
      <c r="BG801" s="219">
        <f t="shared" si="382"/>
        <v>0</v>
      </c>
      <c r="BH801" s="31">
        <f t="shared" si="383"/>
        <v>0</v>
      </c>
      <c r="BI801" s="219">
        <f t="shared" si="384"/>
        <v>0</v>
      </c>
      <c r="BJ801" s="31">
        <f t="shared" si="385"/>
        <v>0</v>
      </c>
      <c r="BK801" s="219">
        <f t="shared" si="386"/>
        <v>0</v>
      </c>
      <c r="BL801" s="31">
        <f t="shared" si="387"/>
        <v>0</v>
      </c>
      <c r="BM801" s="219">
        <f t="shared" si="388"/>
        <v>0</v>
      </c>
      <c r="BN801" s="31">
        <f t="shared" si="389"/>
        <v>0</v>
      </c>
      <c r="BO801" s="219">
        <f t="shared" si="390"/>
        <v>0</v>
      </c>
    </row>
    <row r="802" spans="1:67" x14ac:dyDescent="0.25">
      <c r="A802" s="31" t="s">
        <v>2016</v>
      </c>
      <c r="B802" s="176" t="str">
        <f>VLOOKUP(A802,kurspris!$A$1:$B$992,2,FALSE)</f>
        <v>Religionsvetenskap 3, med kandidatuppsats</v>
      </c>
      <c r="C802" s="31">
        <v>71283</v>
      </c>
      <c r="D802" s="31" t="s">
        <v>482</v>
      </c>
      <c r="F802" s="57" t="s">
        <v>2274</v>
      </c>
      <c r="H802" s="31" t="s">
        <v>2335</v>
      </c>
      <c r="I802" s="31" t="s">
        <v>2399</v>
      </c>
      <c r="L802" s="38"/>
      <c r="M802">
        <v>30</v>
      </c>
      <c r="P802" s="31">
        <v>1</v>
      </c>
      <c r="Q802" s="539">
        <v>0.5</v>
      </c>
      <c r="R802" s="38">
        <v>0.85</v>
      </c>
      <c r="S802" s="280">
        <f t="shared" si="363"/>
        <v>0.42499999999999999</v>
      </c>
      <c r="T802" s="31">
        <f>VLOOKUP(A802,'Ansvar kurs'!$A$1:$C$1123,2,FALSE)</f>
        <v>1630</v>
      </c>
      <c r="U802" s="31" t="str">
        <f>VLOOKUP(T802,Orgenheter!$A$1:$C$166,2,FALSE)</f>
        <v>Inst för ide- o samhällsstudier</v>
      </c>
      <c r="V802" s="31" t="str">
        <f>VLOOKUP(T802,Orgenheter!$A$1:$C$166,3,FALSE)</f>
        <v>Hum</v>
      </c>
      <c r="W802" s="35" t="str">
        <f>VLOOKUP(D802,Program!$A$1:$B$36,2,FALSE)</f>
        <v>Ämneslärarprogrammet - Gy</v>
      </c>
      <c r="X802" s="40">
        <f>VLOOKUP(A802,kurspris!$A$1:$Q$913,15,FALSE)</f>
        <v>20766</v>
      </c>
      <c r="Y802" s="40">
        <f>VLOOKUP(A802,kurspris!$A$1:$Q$913,16,FALSE)</f>
        <v>17442</v>
      </c>
      <c r="Z802" s="40">
        <f t="shared" si="364"/>
        <v>17795.849999999999</v>
      </c>
      <c r="AA802" s="40">
        <f>VLOOKUP(A802,kurspris!$A$1:$Q$913,17,FALSE)</f>
        <v>6000</v>
      </c>
      <c r="AB802" s="40">
        <f t="shared" si="365"/>
        <v>3000</v>
      </c>
      <c r="AC802" s="40">
        <f t="shared" si="366"/>
        <v>20795.849999999999</v>
      </c>
      <c r="AD802" s="31">
        <f>VLOOKUP($A802,kurspris!$A$1:$Q$950,3,FALSE)</f>
        <v>0</v>
      </c>
      <c r="AE802" s="31">
        <f>VLOOKUP($A802,kurspris!$A$1:$Q$950,4,FALSE)</f>
        <v>1</v>
      </c>
      <c r="AF802" s="31">
        <f>VLOOKUP($A802,kurspris!$A$1:$Q$950,5,FALSE)</f>
        <v>0</v>
      </c>
      <c r="AG802" s="31">
        <f>VLOOKUP($A802,kurspris!$A$1:$Q$950,6,FALSE)</f>
        <v>0</v>
      </c>
      <c r="AH802" s="31">
        <f>VLOOKUP($A802,kurspris!$A$1:$Q$950,7,FALSE)</f>
        <v>0</v>
      </c>
      <c r="AI802" s="31">
        <f>VLOOKUP($A802,kurspris!$A$1:$Q$950,8,FALSE)</f>
        <v>0</v>
      </c>
      <c r="AJ802" s="31">
        <f>VLOOKUP($A802,kurspris!$A$1:$Q$950,9,FALSE)</f>
        <v>0</v>
      </c>
      <c r="AK802" s="31">
        <f>VLOOKUP($A802,kurspris!$A$1:$Q$950,10,FALSE)</f>
        <v>0</v>
      </c>
      <c r="AL802" s="31">
        <f>VLOOKUP($A802,kurspris!$A$1:$Q$950,11,FALSE)</f>
        <v>0</v>
      </c>
      <c r="AM802" s="31">
        <f>VLOOKUP($A802,kurspris!$A$1:$Q$950,12,FALSE)</f>
        <v>0</v>
      </c>
      <c r="AN802" s="31">
        <f>VLOOKUP($A802,kurspris!$A$1:$Q$950,13,FALSE)</f>
        <v>0</v>
      </c>
      <c r="AO802" s="31">
        <f>VLOOKUP($A802,kurspris!$A$1:$Q$950,14,FALSE)</f>
        <v>0</v>
      </c>
      <c r="AP802" s="57" t="s">
        <v>2402</v>
      </c>
      <c r="AQ802"/>
      <c r="AR802" s="31">
        <f t="shared" si="367"/>
        <v>0</v>
      </c>
      <c r="AS802" s="219">
        <f t="shared" si="368"/>
        <v>0</v>
      </c>
      <c r="AT802" s="31">
        <f t="shared" si="369"/>
        <v>0.5</v>
      </c>
      <c r="AU802" s="219">
        <f t="shared" si="370"/>
        <v>0.42499999999999999</v>
      </c>
      <c r="AV802" s="31">
        <f t="shared" si="371"/>
        <v>0</v>
      </c>
      <c r="AW802" s="31">
        <f t="shared" si="372"/>
        <v>0</v>
      </c>
      <c r="AX802" s="31">
        <f t="shared" si="373"/>
        <v>0</v>
      </c>
      <c r="AY802" s="219">
        <f t="shared" si="374"/>
        <v>0</v>
      </c>
      <c r="AZ802" s="196">
        <f t="shared" si="375"/>
        <v>0</v>
      </c>
      <c r="BA802" s="219">
        <f t="shared" si="376"/>
        <v>0</v>
      </c>
      <c r="BB802" s="31">
        <f t="shared" si="377"/>
        <v>0</v>
      </c>
      <c r="BC802" s="219">
        <f t="shared" si="378"/>
        <v>0</v>
      </c>
      <c r="BD802" s="31">
        <f t="shared" si="379"/>
        <v>0</v>
      </c>
      <c r="BE802" s="219">
        <f t="shared" si="380"/>
        <v>0</v>
      </c>
      <c r="BF802" s="31">
        <f t="shared" si="381"/>
        <v>0</v>
      </c>
      <c r="BG802" s="219">
        <f t="shared" si="382"/>
        <v>0</v>
      </c>
      <c r="BH802" s="31">
        <f t="shared" si="383"/>
        <v>0</v>
      </c>
      <c r="BI802" s="219">
        <f t="shared" si="384"/>
        <v>0</v>
      </c>
      <c r="BJ802" s="31">
        <f t="shared" si="385"/>
        <v>0</v>
      </c>
      <c r="BK802" s="219">
        <f t="shared" si="386"/>
        <v>0</v>
      </c>
      <c r="BL802" s="31">
        <f t="shared" si="387"/>
        <v>0</v>
      </c>
      <c r="BM802" s="219">
        <f t="shared" si="388"/>
        <v>0</v>
      </c>
      <c r="BN802" s="31">
        <f t="shared" si="389"/>
        <v>0</v>
      </c>
      <c r="BO802" s="219">
        <f t="shared" si="390"/>
        <v>0</v>
      </c>
    </row>
    <row r="803" spans="1:67" x14ac:dyDescent="0.25">
      <c r="A803" s="31" t="s">
        <v>862</v>
      </c>
      <c r="B803" s="176" t="str">
        <f>VLOOKUP(A803,kurspris!$A$1:$B$992,2,FALSE)</f>
        <v>Spanska I för ämneslärare</v>
      </c>
      <c r="C803" s="31">
        <v>71410</v>
      </c>
      <c r="D803" s="60" t="s">
        <v>117</v>
      </c>
      <c r="E803" s="60"/>
      <c r="F803" s="57" t="s">
        <v>2274</v>
      </c>
      <c r="H803" s="31" t="s">
        <v>2335</v>
      </c>
      <c r="I803" s="31" t="s">
        <v>2399</v>
      </c>
      <c r="L803" s="38"/>
      <c r="M803">
        <v>30</v>
      </c>
      <c r="P803" s="31">
        <v>4</v>
      </c>
      <c r="Q803" s="539">
        <v>2</v>
      </c>
      <c r="R803" s="38">
        <v>0.8</v>
      </c>
      <c r="S803" s="280">
        <f t="shared" si="363"/>
        <v>1.6</v>
      </c>
      <c r="T803" s="31">
        <f>VLOOKUP(A803,'Ansvar kurs'!$A$1:$C$1123,2,FALSE)</f>
        <v>1620</v>
      </c>
      <c r="U803" s="31" t="str">
        <f>VLOOKUP(T803,Orgenheter!$A$1:$C$166,2,FALSE)</f>
        <v>Inst för språkstudier</v>
      </c>
      <c r="V803" s="31" t="str">
        <f>VLOOKUP(T803,Orgenheter!$A$1:$C$166,3,FALSE)</f>
        <v>Hum</v>
      </c>
      <c r="W803" s="35" t="str">
        <f>VLOOKUP(D803,Program!$A$1:$B$36,2,FALSE)</f>
        <v>Fristående och övriga kurser</v>
      </c>
      <c r="X803" s="40">
        <f>VLOOKUP(A803,kurspris!$A$1:$Q$913,15,FALSE)</f>
        <v>20766</v>
      </c>
      <c r="Y803" s="40">
        <f>VLOOKUP(A803,kurspris!$A$1:$Q$913,16,FALSE)</f>
        <v>17442</v>
      </c>
      <c r="Z803" s="40">
        <f t="shared" si="364"/>
        <v>69439.199999999997</v>
      </c>
      <c r="AA803" s="40">
        <f>VLOOKUP(A803,kurspris!$A$1:$Q$913,17,FALSE)</f>
        <v>6000</v>
      </c>
      <c r="AB803" s="40">
        <f t="shared" si="365"/>
        <v>12000</v>
      </c>
      <c r="AC803" s="40">
        <f t="shared" si="366"/>
        <v>81439.199999999997</v>
      </c>
      <c r="AD803" s="31">
        <f>VLOOKUP($A803,kurspris!$A$1:$Q$950,3,FALSE)</f>
        <v>0</v>
      </c>
      <c r="AE803" s="31">
        <f>VLOOKUP($A803,kurspris!$A$1:$Q$950,4,FALSE)</f>
        <v>1</v>
      </c>
      <c r="AF803" s="31">
        <f>VLOOKUP($A803,kurspris!$A$1:$Q$950,5,FALSE)</f>
        <v>0</v>
      </c>
      <c r="AG803" s="31">
        <f>VLOOKUP($A803,kurspris!$A$1:$Q$950,6,FALSE)</f>
        <v>0</v>
      </c>
      <c r="AH803" s="31">
        <f>VLOOKUP($A803,kurspris!$A$1:$Q$950,7,FALSE)</f>
        <v>0</v>
      </c>
      <c r="AI803" s="31">
        <f>VLOOKUP($A803,kurspris!$A$1:$Q$950,8,FALSE)</f>
        <v>0</v>
      </c>
      <c r="AJ803" s="31">
        <f>VLOOKUP($A803,kurspris!$A$1:$Q$950,9,FALSE)</f>
        <v>0</v>
      </c>
      <c r="AK803" s="31">
        <f>VLOOKUP($A803,kurspris!$A$1:$Q$950,10,FALSE)</f>
        <v>0</v>
      </c>
      <c r="AL803" s="31">
        <f>VLOOKUP($A803,kurspris!$A$1:$Q$950,11,FALSE)</f>
        <v>0</v>
      </c>
      <c r="AM803" s="31">
        <f>VLOOKUP($A803,kurspris!$A$1:$Q$950,12,FALSE)</f>
        <v>0</v>
      </c>
      <c r="AN803" s="31">
        <f>VLOOKUP($A803,kurspris!$A$1:$Q$950,13,FALSE)</f>
        <v>0</v>
      </c>
      <c r="AO803" s="31">
        <f>VLOOKUP($A803,kurspris!$A$1:$Q$950,14,FALSE)</f>
        <v>0</v>
      </c>
      <c r="AP803" s="57" t="s">
        <v>2402</v>
      </c>
      <c r="AQ803"/>
      <c r="AR803" s="31">
        <f t="shared" si="367"/>
        <v>0</v>
      </c>
      <c r="AS803" s="219">
        <f t="shared" si="368"/>
        <v>0</v>
      </c>
      <c r="AT803" s="31">
        <f t="shared" si="369"/>
        <v>2</v>
      </c>
      <c r="AU803" s="219">
        <f t="shared" si="370"/>
        <v>1.6</v>
      </c>
      <c r="AV803" s="31">
        <f t="shared" si="371"/>
        <v>0</v>
      </c>
      <c r="AW803" s="31">
        <f t="shared" si="372"/>
        <v>0</v>
      </c>
      <c r="AX803" s="31">
        <f t="shared" si="373"/>
        <v>0</v>
      </c>
      <c r="AY803" s="219">
        <f t="shared" si="374"/>
        <v>0</v>
      </c>
      <c r="AZ803" s="196">
        <f t="shared" si="375"/>
        <v>0</v>
      </c>
      <c r="BA803" s="219">
        <f t="shared" si="376"/>
        <v>0</v>
      </c>
      <c r="BB803" s="31">
        <f t="shared" si="377"/>
        <v>0</v>
      </c>
      <c r="BC803" s="219">
        <f t="shared" si="378"/>
        <v>0</v>
      </c>
      <c r="BD803" s="31">
        <f t="shared" si="379"/>
        <v>0</v>
      </c>
      <c r="BE803" s="219">
        <f t="shared" si="380"/>
        <v>0</v>
      </c>
      <c r="BF803" s="31">
        <f t="shared" si="381"/>
        <v>0</v>
      </c>
      <c r="BG803" s="219">
        <f t="shared" si="382"/>
        <v>0</v>
      </c>
      <c r="BH803" s="31">
        <f t="shared" si="383"/>
        <v>0</v>
      </c>
      <c r="BI803" s="219">
        <f t="shared" si="384"/>
        <v>0</v>
      </c>
      <c r="BJ803" s="31">
        <f t="shared" si="385"/>
        <v>0</v>
      </c>
      <c r="BK803" s="219">
        <f t="shared" si="386"/>
        <v>0</v>
      </c>
      <c r="BL803" s="31">
        <f t="shared" si="387"/>
        <v>0</v>
      </c>
      <c r="BM803" s="219">
        <f t="shared" si="388"/>
        <v>0</v>
      </c>
      <c r="BN803" s="31">
        <f t="shared" si="389"/>
        <v>0</v>
      </c>
      <c r="BO803" s="219">
        <f t="shared" si="390"/>
        <v>0</v>
      </c>
    </row>
    <row r="804" spans="1:67" x14ac:dyDescent="0.25">
      <c r="A804" s="31" t="s">
        <v>862</v>
      </c>
      <c r="B804" s="176" t="str">
        <f>VLOOKUP(A804,kurspris!$A$1:$B$992,2,FALSE)</f>
        <v>Spanska I för ämneslärare</v>
      </c>
      <c r="C804" s="31">
        <v>71410</v>
      </c>
      <c r="D804" s="60" t="s">
        <v>482</v>
      </c>
      <c r="E804" s="60"/>
      <c r="F804" s="57" t="s">
        <v>2274</v>
      </c>
      <c r="H804" s="31" t="s">
        <v>2335</v>
      </c>
      <c r="I804" s="31" t="s">
        <v>2399</v>
      </c>
      <c r="J804" s="31" t="s">
        <v>2231</v>
      </c>
      <c r="L804" s="38"/>
      <c r="M804">
        <v>30</v>
      </c>
      <c r="P804" s="31">
        <v>2</v>
      </c>
      <c r="Q804" s="539">
        <v>1</v>
      </c>
      <c r="R804" s="38">
        <v>0.85</v>
      </c>
      <c r="S804" s="280">
        <f t="shared" si="363"/>
        <v>0.85</v>
      </c>
      <c r="T804" s="31">
        <f>VLOOKUP(A804,'Ansvar kurs'!$A$1:$C$1123,2,FALSE)</f>
        <v>1620</v>
      </c>
      <c r="U804" s="31" t="str">
        <f>VLOOKUP(T804,Orgenheter!$A$1:$C$166,2,FALSE)</f>
        <v>Inst för språkstudier</v>
      </c>
      <c r="V804" s="31" t="str">
        <f>VLOOKUP(T804,Orgenheter!$A$1:$C$166,3,FALSE)</f>
        <v>Hum</v>
      </c>
      <c r="W804" s="35" t="str">
        <f>VLOOKUP(D804,Program!$A$1:$B$36,2,FALSE)</f>
        <v>Ämneslärarprogrammet - Gy</v>
      </c>
      <c r="X804" s="40">
        <f>VLOOKUP(A804,kurspris!$A$1:$Q$913,15,FALSE)</f>
        <v>20766</v>
      </c>
      <c r="Y804" s="40">
        <f>VLOOKUP(A804,kurspris!$A$1:$Q$913,16,FALSE)</f>
        <v>17442</v>
      </c>
      <c r="Z804" s="40">
        <f t="shared" si="364"/>
        <v>35591.699999999997</v>
      </c>
      <c r="AA804" s="40">
        <f>VLOOKUP(A804,kurspris!$A$1:$Q$913,17,FALSE)</f>
        <v>6000</v>
      </c>
      <c r="AB804" s="40">
        <f t="shared" si="365"/>
        <v>6000</v>
      </c>
      <c r="AC804" s="40">
        <f t="shared" si="366"/>
        <v>41591.699999999997</v>
      </c>
      <c r="AD804" s="31">
        <f>VLOOKUP($A804,kurspris!$A$1:$Q$950,3,FALSE)</f>
        <v>0</v>
      </c>
      <c r="AE804" s="31">
        <f>VLOOKUP($A804,kurspris!$A$1:$Q$950,4,FALSE)</f>
        <v>1</v>
      </c>
      <c r="AF804" s="31">
        <f>VLOOKUP($A804,kurspris!$A$1:$Q$950,5,FALSE)</f>
        <v>0</v>
      </c>
      <c r="AG804" s="31">
        <f>VLOOKUP($A804,kurspris!$A$1:$Q$950,6,FALSE)</f>
        <v>0</v>
      </c>
      <c r="AH804" s="31">
        <f>VLOOKUP($A804,kurspris!$A$1:$Q$950,7,FALSE)</f>
        <v>0</v>
      </c>
      <c r="AI804" s="31">
        <f>VLOOKUP($A804,kurspris!$A$1:$Q$950,8,FALSE)</f>
        <v>0</v>
      </c>
      <c r="AJ804" s="31">
        <f>VLOOKUP($A804,kurspris!$A$1:$Q$950,9,FALSE)</f>
        <v>0</v>
      </c>
      <c r="AK804" s="31">
        <f>VLOOKUP($A804,kurspris!$A$1:$Q$950,10,FALSE)</f>
        <v>0</v>
      </c>
      <c r="AL804" s="31">
        <f>VLOOKUP($A804,kurspris!$A$1:$Q$950,11,FALSE)</f>
        <v>0</v>
      </c>
      <c r="AM804" s="31">
        <f>VLOOKUP($A804,kurspris!$A$1:$Q$950,12,FALSE)</f>
        <v>0</v>
      </c>
      <c r="AN804" s="31">
        <f>VLOOKUP($A804,kurspris!$A$1:$Q$950,13,FALSE)</f>
        <v>0</v>
      </c>
      <c r="AO804" s="31">
        <f>VLOOKUP($A804,kurspris!$A$1:$Q$950,14,FALSE)</f>
        <v>0</v>
      </c>
      <c r="AP804" s="57" t="s">
        <v>2402</v>
      </c>
      <c r="AQ804"/>
      <c r="AR804" s="31">
        <f t="shared" si="367"/>
        <v>0</v>
      </c>
      <c r="AS804" s="219">
        <f t="shared" si="368"/>
        <v>0</v>
      </c>
      <c r="AT804" s="31">
        <f t="shared" si="369"/>
        <v>1</v>
      </c>
      <c r="AU804" s="219">
        <f t="shared" si="370"/>
        <v>0.85</v>
      </c>
      <c r="AV804" s="31">
        <f t="shared" si="371"/>
        <v>0</v>
      </c>
      <c r="AW804" s="31">
        <f t="shared" si="372"/>
        <v>0</v>
      </c>
      <c r="AX804" s="31">
        <f t="shared" si="373"/>
        <v>0</v>
      </c>
      <c r="AY804" s="219">
        <f t="shared" si="374"/>
        <v>0</v>
      </c>
      <c r="AZ804" s="196">
        <f t="shared" si="375"/>
        <v>0</v>
      </c>
      <c r="BA804" s="219">
        <f t="shared" si="376"/>
        <v>0</v>
      </c>
      <c r="BB804" s="31">
        <f t="shared" si="377"/>
        <v>0</v>
      </c>
      <c r="BC804" s="219">
        <f t="shared" si="378"/>
        <v>0</v>
      </c>
      <c r="BD804" s="31">
        <f t="shared" si="379"/>
        <v>0</v>
      </c>
      <c r="BE804" s="219">
        <f t="shared" si="380"/>
        <v>0</v>
      </c>
      <c r="BF804" s="31">
        <f t="shared" si="381"/>
        <v>0</v>
      </c>
      <c r="BG804" s="219">
        <f t="shared" si="382"/>
        <v>0</v>
      </c>
      <c r="BH804" s="31">
        <f t="shared" si="383"/>
        <v>0</v>
      </c>
      <c r="BI804" s="219">
        <f t="shared" si="384"/>
        <v>0</v>
      </c>
      <c r="BJ804" s="31">
        <f t="shared" si="385"/>
        <v>0</v>
      </c>
      <c r="BK804" s="219">
        <f t="shared" si="386"/>
        <v>0</v>
      </c>
      <c r="BL804" s="31">
        <f t="shared" si="387"/>
        <v>0</v>
      </c>
      <c r="BM804" s="219">
        <f t="shared" si="388"/>
        <v>0</v>
      </c>
      <c r="BN804" s="31">
        <f t="shared" si="389"/>
        <v>0</v>
      </c>
      <c r="BO804" s="219">
        <f t="shared" si="390"/>
        <v>0</v>
      </c>
    </row>
    <row r="805" spans="1:67" x14ac:dyDescent="0.25">
      <c r="A805" s="31" t="s">
        <v>862</v>
      </c>
      <c r="B805" s="176" t="str">
        <f>VLOOKUP(A805,kurspris!$A$1:$B$992,2,FALSE)</f>
        <v>Spanska I för ämneslärare</v>
      </c>
      <c r="C805" s="31">
        <v>71410</v>
      </c>
      <c r="D805" s="60" t="s">
        <v>482</v>
      </c>
      <c r="E805" s="60"/>
      <c r="F805" s="57" t="s">
        <v>2274</v>
      </c>
      <c r="H805" s="31" t="s">
        <v>2335</v>
      </c>
      <c r="I805" s="31" t="s">
        <v>2399</v>
      </c>
      <c r="J805" s="31" t="s">
        <v>2243</v>
      </c>
      <c r="L805" s="38"/>
      <c r="M805">
        <v>30</v>
      </c>
      <c r="P805" s="31">
        <v>3</v>
      </c>
      <c r="Q805" s="539">
        <v>1.5</v>
      </c>
      <c r="R805" s="38">
        <v>0.85</v>
      </c>
      <c r="S805" s="280">
        <f t="shared" si="363"/>
        <v>1.2749999999999999</v>
      </c>
      <c r="T805" s="31">
        <f>VLOOKUP(A805,'Ansvar kurs'!$A$1:$C$1123,2,FALSE)</f>
        <v>1620</v>
      </c>
      <c r="U805" s="31" t="str">
        <f>VLOOKUP(T805,Orgenheter!$A$1:$C$166,2,FALSE)</f>
        <v>Inst för språkstudier</v>
      </c>
      <c r="V805" s="31" t="str">
        <f>VLOOKUP(T805,Orgenheter!$A$1:$C$166,3,FALSE)</f>
        <v>Hum</v>
      </c>
      <c r="W805" s="35" t="str">
        <f>VLOOKUP(D805,Program!$A$1:$B$36,2,FALSE)</f>
        <v>Ämneslärarprogrammet - Gy</v>
      </c>
      <c r="X805" s="40">
        <f>VLOOKUP(A805,kurspris!$A$1:$Q$913,15,FALSE)</f>
        <v>20766</v>
      </c>
      <c r="Y805" s="40">
        <f>VLOOKUP(A805,kurspris!$A$1:$Q$913,16,FALSE)</f>
        <v>17442</v>
      </c>
      <c r="Z805" s="40">
        <f t="shared" si="364"/>
        <v>53387.55</v>
      </c>
      <c r="AA805" s="40">
        <f>VLOOKUP(A805,kurspris!$A$1:$Q$913,17,FALSE)</f>
        <v>6000</v>
      </c>
      <c r="AB805" s="40">
        <f t="shared" si="365"/>
        <v>9000</v>
      </c>
      <c r="AC805" s="40">
        <f t="shared" si="366"/>
        <v>62387.55</v>
      </c>
      <c r="AD805" s="31">
        <f>VLOOKUP($A805,kurspris!$A$1:$Q$950,3,FALSE)</f>
        <v>0</v>
      </c>
      <c r="AE805" s="31">
        <f>VLOOKUP($A805,kurspris!$A$1:$Q$950,4,FALSE)</f>
        <v>1</v>
      </c>
      <c r="AF805" s="31">
        <f>VLOOKUP($A805,kurspris!$A$1:$Q$950,5,FALSE)</f>
        <v>0</v>
      </c>
      <c r="AG805" s="31">
        <f>VLOOKUP($A805,kurspris!$A$1:$Q$950,6,FALSE)</f>
        <v>0</v>
      </c>
      <c r="AH805" s="31">
        <f>VLOOKUP($A805,kurspris!$A$1:$Q$950,7,FALSE)</f>
        <v>0</v>
      </c>
      <c r="AI805" s="31">
        <f>VLOOKUP($A805,kurspris!$A$1:$Q$950,8,FALSE)</f>
        <v>0</v>
      </c>
      <c r="AJ805" s="31">
        <f>VLOOKUP($A805,kurspris!$A$1:$Q$950,9,FALSE)</f>
        <v>0</v>
      </c>
      <c r="AK805" s="31">
        <f>VLOOKUP($A805,kurspris!$A$1:$Q$950,10,FALSE)</f>
        <v>0</v>
      </c>
      <c r="AL805" s="31">
        <f>VLOOKUP($A805,kurspris!$A$1:$Q$950,11,FALSE)</f>
        <v>0</v>
      </c>
      <c r="AM805" s="31">
        <f>VLOOKUP($A805,kurspris!$A$1:$Q$950,12,FALSE)</f>
        <v>0</v>
      </c>
      <c r="AN805" s="31">
        <f>VLOOKUP($A805,kurspris!$A$1:$Q$950,13,FALSE)</f>
        <v>0</v>
      </c>
      <c r="AO805" s="31">
        <f>VLOOKUP($A805,kurspris!$A$1:$Q$950,14,FALSE)</f>
        <v>0</v>
      </c>
      <c r="AP805" s="57" t="s">
        <v>2402</v>
      </c>
      <c r="AQ805"/>
      <c r="AR805" s="31">
        <f t="shared" si="367"/>
        <v>0</v>
      </c>
      <c r="AS805" s="219">
        <f t="shared" si="368"/>
        <v>0</v>
      </c>
      <c r="AT805" s="31">
        <f t="shared" si="369"/>
        <v>1.5</v>
      </c>
      <c r="AU805" s="219">
        <f t="shared" si="370"/>
        <v>1.2749999999999999</v>
      </c>
      <c r="AV805" s="31">
        <f t="shared" si="371"/>
        <v>0</v>
      </c>
      <c r="AW805" s="31">
        <f t="shared" si="372"/>
        <v>0</v>
      </c>
      <c r="AX805" s="31">
        <f t="shared" si="373"/>
        <v>0</v>
      </c>
      <c r="AY805" s="219">
        <f t="shared" si="374"/>
        <v>0</v>
      </c>
      <c r="AZ805" s="196">
        <f t="shared" si="375"/>
        <v>0</v>
      </c>
      <c r="BA805" s="219">
        <f t="shared" si="376"/>
        <v>0</v>
      </c>
      <c r="BB805" s="31">
        <f t="shared" si="377"/>
        <v>0</v>
      </c>
      <c r="BC805" s="219">
        <f t="shared" si="378"/>
        <v>0</v>
      </c>
      <c r="BD805" s="31">
        <f t="shared" si="379"/>
        <v>0</v>
      </c>
      <c r="BE805" s="219">
        <f t="shared" si="380"/>
        <v>0</v>
      </c>
      <c r="BF805" s="31">
        <f t="shared" si="381"/>
        <v>0</v>
      </c>
      <c r="BG805" s="219">
        <f t="shared" si="382"/>
        <v>0</v>
      </c>
      <c r="BH805" s="31">
        <f t="shared" si="383"/>
        <v>0</v>
      </c>
      <c r="BI805" s="219">
        <f t="shared" si="384"/>
        <v>0</v>
      </c>
      <c r="BJ805" s="31">
        <f t="shared" si="385"/>
        <v>0</v>
      </c>
      <c r="BK805" s="219">
        <f t="shared" si="386"/>
        <v>0</v>
      </c>
      <c r="BL805" s="31">
        <f t="shared" si="387"/>
        <v>0</v>
      </c>
      <c r="BM805" s="219">
        <f t="shared" si="388"/>
        <v>0</v>
      </c>
      <c r="BN805" s="31">
        <f t="shared" si="389"/>
        <v>0</v>
      </c>
      <c r="BO805" s="219">
        <f t="shared" si="390"/>
        <v>0</v>
      </c>
    </row>
    <row r="806" spans="1:67" x14ac:dyDescent="0.25">
      <c r="A806" s="31" t="s">
        <v>1700</v>
      </c>
      <c r="B806" s="176" t="str">
        <f>VLOOKUP(A806,kurspris!$A$1:$B$992,2,FALSE)</f>
        <v>Spanska för ämneslärare, kurs III</v>
      </c>
      <c r="C806" s="31">
        <v>71413</v>
      </c>
      <c r="D806" s="60" t="s">
        <v>482</v>
      </c>
      <c r="E806" s="60"/>
      <c r="F806" s="57" t="s">
        <v>2274</v>
      </c>
      <c r="H806" s="31" t="s">
        <v>2335</v>
      </c>
      <c r="I806" s="31" t="s">
        <v>2399</v>
      </c>
      <c r="J806" s="31" t="s">
        <v>2243</v>
      </c>
      <c r="L806" s="38"/>
      <c r="M806">
        <v>30</v>
      </c>
      <c r="P806" s="31">
        <v>1</v>
      </c>
      <c r="Q806" s="539">
        <v>0.5</v>
      </c>
      <c r="R806" s="38">
        <v>0.85</v>
      </c>
      <c r="S806" s="280">
        <f t="shared" si="363"/>
        <v>0.42499999999999999</v>
      </c>
      <c r="T806" s="31">
        <f>VLOOKUP(A806,'Ansvar kurs'!$A$1:$C$1123,2,FALSE)</f>
        <v>1620</v>
      </c>
      <c r="U806" s="31" t="str">
        <f>VLOOKUP(T806,Orgenheter!$A$1:$C$166,2,FALSE)</f>
        <v>Inst för språkstudier</v>
      </c>
      <c r="V806" s="31" t="str">
        <f>VLOOKUP(T806,Orgenheter!$A$1:$C$166,3,FALSE)</f>
        <v>Hum</v>
      </c>
      <c r="W806" s="35" t="str">
        <f>VLOOKUP(D806,Program!$A$1:$B$36,2,FALSE)</f>
        <v>Ämneslärarprogrammet - Gy</v>
      </c>
      <c r="X806" s="40">
        <f>VLOOKUP(A806,kurspris!$A$1:$Q$913,15,FALSE)</f>
        <v>20766</v>
      </c>
      <c r="Y806" s="40">
        <f>VLOOKUP(A806,kurspris!$A$1:$Q$913,16,FALSE)</f>
        <v>17442</v>
      </c>
      <c r="Z806" s="40">
        <f t="shared" si="364"/>
        <v>17795.849999999999</v>
      </c>
      <c r="AA806" s="40">
        <f>VLOOKUP(A806,kurspris!$A$1:$Q$913,17,FALSE)</f>
        <v>6000</v>
      </c>
      <c r="AB806" s="40">
        <f t="shared" si="365"/>
        <v>3000</v>
      </c>
      <c r="AC806" s="40">
        <f t="shared" si="366"/>
        <v>20795.849999999999</v>
      </c>
      <c r="AD806" s="31">
        <f>VLOOKUP($A806,kurspris!$A$1:$Q$950,3,FALSE)</f>
        <v>0</v>
      </c>
      <c r="AE806" s="31">
        <f>VLOOKUP($A806,kurspris!$A$1:$Q$950,4,FALSE)</f>
        <v>1</v>
      </c>
      <c r="AF806" s="31">
        <f>VLOOKUP($A806,kurspris!$A$1:$Q$950,5,FALSE)</f>
        <v>0</v>
      </c>
      <c r="AG806" s="31">
        <f>VLOOKUP($A806,kurspris!$A$1:$Q$950,6,FALSE)</f>
        <v>0</v>
      </c>
      <c r="AH806" s="31">
        <f>VLOOKUP($A806,kurspris!$A$1:$Q$950,7,FALSE)</f>
        <v>0</v>
      </c>
      <c r="AI806" s="31">
        <f>VLOOKUP($A806,kurspris!$A$1:$Q$950,8,FALSE)</f>
        <v>0</v>
      </c>
      <c r="AJ806" s="31">
        <f>VLOOKUP($A806,kurspris!$A$1:$Q$950,9,FALSE)</f>
        <v>0</v>
      </c>
      <c r="AK806" s="31">
        <f>VLOOKUP($A806,kurspris!$A$1:$Q$950,10,FALSE)</f>
        <v>0</v>
      </c>
      <c r="AL806" s="31">
        <f>VLOOKUP($A806,kurspris!$A$1:$Q$950,11,FALSE)</f>
        <v>0</v>
      </c>
      <c r="AM806" s="31">
        <f>VLOOKUP($A806,kurspris!$A$1:$Q$950,12,FALSE)</f>
        <v>0</v>
      </c>
      <c r="AN806" s="31">
        <f>VLOOKUP($A806,kurspris!$A$1:$Q$950,13,FALSE)</f>
        <v>0</v>
      </c>
      <c r="AO806" s="31">
        <f>VLOOKUP($A806,kurspris!$A$1:$Q$950,14,FALSE)</f>
        <v>0</v>
      </c>
      <c r="AP806" s="57" t="s">
        <v>2402</v>
      </c>
      <c r="AQ806"/>
      <c r="AR806" s="31">
        <f t="shared" si="367"/>
        <v>0</v>
      </c>
      <c r="AS806" s="219">
        <f t="shared" si="368"/>
        <v>0</v>
      </c>
      <c r="AT806" s="31">
        <f t="shared" si="369"/>
        <v>0.5</v>
      </c>
      <c r="AU806" s="219">
        <f t="shared" si="370"/>
        <v>0.42499999999999999</v>
      </c>
      <c r="AV806" s="31">
        <f t="shared" si="371"/>
        <v>0</v>
      </c>
      <c r="AW806" s="31">
        <f t="shared" si="372"/>
        <v>0</v>
      </c>
      <c r="AX806" s="31">
        <f t="shared" si="373"/>
        <v>0</v>
      </c>
      <c r="AY806" s="219">
        <f t="shared" si="374"/>
        <v>0</v>
      </c>
      <c r="AZ806" s="196">
        <f t="shared" si="375"/>
        <v>0</v>
      </c>
      <c r="BA806" s="219">
        <f t="shared" si="376"/>
        <v>0</v>
      </c>
      <c r="BB806" s="31">
        <f t="shared" si="377"/>
        <v>0</v>
      </c>
      <c r="BC806" s="219">
        <f t="shared" si="378"/>
        <v>0</v>
      </c>
      <c r="BD806" s="31">
        <f t="shared" si="379"/>
        <v>0</v>
      </c>
      <c r="BE806" s="219">
        <f t="shared" si="380"/>
        <v>0</v>
      </c>
      <c r="BF806" s="31">
        <f t="shared" si="381"/>
        <v>0</v>
      </c>
      <c r="BG806" s="219">
        <f t="shared" si="382"/>
        <v>0</v>
      </c>
      <c r="BH806" s="31">
        <f t="shared" si="383"/>
        <v>0</v>
      </c>
      <c r="BI806" s="219">
        <f t="shared" si="384"/>
        <v>0</v>
      </c>
      <c r="BJ806" s="31">
        <f t="shared" si="385"/>
        <v>0</v>
      </c>
      <c r="BK806" s="219">
        <f t="shared" si="386"/>
        <v>0</v>
      </c>
      <c r="BL806" s="31">
        <f t="shared" si="387"/>
        <v>0</v>
      </c>
      <c r="BM806" s="219">
        <f t="shared" si="388"/>
        <v>0</v>
      </c>
      <c r="BN806" s="31">
        <f t="shared" si="389"/>
        <v>0</v>
      </c>
      <c r="BO806" s="219">
        <f t="shared" si="390"/>
        <v>0</v>
      </c>
    </row>
    <row r="807" spans="1:67" x14ac:dyDescent="0.25">
      <c r="A807" s="31" t="s">
        <v>1700</v>
      </c>
      <c r="B807" s="176" t="str">
        <f>VLOOKUP(A807,kurspris!$A$1:$B$992,2,FALSE)</f>
        <v>Spanska för ämneslärare, kurs III</v>
      </c>
      <c r="C807" s="31">
        <v>71413</v>
      </c>
      <c r="D807" s="31" t="s">
        <v>482</v>
      </c>
      <c r="F807" s="57" t="s">
        <v>2274</v>
      </c>
      <c r="H807" s="31" t="s">
        <v>2335</v>
      </c>
      <c r="I807" s="31" t="s">
        <v>2399</v>
      </c>
      <c r="J807" s="31" t="s">
        <v>2240</v>
      </c>
      <c r="L807" s="38"/>
      <c r="M807">
        <v>30</v>
      </c>
      <c r="P807" s="31">
        <v>1</v>
      </c>
      <c r="Q807" s="539">
        <v>0.5</v>
      </c>
      <c r="R807" s="38">
        <v>0.85</v>
      </c>
      <c r="S807" s="280">
        <f t="shared" si="363"/>
        <v>0.42499999999999999</v>
      </c>
      <c r="T807" s="31">
        <f>VLOOKUP(A807,'Ansvar kurs'!$A$1:$C$1123,2,FALSE)</f>
        <v>1620</v>
      </c>
      <c r="U807" s="31" t="str">
        <f>VLOOKUP(T807,Orgenheter!$A$1:$C$166,2,FALSE)</f>
        <v>Inst för språkstudier</v>
      </c>
      <c r="V807" s="31" t="str">
        <f>VLOOKUP(T807,Orgenheter!$A$1:$C$166,3,FALSE)</f>
        <v>Hum</v>
      </c>
      <c r="W807" s="35" t="str">
        <f>VLOOKUP(D807,Program!$A$1:$B$36,2,FALSE)</f>
        <v>Ämneslärarprogrammet - Gy</v>
      </c>
      <c r="X807" s="40">
        <f>VLOOKUP(A807,kurspris!$A$1:$Q$913,15,FALSE)</f>
        <v>20766</v>
      </c>
      <c r="Y807" s="40">
        <f>VLOOKUP(A807,kurspris!$A$1:$Q$913,16,FALSE)</f>
        <v>17442</v>
      </c>
      <c r="Z807" s="40">
        <f t="shared" si="364"/>
        <v>17795.849999999999</v>
      </c>
      <c r="AA807" s="40">
        <f>VLOOKUP(A807,kurspris!$A$1:$Q$913,17,FALSE)</f>
        <v>6000</v>
      </c>
      <c r="AB807" s="40">
        <f t="shared" si="365"/>
        <v>3000</v>
      </c>
      <c r="AC807" s="40">
        <f t="shared" si="366"/>
        <v>20795.849999999999</v>
      </c>
      <c r="AD807" s="31">
        <f>VLOOKUP($A807,kurspris!$A$1:$Q$950,3,FALSE)</f>
        <v>0</v>
      </c>
      <c r="AE807" s="31">
        <f>VLOOKUP($A807,kurspris!$A$1:$Q$950,4,FALSE)</f>
        <v>1</v>
      </c>
      <c r="AF807" s="31">
        <f>VLOOKUP($A807,kurspris!$A$1:$Q$950,5,FALSE)</f>
        <v>0</v>
      </c>
      <c r="AG807" s="31">
        <f>VLOOKUP($A807,kurspris!$A$1:$Q$950,6,FALSE)</f>
        <v>0</v>
      </c>
      <c r="AH807" s="31">
        <f>VLOOKUP($A807,kurspris!$A$1:$Q$950,7,FALSE)</f>
        <v>0</v>
      </c>
      <c r="AI807" s="31">
        <f>VLOOKUP($A807,kurspris!$A$1:$Q$950,8,FALSE)</f>
        <v>0</v>
      </c>
      <c r="AJ807" s="31">
        <f>VLOOKUP($A807,kurspris!$A$1:$Q$950,9,FALSE)</f>
        <v>0</v>
      </c>
      <c r="AK807" s="31">
        <f>VLOOKUP($A807,kurspris!$A$1:$Q$950,10,FALSE)</f>
        <v>0</v>
      </c>
      <c r="AL807" s="31">
        <f>VLOOKUP($A807,kurspris!$A$1:$Q$950,11,FALSE)</f>
        <v>0</v>
      </c>
      <c r="AM807" s="31">
        <f>VLOOKUP($A807,kurspris!$A$1:$Q$950,12,FALSE)</f>
        <v>0</v>
      </c>
      <c r="AN807" s="31">
        <f>VLOOKUP($A807,kurspris!$A$1:$Q$950,13,FALSE)</f>
        <v>0</v>
      </c>
      <c r="AO807" s="31">
        <f>VLOOKUP($A807,kurspris!$A$1:$Q$950,14,FALSE)</f>
        <v>0</v>
      </c>
      <c r="AP807" s="57" t="s">
        <v>2402</v>
      </c>
      <c r="AQ807"/>
      <c r="AR807" s="31">
        <f t="shared" si="367"/>
        <v>0</v>
      </c>
      <c r="AS807" s="219">
        <f t="shared" si="368"/>
        <v>0</v>
      </c>
      <c r="AT807" s="31">
        <f t="shared" si="369"/>
        <v>0.5</v>
      </c>
      <c r="AU807" s="219">
        <f t="shared" si="370"/>
        <v>0.42499999999999999</v>
      </c>
      <c r="AV807" s="31">
        <f t="shared" si="371"/>
        <v>0</v>
      </c>
      <c r="AW807" s="31">
        <f t="shared" si="372"/>
        <v>0</v>
      </c>
      <c r="AX807" s="31">
        <f t="shared" si="373"/>
        <v>0</v>
      </c>
      <c r="AY807" s="219">
        <f t="shared" si="374"/>
        <v>0</v>
      </c>
      <c r="AZ807" s="196">
        <f t="shared" si="375"/>
        <v>0</v>
      </c>
      <c r="BA807" s="219">
        <f t="shared" si="376"/>
        <v>0</v>
      </c>
      <c r="BB807" s="31">
        <f t="shared" si="377"/>
        <v>0</v>
      </c>
      <c r="BC807" s="219">
        <f t="shared" si="378"/>
        <v>0</v>
      </c>
      <c r="BD807" s="31">
        <f t="shared" si="379"/>
        <v>0</v>
      </c>
      <c r="BE807" s="219">
        <f t="shared" si="380"/>
        <v>0</v>
      </c>
      <c r="BF807" s="31">
        <f t="shared" si="381"/>
        <v>0</v>
      </c>
      <c r="BG807" s="219">
        <f t="shared" si="382"/>
        <v>0</v>
      </c>
      <c r="BH807" s="31">
        <f t="shared" si="383"/>
        <v>0</v>
      </c>
      <c r="BI807" s="219">
        <f t="shared" si="384"/>
        <v>0</v>
      </c>
      <c r="BJ807" s="31">
        <f t="shared" si="385"/>
        <v>0</v>
      </c>
      <c r="BK807" s="219">
        <f t="shared" si="386"/>
        <v>0</v>
      </c>
      <c r="BL807" s="31">
        <f t="shared" si="387"/>
        <v>0</v>
      </c>
      <c r="BM807" s="219">
        <f t="shared" si="388"/>
        <v>0</v>
      </c>
      <c r="BN807" s="31">
        <f t="shared" si="389"/>
        <v>0</v>
      </c>
      <c r="BO807" s="219">
        <f t="shared" si="390"/>
        <v>0</v>
      </c>
    </row>
    <row r="808" spans="1:67" x14ac:dyDescent="0.25">
      <c r="A808" s="157" t="s">
        <v>2063</v>
      </c>
      <c r="B808" s="176" t="str">
        <f>VLOOKUP(A808,kurspris!$A$1:$B$992,2,FALSE)</f>
        <v>Spanska för ämneslärare, kurs 2</v>
      </c>
      <c r="C808" s="35"/>
      <c r="D808" s="31" t="s">
        <v>117</v>
      </c>
      <c r="F808" s="60" t="s">
        <v>2273</v>
      </c>
      <c r="I808" s="31" t="s">
        <v>2276</v>
      </c>
      <c r="L808" s="38">
        <v>1</v>
      </c>
      <c r="M808" s="325">
        <v>30</v>
      </c>
      <c r="P808" s="31">
        <v>2</v>
      </c>
      <c r="Q808" s="196">
        <f t="shared" ref="Q808:Q823" si="392">(M808/60)*P808</f>
        <v>1</v>
      </c>
      <c r="R808" s="38">
        <v>0.8</v>
      </c>
      <c r="S808" s="280">
        <f t="shared" si="363"/>
        <v>0.8</v>
      </c>
      <c r="T808" s="31">
        <f>VLOOKUP(A808,'Ansvar kurs'!$A$1:$C$1123,2,FALSE)</f>
        <v>1620</v>
      </c>
      <c r="U808" s="31" t="str">
        <f>VLOOKUP(T808,Orgenheter!$A$1:$C$166,2,FALSE)</f>
        <v>Inst för språkstudier</v>
      </c>
      <c r="V808" s="31" t="str">
        <f>VLOOKUP(T808,Orgenheter!$A$1:$C$166,3,FALSE)</f>
        <v>Hum</v>
      </c>
      <c r="W808" s="35" t="str">
        <f>VLOOKUP(D808,Program!$A$1:$B$36,2,FALSE)</f>
        <v>Fristående och övriga kurser</v>
      </c>
      <c r="X808" s="40">
        <f>VLOOKUP(A808,kurspris!$A$1:$Q$913,15,FALSE)</f>
        <v>20766</v>
      </c>
      <c r="Y808" s="40">
        <f>VLOOKUP(A808,kurspris!$A$1:$Q$913,16,FALSE)</f>
        <v>17442</v>
      </c>
      <c r="Z808" s="40">
        <f t="shared" si="364"/>
        <v>34719.599999999999</v>
      </c>
      <c r="AA808" s="40">
        <f>VLOOKUP(A808,kurspris!$A$1:$Q$913,17,FALSE)</f>
        <v>6000</v>
      </c>
      <c r="AB808" s="40">
        <f t="shared" si="365"/>
        <v>6000</v>
      </c>
      <c r="AC808" s="40">
        <f t="shared" si="366"/>
        <v>40719.599999999999</v>
      </c>
      <c r="AD808" s="31">
        <f>VLOOKUP($A808,kurspris!$A$1:$Q$950,3,FALSE)</f>
        <v>0</v>
      </c>
      <c r="AE808" s="31">
        <f>VLOOKUP($A808,kurspris!$A$1:$Q$950,4,FALSE)</f>
        <v>1</v>
      </c>
      <c r="AF808" s="31">
        <f>VLOOKUP($A808,kurspris!$A$1:$Q$950,5,FALSE)</f>
        <v>0</v>
      </c>
      <c r="AG808" s="31">
        <f>VLOOKUP($A808,kurspris!$A$1:$Q$950,6,FALSE)</f>
        <v>0</v>
      </c>
      <c r="AH808" s="31">
        <f>VLOOKUP($A808,kurspris!$A$1:$Q$950,7,FALSE)</f>
        <v>0</v>
      </c>
      <c r="AI808" s="31">
        <f>VLOOKUP($A808,kurspris!$A$1:$Q$950,8,FALSE)</f>
        <v>0</v>
      </c>
      <c r="AJ808" s="31">
        <f>VLOOKUP($A808,kurspris!$A$1:$Q$950,9,FALSE)</f>
        <v>0</v>
      </c>
      <c r="AK808" s="31">
        <f>VLOOKUP($A808,kurspris!$A$1:$Q$950,10,FALSE)</f>
        <v>0</v>
      </c>
      <c r="AL808" s="31">
        <f>VLOOKUP($A808,kurspris!$A$1:$Q$950,11,FALSE)</f>
        <v>0</v>
      </c>
      <c r="AM808" s="31">
        <f>VLOOKUP($A808,kurspris!$A$1:$Q$950,12,FALSE)</f>
        <v>0</v>
      </c>
      <c r="AN808" s="31">
        <f>VLOOKUP($A808,kurspris!$A$1:$Q$950,13,FALSE)</f>
        <v>0</v>
      </c>
      <c r="AO808" s="31">
        <f>VLOOKUP($A808,kurspris!$A$1:$Q$950,14,FALSE)</f>
        <v>0</v>
      </c>
      <c r="AP808" s="57" t="s">
        <v>2267</v>
      </c>
      <c r="AQ808" s="37"/>
      <c r="AR808" s="31">
        <f t="shared" si="367"/>
        <v>0</v>
      </c>
      <c r="AS808" s="219">
        <f t="shared" si="368"/>
        <v>0</v>
      </c>
      <c r="AT808" s="31">
        <f t="shared" si="369"/>
        <v>1</v>
      </c>
      <c r="AU808" s="219">
        <f t="shared" si="370"/>
        <v>0.8</v>
      </c>
      <c r="AV808" s="31">
        <f t="shared" si="371"/>
        <v>0</v>
      </c>
      <c r="AW808" s="31">
        <f t="shared" si="372"/>
        <v>0</v>
      </c>
      <c r="AX808" s="31">
        <f t="shared" si="373"/>
        <v>0</v>
      </c>
      <c r="AY808" s="219">
        <f t="shared" si="374"/>
        <v>0</v>
      </c>
      <c r="AZ808" s="196">
        <f t="shared" si="375"/>
        <v>0</v>
      </c>
      <c r="BA808" s="219">
        <f t="shared" si="376"/>
        <v>0</v>
      </c>
      <c r="BB808" s="31">
        <f t="shared" si="377"/>
        <v>0</v>
      </c>
      <c r="BC808" s="219">
        <f t="shared" si="378"/>
        <v>0</v>
      </c>
      <c r="BD808" s="31">
        <f t="shared" si="379"/>
        <v>0</v>
      </c>
      <c r="BE808" s="219">
        <f t="shared" si="380"/>
        <v>0</v>
      </c>
      <c r="BF808" s="31">
        <f t="shared" si="381"/>
        <v>0</v>
      </c>
      <c r="BG808" s="219">
        <f t="shared" si="382"/>
        <v>0</v>
      </c>
      <c r="BH808" s="31">
        <f t="shared" si="383"/>
        <v>0</v>
      </c>
      <c r="BI808" s="219">
        <f t="shared" si="384"/>
        <v>0</v>
      </c>
      <c r="BJ808" s="31">
        <f t="shared" si="385"/>
        <v>0</v>
      </c>
      <c r="BK808" s="219">
        <f t="shared" si="386"/>
        <v>0</v>
      </c>
      <c r="BL808" s="31">
        <f t="shared" si="387"/>
        <v>0</v>
      </c>
      <c r="BM808" s="219">
        <f t="shared" si="388"/>
        <v>0</v>
      </c>
      <c r="BN808" s="31">
        <f t="shared" si="389"/>
        <v>0</v>
      </c>
      <c r="BO808" s="219">
        <f t="shared" si="390"/>
        <v>0</v>
      </c>
    </row>
    <row r="809" spans="1:67" x14ac:dyDescent="0.25">
      <c r="A809" s="31" t="s">
        <v>2063</v>
      </c>
      <c r="B809" s="176" t="str">
        <f>VLOOKUP(A809,kurspris!$A$1:$B$992,2,FALSE)</f>
        <v>Spanska för ämneslärare, kurs 2</v>
      </c>
      <c r="D809" s="60" t="s">
        <v>482</v>
      </c>
      <c r="E809" s="576" t="s">
        <v>2226</v>
      </c>
      <c r="F809" s="31" t="s">
        <v>2273</v>
      </c>
      <c r="G809" t="s">
        <v>2458</v>
      </c>
      <c r="H809" t="s">
        <v>2335</v>
      </c>
      <c r="J809" s="31" t="s">
        <v>2231</v>
      </c>
      <c r="L809" s="38">
        <v>1</v>
      </c>
      <c r="M809">
        <v>30</v>
      </c>
      <c r="P809" s="31">
        <v>1</v>
      </c>
      <c r="Q809" s="196">
        <f t="shared" si="392"/>
        <v>0.5</v>
      </c>
      <c r="R809" s="38">
        <v>0.85</v>
      </c>
      <c r="S809" s="280">
        <f t="shared" si="363"/>
        <v>0.42499999999999999</v>
      </c>
      <c r="T809" s="31">
        <f>VLOOKUP(A809,'Ansvar kurs'!$A$1:$C$1123,2,FALSE)</f>
        <v>1620</v>
      </c>
      <c r="U809" s="31" t="str">
        <f>VLOOKUP(T809,Orgenheter!$A$1:$C$166,2,FALSE)</f>
        <v>Inst för språkstudier</v>
      </c>
      <c r="V809" s="31" t="str">
        <f>VLOOKUP(T809,Orgenheter!$A$1:$C$166,3,FALSE)</f>
        <v>Hum</v>
      </c>
      <c r="W809" s="35" t="str">
        <f>VLOOKUP(D809,Program!$A$1:$B$36,2,FALSE)</f>
        <v>Ämneslärarprogrammet - Gy</v>
      </c>
      <c r="X809" s="40">
        <f>VLOOKUP(A809,kurspris!$A$1:$Q$913,15,FALSE)</f>
        <v>20766</v>
      </c>
      <c r="Y809" s="40">
        <f>VLOOKUP(A809,kurspris!$A$1:$Q$913,16,FALSE)</f>
        <v>17442</v>
      </c>
      <c r="Z809" s="40">
        <f t="shared" si="364"/>
        <v>17795.849999999999</v>
      </c>
      <c r="AA809" s="40">
        <f>VLOOKUP(A809,kurspris!$A$1:$Q$913,17,FALSE)</f>
        <v>6000</v>
      </c>
      <c r="AB809" s="40">
        <f t="shared" si="365"/>
        <v>3000</v>
      </c>
      <c r="AC809" s="40">
        <f t="shared" si="366"/>
        <v>20795.849999999999</v>
      </c>
      <c r="AD809" s="31">
        <f>VLOOKUP($A809,kurspris!$A$1:$Q$950,3,FALSE)</f>
        <v>0</v>
      </c>
      <c r="AE809" s="31">
        <f>VLOOKUP($A809,kurspris!$A$1:$Q$950,4,FALSE)</f>
        <v>1</v>
      </c>
      <c r="AF809" s="31">
        <f>VLOOKUP($A809,kurspris!$A$1:$Q$950,5,FALSE)</f>
        <v>0</v>
      </c>
      <c r="AG809" s="31">
        <f>VLOOKUP($A809,kurspris!$A$1:$Q$950,6,FALSE)</f>
        <v>0</v>
      </c>
      <c r="AH809" s="31">
        <f>VLOOKUP($A809,kurspris!$A$1:$Q$950,7,FALSE)</f>
        <v>0</v>
      </c>
      <c r="AI809" s="31">
        <f>VLOOKUP($A809,kurspris!$A$1:$Q$950,8,FALSE)</f>
        <v>0</v>
      </c>
      <c r="AJ809" s="31">
        <f>VLOOKUP($A809,kurspris!$A$1:$Q$950,9,FALSE)</f>
        <v>0</v>
      </c>
      <c r="AK809" s="31">
        <f>VLOOKUP($A809,kurspris!$A$1:$Q$950,10,FALSE)</f>
        <v>0</v>
      </c>
      <c r="AL809" s="31">
        <f>VLOOKUP($A809,kurspris!$A$1:$Q$950,11,FALSE)</f>
        <v>0</v>
      </c>
      <c r="AM809" s="31">
        <f>VLOOKUP($A809,kurspris!$A$1:$Q$950,12,FALSE)</f>
        <v>0</v>
      </c>
      <c r="AN809" s="31">
        <f>VLOOKUP($A809,kurspris!$A$1:$Q$950,13,FALSE)</f>
        <v>0</v>
      </c>
      <c r="AO809" s="31">
        <f>VLOOKUP($A809,kurspris!$A$1:$Q$950,14,FALSE)</f>
        <v>0</v>
      </c>
      <c r="AP809" s="57" t="s">
        <v>2506</v>
      </c>
      <c r="AQ809"/>
      <c r="AR809" s="31">
        <f t="shared" si="367"/>
        <v>0</v>
      </c>
      <c r="AS809" s="219">
        <f t="shared" si="368"/>
        <v>0</v>
      </c>
      <c r="AT809" s="31">
        <f t="shared" si="369"/>
        <v>0.5</v>
      </c>
      <c r="AU809" s="219">
        <f t="shared" si="370"/>
        <v>0.42499999999999999</v>
      </c>
      <c r="AV809" s="31">
        <f t="shared" si="371"/>
        <v>0</v>
      </c>
      <c r="AW809" s="31">
        <f t="shared" si="372"/>
        <v>0</v>
      </c>
      <c r="AX809" s="31">
        <f t="shared" si="373"/>
        <v>0</v>
      </c>
      <c r="AY809" s="219">
        <f t="shared" si="374"/>
        <v>0</v>
      </c>
      <c r="AZ809" s="196">
        <f t="shared" si="375"/>
        <v>0</v>
      </c>
      <c r="BA809" s="219">
        <f t="shared" si="376"/>
        <v>0</v>
      </c>
      <c r="BB809" s="31">
        <f t="shared" si="377"/>
        <v>0</v>
      </c>
      <c r="BC809" s="219">
        <f t="shared" si="378"/>
        <v>0</v>
      </c>
      <c r="BD809" s="31">
        <f t="shared" si="379"/>
        <v>0</v>
      </c>
      <c r="BE809" s="219">
        <f t="shared" si="380"/>
        <v>0</v>
      </c>
      <c r="BF809" s="31">
        <f t="shared" si="381"/>
        <v>0</v>
      </c>
      <c r="BG809" s="219">
        <f t="shared" si="382"/>
        <v>0</v>
      </c>
      <c r="BH809" s="31">
        <f t="shared" si="383"/>
        <v>0</v>
      </c>
      <c r="BI809" s="219">
        <f t="shared" si="384"/>
        <v>0</v>
      </c>
      <c r="BJ809" s="31">
        <f t="shared" si="385"/>
        <v>0</v>
      </c>
      <c r="BK809" s="219">
        <f t="shared" si="386"/>
        <v>0</v>
      </c>
      <c r="BL809" s="31">
        <f t="shared" si="387"/>
        <v>0</v>
      </c>
      <c r="BM809" s="219">
        <f t="shared" si="388"/>
        <v>0</v>
      </c>
      <c r="BN809" s="31">
        <f t="shared" si="389"/>
        <v>0</v>
      </c>
      <c r="BO809" s="219">
        <f t="shared" si="390"/>
        <v>0</v>
      </c>
    </row>
    <row r="810" spans="1:67" x14ac:dyDescent="0.25">
      <c r="A810" s="31" t="s">
        <v>2063</v>
      </c>
      <c r="B810" s="176" t="str">
        <f>VLOOKUP(A810,kurspris!$A$1:$B$992,2,FALSE)</f>
        <v>Spanska för ämneslärare, kurs 2</v>
      </c>
      <c r="D810" s="60" t="s">
        <v>482</v>
      </c>
      <c r="E810" s="576" t="s">
        <v>2225</v>
      </c>
      <c r="F810" s="31" t="s">
        <v>2273</v>
      </c>
      <c r="G810" t="s">
        <v>2458</v>
      </c>
      <c r="H810" t="s">
        <v>2335</v>
      </c>
      <c r="J810" s="31" t="s">
        <v>2231</v>
      </c>
      <c r="L810" s="38">
        <v>1</v>
      </c>
      <c r="M810">
        <v>30</v>
      </c>
      <c r="P810" s="31">
        <v>1</v>
      </c>
      <c r="Q810" s="196">
        <f t="shared" si="392"/>
        <v>0.5</v>
      </c>
      <c r="R810" s="38">
        <v>0.85</v>
      </c>
      <c r="S810" s="280">
        <f t="shared" si="363"/>
        <v>0.42499999999999999</v>
      </c>
      <c r="T810" s="31">
        <f>VLOOKUP(A810,'Ansvar kurs'!$A$1:$C$1123,2,FALSE)</f>
        <v>1620</v>
      </c>
      <c r="U810" s="31" t="str">
        <f>VLOOKUP(T810,Orgenheter!$A$1:$C$166,2,FALSE)</f>
        <v>Inst för språkstudier</v>
      </c>
      <c r="V810" s="31" t="str">
        <f>VLOOKUP(T810,Orgenheter!$A$1:$C$166,3,FALSE)</f>
        <v>Hum</v>
      </c>
      <c r="W810" s="35" t="str">
        <f>VLOOKUP(D810,Program!$A$1:$B$36,2,FALSE)</f>
        <v>Ämneslärarprogrammet - Gy</v>
      </c>
      <c r="X810" s="40">
        <f>VLOOKUP(A810,kurspris!$A$1:$Q$913,15,FALSE)</f>
        <v>20766</v>
      </c>
      <c r="Y810" s="40">
        <f>VLOOKUP(A810,kurspris!$A$1:$Q$913,16,FALSE)</f>
        <v>17442</v>
      </c>
      <c r="Z810" s="40">
        <f t="shared" si="364"/>
        <v>17795.849999999999</v>
      </c>
      <c r="AA810" s="40">
        <f>VLOOKUP(A810,kurspris!$A$1:$Q$913,17,FALSE)</f>
        <v>6000</v>
      </c>
      <c r="AB810" s="40">
        <f t="shared" si="365"/>
        <v>3000</v>
      </c>
      <c r="AC810" s="40">
        <f t="shared" si="366"/>
        <v>20795.849999999999</v>
      </c>
      <c r="AD810" s="31">
        <f>VLOOKUP($A810,kurspris!$A$1:$Q$950,3,FALSE)</f>
        <v>0</v>
      </c>
      <c r="AE810" s="31">
        <f>VLOOKUP($A810,kurspris!$A$1:$Q$950,4,FALSE)</f>
        <v>1</v>
      </c>
      <c r="AF810" s="31">
        <f>VLOOKUP($A810,kurspris!$A$1:$Q$950,5,FALSE)</f>
        <v>0</v>
      </c>
      <c r="AG810" s="31">
        <f>VLOOKUP($A810,kurspris!$A$1:$Q$950,6,FALSE)</f>
        <v>0</v>
      </c>
      <c r="AH810" s="31">
        <f>VLOOKUP($A810,kurspris!$A$1:$Q$950,7,FALSE)</f>
        <v>0</v>
      </c>
      <c r="AI810" s="31">
        <f>VLOOKUP($A810,kurspris!$A$1:$Q$950,8,FALSE)</f>
        <v>0</v>
      </c>
      <c r="AJ810" s="31">
        <f>VLOOKUP($A810,kurspris!$A$1:$Q$950,9,FALSE)</f>
        <v>0</v>
      </c>
      <c r="AK810" s="31">
        <f>VLOOKUP($A810,kurspris!$A$1:$Q$950,10,FALSE)</f>
        <v>0</v>
      </c>
      <c r="AL810" s="31">
        <f>VLOOKUP($A810,kurspris!$A$1:$Q$950,11,FALSE)</f>
        <v>0</v>
      </c>
      <c r="AM810" s="31">
        <f>VLOOKUP($A810,kurspris!$A$1:$Q$950,12,FALSE)</f>
        <v>0</v>
      </c>
      <c r="AN810" s="31">
        <f>VLOOKUP($A810,kurspris!$A$1:$Q$950,13,FALSE)</f>
        <v>0</v>
      </c>
      <c r="AO810" s="31">
        <f>VLOOKUP($A810,kurspris!$A$1:$Q$950,14,FALSE)</f>
        <v>0</v>
      </c>
      <c r="AP810" s="57" t="s">
        <v>2506</v>
      </c>
      <c r="AQ810"/>
      <c r="AR810" s="31">
        <f t="shared" si="367"/>
        <v>0</v>
      </c>
      <c r="AS810" s="219">
        <f t="shared" si="368"/>
        <v>0</v>
      </c>
      <c r="AT810" s="31">
        <f t="shared" si="369"/>
        <v>0.5</v>
      </c>
      <c r="AU810" s="219">
        <f t="shared" si="370"/>
        <v>0.42499999999999999</v>
      </c>
      <c r="AV810" s="31">
        <f t="shared" si="371"/>
        <v>0</v>
      </c>
      <c r="AW810" s="31">
        <f t="shared" si="372"/>
        <v>0</v>
      </c>
      <c r="AX810" s="31">
        <f t="shared" si="373"/>
        <v>0</v>
      </c>
      <c r="AY810" s="219">
        <f t="shared" si="374"/>
        <v>0</v>
      </c>
      <c r="AZ810" s="196">
        <f t="shared" si="375"/>
        <v>0</v>
      </c>
      <c r="BA810" s="219">
        <f t="shared" si="376"/>
        <v>0</v>
      </c>
      <c r="BB810" s="31">
        <f t="shared" si="377"/>
        <v>0</v>
      </c>
      <c r="BC810" s="219">
        <f t="shared" si="378"/>
        <v>0</v>
      </c>
      <c r="BD810" s="31">
        <f t="shared" si="379"/>
        <v>0</v>
      </c>
      <c r="BE810" s="219">
        <f t="shared" si="380"/>
        <v>0</v>
      </c>
      <c r="BF810" s="31">
        <f t="shared" si="381"/>
        <v>0</v>
      </c>
      <c r="BG810" s="219">
        <f t="shared" si="382"/>
        <v>0</v>
      </c>
      <c r="BH810" s="31">
        <f t="shared" si="383"/>
        <v>0</v>
      </c>
      <c r="BI810" s="219">
        <f t="shared" si="384"/>
        <v>0</v>
      </c>
      <c r="BJ810" s="31">
        <f t="shared" si="385"/>
        <v>0</v>
      </c>
      <c r="BK810" s="219">
        <f t="shared" si="386"/>
        <v>0</v>
      </c>
      <c r="BL810" s="31">
        <f t="shared" si="387"/>
        <v>0</v>
      </c>
      <c r="BM810" s="219">
        <f t="shared" si="388"/>
        <v>0</v>
      </c>
      <c r="BN810" s="31">
        <f t="shared" si="389"/>
        <v>0</v>
      </c>
      <c r="BO810" s="219">
        <f t="shared" si="390"/>
        <v>0</v>
      </c>
    </row>
    <row r="811" spans="1:67" x14ac:dyDescent="0.25">
      <c r="A811" s="31" t="s">
        <v>2063</v>
      </c>
      <c r="B811" s="176" t="str">
        <f>VLOOKUP(A811,kurspris!$A$1:$B$992,2,FALSE)</f>
        <v>Spanska för ämneslärare, kurs 2</v>
      </c>
      <c r="D811" s="60" t="s">
        <v>482</v>
      </c>
      <c r="E811" s="576" t="s">
        <v>2432</v>
      </c>
      <c r="F811" s="31" t="s">
        <v>2273</v>
      </c>
      <c r="G811" t="s">
        <v>2458</v>
      </c>
      <c r="H811" t="s">
        <v>2335</v>
      </c>
      <c r="J811" s="31" t="s">
        <v>2243</v>
      </c>
      <c r="L811" s="38">
        <v>1</v>
      </c>
      <c r="M811">
        <v>30</v>
      </c>
      <c r="P811" s="31">
        <v>2</v>
      </c>
      <c r="Q811" s="196">
        <f t="shared" si="392"/>
        <v>1</v>
      </c>
      <c r="R811" s="38">
        <v>0.85</v>
      </c>
      <c r="S811" s="280">
        <f t="shared" si="363"/>
        <v>0.85</v>
      </c>
      <c r="T811" s="31">
        <f>VLOOKUP(A811,'Ansvar kurs'!$A$1:$C$1123,2,FALSE)</f>
        <v>1620</v>
      </c>
      <c r="U811" s="31" t="str">
        <f>VLOOKUP(T811,Orgenheter!$A$1:$C$166,2,FALSE)</f>
        <v>Inst för språkstudier</v>
      </c>
      <c r="V811" s="31" t="str">
        <f>VLOOKUP(T811,Orgenheter!$A$1:$C$166,3,FALSE)</f>
        <v>Hum</v>
      </c>
      <c r="W811" s="35" t="str">
        <f>VLOOKUP(D811,Program!$A$1:$B$36,2,FALSE)</f>
        <v>Ämneslärarprogrammet - Gy</v>
      </c>
      <c r="X811" s="40">
        <f>VLOOKUP(A811,kurspris!$A$1:$Q$913,15,FALSE)</f>
        <v>20766</v>
      </c>
      <c r="Y811" s="40">
        <f>VLOOKUP(A811,kurspris!$A$1:$Q$913,16,FALSE)</f>
        <v>17442</v>
      </c>
      <c r="Z811" s="40">
        <f t="shared" si="364"/>
        <v>35591.699999999997</v>
      </c>
      <c r="AA811" s="40">
        <f>VLOOKUP(A811,kurspris!$A$1:$Q$913,17,FALSE)</f>
        <v>6000</v>
      </c>
      <c r="AB811" s="40">
        <f t="shared" si="365"/>
        <v>6000</v>
      </c>
      <c r="AC811" s="40">
        <f t="shared" si="366"/>
        <v>41591.699999999997</v>
      </c>
      <c r="AD811" s="31">
        <f>VLOOKUP($A811,kurspris!$A$1:$Q$950,3,FALSE)</f>
        <v>0</v>
      </c>
      <c r="AE811" s="31">
        <f>VLOOKUP($A811,kurspris!$A$1:$Q$950,4,FALSE)</f>
        <v>1</v>
      </c>
      <c r="AF811" s="31">
        <f>VLOOKUP($A811,kurspris!$A$1:$Q$950,5,FALSE)</f>
        <v>0</v>
      </c>
      <c r="AG811" s="31">
        <f>VLOOKUP($A811,kurspris!$A$1:$Q$950,6,FALSE)</f>
        <v>0</v>
      </c>
      <c r="AH811" s="31">
        <f>VLOOKUP($A811,kurspris!$A$1:$Q$950,7,FALSE)</f>
        <v>0</v>
      </c>
      <c r="AI811" s="31">
        <f>VLOOKUP($A811,kurspris!$A$1:$Q$950,8,FALSE)</f>
        <v>0</v>
      </c>
      <c r="AJ811" s="31">
        <f>VLOOKUP($A811,kurspris!$A$1:$Q$950,9,FALSE)</f>
        <v>0</v>
      </c>
      <c r="AK811" s="31">
        <f>VLOOKUP($A811,kurspris!$A$1:$Q$950,10,FALSE)</f>
        <v>0</v>
      </c>
      <c r="AL811" s="31">
        <f>VLOOKUP($A811,kurspris!$A$1:$Q$950,11,FALSE)</f>
        <v>0</v>
      </c>
      <c r="AM811" s="31">
        <f>VLOOKUP($A811,kurspris!$A$1:$Q$950,12,FALSE)</f>
        <v>0</v>
      </c>
      <c r="AN811" s="31">
        <f>VLOOKUP($A811,kurspris!$A$1:$Q$950,13,FALSE)</f>
        <v>0</v>
      </c>
      <c r="AO811" s="31">
        <f>VLOOKUP($A811,kurspris!$A$1:$Q$950,14,FALSE)</f>
        <v>0</v>
      </c>
      <c r="AP811" s="57" t="s">
        <v>2506</v>
      </c>
      <c r="AQ811"/>
      <c r="AR811" s="31">
        <f t="shared" si="367"/>
        <v>0</v>
      </c>
      <c r="AS811" s="219">
        <f t="shared" si="368"/>
        <v>0</v>
      </c>
      <c r="AT811" s="31">
        <f t="shared" si="369"/>
        <v>1</v>
      </c>
      <c r="AU811" s="219">
        <f t="shared" si="370"/>
        <v>0.85</v>
      </c>
      <c r="AV811" s="31">
        <f t="shared" si="371"/>
        <v>0</v>
      </c>
      <c r="AW811" s="31">
        <f t="shared" si="372"/>
        <v>0</v>
      </c>
      <c r="AX811" s="31">
        <f t="shared" si="373"/>
        <v>0</v>
      </c>
      <c r="AY811" s="219">
        <f t="shared" si="374"/>
        <v>0</v>
      </c>
      <c r="AZ811" s="196">
        <f t="shared" si="375"/>
        <v>0</v>
      </c>
      <c r="BA811" s="219">
        <f t="shared" si="376"/>
        <v>0</v>
      </c>
      <c r="BB811" s="31">
        <f t="shared" si="377"/>
        <v>0</v>
      </c>
      <c r="BC811" s="219">
        <f t="shared" si="378"/>
        <v>0</v>
      </c>
      <c r="BD811" s="31">
        <f t="shared" si="379"/>
        <v>0</v>
      </c>
      <c r="BE811" s="219">
        <f t="shared" si="380"/>
        <v>0</v>
      </c>
      <c r="BF811" s="31">
        <f t="shared" si="381"/>
        <v>0</v>
      </c>
      <c r="BG811" s="219">
        <f t="shared" si="382"/>
        <v>0</v>
      </c>
      <c r="BH811" s="31">
        <f t="shared" si="383"/>
        <v>0</v>
      </c>
      <c r="BI811" s="219">
        <f t="shared" si="384"/>
        <v>0</v>
      </c>
      <c r="BJ811" s="31">
        <f t="shared" si="385"/>
        <v>0</v>
      </c>
      <c r="BK811" s="219">
        <f t="shared" si="386"/>
        <v>0</v>
      </c>
      <c r="BL811" s="31">
        <f t="shared" si="387"/>
        <v>0</v>
      </c>
      <c r="BM811" s="219">
        <f t="shared" si="388"/>
        <v>0</v>
      </c>
      <c r="BN811" s="31">
        <f t="shared" si="389"/>
        <v>0</v>
      </c>
      <c r="BO811" s="219">
        <f t="shared" si="390"/>
        <v>0</v>
      </c>
    </row>
    <row r="812" spans="1:67" x14ac:dyDescent="0.25">
      <c r="A812" s="31" t="s">
        <v>1242</v>
      </c>
      <c r="B812" s="176" t="str">
        <f>VLOOKUP(A812,kurspris!$A$1:$B$992,2,FALSE)</f>
        <v>Examensarbete i svenska för ämneslärarexamen</v>
      </c>
      <c r="D812" s="60" t="s">
        <v>482</v>
      </c>
      <c r="E812" s="576" t="s">
        <v>2227</v>
      </c>
      <c r="F812" s="31" t="s">
        <v>2273</v>
      </c>
      <c r="G812" s="244" t="s">
        <v>2454</v>
      </c>
      <c r="H812" t="s">
        <v>2335</v>
      </c>
      <c r="J812" s="31" t="s">
        <v>2239</v>
      </c>
      <c r="L812" s="38">
        <v>1</v>
      </c>
      <c r="M812" s="244">
        <v>7.5</v>
      </c>
      <c r="P812" s="31">
        <v>1</v>
      </c>
      <c r="Q812" s="196">
        <f t="shared" si="392"/>
        <v>0.125</v>
      </c>
      <c r="R812" s="38">
        <v>0.85</v>
      </c>
      <c r="S812" s="280">
        <f t="shared" si="363"/>
        <v>0.10625</v>
      </c>
      <c r="T812" s="31">
        <f>VLOOKUP(A812,'Ansvar kurs'!$A$1:$C$1123,2,FALSE)</f>
        <v>1620</v>
      </c>
      <c r="U812" s="31" t="str">
        <f>VLOOKUP(T812,Orgenheter!$A$1:$C$166,2,FALSE)</f>
        <v>Inst för språkstudier</v>
      </c>
      <c r="V812" s="31" t="str">
        <f>VLOOKUP(T812,Orgenheter!$A$1:$C$166,3,FALSE)</f>
        <v>Hum</v>
      </c>
      <c r="W812" s="35" t="str">
        <f>VLOOKUP(D812,Program!$A$1:$B$36,2,FALSE)</f>
        <v>Ämneslärarprogrammet - Gy</v>
      </c>
      <c r="X812" s="40">
        <f>VLOOKUP(A812,kurspris!$A$1:$Q$913,15,FALSE)</f>
        <v>20766</v>
      </c>
      <c r="Y812" s="40">
        <f>VLOOKUP(A812,kurspris!$A$1:$Q$913,16,FALSE)</f>
        <v>17442</v>
      </c>
      <c r="Z812" s="40">
        <f t="shared" si="364"/>
        <v>4448.9624999999996</v>
      </c>
      <c r="AA812" s="40">
        <f>VLOOKUP(A812,kurspris!$A$1:$Q$913,17,FALSE)</f>
        <v>6000</v>
      </c>
      <c r="AB812" s="40">
        <f t="shared" si="365"/>
        <v>750</v>
      </c>
      <c r="AC812" s="40">
        <f t="shared" si="366"/>
        <v>5198.9624999999996</v>
      </c>
      <c r="AD812" s="31">
        <f>VLOOKUP($A812,kurspris!$A$1:$Q$950,3,FALSE)</f>
        <v>0</v>
      </c>
      <c r="AE812" s="31">
        <f>VLOOKUP($A812,kurspris!$A$1:$Q$950,4,FALSE)</f>
        <v>1</v>
      </c>
      <c r="AF812" s="31">
        <f>VLOOKUP($A812,kurspris!$A$1:$Q$950,5,FALSE)</f>
        <v>0</v>
      </c>
      <c r="AG812" s="31">
        <f>VLOOKUP($A812,kurspris!$A$1:$Q$950,6,FALSE)</f>
        <v>0</v>
      </c>
      <c r="AH812" s="31">
        <f>VLOOKUP($A812,kurspris!$A$1:$Q$950,7,FALSE)</f>
        <v>0</v>
      </c>
      <c r="AI812" s="31">
        <f>VLOOKUP($A812,kurspris!$A$1:$Q$950,8,FALSE)</f>
        <v>0</v>
      </c>
      <c r="AJ812" s="31">
        <f>VLOOKUP($A812,kurspris!$A$1:$Q$950,9,FALSE)</f>
        <v>0</v>
      </c>
      <c r="AK812" s="31">
        <f>VLOOKUP($A812,kurspris!$A$1:$Q$950,10,FALSE)</f>
        <v>0</v>
      </c>
      <c r="AL812" s="31">
        <f>VLOOKUP($A812,kurspris!$A$1:$Q$950,11,FALSE)</f>
        <v>0</v>
      </c>
      <c r="AM812" s="31">
        <f>VLOOKUP($A812,kurspris!$A$1:$Q$950,12,FALSE)</f>
        <v>0</v>
      </c>
      <c r="AN812" s="31">
        <f>VLOOKUP($A812,kurspris!$A$1:$Q$950,13,FALSE)</f>
        <v>0</v>
      </c>
      <c r="AO812" s="31">
        <f>VLOOKUP($A812,kurspris!$A$1:$Q$950,14,FALSE)</f>
        <v>0</v>
      </c>
      <c r="AP812" s="57" t="s">
        <v>2506</v>
      </c>
      <c r="AQ812" t="s">
        <v>2311</v>
      </c>
      <c r="AR812" s="31">
        <f t="shared" si="367"/>
        <v>0</v>
      </c>
      <c r="AS812" s="219">
        <f t="shared" si="368"/>
        <v>0</v>
      </c>
      <c r="AT812" s="31">
        <f t="shared" si="369"/>
        <v>0.125</v>
      </c>
      <c r="AU812" s="219">
        <f t="shared" si="370"/>
        <v>0.10625</v>
      </c>
      <c r="AV812" s="31">
        <f t="shared" si="371"/>
        <v>0</v>
      </c>
      <c r="AW812" s="31">
        <f t="shared" si="372"/>
        <v>0</v>
      </c>
      <c r="AX812" s="31">
        <f t="shared" si="373"/>
        <v>0</v>
      </c>
      <c r="AY812" s="219">
        <f t="shared" si="374"/>
        <v>0</v>
      </c>
      <c r="AZ812" s="196">
        <f t="shared" si="375"/>
        <v>0</v>
      </c>
      <c r="BA812" s="219">
        <f t="shared" si="376"/>
        <v>0</v>
      </c>
      <c r="BB812" s="31">
        <f t="shared" si="377"/>
        <v>0</v>
      </c>
      <c r="BC812" s="219">
        <f t="shared" si="378"/>
        <v>0</v>
      </c>
      <c r="BD812" s="31">
        <f t="shared" si="379"/>
        <v>0</v>
      </c>
      <c r="BE812" s="219">
        <f t="shared" si="380"/>
        <v>0</v>
      </c>
      <c r="BF812" s="31">
        <f t="shared" si="381"/>
        <v>0</v>
      </c>
      <c r="BG812" s="219">
        <f t="shared" si="382"/>
        <v>0</v>
      </c>
      <c r="BH812" s="31">
        <f t="shared" si="383"/>
        <v>0</v>
      </c>
      <c r="BI812" s="219">
        <f t="shared" si="384"/>
        <v>0</v>
      </c>
      <c r="BJ812" s="31">
        <f t="shared" si="385"/>
        <v>0</v>
      </c>
      <c r="BK812" s="219">
        <f t="shared" si="386"/>
        <v>0</v>
      </c>
      <c r="BL812" s="31">
        <f t="shared" si="387"/>
        <v>0</v>
      </c>
      <c r="BM812" s="219">
        <f t="shared" si="388"/>
        <v>0</v>
      </c>
      <c r="BN812" s="31">
        <f t="shared" si="389"/>
        <v>0</v>
      </c>
      <c r="BO812" s="219">
        <f t="shared" si="390"/>
        <v>0</v>
      </c>
    </row>
    <row r="813" spans="1:67" x14ac:dyDescent="0.25">
      <c r="A813" s="31" t="s">
        <v>1242</v>
      </c>
      <c r="B813" s="176" t="str">
        <f>VLOOKUP(A813,kurspris!$A$1:$B$992,2,FALSE)</f>
        <v>Examensarbete i svenska för ämneslärarexamen</v>
      </c>
      <c r="D813" s="60" t="s">
        <v>482</v>
      </c>
      <c r="E813" s="576" t="s">
        <v>2227</v>
      </c>
      <c r="F813" s="31" t="s">
        <v>2273</v>
      </c>
      <c r="G813" s="244" t="s">
        <v>2454</v>
      </c>
      <c r="H813" t="s">
        <v>2335</v>
      </c>
      <c r="J813" s="31" t="s">
        <v>2240</v>
      </c>
      <c r="L813" s="38">
        <v>1</v>
      </c>
      <c r="M813" s="244">
        <v>7.5</v>
      </c>
      <c r="P813" s="31">
        <v>2</v>
      </c>
      <c r="Q813" s="196">
        <f t="shared" si="392"/>
        <v>0.25</v>
      </c>
      <c r="R813" s="38">
        <v>0.85</v>
      </c>
      <c r="S813" s="280">
        <f t="shared" si="363"/>
        <v>0.21249999999999999</v>
      </c>
      <c r="T813" s="31">
        <f>VLOOKUP(A813,'Ansvar kurs'!$A$1:$C$1123,2,FALSE)</f>
        <v>1620</v>
      </c>
      <c r="U813" s="31" t="str">
        <f>VLOOKUP(T813,Orgenheter!$A$1:$C$166,2,FALSE)</f>
        <v>Inst för språkstudier</v>
      </c>
      <c r="V813" s="31" t="str">
        <f>VLOOKUP(T813,Orgenheter!$A$1:$C$166,3,FALSE)</f>
        <v>Hum</v>
      </c>
      <c r="W813" s="35" t="str">
        <f>VLOOKUP(D813,Program!$A$1:$B$36,2,FALSE)</f>
        <v>Ämneslärarprogrammet - Gy</v>
      </c>
      <c r="X813" s="40">
        <f>VLOOKUP(A813,kurspris!$A$1:$Q$913,15,FALSE)</f>
        <v>20766</v>
      </c>
      <c r="Y813" s="40">
        <f>VLOOKUP(A813,kurspris!$A$1:$Q$913,16,FALSE)</f>
        <v>17442</v>
      </c>
      <c r="Z813" s="40">
        <f t="shared" si="364"/>
        <v>8897.9249999999993</v>
      </c>
      <c r="AA813" s="40">
        <f>VLOOKUP(A813,kurspris!$A$1:$Q$913,17,FALSE)</f>
        <v>6000</v>
      </c>
      <c r="AB813" s="40">
        <f t="shared" si="365"/>
        <v>1500</v>
      </c>
      <c r="AC813" s="40">
        <f t="shared" si="366"/>
        <v>10397.924999999999</v>
      </c>
      <c r="AD813" s="31">
        <f>VLOOKUP($A813,kurspris!$A$1:$Q$950,3,FALSE)</f>
        <v>0</v>
      </c>
      <c r="AE813" s="31">
        <f>VLOOKUP($A813,kurspris!$A$1:$Q$950,4,FALSE)</f>
        <v>1</v>
      </c>
      <c r="AF813" s="31">
        <f>VLOOKUP($A813,kurspris!$A$1:$Q$950,5,FALSE)</f>
        <v>0</v>
      </c>
      <c r="AG813" s="31">
        <f>VLOOKUP($A813,kurspris!$A$1:$Q$950,6,FALSE)</f>
        <v>0</v>
      </c>
      <c r="AH813" s="31">
        <f>VLOOKUP($A813,kurspris!$A$1:$Q$950,7,FALSE)</f>
        <v>0</v>
      </c>
      <c r="AI813" s="31">
        <f>VLOOKUP($A813,kurspris!$A$1:$Q$950,8,FALSE)</f>
        <v>0</v>
      </c>
      <c r="AJ813" s="31">
        <f>VLOOKUP($A813,kurspris!$A$1:$Q$950,9,FALSE)</f>
        <v>0</v>
      </c>
      <c r="AK813" s="31">
        <f>VLOOKUP($A813,kurspris!$A$1:$Q$950,10,FALSE)</f>
        <v>0</v>
      </c>
      <c r="AL813" s="31">
        <f>VLOOKUP($A813,kurspris!$A$1:$Q$950,11,FALSE)</f>
        <v>0</v>
      </c>
      <c r="AM813" s="31">
        <f>VLOOKUP($A813,kurspris!$A$1:$Q$950,12,FALSE)</f>
        <v>0</v>
      </c>
      <c r="AN813" s="31">
        <f>VLOOKUP($A813,kurspris!$A$1:$Q$950,13,FALSE)</f>
        <v>0</v>
      </c>
      <c r="AO813" s="31">
        <f>VLOOKUP($A813,kurspris!$A$1:$Q$950,14,FALSE)</f>
        <v>0</v>
      </c>
      <c r="AP813" s="57" t="s">
        <v>2506</v>
      </c>
      <c r="AQ813" t="s">
        <v>2311</v>
      </c>
      <c r="AR813" s="31">
        <f t="shared" si="367"/>
        <v>0</v>
      </c>
      <c r="AS813" s="219">
        <f t="shared" si="368"/>
        <v>0</v>
      </c>
      <c r="AT813" s="31">
        <f t="shared" si="369"/>
        <v>0.25</v>
      </c>
      <c r="AU813" s="219">
        <f t="shared" si="370"/>
        <v>0.21249999999999999</v>
      </c>
      <c r="AV813" s="31">
        <f t="shared" si="371"/>
        <v>0</v>
      </c>
      <c r="AW813" s="31">
        <f t="shared" si="372"/>
        <v>0</v>
      </c>
      <c r="AX813" s="31">
        <f t="shared" si="373"/>
        <v>0</v>
      </c>
      <c r="AY813" s="219">
        <f t="shared" si="374"/>
        <v>0</v>
      </c>
      <c r="AZ813" s="196">
        <f t="shared" si="375"/>
        <v>0</v>
      </c>
      <c r="BA813" s="219">
        <f t="shared" si="376"/>
        <v>0</v>
      </c>
      <c r="BB813" s="31">
        <f t="shared" si="377"/>
        <v>0</v>
      </c>
      <c r="BC813" s="219">
        <f t="shared" si="378"/>
        <v>0</v>
      </c>
      <c r="BD813" s="31">
        <f t="shared" si="379"/>
        <v>0</v>
      </c>
      <c r="BE813" s="219">
        <f t="shared" si="380"/>
        <v>0</v>
      </c>
      <c r="BF813" s="31">
        <f t="shared" si="381"/>
        <v>0</v>
      </c>
      <c r="BG813" s="219">
        <f t="shared" si="382"/>
        <v>0</v>
      </c>
      <c r="BH813" s="31">
        <f t="shared" si="383"/>
        <v>0</v>
      </c>
      <c r="BI813" s="219">
        <f t="shared" si="384"/>
        <v>0</v>
      </c>
      <c r="BJ813" s="31">
        <f t="shared" si="385"/>
        <v>0</v>
      </c>
      <c r="BK813" s="219">
        <f t="shared" si="386"/>
        <v>0</v>
      </c>
      <c r="BL813" s="31">
        <f t="shared" si="387"/>
        <v>0</v>
      </c>
      <c r="BM813" s="219">
        <f t="shared" si="388"/>
        <v>0</v>
      </c>
      <c r="BN813" s="31">
        <f t="shared" si="389"/>
        <v>0</v>
      </c>
      <c r="BO813" s="219">
        <f t="shared" si="390"/>
        <v>0</v>
      </c>
    </row>
    <row r="814" spans="1:67" x14ac:dyDescent="0.25">
      <c r="A814" s="31" t="s">
        <v>1242</v>
      </c>
      <c r="B814" s="176" t="str">
        <f>VLOOKUP(A814,kurspris!$A$1:$B$992,2,FALSE)</f>
        <v>Examensarbete i svenska för ämneslärarexamen</v>
      </c>
      <c r="D814" s="60" t="s">
        <v>482</v>
      </c>
      <c r="E814" s="576" t="s">
        <v>2226</v>
      </c>
      <c r="F814" s="31" t="s">
        <v>2273</v>
      </c>
      <c r="G814" s="244" t="s">
        <v>2454</v>
      </c>
      <c r="H814" t="s">
        <v>2335</v>
      </c>
      <c r="J814" s="31" t="s">
        <v>2231</v>
      </c>
      <c r="L814" s="38">
        <v>1</v>
      </c>
      <c r="M814" s="244">
        <v>7.5</v>
      </c>
      <c r="P814" s="31">
        <v>2</v>
      </c>
      <c r="Q814" s="196">
        <f t="shared" si="392"/>
        <v>0.25</v>
      </c>
      <c r="R814" s="38">
        <v>0.85</v>
      </c>
      <c r="S814" s="280">
        <f t="shared" si="363"/>
        <v>0.21249999999999999</v>
      </c>
      <c r="T814" s="31">
        <f>VLOOKUP(A814,'Ansvar kurs'!$A$1:$C$1123,2,FALSE)</f>
        <v>1620</v>
      </c>
      <c r="U814" s="31" t="str">
        <f>VLOOKUP(T814,Orgenheter!$A$1:$C$166,2,FALSE)</f>
        <v>Inst för språkstudier</v>
      </c>
      <c r="V814" s="31" t="str">
        <f>VLOOKUP(T814,Orgenheter!$A$1:$C$166,3,FALSE)</f>
        <v>Hum</v>
      </c>
      <c r="W814" s="35" t="str">
        <f>VLOOKUP(D814,Program!$A$1:$B$36,2,FALSE)</f>
        <v>Ämneslärarprogrammet - Gy</v>
      </c>
      <c r="X814" s="40">
        <f>VLOOKUP(A814,kurspris!$A$1:$Q$913,15,FALSE)</f>
        <v>20766</v>
      </c>
      <c r="Y814" s="40">
        <f>VLOOKUP(A814,kurspris!$A$1:$Q$913,16,FALSE)</f>
        <v>17442</v>
      </c>
      <c r="Z814" s="40">
        <f t="shared" si="364"/>
        <v>8897.9249999999993</v>
      </c>
      <c r="AA814" s="40">
        <f>VLOOKUP(A814,kurspris!$A$1:$Q$913,17,FALSE)</f>
        <v>6000</v>
      </c>
      <c r="AB814" s="40">
        <f t="shared" si="365"/>
        <v>1500</v>
      </c>
      <c r="AC814" s="40">
        <f t="shared" si="366"/>
        <v>10397.924999999999</v>
      </c>
      <c r="AD814" s="31">
        <f>VLOOKUP($A814,kurspris!$A$1:$Q$950,3,FALSE)</f>
        <v>0</v>
      </c>
      <c r="AE814" s="31">
        <f>VLOOKUP($A814,kurspris!$A$1:$Q$950,4,FALSE)</f>
        <v>1</v>
      </c>
      <c r="AF814" s="31">
        <f>VLOOKUP($A814,kurspris!$A$1:$Q$950,5,FALSE)</f>
        <v>0</v>
      </c>
      <c r="AG814" s="31">
        <f>VLOOKUP($A814,kurspris!$A$1:$Q$950,6,FALSE)</f>
        <v>0</v>
      </c>
      <c r="AH814" s="31">
        <f>VLOOKUP($A814,kurspris!$A$1:$Q$950,7,FALSE)</f>
        <v>0</v>
      </c>
      <c r="AI814" s="31">
        <f>VLOOKUP($A814,kurspris!$A$1:$Q$950,8,FALSE)</f>
        <v>0</v>
      </c>
      <c r="AJ814" s="31">
        <f>VLOOKUP($A814,kurspris!$A$1:$Q$950,9,FALSE)</f>
        <v>0</v>
      </c>
      <c r="AK814" s="31">
        <f>VLOOKUP($A814,kurspris!$A$1:$Q$950,10,FALSE)</f>
        <v>0</v>
      </c>
      <c r="AL814" s="31">
        <f>VLOOKUP($A814,kurspris!$A$1:$Q$950,11,FALSE)</f>
        <v>0</v>
      </c>
      <c r="AM814" s="31">
        <f>VLOOKUP($A814,kurspris!$A$1:$Q$950,12,FALSE)</f>
        <v>0</v>
      </c>
      <c r="AN814" s="31">
        <f>VLOOKUP($A814,kurspris!$A$1:$Q$950,13,FALSE)</f>
        <v>0</v>
      </c>
      <c r="AO814" s="31">
        <f>VLOOKUP($A814,kurspris!$A$1:$Q$950,14,FALSE)</f>
        <v>0</v>
      </c>
      <c r="AP814" s="57" t="s">
        <v>2506</v>
      </c>
      <c r="AQ814" t="s">
        <v>2311</v>
      </c>
      <c r="AR814" s="31">
        <f t="shared" si="367"/>
        <v>0</v>
      </c>
      <c r="AS814" s="219">
        <f t="shared" si="368"/>
        <v>0</v>
      </c>
      <c r="AT814" s="31">
        <f t="shared" si="369"/>
        <v>0.25</v>
      </c>
      <c r="AU814" s="219">
        <f t="shared" si="370"/>
        <v>0.21249999999999999</v>
      </c>
      <c r="AV814" s="31">
        <f t="shared" si="371"/>
        <v>0</v>
      </c>
      <c r="AW814" s="31">
        <f t="shared" si="372"/>
        <v>0</v>
      </c>
      <c r="AX814" s="31">
        <f t="shared" si="373"/>
        <v>0</v>
      </c>
      <c r="AY814" s="219">
        <f t="shared" si="374"/>
        <v>0</v>
      </c>
      <c r="AZ814" s="196">
        <f t="shared" si="375"/>
        <v>0</v>
      </c>
      <c r="BA814" s="219">
        <f t="shared" si="376"/>
        <v>0</v>
      </c>
      <c r="BB814" s="31">
        <f t="shared" si="377"/>
        <v>0</v>
      </c>
      <c r="BC814" s="219">
        <f t="shared" si="378"/>
        <v>0</v>
      </c>
      <c r="BD814" s="31">
        <f t="shared" si="379"/>
        <v>0</v>
      </c>
      <c r="BE814" s="219">
        <f t="shared" si="380"/>
        <v>0</v>
      </c>
      <c r="BF814" s="31">
        <f t="shared" si="381"/>
        <v>0</v>
      </c>
      <c r="BG814" s="219">
        <f t="shared" si="382"/>
        <v>0</v>
      </c>
      <c r="BH814" s="31">
        <f t="shared" si="383"/>
        <v>0</v>
      </c>
      <c r="BI814" s="219">
        <f t="shared" si="384"/>
        <v>0</v>
      </c>
      <c r="BJ814" s="31">
        <f t="shared" si="385"/>
        <v>0</v>
      </c>
      <c r="BK814" s="219">
        <f t="shared" si="386"/>
        <v>0</v>
      </c>
      <c r="BL814" s="31">
        <f t="shared" si="387"/>
        <v>0</v>
      </c>
      <c r="BM814" s="219">
        <f t="shared" si="388"/>
        <v>0</v>
      </c>
      <c r="BN814" s="31">
        <f t="shared" si="389"/>
        <v>0</v>
      </c>
      <c r="BO814" s="219">
        <f t="shared" si="390"/>
        <v>0</v>
      </c>
    </row>
    <row r="815" spans="1:67" x14ac:dyDescent="0.25">
      <c r="A815" s="31" t="s">
        <v>1242</v>
      </c>
      <c r="B815" s="176" t="str">
        <f>VLOOKUP(A815,kurspris!$A$1:$B$992,2,FALSE)</f>
        <v>Examensarbete i svenska för ämneslärarexamen</v>
      </c>
      <c r="D815" s="60" t="s">
        <v>482</v>
      </c>
      <c r="E815" s="576" t="s">
        <v>2226</v>
      </c>
      <c r="F815" s="31" t="s">
        <v>2273</v>
      </c>
      <c r="G815" s="244" t="s">
        <v>2454</v>
      </c>
      <c r="H815" t="s">
        <v>2335</v>
      </c>
      <c r="J815" s="31" t="s">
        <v>2240</v>
      </c>
      <c r="L815" s="38">
        <v>1</v>
      </c>
      <c r="M815" s="244">
        <v>7.5</v>
      </c>
      <c r="P815" s="31">
        <v>8</v>
      </c>
      <c r="Q815" s="196">
        <f t="shared" si="392"/>
        <v>1</v>
      </c>
      <c r="R815" s="38">
        <v>0.85</v>
      </c>
      <c r="S815" s="280">
        <f t="shared" si="363"/>
        <v>0.85</v>
      </c>
      <c r="T815" s="31">
        <f>VLOOKUP(A815,'Ansvar kurs'!$A$1:$C$1123,2,FALSE)</f>
        <v>1620</v>
      </c>
      <c r="U815" s="31" t="str">
        <f>VLOOKUP(T815,Orgenheter!$A$1:$C$166,2,FALSE)</f>
        <v>Inst för språkstudier</v>
      </c>
      <c r="V815" s="31" t="str">
        <f>VLOOKUP(T815,Orgenheter!$A$1:$C$166,3,FALSE)</f>
        <v>Hum</v>
      </c>
      <c r="W815" s="35" t="str">
        <f>VLOOKUP(D815,Program!$A$1:$B$36,2,FALSE)</f>
        <v>Ämneslärarprogrammet - Gy</v>
      </c>
      <c r="X815" s="40">
        <f>VLOOKUP(A815,kurspris!$A$1:$Q$913,15,FALSE)</f>
        <v>20766</v>
      </c>
      <c r="Y815" s="40">
        <f>VLOOKUP(A815,kurspris!$A$1:$Q$913,16,FALSE)</f>
        <v>17442</v>
      </c>
      <c r="Z815" s="40">
        <f t="shared" si="364"/>
        <v>35591.699999999997</v>
      </c>
      <c r="AA815" s="40">
        <f>VLOOKUP(A815,kurspris!$A$1:$Q$913,17,FALSE)</f>
        <v>6000</v>
      </c>
      <c r="AB815" s="40">
        <f t="shared" si="365"/>
        <v>6000</v>
      </c>
      <c r="AC815" s="40">
        <f t="shared" si="366"/>
        <v>41591.699999999997</v>
      </c>
      <c r="AD815" s="31">
        <f>VLOOKUP($A815,kurspris!$A$1:$Q$950,3,FALSE)</f>
        <v>0</v>
      </c>
      <c r="AE815" s="31">
        <f>VLOOKUP($A815,kurspris!$A$1:$Q$950,4,FALSE)</f>
        <v>1</v>
      </c>
      <c r="AF815" s="31">
        <f>VLOOKUP($A815,kurspris!$A$1:$Q$950,5,FALSE)</f>
        <v>0</v>
      </c>
      <c r="AG815" s="31">
        <f>VLOOKUP($A815,kurspris!$A$1:$Q$950,6,FALSE)</f>
        <v>0</v>
      </c>
      <c r="AH815" s="31">
        <f>VLOOKUP($A815,kurspris!$A$1:$Q$950,7,FALSE)</f>
        <v>0</v>
      </c>
      <c r="AI815" s="31">
        <f>VLOOKUP($A815,kurspris!$A$1:$Q$950,8,FALSE)</f>
        <v>0</v>
      </c>
      <c r="AJ815" s="31">
        <f>VLOOKUP($A815,kurspris!$A$1:$Q$950,9,FALSE)</f>
        <v>0</v>
      </c>
      <c r="AK815" s="31">
        <f>VLOOKUP($A815,kurspris!$A$1:$Q$950,10,FALSE)</f>
        <v>0</v>
      </c>
      <c r="AL815" s="31">
        <f>VLOOKUP($A815,kurspris!$A$1:$Q$950,11,FALSE)</f>
        <v>0</v>
      </c>
      <c r="AM815" s="31">
        <f>VLOOKUP($A815,kurspris!$A$1:$Q$950,12,FALSE)</f>
        <v>0</v>
      </c>
      <c r="AN815" s="31">
        <f>VLOOKUP($A815,kurspris!$A$1:$Q$950,13,FALSE)</f>
        <v>0</v>
      </c>
      <c r="AO815" s="31">
        <f>VLOOKUP($A815,kurspris!$A$1:$Q$950,14,FALSE)</f>
        <v>0</v>
      </c>
      <c r="AP815" s="57" t="s">
        <v>2506</v>
      </c>
      <c r="AQ815" t="s">
        <v>2311</v>
      </c>
      <c r="AR815" s="31">
        <f t="shared" si="367"/>
        <v>0</v>
      </c>
      <c r="AS815" s="219">
        <f t="shared" si="368"/>
        <v>0</v>
      </c>
      <c r="AT815" s="31">
        <f t="shared" si="369"/>
        <v>1</v>
      </c>
      <c r="AU815" s="219">
        <f t="shared" si="370"/>
        <v>0.85</v>
      </c>
      <c r="AV815" s="31">
        <f t="shared" si="371"/>
        <v>0</v>
      </c>
      <c r="AW815" s="31">
        <f t="shared" si="372"/>
        <v>0</v>
      </c>
      <c r="AX815" s="31">
        <f t="shared" si="373"/>
        <v>0</v>
      </c>
      <c r="AY815" s="219">
        <f t="shared" si="374"/>
        <v>0</v>
      </c>
      <c r="AZ815" s="196">
        <f t="shared" si="375"/>
        <v>0</v>
      </c>
      <c r="BA815" s="219">
        <f t="shared" si="376"/>
        <v>0</v>
      </c>
      <c r="BB815" s="31">
        <f t="shared" si="377"/>
        <v>0</v>
      </c>
      <c r="BC815" s="219">
        <f t="shared" si="378"/>
        <v>0</v>
      </c>
      <c r="BD815" s="31">
        <f t="shared" si="379"/>
        <v>0</v>
      </c>
      <c r="BE815" s="219">
        <f t="shared" si="380"/>
        <v>0</v>
      </c>
      <c r="BF815" s="31">
        <f t="shared" si="381"/>
        <v>0</v>
      </c>
      <c r="BG815" s="219">
        <f t="shared" si="382"/>
        <v>0</v>
      </c>
      <c r="BH815" s="31">
        <f t="shared" si="383"/>
        <v>0</v>
      </c>
      <c r="BI815" s="219">
        <f t="shared" si="384"/>
        <v>0</v>
      </c>
      <c r="BJ815" s="31">
        <f t="shared" si="385"/>
        <v>0</v>
      </c>
      <c r="BK815" s="219">
        <f t="shared" si="386"/>
        <v>0</v>
      </c>
      <c r="BL815" s="31">
        <f t="shared" si="387"/>
        <v>0</v>
      </c>
      <c r="BM815" s="219">
        <f t="shared" si="388"/>
        <v>0</v>
      </c>
      <c r="BN815" s="31">
        <f t="shared" si="389"/>
        <v>0</v>
      </c>
      <c r="BO815" s="219">
        <f t="shared" si="390"/>
        <v>0</v>
      </c>
    </row>
    <row r="816" spans="1:67" x14ac:dyDescent="0.25">
      <c r="A816" s="31" t="s">
        <v>1242</v>
      </c>
      <c r="B816" s="176" t="str">
        <f>VLOOKUP(A816,kurspris!$A$1:$B$992,2,FALSE)</f>
        <v>Examensarbete i svenska för ämneslärarexamen</v>
      </c>
      <c r="D816" s="60" t="s">
        <v>482</v>
      </c>
      <c r="E816" s="576" t="s">
        <v>2226</v>
      </c>
      <c r="F816" s="31" t="s">
        <v>2273</v>
      </c>
      <c r="G816" s="244" t="s">
        <v>2454</v>
      </c>
      <c r="H816" t="s">
        <v>2335</v>
      </c>
      <c r="J816" s="31" t="s">
        <v>2246</v>
      </c>
      <c r="L816" s="38">
        <v>1</v>
      </c>
      <c r="M816" s="244">
        <v>7.5</v>
      </c>
      <c r="P816" s="31">
        <v>1</v>
      </c>
      <c r="Q816" s="196">
        <f t="shared" si="392"/>
        <v>0.125</v>
      </c>
      <c r="R816" s="38">
        <v>0.85</v>
      </c>
      <c r="S816" s="280">
        <f t="shared" si="363"/>
        <v>0.10625</v>
      </c>
      <c r="T816" s="31">
        <f>VLOOKUP(A816,'Ansvar kurs'!$A$1:$C$1123,2,FALSE)</f>
        <v>1620</v>
      </c>
      <c r="U816" s="31" t="str">
        <f>VLOOKUP(T816,Orgenheter!$A$1:$C$166,2,FALSE)</f>
        <v>Inst för språkstudier</v>
      </c>
      <c r="V816" s="31" t="str">
        <f>VLOOKUP(T816,Orgenheter!$A$1:$C$166,3,FALSE)</f>
        <v>Hum</v>
      </c>
      <c r="W816" s="35" t="str">
        <f>VLOOKUP(D816,Program!$A$1:$B$36,2,FALSE)</f>
        <v>Ämneslärarprogrammet - Gy</v>
      </c>
      <c r="X816" s="40">
        <f>VLOOKUP(A816,kurspris!$A$1:$Q$913,15,FALSE)</f>
        <v>20766</v>
      </c>
      <c r="Y816" s="40">
        <f>VLOOKUP(A816,kurspris!$A$1:$Q$913,16,FALSE)</f>
        <v>17442</v>
      </c>
      <c r="Z816" s="40">
        <f t="shared" si="364"/>
        <v>4448.9624999999996</v>
      </c>
      <c r="AA816" s="40">
        <f>VLOOKUP(A816,kurspris!$A$1:$Q$913,17,FALSE)</f>
        <v>6000</v>
      </c>
      <c r="AB816" s="40">
        <f t="shared" si="365"/>
        <v>750</v>
      </c>
      <c r="AC816" s="40">
        <f t="shared" si="366"/>
        <v>5198.9624999999996</v>
      </c>
      <c r="AD816" s="31">
        <f>VLOOKUP($A816,kurspris!$A$1:$Q$950,3,FALSE)</f>
        <v>0</v>
      </c>
      <c r="AE816" s="31">
        <f>VLOOKUP($A816,kurspris!$A$1:$Q$950,4,FALSE)</f>
        <v>1</v>
      </c>
      <c r="AF816" s="31">
        <f>VLOOKUP($A816,kurspris!$A$1:$Q$950,5,FALSE)</f>
        <v>0</v>
      </c>
      <c r="AG816" s="31">
        <f>VLOOKUP($A816,kurspris!$A$1:$Q$950,6,FALSE)</f>
        <v>0</v>
      </c>
      <c r="AH816" s="31">
        <f>VLOOKUP($A816,kurspris!$A$1:$Q$950,7,FALSE)</f>
        <v>0</v>
      </c>
      <c r="AI816" s="31">
        <f>VLOOKUP($A816,kurspris!$A$1:$Q$950,8,FALSE)</f>
        <v>0</v>
      </c>
      <c r="AJ816" s="31">
        <f>VLOOKUP($A816,kurspris!$A$1:$Q$950,9,FALSE)</f>
        <v>0</v>
      </c>
      <c r="AK816" s="31">
        <f>VLOOKUP($A816,kurspris!$A$1:$Q$950,10,FALSE)</f>
        <v>0</v>
      </c>
      <c r="AL816" s="31">
        <f>VLOOKUP($A816,kurspris!$A$1:$Q$950,11,FALSE)</f>
        <v>0</v>
      </c>
      <c r="AM816" s="31">
        <f>VLOOKUP($A816,kurspris!$A$1:$Q$950,12,FALSE)</f>
        <v>0</v>
      </c>
      <c r="AN816" s="31">
        <f>VLOOKUP($A816,kurspris!$A$1:$Q$950,13,FALSE)</f>
        <v>0</v>
      </c>
      <c r="AO816" s="31">
        <f>VLOOKUP($A816,kurspris!$A$1:$Q$950,14,FALSE)</f>
        <v>0</v>
      </c>
      <c r="AP816" s="57" t="s">
        <v>2506</v>
      </c>
      <c r="AQ816" t="s">
        <v>2311</v>
      </c>
      <c r="AR816" s="31">
        <f t="shared" si="367"/>
        <v>0</v>
      </c>
      <c r="AS816" s="219">
        <f t="shared" si="368"/>
        <v>0</v>
      </c>
      <c r="AT816" s="31">
        <f t="shared" si="369"/>
        <v>0.125</v>
      </c>
      <c r="AU816" s="219">
        <f t="shared" si="370"/>
        <v>0.10625</v>
      </c>
      <c r="AV816" s="31">
        <f t="shared" si="371"/>
        <v>0</v>
      </c>
      <c r="AW816" s="31">
        <f t="shared" si="372"/>
        <v>0</v>
      </c>
      <c r="AX816" s="31">
        <f t="shared" si="373"/>
        <v>0</v>
      </c>
      <c r="AY816" s="219">
        <f t="shared" si="374"/>
        <v>0</v>
      </c>
      <c r="AZ816" s="196">
        <f t="shared" si="375"/>
        <v>0</v>
      </c>
      <c r="BA816" s="219">
        <f t="shared" si="376"/>
        <v>0</v>
      </c>
      <c r="BB816" s="31">
        <f t="shared" si="377"/>
        <v>0</v>
      </c>
      <c r="BC816" s="219">
        <f t="shared" si="378"/>
        <v>0</v>
      </c>
      <c r="BD816" s="31">
        <f t="shared" si="379"/>
        <v>0</v>
      </c>
      <c r="BE816" s="219">
        <f t="shared" si="380"/>
        <v>0</v>
      </c>
      <c r="BF816" s="31">
        <f t="shared" si="381"/>
        <v>0</v>
      </c>
      <c r="BG816" s="219">
        <f t="shared" si="382"/>
        <v>0</v>
      </c>
      <c r="BH816" s="31">
        <f t="shared" si="383"/>
        <v>0</v>
      </c>
      <c r="BI816" s="219">
        <f t="shared" si="384"/>
        <v>0</v>
      </c>
      <c r="BJ816" s="31">
        <f t="shared" si="385"/>
        <v>0</v>
      </c>
      <c r="BK816" s="219">
        <f t="shared" si="386"/>
        <v>0</v>
      </c>
      <c r="BL816" s="31">
        <f t="shared" si="387"/>
        <v>0</v>
      </c>
      <c r="BM816" s="219">
        <f t="shared" si="388"/>
        <v>0</v>
      </c>
      <c r="BN816" s="31">
        <f t="shared" si="389"/>
        <v>0</v>
      </c>
      <c r="BO816" s="219">
        <f t="shared" si="390"/>
        <v>0</v>
      </c>
    </row>
    <row r="817" spans="1:67" x14ac:dyDescent="0.25">
      <c r="A817" s="31" t="s">
        <v>1242</v>
      </c>
      <c r="B817" s="176" t="str">
        <f>VLOOKUP(A817,kurspris!$A$1:$B$992,2,FALSE)</f>
        <v>Examensarbete i svenska för ämneslärarexamen</v>
      </c>
      <c r="D817" s="60" t="s">
        <v>482</v>
      </c>
      <c r="E817" s="576" t="s">
        <v>2432</v>
      </c>
      <c r="F817" s="31" t="s">
        <v>2273</v>
      </c>
      <c r="G817" s="244" t="s">
        <v>2454</v>
      </c>
      <c r="H817" t="s">
        <v>2335</v>
      </c>
      <c r="J817" s="31" t="s">
        <v>2240</v>
      </c>
      <c r="L817" s="38">
        <v>1</v>
      </c>
      <c r="M817" s="244">
        <v>7.5</v>
      </c>
      <c r="P817" s="31">
        <v>1</v>
      </c>
      <c r="Q817" s="196">
        <f t="shared" si="392"/>
        <v>0.125</v>
      </c>
      <c r="R817" s="38">
        <v>0.85</v>
      </c>
      <c r="S817" s="280">
        <f t="shared" si="363"/>
        <v>0.10625</v>
      </c>
      <c r="T817" s="31">
        <f>VLOOKUP(A817,'Ansvar kurs'!$A$1:$C$1123,2,FALSE)</f>
        <v>1620</v>
      </c>
      <c r="U817" s="31" t="str">
        <f>VLOOKUP(T817,Orgenheter!$A$1:$C$166,2,FALSE)</f>
        <v>Inst för språkstudier</v>
      </c>
      <c r="V817" s="31" t="str">
        <f>VLOOKUP(T817,Orgenheter!$A$1:$C$166,3,FALSE)</f>
        <v>Hum</v>
      </c>
      <c r="W817" s="35" t="str">
        <f>VLOOKUP(D817,Program!$A$1:$B$36,2,FALSE)</f>
        <v>Ämneslärarprogrammet - Gy</v>
      </c>
      <c r="X817" s="40">
        <f>VLOOKUP(A817,kurspris!$A$1:$Q$913,15,FALSE)</f>
        <v>20766</v>
      </c>
      <c r="Y817" s="40">
        <f>VLOOKUP(A817,kurspris!$A$1:$Q$913,16,FALSE)</f>
        <v>17442</v>
      </c>
      <c r="Z817" s="40">
        <f t="shared" si="364"/>
        <v>4448.9624999999996</v>
      </c>
      <c r="AA817" s="40">
        <f>VLOOKUP(A817,kurspris!$A$1:$Q$913,17,FALSE)</f>
        <v>6000</v>
      </c>
      <c r="AB817" s="40">
        <f t="shared" si="365"/>
        <v>750</v>
      </c>
      <c r="AC817" s="40">
        <f t="shared" si="366"/>
        <v>5198.9624999999996</v>
      </c>
      <c r="AD817" s="31">
        <f>VLOOKUP($A817,kurspris!$A$1:$Q$950,3,FALSE)</f>
        <v>0</v>
      </c>
      <c r="AE817" s="31">
        <f>VLOOKUP($A817,kurspris!$A$1:$Q$950,4,FALSE)</f>
        <v>1</v>
      </c>
      <c r="AF817" s="31">
        <f>VLOOKUP($A817,kurspris!$A$1:$Q$950,5,FALSE)</f>
        <v>0</v>
      </c>
      <c r="AG817" s="31">
        <f>VLOOKUP($A817,kurspris!$A$1:$Q$950,6,FALSE)</f>
        <v>0</v>
      </c>
      <c r="AH817" s="31">
        <f>VLOOKUP($A817,kurspris!$A$1:$Q$950,7,FALSE)</f>
        <v>0</v>
      </c>
      <c r="AI817" s="31">
        <f>VLOOKUP($A817,kurspris!$A$1:$Q$950,8,FALSE)</f>
        <v>0</v>
      </c>
      <c r="AJ817" s="31">
        <f>VLOOKUP($A817,kurspris!$A$1:$Q$950,9,FALSE)</f>
        <v>0</v>
      </c>
      <c r="AK817" s="31">
        <f>VLOOKUP($A817,kurspris!$A$1:$Q$950,10,FALSE)</f>
        <v>0</v>
      </c>
      <c r="AL817" s="31">
        <f>VLOOKUP($A817,kurspris!$A$1:$Q$950,11,FALSE)</f>
        <v>0</v>
      </c>
      <c r="AM817" s="31">
        <f>VLOOKUP($A817,kurspris!$A$1:$Q$950,12,FALSE)</f>
        <v>0</v>
      </c>
      <c r="AN817" s="31">
        <f>VLOOKUP($A817,kurspris!$A$1:$Q$950,13,FALSE)</f>
        <v>0</v>
      </c>
      <c r="AO817" s="31">
        <f>VLOOKUP($A817,kurspris!$A$1:$Q$950,14,FALSE)</f>
        <v>0</v>
      </c>
      <c r="AP817" s="57" t="s">
        <v>2506</v>
      </c>
      <c r="AQ817" t="s">
        <v>2311</v>
      </c>
      <c r="AR817" s="31">
        <f t="shared" si="367"/>
        <v>0</v>
      </c>
      <c r="AS817" s="219">
        <f t="shared" si="368"/>
        <v>0</v>
      </c>
      <c r="AT817" s="31">
        <f t="shared" si="369"/>
        <v>0.125</v>
      </c>
      <c r="AU817" s="219">
        <f t="shared" si="370"/>
        <v>0.10625</v>
      </c>
      <c r="AV817" s="31">
        <f t="shared" si="371"/>
        <v>0</v>
      </c>
      <c r="AW817" s="31">
        <f t="shared" si="372"/>
        <v>0</v>
      </c>
      <c r="AX817" s="31">
        <f t="shared" si="373"/>
        <v>0</v>
      </c>
      <c r="AY817" s="219">
        <f t="shared" si="374"/>
        <v>0</v>
      </c>
      <c r="AZ817" s="196">
        <f t="shared" si="375"/>
        <v>0</v>
      </c>
      <c r="BA817" s="219">
        <f t="shared" si="376"/>
        <v>0</v>
      </c>
      <c r="BB817" s="31">
        <f t="shared" si="377"/>
        <v>0</v>
      </c>
      <c r="BC817" s="219">
        <f t="shared" si="378"/>
        <v>0</v>
      </c>
      <c r="BD817" s="31">
        <f t="shared" si="379"/>
        <v>0</v>
      </c>
      <c r="BE817" s="219">
        <f t="shared" si="380"/>
        <v>0</v>
      </c>
      <c r="BF817" s="31">
        <f t="shared" si="381"/>
        <v>0</v>
      </c>
      <c r="BG817" s="219">
        <f t="shared" si="382"/>
        <v>0</v>
      </c>
      <c r="BH817" s="31">
        <f t="shared" si="383"/>
        <v>0</v>
      </c>
      <c r="BI817" s="219">
        <f t="shared" si="384"/>
        <v>0</v>
      </c>
      <c r="BJ817" s="31">
        <f t="shared" si="385"/>
        <v>0</v>
      </c>
      <c r="BK817" s="219">
        <f t="shared" si="386"/>
        <v>0</v>
      </c>
      <c r="BL817" s="31">
        <f t="shared" si="387"/>
        <v>0</v>
      </c>
      <c r="BM817" s="219">
        <f t="shared" si="388"/>
        <v>0</v>
      </c>
      <c r="BN817" s="31">
        <f t="shared" si="389"/>
        <v>0</v>
      </c>
      <c r="BO817" s="219">
        <f t="shared" si="390"/>
        <v>0</v>
      </c>
    </row>
    <row r="818" spans="1:67" x14ac:dyDescent="0.25">
      <c r="A818" s="31" t="s">
        <v>1267</v>
      </c>
      <c r="B818" s="176" t="str">
        <f>VLOOKUP(A818,kurspris!$A$1:$B$992,2,FALSE)</f>
        <v>Examensarbete i språkdidaktik för ämneslärarexamen</v>
      </c>
      <c r="D818" s="31" t="s">
        <v>117</v>
      </c>
      <c r="F818" s="60" t="s">
        <v>2273</v>
      </c>
      <c r="I818" s="31" t="s">
        <v>2275</v>
      </c>
      <c r="L818" s="38">
        <v>1</v>
      </c>
      <c r="M818" s="325">
        <v>7.5</v>
      </c>
      <c r="P818" s="31">
        <v>2</v>
      </c>
      <c r="Q818" s="196">
        <f t="shared" si="392"/>
        <v>0.25</v>
      </c>
      <c r="R818" s="38">
        <v>0.8</v>
      </c>
      <c r="S818" s="280">
        <f t="shared" si="363"/>
        <v>0.2</v>
      </c>
      <c r="T818" s="31">
        <f>VLOOKUP(A818,'Ansvar kurs'!$A$1:$C$1123,2,FALSE)</f>
        <v>1620</v>
      </c>
      <c r="U818" s="31" t="str">
        <f>VLOOKUP(T818,Orgenheter!$A$1:$C$166,2,FALSE)</f>
        <v>Inst för språkstudier</v>
      </c>
      <c r="V818" s="31" t="str">
        <f>VLOOKUP(T818,Orgenheter!$A$1:$C$166,3,FALSE)</f>
        <v>Hum</v>
      </c>
      <c r="W818" s="35" t="str">
        <f>VLOOKUP(D818,Program!$A$1:$B$36,2,FALSE)</f>
        <v>Fristående och övriga kurser</v>
      </c>
      <c r="X818" s="40">
        <f>VLOOKUP(A818,kurspris!$A$1:$Q$913,15,FALSE)</f>
        <v>20766</v>
      </c>
      <c r="Y818" s="40">
        <f>VLOOKUP(A818,kurspris!$A$1:$Q$913,16,FALSE)</f>
        <v>17442</v>
      </c>
      <c r="Z818" s="40">
        <f t="shared" si="364"/>
        <v>8679.9</v>
      </c>
      <c r="AA818" s="40">
        <f>VLOOKUP(A818,kurspris!$A$1:$Q$913,17,FALSE)</f>
        <v>6000</v>
      </c>
      <c r="AB818" s="40">
        <f t="shared" si="365"/>
        <v>1500</v>
      </c>
      <c r="AC818" s="40">
        <f t="shared" si="366"/>
        <v>10179.9</v>
      </c>
      <c r="AD818" s="31">
        <f>VLOOKUP($A818,kurspris!$A$1:$Q$950,3,FALSE)</f>
        <v>0</v>
      </c>
      <c r="AE818" s="31">
        <f>VLOOKUP($A818,kurspris!$A$1:$Q$950,4,FALSE)</f>
        <v>1</v>
      </c>
      <c r="AF818" s="31">
        <f>VLOOKUP($A818,kurspris!$A$1:$Q$950,5,FALSE)</f>
        <v>0</v>
      </c>
      <c r="AG818" s="31">
        <f>VLOOKUP($A818,kurspris!$A$1:$Q$950,6,FALSE)</f>
        <v>0</v>
      </c>
      <c r="AH818" s="31">
        <f>VLOOKUP($A818,kurspris!$A$1:$Q$950,7,FALSE)</f>
        <v>0</v>
      </c>
      <c r="AI818" s="31">
        <f>VLOOKUP($A818,kurspris!$A$1:$Q$950,8,FALSE)</f>
        <v>0</v>
      </c>
      <c r="AJ818" s="31">
        <f>VLOOKUP($A818,kurspris!$A$1:$Q$950,9,FALSE)</f>
        <v>0</v>
      </c>
      <c r="AK818" s="31">
        <f>VLOOKUP($A818,kurspris!$A$1:$Q$950,10,FALSE)</f>
        <v>0</v>
      </c>
      <c r="AL818" s="31">
        <f>VLOOKUP($A818,kurspris!$A$1:$Q$950,11,FALSE)</f>
        <v>0</v>
      </c>
      <c r="AM818" s="31">
        <f>VLOOKUP($A818,kurspris!$A$1:$Q$950,12,FALSE)</f>
        <v>0</v>
      </c>
      <c r="AN818" s="31">
        <f>VLOOKUP($A818,kurspris!$A$1:$Q$950,13,FALSE)</f>
        <v>0</v>
      </c>
      <c r="AO818" s="31">
        <f>VLOOKUP($A818,kurspris!$A$1:$Q$950,14,FALSE)</f>
        <v>0</v>
      </c>
      <c r="AP818" s="57" t="s">
        <v>2267</v>
      </c>
      <c r="AQ818"/>
      <c r="AR818" s="31">
        <f t="shared" si="367"/>
        <v>0</v>
      </c>
      <c r="AS818" s="219">
        <f t="shared" si="368"/>
        <v>0</v>
      </c>
      <c r="AT818" s="31">
        <f t="shared" si="369"/>
        <v>0.25</v>
      </c>
      <c r="AU818" s="219">
        <f t="shared" si="370"/>
        <v>0.2</v>
      </c>
      <c r="AV818" s="31">
        <f t="shared" si="371"/>
        <v>0</v>
      </c>
      <c r="AW818" s="31">
        <f t="shared" si="372"/>
        <v>0</v>
      </c>
      <c r="AX818" s="31">
        <f t="shared" si="373"/>
        <v>0</v>
      </c>
      <c r="AY818" s="219">
        <f t="shared" si="374"/>
        <v>0</v>
      </c>
      <c r="AZ818" s="196">
        <f t="shared" si="375"/>
        <v>0</v>
      </c>
      <c r="BA818" s="219">
        <f t="shared" si="376"/>
        <v>0</v>
      </c>
      <c r="BB818" s="31">
        <f t="shared" si="377"/>
        <v>0</v>
      </c>
      <c r="BC818" s="219">
        <f t="shared" si="378"/>
        <v>0</v>
      </c>
      <c r="BD818" s="31">
        <f t="shared" si="379"/>
        <v>0</v>
      </c>
      <c r="BE818" s="219">
        <f t="shared" si="380"/>
        <v>0</v>
      </c>
      <c r="BF818" s="31">
        <f t="shared" si="381"/>
        <v>0</v>
      </c>
      <c r="BG818" s="219">
        <f t="shared" si="382"/>
        <v>0</v>
      </c>
      <c r="BH818" s="31">
        <f t="shared" si="383"/>
        <v>0</v>
      </c>
      <c r="BI818" s="219">
        <f t="shared" si="384"/>
        <v>0</v>
      </c>
      <c r="BJ818" s="31">
        <f t="shared" si="385"/>
        <v>0</v>
      </c>
      <c r="BK818" s="219">
        <f t="shared" si="386"/>
        <v>0</v>
      </c>
      <c r="BL818" s="31">
        <f t="shared" si="387"/>
        <v>0</v>
      </c>
      <c r="BM818" s="219">
        <f t="shared" si="388"/>
        <v>0</v>
      </c>
      <c r="BN818" s="31">
        <f t="shared" si="389"/>
        <v>0</v>
      </c>
      <c r="BO818" s="219">
        <f t="shared" si="390"/>
        <v>0</v>
      </c>
    </row>
    <row r="819" spans="1:67" x14ac:dyDescent="0.25">
      <c r="A819" s="31" t="s">
        <v>1267</v>
      </c>
      <c r="B819" s="176" t="str">
        <f>VLOOKUP(A819,kurspris!$A$1:$B$992,2,FALSE)</f>
        <v>Examensarbete i språkdidaktik för ämneslärarexamen</v>
      </c>
      <c r="D819" s="60" t="s">
        <v>482</v>
      </c>
      <c r="E819" s="576" t="s">
        <v>2227</v>
      </c>
      <c r="F819" s="31" t="s">
        <v>2273</v>
      </c>
      <c r="G819" s="244" t="s">
        <v>2454</v>
      </c>
      <c r="H819" t="s">
        <v>2335</v>
      </c>
      <c r="J819" s="31" t="s">
        <v>2231</v>
      </c>
      <c r="L819" s="38">
        <v>1</v>
      </c>
      <c r="M819" s="244">
        <v>7.5</v>
      </c>
      <c r="P819" s="31">
        <v>2</v>
      </c>
      <c r="Q819" s="196">
        <f t="shared" si="392"/>
        <v>0.25</v>
      </c>
      <c r="R819" s="38">
        <v>0.85</v>
      </c>
      <c r="S819" s="280">
        <f t="shared" si="363"/>
        <v>0.21249999999999999</v>
      </c>
      <c r="T819" s="31">
        <f>VLOOKUP(A819,'Ansvar kurs'!$A$1:$C$1123,2,FALSE)</f>
        <v>1620</v>
      </c>
      <c r="U819" s="31" t="str">
        <f>VLOOKUP(T819,Orgenheter!$A$1:$C$166,2,FALSE)</f>
        <v>Inst för språkstudier</v>
      </c>
      <c r="V819" s="31" t="str">
        <f>VLOOKUP(T819,Orgenheter!$A$1:$C$166,3,FALSE)</f>
        <v>Hum</v>
      </c>
      <c r="W819" s="35" t="str">
        <f>VLOOKUP(D819,Program!$A$1:$B$36,2,FALSE)</f>
        <v>Ämneslärarprogrammet - Gy</v>
      </c>
      <c r="X819" s="40">
        <f>VLOOKUP(A819,kurspris!$A$1:$Q$913,15,FALSE)</f>
        <v>20766</v>
      </c>
      <c r="Y819" s="40">
        <f>VLOOKUP(A819,kurspris!$A$1:$Q$913,16,FALSE)</f>
        <v>17442</v>
      </c>
      <c r="Z819" s="40">
        <f t="shared" si="364"/>
        <v>8897.9249999999993</v>
      </c>
      <c r="AA819" s="40">
        <f>VLOOKUP(A819,kurspris!$A$1:$Q$913,17,FALSE)</f>
        <v>6000</v>
      </c>
      <c r="AB819" s="40">
        <f t="shared" si="365"/>
        <v>1500</v>
      </c>
      <c r="AC819" s="40">
        <f t="shared" si="366"/>
        <v>10397.924999999999</v>
      </c>
      <c r="AD819" s="31">
        <f>VLOOKUP($A819,kurspris!$A$1:$Q$950,3,FALSE)</f>
        <v>0</v>
      </c>
      <c r="AE819" s="31">
        <f>VLOOKUP($A819,kurspris!$A$1:$Q$950,4,FALSE)</f>
        <v>1</v>
      </c>
      <c r="AF819" s="31">
        <f>VLOOKUP($A819,kurspris!$A$1:$Q$950,5,FALSE)</f>
        <v>0</v>
      </c>
      <c r="AG819" s="31">
        <f>VLOOKUP($A819,kurspris!$A$1:$Q$950,6,FALSE)</f>
        <v>0</v>
      </c>
      <c r="AH819" s="31">
        <f>VLOOKUP($A819,kurspris!$A$1:$Q$950,7,FALSE)</f>
        <v>0</v>
      </c>
      <c r="AI819" s="31">
        <f>VLOOKUP($A819,kurspris!$A$1:$Q$950,8,FALSE)</f>
        <v>0</v>
      </c>
      <c r="AJ819" s="31">
        <f>VLOOKUP($A819,kurspris!$A$1:$Q$950,9,FALSE)</f>
        <v>0</v>
      </c>
      <c r="AK819" s="31">
        <f>VLOOKUP($A819,kurspris!$A$1:$Q$950,10,FALSE)</f>
        <v>0</v>
      </c>
      <c r="AL819" s="31">
        <f>VLOOKUP($A819,kurspris!$A$1:$Q$950,11,FALSE)</f>
        <v>0</v>
      </c>
      <c r="AM819" s="31">
        <f>VLOOKUP($A819,kurspris!$A$1:$Q$950,12,FALSE)</f>
        <v>0</v>
      </c>
      <c r="AN819" s="31">
        <f>VLOOKUP($A819,kurspris!$A$1:$Q$950,13,FALSE)</f>
        <v>0</v>
      </c>
      <c r="AO819" s="31">
        <f>VLOOKUP($A819,kurspris!$A$1:$Q$950,14,FALSE)</f>
        <v>0</v>
      </c>
      <c r="AP819" s="57" t="s">
        <v>2506</v>
      </c>
      <c r="AQ819" t="s">
        <v>2311</v>
      </c>
      <c r="AR819" s="31">
        <f t="shared" si="367"/>
        <v>0</v>
      </c>
      <c r="AS819" s="219">
        <f t="shared" si="368"/>
        <v>0</v>
      </c>
      <c r="AT819" s="31">
        <f t="shared" si="369"/>
        <v>0.25</v>
      </c>
      <c r="AU819" s="219">
        <f t="shared" si="370"/>
        <v>0.21249999999999999</v>
      </c>
      <c r="AV819" s="31">
        <f t="shared" si="371"/>
        <v>0</v>
      </c>
      <c r="AW819" s="31">
        <f t="shared" si="372"/>
        <v>0</v>
      </c>
      <c r="AX819" s="31">
        <f t="shared" si="373"/>
        <v>0</v>
      </c>
      <c r="AY819" s="219">
        <f t="shared" si="374"/>
        <v>0</v>
      </c>
      <c r="AZ819" s="196">
        <f t="shared" si="375"/>
        <v>0</v>
      </c>
      <c r="BA819" s="219">
        <f t="shared" si="376"/>
        <v>0</v>
      </c>
      <c r="BB819" s="31">
        <f t="shared" si="377"/>
        <v>0</v>
      </c>
      <c r="BC819" s="219">
        <f t="shared" si="378"/>
        <v>0</v>
      </c>
      <c r="BD819" s="31">
        <f t="shared" si="379"/>
        <v>0</v>
      </c>
      <c r="BE819" s="219">
        <f t="shared" si="380"/>
        <v>0</v>
      </c>
      <c r="BF819" s="31">
        <f t="shared" si="381"/>
        <v>0</v>
      </c>
      <c r="BG819" s="219">
        <f t="shared" si="382"/>
        <v>0</v>
      </c>
      <c r="BH819" s="31">
        <f t="shared" si="383"/>
        <v>0</v>
      </c>
      <c r="BI819" s="219">
        <f t="shared" si="384"/>
        <v>0</v>
      </c>
      <c r="BJ819" s="31">
        <f t="shared" si="385"/>
        <v>0</v>
      </c>
      <c r="BK819" s="219">
        <f t="shared" si="386"/>
        <v>0</v>
      </c>
      <c r="BL819" s="31">
        <f t="shared" si="387"/>
        <v>0</v>
      </c>
      <c r="BM819" s="219">
        <f t="shared" si="388"/>
        <v>0</v>
      </c>
      <c r="BN819" s="31">
        <f t="shared" si="389"/>
        <v>0</v>
      </c>
      <c r="BO819" s="219">
        <f t="shared" si="390"/>
        <v>0</v>
      </c>
    </row>
    <row r="820" spans="1:67" x14ac:dyDescent="0.25">
      <c r="A820" s="31" t="s">
        <v>1267</v>
      </c>
      <c r="B820" s="176" t="str">
        <f>VLOOKUP(A820,kurspris!$A$1:$B$992,2,FALSE)</f>
        <v>Examensarbete i språkdidaktik för ämneslärarexamen</v>
      </c>
      <c r="D820" s="60" t="s">
        <v>482</v>
      </c>
      <c r="E820" s="576" t="s">
        <v>2226</v>
      </c>
      <c r="F820" s="31" t="s">
        <v>2273</v>
      </c>
      <c r="G820" s="244" t="s">
        <v>2454</v>
      </c>
      <c r="H820" t="s">
        <v>2335</v>
      </c>
      <c r="J820" s="31" t="s">
        <v>2231</v>
      </c>
      <c r="L820" s="38">
        <v>1</v>
      </c>
      <c r="M820" s="244">
        <v>7.5</v>
      </c>
      <c r="P820" s="31">
        <v>8</v>
      </c>
      <c r="Q820" s="196">
        <f t="shared" si="392"/>
        <v>1</v>
      </c>
      <c r="R820" s="38">
        <v>0.85</v>
      </c>
      <c r="S820" s="280">
        <f t="shared" si="363"/>
        <v>0.85</v>
      </c>
      <c r="T820" s="31">
        <f>VLOOKUP(A820,'Ansvar kurs'!$A$1:$C$1123,2,FALSE)</f>
        <v>1620</v>
      </c>
      <c r="U820" s="31" t="str">
        <f>VLOOKUP(T820,Orgenheter!$A$1:$C$166,2,FALSE)</f>
        <v>Inst för språkstudier</v>
      </c>
      <c r="V820" s="31" t="str">
        <f>VLOOKUP(T820,Orgenheter!$A$1:$C$166,3,FALSE)</f>
        <v>Hum</v>
      </c>
      <c r="W820" s="35" t="str">
        <f>VLOOKUP(D820,Program!$A$1:$B$36,2,FALSE)</f>
        <v>Ämneslärarprogrammet - Gy</v>
      </c>
      <c r="X820" s="40">
        <f>VLOOKUP(A820,kurspris!$A$1:$Q$913,15,FALSE)</f>
        <v>20766</v>
      </c>
      <c r="Y820" s="40">
        <f>VLOOKUP(A820,kurspris!$A$1:$Q$913,16,FALSE)</f>
        <v>17442</v>
      </c>
      <c r="Z820" s="40">
        <f t="shared" si="364"/>
        <v>35591.699999999997</v>
      </c>
      <c r="AA820" s="40">
        <f>VLOOKUP(A820,kurspris!$A$1:$Q$913,17,FALSE)</f>
        <v>6000</v>
      </c>
      <c r="AB820" s="40">
        <f t="shared" si="365"/>
        <v>6000</v>
      </c>
      <c r="AC820" s="40">
        <f t="shared" si="366"/>
        <v>41591.699999999997</v>
      </c>
      <c r="AD820" s="31">
        <f>VLOOKUP($A820,kurspris!$A$1:$Q$950,3,FALSE)</f>
        <v>0</v>
      </c>
      <c r="AE820" s="31">
        <f>VLOOKUP($A820,kurspris!$A$1:$Q$950,4,FALSE)</f>
        <v>1</v>
      </c>
      <c r="AF820" s="31">
        <f>VLOOKUP($A820,kurspris!$A$1:$Q$950,5,FALSE)</f>
        <v>0</v>
      </c>
      <c r="AG820" s="31">
        <f>VLOOKUP($A820,kurspris!$A$1:$Q$950,6,FALSE)</f>
        <v>0</v>
      </c>
      <c r="AH820" s="31">
        <f>VLOOKUP($A820,kurspris!$A$1:$Q$950,7,FALSE)</f>
        <v>0</v>
      </c>
      <c r="AI820" s="31">
        <f>VLOOKUP($A820,kurspris!$A$1:$Q$950,8,FALSE)</f>
        <v>0</v>
      </c>
      <c r="AJ820" s="31">
        <f>VLOOKUP($A820,kurspris!$A$1:$Q$950,9,FALSE)</f>
        <v>0</v>
      </c>
      <c r="AK820" s="31">
        <f>VLOOKUP($A820,kurspris!$A$1:$Q$950,10,FALSE)</f>
        <v>0</v>
      </c>
      <c r="AL820" s="31">
        <f>VLOOKUP($A820,kurspris!$A$1:$Q$950,11,FALSE)</f>
        <v>0</v>
      </c>
      <c r="AM820" s="31">
        <f>VLOOKUP($A820,kurspris!$A$1:$Q$950,12,FALSE)</f>
        <v>0</v>
      </c>
      <c r="AN820" s="31">
        <f>VLOOKUP($A820,kurspris!$A$1:$Q$950,13,FALSE)</f>
        <v>0</v>
      </c>
      <c r="AO820" s="31">
        <f>VLOOKUP($A820,kurspris!$A$1:$Q$950,14,FALSE)</f>
        <v>0</v>
      </c>
      <c r="AP820" s="57" t="s">
        <v>2506</v>
      </c>
      <c r="AQ820" t="s">
        <v>2311</v>
      </c>
      <c r="AR820" s="31">
        <f t="shared" si="367"/>
        <v>0</v>
      </c>
      <c r="AS820" s="219">
        <f t="shared" si="368"/>
        <v>0</v>
      </c>
      <c r="AT820" s="31">
        <f t="shared" si="369"/>
        <v>1</v>
      </c>
      <c r="AU820" s="219">
        <f t="shared" si="370"/>
        <v>0.85</v>
      </c>
      <c r="AV820" s="31">
        <f t="shared" si="371"/>
        <v>0</v>
      </c>
      <c r="AW820" s="31">
        <f t="shared" si="372"/>
        <v>0</v>
      </c>
      <c r="AX820" s="31">
        <f t="shared" si="373"/>
        <v>0</v>
      </c>
      <c r="AY820" s="219">
        <f t="shared" si="374"/>
        <v>0</v>
      </c>
      <c r="AZ820" s="196">
        <f t="shared" si="375"/>
        <v>0</v>
      </c>
      <c r="BA820" s="219">
        <f t="shared" si="376"/>
        <v>0</v>
      </c>
      <c r="BB820" s="31">
        <f t="shared" si="377"/>
        <v>0</v>
      </c>
      <c r="BC820" s="219">
        <f t="shared" si="378"/>
        <v>0</v>
      </c>
      <c r="BD820" s="31">
        <f t="shared" si="379"/>
        <v>0</v>
      </c>
      <c r="BE820" s="219">
        <f t="shared" si="380"/>
        <v>0</v>
      </c>
      <c r="BF820" s="31">
        <f t="shared" si="381"/>
        <v>0</v>
      </c>
      <c r="BG820" s="219">
        <f t="shared" si="382"/>
        <v>0</v>
      </c>
      <c r="BH820" s="31">
        <f t="shared" si="383"/>
        <v>0</v>
      </c>
      <c r="BI820" s="219">
        <f t="shared" si="384"/>
        <v>0</v>
      </c>
      <c r="BJ820" s="31">
        <f t="shared" si="385"/>
        <v>0</v>
      </c>
      <c r="BK820" s="219">
        <f t="shared" si="386"/>
        <v>0</v>
      </c>
      <c r="BL820" s="31">
        <f t="shared" si="387"/>
        <v>0</v>
      </c>
      <c r="BM820" s="219">
        <f t="shared" si="388"/>
        <v>0</v>
      </c>
      <c r="BN820" s="31">
        <f t="shared" si="389"/>
        <v>0</v>
      </c>
      <c r="BO820" s="219">
        <f t="shared" si="390"/>
        <v>0</v>
      </c>
    </row>
    <row r="821" spans="1:67" x14ac:dyDescent="0.25">
      <c r="A821" s="31" t="s">
        <v>1267</v>
      </c>
      <c r="B821" s="176" t="str">
        <f>VLOOKUP(A821,kurspris!$A$1:$B$992,2,FALSE)</f>
        <v>Examensarbete i språkdidaktik för ämneslärarexamen</v>
      </c>
      <c r="D821" s="60" t="s">
        <v>482</v>
      </c>
      <c r="E821" s="576" t="s">
        <v>2226</v>
      </c>
      <c r="F821" s="31" t="s">
        <v>2273</v>
      </c>
      <c r="G821" s="244" t="s">
        <v>2454</v>
      </c>
      <c r="H821" t="s">
        <v>2335</v>
      </c>
      <c r="J821" s="31" t="s">
        <v>2233</v>
      </c>
      <c r="L821" s="38">
        <v>1</v>
      </c>
      <c r="M821" s="244">
        <v>7.5</v>
      </c>
      <c r="P821" s="31">
        <v>1</v>
      </c>
      <c r="Q821" s="196">
        <f t="shared" si="392"/>
        <v>0.125</v>
      </c>
      <c r="R821" s="38">
        <v>0.85</v>
      </c>
      <c r="S821" s="280">
        <f t="shared" si="363"/>
        <v>0.10625</v>
      </c>
      <c r="T821" s="31">
        <f>VLOOKUP(A821,'Ansvar kurs'!$A$1:$C$1123,2,FALSE)</f>
        <v>1620</v>
      </c>
      <c r="U821" s="31" t="str">
        <f>VLOOKUP(T821,Orgenheter!$A$1:$C$166,2,FALSE)</f>
        <v>Inst för språkstudier</v>
      </c>
      <c r="V821" s="31" t="str">
        <f>VLOOKUP(T821,Orgenheter!$A$1:$C$166,3,FALSE)</f>
        <v>Hum</v>
      </c>
      <c r="W821" s="35" t="str">
        <f>VLOOKUP(D821,Program!$A$1:$B$36,2,FALSE)</f>
        <v>Ämneslärarprogrammet - Gy</v>
      </c>
      <c r="X821" s="40">
        <f>VLOOKUP(A821,kurspris!$A$1:$Q$913,15,FALSE)</f>
        <v>20766</v>
      </c>
      <c r="Y821" s="40">
        <f>VLOOKUP(A821,kurspris!$A$1:$Q$913,16,FALSE)</f>
        <v>17442</v>
      </c>
      <c r="Z821" s="40">
        <f t="shared" si="364"/>
        <v>4448.9624999999996</v>
      </c>
      <c r="AA821" s="40">
        <f>VLOOKUP(A821,kurspris!$A$1:$Q$913,17,FALSE)</f>
        <v>6000</v>
      </c>
      <c r="AB821" s="40">
        <f t="shared" si="365"/>
        <v>750</v>
      </c>
      <c r="AC821" s="40">
        <f t="shared" si="366"/>
        <v>5198.9624999999996</v>
      </c>
      <c r="AD821" s="31">
        <f>VLOOKUP($A821,kurspris!$A$1:$Q$950,3,FALSE)</f>
        <v>0</v>
      </c>
      <c r="AE821" s="31">
        <f>VLOOKUP($A821,kurspris!$A$1:$Q$950,4,FALSE)</f>
        <v>1</v>
      </c>
      <c r="AF821" s="31">
        <f>VLOOKUP($A821,kurspris!$A$1:$Q$950,5,FALSE)</f>
        <v>0</v>
      </c>
      <c r="AG821" s="31">
        <f>VLOOKUP($A821,kurspris!$A$1:$Q$950,6,FALSE)</f>
        <v>0</v>
      </c>
      <c r="AH821" s="31">
        <f>VLOOKUP($A821,kurspris!$A$1:$Q$950,7,FALSE)</f>
        <v>0</v>
      </c>
      <c r="AI821" s="31">
        <f>VLOOKUP($A821,kurspris!$A$1:$Q$950,8,FALSE)</f>
        <v>0</v>
      </c>
      <c r="AJ821" s="31">
        <f>VLOOKUP($A821,kurspris!$A$1:$Q$950,9,FALSE)</f>
        <v>0</v>
      </c>
      <c r="AK821" s="31">
        <f>VLOOKUP($A821,kurspris!$A$1:$Q$950,10,FALSE)</f>
        <v>0</v>
      </c>
      <c r="AL821" s="31">
        <f>VLOOKUP($A821,kurspris!$A$1:$Q$950,11,FALSE)</f>
        <v>0</v>
      </c>
      <c r="AM821" s="31">
        <f>VLOOKUP($A821,kurspris!$A$1:$Q$950,12,FALSE)</f>
        <v>0</v>
      </c>
      <c r="AN821" s="31">
        <f>VLOOKUP($A821,kurspris!$A$1:$Q$950,13,FALSE)</f>
        <v>0</v>
      </c>
      <c r="AO821" s="31">
        <f>VLOOKUP($A821,kurspris!$A$1:$Q$950,14,FALSE)</f>
        <v>0</v>
      </c>
      <c r="AP821" s="57" t="s">
        <v>2506</v>
      </c>
      <c r="AQ821" t="s">
        <v>2311</v>
      </c>
      <c r="AR821" s="31">
        <f t="shared" si="367"/>
        <v>0</v>
      </c>
      <c r="AS821" s="219">
        <f t="shared" si="368"/>
        <v>0</v>
      </c>
      <c r="AT821" s="31">
        <f t="shared" si="369"/>
        <v>0.125</v>
      </c>
      <c r="AU821" s="219">
        <f t="shared" si="370"/>
        <v>0.10625</v>
      </c>
      <c r="AV821" s="31">
        <f t="shared" si="371"/>
        <v>0</v>
      </c>
      <c r="AW821" s="31">
        <f t="shared" si="372"/>
        <v>0</v>
      </c>
      <c r="AX821" s="31">
        <f t="shared" si="373"/>
        <v>0</v>
      </c>
      <c r="AY821" s="219">
        <f t="shared" si="374"/>
        <v>0</v>
      </c>
      <c r="AZ821" s="196">
        <f t="shared" si="375"/>
        <v>0</v>
      </c>
      <c r="BA821" s="219">
        <f t="shared" si="376"/>
        <v>0</v>
      </c>
      <c r="BB821" s="31">
        <f t="shared" si="377"/>
        <v>0</v>
      </c>
      <c r="BC821" s="219">
        <f t="shared" si="378"/>
        <v>0</v>
      </c>
      <c r="BD821" s="31">
        <f t="shared" si="379"/>
        <v>0</v>
      </c>
      <c r="BE821" s="219">
        <f t="shared" si="380"/>
        <v>0</v>
      </c>
      <c r="BF821" s="31">
        <f t="shared" si="381"/>
        <v>0</v>
      </c>
      <c r="BG821" s="219">
        <f t="shared" si="382"/>
        <v>0</v>
      </c>
      <c r="BH821" s="31">
        <f t="shared" si="383"/>
        <v>0</v>
      </c>
      <c r="BI821" s="219">
        <f t="shared" si="384"/>
        <v>0</v>
      </c>
      <c r="BJ821" s="31">
        <f t="shared" si="385"/>
        <v>0</v>
      </c>
      <c r="BK821" s="219">
        <f t="shared" si="386"/>
        <v>0</v>
      </c>
      <c r="BL821" s="31">
        <f t="shared" si="387"/>
        <v>0</v>
      </c>
      <c r="BM821" s="219">
        <f t="shared" si="388"/>
        <v>0</v>
      </c>
      <c r="BN821" s="31">
        <f t="shared" si="389"/>
        <v>0</v>
      </c>
      <c r="BO821" s="219">
        <f t="shared" si="390"/>
        <v>0</v>
      </c>
    </row>
    <row r="822" spans="1:67" x14ac:dyDescent="0.25">
      <c r="A822" s="31" t="s">
        <v>1267</v>
      </c>
      <c r="B822" s="176" t="str">
        <f>VLOOKUP(A822,kurspris!$A$1:$B$992,2,FALSE)</f>
        <v>Examensarbete i språkdidaktik för ämneslärarexamen</v>
      </c>
      <c r="D822" s="60" t="s">
        <v>482</v>
      </c>
      <c r="E822" s="576" t="s">
        <v>2226</v>
      </c>
      <c r="F822" s="31" t="s">
        <v>2273</v>
      </c>
      <c r="G822" s="244" t="s">
        <v>2454</v>
      </c>
      <c r="H822" t="s">
        <v>2335</v>
      </c>
      <c r="J822" s="31" t="s">
        <v>2239</v>
      </c>
      <c r="L822" s="38">
        <v>1</v>
      </c>
      <c r="M822" s="244">
        <v>7.5</v>
      </c>
      <c r="P822" s="31">
        <v>1</v>
      </c>
      <c r="Q822" s="196">
        <f t="shared" si="392"/>
        <v>0.125</v>
      </c>
      <c r="R822" s="38">
        <v>0.85</v>
      </c>
      <c r="S822" s="280">
        <f t="shared" si="363"/>
        <v>0.10625</v>
      </c>
      <c r="T822" s="31">
        <f>VLOOKUP(A822,'Ansvar kurs'!$A$1:$C$1123,2,FALSE)</f>
        <v>1620</v>
      </c>
      <c r="U822" s="31" t="str">
        <f>VLOOKUP(T822,Orgenheter!$A$1:$C$166,2,FALSE)</f>
        <v>Inst för språkstudier</v>
      </c>
      <c r="V822" s="31" t="str">
        <f>VLOOKUP(T822,Orgenheter!$A$1:$C$166,3,FALSE)</f>
        <v>Hum</v>
      </c>
      <c r="W822" s="35" t="str">
        <f>VLOOKUP(D822,Program!$A$1:$B$36,2,FALSE)</f>
        <v>Ämneslärarprogrammet - Gy</v>
      </c>
      <c r="X822" s="40">
        <f>VLOOKUP(A822,kurspris!$A$1:$Q$913,15,FALSE)</f>
        <v>20766</v>
      </c>
      <c r="Y822" s="40">
        <f>VLOOKUP(A822,kurspris!$A$1:$Q$913,16,FALSE)</f>
        <v>17442</v>
      </c>
      <c r="Z822" s="40">
        <f t="shared" si="364"/>
        <v>4448.9624999999996</v>
      </c>
      <c r="AA822" s="40">
        <f>VLOOKUP(A822,kurspris!$A$1:$Q$913,17,FALSE)</f>
        <v>6000</v>
      </c>
      <c r="AB822" s="40">
        <f t="shared" si="365"/>
        <v>750</v>
      </c>
      <c r="AC822" s="40">
        <f t="shared" si="366"/>
        <v>5198.9624999999996</v>
      </c>
      <c r="AD822" s="31">
        <f>VLOOKUP($A822,kurspris!$A$1:$Q$950,3,FALSE)</f>
        <v>0</v>
      </c>
      <c r="AE822" s="31">
        <f>VLOOKUP($A822,kurspris!$A$1:$Q$950,4,FALSE)</f>
        <v>1</v>
      </c>
      <c r="AF822" s="31">
        <f>VLOOKUP($A822,kurspris!$A$1:$Q$950,5,FALSE)</f>
        <v>0</v>
      </c>
      <c r="AG822" s="31">
        <f>VLOOKUP($A822,kurspris!$A$1:$Q$950,6,FALSE)</f>
        <v>0</v>
      </c>
      <c r="AH822" s="31">
        <f>VLOOKUP($A822,kurspris!$A$1:$Q$950,7,FALSE)</f>
        <v>0</v>
      </c>
      <c r="AI822" s="31">
        <f>VLOOKUP($A822,kurspris!$A$1:$Q$950,8,FALSE)</f>
        <v>0</v>
      </c>
      <c r="AJ822" s="31">
        <f>VLOOKUP($A822,kurspris!$A$1:$Q$950,9,FALSE)</f>
        <v>0</v>
      </c>
      <c r="AK822" s="31">
        <f>VLOOKUP($A822,kurspris!$A$1:$Q$950,10,FALSE)</f>
        <v>0</v>
      </c>
      <c r="AL822" s="31">
        <f>VLOOKUP($A822,kurspris!$A$1:$Q$950,11,FALSE)</f>
        <v>0</v>
      </c>
      <c r="AM822" s="31">
        <f>VLOOKUP($A822,kurspris!$A$1:$Q$950,12,FALSE)</f>
        <v>0</v>
      </c>
      <c r="AN822" s="31">
        <f>VLOOKUP($A822,kurspris!$A$1:$Q$950,13,FALSE)</f>
        <v>0</v>
      </c>
      <c r="AO822" s="31">
        <f>VLOOKUP($A822,kurspris!$A$1:$Q$950,14,FALSE)</f>
        <v>0</v>
      </c>
      <c r="AP822" s="57" t="s">
        <v>2506</v>
      </c>
      <c r="AQ822" t="s">
        <v>2311</v>
      </c>
      <c r="AR822" s="31">
        <f t="shared" si="367"/>
        <v>0</v>
      </c>
      <c r="AS822" s="219">
        <f t="shared" si="368"/>
        <v>0</v>
      </c>
      <c r="AT822" s="31">
        <f t="shared" si="369"/>
        <v>0.125</v>
      </c>
      <c r="AU822" s="219">
        <f t="shared" si="370"/>
        <v>0.10625</v>
      </c>
      <c r="AV822" s="31">
        <f t="shared" si="371"/>
        <v>0</v>
      </c>
      <c r="AW822" s="31">
        <f t="shared" si="372"/>
        <v>0</v>
      </c>
      <c r="AX822" s="31">
        <f t="shared" si="373"/>
        <v>0</v>
      </c>
      <c r="AY822" s="219">
        <f t="shared" si="374"/>
        <v>0</v>
      </c>
      <c r="AZ822" s="196">
        <f t="shared" si="375"/>
        <v>0</v>
      </c>
      <c r="BA822" s="219">
        <f t="shared" si="376"/>
        <v>0</v>
      </c>
      <c r="BB822" s="31">
        <f t="shared" si="377"/>
        <v>0</v>
      </c>
      <c r="BC822" s="219">
        <f t="shared" si="378"/>
        <v>0</v>
      </c>
      <c r="BD822" s="31">
        <f t="shared" si="379"/>
        <v>0</v>
      </c>
      <c r="BE822" s="219">
        <f t="shared" si="380"/>
        <v>0</v>
      </c>
      <c r="BF822" s="31">
        <f t="shared" si="381"/>
        <v>0</v>
      </c>
      <c r="BG822" s="219">
        <f t="shared" si="382"/>
        <v>0</v>
      </c>
      <c r="BH822" s="31">
        <f t="shared" si="383"/>
        <v>0</v>
      </c>
      <c r="BI822" s="219">
        <f t="shared" si="384"/>
        <v>0</v>
      </c>
      <c r="BJ822" s="31">
        <f t="shared" si="385"/>
        <v>0</v>
      </c>
      <c r="BK822" s="219">
        <f t="shared" si="386"/>
        <v>0</v>
      </c>
      <c r="BL822" s="31">
        <f t="shared" si="387"/>
        <v>0</v>
      </c>
      <c r="BM822" s="219">
        <f t="shared" si="388"/>
        <v>0</v>
      </c>
      <c r="BN822" s="31">
        <f t="shared" si="389"/>
        <v>0</v>
      </c>
      <c r="BO822" s="219">
        <f t="shared" si="390"/>
        <v>0</v>
      </c>
    </row>
    <row r="823" spans="1:67" x14ac:dyDescent="0.25">
      <c r="A823" s="157" t="s">
        <v>1941</v>
      </c>
      <c r="B823" s="176" t="str">
        <f>VLOOKUP(A823,kurspris!$A$1:$B$992,2,FALSE)</f>
        <v>Didaktik för det flerspråkiga klassrummet</v>
      </c>
      <c r="C823" s="35"/>
      <c r="D823" s="31" t="s">
        <v>117</v>
      </c>
      <c r="F823" s="60" t="s">
        <v>2273</v>
      </c>
      <c r="I823" s="31" t="s">
        <v>2275</v>
      </c>
      <c r="L823" s="38">
        <v>0.25</v>
      </c>
      <c r="M823" s="325">
        <v>7.5</v>
      </c>
      <c r="P823" s="31">
        <v>10</v>
      </c>
      <c r="Q823" s="196">
        <f t="shared" si="392"/>
        <v>1.25</v>
      </c>
      <c r="R823" s="38">
        <v>0.8</v>
      </c>
      <c r="S823" s="280">
        <f t="shared" si="363"/>
        <v>1</v>
      </c>
      <c r="T823" s="31">
        <f>VLOOKUP(A823,'Ansvar kurs'!$A$1:$C$1123,2,FALSE)</f>
        <v>1620</v>
      </c>
      <c r="U823" s="31" t="str">
        <f>VLOOKUP(T823,Orgenheter!$A$1:$C$166,2,FALSE)</f>
        <v>Inst för språkstudier</v>
      </c>
      <c r="V823" s="31" t="str">
        <f>VLOOKUP(T823,Orgenheter!$A$1:$C$166,3,FALSE)</f>
        <v>Hum</v>
      </c>
      <c r="W823" s="35" t="str">
        <f>VLOOKUP(D823,Program!$A$1:$B$36,2,FALSE)</f>
        <v>Fristående och övriga kurser</v>
      </c>
      <c r="X823" s="40">
        <f>VLOOKUP(A823,kurspris!$A$1:$Q$913,15,FALSE)</f>
        <v>20766</v>
      </c>
      <c r="Y823" s="40">
        <f>VLOOKUP(A823,kurspris!$A$1:$Q$913,16,FALSE)</f>
        <v>17442</v>
      </c>
      <c r="Z823" s="40">
        <f t="shared" si="364"/>
        <v>43399.5</v>
      </c>
      <c r="AA823" s="40">
        <f>VLOOKUP(A823,kurspris!$A$1:$Q$913,17,FALSE)</f>
        <v>6000</v>
      </c>
      <c r="AB823" s="40">
        <f t="shared" si="365"/>
        <v>7500</v>
      </c>
      <c r="AC823" s="40">
        <f t="shared" si="366"/>
        <v>50899.5</v>
      </c>
      <c r="AD823" s="31">
        <f>VLOOKUP($A823,kurspris!$A$1:$Q$950,3,FALSE)</f>
        <v>0</v>
      </c>
      <c r="AE823" s="31">
        <f>VLOOKUP($A823,kurspris!$A$1:$Q$950,4,FALSE)</f>
        <v>1</v>
      </c>
      <c r="AF823" s="31">
        <f>VLOOKUP($A823,kurspris!$A$1:$Q$950,5,FALSE)</f>
        <v>0</v>
      </c>
      <c r="AG823" s="31">
        <f>VLOOKUP($A823,kurspris!$A$1:$Q$950,6,FALSE)</f>
        <v>0</v>
      </c>
      <c r="AH823" s="31">
        <f>VLOOKUP($A823,kurspris!$A$1:$Q$950,7,FALSE)</f>
        <v>0</v>
      </c>
      <c r="AI823" s="31">
        <f>VLOOKUP($A823,kurspris!$A$1:$Q$950,8,FALSE)</f>
        <v>0</v>
      </c>
      <c r="AJ823" s="31">
        <f>VLOOKUP($A823,kurspris!$A$1:$Q$950,9,FALSE)</f>
        <v>0</v>
      </c>
      <c r="AK823" s="31">
        <f>VLOOKUP($A823,kurspris!$A$1:$Q$950,10,FALSE)</f>
        <v>0</v>
      </c>
      <c r="AL823" s="31">
        <f>VLOOKUP($A823,kurspris!$A$1:$Q$950,11,FALSE)</f>
        <v>0</v>
      </c>
      <c r="AM823" s="31">
        <f>VLOOKUP($A823,kurspris!$A$1:$Q$950,12,FALSE)</f>
        <v>0</v>
      </c>
      <c r="AN823" s="31">
        <f>VLOOKUP($A823,kurspris!$A$1:$Q$950,13,FALSE)</f>
        <v>0</v>
      </c>
      <c r="AO823" s="31">
        <f>VLOOKUP($A823,kurspris!$A$1:$Q$950,14,FALSE)</f>
        <v>0</v>
      </c>
      <c r="AP823" s="57" t="s">
        <v>2267</v>
      </c>
      <c r="AQ823" s="37"/>
      <c r="AR823" s="31">
        <f t="shared" si="367"/>
        <v>0</v>
      </c>
      <c r="AS823" s="219">
        <f t="shared" si="368"/>
        <v>0</v>
      </c>
      <c r="AT823" s="31">
        <f t="shared" si="369"/>
        <v>1.25</v>
      </c>
      <c r="AU823" s="219">
        <f t="shared" si="370"/>
        <v>1</v>
      </c>
      <c r="AV823" s="31">
        <f t="shared" si="371"/>
        <v>0</v>
      </c>
      <c r="AW823" s="31">
        <f t="shared" si="372"/>
        <v>0</v>
      </c>
      <c r="AX823" s="31">
        <f t="shared" si="373"/>
        <v>0</v>
      </c>
      <c r="AY823" s="219">
        <f t="shared" si="374"/>
        <v>0</v>
      </c>
      <c r="AZ823" s="196">
        <f t="shared" si="375"/>
        <v>0</v>
      </c>
      <c r="BA823" s="219">
        <f t="shared" si="376"/>
        <v>0</v>
      </c>
      <c r="BB823" s="31">
        <f t="shared" si="377"/>
        <v>0</v>
      </c>
      <c r="BC823" s="219">
        <f t="shared" si="378"/>
        <v>0</v>
      </c>
      <c r="BD823" s="31">
        <f t="shared" si="379"/>
        <v>0</v>
      </c>
      <c r="BE823" s="219">
        <f t="shared" si="380"/>
        <v>0</v>
      </c>
      <c r="BF823" s="31">
        <f t="shared" si="381"/>
        <v>0</v>
      </c>
      <c r="BG823" s="219">
        <f t="shared" si="382"/>
        <v>0</v>
      </c>
      <c r="BH823" s="31">
        <f t="shared" si="383"/>
        <v>0</v>
      </c>
      <c r="BI823" s="219">
        <f t="shared" si="384"/>
        <v>0</v>
      </c>
      <c r="BJ823" s="31">
        <f t="shared" si="385"/>
        <v>0</v>
      </c>
      <c r="BK823" s="219">
        <f t="shared" si="386"/>
        <v>0</v>
      </c>
      <c r="BL823" s="31">
        <f t="shared" si="387"/>
        <v>0</v>
      </c>
      <c r="BM823" s="219">
        <f t="shared" si="388"/>
        <v>0</v>
      </c>
      <c r="BN823" s="31">
        <f t="shared" si="389"/>
        <v>0</v>
      </c>
      <c r="BO823" s="219">
        <f t="shared" si="390"/>
        <v>0</v>
      </c>
    </row>
    <row r="824" spans="1:67" x14ac:dyDescent="0.25">
      <c r="A824" s="157" t="s">
        <v>1976</v>
      </c>
      <c r="B824" s="176" t="str">
        <f>VLOOKUP(A824,kurspris!$A$1:$B$992,2,FALSE)</f>
        <v>Språk-, skriv- och läsutveckling för speciallärare</v>
      </c>
      <c r="C824" s="31">
        <v>61330</v>
      </c>
      <c r="D824" s="31" t="s">
        <v>115</v>
      </c>
      <c r="F824" s="57" t="s">
        <v>2274</v>
      </c>
      <c r="H824" s="31" t="s">
        <v>2335</v>
      </c>
      <c r="I824" s="31" t="s">
        <v>2275</v>
      </c>
      <c r="J824" s="31" t="s">
        <v>2261</v>
      </c>
      <c r="L824" s="38"/>
      <c r="M824">
        <v>30</v>
      </c>
      <c r="P824" s="31">
        <v>15</v>
      </c>
      <c r="Q824" s="539">
        <v>7.5</v>
      </c>
      <c r="R824" s="38">
        <v>0.85</v>
      </c>
      <c r="S824" s="280">
        <f t="shared" si="363"/>
        <v>6.375</v>
      </c>
      <c r="T824" s="31">
        <f>VLOOKUP(A824,'Ansvar kurs'!$A$1:$C$1123,2,FALSE)</f>
        <v>1620</v>
      </c>
      <c r="U824" s="31" t="str">
        <f>VLOOKUP(T824,Orgenheter!$A$1:$C$166,2,FALSE)</f>
        <v>Inst för språkstudier</v>
      </c>
      <c r="V824" s="31" t="str">
        <f>VLOOKUP(T824,Orgenheter!$A$1:$C$166,3,FALSE)</f>
        <v>Hum</v>
      </c>
      <c r="W824" s="35" t="str">
        <f>VLOOKUP(D824,Program!$A$1:$B$36,2,FALSE)</f>
        <v>Speciallärarprogrammet</v>
      </c>
      <c r="X824" s="40">
        <f>VLOOKUP(A824,kurspris!$A$1:$Q$913,15,FALSE)</f>
        <v>20766</v>
      </c>
      <c r="Y824" s="40">
        <f>VLOOKUP(A824,kurspris!$A$1:$Q$913,16,FALSE)</f>
        <v>17442</v>
      </c>
      <c r="Z824" s="40">
        <f t="shared" si="364"/>
        <v>266937.75</v>
      </c>
      <c r="AA824" s="40">
        <f>VLOOKUP(A824,kurspris!$A$1:$Q$913,17,FALSE)</f>
        <v>6000</v>
      </c>
      <c r="AB824" s="40">
        <f t="shared" si="365"/>
        <v>45000</v>
      </c>
      <c r="AC824" s="40">
        <f t="shared" si="366"/>
        <v>311937.75</v>
      </c>
      <c r="AD824" s="31">
        <f>VLOOKUP($A824,kurspris!$A$1:$Q$950,3,FALSE)</f>
        <v>0</v>
      </c>
      <c r="AE824" s="31">
        <f>VLOOKUP($A824,kurspris!$A$1:$Q$950,4,FALSE)</f>
        <v>1</v>
      </c>
      <c r="AF824" s="31">
        <f>VLOOKUP($A824,kurspris!$A$1:$Q$950,5,FALSE)</f>
        <v>0</v>
      </c>
      <c r="AG824" s="31">
        <f>VLOOKUP($A824,kurspris!$A$1:$Q$950,6,FALSE)</f>
        <v>0</v>
      </c>
      <c r="AH824" s="31">
        <f>VLOOKUP($A824,kurspris!$A$1:$Q$950,7,FALSE)</f>
        <v>0</v>
      </c>
      <c r="AI824" s="31">
        <f>VLOOKUP($A824,kurspris!$A$1:$Q$950,8,FALSE)</f>
        <v>0</v>
      </c>
      <c r="AJ824" s="31">
        <f>VLOOKUP($A824,kurspris!$A$1:$Q$950,9,FALSE)</f>
        <v>0</v>
      </c>
      <c r="AK824" s="31">
        <f>VLOOKUP($A824,kurspris!$A$1:$Q$950,10,FALSE)</f>
        <v>0</v>
      </c>
      <c r="AL824" s="31">
        <f>VLOOKUP($A824,kurspris!$A$1:$Q$950,11,FALSE)</f>
        <v>0</v>
      </c>
      <c r="AM824" s="31">
        <f>VLOOKUP($A824,kurspris!$A$1:$Q$950,12,FALSE)</f>
        <v>0</v>
      </c>
      <c r="AN824" s="31">
        <f>VLOOKUP($A824,kurspris!$A$1:$Q$950,13,FALSE)</f>
        <v>0</v>
      </c>
      <c r="AO824" s="31">
        <f>VLOOKUP($A824,kurspris!$A$1:$Q$950,14,FALSE)</f>
        <v>0</v>
      </c>
      <c r="AP824" s="57" t="s">
        <v>2402</v>
      </c>
      <c r="AQ824"/>
      <c r="AR824" s="31">
        <f t="shared" si="367"/>
        <v>0</v>
      </c>
      <c r="AS824" s="219">
        <f t="shared" si="368"/>
        <v>0</v>
      </c>
      <c r="AT824" s="31">
        <f t="shared" si="369"/>
        <v>7.5</v>
      </c>
      <c r="AU824" s="219">
        <f t="shared" si="370"/>
        <v>6.375</v>
      </c>
      <c r="AV824" s="31">
        <f t="shared" si="371"/>
        <v>0</v>
      </c>
      <c r="AW824" s="31">
        <f t="shared" si="372"/>
        <v>0</v>
      </c>
      <c r="AX824" s="31">
        <f t="shared" si="373"/>
        <v>0</v>
      </c>
      <c r="AY824" s="219">
        <f t="shared" si="374"/>
        <v>0</v>
      </c>
      <c r="AZ824" s="196">
        <f t="shared" si="375"/>
        <v>0</v>
      </c>
      <c r="BA824" s="219">
        <f t="shared" si="376"/>
        <v>0</v>
      </c>
      <c r="BB824" s="31">
        <f t="shared" si="377"/>
        <v>0</v>
      </c>
      <c r="BC824" s="219">
        <f t="shared" si="378"/>
        <v>0</v>
      </c>
      <c r="BD824" s="31">
        <f t="shared" si="379"/>
        <v>0</v>
      </c>
      <c r="BE824" s="219">
        <f t="shared" si="380"/>
        <v>0</v>
      </c>
      <c r="BF824" s="31">
        <f t="shared" si="381"/>
        <v>0</v>
      </c>
      <c r="BG824" s="219">
        <f t="shared" si="382"/>
        <v>0</v>
      </c>
      <c r="BH824" s="31">
        <f t="shared" si="383"/>
        <v>0</v>
      </c>
      <c r="BI824" s="219">
        <f t="shared" si="384"/>
        <v>0</v>
      </c>
      <c r="BJ824" s="31">
        <f t="shared" si="385"/>
        <v>0</v>
      </c>
      <c r="BK824" s="219">
        <f t="shared" si="386"/>
        <v>0</v>
      </c>
      <c r="BL824" s="31">
        <f t="shared" si="387"/>
        <v>0</v>
      </c>
      <c r="BM824" s="219">
        <f t="shared" si="388"/>
        <v>0</v>
      </c>
      <c r="BN824" s="31">
        <f t="shared" si="389"/>
        <v>0</v>
      </c>
      <c r="BO824" s="219">
        <f t="shared" si="390"/>
        <v>0</v>
      </c>
    </row>
    <row r="825" spans="1:67" x14ac:dyDescent="0.25">
      <c r="A825" s="31" t="s">
        <v>2012</v>
      </c>
      <c r="B825" s="176" t="str">
        <f>VLOOKUP(A825,kurspris!$A$1:$B$992,2,FALSE)</f>
        <v>Examensarbete för speciallärarexamen med specialisering mot språk-, skriv- och läsutveckling</v>
      </c>
      <c r="D825" s="60" t="s">
        <v>120</v>
      </c>
      <c r="E825" s="576" t="s">
        <v>2434</v>
      </c>
      <c r="F825" s="31" t="s">
        <v>2273</v>
      </c>
      <c r="G825" s="31" t="s">
        <v>2463</v>
      </c>
      <c r="H825" s="31" t="s">
        <v>2335</v>
      </c>
      <c r="J825" s="31" t="s">
        <v>2347</v>
      </c>
      <c r="L825" s="38">
        <v>1</v>
      </c>
      <c r="M825" s="325">
        <v>15</v>
      </c>
      <c r="P825" s="31">
        <v>1</v>
      </c>
      <c r="Q825" s="196">
        <f>(M825/60)*P825</f>
        <v>0.25</v>
      </c>
      <c r="R825" s="38">
        <v>0.85</v>
      </c>
      <c r="S825" s="280">
        <f t="shared" si="363"/>
        <v>0.21249999999999999</v>
      </c>
      <c r="T825" s="31">
        <f>VLOOKUP(A825,'Ansvar kurs'!$A$1:$C$1123,2,FALSE)</f>
        <v>1620</v>
      </c>
      <c r="U825" s="31" t="str">
        <f>VLOOKUP(T825,Orgenheter!$A$1:$C$166,2,FALSE)</f>
        <v>Inst för språkstudier</v>
      </c>
      <c r="V825" s="31" t="str">
        <f>VLOOKUP(T825,Orgenheter!$A$1:$C$166,3,FALSE)</f>
        <v>Hum</v>
      </c>
      <c r="W825" s="35" t="str">
        <f>VLOOKUP(D825,Program!$A$1:$B$36,2,FALSE)</f>
        <v>Specialpedagogprogrammet</v>
      </c>
      <c r="X825" s="40">
        <f>VLOOKUP(A825,kurspris!$A$1:$Q$913,15,FALSE)</f>
        <v>20766</v>
      </c>
      <c r="Y825" s="40">
        <f>VLOOKUP(A825,kurspris!$A$1:$Q$913,16,FALSE)</f>
        <v>17442</v>
      </c>
      <c r="Z825" s="40">
        <f t="shared" si="364"/>
        <v>8897.9249999999993</v>
      </c>
      <c r="AA825" s="40">
        <f>VLOOKUP(A825,kurspris!$A$1:$Q$913,17,FALSE)</f>
        <v>6000</v>
      </c>
      <c r="AB825" s="40">
        <f t="shared" si="365"/>
        <v>1500</v>
      </c>
      <c r="AC825" s="40">
        <f t="shared" si="366"/>
        <v>10397.924999999999</v>
      </c>
      <c r="AD825" s="31">
        <f>VLOOKUP($A825,kurspris!$A$1:$Q$950,3,FALSE)</f>
        <v>0</v>
      </c>
      <c r="AE825" s="31">
        <f>VLOOKUP($A825,kurspris!$A$1:$Q$950,4,FALSE)</f>
        <v>0</v>
      </c>
      <c r="AF825" s="31">
        <f>VLOOKUP($A825,kurspris!$A$1:$Q$950,5,FALSE)</f>
        <v>0</v>
      </c>
      <c r="AG825" s="31">
        <f>VLOOKUP($A825,kurspris!$A$1:$Q$950,6,FALSE)</f>
        <v>0</v>
      </c>
      <c r="AH825" s="31">
        <f>VLOOKUP($A825,kurspris!$A$1:$Q$950,7,FALSE)</f>
        <v>0</v>
      </c>
      <c r="AI825" s="31">
        <f>VLOOKUP($A825,kurspris!$A$1:$Q$950,8,FALSE)</f>
        <v>0</v>
      </c>
      <c r="AJ825" s="31">
        <f>VLOOKUP($A825,kurspris!$A$1:$Q$950,9,FALSE)</f>
        <v>1</v>
      </c>
      <c r="AK825" s="31">
        <f>VLOOKUP($A825,kurspris!$A$1:$Q$950,10,FALSE)</f>
        <v>0</v>
      </c>
      <c r="AL825" s="31">
        <f>VLOOKUP($A825,kurspris!$A$1:$Q$950,11,FALSE)</f>
        <v>0</v>
      </c>
      <c r="AM825" s="31">
        <f>VLOOKUP($A825,kurspris!$A$1:$Q$950,12,FALSE)</f>
        <v>0</v>
      </c>
      <c r="AN825" s="31">
        <f>VLOOKUP($A825,kurspris!$A$1:$Q$950,13,FALSE)</f>
        <v>0</v>
      </c>
      <c r="AO825" s="31">
        <f>VLOOKUP($A825,kurspris!$A$1:$Q$950,14,FALSE)</f>
        <v>0</v>
      </c>
      <c r="AP825" s="57" t="s">
        <v>2506</v>
      </c>
      <c r="AQ825"/>
      <c r="AR825" s="31">
        <f t="shared" si="367"/>
        <v>0</v>
      </c>
      <c r="AS825" s="219">
        <f t="shared" si="368"/>
        <v>0</v>
      </c>
      <c r="AT825" s="31">
        <f t="shared" si="369"/>
        <v>0</v>
      </c>
      <c r="AU825" s="219">
        <f t="shared" si="370"/>
        <v>0</v>
      </c>
      <c r="AV825" s="31">
        <f t="shared" si="371"/>
        <v>0</v>
      </c>
      <c r="AW825" s="31">
        <f t="shared" si="372"/>
        <v>0</v>
      </c>
      <c r="AX825" s="31">
        <f t="shared" si="373"/>
        <v>0</v>
      </c>
      <c r="AY825" s="219">
        <f t="shared" si="374"/>
        <v>0</v>
      </c>
      <c r="AZ825" s="196">
        <f t="shared" si="375"/>
        <v>0</v>
      </c>
      <c r="BA825" s="219">
        <f t="shared" si="376"/>
        <v>0</v>
      </c>
      <c r="BB825" s="31">
        <f t="shared" si="377"/>
        <v>0</v>
      </c>
      <c r="BC825" s="219">
        <f t="shared" si="378"/>
        <v>0</v>
      </c>
      <c r="BD825" s="31">
        <f t="shared" si="379"/>
        <v>0.25</v>
      </c>
      <c r="BE825" s="219">
        <f t="shared" si="380"/>
        <v>0.21249999999999999</v>
      </c>
      <c r="BF825" s="31">
        <f t="shared" si="381"/>
        <v>0</v>
      </c>
      <c r="BG825" s="219">
        <f t="shared" si="382"/>
        <v>0</v>
      </c>
      <c r="BH825" s="31">
        <f t="shared" si="383"/>
        <v>0</v>
      </c>
      <c r="BI825" s="219">
        <f t="shared" si="384"/>
        <v>0</v>
      </c>
      <c r="BJ825" s="31">
        <f t="shared" si="385"/>
        <v>0</v>
      </c>
      <c r="BK825" s="219">
        <f t="shared" si="386"/>
        <v>0</v>
      </c>
      <c r="BL825" s="31">
        <f t="shared" si="387"/>
        <v>0</v>
      </c>
      <c r="BM825" s="219">
        <f t="shared" si="388"/>
        <v>0</v>
      </c>
      <c r="BN825" s="31">
        <f t="shared" si="389"/>
        <v>0</v>
      </c>
      <c r="BO825" s="219">
        <f t="shared" si="390"/>
        <v>0</v>
      </c>
    </row>
    <row r="826" spans="1:67" x14ac:dyDescent="0.25">
      <c r="A826" s="31" t="s">
        <v>2012</v>
      </c>
      <c r="B826" s="176" t="str">
        <f>VLOOKUP(A826,kurspris!$A$1:$B$992,2,FALSE)</f>
        <v>Examensarbete för speciallärarexamen med specialisering mot språk-, skriv- och läsutveckling</v>
      </c>
      <c r="D826" s="60" t="s">
        <v>115</v>
      </c>
      <c r="E826" s="576" t="s">
        <v>2432</v>
      </c>
      <c r="F826" s="31" t="s">
        <v>2273</v>
      </c>
      <c r="G826" s="31" t="s">
        <v>2463</v>
      </c>
      <c r="H826" s="31" t="s">
        <v>2335</v>
      </c>
      <c r="J826" s="31" t="s">
        <v>2261</v>
      </c>
      <c r="L826" s="38">
        <v>1</v>
      </c>
      <c r="M826" s="325">
        <v>15</v>
      </c>
      <c r="P826" s="31">
        <v>14</v>
      </c>
      <c r="Q826" s="196">
        <f>(M826/60)*P826</f>
        <v>3.5</v>
      </c>
      <c r="R826" s="38">
        <v>0.85</v>
      </c>
      <c r="S826" s="280">
        <f t="shared" si="363"/>
        <v>2.9750000000000001</v>
      </c>
      <c r="T826" s="31">
        <f>VLOOKUP(A826,'Ansvar kurs'!$A$1:$C$1123,2,FALSE)</f>
        <v>1620</v>
      </c>
      <c r="U826" s="31" t="str">
        <f>VLOOKUP(T826,Orgenheter!$A$1:$C$166,2,FALSE)</f>
        <v>Inst för språkstudier</v>
      </c>
      <c r="V826" s="31" t="str">
        <f>VLOOKUP(T826,Orgenheter!$A$1:$C$166,3,FALSE)</f>
        <v>Hum</v>
      </c>
      <c r="W826" s="35" t="str">
        <f>VLOOKUP(D826,Program!$A$1:$B$36,2,FALSE)</f>
        <v>Speciallärarprogrammet</v>
      </c>
      <c r="X826" s="40">
        <f>VLOOKUP(A826,kurspris!$A$1:$Q$913,15,FALSE)</f>
        <v>20766</v>
      </c>
      <c r="Y826" s="40">
        <f>VLOOKUP(A826,kurspris!$A$1:$Q$913,16,FALSE)</f>
        <v>17442</v>
      </c>
      <c r="Z826" s="40">
        <f t="shared" si="364"/>
        <v>124570.95000000001</v>
      </c>
      <c r="AA826" s="40">
        <f>VLOOKUP(A826,kurspris!$A$1:$Q$913,17,FALSE)</f>
        <v>6000</v>
      </c>
      <c r="AB826" s="40">
        <f t="shared" si="365"/>
        <v>21000</v>
      </c>
      <c r="AC826" s="40">
        <f t="shared" si="366"/>
        <v>145570.95000000001</v>
      </c>
      <c r="AD826" s="31">
        <f>VLOOKUP($A826,kurspris!$A$1:$Q$950,3,FALSE)</f>
        <v>0</v>
      </c>
      <c r="AE826" s="31">
        <f>VLOOKUP($A826,kurspris!$A$1:$Q$950,4,FALSE)</f>
        <v>0</v>
      </c>
      <c r="AF826" s="31">
        <f>VLOOKUP($A826,kurspris!$A$1:$Q$950,5,FALSE)</f>
        <v>0</v>
      </c>
      <c r="AG826" s="31">
        <f>VLOOKUP($A826,kurspris!$A$1:$Q$950,6,FALSE)</f>
        <v>0</v>
      </c>
      <c r="AH826" s="31">
        <f>VLOOKUP($A826,kurspris!$A$1:$Q$950,7,FALSE)</f>
        <v>0</v>
      </c>
      <c r="AI826" s="31">
        <f>VLOOKUP($A826,kurspris!$A$1:$Q$950,8,FALSE)</f>
        <v>0</v>
      </c>
      <c r="AJ826" s="31">
        <f>VLOOKUP($A826,kurspris!$A$1:$Q$950,9,FALSE)</f>
        <v>1</v>
      </c>
      <c r="AK826" s="31">
        <f>VLOOKUP($A826,kurspris!$A$1:$Q$950,10,FALSE)</f>
        <v>0</v>
      </c>
      <c r="AL826" s="31">
        <f>VLOOKUP($A826,kurspris!$A$1:$Q$950,11,FALSE)</f>
        <v>0</v>
      </c>
      <c r="AM826" s="31">
        <f>VLOOKUP($A826,kurspris!$A$1:$Q$950,12,FALSE)</f>
        <v>0</v>
      </c>
      <c r="AN826" s="31">
        <f>VLOOKUP($A826,kurspris!$A$1:$Q$950,13,FALSE)</f>
        <v>0</v>
      </c>
      <c r="AO826" s="31">
        <f>VLOOKUP($A826,kurspris!$A$1:$Q$950,14,FALSE)</f>
        <v>0</v>
      </c>
      <c r="AP826" s="57" t="s">
        <v>2506</v>
      </c>
      <c r="AQ826"/>
      <c r="AR826" s="31">
        <f t="shared" si="367"/>
        <v>0</v>
      </c>
      <c r="AS826" s="219">
        <f t="shared" si="368"/>
        <v>0</v>
      </c>
      <c r="AT826" s="31">
        <f t="shared" si="369"/>
        <v>0</v>
      </c>
      <c r="AU826" s="219">
        <f t="shared" si="370"/>
        <v>0</v>
      </c>
      <c r="AV826" s="31">
        <f t="shared" si="371"/>
        <v>0</v>
      </c>
      <c r="AW826" s="31">
        <f t="shared" si="372"/>
        <v>0</v>
      </c>
      <c r="AX826" s="31">
        <f t="shared" si="373"/>
        <v>0</v>
      </c>
      <c r="AY826" s="219">
        <f t="shared" si="374"/>
        <v>0</v>
      </c>
      <c r="AZ826" s="196">
        <f t="shared" si="375"/>
        <v>0</v>
      </c>
      <c r="BA826" s="219">
        <f t="shared" si="376"/>
        <v>0</v>
      </c>
      <c r="BB826" s="31">
        <f t="shared" si="377"/>
        <v>0</v>
      </c>
      <c r="BC826" s="219">
        <f t="shared" si="378"/>
        <v>0</v>
      </c>
      <c r="BD826" s="31">
        <f t="shared" si="379"/>
        <v>3.5</v>
      </c>
      <c r="BE826" s="219">
        <f t="shared" si="380"/>
        <v>2.9750000000000001</v>
      </c>
      <c r="BF826" s="31">
        <f t="shared" si="381"/>
        <v>0</v>
      </c>
      <c r="BG826" s="219">
        <f t="shared" si="382"/>
        <v>0</v>
      </c>
      <c r="BH826" s="31">
        <f t="shared" si="383"/>
        <v>0</v>
      </c>
      <c r="BI826" s="219">
        <f t="shared" si="384"/>
        <v>0</v>
      </c>
      <c r="BJ826" s="31">
        <f t="shared" si="385"/>
        <v>0</v>
      </c>
      <c r="BK826" s="219">
        <f t="shared" si="386"/>
        <v>0</v>
      </c>
      <c r="BL826" s="31">
        <f t="shared" si="387"/>
        <v>0</v>
      </c>
      <c r="BM826" s="219">
        <f t="shared" si="388"/>
        <v>0</v>
      </c>
      <c r="BN826" s="31">
        <f t="shared" si="389"/>
        <v>0</v>
      </c>
      <c r="BO826" s="219">
        <f t="shared" si="390"/>
        <v>0</v>
      </c>
    </row>
    <row r="827" spans="1:67" x14ac:dyDescent="0.25">
      <c r="A827" s="31" t="s">
        <v>2013</v>
      </c>
      <c r="B827" s="176" t="str">
        <f>VLOOKUP(A827,kurspris!$A$1:$B$992,2,FALSE)</f>
        <v>Språk-, skriv- och läsutveckling i ett specialpedagogiskt perspektiv</v>
      </c>
      <c r="D827" s="60" t="s">
        <v>115</v>
      </c>
      <c r="E827" s="576" t="s">
        <v>2432</v>
      </c>
      <c r="F827" s="31" t="s">
        <v>2273</v>
      </c>
      <c r="G827" s="31" t="s">
        <v>2438</v>
      </c>
      <c r="H827" s="31" t="s">
        <v>2335</v>
      </c>
      <c r="J827" s="31" t="s">
        <v>2259</v>
      </c>
      <c r="L827" s="38">
        <v>1</v>
      </c>
      <c r="M827" s="325">
        <v>7.5</v>
      </c>
      <c r="P827" s="31">
        <v>9</v>
      </c>
      <c r="Q827" s="196">
        <f>(M827/60)*P827</f>
        <v>1.125</v>
      </c>
      <c r="R827" s="38">
        <v>0.85</v>
      </c>
      <c r="S827" s="280">
        <f t="shared" si="363"/>
        <v>0.95624999999999993</v>
      </c>
      <c r="T827" s="31">
        <f>VLOOKUP(A827,'Ansvar kurs'!$A$1:$C$1123,2,FALSE)</f>
        <v>1620</v>
      </c>
      <c r="U827" s="31" t="str">
        <f>VLOOKUP(T827,Orgenheter!$A$1:$C$166,2,FALSE)</f>
        <v>Inst för språkstudier</v>
      </c>
      <c r="V827" s="31" t="str">
        <f>VLOOKUP(T827,Orgenheter!$A$1:$C$166,3,FALSE)</f>
        <v>Hum</v>
      </c>
      <c r="W827" s="35" t="str">
        <f>VLOOKUP(D827,Program!$A$1:$B$36,2,FALSE)</f>
        <v>Speciallärarprogrammet</v>
      </c>
      <c r="X827" s="40">
        <f>VLOOKUP(A827,kurspris!$A$1:$Q$913,15,FALSE)</f>
        <v>20766</v>
      </c>
      <c r="Y827" s="40">
        <f>VLOOKUP(A827,kurspris!$A$1:$Q$913,16,FALSE)</f>
        <v>17442</v>
      </c>
      <c r="Z827" s="40">
        <f t="shared" si="364"/>
        <v>40040.662499999999</v>
      </c>
      <c r="AA827" s="40">
        <f>VLOOKUP(A827,kurspris!$A$1:$Q$913,17,FALSE)</f>
        <v>6000</v>
      </c>
      <c r="AB827" s="40">
        <f t="shared" si="365"/>
        <v>6750</v>
      </c>
      <c r="AC827" s="40">
        <f t="shared" si="366"/>
        <v>46790.662499999999</v>
      </c>
      <c r="AD827" s="31">
        <f>VLOOKUP($A827,kurspris!$A$1:$Q$950,3,FALSE)</f>
        <v>0</v>
      </c>
      <c r="AE827" s="31">
        <f>VLOOKUP($A827,kurspris!$A$1:$Q$950,4,FALSE)</f>
        <v>1</v>
      </c>
      <c r="AF827" s="31">
        <f>VLOOKUP($A827,kurspris!$A$1:$Q$950,5,FALSE)</f>
        <v>0</v>
      </c>
      <c r="AG827" s="31">
        <f>VLOOKUP($A827,kurspris!$A$1:$Q$950,6,FALSE)</f>
        <v>0</v>
      </c>
      <c r="AH827" s="31">
        <f>VLOOKUP($A827,kurspris!$A$1:$Q$950,7,FALSE)</f>
        <v>0</v>
      </c>
      <c r="AI827" s="31">
        <f>VLOOKUP($A827,kurspris!$A$1:$Q$950,8,FALSE)</f>
        <v>0</v>
      </c>
      <c r="AJ827" s="31">
        <f>VLOOKUP($A827,kurspris!$A$1:$Q$950,9,FALSE)</f>
        <v>0</v>
      </c>
      <c r="AK827" s="31">
        <f>VLOOKUP($A827,kurspris!$A$1:$Q$950,10,FALSE)</f>
        <v>0</v>
      </c>
      <c r="AL827" s="31">
        <f>VLOOKUP($A827,kurspris!$A$1:$Q$950,11,FALSE)</f>
        <v>0</v>
      </c>
      <c r="AM827" s="31">
        <f>VLOOKUP($A827,kurspris!$A$1:$Q$950,12,FALSE)</f>
        <v>0</v>
      </c>
      <c r="AN827" s="31">
        <f>VLOOKUP($A827,kurspris!$A$1:$Q$950,13,FALSE)</f>
        <v>0</v>
      </c>
      <c r="AO827" s="31">
        <f>VLOOKUP($A827,kurspris!$A$1:$Q$950,14,FALSE)</f>
        <v>0</v>
      </c>
      <c r="AP827" s="57" t="s">
        <v>2506</v>
      </c>
      <c r="AQ827"/>
      <c r="AR827" s="31">
        <f t="shared" si="367"/>
        <v>0</v>
      </c>
      <c r="AS827" s="219">
        <f t="shared" si="368"/>
        <v>0</v>
      </c>
      <c r="AT827" s="31">
        <f t="shared" si="369"/>
        <v>1.125</v>
      </c>
      <c r="AU827" s="219">
        <f t="shared" si="370"/>
        <v>0.95624999999999993</v>
      </c>
      <c r="AV827" s="31">
        <f t="shared" si="371"/>
        <v>0</v>
      </c>
      <c r="AW827" s="31">
        <f t="shared" si="372"/>
        <v>0</v>
      </c>
      <c r="AX827" s="31">
        <f t="shared" si="373"/>
        <v>0</v>
      </c>
      <c r="AY827" s="219">
        <f t="shared" si="374"/>
        <v>0</v>
      </c>
      <c r="AZ827" s="196">
        <f t="shared" si="375"/>
        <v>0</v>
      </c>
      <c r="BA827" s="219">
        <f t="shared" si="376"/>
        <v>0</v>
      </c>
      <c r="BB827" s="31">
        <f t="shared" si="377"/>
        <v>0</v>
      </c>
      <c r="BC827" s="219">
        <f t="shared" si="378"/>
        <v>0</v>
      </c>
      <c r="BD827" s="31">
        <f t="shared" si="379"/>
        <v>0</v>
      </c>
      <c r="BE827" s="219">
        <f t="shared" si="380"/>
        <v>0</v>
      </c>
      <c r="BF827" s="31">
        <f t="shared" si="381"/>
        <v>0</v>
      </c>
      <c r="BG827" s="219">
        <f t="shared" si="382"/>
        <v>0</v>
      </c>
      <c r="BH827" s="31">
        <f t="shared" si="383"/>
        <v>0</v>
      </c>
      <c r="BI827" s="219">
        <f t="shared" si="384"/>
        <v>0</v>
      </c>
      <c r="BJ827" s="31">
        <f t="shared" si="385"/>
        <v>0</v>
      </c>
      <c r="BK827" s="219">
        <f t="shared" si="386"/>
        <v>0</v>
      </c>
      <c r="BL827" s="31">
        <f t="shared" si="387"/>
        <v>0</v>
      </c>
      <c r="BM827" s="219">
        <f t="shared" si="388"/>
        <v>0</v>
      </c>
      <c r="BN827" s="31">
        <f t="shared" si="389"/>
        <v>0</v>
      </c>
      <c r="BO827" s="219">
        <f t="shared" si="390"/>
        <v>0</v>
      </c>
    </row>
    <row r="828" spans="1:67" x14ac:dyDescent="0.25">
      <c r="A828" s="31" t="s">
        <v>2360</v>
      </c>
      <c r="B828" s="176" t="str">
        <f>VLOOKUP(A828,kurspris!$A$1:$B$992,2,FALSE)</f>
        <v>Språk, skrivande och demokrati</v>
      </c>
      <c r="C828" s="31">
        <v>61331</v>
      </c>
      <c r="D828" s="31" t="s">
        <v>117</v>
      </c>
      <c r="E828" s="57"/>
      <c r="F828" s="57" t="s">
        <v>2274</v>
      </c>
      <c r="H828" s="31" t="s">
        <v>2395</v>
      </c>
      <c r="I828" s="31" t="s">
        <v>2275</v>
      </c>
      <c r="L828" s="38"/>
      <c r="M828">
        <v>7.5</v>
      </c>
      <c r="N828" s="38"/>
      <c r="P828" s="324">
        <v>16</v>
      </c>
      <c r="Q828" s="539">
        <v>2</v>
      </c>
      <c r="R828" s="38">
        <v>0.8</v>
      </c>
      <c r="S828" s="280">
        <f t="shared" si="363"/>
        <v>1.6</v>
      </c>
      <c r="T828" s="31">
        <f>VLOOKUP(A828,'Ansvar kurs'!$A$1:$C$1123,2,FALSE)</f>
        <v>1620</v>
      </c>
      <c r="U828" s="31" t="str">
        <f>VLOOKUP(T828,Orgenheter!$A$1:$C$166,2,FALSE)</f>
        <v>Inst för språkstudier</v>
      </c>
      <c r="V828" s="31" t="str">
        <f>VLOOKUP(T828,Orgenheter!$A$1:$C$166,3,FALSE)</f>
        <v>Hum</v>
      </c>
      <c r="W828" s="35" t="str">
        <f>VLOOKUP(D828,Program!$A$1:$B$36,2,FALSE)</f>
        <v>Fristående och övriga kurser</v>
      </c>
      <c r="X828" s="40">
        <f>VLOOKUP(A828,kurspris!$A$1:$Q$913,15,FALSE)</f>
        <v>20766</v>
      </c>
      <c r="Y828" s="40">
        <f>VLOOKUP(A828,kurspris!$A$1:$Q$913,16,FALSE)</f>
        <v>17442</v>
      </c>
      <c r="Z828" s="40">
        <f t="shared" si="364"/>
        <v>69439.199999999997</v>
      </c>
      <c r="AA828" s="40">
        <f>VLOOKUP(A828,kurspris!$A$1:$Q$913,17,FALSE)</f>
        <v>6000</v>
      </c>
      <c r="AB828" s="40">
        <f t="shared" si="365"/>
        <v>12000</v>
      </c>
      <c r="AC828" s="40">
        <f t="shared" si="366"/>
        <v>81439.199999999997</v>
      </c>
      <c r="AD828" s="31">
        <f>VLOOKUP($A828,kurspris!$A$1:$Q$950,3,FALSE)</f>
        <v>0</v>
      </c>
      <c r="AE828" s="31">
        <f>VLOOKUP($A828,kurspris!$A$1:$Q$950,4,FALSE)</f>
        <v>1</v>
      </c>
      <c r="AF828" s="31">
        <f>VLOOKUP($A828,kurspris!$A$1:$Q$950,5,FALSE)</f>
        <v>0</v>
      </c>
      <c r="AG828" s="31">
        <f>VLOOKUP($A828,kurspris!$A$1:$Q$950,6,FALSE)</f>
        <v>0</v>
      </c>
      <c r="AH828" s="31">
        <f>VLOOKUP($A828,kurspris!$A$1:$Q$950,7,FALSE)</f>
        <v>0</v>
      </c>
      <c r="AI828" s="31">
        <f>VLOOKUP($A828,kurspris!$A$1:$Q$950,8,FALSE)</f>
        <v>0</v>
      </c>
      <c r="AJ828" s="31">
        <f>VLOOKUP($A828,kurspris!$A$1:$Q$950,9,FALSE)</f>
        <v>0</v>
      </c>
      <c r="AK828" s="31">
        <f>VLOOKUP($A828,kurspris!$A$1:$Q$950,10,FALSE)</f>
        <v>0</v>
      </c>
      <c r="AL828" s="31">
        <f>VLOOKUP($A828,kurspris!$A$1:$Q$950,11,FALSE)</f>
        <v>0</v>
      </c>
      <c r="AM828" s="31">
        <f>VLOOKUP($A828,kurspris!$A$1:$Q$950,12,FALSE)</f>
        <v>0</v>
      </c>
      <c r="AN828" s="31">
        <f>VLOOKUP($A828,kurspris!$A$1:$Q$950,13,FALSE)</f>
        <v>0</v>
      </c>
      <c r="AO828" s="31">
        <f>VLOOKUP($A828,kurspris!$A$1:$Q$950,14,FALSE)</f>
        <v>0</v>
      </c>
      <c r="AP828" s="57" t="s">
        <v>2402</v>
      </c>
      <c r="AQ828"/>
      <c r="AR828" s="31">
        <f t="shared" si="367"/>
        <v>0</v>
      </c>
      <c r="AS828" s="219">
        <f t="shared" si="368"/>
        <v>0</v>
      </c>
      <c r="AT828" s="31">
        <f t="shared" si="369"/>
        <v>2</v>
      </c>
      <c r="AU828" s="219">
        <f t="shared" si="370"/>
        <v>1.6</v>
      </c>
      <c r="AV828" s="31">
        <f t="shared" si="371"/>
        <v>0</v>
      </c>
      <c r="AW828" s="31">
        <f t="shared" si="372"/>
        <v>0</v>
      </c>
      <c r="AX828" s="31">
        <f t="shared" si="373"/>
        <v>0</v>
      </c>
      <c r="AY828" s="219">
        <f t="shared" si="374"/>
        <v>0</v>
      </c>
      <c r="AZ828" s="196">
        <f t="shared" si="375"/>
        <v>0</v>
      </c>
      <c r="BA828" s="219">
        <f t="shared" si="376"/>
        <v>0</v>
      </c>
      <c r="BB828" s="31">
        <f t="shared" si="377"/>
        <v>0</v>
      </c>
      <c r="BC828" s="219">
        <f t="shared" si="378"/>
        <v>0</v>
      </c>
      <c r="BD828" s="31">
        <f t="shared" si="379"/>
        <v>0</v>
      </c>
      <c r="BE828" s="219">
        <f t="shared" si="380"/>
        <v>0</v>
      </c>
      <c r="BF828" s="31">
        <f t="shared" si="381"/>
        <v>0</v>
      </c>
      <c r="BG828" s="219">
        <f t="shared" si="382"/>
        <v>0</v>
      </c>
      <c r="BH828" s="31">
        <f t="shared" si="383"/>
        <v>0</v>
      </c>
      <c r="BI828" s="219">
        <f t="shared" si="384"/>
        <v>0</v>
      </c>
      <c r="BJ828" s="31">
        <f t="shared" si="385"/>
        <v>0</v>
      </c>
      <c r="BK828" s="219">
        <f t="shared" si="386"/>
        <v>0</v>
      </c>
      <c r="BL828" s="31">
        <f t="shared" si="387"/>
        <v>0</v>
      </c>
      <c r="BM828" s="219">
        <f t="shared" si="388"/>
        <v>0</v>
      </c>
      <c r="BN828" s="31">
        <f t="shared" si="389"/>
        <v>0</v>
      </c>
      <c r="BO828" s="219">
        <f t="shared" si="390"/>
        <v>0</v>
      </c>
    </row>
    <row r="829" spans="1:67" x14ac:dyDescent="0.25">
      <c r="A829" s="157" t="s">
        <v>511</v>
      </c>
      <c r="B829" s="176" t="str">
        <f>VLOOKUP(A829,kurspris!$A$1:$B$992,2,FALSE)</f>
        <v>Samhällskunskap 1</v>
      </c>
      <c r="C829" s="31">
        <v>64903</v>
      </c>
      <c r="D829" s="31" t="s">
        <v>482</v>
      </c>
      <c r="F829" s="57" t="s">
        <v>2274</v>
      </c>
      <c r="H829" s="31" t="s">
        <v>2335</v>
      </c>
      <c r="I829" s="31" t="s">
        <v>2399</v>
      </c>
      <c r="J829" s="31" t="s">
        <v>2231</v>
      </c>
      <c r="L829" s="38"/>
      <c r="M829">
        <v>30</v>
      </c>
      <c r="P829" s="31">
        <v>1</v>
      </c>
      <c r="Q829" s="539">
        <v>0.5</v>
      </c>
      <c r="R829" s="38">
        <v>0.85</v>
      </c>
      <c r="S829" s="280">
        <f t="shared" si="363"/>
        <v>0.42499999999999999</v>
      </c>
      <c r="T829" s="31">
        <f>VLOOKUP(A829,'Ansvar kurs'!$A$1:$C$1123,2,FALSE)</f>
        <v>2340</v>
      </c>
      <c r="U829" s="31" t="str">
        <f>VLOOKUP(T829,Orgenheter!$A$1:$C$166,2,FALSE)</f>
        <v xml:space="preserve">Statsvetenskap                </v>
      </c>
      <c r="V829" s="31" t="str">
        <f>VLOOKUP(T829,Orgenheter!$A$1:$C$166,3,FALSE)</f>
        <v>Sam</v>
      </c>
      <c r="W829" s="35" t="str">
        <f>VLOOKUP(D829,Program!$A$1:$B$36,2,FALSE)</f>
        <v>Ämneslärarprogrammet - Gy</v>
      </c>
      <c r="X829" s="40">
        <f>VLOOKUP(A829,kurspris!$A$1:$Q$913,15,FALSE)</f>
        <v>20766</v>
      </c>
      <c r="Y829" s="40">
        <f>VLOOKUP(A829,kurspris!$A$1:$Q$913,16,FALSE)</f>
        <v>17442</v>
      </c>
      <c r="Z829" s="40">
        <f t="shared" si="364"/>
        <v>17795.849999999999</v>
      </c>
      <c r="AA829" s="40">
        <f>VLOOKUP(A829,kurspris!$A$1:$Q$913,17,FALSE)</f>
        <v>6000</v>
      </c>
      <c r="AB829" s="40">
        <f t="shared" si="365"/>
        <v>3000</v>
      </c>
      <c r="AC829" s="40">
        <f t="shared" si="366"/>
        <v>20795.849999999999</v>
      </c>
      <c r="AD829" s="31">
        <f>VLOOKUP($A829,kurspris!$A$1:$Q$950,3,FALSE)</f>
        <v>0</v>
      </c>
      <c r="AE829" s="31">
        <f>VLOOKUP($A829,kurspris!$A$1:$Q$950,4,FALSE)</f>
        <v>1</v>
      </c>
      <c r="AF829" s="31">
        <f>VLOOKUP($A829,kurspris!$A$1:$Q$950,5,FALSE)</f>
        <v>0</v>
      </c>
      <c r="AG829" s="31">
        <f>VLOOKUP($A829,kurspris!$A$1:$Q$950,6,FALSE)</f>
        <v>0</v>
      </c>
      <c r="AH829" s="31">
        <f>VLOOKUP($A829,kurspris!$A$1:$Q$950,7,FALSE)</f>
        <v>0</v>
      </c>
      <c r="AI829" s="31">
        <f>VLOOKUP($A829,kurspris!$A$1:$Q$950,8,FALSE)</f>
        <v>0</v>
      </c>
      <c r="AJ829" s="31">
        <f>VLOOKUP($A829,kurspris!$A$1:$Q$950,9,FALSE)</f>
        <v>0</v>
      </c>
      <c r="AK829" s="31">
        <f>VLOOKUP($A829,kurspris!$A$1:$Q$950,10,FALSE)</f>
        <v>0</v>
      </c>
      <c r="AL829" s="31">
        <f>VLOOKUP($A829,kurspris!$A$1:$Q$950,11,FALSE)</f>
        <v>0</v>
      </c>
      <c r="AM829" s="31">
        <f>VLOOKUP($A829,kurspris!$A$1:$Q$950,12,FALSE)</f>
        <v>0</v>
      </c>
      <c r="AN829" s="31">
        <f>VLOOKUP($A829,kurspris!$A$1:$Q$950,13,FALSE)</f>
        <v>0</v>
      </c>
      <c r="AO829" s="31">
        <f>VLOOKUP($A829,kurspris!$A$1:$Q$950,14,FALSE)</f>
        <v>0</v>
      </c>
      <c r="AP829" s="57" t="s">
        <v>2402</v>
      </c>
      <c r="AQ829" s="37"/>
      <c r="AR829" s="31">
        <f t="shared" si="367"/>
        <v>0</v>
      </c>
      <c r="AS829" s="219">
        <f t="shared" si="368"/>
        <v>0</v>
      </c>
      <c r="AT829" s="31">
        <f t="shared" si="369"/>
        <v>0.5</v>
      </c>
      <c r="AU829" s="219">
        <f t="shared" si="370"/>
        <v>0.42499999999999999</v>
      </c>
      <c r="AV829" s="31">
        <f t="shared" si="371"/>
        <v>0</v>
      </c>
      <c r="AW829" s="31">
        <f t="shared" si="372"/>
        <v>0</v>
      </c>
      <c r="AX829" s="31">
        <f t="shared" si="373"/>
        <v>0</v>
      </c>
      <c r="AY829" s="219">
        <f t="shared" si="374"/>
        <v>0</v>
      </c>
      <c r="AZ829" s="196">
        <f t="shared" si="375"/>
        <v>0</v>
      </c>
      <c r="BA829" s="219">
        <f t="shared" si="376"/>
        <v>0</v>
      </c>
      <c r="BB829" s="31">
        <f t="shared" si="377"/>
        <v>0</v>
      </c>
      <c r="BC829" s="219">
        <f t="shared" si="378"/>
        <v>0</v>
      </c>
      <c r="BD829" s="31">
        <f t="shared" si="379"/>
        <v>0</v>
      </c>
      <c r="BE829" s="219">
        <f t="shared" si="380"/>
        <v>0</v>
      </c>
      <c r="BF829" s="31">
        <f t="shared" si="381"/>
        <v>0</v>
      </c>
      <c r="BG829" s="219">
        <f t="shared" si="382"/>
        <v>0</v>
      </c>
      <c r="BH829" s="31">
        <f t="shared" si="383"/>
        <v>0</v>
      </c>
      <c r="BI829" s="219">
        <f t="shared" si="384"/>
        <v>0</v>
      </c>
      <c r="BJ829" s="31">
        <f t="shared" si="385"/>
        <v>0</v>
      </c>
      <c r="BK829" s="219">
        <f t="shared" si="386"/>
        <v>0</v>
      </c>
      <c r="BL829" s="31">
        <f t="shared" si="387"/>
        <v>0</v>
      </c>
      <c r="BM829" s="219">
        <f t="shared" si="388"/>
        <v>0</v>
      </c>
      <c r="BN829" s="31">
        <f t="shared" si="389"/>
        <v>0</v>
      </c>
      <c r="BO829" s="219">
        <f t="shared" si="390"/>
        <v>0</v>
      </c>
    </row>
    <row r="830" spans="1:67" x14ac:dyDescent="0.25">
      <c r="A830" s="157" t="s">
        <v>511</v>
      </c>
      <c r="B830" s="176" t="str">
        <f>VLOOKUP(A830,kurspris!$A$1:$B$992,2,FALSE)</f>
        <v>Samhällskunskap 1</v>
      </c>
      <c r="C830" s="31">
        <v>64903</v>
      </c>
      <c r="D830" s="31" t="s">
        <v>482</v>
      </c>
      <c r="F830" s="57" t="s">
        <v>2274</v>
      </c>
      <c r="H830" s="31" t="s">
        <v>2335</v>
      </c>
      <c r="I830" s="31" t="s">
        <v>2399</v>
      </c>
      <c r="J830" s="31" t="s">
        <v>2241</v>
      </c>
      <c r="L830" s="38"/>
      <c r="M830">
        <v>30</v>
      </c>
      <c r="P830" s="31">
        <v>5</v>
      </c>
      <c r="Q830" s="539">
        <v>2.5</v>
      </c>
      <c r="R830" s="38">
        <v>0.85</v>
      </c>
      <c r="S830" s="280">
        <f t="shared" si="363"/>
        <v>2.125</v>
      </c>
      <c r="T830" s="31">
        <f>VLOOKUP(A830,'Ansvar kurs'!$A$1:$C$1123,2,FALSE)</f>
        <v>2340</v>
      </c>
      <c r="U830" s="31" t="str">
        <f>VLOOKUP(T830,Orgenheter!$A$1:$C$166,2,FALSE)</f>
        <v xml:space="preserve">Statsvetenskap                </v>
      </c>
      <c r="V830" s="31" t="str">
        <f>VLOOKUP(T830,Orgenheter!$A$1:$C$166,3,FALSE)</f>
        <v>Sam</v>
      </c>
      <c r="W830" s="35" t="str">
        <f>VLOOKUP(D830,Program!$A$1:$B$36,2,FALSE)</f>
        <v>Ämneslärarprogrammet - Gy</v>
      </c>
      <c r="X830" s="40">
        <f>VLOOKUP(A830,kurspris!$A$1:$Q$913,15,FALSE)</f>
        <v>20766</v>
      </c>
      <c r="Y830" s="40">
        <f>VLOOKUP(A830,kurspris!$A$1:$Q$913,16,FALSE)</f>
        <v>17442</v>
      </c>
      <c r="Z830" s="40">
        <f t="shared" si="364"/>
        <v>88979.25</v>
      </c>
      <c r="AA830" s="40">
        <f>VLOOKUP(A830,kurspris!$A$1:$Q$913,17,FALSE)</f>
        <v>6000</v>
      </c>
      <c r="AB830" s="40">
        <f t="shared" si="365"/>
        <v>15000</v>
      </c>
      <c r="AC830" s="40">
        <f t="shared" si="366"/>
        <v>103979.25</v>
      </c>
      <c r="AD830" s="31">
        <f>VLOOKUP($A830,kurspris!$A$1:$Q$950,3,FALSE)</f>
        <v>0</v>
      </c>
      <c r="AE830" s="31">
        <f>VLOOKUP($A830,kurspris!$A$1:$Q$950,4,FALSE)</f>
        <v>1</v>
      </c>
      <c r="AF830" s="31">
        <f>VLOOKUP($A830,kurspris!$A$1:$Q$950,5,FALSE)</f>
        <v>0</v>
      </c>
      <c r="AG830" s="31">
        <f>VLOOKUP($A830,kurspris!$A$1:$Q$950,6,FALSE)</f>
        <v>0</v>
      </c>
      <c r="AH830" s="31">
        <f>VLOOKUP($A830,kurspris!$A$1:$Q$950,7,FALSE)</f>
        <v>0</v>
      </c>
      <c r="AI830" s="31">
        <f>VLOOKUP($A830,kurspris!$A$1:$Q$950,8,FALSE)</f>
        <v>0</v>
      </c>
      <c r="AJ830" s="31">
        <f>VLOOKUP($A830,kurspris!$A$1:$Q$950,9,FALSE)</f>
        <v>0</v>
      </c>
      <c r="AK830" s="31">
        <f>VLOOKUP($A830,kurspris!$A$1:$Q$950,10,FALSE)</f>
        <v>0</v>
      </c>
      <c r="AL830" s="31">
        <f>VLOOKUP($A830,kurspris!$A$1:$Q$950,11,FALSE)</f>
        <v>0</v>
      </c>
      <c r="AM830" s="31">
        <f>VLOOKUP($A830,kurspris!$A$1:$Q$950,12,FALSE)</f>
        <v>0</v>
      </c>
      <c r="AN830" s="31">
        <f>VLOOKUP($A830,kurspris!$A$1:$Q$950,13,FALSE)</f>
        <v>0</v>
      </c>
      <c r="AO830" s="31">
        <f>VLOOKUP($A830,kurspris!$A$1:$Q$950,14,FALSE)</f>
        <v>0</v>
      </c>
      <c r="AP830" s="57" t="s">
        <v>2402</v>
      </c>
      <c r="AQ830"/>
      <c r="AR830" s="31">
        <f t="shared" si="367"/>
        <v>0</v>
      </c>
      <c r="AS830" s="219">
        <f t="shared" si="368"/>
        <v>0</v>
      </c>
      <c r="AT830" s="31">
        <f t="shared" si="369"/>
        <v>2.5</v>
      </c>
      <c r="AU830" s="219">
        <f t="shared" si="370"/>
        <v>2.125</v>
      </c>
      <c r="AV830" s="31">
        <f t="shared" si="371"/>
        <v>0</v>
      </c>
      <c r="AW830" s="31">
        <f t="shared" si="372"/>
        <v>0</v>
      </c>
      <c r="AX830" s="31">
        <f t="shared" si="373"/>
        <v>0</v>
      </c>
      <c r="AY830" s="219">
        <f t="shared" si="374"/>
        <v>0</v>
      </c>
      <c r="AZ830" s="196">
        <f t="shared" si="375"/>
        <v>0</v>
      </c>
      <c r="BA830" s="219">
        <f t="shared" si="376"/>
        <v>0</v>
      </c>
      <c r="BB830" s="31">
        <f t="shared" si="377"/>
        <v>0</v>
      </c>
      <c r="BC830" s="219">
        <f t="shared" si="378"/>
        <v>0</v>
      </c>
      <c r="BD830" s="31">
        <f t="shared" si="379"/>
        <v>0</v>
      </c>
      <c r="BE830" s="219">
        <f t="shared" si="380"/>
        <v>0</v>
      </c>
      <c r="BF830" s="31">
        <f t="shared" si="381"/>
        <v>0</v>
      </c>
      <c r="BG830" s="219">
        <f t="shared" si="382"/>
        <v>0</v>
      </c>
      <c r="BH830" s="31">
        <f t="shared" si="383"/>
        <v>0</v>
      </c>
      <c r="BI830" s="219">
        <f t="shared" si="384"/>
        <v>0</v>
      </c>
      <c r="BJ830" s="31">
        <f t="shared" si="385"/>
        <v>0</v>
      </c>
      <c r="BK830" s="219">
        <f t="shared" si="386"/>
        <v>0</v>
      </c>
      <c r="BL830" s="31">
        <f t="shared" si="387"/>
        <v>0</v>
      </c>
      <c r="BM830" s="219">
        <f t="shared" si="388"/>
        <v>0</v>
      </c>
      <c r="BN830" s="31">
        <f t="shared" si="389"/>
        <v>0</v>
      </c>
      <c r="BO830" s="219">
        <f t="shared" si="390"/>
        <v>0</v>
      </c>
    </row>
    <row r="831" spans="1:67" x14ac:dyDescent="0.25">
      <c r="A831" s="31" t="s">
        <v>511</v>
      </c>
      <c r="B831" s="176" t="str">
        <f>VLOOKUP(A831,kurspris!$A$1:$B$992,2,FALSE)</f>
        <v>Samhällskunskap 1</v>
      </c>
      <c r="C831" s="31">
        <v>64903</v>
      </c>
      <c r="D831" s="60" t="s">
        <v>482</v>
      </c>
      <c r="E831" s="60"/>
      <c r="F831" s="57" t="s">
        <v>2274</v>
      </c>
      <c r="H831" s="31" t="s">
        <v>2335</v>
      </c>
      <c r="I831" s="31" t="s">
        <v>2399</v>
      </c>
      <c r="J831" s="31" t="s">
        <v>2239</v>
      </c>
      <c r="L831" s="38"/>
      <c r="M831">
        <v>30</v>
      </c>
      <c r="P831" s="31">
        <v>1</v>
      </c>
      <c r="Q831" s="539">
        <v>0.5</v>
      </c>
      <c r="R831" s="38">
        <v>0.85</v>
      </c>
      <c r="S831" s="280">
        <f t="shared" si="363"/>
        <v>0.42499999999999999</v>
      </c>
      <c r="T831" s="31">
        <f>VLOOKUP(A831,'Ansvar kurs'!$A$1:$C$1123,2,FALSE)</f>
        <v>2340</v>
      </c>
      <c r="U831" s="31" t="str">
        <f>VLOOKUP(T831,Orgenheter!$A$1:$C$166,2,FALSE)</f>
        <v xml:space="preserve">Statsvetenskap                </v>
      </c>
      <c r="V831" s="31" t="str">
        <f>VLOOKUP(T831,Orgenheter!$A$1:$C$166,3,FALSE)</f>
        <v>Sam</v>
      </c>
      <c r="W831" s="35" t="str">
        <f>VLOOKUP(D831,Program!$A$1:$B$36,2,FALSE)</f>
        <v>Ämneslärarprogrammet - Gy</v>
      </c>
      <c r="X831" s="40">
        <f>VLOOKUP(A831,kurspris!$A$1:$Q$913,15,FALSE)</f>
        <v>20766</v>
      </c>
      <c r="Y831" s="40">
        <f>VLOOKUP(A831,kurspris!$A$1:$Q$913,16,FALSE)</f>
        <v>17442</v>
      </c>
      <c r="Z831" s="40">
        <f t="shared" si="364"/>
        <v>17795.849999999999</v>
      </c>
      <c r="AA831" s="40">
        <f>VLOOKUP(A831,kurspris!$A$1:$Q$913,17,FALSE)</f>
        <v>6000</v>
      </c>
      <c r="AB831" s="40">
        <f t="shared" si="365"/>
        <v>3000</v>
      </c>
      <c r="AC831" s="40">
        <f t="shared" si="366"/>
        <v>20795.849999999999</v>
      </c>
      <c r="AD831" s="31">
        <f>VLOOKUP($A831,kurspris!$A$1:$Q$950,3,FALSE)</f>
        <v>0</v>
      </c>
      <c r="AE831" s="31">
        <f>VLOOKUP($A831,kurspris!$A$1:$Q$950,4,FALSE)</f>
        <v>1</v>
      </c>
      <c r="AF831" s="31">
        <f>VLOOKUP($A831,kurspris!$A$1:$Q$950,5,FALSE)</f>
        <v>0</v>
      </c>
      <c r="AG831" s="31">
        <f>VLOOKUP($A831,kurspris!$A$1:$Q$950,6,FALSE)</f>
        <v>0</v>
      </c>
      <c r="AH831" s="31">
        <f>VLOOKUP($A831,kurspris!$A$1:$Q$950,7,FALSE)</f>
        <v>0</v>
      </c>
      <c r="AI831" s="31">
        <f>VLOOKUP($A831,kurspris!$A$1:$Q$950,8,FALSE)</f>
        <v>0</v>
      </c>
      <c r="AJ831" s="31">
        <f>VLOOKUP($A831,kurspris!$A$1:$Q$950,9,FALSE)</f>
        <v>0</v>
      </c>
      <c r="AK831" s="31">
        <f>VLOOKUP($A831,kurspris!$A$1:$Q$950,10,FALSE)</f>
        <v>0</v>
      </c>
      <c r="AL831" s="31">
        <f>VLOOKUP($A831,kurspris!$A$1:$Q$950,11,FALSE)</f>
        <v>0</v>
      </c>
      <c r="AM831" s="31">
        <f>VLOOKUP($A831,kurspris!$A$1:$Q$950,12,FALSE)</f>
        <v>0</v>
      </c>
      <c r="AN831" s="31">
        <f>VLOOKUP($A831,kurspris!$A$1:$Q$950,13,FALSE)</f>
        <v>0</v>
      </c>
      <c r="AO831" s="31">
        <f>VLOOKUP($A831,kurspris!$A$1:$Q$950,14,FALSE)</f>
        <v>0</v>
      </c>
      <c r="AP831" s="57" t="s">
        <v>2402</v>
      </c>
      <c r="AQ831"/>
      <c r="AR831" s="31">
        <f t="shared" si="367"/>
        <v>0</v>
      </c>
      <c r="AS831" s="219">
        <f t="shared" si="368"/>
        <v>0</v>
      </c>
      <c r="AT831" s="31">
        <f t="shared" si="369"/>
        <v>0.5</v>
      </c>
      <c r="AU831" s="219">
        <f t="shared" si="370"/>
        <v>0.42499999999999999</v>
      </c>
      <c r="AV831" s="31">
        <f t="shared" si="371"/>
        <v>0</v>
      </c>
      <c r="AW831" s="31">
        <f t="shared" si="372"/>
        <v>0</v>
      </c>
      <c r="AX831" s="31">
        <f t="shared" si="373"/>
        <v>0</v>
      </c>
      <c r="AY831" s="219">
        <f t="shared" si="374"/>
        <v>0</v>
      </c>
      <c r="AZ831" s="196">
        <f t="shared" si="375"/>
        <v>0</v>
      </c>
      <c r="BA831" s="219">
        <f t="shared" si="376"/>
        <v>0</v>
      </c>
      <c r="BB831" s="31">
        <f t="shared" si="377"/>
        <v>0</v>
      </c>
      <c r="BC831" s="219">
        <f t="shared" si="378"/>
        <v>0</v>
      </c>
      <c r="BD831" s="31">
        <f t="shared" si="379"/>
        <v>0</v>
      </c>
      <c r="BE831" s="219">
        <f t="shared" si="380"/>
        <v>0</v>
      </c>
      <c r="BF831" s="31">
        <f t="shared" si="381"/>
        <v>0</v>
      </c>
      <c r="BG831" s="219">
        <f t="shared" si="382"/>
        <v>0</v>
      </c>
      <c r="BH831" s="31">
        <f t="shared" si="383"/>
        <v>0</v>
      </c>
      <c r="BI831" s="219">
        <f t="shared" si="384"/>
        <v>0</v>
      </c>
      <c r="BJ831" s="31">
        <f t="shared" si="385"/>
        <v>0</v>
      </c>
      <c r="BK831" s="219">
        <f t="shared" si="386"/>
        <v>0</v>
      </c>
      <c r="BL831" s="31">
        <f t="shared" si="387"/>
        <v>0</v>
      </c>
      <c r="BM831" s="219">
        <f t="shared" si="388"/>
        <v>0</v>
      </c>
      <c r="BN831" s="31">
        <f t="shared" si="389"/>
        <v>0</v>
      </c>
      <c r="BO831" s="219">
        <f t="shared" si="390"/>
        <v>0</v>
      </c>
    </row>
    <row r="832" spans="1:67" x14ac:dyDescent="0.25">
      <c r="A832" s="31" t="s">
        <v>511</v>
      </c>
      <c r="B832" s="176" t="str">
        <f>VLOOKUP(A832,kurspris!$A$1:$B$992,2,FALSE)</f>
        <v>Samhällskunskap 1</v>
      </c>
      <c r="C832" s="31">
        <v>64903</v>
      </c>
      <c r="D832" s="60" t="s">
        <v>482</v>
      </c>
      <c r="E832" s="60"/>
      <c r="F832" s="57" t="s">
        <v>2274</v>
      </c>
      <c r="H832" s="31" t="s">
        <v>2335</v>
      </c>
      <c r="I832" s="31" t="s">
        <v>2399</v>
      </c>
      <c r="J832" s="31" t="s">
        <v>2242</v>
      </c>
      <c r="L832" s="38"/>
      <c r="M832">
        <v>30</v>
      </c>
      <c r="P832" s="31">
        <v>15</v>
      </c>
      <c r="Q832" s="539">
        <v>7.5</v>
      </c>
      <c r="R832" s="38">
        <v>0.85</v>
      </c>
      <c r="S832" s="280">
        <f t="shared" si="363"/>
        <v>6.375</v>
      </c>
      <c r="T832" s="31">
        <f>VLOOKUP(A832,'Ansvar kurs'!$A$1:$C$1123,2,FALSE)</f>
        <v>2340</v>
      </c>
      <c r="U832" s="31" t="str">
        <f>VLOOKUP(T832,Orgenheter!$A$1:$C$166,2,FALSE)</f>
        <v xml:space="preserve">Statsvetenskap                </v>
      </c>
      <c r="V832" s="31" t="str">
        <f>VLOOKUP(T832,Orgenheter!$A$1:$C$166,3,FALSE)</f>
        <v>Sam</v>
      </c>
      <c r="W832" s="35" t="str">
        <f>VLOOKUP(D832,Program!$A$1:$B$36,2,FALSE)</f>
        <v>Ämneslärarprogrammet - Gy</v>
      </c>
      <c r="X832" s="40">
        <f>VLOOKUP(A832,kurspris!$A$1:$Q$913,15,FALSE)</f>
        <v>20766</v>
      </c>
      <c r="Y832" s="40">
        <f>VLOOKUP(A832,kurspris!$A$1:$Q$913,16,FALSE)</f>
        <v>17442</v>
      </c>
      <c r="Z832" s="40">
        <f t="shared" si="364"/>
        <v>266937.75</v>
      </c>
      <c r="AA832" s="40">
        <f>VLOOKUP(A832,kurspris!$A$1:$Q$913,17,FALSE)</f>
        <v>6000</v>
      </c>
      <c r="AB832" s="40">
        <f t="shared" si="365"/>
        <v>45000</v>
      </c>
      <c r="AC832" s="40">
        <f t="shared" si="366"/>
        <v>311937.75</v>
      </c>
      <c r="AD832" s="31">
        <f>VLOOKUP($A832,kurspris!$A$1:$Q$950,3,FALSE)</f>
        <v>0</v>
      </c>
      <c r="AE832" s="31">
        <f>VLOOKUP($A832,kurspris!$A$1:$Q$950,4,FALSE)</f>
        <v>1</v>
      </c>
      <c r="AF832" s="31">
        <f>VLOOKUP($A832,kurspris!$A$1:$Q$950,5,FALSE)</f>
        <v>0</v>
      </c>
      <c r="AG832" s="31">
        <f>VLOOKUP($A832,kurspris!$A$1:$Q$950,6,FALSE)</f>
        <v>0</v>
      </c>
      <c r="AH832" s="31">
        <f>VLOOKUP($A832,kurspris!$A$1:$Q$950,7,FALSE)</f>
        <v>0</v>
      </c>
      <c r="AI832" s="31">
        <f>VLOOKUP($A832,kurspris!$A$1:$Q$950,8,FALSE)</f>
        <v>0</v>
      </c>
      <c r="AJ832" s="31">
        <f>VLOOKUP($A832,kurspris!$A$1:$Q$950,9,FALSE)</f>
        <v>0</v>
      </c>
      <c r="AK832" s="31">
        <f>VLOOKUP($A832,kurspris!$A$1:$Q$950,10,FALSE)</f>
        <v>0</v>
      </c>
      <c r="AL832" s="31">
        <f>VLOOKUP($A832,kurspris!$A$1:$Q$950,11,FALSE)</f>
        <v>0</v>
      </c>
      <c r="AM832" s="31">
        <f>VLOOKUP($A832,kurspris!$A$1:$Q$950,12,FALSE)</f>
        <v>0</v>
      </c>
      <c r="AN832" s="31">
        <f>VLOOKUP($A832,kurspris!$A$1:$Q$950,13,FALSE)</f>
        <v>0</v>
      </c>
      <c r="AO832" s="31">
        <f>VLOOKUP($A832,kurspris!$A$1:$Q$950,14,FALSE)</f>
        <v>0</v>
      </c>
      <c r="AP832" s="57" t="s">
        <v>2402</v>
      </c>
      <c r="AQ832"/>
      <c r="AR832" s="31">
        <f t="shared" si="367"/>
        <v>0</v>
      </c>
      <c r="AS832" s="219">
        <f t="shared" si="368"/>
        <v>0</v>
      </c>
      <c r="AT832" s="31">
        <f t="shared" si="369"/>
        <v>7.5</v>
      </c>
      <c r="AU832" s="219">
        <f t="shared" si="370"/>
        <v>6.375</v>
      </c>
      <c r="AV832" s="31">
        <f t="shared" si="371"/>
        <v>0</v>
      </c>
      <c r="AW832" s="31">
        <f t="shared" si="372"/>
        <v>0</v>
      </c>
      <c r="AX832" s="31">
        <f t="shared" si="373"/>
        <v>0</v>
      </c>
      <c r="AY832" s="219">
        <f t="shared" si="374"/>
        <v>0</v>
      </c>
      <c r="AZ832" s="196">
        <f t="shared" si="375"/>
        <v>0</v>
      </c>
      <c r="BA832" s="219">
        <f t="shared" si="376"/>
        <v>0</v>
      </c>
      <c r="BB832" s="31">
        <f t="shared" si="377"/>
        <v>0</v>
      </c>
      <c r="BC832" s="219">
        <f t="shared" si="378"/>
        <v>0</v>
      </c>
      <c r="BD832" s="31">
        <f t="shared" si="379"/>
        <v>0</v>
      </c>
      <c r="BE832" s="219">
        <f t="shared" si="380"/>
        <v>0</v>
      </c>
      <c r="BF832" s="31">
        <f t="shared" si="381"/>
        <v>0</v>
      </c>
      <c r="BG832" s="219">
        <f t="shared" si="382"/>
        <v>0</v>
      </c>
      <c r="BH832" s="31">
        <f t="shared" si="383"/>
        <v>0</v>
      </c>
      <c r="BI832" s="219">
        <f t="shared" si="384"/>
        <v>0</v>
      </c>
      <c r="BJ832" s="31">
        <f t="shared" si="385"/>
        <v>0</v>
      </c>
      <c r="BK832" s="219">
        <f t="shared" si="386"/>
        <v>0</v>
      </c>
      <c r="BL832" s="31">
        <f t="shared" si="387"/>
        <v>0</v>
      </c>
      <c r="BM832" s="219">
        <f t="shared" si="388"/>
        <v>0</v>
      </c>
      <c r="BN832" s="31">
        <f t="shared" si="389"/>
        <v>0</v>
      </c>
      <c r="BO832" s="219">
        <f t="shared" si="390"/>
        <v>0</v>
      </c>
    </row>
    <row r="833" spans="1:67" x14ac:dyDescent="0.25">
      <c r="A833" s="31" t="s">
        <v>511</v>
      </c>
      <c r="B833" s="176" t="str">
        <f>VLOOKUP(A833,kurspris!$A$1:$B$992,2,FALSE)</f>
        <v>Samhällskunskap 1</v>
      </c>
      <c r="C833" s="31">
        <v>64903</v>
      </c>
      <c r="D833" s="60" t="s">
        <v>482</v>
      </c>
      <c r="E833" s="60"/>
      <c r="F833" s="57" t="s">
        <v>2274</v>
      </c>
      <c r="H833" s="31" t="s">
        <v>2335</v>
      </c>
      <c r="I833" s="31" t="s">
        <v>2399</v>
      </c>
      <c r="J833" s="31" t="s">
        <v>2240</v>
      </c>
      <c r="L833" s="38"/>
      <c r="M833">
        <v>30</v>
      </c>
      <c r="P833" s="31">
        <v>2</v>
      </c>
      <c r="Q833" s="539">
        <v>1</v>
      </c>
      <c r="R833" s="38">
        <v>0.85</v>
      </c>
      <c r="S833" s="280">
        <f t="shared" si="363"/>
        <v>0.85</v>
      </c>
      <c r="T833" s="31">
        <f>VLOOKUP(A833,'Ansvar kurs'!$A$1:$C$1123,2,FALSE)</f>
        <v>2340</v>
      </c>
      <c r="U833" s="31" t="str">
        <f>VLOOKUP(T833,Orgenheter!$A$1:$C$166,2,FALSE)</f>
        <v xml:space="preserve">Statsvetenskap                </v>
      </c>
      <c r="V833" s="31" t="str">
        <f>VLOOKUP(T833,Orgenheter!$A$1:$C$166,3,FALSE)</f>
        <v>Sam</v>
      </c>
      <c r="W833" s="35" t="str">
        <f>VLOOKUP(D833,Program!$A$1:$B$36,2,FALSE)</f>
        <v>Ämneslärarprogrammet - Gy</v>
      </c>
      <c r="X833" s="40">
        <f>VLOOKUP(A833,kurspris!$A$1:$Q$913,15,FALSE)</f>
        <v>20766</v>
      </c>
      <c r="Y833" s="40">
        <f>VLOOKUP(A833,kurspris!$A$1:$Q$913,16,FALSE)</f>
        <v>17442</v>
      </c>
      <c r="Z833" s="40">
        <f t="shared" si="364"/>
        <v>35591.699999999997</v>
      </c>
      <c r="AA833" s="40">
        <f>VLOOKUP(A833,kurspris!$A$1:$Q$913,17,FALSE)</f>
        <v>6000</v>
      </c>
      <c r="AB833" s="40">
        <f t="shared" si="365"/>
        <v>6000</v>
      </c>
      <c r="AC833" s="40">
        <f t="shared" si="366"/>
        <v>41591.699999999997</v>
      </c>
      <c r="AD833" s="31">
        <f>VLOOKUP($A833,kurspris!$A$1:$Q$950,3,FALSE)</f>
        <v>0</v>
      </c>
      <c r="AE833" s="31">
        <f>VLOOKUP($A833,kurspris!$A$1:$Q$950,4,FALSE)</f>
        <v>1</v>
      </c>
      <c r="AF833" s="31">
        <f>VLOOKUP($A833,kurspris!$A$1:$Q$950,5,FALSE)</f>
        <v>0</v>
      </c>
      <c r="AG833" s="31">
        <f>VLOOKUP($A833,kurspris!$A$1:$Q$950,6,FALSE)</f>
        <v>0</v>
      </c>
      <c r="AH833" s="31">
        <f>VLOOKUP($A833,kurspris!$A$1:$Q$950,7,FALSE)</f>
        <v>0</v>
      </c>
      <c r="AI833" s="31">
        <f>VLOOKUP($A833,kurspris!$A$1:$Q$950,8,FALSE)</f>
        <v>0</v>
      </c>
      <c r="AJ833" s="31">
        <f>VLOOKUP($A833,kurspris!$A$1:$Q$950,9,FALSE)</f>
        <v>0</v>
      </c>
      <c r="AK833" s="31">
        <f>VLOOKUP($A833,kurspris!$A$1:$Q$950,10,FALSE)</f>
        <v>0</v>
      </c>
      <c r="AL833" s="31">
        <f>VLOOKUP($A833,kurspris!$A$1:$Q$950,11,FALSE)</f>
        <v>0</v>
      </c>
      <c r="AM833" s="31">
        <f>VLOOKUP($A833,kurspris!$A$1:$Q$950,12,FALSE)</f>
        <v>0</v>
      </c>
      <c r="AN833" s="31">
        <f>VLOOKUP($A833,kurspris!$A$1:$Q$950,13,FALSE)</f>
        <v>0</v>
      </c>
      <c r="AO833" s="31">
        <f>VLOOKUP($A833,kurspris!$A$1:$Q$950,14,FALSE)</f>
        <v>0</v>
      </c>
      <c r="AP833" s="57" t="s">
        <v>2402</v>
      </c>
      <c r="AQ833"/>
      <c r="AR833" s="31">
        <f t="shared" si="367"/>
        <v>0</v>
      </c>
      <c r="AS833" s="219">
        <f t="shared" si="368"/>
        <v>0</v>
      </c>
      <c r="AT833" s="31">
        <f t="shared" si="369"/>
        <v>1</v>
      </c>
      <c r="AU833" s="219">
        <f t="shared" si="370"/>
        <v>0.85</v>
      </c>
      <c r="AV833" s="31">
        <f t="shared" si="371"/>
        <v>0</v>
      </c>
      <c r="AW833" s="31">
        <f t="shared" si="372"/>
        <v>0</v>
      </c>
      <c r="AX833" s="31">
        <f t="shared" si="373"/>
        <v>0</v>
      </c>
      <c r="AY833" s="219">
        <f t="shared" si="374"/>
        <v>0</v>
      </c>
      <c r="AZ833" s="196">
        <f t="shared" si="375"/>
        <v>0</v>
      </c>
      <c r="BA833" s="219">
        <f t="shared" si="376"/>
        <v>0</v>
      </c>
      <c r="BB833" s="31">
        <f t="shared" si="377"/>
        <v>0</v>
      </c>
      <c r="BC833" s="219">
        <f t="shared" si="378"/>
        <v>0</v>
      </c>
      <c r="BD833" s="31">
        <f t="shared" si="379"/>
        <v>0</v>
      </c>
      <c r="BE833" s="219">
        <f t="shared" si="380"/>
        <v>0</v>
      </c>
      <c r="BF833" s="31">
        <f t="shared" si="381"/>
        <v>0</v>
      </c>
      <c r="BG833" s="219">
        <f t="shared" si="382"/>
        <v>0</v>
      </c>
      <c r="BH833" s="31">
        <f t="shared" si="383"/>
        <v>0</v>
      </c>
      <c r="BI833" s="219">
        <f t="shared" si="384"/>
        <v>0</v>
      </c>
      <c r="BJ833" s="31">
        <f t="shared" si="385"/>
        <v>0</v>
      </c>
      <c r="BK833" s="219">
        <f t="shared" si="386"/>
        <v>0</v>
      </c>
      <c r="BL833" s="31">
        <f t="shared" si="387"/>
        <v>0</v>
      </c>
      <c r="BM833" s="219">
        <f t="shared" si="388"/>
        <v>0</v>
      </c>
      <c r="BN833" s="31">
        <f t="shared" si="389"/>
        <v>0</v>
      </c>
      <c r="BO833" s="219">
        <f t="shared" si="390"/>
        <v>0</v>
      </c>
    </row>
    <row r="834" spans="1:67" x14ac:dyDescent="0.25">
      <c r="A834" s="31" t="s">
        <v>512</v>
      </c>
      <c r="B834" s="176" t="str">
        <f>VLOOKUP(A834,kurspris!$A$1:$B$992,2,FALSE)</f>
        <v>Samhällskunskap 2</v>
      </c>
      <c r="D834" s="60" t="s">
        <v>482</v>
      </c>
      <c r="E834" s="576" t="s">
        <v>2226</v>
      </c>
      <c r="F834" s="31" t="s">
        <v>2273</v>
      </c>
      <c r="G834" t="s">
        <v>2458</v>
      </c>
      <c r="H834" t="s">
        <v>2335</v>
      </c>
      <c r="J834" s="31" t="s">
        <v>2241</v>
      </c>
      <c r="L834" s="38">
        <v>1</v>
      </c>
      <c r="M834">
        <v>30</v>
      </c>
      <c r="P834" s="31">
        <v>1</v>
      </c>
      <c r="Q834" s="196">
        <f t="shared" ref="Q834:Q840" si="393">(M834/60)*P834</f>
        <v>0.5</v>
      </c>
      <c r="R834" s="38">
        <v>0.85</v>
      </c>
      <c r="S834" s="280">
        <f t="shared" ref="S834:S897" si="394">Q834*R834</f>
        <v>0.42499999999999999</v>
      </c>
      <c r="T834" s="31">
        <f>VLOOKUP(A834,'Ansvar kurs'!$A$1:$C$1123,2,FALSE)</f>
        <v>2340</v>
      </c>
      <c r="U834" s="31" t="str">
        <f>VLOOKUP(T834,Orgenheter!$A$1:$C$166,2,FALSE)</f>
        <v xml:space="preserve">Statsvetenskap                </v>
      </c>
      <c r="V834" s="31" t="str">
        <f>VLOOKUP(T834,Orgenheter!$A$1:$C$166,3,FALSE)</f>
        <v>Sam</v>
      </c>
      <c r="W834" s="35" t="str">
        <f>VLOOKUP(D834,Program!$A$1:$B$36,2,FALSE)</f>
        <v>Ämneslärarprogrammet - Gy</v>
      </c>
      <c r="X834" s="40">
        <f>VLOOKUP(A834,kurspris!$A$1:$Q$913,15,FALSE)</f>
        <v>20766</v>
      </c>
      <c r="Y834" s="40">
        <f>VLOOKUP(A834,kurspris!$A$1:$Q$913,16,FALSE)</f>
        <v>17442</v>
      </c>
      <c r="Z834" s="40">
        <f t="shared" ref="Z834:Z897" si="395">X834*Q834+S834*Y834</f>
        <v>17795.849999999999</v>
      </c>
      <c r="AA834" s="40">
        <f>VLOOKUP(A834,kurspris!$A$1:$Q$913,17,FALSE)</f>
        <v>6000</v>
      </c>
      <c r="AB834" s="40">
        <f t="shared" ref="AB834:AB897" si="396">AA834*Q834</f>
        <v>3000</v>
      </c>
      <c r="AC834" s="40">
        <f t="shared" ref="AC834:AC897" si="397">Z834+AB834</f>
        <v>20795.849999999999</v>
      </c>
      <c r="AD834" s="31">
        <f>VLOOKUP($A834,kurspris!$A$1:$Q$950,3,FALSE)</f>
        <v>0</v>
      </c>
      <c r="AE834" s="31">
        <f>VLOOKUP($A834,kurspris!$A$1:$Q$950,4,FALSE)</f>
        <v>0</v>
      </c>
      <c r="AF834" s="31">
        <f>VLOOKUP($A834,kurspris!$A$1:$Q$950,5,FALSE)</f>
        <v>0</v>
      </c>
      <c r="AG834" s="31">
        <f>VLOOKUP($A834,kurspris!$A$1:$Q$950,6,FALSE)</f>
        <v>0</v>
      </c>
      <c r="AH834" s="31">
        <f>VLOOKUP($A834,kurspris!$A$1:$Q$950,7,FALSE)</f>
        <v>0</v>
      </c>
      <c r="AI834" s="31">
        <f>VLOOKUP($A834,kurspris!$A$1:$Q$950,8,FALSE)</f>
        <v>0</v>
      </c>
      <c r="AJ834" s="31">
        <f>VLOOKUP($A834,kurspris!$A$1:$Q$950,9,FALSE)</f>
        <v>1</v>
      </c>
      <c r="AK834" s="31">
        <f>VLOOKUP($A834,kurspris!$A$1:$Q$950,10,FALSE)</f>
        <v>0</v>
      </c>
      <c r="AL834" s="31">
        <f>VLOOKUP($A834,kurspris!$A$1:$Q$950,11,FALSE)</f>
        <v>0</v>
      </c>
      <c r="AM834" s="31">
        <f>VLOOKUP($A834,kurspris!$A$1:$Q$950,12,FALSE)</f>
        <v>0</v>
      </c>
      <c r="AN834" s="31">
        <f>VLOOKUP($A834,kurspris!$A$1:$Q$950,13,FALSE)</f>
        <v>0</v>
      </c>
      <c r="AO834" s="31">
        <f>VLOOKUP($A834,kurspris!$A$1:$Q$950,14,FALSE)</f>
        <v>0</v>
      </c>
      <c r="AP834" s="57" t="s">
        <v>2506</v>
      </c>
      <c r="AQ834"/>
      <c r="AR834" s="31">
        <f t="shared" ref="AR834:AR897" si="398">$Q834*AD834</f>
        <v>0</v>
      </c>
      <c r="AS834" s="219">
        <f t="shared" ref="AS834:AS897" si="399">$S834*AD834</f>
        <v>0</v>
      </c>
      <c r="AT834" s="31">
        <f t="shared" ref="AT834:AT897" si="400">$Q834*AE834</f>
        <v>0</v>
      </c>
      <c r="AU834" s="219">
        <f t="shared" ref="AU834:AU897" si="401">$S834*AE834</f>
        <v>0</v>
      </c>
      <c r="AV834" s="31">
        <f t="shared" ref="AV834:AV897" si="402">$Q834*AF834</f>
        <v>0</v>
      </c>
      <c r="AW834" s="31">
        <f t="shared" ref="AW834:AW897" si="403">$S834*AF834</f>
        <v>0</v>
      </c>
      <c r="AX834" s="31">
        <f t="shared" ref="AX834:AX897" si="404">$Q834*AG834</f>
        <v>0</v>
      </c>
      <c r="AY834" s="219">
        <f t="shared" ref="AY834:AY897" si="405">$S834*AG834</f>
        <v>0</v>
      </c>
      <c r="AZ834" s="196">
        <f t="shared" ref="AZ834:AZ897" si="406">$Q834*AH834</f>
        <v>0</v>
      </c>
      <c r="BA834" s="219">
        <f t="shared" ref="BA834:BA897" si="407">$S834*AH834</f>
        <v>0</v>
      </c>
      <c r="BB834" s="31">
        <f t="shared" ref="BB834:BB897" si="408">$Q834*AI834</f>
        <v>0</v>
      </c>
      <c r="BC834" s="219">
        <f t="shared" ref="BC834:BC897" si="409">$S834*AI834</f>
        <v>0</v>
      </c>
      <c r="BD834" s="31">
        <f t="shared" ref="BD834:BD897" si="410">$Q834*AJ834</f>
        <v>0.5</v>
      </c>
      <c r="BE834" s="219">
        <f t="shared" ref="BE834:BE897" si="411">$S834*AJ834</f>
        <v>0.42499999999999999</v>
      </c>
      <c r="BF834" s="31">
        <f t="shared" ref="BF834:BF897" si="412">$Q834*AK834</f>
        <v>0</v>
      </c>
      <c r="BG834" s="219">
        <f t="shared" ref="BG834:BG897" si="413">$S834*AK834</f>
        <v>0</v>
      </c>
      <c r="BH834" s="31">
        <f t="shared" ref="BH834:BH897" si="414">$Q834*AL834</f>
        <v>0</v>
      </c>
      <c r="BI834" s="219">
        <f t="shared" ref="BI834:BI897" si="415">$S834*AL834</f>
        <v>0</v>
      </c>
      <c r="BJ834" s="31">
        <f t="shared" ref="BJ834:BJ897" si="416">$Q834*AM834</f>
        <v>0</v>
      </c>
      <c r="BK834" s="219">
        <f t="shared" ref="BK834:BK897" si="417">$S834*AM834</f>
        <v>0</v>
      </c>
      <c r="BL834" s="31">
        <f t="shared" ref="BL834:BL897" si="418">$Q834*AN834</f>
        <v>0</v>
      </c>
      <c r="BM834" s="219">
        <f t="shared" ref="BM834:BM897" si="419">$S834*AN834</f>
        <v>0</v>
      </c>
      <c r="BN834" s="31">
        <f t="shared" ref="BN834:BN897" si="420">$Q834*AO834</f>
        <v>0</v>
      </c>
      <c r="BO834" s="219">
        <f t="shared" ref="BO834:BO897" si="421">$S834*AO834</f>
        <v>0</v>
      </c>
    </row>
    <row r="835" spans="1:67" x14ac:dyDescent="0.25">
      <c r="A835" s="31" t="s">
        <v>512</v>
      </c>
      <c r="B835" s="176" t="str">
        <f>VLOOKUP(A835,kurspris!$A$1:$B$992,2,FALSE)</f>
        <v>Samhällskunskap 2</v>
      </c>
      <c r="D835" s="60" t="s">
        <v>482</v>
      </c>
      <c r="E835" s="576" t="s">
        <v>2225</v>
      </c>
      <c r="F835" s="31" t="s">
        <v>2273</v>
      </c>
      <c r="G835" t="s">
        <v>2458</v>
      </c>
      <c r="H835" t="s">
        <v>2335</v>
      </c>
      <c r="J835" s="31" t="s">
        <v>2231</v>
      </c>
      <c r="L835" s="38">
        <v>1</v>
      </c>
      <c r="M835">
        <v>30</v>
      </c>
      <c r="P835" s="31">
        <v>1</v>
      </c>
      <c r="Q835" s="196">
        <f t="shared" si="393"/>
        <v>0.5</v>
      </c>
      <c r="R835" s="38">
        <v>0.85</v>
      </c>
      <c r="S835" s="280">
        <f t="shared" si="394"/>
        <v>0.42499999999999999</v>
      </c>
      <c r="T835" s="31">
        <f>VLOOKUP(A835,'Ansvar kurs'!$A$1:$C$1123,2,FALSE)</f>
        <v>2340</v>
      </c>
      <c r="U835" s="31" t="str">
        <f>VLOOKUP(T835,Orgenheter!$A$1:$C$166,2,FALSE)</f>
        <v xml:space="preserve">Statsvetenskap                </v>
      </c>
      <c r="V835" s="31" t="str">
        <f>VLOOKUP(T835,Orgenheter!$A$1:$C$166,3,FALSE)</f>
        <v>Sam</v>
      </c>
      <c r="W835" s="35" t="str">
        <f>VLOOKUP(D835,Program!$A$1:$B$36,2,FALSE)</f>
        <v>Ämneslärarprogrammet - Gy</v>
      </c>
      <c r="X835" s="40">
        <f>VLOOKUP(A835,kurspris!$A$1:$Q$913,15,FALSE)</f>
        <v>20766</v>
      </c>
      <c r="Y835" s="40">
        <f>VLOOKUP(A835,kurspris!$A$1:$Q$913,16,FALSE)</f>
        <v>17442</v>
      </c>
      <c r="Z835" s="40">
        <f t="shared" si="395"/>
        <v>17795.849999999999</v>
      </c>
      <c r="AA835" s="40">
        <f>VLOOKUP(A835,kurspris!$A$1:$Q$913,17,FALSE)</f>
        <v>6000</v>
      </c>
      <c r="AB835" s="40">
        <f t="shared" si="396"/>
        <v>3000</v>
      </c>
      <c r="AC835" s="40">
        <f t="shared" si="397"/>
        <v>20795.849999999999</v>
      </c>
      <c r="AD835" s="31">
        <f>VLOOKUP($A835,kurspris!$A$1:$Q$950,3,FALSE)</f>
        <v>0</v>
      </c>
      <c r="AE835" s="31">
        <f>VLOOKUP($A835,kurspris!$A$1:$Q$950,4,FALSE)</f>
        <v>0</v>
      </c>
      <c r="AF835" s="31">
        <f>VLOOKUP($A835,kurspris!$A$1:$Q$950,5,FALSE)</f>
        <v>0</v>
      </c>
      <c r="AG835" s="31">
        <f>VLOOKUP($A835,kurspris!$A$1:$Q$950,6,FALSE)</f>
        <v>0</v>
      </c>
      <c r="AH835" s="31">
        <f>VLOOKUP($A835,kurspris!$A$1:$Q$950,7,FALSE)</f>
        <v>0</v>
      </c>
      <c r="AI835" s="31">
        <f>VLOOKUP($A835,kurspris!$A$1:$Q$950,8,FALSE)</f>
        <v>0</v>
      </c>
      <c r="AJ835" s="31">
        <f>VLOOKUP($A835,kurspris!$A$1:$Q$950,9,FALSE)</f>
        <v>1</v>
      </c>
      <c r="AK835" s="31">
        <f>VLOOKUP($A835,kurspris!$A$1:$Q$950,10,FALSE)</f>
        <v>0</v>
      </c>
      <c r="AL835" s="31">
        <f>VLOOKUP($A835,kurspris!$A$1:$Q$950,11,FALSE)</f>
        <v>0</v>
      </c>
      <c r="AM835" s="31">
        <f>VLOOKUP($A835,kurspris!$A$1:$Q$950,12,FALSE)</f>
        <v>0</v>
      </c>
      <c r="AN835" s="31">
        <f>VLOOKUP($A835,kurspris!$A$1:$Q$950,13,FALSE)</f>
        <v>0</v>
      </c>
      <c r="AO835" s="31">
        <f>VLOOKUP($A835,kurspris!$A$1:$Q$950,14,FALSE)</f>
        <v>0</v>
      </c>
      <c r="AP835" s="57" t="s">
        <v>2506</v>
      </c>
      <c r="AQ835"/>
      <c r="AR835" s="31">
        <f t="shared" si="398"/>
        <v>0</v>
      </c>
      <c r="AS835" s="219">
        <f t="shared" si="399"/>
        <v>0</v>
      </c>
      <c r="AT835" s="31">
        <f t="shared" si="400"/>
        <v>0</v>
      </c>
      <c r="AU835" s="219">
        <f t="shared" si="401"/>
        <v>0</v>
      </c>
      <c r="AV835" s="31">
        <f t="shared" si="402"/>
        <v>0</v>
      </c>
      <c r="AW835" s="31">
        <f t="shared" si="403"/>
        <v>0</v>
      </c>
      <c r="AX835" s="31">
        <f t="shared" si="404"/>
        <v>0</v>
      </c>
      <c r="AY835" s="219">
        <f t="shared" si="405"/>
        <v>0</v>
      </c>
      <c r="AZ835" s="196">
        <f t="shared" si="406"/>
        <v>0</v>
      </c>
      <c r="BA835" s="219">
        <f t="shared" si="407"/>
        <v>0</v>
      </c>
      <c r="BB835" s="31">
        <f t="shared" si="408"/>
        <v>0</v>
      </c>
      <c r="BC835" s="219">
        <f t="shared" si="409"/>
        <v>0</v>
      </c>
      <c r="BD835" s="31">
        <f t="shared" si="410"/>
        <v>0.5</v>
      </c>
      <c r="BE835" s="219">
        <f t="shared" si="411"/>
        <v>0.42499999999999999</v>
      </c>
      <c r="BF835" s="31">
        <f t="shared" si="412"/>
        <v>0</v>
      </c>
      <c r="BG835" s="219">
        <f t="shared" si="413"/>
        <v>0</v>
      </c>
      <c r="BH835" s="31">
        <f t="shared" si="414"/>
        <v>0</v>
      </c>
      <c r="BI835" s="219">
        <f t="shared" si="415"/>
        <v>0</v>
      </c>
      <c r="BJ835" s="31">
        <f t="shared" si="416"/>
        <v>0</v>
      </c>
      <c r="BK835" s="219">
        <f t="shared" si="417"/>
        <v>0</v>
      </c>
      <c r="BL835" s="31">
        <f t="shared" si="418"/>
        <v>0</v>
      </c>
      <c r="BM835" s="219">
        <f t="shared" si="419"/>
        <v>0</v>
      </c>
      <c r="BN835" s="31">
        <f t="shared" si="420"/>
        <v>0</v>
      </c>
      <c r="BO835" s="219">
        <f t="shared" si="421"/>
        <v>0</v>
      </c>
    </row>
    <row r="836" spans="1:67" x14ac:dyDescent="0.25">
      <c r="A836" s="31" t="s">
        <v>512</v>
      </c>
      <c r="B836" s="176" t="str">
        <f>VLOOKUP(A836,kurspris!$A$1:$B$992,2,FALSE)</f>
        <v>Samhällskunskap 2</v>
      </c>
      <c r="D836" s="60" t="s">
        <v>482</v>
      </c>
      <c r="E836" s="576" t="s">
        <v>2225</v>
      </c>
      <c r="F836" s="31" t="s">
        <v>2273</v>
      </c>
      <c r="G836" t="s">
        <v>2458</v>
      </c>
      <c r="H836" t="s">
        <v>2335</v>
      </c>
      <c r="J836" s="31" t="s">
        <v>2241</v>
      </c>
      <c r="L836" s="38">
        <v>1</v>
      </c>
      <c r="M836">
        <v>30</v>
      </c>
      <c r="P836" s="31">
        <v>2</v>
      </c>
      <c r="Q836" s="196">
        <f t="shared" si="393"/>
        <v>1</v>
      </c>
      <c r="R836" s="38">
        <v>0.85</v>
      </c>
      <c r="S836" s="280">
        <f t="shared" si="394"/>
        <v>0.85</v>
      </c>
      <c r="T836" s="31">
        <f>VLOOKUP(A836,'Ansvar kurs'!$A$1:$C$1123,2,FALSE)</f>
        <v>2340</v>
      </c>
      <c r="U836" s="31" t="str">
        <f>VLOOKUP(T836,Orgenheter!$A$1:$C$166,2,FALSE)</f>
        <v xml:space="preserve">Statsvetenskap                </v>
      </c>
      <c r="V836" s="31" t="str">
        <f>VLOOKUP(T836,Orgenheter!$A$1:$C$166,3,FALSE)</f>
        <v>Sam</v>
      </c>
      <c r="W836" s="35" t="str">
        <f>VLOOKUP(D836,Program!$A$1:$B$36,2,FALSE)</f>
        <v>Ämneslärarprogrammet - Gy</v>
      </c>
      <c r="X836" s="40">
        <f>VLOOKUP(A836,kurspris!$A$1:$Q$913,15,FALSE)</f>
        <v>20766</v>
      </c>
      <c r="Y836" s="40">
        <f>VLOOKUP(A836,kurspris!$A$1:$Q$913,16,FALSE)</f>
        <v>17442</v>
      </c>
      <c r="Z836" s="40">
        <f t="shared" si="395"/>
        <v>35591.699999999997</v>
      </c>
      <c r="AA836" s="40">
        <f>VLOOKUP(A836,kurspris!$A$1:$Q$913,17,FALSE)</f>
        <v>6000</v>
      </c>
      <c r="AB836" s="40">
        <f t="shared" si="396"/>
        <v>6000</v>
      </c>
      <c r="AC836" s="40">
        <f t="shared" si="397"/>
        <v>41591.699999999997</v>
      </c>
      <c r="AD836" s="31">
        <f>VLOOKUP($A836,kurspris!$A$1:$Q$950,3,FALSE)</f>
        <v>0</v>
      </c>
      <c r="AE836" s="31">
        <f>VLOOKUP($A836,kurspris!$A$1:$Q$950,4,FALSE)</f>
        <v>0</v>
      </c>
      <c r="AF836" s="31">
        <f>VLOOKUP($A836,kurspris!$A$1:$Q$950,5,FALSE)</f>
        <v>0</v>
      </c>
      <c r="AG836" s="31">
        <f>VLOOKUP($A836,kurspris!$A$1:$Q$950,6,FALSE)</f>
        <v>0</v>
      </c>
      <c r="AH836" s="31">
        <f>VLOOKUP($A836,kurspris!$A$1:$Q$950,7,FALSE)</f>
        <v>0</v>
      </c>
      <c r="AI836" s="31">
        <f>VLOOKUP($A836,kurspris!$A$1:$Q$950,8,FALSE)</f>
        <v>0</v>
      </c>
      <c r="AJ836" s="31">
        <f>VLOOKUP($A836,kurspris!$A$1:$Q$950,9,FALSE)</f>
        <v>1</v>
      </c>
      <c r="AK836" s="31">
        <f>VLOOKUP($A836,kurspris!$A$1:$Q$950,10,FALSE)</f>
        <v>0</v>
      </c>
      <c r="AL836" s="31">
        <f>VLOOKUP($A836,kurspris!$A$1:$Q$950,11,FALSE)</f>
        <v>0</v>
      </c>
      <c r="AM836" s="31">
        <f>VLOOKUP($A836,kurspris!$A$1:$Q$950,12,FALSE)</f>
        <v>0</v>
      </c>
      <c r="AN836" s="31">
        <f>VLOOKUP($A836,kurspris!$A$1:$Q$950,13,FALSE)</f>
        <v>0</v>
      </c>
      <c r="AO836" s="31">
        <f>VLOOKUP($A836,kurspris!$A$1:$Q$950,14,FALSE)</f>
        <v>0</v>
      </c>
      <c r="AP836" s="57" t="s">
        <v>2506</v>
      </c>
      <c r="AQ836"/>
      <c r="AR836" s="31">
        <f t="shared" si="398"/>
        <v>0</v>
      </c>
      <c r="AS836" s="219">
        <f t="shared" si="399"/>
        <v>0</v>
      </c>
      <c r="AT836" s="31">
        <f t="shared" si="400"/>
        <v>0</v>
      </c>
      <c r="AU836" s="219">
        <f t="shared" si="401"/>
        <v>0</v>
      </c>
      <c r="AV836" s="31">
        <f t="shared" si="402"/>
        <v>0</v>
      </c>
      <c r="AW836" s="31">
        <f t="shared" si="403"/>
        <v>0</v>
      </c>
      <c r="AX836" s="31">
        <f t="shared" si="404"/>
        <v>0</v>
      </c>
      <c r="AY836" s="219">
        <f t="shared" si="405"/>
        <v>0</v>
      </c>
      <c r="AZ836" s="196">
        <f t="shared" si="406"/>
        <v>0</v>
      </c>
      <c r="BA836" s="219">
        <f t="shared" si="407"/>
        <v>0</v>
      </c>
      <c r="BB836" s="31">
        <f t="shared" si="408"/>
        <v>0</v>
      </c>
      <c r="BC836" s="219">
        <f t="shared" si="409"/>
        <v>0</v>
      </c>
      <c r="BD836" s="31">
        <f t="shared" si="410"/>
        <v>1</v>
      </c>
      <c r="BE836" s="219">
        <f t="shared" si="411"/>
        <v>0.85</v>
      </c>
      <c r="BF836" s="31">
        <f t="shared" si="412"/>
        <v>0</v>
      </c>
      <c r="BG836" s="219">
        <f t="shared" si="413"/>
        <v>0</v>
      </c>
      <c r="BH836" s="31">
        <f t="shared" si="414"/>
        <v>0</v>
      </c>
      <c r="BI836" s="219">
        <f t="shared" si="415"/>
        <v>0</v>
      </c>
      <c r="BJ836" s="31">
        <f t="shared" si="416"/>
        <v>0</v>
      </c>
      <c r="BK836" s="219">
        <f t="shared" si="417"/>
        <v>0</v>
      </c>
      <c r="BL836" s="31">
        <f t="shared" si="418"/>
        <v>0</v>
      </c>
      <c r="BM836" s="219">
        <f t="shared" si="419"/>
        <v>0</v>
      </c>
      <c r="BN836" s="31">
        <f t="shared" si="420"/>
        <v>0</v>
      </c>
      <c r="BO836" s="219">
        <f t="shared" si="421"/>
        <v>0</v>
      </c>
    </row>
    <row r="837" spans="1:67" x14ac:dyDescent="0.25">
      <c r="A837" s="31" t="s">
        <v>512</v>
      </c>
      <c r="B837" s="176" t="str">
        <f>VLOOKUP(A837,kurspris!$A$1:$B$992,2,FALSE)</f>
        <v>Samhällskunskap 2</v>
      </c>
      <c r="D837" s="60" t="s">
        <v>482</v>
      </c>
      <c r="E837" s="576" t="s">
        <v>2225</v>
      </c>
      <c r="F837" s="31" t="s">
        <v>2273</v>
      </c>
      <c r="G837" t="s">
        <v>2458</v>
      </c>
      <c r="H837" t="s">
        <v>2335</v>
      </c>
      <c r="J837" s="31" t="s">
        <v>2239</v>
      </c>
      <c r="L837" s="38">
        <v>1</v>
      </c>
      <c r="M837">
        <v>30</v>
      </c>
      <c r="P837" s="31">
        <v>1</v>
      </c>
      <c r="Q837" s="196">
        <f t="shared" si="393"/>
        <v>0.5</v>
      </c>
      <c r="R837" s="38">
        <v>0.85</v>
      </c>
      <c r="S837" s="280">
        <f t="shared" si="394"/>
        <v>0.42499999999999999</v>
      </c>
      <c r="T837" s="31">
        <f>VLOOKUP(A837,'Ansvar kurs'!$A$1:$C$1123,2,FALSE)</f>
        <v>2340</v>
      </c>
      <c r="U837" s="31" t="str">
        <f>VLOOKUP(T837,Orgenheter!$A$1:$C$166,2,FALSE)</f>
        <v xml:space="preserve">Statsvetenskap                </v>
      </c>
      <c r="V837" s="31" t="str">
        <f>VLOOKUP(T837,Orgenheter!$A$1:$C$166,3,FALSE)</f>
        <v>Sam</v>
      </c>
      <c r="W837" s="35" t="str">
        <f>VLOOKUP(D837,Program!$A$1:$B$36,2,FALSE)</f>
        <v>Ämneslärarprogrammet - Gy</v>
      </c>
      <c r="X837" s="40">
        <f>VLOOKUP(A837,kurspris!$A$1:$Q$913,15,FALSE)</f>
        <v>20766</v>
      </c>
      <c r="Y837" s="40">
        <f>VLOOKUP(A837,kurspris!$A$1:$Q$913,16,FALSE)</f>
        <v>17442</v>
      </c>
      <c r="Z837" s="40">
        <f t="shared" si="395"/>
        <v>17795.849999999999</v>
      </c>
      <c r="AA837" s="40">
        <f>VLOOKUP(A837,kurspris!$A$1:$Q$913,17,FALSE)</f>
        <v>6000</v>
      </c>
      <c r="AB837" s="40">
        <f t="shared" si="396"/>
        <v>3000</v>
      </c>
      <c r="AC837" s="40">
        <f t="shared" si="397"/>
        <v>20795.849999999999</v>
      </c>
      <c r="AD837" s="31">
        <f>VLOOKUP($A837,kurspris!$A$1:$Q$950,3,FALSE)</f>
        <v>0</v>
      </c>
      <c r="AE837" s="31">
        <f>VLOOKUP($A837,kurspris!$A$1:$Q$950,4,FALSE)</f>
        <v>0</v>
      </c>
      <c r="AF837" s="31">
        <f>VLOOKUP($A837,kurspris!$A$1:$Q$950,5,FALSE)</f>
        <v>0</v>
      </c>
      <c r="AG837" s="31">
        <f>VLOOKUP($A837,kurspris!$A$1:$Q$950,6,FALSE)</f>
        <v>0</v>
      </c>
      <c r="AH837" s="31">
        <f>VLOOKUP($A837,kurspris!$A$1:$Q$950,7,FALSE)</f>
        <v>0</v>
      </c>
      <c r="AI837" s="31">
        <f>VLOOKUP($A837,kurspris!$A$1:$Q$950,8,FALSE)</f>
        <v>0</v>
      </c>
      <c r="AJ837" s="31">
        <f>VLOOKUP($A837,kurspris!$A$1:$Q$950,9,FALSE)</f>
        <v>1</v>
      </c>
      <c r="AK837" s="31">
        <f>VLOOKUP($A837,kurspris!$A$1:$Q$950,10,FALSE)</f>
        <v>0</v>
      </c>
      <c r="AL837" s="31">
        <f>VLOOKUP($A837,kurspris!$A$1:$Q$950,11,FALSE)</f>
        <v>0</v>
      </c>
      <c r="AM837" s="31">
        <f>VLOOKUP($A837,kurspris!$A$1:$Q$950,12,FALSE)</f>
        <v>0</v>
      </c>
      <c r="AN837" s="31">
        <f>VLOOKUP($A837,kurspris!$A$1:$Q$950,13,FALSE)</f>
        <v>0</v>
      </c>
      <c r="AO837" s="31">
        <f>VLOOKUP($A837,kurspris!$A$1:$Q$950,14,FALSE)</f>
        <v>0</v>
      </c>
      <c r="AP837" s="57" t="s">
        <v>2506</v>
      </c>
      <c r="AQ837"/>
      <c r="AR837" s="31">
        <f t="shared" si="398"/>
        <v>0</v>
      </c>
      <c r="AS837" s="219">
        <f t="shared" si="399"/>
        <v>0</v>
      </c>
      <c r="AT837" s="31">
        <f t="shared" si="400"/>
        <v>0</v>
      </c>
      <c r="AU837" s="219">
        <f t="shared" si="401"/>
        <v>0</v>
      </c>
      <c r="AV837" s="31">
        <f t="shared" si="402"/>
        <v>0</v>
      </c>
      <c r="AW837" s="31">
        <f t="shared" si="403"/>
        <v>0</v>
      </c>
      <c r="AX837" s="31">
        <f t="shared" si="404"/>
        <v>0</v>
      </c>
      <c r="AY837" s="219">
        <f t="shared" si="405"/>
        <v>0</v>
      </c>
      <c r="AZ837" s="196">
        <f t="shared" si="406"/>
        <v>0</v>
      </c>
      <c r="BA837" s="219">
        <f t="shared" si="407"/>
        <v>0</v>
      </c>
      <c r="BB837" s="31">
        <f t="shared" si="408"/>
        <v>0</v>
      </c>
      <c r="BC837" s="219">
        <f t="shared" si="409"/>
        <v>0</v>
      </c>
      <c r="BD837" s="31">
        <f t="shared" si="410"/>
        <v>0.5</v>
      </c>
      <c r="BE837" s="219">
        <f t="shared" si="411"/>
        <v>0.42499999999999999</v>
      </c>
      <c r="BF837" s="31">
        <f t="shared" si="412"/>
        <v>0</v>
      </c>
      <c r="BG837" s="219">
        <f t="shared" si="413"/>
        <v>0</v>
      </c>
      <c r="BH837" s="31">
        <f t="shared" si="414"/>
        <v>0</v>
      </c>
      <c r="BI837" s="219">
        <f t="shared" si="415"/>
        <v>0</v>
      </c>
      <c r="BJ837" s="31">
        <f t="shared" si="416"/>
        <v>0</v>
      </c>
      <c r="BK837" s="219">
        <f t="shared" si="417"/>
        <v>0</v>
      </c>
      <c r="BL837" s="31">
        <f t="shared" si="418"/>
        <v>0</v>
      </c>
      <c r="BM837" s="219">
        <f t="shared" si="419"/>
        <v>0</v>
      </c>
      <c r="BN837" s="31">
        <f t="shared" si="420"/>
        <v>0</v>
      </c>
      <c r="BO837" s="219">
        <f t="shared" si="421"/>
        <v>0</v>
      </c>
    </row>
    <row r="838" spans="1:67" x14ac:dyDescent="0.25">
      <c r="A838" s="31" t="s">
        <v>512</v>
      </c>
      <c r="B838" s="176" t="str">
        <f>VLOOKUP(A838,kurspris!$A$1:$B$992,2,FALSE)</f>
        <v>Samhällskunskap 2</v>
      </c>
      <c r="D838" s="60" t="s">
        <v>482</v>
      </c>
      <c r="E838" s="576" t="s">
        <v>2225</v>
      </c>
      <c r="F838" s="31" t="s">
        <v>2273</v>
      </c>
      <c r="G838" t="s">
        <v>2458</v>
      </c>
      <c r="H838" t="s">
        <v>2335</v>
      </c>
      <c r="J838" s="31" t="s">
        <v>2240</v>
      </c>
      <c r="L838" s="38">
        <v>1</v>
      </c>
      <c r="M838">
        <v>30</v>
      </c>
      <c r="P838" s="31">
        <v>2</v>
      </c>
      <c r="Q838" s="196">
        <f t="shared" si="393"/>
        <v>1</v>
      </c>
      <c r="R838" s="38">
        <v>0.85</v>
      </c>
      <c r="S838" s="280">
        <f t="shared" si="394"/>
        <v>0.85</v>
      </c>
      <c r="T838" s="31">
        <f>VLOOKUP(A838,'Ansvar kurs'!$A$1:$C$1123,2,FALSE)</f>
        <v>2340</v>
      </c>
      <c r="U838" s="31" t="str">
        <f>VLOOKUP(T838,Orgenheter!$A$1:$C$166,2,FALSE)</f>
        <v xml:space="preserve">Statsvetenskap                </v>
      </c>
      <c r="V838" s="31" t="str">
        <f>VLOOKUP(T838,Orgenheter!$A$1:$C$166,3,FALSE)</f>
        <v>Sam</v>
      </c>
      <c r="W838" s="35" t="str">
        <f>VLOOKUP(D838,Program!$A$1:$B$36,2,FALSE)</f>
        <v>Ämneslärarprogrammet - Gy</v>
      </c>
      <c r="X838" s="40">
        <f>VLOOKUP(A838,kurspris!$A$1:$Q$913,15,FALSE)</f>
        <v>20766</v>
      </c>
      <c r="Y838" s="40">
        <f>VLOOKUP(A838,kurspris!$A$1:$Q$913,16,FALSE)</f>
        <v>17442</v>
      </c>
      <c r="Z838" s="40">
        <f t="shared" si="395"/>
        <v>35591.699999999997</v>
      </c>
      <c r="AA838" s="40">
        <f>VLOOKUP(A838,kurspris!$A$1:$Q$913,17,FALSE)</f>
        <v>6000</v>
      </c>
      <c r="AB838" s="40">
        <f t="shared" si="396"/>
        <v>6000</v>
      </c>
      <c r="AC838" s="40">
        <f t="shared" si="397"/>
        <v>41591.699999999997</v>
      </c>
      <c r="AD838" s="31">
        <f>VLOOKUP($A838,kurspris!$A$1:$Q$950,3,FALSE)</f>
        <v>0</v>
      </c>
      <c r="AE838" s="31">
        <f>VLOOKUP($A838,kurspris!$A$1:$Q$950,4,FALSE)</f>
        <v>0</v>
      </c>
      <c r="AF838" s="31">
        <f>VLOOKUP($A838,kurspris!$A$1:$Q$950,5,FALSE)</f>
        <v>0</v>
      </c>
      <c r="AG838" s="31">
        <f>VLOOKUP($A838,kurspris!$A$1:$Q$950,6,FALSE)</f>
        <v>0</v>
      </c>
      <c r="AH838" s="31">
        <f>VLOOKUP($A838,kurspris!$A$1:$Q$950,7,FALSE)</f>
        <v>0</v>
      </c>
      <c r="AI838" s="31">
        <f>VLOOKUP($A838,kurspris!$A$1:$Q$950,8,FALSE)</f>
        <v>0</v>
      </c>
      <c r="AJ838" s="31">
        <f>VLOOKUP($A838,kurspris!$A$1:$Q$950,9,FALSE)</f>
        <v>1</v>
      </c>
      <c r="AK838" s="31">
        <f>VLOOKUP($A838,kurspris!$A$1:$Q$950,10,FALSE)</f>
        <v>0</v>
      </c>
      <c r="AL838" s="31">
        <f>VLOOKUP($A838,kurspris!$A$1:$Q$950,11,FALSE)</f>
        <v>0</v>
      </c>
      <c r="AM838" s="31">
        <f>VLOOKUP($A838,kurspris!$A$1:$Q$950,12,FALSE)</f>
        <v>0</v>
      </c>
      <c r="AN838" s="31">
        <f>VLOOKUP($A838,kurspris!$A$1:$Q$950,13,FALSE)</f>
        <v>0</v>
      </c>
      <c r="AO838" s="31">
        <f>VLOOKUP($A838,kurspris!$A$1:$Q$950,14,FALSE)</f>
        <v>0</v>
      </c>
      <c r="AP838" s="57" t="s">
        <v>2506</v>
      </c>
      <c r="AQ838"/>
      <c r="AR838" s="31">
        <f t="shared" si="398"/>
        <v>0</v>
      </c>
      <c r="AS838" s="219">
        <f t="shared" si="399"/>
        <v>0</v>
      </c>
      <c r="AT838" s="31">
        <f t="shared" si="400"/>
        <v>0</v>
      </c>
      <c r="AU838" s="219">
        <f t="shared" si="401"/>
        <v>0</v>
      </c>
      <c r="AV838" s="31">
        <f t="shared" si="402"/>
        <v>0</v>
      </c>
      <c r="AW838" s="31">
        <f t="shared" si="403"/>
        <v>0</v>
      </c>
      <c r="AX838" s="31">
        <f t="shared" si="404"/>
        <v>0</v>
      </c>
      <c r="AY838" s="219">
        <f t="shared" si="405"/>
        <v>0</v>
      </c>
      <c r="AZ838" s="196">
        <f t="shared" si="406"/>
        <v>0</v>
      </c>
      <c r="BA838" s="219">
        <f t="shared" si="407"/>
        <v>0</v>
      </c>
      <c r="BB838" s="31">
        <f t="shared" si="408"/>
        <v>0</v>
      </c>
      <c r="BC838" s="219">
        <f t="shared" si="409"/>
        <v>0</v>
      </c>
      <c r="BD838" s="31">
        <f t="shared" si="410"/>
        <v>1</v>
      </c>
      <c r="BE838" s="219">
        <f t="shared" si="411"/>
        <v>0.85</v>
      </c>
      <c r="BF838" s="31">
        <f t="shared" si="412"/>
        <v>0</v>
      </c>
      <c r="BG838" s="219">
        <f t="shared" si="413"/>
        <v>0</v>
      </c>
      <c r="BH838" s="31">
        <f t="shared" si="414"/>
        <v>0</v>
      </c>
      <c r="BI838" s="219">
        <f t="shared" si="415"/>
        <v>0</v>
      </c>
      <c r="BJ838" s="31">
        <f t="shared" si="416"/>
        <v>0</v>
      </c>
      <c r="BK838" s="219">
        <f t="shared" si="417"/>
        <v>0</v>
      </c>
      <c r="BL838" s="31">
        <f t="shared" si="418"/>
        <v>0</v>
      </c>
      <c r="BM838" s="219">
        <f t="shared" si="419"/>
        <v>0</v>
      </c>
      <c r="BN838" s="31">
        <f t="shared" si="420"/>
        <v>0</v>
      </c>
      <c r="BO838" s="219">
        <f t="shared" si="421"/>
        <v>0</v>
      </c>
    </row>
    <row r="839" spans="1:67" x14ac:dyDescent="0.25">
      <c r="A839" s="31" t="s">
        <v>512</v>
      </c>
      <c r="B839" s="176" t="str">
        <f>VLOOKUP(A839,kurspris!$A$1:$B$992,2,FALSE)</f>
        <v>Samhällskunskap 2</v>
      </c>
      <c r="D839" s="60" t="s">
        <v>482</v>
      </c>
      <c r="E839" s="576" t="s">
        <v>2434</v>
      </c>
      <c r="F839" s="31" t="s">
        <v>2273</v>
      </c>
      <c r="G839" t="s">
        <v>2458</v>
      </c>
      <c r="H839" t="s">
        <v>2335</v>
      </c>
      <c r="J839" s="31" t="s">
        <v>2242</v>
      </c>
      <c r="L839" s="38">
        <v>1</v>
      </c>
      <c r="M839">
        <v>30</v>
      </c>
      <c r="P839" s="31">
        <v>1</v>
      </c>
      <c r="Q839" s="196">
        <f t="shared" si="393"/>
        <v>0.5</v>
      </c>
      <c r="R839" s="38">
        <v>0.85</v>
      </c>
      <c r="S839" s="280">
        <f t="shared" si="394"/>
        <v>0.42499999999999999</v>
      </c>
      <c r="T839" s="31">
        <f>VLOOKUP(A839,'Ansvar kurs'!$A$1:$C$1123,2,FALSE)</f>
        <v>2340</v>
      </c>
      <c r="U839" s="31" t="str">
        <f>VLOOKUP(T839,Orgenheter!$A$1:$C$166,2,FALSE)</f>
        <v xml:space="preserve">Statsvetenskap                </v>
      </c>
      <c r="V839" s="31" t="str">
        <f>VLOOKUP(T839,Orgenheter!$A$1:$C$166,3,FALSE)</f>
        <v>Sam</v>
      </c>
      <c r="W839" s="35" t="str">
        <f>VLOOKUP(D839,Program!$A$1:$B$36,2,FALSE)</f>
        <v>Ämneslärarprogrammet - Gy</v>
      </c>
      <c r="X839" s="40">
        <f>VLOOKUP(A839,kurspris!$A$1:$Q$913,15,FALSE)</f>
        <v>20766</v>
      </c>
      <c r="Y839" s="40">
        <f>VLOOKUP(A839,kurspris!$A$1:$Q$913,16,FALSE)</f>
        <v>17442</v>
      </c>
      <c r="Z839" s="40">
        <f t="shared" si="395"/>
        <v>17795.849999999999</v>
      </c>
      <c r="AA839" s="40">
        <f>VLOOKUP(A839,kurspris!$A$1:$Q$913,17,FALSE)</f>
        <v>6000</v>
      </c>
      <c r="AB839" s="40">
        <f t="shared" si="396"/>
        <v>3000</v>
      </c>
      <c r="AC839" s="40">
        <f t="shared" si="397"/>
        <v>20795.849999999999</v>
      </c>
      <c r="AD839" s="31">
        <f>VLOOKUP($A839,kurspris!$A$1:$Q$950,3,FALSE)</f>
        <v>0</v>
      </c>
      <c r="AE839" s="31">
        <f>VLOOKUP($A839,kurspris!$A$1:$Q$950,4,FALSE)</f>
        <v>0</v>
      </c>
      <c r="AF839" s="31">
        <f>VLOOKUP($A839,kurspris!$A$1:$Q$950,5,FALSE)</f>
        <v>0</v>
      </c>
      <c r="AG839" s="31">
        <f>VLOOKUP($A839,kurspris!$A$1:$Q$950,6,FALSE)</f>
        <v>0</v>
      </c>
      <c r="AH839" s="31">
        <f>VLOOKUP($A839,kurspris!$A$1:$Q$950,7,FALSE)</f>
        <v>0</v>
      </c>
      <c r="AI839" s="31">
        <f>VLOOKUP($A839,kurspris!$A$1:$Q$950,8,FALSE)</f>
        <v>0</v>
      </c>
      <c r="AJ839" s="31">
        <f>VLOOKUP($A839,kurspris!$A$1:$Q$950,9,FALSE)</f>
        <v>1</v>
      </c>
      <c r="AK839" s="31">
        <f>VLOOKUP($A839,kurspris!$A$1:$Q$950,10,FALSE)</f>
        <v>0</v>
      </c>
      <c r="AL839" s="31">
        <f>VLOOKUP($A839,kurspris!$A$1:$Q$950,11,FALSE)</f>
        <v>0</v>
      </c>
      <c r="AM839" s="31">
        <f>VLOOKUP($A839,kurspris!$A$1:$Q$950,12,FALSE)</f>
        <v>0</v>
      </c>
      <c r="AN839" s="31">
        <f>VLOOKUP($A839,kurspris!$A$1:$Q$950,13,FALSE)</f>
        <v>0</v>
      </c>
      <c r="AO839" s="31">
        <f>VLOOKUP($A839,kurspris!$A$1:$Q$950,14,FALSE)</f>
        <v>0</v>
      </c>
      <c r="AP839" s="57" t="s">
        <v>2506</v>
      </c>
      <c r="AQ839"/>
      <c r="AR839" s="31">
        <f t="shared" si="398"/>
        <v>0</v>
      </c>
      <c r="AS839" s="219">
        <f t="shared" si="399"/>
        <v>0</v>
      </c>
      <c r="AT839" s="31">
        <f t="shared" si="400"/>
        <v>0</v>
      </c>
      <c r="AU839" s="219">
        <f t="shared" si="401"/>
        <v>0</v>
      </c>
      <c r="AV839" s="31">
        <f t="shared" si="402"/>
        <v>0</v>
      </c>
      <c r="AW839" s="31">
        <f t="shared" si="403"/>
        <v>0</v>
      </c>
      <c r="AX839" s="31">
        <f t="shared" si="404"/>
        <v>0</v>
      </c>
      <c r="AY839" s="219">
        <f t="shared" si="405"/>
        <v>0</v>
      </c>
      <c r="AZ839" s="196">
        <f t="shared" si="406"/>
        <v>0</v>
      </c>
      <c r="BA839" s="219">
        <f t="shared" si="407"/>
        <v>0</v>
      </c>
      <c r="BB839" s="31">
        <f t="shared" si="408"/>
        <v>0</v>
      </c>
      <c r="BC839" s="219">
        <f t="shared" si="409"/>
        <v>0</v>
      </c>
      <c r="BD839" s="31">
        <f t="shared" si="410"/>
        <v>0.5</v>
      </c>
      <c r="BE839" s="219">
        <f t="shared" si="411"/>
        <v>0.42499999999999999</v>
      </c>
      <c r="BF839" s="31">
        <f t="shared" si="412"/>
        <v>0</v>
      </c>
      <c r="BG839" s="219">
        <f t="shared" si="413"/>
        <v>0</v>
      </c>
      <c r="BH839" s="31">
        <f t="shared" si="414"/>
        <v>0</v>
      </c>
      <c r="BI839" s="219">
        <f t="shared" si="415"/>
        <v>0</v>
      </c>
      <c r="BJ839" s="31">
        <f t="shared" si="416"/>
        <v>0</v>
      </c>
      <c r="BK839" s="219">
        <f t="shared" si="417"/>
        <v>0</v>
      </c>
      <c r="BL839" s="31">
        <f t="shared" si="418"/>
        <v>0</v>
      </c>
      <c r="BM839" s="219">
        <f t="shared" si="419"/>
        <v>0</v>
      </c>
      <c r="BN839" s="31">
        <f t="shared" si="420"/>
        <v>0</v>
      </c>
      <c r="BO839" s="219">
        <f t="shared" si="421"/>
        <v>0</v>
      </c>
    </row>
    <row r="840" spans="1:67" x14ac:dyDescent="0.25">
      <c r="A840" s="31" t="s">
        <v>512</v>
      </c>
      <c r="B840" s="176" t="str">
        <f>VLOOKUP(A840,kurspris!$A$1:$B$992,2,FALSE)</f>
        <v>Samhällskunskap 2</v>
      </c>
      <c r="D840" s="60" t="s">
        <v>482</v>
      </c>
      <c r="E840" s="576" t="s">
        <v>2432</v>
      </c>
      <c r="F840" s="31" t="s">
        <v>2273</v>
      </c>
      <c r="G840" t="s">
        <v>2458</v>
      </c>
      <c r="H840" t="s">
        <v>2335</v>
      </c>
      <c r="J840" s="31" t="s">
        <v>2242</v>
      </c>
      <c r="L840" s="38">
        <v>1</v>
      </c>
      <c r="M840">
        <v>30</v>
      </c>
      <c r="P840" s="31">
        <v>11</v>
      </c>
      <c r="Q840" s="196">
        <f t="shared" si="393"/>
        <v>5.5</v>
      </c>
      <c r="R840" s="38">
        <v>0.85</v>
      </c>
      <c r="S840" s="280">
        <f t="shared" si="394"/>
        <v>4.6749999999999998</v>
      </c>
      <c r="T840" s="31">
        <f>VLOOKUP(A840,'Ansvar kurs'!$A$1:$C$1123,2,FALSE)</f>
        <v>2340</v>
      </c>
      <c r="U840" s="31" t="str">
        <f>VLOOKUP(T840,Orgenheter!$A$1:$C$166,2,FALSE)</f>
        <v xml:space="preserve">Statsvetenskap                </v>
      </c>
      <c r="V840" s="31" t="str">
        <f>VLOOKUP(T840,Orgenheter!$A$1:$C$166,3,FALSE)</f>
        <v>Sam</v>
      </c>
      <c r="W840" s="35" t="str">
        <f>VLOOKUP(D840,Program!$A$1:$B$36,2,FALSE)</f>
        <v>Ämneslärarprogrammet - Gy</v>
      </c>
      <c r="X840" s="40">
        <f>VLOOKUP(A840,kurspris!$A$1:$Q$913,15,FALSE)</f>
        <v>20766</v>
      </c>
      <c r="Y840" s="40">
        <f>VLOOKUP(A840,kurspris!$A$1:$Q$913,16,FALSE)</f>
        <v>17442</v>
      </c>
      <c r="Z840" s="40">
        <f t="shared" si="395"/>
        <v>195754.34999999998</v>
      </c>
      <c r="AA840" s="40">
        <f>VLOOKUP(A840,kurspris!$A$1:$Q$913,17,FALSE)</f>
        <v>6000</v>
      </c>
      <c r="AB840" s="40">
        <f t="shared" si="396"/>
        <v>33000</v>
      </c>
      <c r="AC840" s="40">
        <f t="shared" si="397"/>
        <v>228754.34999999998</v>
      </c>
      <c r="AD840" s="31">
        <f>VLOOKUP($A840,kurspris!$A$1:$Q$950,3,FALSE)</f>
        <v>0</v>
      </c>
      <c r="AE840" s="31">
        <f>VLOOKUP($A840,kurspris!$A$1:$Q$950,4,FALSE)</f>
        <v>0</v>
      </c>
      <c r="AF840" s="31">
        <f>VLOOKUP($A840,kurspris!$A$1:$Q$950,5,FALSE)</f>
        <v>0</v>
      </c>
      <c r="AG840" s="31">
        <f>VLOOKUP($A840,kurspris!$A$1:$Q$950,6,FALSE)</f>
        <v>0</v>
      </c>
      <c r="AH840" s="31">
        <f>VLOOKUP($A840,kurspris!$A$1:$Q$950,7,FALSE)</f>
        <v>0</v>
      </c>
      <c r="AI840" s="31">
        <f>VLOOKUP($A840,kurspris!$A$1:$Q$950,8,FALSE)</f>
        <v>0</v>
      </c>
      <c r="AJ840" s="31">
        <f>VLOOKUP($A840,kurspris!$A$1:$Q$950,9,FALSE)</f>
        <v>1</v>
      </c>
      <c r="AK840" s="31">
        <f>VLOOKUP($A840,kurspris!$A$1:$Q$950,10,FALSE)</f>
        <v>0</v>
      </c>
      <c r="AL840" s="31">
        <f>VLOOKUP($A840,kurspris!$A$1:$Q$950,11,FALSE)</f>
        <v>0</v>
      </c>
      <c r="AM840" s="31">
        <f>VLOOKUP($A840,kurspris!$A$1:$Q$950,12,FALSE)</f>
        <v>0</v>
      </c>
      <c r="AN840" s="31">
        <f>VLOOKUP($A840,kurspris!$A$1:$Q$950,13,FALSE)</f>
        <v>0</v>
      </c>
      <c r="AO840" s="31">
        <f>VLOOKUP($A840,kurspris!$A$1:$Q$950,14,FALSE)</f>
        <v>0</v>
      </c>
      <c r="AP840" s="57" t="s">
        <v>2506</v>
      </c>
      <c r="AQ840"/>
      <c r="AR840" s="31">
        <f t="shared" si="398"/>
        <v>0</v>
      </c>
      <c r="AS840" s="219">
        <f t="shared" si="399"/>
        <v>0</v>
      </c>
      <c r="AT840" s="31">
        <f t="shared" si="400"/>
        <v>0</v>
      </c>
      <c r="AU840" s="219">
        <f t="shared" si="401"/>
        <v>0</v>
      </c>
      <c r="AV840" s="31">
        <f t="shared" si="402"/>
        <v>0</v>
      </c>
      <c r="AW840" s="31">
        <f t="shared" si="403"/>
        <v>0</v>
      </c>
      <c r="AX840" s="31">
        <f t="shared" si="404"/>
        <v>0</v>
      </c>
      <c r="AY840" s="219">
        <f t="shared" si="405"/>
        <v>0</v>
      </c>
      <c r="AZ840" s="196">
        <f t="shared" si="406"/>
        <v>0</v>
      </c>
      <c r="BA840" s="219">
        <f t="shared" si="407"/>
        <v>0</v>
      </c>
      <c r="BB840" s="31">
        <f t="shared" si="408"/>
        <v>0</v>
      </c>
      <c r="BC840" s="219">
        <f t="shared" si="409"/>
        <v>0</v>
      </c>
      <c r="BD840" s="31">
        <f t="shared" si="410"/>
        <v>5.5</v>
      </c>
      <c r="BE840" s="219">
        <f t="shared" si="411"/>
        <v>4.6749999999999998</v>
      </c>
      <c r="BF840" s="31">
        <f t="shared" si="412"/>
        <v>0</v>
      </c>
      <c r="BG840" s="219">
        <f t="shared" si="413"/>
        <v>0</v>
      </c>
      <c r="BH840" s="31">
        <f t="shared" si="414"/>
        <v>0</v>
      </c>
      <c r="BI840" s="219">
        <f t="shared" si="415"/>
        <v>0</v>
      </c>
      <c r="BJ840" s="31">
        <f t="shared" si="416"/>
        <v>0</v>
      </c>
      <c r="BK840" s="219">
        <f t="shared" si="417"/>
        <v>0</v>
      </c>
      <c r="BL840" s="31">
        <f t="shared" si="418"/>
        <v>0</v>
      </c>
      <c r="BM840" s="219">
        <f t="shared" si="419"/>
        <v>0</v>
      </c>
      <c r="BN840" s="31">
        <f t="shared" si="420"/>
        <v>0</v>
      </c>
      <c r="BO840" s="219">
        <f t="shared" si="421"/>
        <v>0</v>
      </c>
    </row>
    <row r="841" spans="1:67" x14ac:dyDescent="0.25">
      <c r="A841" s="31" t="s">
        <v>600</v>
      </c>
      <c r="B841" s="176" t="str">
        <f>VLOOKUP(A841,kurspris!$A$1:$B$992,2,FALSE)</f>
        <v>Samhällskunskap 3</v>
      </c>
      <c r="C841" s="31">
        <v>64906</v>
      </c>
      <c r="D841" s="60" t="s">
        <v>482</v>
      </c>
      <c r="E841" s="60"/>
      <c r="F841" s="57" t="s">
        <v>2274</v>
      </c>
      <c r="H841" s="31" t="s">
        <v>2335</v>
      </c>
      <c r="I841" s="31" t="s">
        <v>2399</v>
      </c>
      <c r="J841" s="31" t="s">
        <v>2231</v>
      </c>
      <c r="L841" s="38"/>
      <c r="M841">
        <v>30</v>
      </c>
      <c r="P841" s="31">
        <v>2</v>
      </c>
      <c r="Q841" s="539">
        <v>1</v>
      </c>
      <c r="R841" s="38">
        <v>0.85</v>
      </c>
      <c r="S841" s="280">
        <f t="shared" si="394"/>
        <v>0.85</v>
      </c>
      <c r="T841" s="31">
        <f>VLOOKUP(A841,'Ansvar kurs'!$A$1:$C$1123,2,FALSE)</f>
        <v>2340</v>
      </c>
      <c r="U841" s="31" t="str">
        <f>VLOOKUP(T841,Orgenheter!$A$1:$C$166,2,FALSE)</f>
        <v xml:space="preserve">Statsvetenskap                </v>
      </c>
      <c r="V841" s="31" t="str">
        <f>VLOOKUP(T841,Orgenheter!$A$1:$C$166,3,FALSE)</f>
        <v>Sam</v>
      </c>
      <c r="W841" s="35" t="str">
        <f>VLOOKUP(D841,Program!$A$1:$B$36,2,FALSE)</f>
        <v>Ämneslärarprogrammet - Gy</v>
      </c>
      <c r="X841" s="40">
        <f>VLOOKUP(A841,kurspris!$A$1:$Q$913,15,FALSE)</f>
        <v>20766</v>
      </c>
      <c r="Y841" s="40">
        <f>VLOOKUP(A841,kurspris!$A$1:$Q$913,16,FALSE)</f>
        <v>17442</v>
      </c>
      <c r="Z841" s="40">
        <f t="shared" si="395"/>
        <v>35591.699999999997</v>
      </c>
      <c r="AA841" s="40">
        <f>VLOOKUP(A841,kurspris!$A$1:$Q$913,17,FALSE)</f>
        <v>6000</v>
      </c>
      <c r="AB841" s="40">
        <f t="shared" si="396"/>
        <v>6000</v>
      </c>
      <c r="AC841" s="40">
        <f t="shared" si="397"/>
        <v>41591.699999999997</v>
      </c>
      <c r="AD841" s="31">
        <f>VLOOKUP($A841,kurspris!$A$1:$Q$950,3,FALSE)</f>
        <v>0</v>
      </c>
      <c r="AE841" s="31">
        <f>VLOOKUP($A841,kurspris!$A$1:$Q$950,4,FALSE)</f>
        <v>1</v>
      </c>
      <c r="AF841" s="31">
        <f>VLOOKUP($A841,kurspris!$A$1:$Q$950,5,FALSE)</f>
        <v>0</v>
      </c>
      <c r="AG841" s="31">
        <f>VLOOKUP($A841,kurspris!$A$1:$Q$950,6,FALSE)</f>
        <v>0</v>
      </c>
      <c r="AH841" s="31">
        <f>VLOOKUP($A841,kurspris!$A$1:$Q$950,7,FALSE)</f>
        <v>0</v>
      </c>
      <c r="AI841" s="31">
        <f>VLOOKUP($A841,kurspris!$A$1:$Q$950,8,FALSE)</f>
        <v>0</v>
      </c>
      <c r="AJ841" s="31">
        <f>VLOOKUP($A841,kurspris!$A$1:$Q$950,9,FALSE)</f>
        <v>0</v>
      </c>
      <c r="AK841" s="31">
        <f>VLOOKUP($A841,kurspris!$A$1:$Q$950,10,FALSE)</f>
        <v>0</v>
      </c>
      <c r="AL841" s="31">
        <f>VLOOKUP($A841,kurspris!$A$1:$Q$950,11,FALSE)</f>
        <v>0</v>
      </c>
      <c r="AM841" s="31">
        <f>VLOOKUP($A841,kurspris!$A$1:$Q$950,12,FALSE)</f>
        <v>0</v>
      </c>
      <c r="AN841" s="31">
        <f>VLOOKUP($A841,kurspris!$A$1:$Q$950,13,FALSE)</f>
        <v>0</v>
      </c>
      <c r="AO841" s="31">
        <f>VLOOKUP($A841,kurspris!$A$1:$Q$950,14,FALSE)</f>
        <v>0</v>
      </c>
      <c r="AP841" s="57" t="s">
        <v>2402</v>
      </c>
      <c r="AQ841"/>
      <c r="AR841" s="31">
        <f t="shared" si="398"/>
        <v>0</v>
      </c>
      <c r="AS841" s="219">
        <f t="shared" si="399"/>
        <v>0</v>
      </c>
      <c r="AT841" s="31">
        <f t="shared" si="400"/>
        <v>1</v>
      </c>
      <c r="AU841" s="219">
        <f t="shared" si="401"/>
        <v>0.85</v>
      </c>
      <c r="AV841" s="31">
        <f t="shared" si="402"/>
        <v>0</v>
      </c>
      <c r="AW841" s="31">
        <f t="shared" si="403"/>
        <v>0</v>
      </c>
      <c r="AX841" s="31">
        <f t="shared" si="404"/>
        <v>0</v>
      </c>
      <c r="AY841" s="219">
        <f t="shared" si="405"/>
        <v>0</v>
      </c>
      <c r="AZ841" s="196">
        <f t="shared" si="406"/>
        <v>0</v>
      </c>
      <c r="BA841" s="219">
        <f t="shared" si="407"/>
        <v>0</v>
      </c>
      <c r="BB841" s="31">
        <f t="shared" si="408"/>
        <v>0</v>
      </c>
      <c r="BC841" s="219">
        <f t="shared" si="409"/>
        <v>0</v>
      </c>
      <c r="BD841" s="31">
        <f t="shared" si="410"/>
        <v>0</v>
      </c>
      <c r="BE841" s="219">
        <f t="shared" si="411"/>
        <v>0</v>
      </c>
      <c r="BF841" s="31">
        <f t="shared" si="412"/>
        <v>0</v>
      </c>
      <c r="BG841" s="219">
        <f t="shared" si="413"/>
        <v>0</v>
      </c>
      <c r="BH841" s="31">
        <f t="shared" si="414"/>
        <v>0</v>
      </c>
      <c r="BI841" s="219">
        <f t="shared" si="415"/>
        <v>0</v>
      </c>
      <c r="BJ841" s="31">
        <f t="shared" si="416"/>
        <v>0</v>
      </c>
      <c r="BK841" s="219">
        <f t="shared" si="417"/>
        <v>0</v>
      </c>
      <c r="BL841" s="31">
        <f t="shared" si="418"/>
        <v>0</v>
      </c>
      <c r="BM841" s="219">
        <f t="shared" si="419"/>
        <v>0</v>
      </c>
      <c r="BN841" s="31">
        <f t="shared" si="420"/>
        <v>0</v>
      </c>
      <c r="BO841" s="219">
        <f t="shared" si="421"/>
        <v>0</v>
      </c>
    </row>
    <row r="842" spans="1:67" x14ac:dyDescent="0.25">
      <c r="A842" s="31" t="s">
        <v>600</v>
      </c>
      <c r="B842" s="176" t="str">
        <f>VLOOKUP(A842,kurspris!$A$1:$B$992,2,FALSE)</f>
        <v>Samhällskunskap 3</v>
      </c>
      <c r="C842" s="31">
        <v>64906</v>
      </c>
      <c r="D842" s="60" t="s">
        <v>482</v>
      </c>
      <c r="E842" s="60"/>
      <c r="F842" s="57" t="s">
        <v>2274</v>
      </c>
      <c r="H842" s="31" t="s">
        <v>2335</v>
      </c>
      <c r="I842" s="31" t="s">
        <v>2399</v>
      </c>
      <c r="J842" s="31" t="s">
        <v>2241</v>
      </c>
      <c r="L842" s="38"/>
      <c r="M842">
        <v>30</v>
      </c>
      <c r="P842" s="31">
        <v>1</v>
      </c>
      <c r="Q842" s="539">
        <v>0.5</v>
      </c>
      <c r="R842" s="38">
        <v>0.85</v>
      </c>
      <c r="S842" s="280">
        <f t="shared" si="394"/>
        <v>0.42499999999999999</v>
      </c>
      <c r="T842" s="31">
        <f>VLOOKUP(A842,'Ansvar kurs'!$A$1:$C$1123,2,FALSE)</f>
        <v>2340</v>
      </c>
      <c r="U842" s="31" t="str">
        <f>VLOOKUP(T842,Orgenheter!$A$1:$C$166,2,FALSE)</f>
        <v xml:space="preserve">Statsvetenskap                </v>
      </c>
      <c r="V842" s="31" t="str">
        <f>VLOOKUP(T842,Orgenheter!$A$1:$C$166,3,FALSE)</f>
        <v>Sam</v>
      </c>
      <c r="W842" s="35" t="str">
        <f>VLOOKUP(D842,Program!$A$1:$B$36,2,FALSE)</f>
        <v>Ämneslärarprogrammet - Gy</v>
      </c>
      <c r="X842" s="40">
        <f>VLOOKUP(A842,kurspris!$A$1:$Q$913,15,FALSE)</f>
        <v>20766</v>
      </c>
      <c r="Y842" s="40">
        <f>VLOOKUP(A842,kurspris!$A$1:$Q$913,16,FALSE)</f>
        <v>17442</v>
      </c>
      <c r="Z842" s="40">
        <f t="shared" si="395"/>
        <v>17795.849999999999</v>
      </c>
      <c r="AA842" s="40">
        <f>VLOOKUP(A842,kurspris!$A$1:$Q$913,17,FALSE)</f>
        <v>6000</v>
      </c>
      <c r="AB842" s="40">
        <f t="shared" si="396"/>
        <v>3000</v>
      </c>
      <c r="AC842" s="40">
        <f t="shared" si="397"/>
        <v>20795.849999999999</v>
      </c>
      <c r="AD842" s="31">
        <f>VLOOKUP($A842,kurspris!$A$1:$Q$950,3,FALSE)</f>
        <v>0</v>
      </c>
      <c r="AE842" s="31">
        <f>VLOOKUP($A842,kurspris!$A$1:$Q$950,4,FALSE)</f>
        <v>1</v>
      </c>
      <c r="AF842" s="31">
        <f>VLOOKUP($A842,kurspris!$A$1:$Q$950,5,FALSE)</f>
        <v>0</v>
      </c>
      <c r="AG842" s="31">
        <f>VLOOKUP($A842,kurspris!$A$1:$Q$950,6,FALSE)</f>
        <v>0</v>
      </c>
      <c r="AH842" s="31">
        <f>VLOOKUP($A842,kurspris!$A$1:$Q$950,7,FALSE)</f>
        <v>0</v>
      </c>
      <c r="AI842" s="31">
        <f>VLOOKUP($A842,kurspris!$A$1:$Q$950,8,FALSE)</f>
        <v>0</v>
      </c>
      <c r="AJ842" s="31">
        <f>VLOOKUP($A842,kurspris!$A$1:$Q$950,9,FALSE)</f>
        <v>0</v>
      </c>
      <c r="AK842" s="31">
        <f>VLOOKUP($A842,kurspris!$A$1:$Q$950,10,FALSE)</f>
        <v>0</v>
      </c>
      <c r="AL842" s="31">
        <f>VLOOKUP($A842,kurspris!$A$1:$Q$950,11,FALSE)</f>
        <v>0</v>
      </c>
      <c r="AM842" s="31">
        <f>VLOOKUP($A842,kurspris!$A$1:$Q$950,12,FALSE)</f>
        <v>0</v>
      </c>
      <c r="AN842" s="31">
        <f>VLOOKUP($A842,kurspris!$A$1:$Q$950,13,FALSE)</f>
        <v>0</v>
      </c>
      <c r="AO842" s="31">
        <f>VLOOKUP($A842,kurspris!$A$1:$Q$950,14,FALSE)</f>
        <v>0</v>
      </c>
      <c r="AP842" s="57" t="s">
        <v>2402</v>
      </c>
      <c r="AQ842"/>
      <c r="AR842" s="31">
        <f t="shared" si="398"/>
        <v>0</v>
      </c>
      <c r="AS842" s="219">
        <f t="shared" si="399"/>
        <v>0</v>
      </c>
      <c r="AT842" s="31">
        <f t="shared" si="400"/>
        <v>0.5</v>
      </c>
      <c r="AU842" s="219">
        <f t="shared" si="401"/>
        <v>0.42499999999999999</v>
      </c>
      <c r="AV842" s="31">
        <f t="shared" si="402"/>
        <v>0</v>
      </c>
      <c r="AW842" s="31">
        <f t="shared" si="403"/>
        <v>0</v>
      </c>
      <c r="AX842" s="31">
        <f t="shared" si="404"/>
        <v>0</v>
      </c>
      <c r="AY842" s="219">
        <f t="shared" si="405"/>
        <v>0</v>
      </c>
      <c r="AZ842" s="196">
        <f t="shared" si="406"/>
        <v>0</v>
      </c>
      <c r="BA842" s="219">
        <f t="shared" si="407"/>
        <v>0</v>
      </c>
      <c r="BB842" s="31">
        <f t="shared" si="408"/>
        <v>0</v>
      </c>
      <c r="BC842" s="219">
        <f t="shared" si="409"/>
        <v>0</v>
      </c>
      <c r="BD842" s="31">
        <f t="shared" si="410"/>
        <v>0</v>
      </c>
      <c r="BE842" s="219">
        <f t="shared" si="411"/>
        <v>0</v>
      </c>
      <c r="BF842" s="31">
        <f t="shared" si="412"/>
        <v>0</v>
      </c>
      <c r="BG842" s="219">
        <f t="shared" si="413"/>
        <v>0</v>
      </c>
      <c r="BH842" s="31">
        <f t="shared" si="414"/>
        <v>0</v>
      </c>
      <c r="BI842" s="219">
        <f t="shared" si="415"/>
        <v>0</v>
      </c>
      <c r="BJ842" s="31">
        <f t="shared" si="416"/>
        <v>0</v>
      </c>
      <c r="BK842" s="219">
        <f t="shared" si="417"/>
        <v>0</v>
      </c>
      <c r="BL842" s="31">
        <f t="shared" si="418"/>
        <v>0</v>
      </c>
      <c r="BM842" s="219">
        <f t="shared" si="419"/>
        <v>0</v>
      </c>
      <c r="BN842" s="31">
        <f t="shared" si="420"/>
        <v>0</v>
      </c>
      <c r="BO842" s="219">
        <f t="shared" si="421"/>
        <v>0</v>
      </c>
    </row>
    <row r="843" spans="1:67" x14ac:dyDescent="0.25">
      <c r="A843" s="31" t="s">
        <v>600</v>
      </c>
      <c r="B843" s="176" t="str">
        <f>VLOOKUP(A843,kurspris!$A$1:$B$992,2,FALSE)</f>
        <v>Samhällskunskap 3</v>
      </c>
      <c r="C843" s="31">
        <v>64906</v>
      </c>
      <c r="D843" s="60" t="s">
        <v>482</v>
      </c>
      <c r="E843" s="60"/>
      <c r="F843" s="57" t="s">
        <v>2274</v>
      </c>
      <c r="H843" s="31" t="s">
        <v>2335</v>
      </c>
      <c r="I843" s="31" t="s">
        <v>2399</v>
      </c>
      <c r="J843" s="31" t="s">
        <v>2232</v>
      </c>
      <c r="L843" s="38"/>
      <c r="M843">
        <v>30</v>
      </c>
      <c r="P843" s="31">
        <v>4</v>
      </c>
      <c r="Q843" s="539">
        <v>2</v>
      </c>
      <c r="R843" s="38">
        <v>0.85</v>
      </c>
      <c r="S843" s="280">
        <f t="shared" si="394"/>
        <v>1.7</v>
      </c>
      <c r="T843" s="31">
        <f>VLOOKUP(A843,'Ansvar kurs'!$A$1:$C$1123,2,FALSE)</f>
        <v>2340</v>
      </c>
      <c r="U843" s="31" t="str">
        <f>VLOOKUP(T843,Orgenheter!$A$1:$C$166,2,FALSE)</f>
        <v xml:space="preserve">Statsvetenskap                </v>
      </c>
      <c r="V843" s="31" t="str">
        <f>VLOOKUP(T843,Orgenheter!$A$1:$C$166,3,FALSE)</f>
        <v>Sam</v>
      </c>
      <c r="W843" s="35" t="str">
        <f>VLOOKUP(D843,Program!$A$1:$B$36,2,FALSE)</f>
        <v>Ämneslärarprogrammet - Gy</v>
      </c>
      <c r="X843" s="40">
        <f>VLOOKUP(A843,kurspris!$A$1:$Q$913,15,FALSE)</f>
        <v>20766</v>
      </c>
      <c r="Y843" s="40">
        <f>VLOOKUP(A843,kurspris!$A$1:$Q$913,16,FALSE)</f>
        <v>17442</v>
      </c>
      <c r="Z843" s="40">
        <f t="shared" si="395"/>
        <v>71183.399999999994</v>
      </c>
      <c r="AA843" s="40">
        <f>VLOOKUP(A843,kurspris!$A$1:$Q$913,17,FALSE)</f>
        <v>6000</v>
      </c>
      <c r="AB843" s="40">
        <f t="shared" si="396"/>
        <v>12000</v>
      </c>
      <c r="AC843" s="40">
        <f t="shared" si="397"/>
        <v>83183.399999999994</v>
      </c>
      <c r="AD843" s="31">
        <f>VLOOKUP($A843,kurspris!$A$1:$Q$950,3,FALSE)</f>
        <v>0</v>
      </c>
      <c r="AE843" s="31">
        <f>VLOOKUP($A843,kurspris!$A$1:$Q$950,4,FALSE)</f>
        <v>1</v>
      </c>
      <c r="AF843" s="31">
        <f>VLOOKUP($A843,kurspris!$A$1:$Q$950,5,FALSE)</f>
        <v>0</v>
      </c>
      <c r="AG843" s="31">
        <f>VLOOKUP($A843,kurspris!$A$1:$Q$950,6,FALSE)</f>
        <v>0</v>
      </c>
      <c r="AH843" s="31">
        <f>VLOOKUP($A843,kurspris!$A$1:$Q$950,7,FALSE)</f>
        <v>0</v>
      </c>
      <c r="AI843" s="31">
        <f>VLOOKUP($A843,kurspris!$A$1:$Q$950,8,FALSE)</f>
        <v>0</v>
      </c>
      <c r="AJ843" s="31">
        <f>VLOOKUP($A843,kurspris!$A$1:$Q$950,9,FALSE)</f>
        <v>0</v>
      </c>
      <c r="AK843" s="31">
        <f>VLOOKUP($A843,kurspris!$A$1:$Q$950,10,FALSE)</f>
        <v>0</v>
      </c>
      <c r="AL843" s="31">
        <f>VLOOKUP($A843,kurspris!$A$1:$Q$950,11,FALSE)</f>
        <v>0</v>
      </c>
      <c r="AM843" s="31">
        <f>VLOOKUP($A843,kurspris!$A$1:$Q$950,12,FALSE)</f>
        <v>0</v>
      </c>
      <c r="AN843" s="31">
        <f>VLOOKUP($A843,kurspris!$A$1:$Q$950,13,FALSE)</f>
        <v>0</v>
      </c>
      <c r="AO843" s="31">
        <f>VLOOKUP($A843,kurspris!$A$1:$Q$950,14,FALSE)</f>
        <v>0</v>
      </c>
      <c r="AP843" s="57" t="s">
        <v>2402</v>
      </c>
      <c r="AQ843"/>
      <c r="AR843" s="31">
        <f t="shared" si="398"/>
        <v>0</v>
      </c>
      <c r="AS843" s="219">
        <f t="shared" si="399"/>
        <v>0</v>
      </c>
      <c r="AT843" s="31">
        <f t="shared" si="400"/>
        <v>2</v>
      </c>
      <c r="AU843" s="219">
        <f t="shared" si="401"/>
        <v>1.7</v>
      </c>
      <c r="AV843" s="31">
        <f t="shared" si="402"/>
        <v>0</v>
      </c>
      <c r="AW843" s="31">
        <f t="shared" si="403"/>
        <v>0</v>
      </c>
      <c r="AX843" s="31">
        <f t="shared" si="404"/>
        <v>0</v>
      </c>
      <c r="AY843" s="219">
        <f t="shared" si="405"/>
        <v>0</v>
      </c>
      <c r="AZ843" s="196">
        <f t="shared" si="406"/>
        <v>0</v>
      </c>
      <c r="BA843" s="219">
        <f t="shared" si="407"/>
        <v>0</v>
      </c>
      <c r="BB843" s="31">
        <f t="shared" si="408"/>
        <v>0</v>
      </c>
      <c r="BC843" s="219">
        <f t="shared" si="409"/>
        <v>0</v>
      </c>
      <c r="BD843" s="31">
        <f t="shared" si="410"/>
        <v>0</v>
      </c>
      <c r="BE843" s="219">
        <f t="shared" si="411"/>
        <v>0</v>
      </c>
      <c r="BF843" s="31">
        <f t="shared" si="412"/>
        <v>0</v>
      </c>
      <c r="BG843" s="219">
        <f t="shared" si="413"/>
        <v>0</v>
      </c>
      <c r="BH843" s="31">
        <f t="shared" si="414"/>
        <v>0</v>
      </c>
      <c r="BI843" s="219">
        <f t="shared" si="415"/>
        <v>0</v>
      </c>
      <c r="BJ843" s="31">
        <f t="shared" si="416"/>
        <v>0</v>
      </c>
      <c r="BK843" s="219">
        <f t="shared" si="417"/>
        <v>0</v>
      </c>
      <c r="BL843" s="31">
        <f t="shared" si="418"/>
        <v>0</v>
      </c>
      <c r="BM843" s="219">
        <f t="shared" si="419"/>
        <v>0</v>
      </c>
      <c r="BN843" s="31">
        <f t="shared" si="420"/>
        <v>0</v>
      </c>
      <c r="BO843" s="219">
        <f t="shared" si="421"/>
        <v>0</v>
      </c>
    </row>
    <row r="844" spans="1:67" x14ac:dyDescent="0.25">
      <c r="A844" s="31" t="s">
        <v>600</v>
      </c>
      <c r="B844" s="176" t="str">
        <f>VLOOKUP(A844,kurspris!$A$1:$B$992,2,FALSE)</f>
        <v>Samhällskunskap 3</v>
      </c>
      <c r="C844" s="31">
        <v>64906</v>
      </c>
      <c r="D844" s="60" t="s">
        <v>482</v>
      </c>
      <c r="E844" s="60"/>
      <c r="F844" s="57" t="s">
        <v>2274</v>
      </c>
      <c r="H844" s="31" t="s">
        <v>2335</v>
      </c>
      <c r="I844" s="31" t="s">
        <v>2399</v>
      </c>
      <c r="J844" s="31" t="s">
        <v>2239</v>
      </c>
      <c r="L844" s="38"/>
      <c r="M844">
        <v>30</v>
      </c>
      <c r="P844" s="31">
        <v>1</v>
      </c>
      <c r="Q844" s="539">
        <v>0.5</v>
      </c>
      <c r="R844" s="38">
        <v>0.85</v>
      </c>
      <c r="S844" s="280">
        <f t="shared" si="394"/>
        <v>0.42499999999999999</v>
      </c>
      <c r="T844" s="31">
        <f>VLOOKUP(A844,'Ansvar kurs'!$A$1:$C$1123,2,FALSE)</f>
        <v>2340</v>
      </c>
      <c r="U844" s="31" t="str">
        <f>VLOOKUP(T844,Orgenheter!$A$1:$C$166,2,FALSE)</f>
        <v xml:space="preserve">Statsvetenskap                </v>
      </c>
      <c r="V844" s="31" t="str">
        <f>VLOOKUP(T844,Orgenheter!$A$1:$C$166,3,FALSE)</f>
        <v>Sam</v>
      </c>
      <c r="W844" s="35" t="str">
        <f>VLOOKUP(D844,Program!$A$1:$B$36,2,FALSE)</f>
        <v>Ämneslärarprogrammet - Gy</v>
      </c>
      <c r="X844" s="40">
        <f>VLOOKUP(A844,kurspris!$A$1:$Q$913,15,FALSE)</f>
        <v>20766</v>
      </c>
      <c r="Y844" s="40">
        <f>VLOOKUP(A844,kurspris!$A$1:$Q$913,16,FALSE)</f>
        <v>17442</v>
      </c>
      <c r="Z844" s="40">
        <f t="shared" si="395"/>
        <v>17795.849999999999</v>
      </c>
      <c r="AA844" s="40">
        <f>VLOOKUP(A844,kurspris!$A$1:$Q$913,17,FALSE)</f>
        <v>6000</v>
      </c>
      <c r="AB844" s="40">
        <f t="shared" si="396"/>
        <v>3000</v>
      </c>
      <c r="AC844" s="40">
        <f t="shared" si="397"/>
        <v>20795.849999999999</v>
      </c>
      <c r="AD844" s="31">
        <f>VLOOKUP($A844,kurspris!$A$1:$Q$950,3,FALSE)</f>
        <v>0</v>
      </c>
      <c r="AE844" s="31">
        <f>VLOOKUP($A844,kurspris!$A$1:$Q$950,4,FALSE)</f>
        <v>1</v>
      </c>
      <c r="AF844" s="31">
        <f>VLOOKUP($A844,kurspris!$A$1:$Q$950,5,FALSE)</f>
        <v>0</v>
      </c>
      <c r="AG844" s="31">
        <f>VLOOKUP($A844,kurspris!$A$1:$Q$950,6,FALSE)</f>
        <v>0</v>
      </c>
      <c r="AH844" s="31">
        <f>VLOOKUP($A844,kurspris!$A$1:$Q$950,7,FALSE)</f>
        <v>0</v>
      </c>
      <c r="AI844" s="31">
        <f>VLOOKUP($A844,kurspris!$A$1:$Q$950,8,FALSE)</f>
        <v>0</v>
      </c>
      <c r="AJ844" s="31">
        <f>VLOOKUP($A844,kurspris!$A$1:$Q$950,9,FALSE)</f>
        <v>0</v>
      </c>
      <c r="AK844" s="31">
        <f>VLOOKUP($A844,kurspris!$A$1:$Q$950,10,FALSE)</f>
        <v>0</v>
      </c>
      <c r="AL844" s="31">
        <f>VLOOKUP($A844,kurspris!$A$1:$Q$950,11,FALSE)</f>
        <v>0</v>
      </c>
      <c r="AM844" s="31">
        <f>VLOOKUP($A844,kurspris!$A$1:$Q$950,12,FALSE)</f>
        <v>0</v>
      </c>
      <c r="AN844" s="31">
        <f>VLOOKUP($A844,kurspris!$A$1:$Q$950,13,FALSE)</f>
        <v>0</v>
      </c>
      <c r="AO844" s="31">
        <f>VLOOKUP($A844,kurspris!$A$1:$Q$950,14,FALSE)</f>
        <v>0</v>
      </c>
      <c r="AP844" s="57" t="s">
        <v>2402</v>
      </c>
      <c r="AQ844"/>
      <c r="AR844" s="31">
        <f t="shared" si="398"/>
        <v>0</v>
      </c>
      <c r="AS844" s="219">
        <f t="shared" si="399"/>
        <v>0</v>
      </c>
      <c r="AT844" s="31">
        <f t="shared" si="400"/>
        <v>0.5</v>
      </c>
      <c r="AU844" s="219">
        <f t="shared" si="401"/>
        <v>0.42499999999999999</v>
      </c>
      <c r="AV844" s="31">
        <f t="shared" si="402"/>
        <v>0</v>
      </c>
      <c r="AW844" s="31">
        <f t="shared" si="403"/>
        <v>0</v>
      </c>
      <c r="AX844" s="31">
        <f t="shared" si="404"/>
        <v>0</v>
      </c>
      <c r="AY844" s="219">
        <f t="shared" si="405"/>
        <v>0</v>
      </c>
      <c r="AZ844" s="196">
        <f t="shared" si="406"/>
        <v>0</v>
      </c>
      <c r="BA844" s="219">
        <f t="shared" si="407"/>
        <v>0</v>
      </c>
      <c r="BB844" s="31">
        <f t="shared" si="408"/>
        <v>0</v>
      </c>
      <c r="BC844" s="219">
        <f t="shared" si="409"/>
        <v>0</v>
      </c>
      <c r="BD844" s="31">
        <f t="shared" si="410"/>
        <v>0</v>
      </c>
      <c r="BE844" s="219">
        <f t="shared" si="411"/>
        <v>0</v>
      </c>
      <c r="BF844" s="31">
        <f t="shared" si="412"/>
        <v>0</v>
      </c>
      <c r="BG844" s="219">
        <f t="shared" si="413"/>
        <v>0</v>
      </c>
      <c r="BH844" s="31">
        <f t="shared" si="414"/>
        <v>0</v>
      </c>
      <c r="BI844" s="219">
        <f t="shared" si="415"/>
        <v>0</v>
      </c>
      <c r="BJ844" s="31">
        <f t="shared" si="416"/>
        <v>0</v>
      </c>
      <c r="BK844" s="219">
        <f t="shared" si="417"/>
        <v>0</v>
      </c>
      <c r="BL844" s="31">
        <f t="shared" si="418"/>
        <v>0</v>
      </c>
      <c r="BM844" s="219">
        <f t="shared" si="419"/>
        <v>0</v>
      </c>
      <c r="BN844" s="31">
        <f t="shared" si="420"/>
        <v>0</v>
      </c>
      <c r="BO844" s="219">
        <f t="shared" si="421"/>
        <v>0</v>
      </c>
    </row>
    <row r="845" spans="1:67" x14ac:dyDescent="0.25">
      <c r="A845" s="31" t="s">
        <v>600</v>
      </c>
      <c r="B845" s="176" t="str">
        <f>VLOOKUP(A845,kurspris!$A$1:$B$992,2,FALSE)</f>
        <v>Samhällskunskap 3</v>
      </c>
      <c r="C845" s="31">
        <v>64906</v>
      </c>
      <c r="D845" s="60" t="s">
        <v>482</v>
      </c>
      <c r="E845" s="60"/>
      <c r="F845" s="57" t="s">
        <v>2274</v>
      </c>
      <c r="H845" s="31" t="s">
        <v>2335</v>
      </c>
      <c r="I845" s="31" t="s">
        <v>2399</v>
      </c>
      <c r="J845" s="31" t="s">
        <v>2242</v>
      </c>
      <c r="L845" s="38"/>
      <c r="M845">
        <v>30</v>
      </c>
      <c r="P845" s="31">
        <v>11</v>
      </c>
      <c r="Q845" s="539">
        <v>5.5</v>
      </c>
      <c r="R845" s="38">
        <v>0.85</v>
      </c>
      <c r="S845" s="280">
        <f t="shared" si="394"/>
        <v>4.6749999999999998</v>
      </c>
      <c r="T845" s="31">
        <f>VLOOKUP(A845,'Ansvar kurs'!$A$1:$C$1123,2,FALSE)</f>
        <v>2340</v>
      </c>
      <c r="U845" s="31" t="str">
        <f>VLOOKUP(T845,Orgenheter!$A$1:$C$166,2,FALSE)</f>
        <v xml:space="preserve">Statsvetenskap                </v>
      </c>
      <c r="V845" s="31" t="str">
        <f>VLOOKUP(T845,Orgenheter!$A$1:$C$166,3,FALSE)</f>
        <v>Sam</v>
      </c>
      <c r="W845" s="35" t="str">
        <f>VLOOKUP(D845,Program!$A$1:$B$36,2,FALSE)</f>
        <v>Ämneslärarprogrammet - Gy</v>
      </c>
      <c r="X845" s="40">
        <f>VLOOKUP(A845,kurspris!$A$1:$Q$913,15,FALSE)</f>
        <v>20766</v>
      </c>
      <c r="Y845" s="40">
        <f>VLOOKUP(A845,kurspris!$A$1:$Q$913,16,FALSE)</f>
        <v>17442</v>
      </c>
      <c r="Z845" s="40">
        <f t="shared" si="395"/>
        <v>195754.34999999998</v>
      </c>
      <c r="AA845" s="40">
        <f>VLOOKUP(A845,kurspris!$A$1:$Q$913,17,FALSE)</f>
        <v>6000</v>
      </c>
      <c r="AB845" s="40">
        <f t="shared" si="396"/>
        <v>33000</v>
      </c>
      <c r="AC845" s="40">
        <f t="shared" si="397"/>
        <v>228754.34999999998</v>
      </c>
      <c r="AD845" s="31">
        <f>VLOOKUP($A845,kurspris!$A$1:$Q$950,3,FALSE)</f>
        <v>0</v>
      </c>
      <c r="AE845" s="31">
        <f>VLOOKUP($A845,kurspris!$A$1:$Q$950,4,FALSE)</f>
        <v>1</v>
      </c>
      <c r="AF845" s="31">
        <f>VLOOKUP($A845,kurspris!$A$1:$Q$950,5,FALSE)</f>
        <v>0</v>
      </c>
      <c r="AG845" s="31">
        <f>VLOOKUP($A845,kurspris!$A$1:$Q$950,6,FALSE)</f>
        <v>0</v>
      </c>
      <c r="AH845" s="31">
        <f>VLOOKUP($A845,kurspris!$A$1:$Q$950,7,FALSE)</f>
        <v>0</v>
      </c>
      <c r="AI845" s="31">
        <f>VLOOKUP($A845,kurspris!$A$1:$Q$950,8,FALSE)</f>
        <v>0</v>
      </c>
      <c r="AJ845" s="31">
        <f>VLOOKUP($A845,kurspris!$A$1:$Q$950,9,FALSE)</f>
        <v>0</v>
      </c>
      <c r="AK845" s="31">
        <f>VLOOKUP($A845,kurspris!$A$1:$Q$950,10,FALSE)</f>
        <v>0</v>
      </c>
      <c r="AL845" s="31">
        <f>VLOOKUP($A845,kurspris!$A$1:$Q$950,11,FALSE)</f>
        <v>0</v>
      </c>
      <c r="AM845" s="31">
        <f>VLOOKUP($A845,kurspris!$A$1:$Q$950,12,FALSE)</f>
        <v>0</v>
      </c>
      <c r="AN845" s="31">
        <f>VLOOKUP($A845,kurspris!$A$1:$Q$950,13,FALSE)</f>
        <v>0</v>
      </c>
      <c r="AO845" s="31">
        <f>VLOOKUP($A845,kurspris!$A$1:$Q$950,14,FALSE)</f>
        <v>0</v>
      </c>
      <c r="AP845" s="57" t="s">
        <v>2402</v>
      </c>
      <c r="AQ845"/>
      <c r="AR845" s="31">
        <f t="shared" si="398"/>
        <v>0</v>
      </c>
      <c r="AS845" s="219">
        <f t="shared" si="399"/>
        <v>0</v>
      </c>
      <c r="AT845" s="31">
        <f t="shared" si="400"/>
        <v>5.5</v>
      </c>
      <c r="AU845" s="219">
        <f t="shared" si="401"/>
        <v>4.6749999999999998</v>
      </c>
      <c r="AV845" s="31">
        <f t="shared" si="402"/>
        <v>0</v>
      </c>
      <c r="AW845" s="31">
        <f t="shared" si="403"/>
        <v>0</v>
      </c>
      <c r="AX845" s="31">
        <f t="shared" si="404"/>
        <v>0</v>
      </c>
      <c r="AY845" s="219">
        <f t="shared" si="405"/>
        <v>0</v>
      </c>
      <c r="AZ845" s="196">
        <f t="shared" si="406"/>
        <v>0</v>
      </c>
      <c r="BA845" s="219">
        <f t="shared" si="407"/>
        <v>0</v>
      </c>
      <c r="BB845" s="31">
        <f t="shared" si="408"/>
        <v>0</v>
      </c>
      <c r="BC845" s="219">
        <f t="shared" si="409"/>
        <v>0</v>
      </c>
      <c r="BD845" s="31">
        <f t="shared" si="410"/>
        <v>0</v>
      </c>
      <c r="BE845" s="219">
        <f t="shared" si="411"/>
        <v>0</v>
      </c>
      <c r="BF845" s="31">
        <f t="shared" si="412"/>
        <v>0</v>
      </c>
      <c r="BG845" s="219">
        <f t="shared" si="413"/>
        <v>0</v>
      </c>
      <c r="BH845" s="31">
        <f t="shared" si="414"/>
        <v>0</v>
      </c>
      <c r="BI845" s="219">
        <f t="shared" si="415"/>
        <v>0</v>
      </c>
      <c r="BJ845" s="31">
        <f t="shared" si="416"/>
        <v>0</v>
      </c>
      <c r="BK845" s="219">
        <f t="shared" si="417"/>
        <v>0</v>
      </c>
      <c r="BL845" s="31">
        <f t="shared" si="418"/>
        <v>0</v>
      </c>
      <c r="BM845" s="219">
        <f t="shared" si="419"/>
        <v>0</v>
      </c>
      <c r="BN845" s="31">
        <f t="shared" si="420"/>
        <v>0</v>
      </c>
      <c r="BO845" s="219">
        <f t="shared" si="421"/>
        <v>0</v>
      </c>
    </row>
    <row r="846" spans="1:67" x14ac:dyDescent="0.25">
      <c r="A846" s="31" t="s">
        <v>1024</v>
      </c>
      <c r="B846" s="176" t="str">
        <f>VLOOKUP(A846,kurspris!$A$1:$B$992,2,FALSE)</f>
        <v>Examensarbete</v>
      </c>
      <c r="D846" s="60" t="s">
        <v>482</v>
      </c>
      <c r="E846" s="576" t="s">
        <v>2227</v>
      </c>
      <c r="F846" s="31" t="s">
        <v>2273</v>
      </c>
      <c r="G846" s="244" t="s">
        <v>2454</v>
      </c>
      <c r="H846" t="s">
        <v>2335</v>
      </c>
      <c r="J846" s="31" t="s">
        <v>2241</v>
      </c>
      <c r="L846" s="38">
        <v>1</v>
      </c>
      <c r="M846" s="244">
        <v>7.5</v>
      </c>
      <c r="P846" s="31">
        <v>1</v>
      </c>
      <c r="Q846" s="196">
        <f t="shared" ref="Q846:Q854" si="422">(M846/60)*P846</f>
        <v>0.125</v>
      </c>
      <c r="R846" s="38">
        <v>0.85</v>
      </c>
      <c r="S846" s="280">
        <f t="shared" si="394"/>
        <v>0.10625</v>
      </c>
      <c r="T846" s="31">
        <f>VLOOKUP(A846,'Ansvar kurs'!$A$1:$C$1123,2,FALSE)</f>
        <v>2340</v>
      </c>
      <c r="U846" s="31" t="str">
        <f>VLOOKUP(T846,Orgenheter!$A$1:$C$166,2,FALSE)</f>
        <v xml:space="preserve">Statsvetenskap                </v>
      </c>
      <c r="V846" s="31" t="str">
        <f>VLOOKUP(T846,Orgenheter!$A$1:$C$166,3,FALSE)</f>
        <v>Sam</v>
      </c>
      <c r="W846" s="35" t="str">
        <f>VLOOKUP(D846,Program!$A$1:$B$36,2,FALSE)</f>
        <v>Ämneslärarprogrammet - Gy</v>
      </c>
      <c r="X846" s="40">
        <f>VLOOKUP(A846,kurspris!$A$1:$Q$913,15,FALSE)</f>
        <v>20766</v>
      </c>
      <c r="Y846" s="40">
        <f>VLOOKUP(A846,kurspris!$A$1:$Q$913,16,FALSE)</f>
        <v>17442</v>
      </c>
      <c r="Z846" s="40">
        <f t="shared" si="395"/>
        <v>4448.9624999999996</v>
      </c>
      <c r="AA846" s="40">
        <f>VLOOKUP(A846,kurspris!$A$1:$Q$913,17,FALSE)</f>
        <v>6000</v>
      </c>
      <c r="AB846" s="40">
        <f t="shared" si="396"/>
        <v>750</v>
      </c>
      <c r="AC846" s="40">
        <f t="shared" si="397"/>
        <v>5198.9624999999996</v>
      </c>
      <c r="AD846" s="31">
        <f>VLOOKUP($A846,kurspris!$A$1:$Q$950,3,FALSE)</f>
        <v>0</v>
      </c>
      <c r="AE846" s="31">
        <f>VLOOKUP($A846,kurspris!$A$1:$Q$950,4,FALSE)</f>
        <v>0</v>
      </c>
      <c r="AF846" s="31">
        <f>VLOOKUP($A846,kurspris!$A$1:$Q$950,5,FALSE)</f>
        <v>0</v>
      </c>
      <c r="AG846" s="31">
        <f>VLOOKUP($A846,kurspris!$A$1:$Q$950,6,FALSE)</f>
        <v>0</v>
      </c>
      <c r="AH846" s="31">
        <f>VLOOKUP($A846,kurspris!$A$1:$Q$950,7,FALSE)</f>
        <v>0</v>
      </c>
      <c r="AI846" s="31">
        <f>VLOOKUP($A846,kurspris!$A$1:$Q$950,8,FALSE)</f>
        <v>0</v>
      </c>
      <c r="AJ846" s="31">
        <f>VLOOKUP($A846,kurspris!$A$1:$Q$950,9,FALSE)</f>
        <v>1</v>
      </c>
      <c r="AK846" s="31">
        <f>VLOOKUP($A846,kurspris!$A$1:$Q$950,10,FALSE)</f>
        <v>0</v>
      </c>
      <c r="AL846" s="31">
        <f>VLOOKUP($A846,kurspris!$A$1:$Q$950,11,FALSE)</f>
        <v>0</v>
      </c>
      <c r="AM846" s="31">
        <f>VLOOKUP($A846,kurspris!$A$1:$Q$950,12,FALSE)</f>
        <v>0</v>
      </c>
      <c r="AN846" s="31">
        <f>VLOOKUP($A846,kurspris!$A$1:$Q$950,13,FALSE)</f>
        <v>0</v>
      </c>
      <c r="AO846" s="31">
        <f>VLOOKUP($A846,kurspris!$A$1:$Q$950,14,FALSE)</f>
        <v>0</v>
      </c>
      <c r="AP846" s="57" t="s">
        <v>2506</v>
      </c>
      <c r="AQ846" t="s">
        <v>2311</v>
      </c>
      <c r="AR846" s="31">
        <f t="shared" si="398"/>
        <v>0</v>
      </c>
      <c r="AS846" s="219">
        <f t="shared" si="399"/>
        <v>0</v>
      </c>
      <c r="AT846" s="31">
        <f t="shared" si="400"/>
        <v>0</v>
      </c>
      <c r="AU846" s="219">
        <f t="shared" si="401"/>
        <v>0</v>
      </c>
      <c r="AV846" s="31">
        <f t="shared" si="402"/>
        <v>0</v>
      </c>
      <c r="AW846" s="31">
        <f t="shared" si="403"/>
        <v>0</v>
      </c>
      <c r="AX846" s="31">
        <f t="shared" si="404"/>
        <v>0</v>
      </c>
      <c r="AY846" s="219">
        <f t="shared" si="405"/>
        <v>0</v>
      </c>
      <c r="AZ846" s="196">
        <f t="shared" si="406"/>
        <v>0</v>
      </c>
      <c r="BA846" s="219">
        <f t="shared" si="407"/>
        <v>0</v>
      </c>
      <c r="BB846" s="31">
        <f t="shared" si="408"/>
        <v>0</v>
      </c>
      <c r="BC846" s="219">
        <f t="shared" si="409"/>
        <v>0</v>
      </c>
      <c r="BD846" s="31">
        <f t="shared" si="410"/>
        <v>0.125</v>
      </c>
      <c r="BE846" s="219">
        <f t="shared" si="411"/>
        <v>0.10625</v>
      </c>
      <c r="BF846" s="31">
        <f t="shared" si="412"/>
        <v>0</v>
      </c>
      <c r="BG846" s="219">
        <f t="shared" si="413"/>
        <v>0</v>
      </c>
      <c r="BH846" s="31">
        <f t="shared" si="414"/>
        <v>0</v>
      </c>
      <c r="BI846" s="219">
        <f t="shared" si="415"/>
        <v>0</v>
      </c>
      <c r="BJ846" s="31">
        <f t="shared" si="416"/>
        <v>0</v>
      </c>
      <c r="BK846" s="219">
        <f t="shared" si="417"/>
        <v>0</v>
      </c>
      <c r="BL846" s="31">
        <f t="shared" si="418"/>
        <v>0</v>
      </c>
      <c r="BM846" s="219">
        <f t="shared" si="419"/>
        <v>0</v>
      </c>
      <c r="BN846" s="31">
        <f t="shared" si="420"/>
        <v>0</v>
      </c>
      <c r="BO846" s="219">
        <f t="shared" si="421"/>
        <v>0</v>
      </c>
    </row>
    <row r="847" spans="1:67" x14ac:dyDescent="0.25">
      <c r="A847" s="31" t="s">
        <v>1024</v>
      </c>
      <c r="B847" s="176" t="str">
        <f>VLOOKUP(A847,kurspris!$A$1:$B$992,2,FALSE)</f>
        <v>Examensarbete</v>
      </c>
      <c r="D847" s="60" t="s">
        <v>482</v>
      </c>
      <c r="E847" s="576" t="s">
        <v>2227</v>
      </c>
      <c r="F847" s="31" t="s">
        <v>2273</v>
      </c>
      <c r="G847" s="244" t="s">
        <v>2454</v>
      </c>
      <c r="H847" t="s">
        <v>2335</v>
      </c>
      <c r="J847" s="31" t="s">
        <v>2242</v>
      </c>
      <c r="L847" s="38">
        <v>1</v>
      </c>
      <c r="M847" s="244">
        <v>7.5</v>
      </c>
      <c r="P847" s="31">
        <v>2</v>
      </c>
      <c r="Q847" s="196">
        <f t="shared" si="422"/>
        <v>0.25</v>
      </c>
      <c r="R847" s="38">
        <v>0.85</v>
      </c>
      <c r="S847" s="280">
        <f t="shared" si="394"/>
        <v>0.21249999999999999</v>
      </c>
      <c r="T847" s="31">
        <f>VLOOKUP(A847,'Ansvar kurs'!$A$1:$C$1123,2,FALSE)</f>
        <v>2340</v>
      </c>
      <c r="U847" s="31" t="str">
        <f>VLOOKUP(T847,Orgenheter!$A$1:$C$166,2,FALSE)</f>
        <v xml:space="preserve">Statsvetenskap                </v>
      </c>
      <c r="V847" s="31" t="str">
        <f>VLOOKUP(T847,Orgenheter!$A$1:$C$166,3,FALSE)</f>
        <v>Sam</v>
      </c>
      <c r="W847" s="35" t="str">
        <f>VLOOKUP(D847,Program!$A$1:$B$36,2,FALSE)</f>
        <v>Ämneslärarprogrammet - Gy</v>
      </c>
      <c r="X847" s="40">
        <f>VLOOKUP(A847,kurspris!$A$1:$Q$913,15,FALSE)</f>
        <v>20766</v>
      </c>
      <c r="Y847" s="40">
        <f>VLOOKUP(A847,kurspris!$A$1:$Q$913,16,FALSE)</f>
        <v>17442</v>
      </c>
      <c r="Z847" s="40">
        <f t="shared" si="395"/>
        <v>8897.9249999999993</v>
      </c>
      <c r="AA847" s="40">
        <f>VLOOKUP(A847,kurspris!$A$1:$Q$913,17,FALSE)</f>
        <v>6000</v>
      </c>
      <c r="AB847" s="40">
        <f t="shared" si="396"/>
        <v>1500</v>
      </c>
      <c r="AC847" s="40">
        <f t="shared" si="397"/>
        <v>10397.924999999999</v>
      </c>
      <c r="AD847" s="31">
        <f>VLOOKUP($A847,kurspris!$A$1:$Q$950,3,FALSE)</f>
        <v>0</v>
      </c>
      <c r="AE847" s="31">
        <f>VLOOKUP($A847,kurspris!$A$1:$Q$950,4,FALSE)</f>
        <v>0</v>
      </c>
      <c r="AF847" s="31">
        <f>VLOOKUP($A847,kurspris!$A$1:$Q$950,5,FALSE)</f>
        <v>0</v>
      </c>
      <c r="AG847" s="31">
        <f>VLOOKUP($A847,kurspris!$A$1:$Q$950,6,FALSE)</f>
        <v>0</v>
      </c>
      <c r="AH847" s="31">
        <f>VLOOKUP($A847,kurspris!$A$1:$Q$950,7,FALSE)</f>
        <v>0</v>
      </c>
      <c r="AI847" s="31">
        <f>VLOOKUP($A847,kurspris!$A$1:$Q$950,8,FALSE)</f>
        <v>0</v>
      </c>
      <c r="AJ847" s="31">
        <f>VLOOKUP($A847,kurspris!$A$1:$Q$950,9,FALSE)</f>
        <v>1</v>
      </c>
      <c r="AK847" s="31">
        <f>VLOOKUP($A847,kurspris!$A$1:$Q$950,10,FALSE)</f>
        <v>0</v>
      </c>
      <c r="AL847" s="31">
        <f>VLOOKUP($A847,kurspris!$A$1:$Q$950,11,FALSE)</f>
        <v>0</v>
      </c>
      <c r="AM847" s="31">
        <f>VLOOKUP($A847,kurspris!$A$1:$Q$950,12,FALSE)</f>
        <v>0</v>
      </c>
      <c r="AN847" s="31">
        <f>VLOOKUP($A847,kurspris!$A$1:$Q$950,13,FALSE)</f>
        <v>0</v>
      </c>
      <c r="AO847" s="31">
        <f>VLOOKUP($A847,kurspris!$A$1:$Q$950,14,FALSE)</f>
        <v>0</v>
      </c>
      <c r="AP847" s="57" t="s">
        <v>2506</v>
      </c>
      <c r="AQ847" t="s">
        <v>2311</v>
      </c>
      <c r="AR847" s="31">
        <f t="shared" si="398"/>
        <v>0</v>
      </c>
      <c r="AS847" s="219">
        <f t="shared" si="399"/>
        <v>0</v>
      </c>
      <c r="AT847" s="31">
        <f t="shared" si="400"/>
        <v>0</v>
      </c>
      <c r="AU847" s="219">
        <f t="shared" si="401"/>
        <v>0</v>
      </c>
      <c r="AV847" s="31">
        <f t="shared" si="402"/>
        <v>0</v>
      </c>
      <c r="AW847" s="31">
        <f t="shared" si="403"/>
        <v>0</v>
      </c>
      <c r="AX847" s="31">
        <f t="shared" si="404"/>
        <v>0</v>
      </c>
      <c r="AY847" s="219">
        <f t="shared" si="405"/>
        <v>0</v>
      </c>
      <c r="AZ847" s="196">
        <f t="shared" si="406"/>
        <v>0</v>
      </c>
      <c r="BA847" s="219">
        <f t="shared" si="407"/>
        <v>0</v>
      </c>
      <c r="BB847" s="31">
        <f t="shared" si="408"/>
        <v>0</v>
      </c>
      <c r="BC847" s="219">
        <f t="shared" si="409"/>
        <v>0</v>
      </c>
      <c r="BD847" s="31">
        <f t="shared" si="410"/>
        <v>0.25</v>
      </c>
      <c r="BE847" s="219">
        <f t="shared" si="411"/>
        <v>0.21249999999999999</v>
      </c>
      <c r="BF847" s="31">
        <f t="shared" si="412"/>
        <v>0</v>
      </c>
      <c r="BG847" s="219">
        <f t="shared" si="413"/>
        <v>0</v>
      </c>
      <c r="BH847" s="31">
        <f t="shared" si="414"/>
        <v>0</v>
      </c>
      <c r="BI847" s="219">
        <f t="shared" si="415"/>
        <v>0</v>
      </c>
      <c r="BJ847" s="31">
        <f t="shared" si="416"/>
        <v>0</v>
      </c>
      <c r="BK847" s="219">
        <f t="shared" si="417"/>
        <v>0</v>
      </c>
      <c r="BL847" s="31">
        <f t="shared" si="418"/>
        <v>0</v>
      </c>
      <c r="BM847" s="219">
        <f t="shared" si="419"/>
        <v>0</v>
      </c>
      <c r="BN847" s="31">
        <f t="shared" si="420"/>
        <v>0</v>
      </c>
      <c r="BO847" s="219">
        <f t="shared" si="421"/>
        <v>0</v>
      </c>
    </row>
    <row r="848" spans="1:67" x14ac:dyDescent="0.25">
      <c r="A848" s="31" t="s">
        <v>1024</v>
      </c>
      <c r="B848" s="176" t="str">
        <f>VLOOKUP(A848,kurspris!$A$1:$B$992,2,FALSE)</f>
        <v>Examensarbete</v>
      </c>
      <c r="D848" s="60" t="s">
        <v>482</v>
      </c>
      <c r="E848" s="576" t="s">
        <v>2226</v>
      </c>
      <c r="F848" s="31" t="s">
        <v>2273</v>
      </c>
      <c r="G848" s="244" t="s">
        <v>2454</v>
      </c>
      <c r="H848" t="s">
        <v>2335</v>
      </c>
      <c r="J848" s="31" t="s">
        <v>2241</v>
      </c>
      <c r="L848" s="38">
        <v>1</v>
      </c>
      <c r="M848" s="244">
        <v>7.5</v>
      </c>
      <c r="P848" s="31">
        <v>1</v>
      </c>
      <c r="Q848" s="196">
        <f t="shared" si="422"/>
        <v>0.125</v>
      </c>
      <c r="R848" s="38">
        <v>0.85</v>
      </c>
      <c r="S848" s="280">
        <f t="shared" si="394"/>
        <v>0.10625</v>
      </c>
      <c r="T848" s="31">
        <f>VLOOKUP(A848,'Ansvar kurs'!$A$1:$C$1123,2,FALSE)</f>
        <v>2340</v>
      </c>
      <c r="U848" s="31" t="str">
        <f>VLOOKUP(T848,Orgenheter!$A$1:$C$166,2,FALSE)</f>
        <v xml:space="preserve">Statsvetenskap                </v>
      </c>
      <c r="V848" s="31" t="str">
        <f>VLOOKUP(T848,Orgenheter!$A$1:$C$166,3,FALSE)</f>
        <v>Sam</v>
      </c>
      <c r="W848" s="35" t="str">
        <f>VLOOKUP(D848,Program!$A$1:$B$36,2,FALSE)</f>
        <v>Ämneslärarprogrammet - Gy</v>
      </c>
      <c r="X848" s="40">
        <f>VLOOKUP(A848,kurspris!$A$1:$Q$913,15,FALSE)</f>
        <v>20766</v>
      </c>
      <c r="Y848" s="40">
        <f>VLOOKUP(A848,kurspris!$A$1:$Q$913,16,FALSE)</f>
        <v>17442</v>
      </c>
      <c r="Z848" s="40">
        <f t="shared" si="395"/>
        <v>4448.9624999999996</v>
      </c>
      <c r="AA848" s="40">
        <f>VLOOKUP(A848,kurspris!$A$1:$Q$913,17,FALSE)</f>
        <v>6000</v>
      </c>
      <c r="AB848" s="40">
        <f t="shared" si="396"/>
        <v>750</v>
      </c>
      <c r="AC848" s="40">
        <f t="shared" si="397"/>
        <v>5198.9624999999996</v>
      </c>
      <c r="AD848" s="31">
        <f>VLOOKUP($A848,kurspris!$A$1:$Q$950,3,FALSE)</f>
        <v>0</v>
      </c>
      <c r="AE848" s="31">
        <f>VLOOKUP($A848,kurspris!$A$1:$Q$950,4,FALSE)</f>
        <v>0</v>
      </c>
      <c r="AF848" s="31">
        <f>VLOOKUP($A848,kurspris!$A$1:$Q$950,5,FALSE)</f>
        <v>0</v>
      </c>
      <c r="AG848" s="31">
        <f>VLOOKUP($A848,kurspris!$A$1:$Q$950,6,FALSE)</f>
        <v>0</v>
      </c>
      <c r="AH848" s="31">
        <f>VLOOKUP($A848,kurspris!$A$1:$Q$950,7,FALSE)</f>
        <v>0</v>
      </c>
      <c r="AI848" s="31">
        <f>VLOOKUP($A848,kurspris!$A$1:$Q$950,8,FALSE)</f>
        <v>0</v>
      </c>
      <c r="AJ848" s="31">
        <f>VLOOKUP($A848,kurspris!$A$1:$Q$950,9,FALSE)</f>
        <v>1</v>
      </c>
      <c r="AK848" s="31">
        <f>VLOOKUP($A848,kurspris!$A$1:$Q$950,10,FALSE)</f>
        <v>0</v>
      </c>
      <c r="AL848" s="31">
        <f>VLOOKUP($A848,kurspris!$A$1:$Q$950,11,FALSE)</f>
        <v>0</v>
      </c>
      <c r="AM848" s="31">
        <f>VLOOKUP($A848,kurspris!$A$1:$Q$950,12,FALSE)</f>
        <v>0</v>
      </c>
      <c r="AN848" s="31">
        <f>VLOOKUP($A848,kurspris!$A$1:$Q$950,13,FALSE)</f>
        <v>0</v>
      </c>
      <c r="AO848" s="31">
        <f>VLOOKUP($A848,kurspris!$A$1:$Q$950,14,FALSE)</f>
        <v>0</v>
      </c>
      <c r="AP848" s="57" t="s">
        <v>2506</v>
      </c>
      <c r="AQ848" t="s">
        <v>2311</v>
      </c>
      <c r="AR848" s="31">
        <f t="shared" si="398"/>
        <v>0</v>
      </c>
      <c r="AS848" s="219">
        <f t="shared" si="399"/>
        <v>0</v>
      </c>
      <c r="AT848" s="31">
        <f t="shared" si="400"/>
        <v>0</v>
      </c>
      <c r="AU848" s="219">
        <f t="shared" si="401"/>
        <v>0</v>
      </c>
      <c r="AV848" s="31">
        <f t="shared" si="402"/>
        <v>0</v>
      </c>
      <c r="AW848" s="31">
        <f t="shared" si="403"/>
        <v>0</v>
      </c>
      <c r="AX848" s="31">
        <f t="shared" si="404"/>
        <v>0</v>
      </c>
      <c r="AY848" s="219">
        <f t="shared" si="405"/>
        <v>0</v>
      </c>
      <c r="AZ848" s="196">
        <f t="shared" si="406"/>
        <v>0</v>
      </c>
      <c r="BA848" s="219">
        <f t="shared" si="407"/>
        <v>0</v>
      </c>
      <c r="BB848" s="31">
        <f t="shared" si="408"/>
        <v>0</v>
      </c>
      <c r="BC848" s="219">
        <f t="shared" si="409"/>
        <v>0</v>
      </c>
      <c r="BD848" s="31">
        <f t="shared" si="410"/>
        <v>0.125</v>
      </c>
      <c r="BE848" s="219">
        <f t="shared" si="411"/>
        <v>0.10625</v>
      </c>
      <c r="BF848" s="31">
        <f t="shared" si="412"/>
        <v>0</v>
      </c>
      <c r="BG848" s="219">
        <f t="shared" si="413"/>
        <v>0</v>
      </c>
      <c r="BH848" s="31">
        <f t="shared" si="414"/>
        <v>0</v>
      </c>
      <c r="BI848" s="219">
        <f t="shared" si="415"/>
        <v>0</v>
      </c>
      <c r="BJ848" s="31">
        <f t="shared" si="416"/>
        <v>0</v>
      </c>
      <c r="BK848" s="219">
        <f t="shared" si="417"/>
        <v>0</v>
      </c>
      <c r="BL848" s="31">
        <f t="shared" si="418"/>
        <v>0</v>
      </c>
      <c r="BM848" s="219">
        <f t="shared" si="419"/>
        <v>0</v>
      </c>
      <c r="BN848" s="31">
        <f t="shared" si="420"/>
        <v>0</v>
      </c>
      <c r="BO848" s="219">
        <f t="shared" si="421"/>
        <v>0</v>
      </c>
    </row>
    <row r="849" spans="1:67" x14ac:dyDescent="0.25">
      <c r="A849" s="31" t="s">
        <v>1024</v>
      </c>
      <c r="B849" s="176" t="str">
        <f>VLOOKUP(A849,kurspris!$A$1:$B$992,2,FALSE)</f>
        <v>Examensarbete</v>
      </c>
      <c r="D849" s="60" t="s">
        <v>482</v>
      </c>
      <c r="E849" s="576" t="s">
        <v>2226</v>
      </c>
      <c r="F849" s="31" t="s">
        <v>2273</v>
      </c>
      <c r="G849" s="244" t="s">
        <v>2454</v>
      </c>
      <c r="H849" t="s">
        <v>2335</v>
      </c>
      <c r="J849" s="31" t="s">
        <v>2232</v>
      </c>
      <c r="L849" s="38">
        <v>1</v>
      </c>
      <c r="M849" s="244">
        <v>7.5</v>
      </c>
      <c r="P849" s="31">
        <v>3</v>
      </c>
      <c r="Q849" s="196">
        <f t="shared" si="422"/>
        <v>0.375</v>
      </c>
      <c r="R849" s="38">
        <v>0.85</v>
      </c>
      <c r="S849" s="280">
        <f t="shared" si="394"/>
        <v>0.31874999999999998</v>
      </c>
      <c r="T849" s="31">
        <f>VLOOKUP(A849,'Ansvar kurs'!$A$1:$C$1123,2,FALSE)</f>
        <v>2340</v>
      </c>
      <c r="U849" s="31" t="str">
        <f>VLOOKUP(T849,Orgenheter!$A$1:$C$166,2,FALSE)</f>
        <v xml:space="preserve">Statsvetenskap                </v>
      </c>
      <c r="V849" s="31" t="str">
        <f>VLOOKUP(T849,Orgenheter!$A$1:$C$166,3,FALSE)</f>
        <v>Sam</v>
      </c>
      <c r="W849" s="35" t="str">
        <f>VLOOKUP(D849,Program!$A$1:$B$36,2,FALSE)</f>
        <v>Ämneslärarprogrammet - Gy</v>
      </c>
      <c r="X849" s="40">
        <f>VLOOKUP(A849,kurspris!$A$1:$Q$913,15,FALSE)</f>
        <v>20766</v>
      </c>
      <c r="Y849" s="40">
        <f>VLOOKUP(A849,kurspris!$A$1:$Q$913,16,FALSE)</f>
        <v>17442</v>
      </c>
      <c r="Z849" s="40">
        <f t="shared" si="395"/>
        <v>13346.887500000001</v>
      </c>
      <c r="AA849" s="40">
        <f>VLOOKUP(A849,kurspris!$A$1:$Q$913,17,FALSE)</f>
        <v>6000</v>
      </c>
      <c r="AB849" s="40">
        <f t="shared" si="396"/>
        <v>2250</v>
      </c>
      <c r="AC849" s="40">
        <f t="shared" si="397"/>
        <v>15596.887500000001</v>
      </c>
      <c r="AD849" s="31">
        <f>VLOOKUP($A849,kurspris!$A$1:$Q$950,3,FALSE)</f>
        <v>0</v>
      </c>
      <c r="AE849" s="31">
        <f>VLOOKUP($A849,kurspris!$A$1:$Q$950,4,FALSE)</f>
        <v>0</v>
      </c>
      <c r="AF849" s="31">
        <f>VLOOKUP($A849,kurspris!$A$1:$Q$950,5,FALSE)</f>
        <v>0</v>
      </c>
      <c r="AG849" s="31">
        <f>VLOOKUP($A849,kurspris!$A$1:$Q$950,6,FALSE)</f>
        <v>0</v>
      </c>
      <c r="AH849" s="31">
        <f>VLOOKUP($A849,kurspris!$A$1:$Q$950,7,FALSE)</f>
        <v>0</v>
      </c>
      <c r="AI849" s="31">
        <f>VLOOKUP($A849,kurspris!$A$1:$Q$950,8,FALSE)</f>
        <v>0</v>
      </c>
      <c r="AJ849" s="31">
        <f>VLOOKUP($A849,kurspris!$A$1:$Q$950,9,FALSE)</f>
        <v>1</v>
      </c>
      <c r="AK849" s="31">
        <f>VLOOKUP($A849,kurspris!$A$1:$Q$950,10,FALSE)</f>
        <v>0</v>
      </c>
      <c r="AL849" s="31">
        <f>VLOOKUP($A849,kurspris!$A$1:$Q$950,11,FALSE)</f>
        <v>0</v>
      </c>
      <c r="AM849" s="31">
        <f>VLOOKUP($A849,kurspris!$A$1:$Q$950,12,FALSE)</f>
        <v>0</v>
      </c>
      <c r="AN849" s="31">
        <f>VLOOKUP($A849,kurspris!$A$1:$Q$950,13,FALSE)</f>
        <v>0</v>
      </c>
      <c r="AO849" s="31">
        <f>VLOOKUP($A849,kurspris!$A$1:$Q$950,14,FALSE)</f>
        <v>0</v>
      </c>
      <c r="AP849" s="57" t="s">
        <v>2506</v>
      </c>
      <c r="AQ849" t="s">
        <v>2311</v>
      </c>
      <c r="AR849" s="31">
        <f t="shared" si="398"/>
        <v>0</v>
      </c>
      <c r="AS849" s="219">
        <f t="shared" si="399"/>
        <v>0</v>
      </c>
      <c r="AT849" s="31">
        <f t="shared" si="400"/>
        <v>0</v>
      </c>
      <c r="AU849" s="219">
        <f t="shared" si="401"/>
        <v>0</v>
      </c>
      <c r="AV849" s="31">
        <f t="shared" si="402"/>
        <v>0</v>
      </c>
      <c r="AW849" s="31">
        <f t="shared" si="403"/>
        <v>0</v>
      </c>
      <c r="AX849" s="31">
        <f t="shared" si="404"/>
        <v>0</v>
      </c>
      <c r="AY849" s="219">
        <f t="shared" si="405"/>
        <v>0</v>
      </c>
      <c r="AZ849" s="196">
        <f t="shared" si="406"/>
        <v>0</v>
      </c>
      <c r="BA849" s="219">
        <f t="shared" si="407"/>
        <v>0</v>
      </c>
      <c r="BB849" s="31">
        <f t="shared" si="408"/>
        <v>0</v>
      </c>
      <c r="BC849" s="219">
        <f t="shared" si="409"/>
        <v>0</v>
      </c>
      <c r="BD849" s="31">
        <f t="shared" si="410"/>
        <v>0.375</v>
      </c>
      <c r="BE849" s="219">
        <f t="shared" si="411"/>
        <v>0.31874999999999998</v>
      </c>
      <c r="BF849" s="31">
        <f t="shared" si="412"/>
        <v>0</v>
      </c>
      <c r="BG849" s="219">
        <f t="shared" si="413"/>
        <v>0</v>
      </c>
      <c r="BH849" s="31">
        <f t="shared" si="414"/>
        <v>0</v>
      </c>
      <c r="BI849" s="219">
        <f t="shared" si="415"/>
        <v>0</v>
      </c>
      <c r="BJ849" s="31">
        <f t="shared" si="416"/>
        <v>0</v>
      </c>
      <c r="BK849" s="219">
        <f t="shared" si="417"/>
        <v>0</v>
      </c>
      <c r="BL849" s="31">
        <f t="shared" si="418"/>
        <v>0</v>
      </c>
      <c r="BM849" s="219">
        <f t="shared" si="419"/>
        <v>0</v>
      </c>
      <c r="BN849" s="31">
        <f t="shared" si="420"/>
        <v>0</v>
      </c>
      <c r="BO849" s="219">
        <f t="shared" si="421"/>
        <v>0</v>
      </c>
    </row>
    <row r="850" spans="1:67" x14ac:dyDescent="0.25">
      <c r="A850" s="31" t="s">
        <v>1024</v>
      </c>
      <c r="B850" s="176" t="str">
        <f>VLOOKUP(A850,kurspris!$A$1:$B$992,2,FALSE)</f>
        <v>Examensarbete</v>
      </c>
      <c r="D850" s="60" t="s">
        <v>482</v>
      </c>
      <c r="E850" s="576" t="s">
        <v>2226</v>
      </c>
      <c r="F850" s="31" t="s">
        <v>2273</v>
      </c>
      <c r="G850" s="244" t="s">
        <v>2454</v>
      </c>
      <c r="H850" t="s">
        <v>2335</v>
      </c>
      <c r="J850" s="31" t="s">
        <v>2242</v>
      </c>
      <c r="L850" s="38">
        <v>1</v>
      </c>
      <c r="M850" s="244">
        <v>7.5</v>
      </c>
      <c r="P850" s="31">
        <v>6</v>
      </c>
      <c r="Q850" s="196">
        <f t="shared" si="422"/>
        <v>0.75</v>
      </c>
      <c r="R850" s="38">
        <v>0.85</v>
      </c>
      <c r="S850" s="280">
        <f t="shared" si="394"/>
        <v>0.63749999999999996</v>
      </c>
      <c r="T850" s="31">
        <f>VLOOKUP(A850,'Ansvar kurs'!$A$1:$C$1123,2,FALSE)</f>
        <v>2340</v>
      </c>
      <c r="U850" s="31" t="str">
        <f>VLOOKUP(T850,Orgenheter!$A$1:$C$166,2,FALSE)</f>
        <v xml:space="preserve">Statsvetenskap                </v>
      </c>
      <c r="V850" s="31" t="str">
        <f>VLOOKUP(T850,Orgenheter!$A$1:$C$166,3,FALSE)</f>
        <v>Sam</v>
      </c>
      <c r="W850" s="35" t="str">
        <f>VLOOKUP(D850,Program!$A$1:$B$36,2,FALSE)</f>
        <v>Ämneslärarprogrammet - Gy</v>
      </c>
      <c r="X850" s="40">
        <f>VLOOKUP(A850,kurspris!$A$1:$Q$913,15,FALSE)</f>
        <v>20766</v>
      </c>
      <c r="Y850" s="40">
        <f>VLOOKUP(A850,kurspris!$A$1:$Q$913,16,FALSE)</f>
        <v>17442</v>
      </c>
      <c r="Z850" s="40">
        <f t="shared" si="395"/>
        <v>26693.775000000001</v>
      </c>
      <c r="AA850" s="40">
        <f>VLOOKUP(A850,kurspris!$A$1:$Q$913,17,FALSE)</f>
        <v>6000</v>
      </c>
      <c r="AB850" s="40">
        <f t="shared" si="396"/>
        <v>4500</v>
      </c>
      <c r="AC850" s="40">
        <f t="shared" si="397"/>
        <v>31193.775000000001</v>
      </c>
      <c r="AD850" s="31">
        <f>VLOOKUP($A850,kurspris!$A$1:$Q$950,3,FALSE)</f>
        <v>0</v>
      </c>
      <c r="AE850" s="31">
        <f>VLOOKUP($A850,kurspris!$A$1:$Q$950,4,FALSE)</f>
        <v>0</v>
      </c>
      <c r="AF850" s="31">
        <f>VLOOKUP($A850,kurspris!$A$1:$Q$950,5,FALSE)</f>
        <v>0</v>
      </c>
      <c r="AG850" s="31">
        <f>VLOOKUP($A850,kurspris!$A$1:$Q$950,6,FALSE)</f>
        <v>0</v>
      </c>
      <c r="AH850" s="31">
        <f>VLOOKUP($A850,kurspris!$A$1:$Q$950,7,FALSE)</f>
        <v>0</v>
      </c>
      <c r="AI850" s="31">
        <f>VLOOKUP($A850,kurspris!$A$1:$Q$950,8,FALSE)</f>
        <v>0</v>
      </c>
      <c r="AJ850" s="31">
        <f>VLOOKUP($A850,kurspris!$A$1:$Q$950,9,FALSE)</f>
        <v>1</v>
      </c>
      <c r="AK850" s="31">
        <f>VLOOKUP($A850,kurspris!$A$1:$Q$950,10,FALSE)</f>
        <v>0</v>
      </c>
      <c r="AL850" s="31">
        <f>VLOOKUP($A850,kurspris!$A$1:$Q$950,11,FALSE)</f>
        <v>0</v>
      </c>
      <c r="AM850" s="31">
        <f>VLOOKUP($A850,kurspris!$A$1:$Q$950,12,FALSE)</f>
        <v>0</v>
      </c>
      <c r="AN850" s="31">
        <f>VLOOKUP($A850,kurspris!$A$1:$Q$950,13,FALSE)</f>
        <v>0</v>
      </c>
      <c r="AO850" s="31">
        <f>VLOOKUP($A850,kurspris!$A$1:$Q$950,14,FALSE)</f>
        <v>0</v>
      </c>
      <c r="AP850" s="57" t="s">
        <v>2506</v>
      </c>
      <c r="AQ850" t="s">
        <v>2311</v>
      </c>
      <c r="AR850" s="31">
        <f t="shared" si="398"/>
        <v>0</v>
      </c>
      <c r="AS850" s="219">
        <f t="shared" si="399"/>
        <v>0</v>
      </c>
      <c r="AT850" s="31">
        <f t="shared" si="400"/>
        <v>0</v>
      </c>
      <c r="AU850" s="219">
        <f t="shared" si="401"/>
        <v>0</v>
      </c>
      <c r="AV850" s="31">
        <f t="shared" si="402"/>
        <v>0</v>
      </c>
      <c r="AW850" s="31">
        <f t="shared" si="403"/>
        <v>0</v>
      </c>
      <c r="AX850" s="31">
        <f t="shared" si="404"/>
        <v>0</v>
      </c>
      <c r="AY850" s="219">
        <f t="shared" si="405"/>
        <v>0</v>
      </c>
      <c r="AZ850" s="196">
        <f t="shared" si="406"/>
        <v>0</v>
      </c>
      <c r="BA850" s="219">
        <f t="shared" si="407"/>
        <v>0</v>
      </c>
      <c r="BB850" s="31">
        <f t="shared" si="408"/>
        <v>0</v>
      </c>
      <c r="BC850" s="219">
        <f t="shared" si="409"/>
        <v>0</v>
      </c>
      <c r="BD850" s="31">
        <f t="shared" si="410"/>
        <v>0.75</v>
      </c>
      <c r="BE850" s="219">
        <f t="shared" si="411"/>
        <v>0.63749999999999996</v>
      </c>
      <c r="BF850" s="31">
        <f t="shared" si="412"/>
        <v>0</v>
      </c>
      <c r="BG850" s="219">
        <f t="shared" si="413"/>
        <v>0</v>
      </c>
      <c r="BH850" s="31">
        <f t="shared" si="414"/>
        <v>0</v>
      </c>
      <c r="BI850" s="219">
        <f t="shared" si="415"/>
        <v>0</v>
      </c>
      <c r="BJ850" s="31">
        <f t="shared" si="416"/>
        <v>0</v>
      </c>
      <c r="BK850" s="219">
        <f t="shared" si="417"/>
        <v>0</v>
      </c>
      <c r="BL850" s="31">
        <f t="shared" si="418"/>
        <v>0</v>
      </c>
      <c r="BM850" s="219">
        <f t="shared" si="419"/>
        <v>0</v>
      </c>
      <c r="BN850" s="31">
        <f t="shared" si="420"/>
        <v>0</v>
      </c>
      <c r="BO850" s="219">
        <f t="shared" si="421"/>
        <v>0</v>
      </c>
    </row>
    <row r="851" spans="1:67" x14ac:dyDescent="0.25">
      <c r="A851" s="31" t="s">
        <v>1024</v>
      </c>
      <c r="B851" s="176" t="str">
        <f>VLOOKUP(A851,kurspris!$A$1:$B$992,2,FALSE)</f>
        <v>Examensarbete</v>
      </c>
      <c r="D851" s="60" t="s">
        <v>482</v>
      </c>
      <c r="E851" s="576" t="s">
        <v>2225</v>
      </c>
      <c r="F851" s="31" t="s">
        <v>2273</v>
      </c>
      <c r="G851" s="244" t="s">
        <v>2454</v>
      </c>
      <c r="H851" t="s">
        <v>2335</v>
      </c>
      <c r="J851" s="31" t="s">
        <v>2231</v>
      </c>
      <c r="L851" s="38">
        <v>1</v>
      </c>
      <c r="M851" s="244">
        <v>7.5</v>
      </c>
      <c r="P851" s="31">
        <v>1</v>
      </c>
      <c r="Q851" s="196">
        <f t="shared" si="422"/>
        <v>0.125</v>
      </c>
      <c r="R851" s="38">
        <v>0.85</v>
      </c>
      <c r="S851" s="280">
        <f t="shared" si="394"/>
        <v>0.10625</v>
      </c>
      <c r="T851" s="31">
        <f>VLOOKUP(A851,'Ansvar kurs'!$A$1:$C$1123,2,FALSE)</f>
        <v>2340</v>
      </c>
      <c r="U851" s="31" t="str">
        <f>VLOOKUP(T851,Orgenheter!$A$1:$C$166,2,FALSE)</f>
        <v xml:space="preserve">Statsvetenskap                </v>
      </c>
      <c r="V851" s="31" t="str">
        <f>VLOOKUP(T851,Orgenheter!$A$1:$C$166,3,FALSE)</f>
        <v>Sam</v>
      </c>
      <c r="W851" s="35" t="str">
        <f>VLOOKUP(D851,Program!$A$1:$B$36,2,FALSE)</f>
        <v>Ämneslärarprogrammet - Gy</v>
      </c>
      <c r="X851" s="40">
        <f>VLOOKUP(A851,kurspris!$A$1:$Q$913,15,FALSE)</f>
        <v>20766</v>
      </c>
      <c r="Y851" s="40">
        <f>VLOOKUP(A851,kurspris!$A$1:$Q$913,16,FALSE)</f>
        <v>17442</v>
      </c>
      <c r="Z851" s="40">
        <f t="shared" si="395"/>
        <v>4448.9624999999996</v>
      </c>
      <c r="AA851" s="40">
        <f>VLOOKUP(A851,kurspris!$A$1:$Q$913,17,FALSE)</f>
        <v>6000</v>
      </c>
      <c r="AB851" s="40">
        <f t="shared" si="396"/>
        <v>750</v>
      </c>
      <c r="AC851" s="40">
        <f t="shared" si="397"/>
        <v>5198.9624999999996</v>
      </c>
      <c r="AD851" s="31">
        <f>VLOOKUP($A851,kurspris!$A$1:$Q$950,3,FALSE)</f>
        <v>0</v>
      </c>
      <c r="AE851" s="31">
        <f>VLOOKUP($A851,kurspris!$A$1:$Q$950,4,FALSE)</f>
        <v>0</v>
      </c>
      <c r="AF851" s="31">
        <f>VLOOKUP($A851,kurspris!$A$1:$Q$950,5,FALSE)</f>
        <v>0</v>
      </c>
      <c r="AG851" s="31">
        <f>VLOOKUP($A851,kurspris!$A$1:$Q$950,6,FALSE)</f>
        <v>0</v>
      </c>
      <c r="AH851" s="31">
        <f>VLOOKUP($A851,kurspris!$A$1:$Q$950,7,FALSE)</f>
        <v>0</v>
      </c>
      <c r="AI851" s="31">
        <f>VLOOKUP($A851,kurspris!$A$1:$Q$950,8,FALSE)</f>
        <v>0</v>
      </c>
      <c r="AJ851" s="31">
        <f>VLOOKUP($A851,kurspris!$A$1:$Q$950,9,FALSE)</f>
        <v>1</v>
      </c>
      <c r="AK851" s="31">
        <f>VLOOKUP($A851,kurspris!$A$1:$Q$950,10,FALSE)</f>
        <v>0</v>
      </c>
      <c r="AL851" s="31">
        <f>VLOOKUP($A851,kurspris!$A$1:$Q$950,11,FALSE)</f>
        <v>0</v>
      </c>
      <c r="AM851" s="31">
        <f>VLOOKUP($A851,kurspris!$A$1:$Q$950,12,FALSE)</f>
        <v>0</v>
      </c>
      <c r="AN851" s="31">
        <f>VLOOKUP($A851,kurspris!$A$1:$Q$950,13,FALSE)</f>
        <v>0</v>
      </c>
      <c r="AO851" s="31">
        <f>VLOOKUP($A851,kurspris!$A$1:$Q$950,14,FALSE)</f>
        <v>0</v>
      </c>
      <c r="AP851" s="57" t="s">
        <v>2506</v>
      </c>
      <c r="AQ851" t="s">
        <v>2311</v>
      </c>
      <c r="AR851" s="31">
        <f t="shared" si="398"/>
        <v>0</v>
      </c>
      <c r="AS851" s="219">
        <f t="shared" si="399"/>
        <v>0</v>
      </c>
      <c r="AT851" s="31">
        <f t="shared" si="400"/>
        <v>0</v>
      </c>
      <c r="AU851" s="219">
        <f t="shared" si="401"/>
        <v>0</v>
      </c>
      <c r="AV851" s="31">
        <f t="shared" si="402"/>
        <v>0</v>
      </c>
      <c r="AW851" s="31">
        <f t="shared" si="403"/>
        <v>0</v>
      </c>
      <c r="AX851" s="31">
        <f t="shared" si="404"/>
        <v>0</v>
      </c>
      <c r="AY851" s="219">
        <f t="shared" si="405"/>
        <v>0</v>
      </c>
      <c r="AZ851" s="196">
        <f t="shared" si="406"/>
        <v>0</v>
      </c>
      <c r="BA851" s="219">
        <f t="shared" si="407"/>
        <v>0</v>
      </c>
      <c r="BB851" s="31">
        <f t="shared" si="408"/>
        <v>0</v>
      </c>
      <c r="BC851" s="219">
        <f t="shared" si="409"/>
        <v>0</v>
      </c>
      <c r="BD851" s="31">
        <f t="shared" si="410"/>
        <v>0.125</v>
      </c>
      <c r="BE851" s="219">
        <f t="shared" si="411"/>
        <v>0.10625</v>
      </c>
      <c r="BF851" s="31">
        <f t="shared" si="412"/>
        <v>0</v>
      </c>
      <c r="BG851" s="219">
        <f t="shared" si="413"/>
        <v>0</v>
      </c>
      <c r="BH851" s="31">
        <f t="shared" si="414"/>
        <v>0</v>
      </c>
      <c r="BI851" s="219">
        <f t="shared" si="415"/>
        <v>0</v>
      </c>
      <c r="BJ851" s="31">
        <f t="shared" si="416"/>
        <v>0</v>
      </c>
      <c r="BK851" s="219">
        <f t="shared" si="417"/>
        <v>0</v>
      </c>
      <c r="BL851" s="31">
        <f t="shared" si="418"/>
        <v>0</v>
      </c>
      <c r="BM851" s="219">
        <f t="shared" si="419"/>
        <v>0</v>
      </c>
      <c r="BN851" s="31">
        <f t="shared" si="420"/>
        <v>0</v>
      </c>
      <c r="BO851" s="219">
        <f t="shared" si="421"/>
        <v>0</v>
      </c>
    </row>
    <row r="852" spans="1:67" x14ac:dyDescent="0.25">
      <c r="A852" s="31" t="s">
        <v>1024</v>
      </c>
      <c r="B852" s="176" t="str">
        <f>VLOOKUP(A852,kurspris!$A$1:$B$992,2,FALSE)</f>
        <v>Examensarbete</v>
      </c>
      <c r="D852" s="60" t="s">
        <v>482</v>
      </c>
      <c r="E852" s="576" t="s">
        <v>2434</v>
      </c>
      <c r="F852" s="31" t="s">
        <v>2273</v>
      </c>
      <c r="G852" s="244" t="s">
        <v>2454</v>
      </c>
      <c r="H852" t="s">
        <v>2335</v>
      </c>
      <c r="J852" s="31" t="s">
        <v>2242</v>
      </c>
      <c r="L852" s="38">
        <v>1</v>
      </c>
      <c r="M852" s="244">
        <v>7.5</v>
      </c>
      <c r="P852" s="31">
        <v>1</v>
      </c>
      <c r="Q852" s="196">
        <f t="shared" si="422"/>
        <v>0.125</v>
      </c>
      <c r="R852" s="38">
        <v>0.85</v>
      </c>
      <c r="S852" s="280">
        <f t="shared" si="394"/>
        <v>0.10625</v>
      </c>
      <c r="T852" s="31">
        <f>VLOOKUP(A852,'Ansvar kurs'!$A$1:$C$1123,2,FALSE)</f>
        <v>2340</v>
      </c>
      <c r="U852" s="31" t="str">
        <f>VLOOKUP(T852,Orgenheter!$A$1:$C$166,2,FALSE)</f>
        <v xml:space="preserve">Statsvetenskap                </v>
      </c>
      <c r="V852" s="31" t="str">
        <f>VLOOKUP(T852,Orgenheter!$A$1:$C$166,3,FALSE)</f>
        <v>Sam</v>
      </c>
      <c r="W852" s="35" t="str">
        <f>VLOOKUP(D852,Program!$A$1:$B$36,2,FALSE)</f>
        <v>Ämneslärarprogrammet - Gy</v>
      </c>
      <c r="X852" s="40">
        <f>VLOOKUP(A852,kurspris!$A$1:$Q$913,15,FALSE)</f>
        <v>20766</v>
      </c>
      <c r="Y852" s="40">
        <f>VLOOKUP(A852,kurspris!$A$1:$Q$913,16,FALSE)</f>
        <v>17442</v>
      </c>
      <c r="Z852" s="40">
        <f t="shared" si="395"/>
        <v>4448.9624999999996</v>
      </c>
      <c r="AA852" s="40">
        <f>VLOOKUP(A852,kurspris!$A$1:$Q$913,17,FALSE)</f>
        <v>6000</v>
      </c>
      <c r="AB852" s="40">
        <f t="shared" si="396"/>
        <v>750</v>
      </c>
      <c r="AC852" s="40">
        <f t="shared" si="397"/>
        <v>5198.9624999999996</v>
      </c>
      <c r="AD852" s="31">
        <f>VLOOKUP($A852,kurspris!$A$1:$Q$950,3,FALSE)</f>
        <v>0</v>
      </c>
      <c r="AE852" s="31">
        <f>VLOOKUP($A852,kurspris!$A$1:$Q$950,4,FALSE)</f>
        <v>0</v>
      </c>
      <c r="AF852" s="31">
        <f>VLOOKUP($A852,kurspris!$A$1:$Q$950,5,FALSE)</f>
        <v>0</v>
      </c>
      <c r="AG852" s="31">
        <f>VLOOKUP($A852,kurspris!$A$1:$Q$950,6,FALSE)</f>
        <v>0</v>
      </c>
      <c r="AH852" s="31">
        <f>VLOOKUP($A852,kurspris!$A$1:$Q$950,7,FALSE)</f>
        <v>0</v>
      </c>
      <c r="AI852" s="31">
        <f>VLOOKUP($A852,kurspris!$A$1:$Q$950,8,FALSE)</f>
        <v>0</v>
      </c>
      <c r="AJ852" s="31">
        <f>VLOOKUP($A852,kurspris!$A$1:$Q$950,9,FALSE)</f>
        <v>1</v>
      </c>
      <c r="AK852" s="31">
        <f>VLOOKUP($A852,kurspris!$A$1:$Q$950,10,FALSE)</f>
        <v>0</v>
      </c>
      <c r="AL852" s="31">
        <f>VLOOKUP($A852,kurspris!$A$1:$Q$950,11,FALSE)</f>
        <v>0</v>
      </c>
      <c r="AM852" s="31">
        <f>VLOOKUP($A852,kurspris!$A$1:$Q$950,12,FALSE)</f>
        <v>0</v>
      </c>
      <c r="AN852" s="31">
        <f>VLOOKUP($A852,kurspris!$A$1:$Q$950,13,FALSE)</f>
        <v>0</v>
      </c>
      <c r="AO852" s="31">
        <f>VLOOKUP($A852,kurspris!$A$1:$Q$950,14,FALSE)</f>
        <v>0</v>
      </c>
      <c r="AP852" s="57" t="s">
        <v>2506</v>
      </c>
      <c r="AQ852" t="s">
        <v>2311</v>
      </c>
      <c r="AR852" s="31">
        <f t="shared" si="398"/>
        <v>0</v>
      </c>
      <c r="AS852" s="219">
        <f t="shared" si="399"/>
        <v>0</v>
      </c>
      <c r="AT852" s="31">
        <f t="shared" si="400"/>
        <v>0</v>
      </c>
      <c r="AU852" s="219">
        <f t="shared" si="401"/>
        <v>0</v>
      </c>
      <c r="AV852" s="31">
        <f t="shared" si="402"/>
        <v>0</v>
      </c>
      <c r="AW852" s="31">
        <f t="shared" si="403"/>
        <v>0</v>
      </c>
      <c r="AX852" s="31">
        <f t="shared" si="404"/>
        <v>0</v>
      </c>
      <c r="AY852" s="219">
        <f t="shared" si="405"/>
        <v>0</v>
      </c>
      <c r="AZ852" s="196">
        <f t="shared" si="406"/>
        <v>0</v>
      </c>
      <c r="BA852" s="219">
        <f t="shared" si="407"/>
        <v>0</v>
      </c>
      <c r="BB852" s="31">
        <f t="shared" si="408"/>
        <v>0</v>
      </c>
      <c r="BC852" s="219">
        <f t="shared" si="409"/>
        <v>0</v>
      </c>
      <c r="BD852" s="31">
        <f t="shared" si="410"/>
        <v>0.125</v>
      </c>
      <c r="BE852" s="219">
        <f t="shared" si="411"/>
        <v>0.10625</v>
      </c>
      <c r="BF852" s="31">
        <f t="shared" si="412"/>
        <v>0</v>
      </c>
      <c r="BG852" s="219">
        <f t="shared" si="413"/>
        <v>0</v>
      </c>
      <c r="BH852" s="31">
        <f t="shared" si="414"/>
        <v>0</v>
      </c>
      <c r="BI852" s="219">
        <f t="shared" si="415"/>
        <v>0</v>
      </c>
      <c r="BJ852" s="31">
        <f t="shared" si="416"/>
        <v>0</v>
      </c>
      <c r="BK852" s="219">
        <f t="shared" si="417"/>
        <v>0</v>
      </c>
      <c r="BL852" s="31">
        <f t="shared" si="418"/>
        <v>0</v>
      </c>
      <c r="BM852" s="219">
        <f t="shared" si="419"/>
        <v>0</v>
      </c>
      <c r="BN852" s="31">
        <f t="shared" si="420"/>
        <v>0</v>
      </c>
      <c r="BO852" s="219">
        <f t="shared" si="421"/>
        <v>0</v>
      </c>
    </row>
    <row r="853" spans="1:67" x14ac:dyDescent="0.25">
      <c r="A853" s="31" t="s">
        <v>2230</v>
      </c>
      <c r="B853" s="176" t="str">
        <f>VLOOKUP(A853,kurspris!$A$1:$B$992,2,FALSE)</f>
        <v>Profession och vetenskap för ämneslärare</v>
      </c>
      <c r="D853" s="60" t="s">
        <v>481</v>
      </c>
      <c r="E853" s="576" t="s">
        <v>2226</v>
      </c>
      <c r="F853" s="31" t="s">
        <v>2273</v>
      </c>
      <c r="G853" t="s">
        <v>2438</v>
      </c>
      <c r="H853" t="s">
        <v>2335</v>
      </c>
      <c r="J853" s="31" t="s">
        <v>2244</v>
      </c>
      <c r="L853" s="38">
        <v>1</v>
      </c>
      <c r="M853">
        <v>7.5</v>
      </c>
      <c r="P853" s="31">
        <v>2</v>
      </c>
      <c r="Q853" s="196">
        <f t="shared" si="422"/>
        <v>0.25</v>
      </c>
      <c r="R853" s="38">
        <v>0.85</v>
      </c>
      <c r="S853" s="280">
        <f t="shared" si="394"/>
        <v>0.21249999999999999</v>
      </c>
      <c r="T853" s="31">
        <f>VLOOKUP(A853,'Ansvar kurs'!$A$1:$C$1123,2,FALSE)</f>
        <v>2340</v>
      </c>
      <c r="U853" s="31" t="str">
        <f>VLOOKUP(T853,Orgenheter!$A$1:$C$166,2,FALSE)</f>
        <v xml:space="preserve">Statsvetenskap                </v>
      </c>
      <c r="V853" s="31" t="str">
        <f>VLOOKUP(T853,Orgenheter!$A$1:$C$166,3,FALSE)</f>
        <v>Sam</v>
      </c>
      <c r="W853" s="35" t="str">
        <f>VLOOKUP(D853,Program!$A$1:$B$36,2,FALSE)</f>
        <v>Ämneslärarprogrammet - åk 7-9</v>
      </c>
      <c r="X853" s="40">
        <f>VLOOKUP(A853,kurspris!$A$1:$Q$913,15,FALSE)</f>
        <v>26554</v>
      </c>
      <c r="Y853" s="40">
        <f>VLOOKUP(A853,kurspris!$A$1:$Q$913,16,FALSE)</f>
        <v>33465</v>
      </c>
      <c r="Z853" s="40">
        <f t="shared" si="395"/>
        <v>13749.8125</v>
      </c>
      <c r="AA853" s="40">
        <f>VLOOKUP(A853,kurspris!$A$1:$Q$913,17,FALSE)</f>
        <v>6000</v>
      </c>
      <c r="AB853" s="40">
        <f t="shared" si="396"/>
        <v>1500</v>
      </c>
      <c r="AC853" s="40">
        <f t="shared" si="397"/>
        <v>15249.8125</v>
      </c>
      <c r="AD853" s="31">
        <f>VLOOKUP($A853,kurspris!$A$1:$Q$950,3,FALSE)</f>
        <v>0</v>
      </c>
      <c r="AE853" s="31">
        <f>VLOOKUP($A853,kurspris!$A$1:$Q$950,4,FALSE)</f>
        <v>0</v>
      </c>
      <c r="AF853" s="31">
        <f>VLOOKUP($A853,kurspris!$A$1:$Q$950,5,FALSE)</f>
        <v>0</v>
      </c>
      <c r="AG853" s="31">
        <f>VLOOKUP($A853,kurspris!$A$1:$Q$950,6,FALSE)</f>
        <v>1</v>
      </c>
      <c r="AH853" s="31">
        <f>VLOOKUP($A853,kurspris!$A$1:$Q$950,7,FALSE)</f>
        <v>0</v>
      </c>
      <c r="AI853" s="31">
        <f>VLOOKUP($A853,kurspris!$A$1:$Q$950,8,FALSE)</f>
        <v>0</v>
      </c>
      <c r="AJ853" s="31">
        <f>VLOOKUP($A853,kurspris!$A$1:$Q$950,9,FALSE)</f>
        <v>0</v>
      </c>
      <c r="AK853" s="31">
        <f>VLOOKUP($A853,kurspris!$A$1:$Q$950,10,FALSE)</f>
        <v>0</v>
      </c>
      <c r="AL853" s="31">
        <f>VLOOKUP($A853,kurspris!$A$1:$Q$950,11,FALSE)</f>
        <v>0</v>
      </c>
      <c r="AM853" s="31">
        <f>VLOOKUP($A853,kurspris!$A$1:$Q$950,12,FALSE)</f>
        <v>0</v>
      </c>
      <c r="AN853" s="31">
        <f>VLOOKUP($A853,kurspris!$A$1:$Q$950,13,FALSE)</f>
        <v>0</v>
      </c>
      <c r="AO853" s="31">
        <f>VLOOKUP($A853,kurspris!$A$1:$Q$950,14,FALSE)</f>
        <v>0</v>
      </c>
      <c r="AP853" s="57" t="s">
        <v>2506</v>
      </c>
      <c r="AQ853"/>
      <c r="AR853" s="31">
        <f t="shared" si="398"/>
        <v>0</v>
      </c>
      <c r="AS853" s="219">
        <f t="shared" si="399"/>
        <v>0</v>
      </c>
      <c r="AT853" s="31">
        <f t="shared" si="400"/>
        <v>0</v>
      </c>
      <c r="AU853" s="219">
        <f t="shared" si="401"/>
        <v>0</v>
      </c>
      <c r="AV853" s="31">
        <f t="shared" si="402"/>
        <v>0</v>
      </c>
      <c r="AW853" s="31">
        <f t="shared" si="403"/>
        <v>0</v>
      </c>
      <c r="AX853" s="31">
        <f t="shared" si="404"/>
        <v>0.25</v>
      </c>
      <c r="AY853" s="219">
        <f t="shared" si="405"/>
        <v>0.21249999999999999</v>
      </c>
      <c r="AZ853" s="196">
        <f t="shared" si="406"/>
        <v>0</v>
      </c>
      <c r="BA853" s="219">
        <f t="shared" si="407"/>
        <v>0</v>
      </c>
      <c r="BB853" s="31">
        <f t="shared" si="408"/>
        <v>0</v>
      </c>
      <c r="BC853" s="219">
        <f t="shared" si="409"/>
        <v>0</v>
      </c>
      <c r="BD853" s="31">
        <f t="shared" si="410"/>
        <v>0</v>
      </c>
      <c r="BE853" s="219">
        <f t="shared" si="411"/>
        <v>0</v>
      </c>
      <c r="BF853" s="31">
        <f t="shared" si="412"/>
        <v>0</v>
      </c>
      <c r="BG853" s="219">
        <f t="shared" si="413"/>
        <v>0</v>
      </c>
      <c r="BH853" s="31">
        <f t="shared" si="414"/>
        <v>0</v>
      </c>
      <c r="BI853" s="219">
        <f t="shared" si="415"/>
        <v>0</v>
      </c>
      <c r="BJ853" s="31">
        <f t="shared" si="416"/>
        <v>0</v>
      </c>
      <c r="BK853" s="219">
        <f t="shared" si="417"/>
        <v>0</v>
      </c>
      <c r="BL853" s="31">
        <f t="shared" si="418"/>
        <v>0</v>
      </c>
      <c r="BM853" s="219">
        <f t="shared" si="419"/>
        <v>0</v>
      </c>
      <c r="BN853" s="31">
        <f t="shared" si="420"/>
        <v>0</v>
      </c>
      <c r="BO853" s="219">
        <f t="shared" si="421"/>
        <v>0</v>
      </c>
    </row>
    <row r="854" spans="1:67" x14ac:dyDescent="0.25">
      <c r="A854" s="31" t="s">
        <v>2230</v>
      </c>
      <c r="B854" s="176" t="str">
        <f>VLOOKUP(A854,kurspris!$A$1:$B$992,2,FALSE)</f>
        <v>Profession och vetenskap för ämneslärare</v>
      </c>
      <c r="D854" s="60" t="s">
        <v>482</v>
      </c>
      <c r="E854" s="576" t="s">
        <v>2227</v>
      </c>
      <c r="F854" s="31" t="s">
        <v>2273</v>
      </c>
      <c r="G854" t="s">
        <v>2438</v>
      </c>
      <c r="H854" t="s">
        <v>2335</v>
      </c>
      <c r="J854" s="31" t="s">
        <v>2231</v>
      </c>
      <c r="L854" s="38">
        <v>1</v>
      </c>
      <c r="M854">
        <v>7.5</v>
      </c>
      <c r="P854" s="31">
        <v>1</v>
      </c>
      <c r="Q854" s="196">
        <f t="shared" si="422"/>
        <v>0.125</v>
      </c>
      <c r="R854" s="38">
        <v>0.85</v>
      </c>
      <c r="S854" s="280">
        <f t="shared" si="394"/>
        <v>0.10625</v>
      </c>
      <c r="T854" s="31">
        <f>VLOOKUP(A854,'Ansvar kurs'!$A$1:$C$1123,2,FALSE)</f>
        <v>2340</v>
      </c>
      <c r="U854" s="31" t="str">
        <f>VLOOKUP(T854,Orgenheter!$A$1:$C$166,2,FALSE)</f>
        <v xml:space="preserve">Statsvetenskap                </v>
      </c>
      <c r="V854" s="31" t="str">
        <f>VLOOKUP(T854,Orgenheter!$A$1:$C$166,3,FALSE)</f>
        <v>Sam</v>
      </c>
      <c r="W854" s="35" t="str">
        <f>VLOOKUP(D854,Program!$A$1:$B$36,2,FALSE)</f>
        <v>Ämneslärarprogrammet - Gy</v>
      </c>
      <c r="X854" s="40">
        <f>VLOOKUP(A854,kurspris!$A$1:$Q$913,15,FALSE)</f>
        <v>26554</v>
      </c>
      <c r="Y854" s="40">
        <f>VLOOKUP(A854,kurspris!$A$1:$Q$913,16,FALSE)</f>
        <v>33465</v>
      </c>
      <c r="Z854" s="40">
        <f t="shared" si="395"/>
        <v>6874.90625</v>
      </c>
      <c r="AA854" s="40">
        <f>VLOOKUP(A854,kurspris!$A$1:$Q$913,17,FALSE)</f>
        <v>6000</v>
      </c>
      <c r="AB854" s="40">
        <f t="shared" si="396"/>
        <v>750</v>
      </c>
      <c r="AC854" s="40">
        <f t="shared" si="397"/>
        <v>7624.90625</v>
      </c>
      <c r="AD854" s="31">
        <f>VLOOKUP($A854,kurspris!$A$1:$Q$950,3,FALSE)</f>
        <v>0</v>
      </c>
      <c r="AE854" s="31">
        <f>VLOOKUP($A854,kurspris!$A$1:$Q$950,4,FALSE)</f>
        <v>0</v>
      </c>
      <c r="AF854" s="31">
        <f>VLOOKUP($A854,kurspris!$A$1:$Q$950,5,FALSE)</f>
        <v>0</v>
      </c>
      <c r="AG854" s="31">
        <f>VLOOKUP($A854,kurspris!$A$1:$Q$950,6,FALSE)</f>
        <v>1</v>
      </c>
      <c r="AH854" s="31">
        <f>VLOOKUP($A854,kurspris!$A$1:$Q$950,7,FALSE)</f>
        <v>0</v>
      </c>
      <c r="AI854" s="31">
        <f>VLOOKUP($A854,kurspris!$A$1:$Q$950,8,FALSE)</f>
        <v>0</v>
      </c>
      <c r="AJ854" s="31">
        <f>VLOOKUP($A854,kurspris!$A$1:$Q$950,9,FALSE)</f>
        <v>0</v>
      </c>
      <c r="AK854" s="31">
        <f>VLOOKUP($A854,kurspris!$A$1:$Q$950,10,FALSE)</f>
        <v>0</v>
      </c>
      <c r="AL854" s="31">
        <f>VLOOKUP($A854,kurspris!$A$1:$Q$950,11,FALSE)</f>
        <v>0</v>
      </c>
      <c r="AM854" s="31">
        <f>VLOOKUP($A854,kurspris!$A$1:$Q$950,12,FALSE)</f>
        <v>0</v>
      </c>
      <c r="AN854" s="31">
        <f>VLOOKUP($A854,kurspris!$A$1:$Q$950,13,FALSE)</f>
        <v>0</v>
      </c>
      <c r="AO854" s="31">
        <f>VLOOKUP($A854,kurspris!$A$1:$Q$950,14,FALSE)</f>
        <v>0</v>
      </c>
      <c r="AP854" s="57" t="s">
        <v>2506</v>
      </c>
      <c r="AQ854"/>
      <c r="AR854" s="31">
        <f t="shared" si="398"/>
        <v>0</v>
      </c>
      <c r="AS854" s="219">
        <f t="shared" si="399"/>
        <v>0</v>
      </c>
      <c r="AT854" s="31">
        <f t="shared" si="400"/>
        <v>0</v>
      </c>
      <c r="AU854" s="219">
        <f t="shared" si="401"/>
        <v>0</v>
      </c>
      <c r="AV854" s="31">
        <f t="shared" si="402"/>
        <v>0</v>
      </c>
      <c r="AW854" s="31">
        <f t="shared" si="403"/>
        <v>0</v>
      </c>
      <c r="AX854" s="31">
        <f t="shared" si="404"/>
        <v>0.125</v>
      </c>
      <c r="AY854" s="219">
        <f t="shared" si="405"/>
        <v>0.10625</v>
      </c>
      <c r="AZ854" s="196">
        <f t="shared" si="406"/>
        <v>0</v>
      </c>
      <c r="BA854" s="219">
        <f t="shared" si="407"/>
        <v>0</v>
      </c>
      <c r="BB854" s="31">
        <f t="shared" si="408"/>
        <v>0</v>
      </c>
      <c r="BC854" s="219">
        <f t="shared" si="409"/>
        <v>0</v>
      </c>
      <c r="BD854" s="31">
        <f t="shared" si="410"/>
        <v>0</v>
      </c>
      <c r="BE854" s="219">
        <f t="shared" si="411"/>
        <v>0</v>
      </c>
      <c r="BF854" s="31">
        <f t="shared" si="412"/>
        <v>0</v>
      </c>
      <c r="BG854" s="219">
        <f t="shared" si="413"/>
        <v>0</v>
      </c>
      <c r="BH854" s="31">
        <f t="shared" si="414"/>
        <v>0</v>
      </c>
      <c r="BI854" s="219">
        <f t="shared" si="415"/>
        <v>0</v>
      </c>
      <c r="BJ854" s="31">
        <f t="shared" si="416"/>
        <v>0</v>
      </c>
      <c r="BK854" s="219">
        <f t="shared" si="417"/>
        <v>0</v>
      </c>
      <c r="BL854" s="31">
        <f t="shared" si="418"/>
        <v>0</v>
      </c>
      <c r="BM854" s="219">
        <f t="shared" si="419"/>
        <v>0</v>
      </c>
      <c r="BN854" s="31">
        <f t="shared" si="420"/>
        <v>0</v>
      </c>
      <c r="BO854" s="219">
        <f t="shared" si="421"/>
        <v>0</v>
      </c>
    </row>
    <row r="855" spans="1:67" x14ac:dyDescent="0.25">
      <c r="A855" s="31" t="s">
        <v>2230</v>
      </c>
      <c r="B855" s="176" t="str">
        <f>VLOOKUP(A855,kurspris!$A$1:$B$992,2,FALSE)</f>
        <v>Profession och vetenskap för ämneslärare</v>
      </c>
      <c r="C855" s="31">
        <v>64901</v>
      </c>
      <c r="D855" s="31" t="s">
        <v>482</v>
      </c>
      <c r="F855" s="57" t="s">
        <v>2274</v>
      </c>
      <c r="H855" s="31" t="s">
        <v>2335</v>
      </c>
      <c r="I855" s="31" t="s">
        <v>2399</v>
      </c>
      <c r="J855" s="31" t="s">
        <v>2237</v>
      </c>
      <c r="L855" s="38"/>
      <c r="M855">
        <v>7.5</v>
      </c>
      <c r="P855" s="31">
        <v>2</v>
      </c>
      <c r="Q855" s="539">
        <v>0.25</v>
      </c>
      <c r="R855" s="38">
        <v>0.85</v>
      </c>
      <c r="S855" s="280">
        <f t="shared" si="394"/>
        <v>0.21249999999999999</v>
      </c>
      <c r="T855" s="31">
        <f>VLOOKUP(A855,'Ansvar kurs'!$A$1:$C$1123,2,FALSE)</f>
        <v>2340</v>
      </c>
      <c r="U855" s="31" t="str">
        <f>VLOOKUP(T855,Orgenheter!$A$1:$C$166,2,FALSE)</f>
        <v xml:space="preserve">Statsvetenskap                </v>
      </c>
      <c r="V855" s="31" t="str">
        <f>VLOOKUP(T855,Orgenheter!$A$1:$C$166,3,FALSE)</f>
        <v>Sam</v>
      </c>
      <c r="W855" s="35" t="str">
        <f>VLOOKUP(D855,Program!$A$1:$B$36,2,FALSE)</f>
        <v>Ämneslärarprogrammet - Gy</v>
      </c>
      <c r="X855" s="40">
        <f>VLOOKUP(A855,kurspris!$A$1:$Q$913,15,FALSE)</f>
        <v>26554</v>
      </c>
      <c r="Y855" s="40">
        <f>VLOOKUP(A855,kurspris!$A$1:$Q$913,16,FALSE)</f>
        <v>33465</v>
      </c>
      <c r="Z855" s="40">
        <f t="shared" si="395"/>
        <v>13749.8125</v>
      </c>
      <c r="AA855" s="40">
        <f>VLOOKUP(A855,kurspris!$A$1:$Q$913,17,FALSE)</f>
        <v>6000</v>
      </c>
      <c r="AB855" s="40">
        <f t="shared" si="396"/>
        <v>1500</v>
      </c>
      <c r="AC855" s="40">
        <f t="shared" si="397"/>
        <v>15249.8125</v>
      </c>
      <c r="AD855" s="31">
        <f>VLOOKUP($A855,kurspris!$A$1:$Q$950,3,FALSE)</f>
        <v>0</v>
      </c>
      <c r="AE855" s="31">
        <f>VLOOKUP($A855,kurspris!$A$1:$Q$950,4,FALSE)</f>
        <v>0</v>
      </c>
      <c r="AF855" s="31">
        <f>VLOOKUP($A855,kurspris!$A$1:$Q$950,5,FALSE)</f>
        <v>0</v>
      </c>
      <c r="AG855" s="31">
        <f>VLOOKUP($A855,kurspris!$A$1:$Q$950,6,FALSE)</f>
        <v>1</v>
      </c>
      <c r="AH855" s="31">
        <f>VLOOKUP($A855,kurspris!$A$1:$Q$950,7,FALSE)</f>
        <v>0</v>
      </c>
      <c r="AI855" s="31">
        <f>VLOOKUP($A855,kurspris!$A$1:$Q$950,8,FALSE)</f>
        <v>0</v>
      </c>
      <c r="AJ855" s="31">
        <f>VLOOKUP($A855,kurspris!$A$1:$Q$950,9,FALSE)</f>
        <v>0</v>
      </c>
      <c r="AK855" s="31">
        <f>VLOOKUP($A855,kurspris!$A$1:$Q$950,10,FALSE)</f>
        <v>0</v>
      </c>
      <c r="AL855" s="31">
        <f>VLOOKUP($A855,kurspris!$A$1:$Q$950,11,FALSE)</f>
        <v>0</v>
      </c>
      <c r="AM855" s="31">
        <f>VLOOKUP($A855,kurspris!$A$1:$Q$950,12,FALSE)</f>
        <v>0</v>
      </c>
      <c r="AN855" s="31">
        <f>VLOOKUP($A855,kurspris!$A$1:$Q$950,13,FALSE)</f>
        <v>0</v>
      </c>
      <c r="AO855" s="31">
        <f>VLOOKUP($A855,kurspris!$A$1:$Q$950,14,FALSE)</f>
        <v>0</v>
      </c>
      <c r="AP855" s="57" t="s">
        <v>2402</v>
      </c>
      <c r="AQ855" s="37"/>
      <c r="AR855" s="31">
        <f t="shared" si="398"/>
        <v>0</v>
      </c>
      <c r="AS855" s="219">
        <f t="shared" si="399"/>
        <v>0</v>
      </c>
      <c r="AT855" s="31">
        <f t="shared" si="400"/>
        <v>0</v>
      </c>
      <c r="AU855" s="219">
        <f t="shared" si="401"/>
        <v>0</v>
      </c>
      <c r="AV855" s="31">
        <f t="shared" si="402"/>
        <v>0</v>
      </c>
      <c r="AW855" s="31">
        <f t="shared" si="403"/>
        <v>0</v>
      </c>
      <c r="AX855" s="31">
        <f t="shared" si="404"/>
        <v>0.25</v>
      </c>
      <c r="AY855" s="219">
        <f t="shared" si="405"/>
        <v>0.21249999999999999</v>
      </c>
      <c r="AZ855" s="196">
        <f t="shared" si="406"/>
        <v>0</v>
      </c>
      <c r="BA855" s="219">
        <f t="shared" si="407"/>
        <v>0</v>
      </c>
      <c r="BB855" s="31">
        <f t="shared" si="408"/>
        <v>0</v>
      </c>
      <c r="BC855" s="219">
        <f t="shared" si="409"/>
        <v>0</v>
      </c>
      <c r="BD855" s="31">
        <f t="shared" si="410"/>
        <v>0</v>
      </c>
      <c r="BE855" s="219">
        <f t="shared" si="411"/>
        <v>0</v>
      </c>
      <c r="BF855" s="31">
        <f t="shared" si="412"/>
        <v>0</v>
      </c>
      <c r="BG855" s="219">
        <f t="shared" si="413"/>
        <v>0</v>
      </c>
      <c r="BH855" s="31">
        <f t="shared" si="414"/>
        <v>0</v>
      </c>
      <c r="BI855" s="219">
        <f t="shared" si="415"/>
        <v>0</v>
      </c>
      <c r="BJ855" s="31">
        <f t="shared" si="416"/>
        <v>0</v>
      </c>
      <c r="BK855" s="219">
        <f t="shared" si="417"/>
        <v>0</v>
      </c>
      <c r="BL855" s="31">
        <f t="shared" si="418"/>
        <v>0</v>
      </c>
      <c r="BM855" s="219">
        <f t="shared" si="419"/>
        <v>0</v>
      </c>
      <c r="BN855" s="31">
        <f t="shared" si="420"/>
        <v>0</v>
      </c>
      <c r="BO855" s="219">
        <f t="shared" si="421"/>
        <v>0</v>
      </c>
    </row>
    <row r="856" spans="1:67" x14ac:dyDescent="0.25">
      <c r="A856" s="31" t="s">
        <v>2230</v>
      </c>
      <c r="B856" s="176" t="str">
        <f>VLOOKUP(A856,kurspris!$A$1:$B$992,2,FALSE)</f>
        <v>Profession och vetenskap för ämneslärare</v>
      </c>
      <c r="C856" s="31">
        <v>64901</v>
      </c>
      <c r="D856" s="31" t="s">
        <v>482</v>
      </c>
      <c r="F856" s="57" t="s">
        <v>2274</v>
      </c>
      <c r="H856" s="31" t="s">
        <v>2335</v>
      </c>
      <c r="I856" s="31" t="s">
        <v>2399</v>
      </c>
      <c r="J856" s="31" t="s">
        <v>2234</v>
      </c>
      <c r="L856" s="38"/>
      <c r="M856">
        <v>7.5</v>
      </c>
      <c r="P856" s="31">
        <v>3</v>
      </c>
      <c r="Q856" s="539">
        <v>0.375</v>
      </c>
      <c r="R856" s="38">
        <v>0.85</v>
      </c>
      <c r="S856" s="280">
        <f t="shared" si="394"/>
        <v>0.31874999999999998</v>
      </c>
      <c r="T856" s="31">
        <f>VLOOKUP(A856,'Ansvar kurs'!$A$1:$C$1123,2,FALSE)</f>
        <v>2340</v>
      </c>
      <c r="U856" s="31" t="str">
        <f>VLOOKUP(T856,Orgenheter!$A$1:$C$166,2,FALSE)</f>
        <v xml:space="preserve">Statsvetenskap                </v>
      </c>
      <c r="V856" s="31" t="str">
        <f>VLOOKUP(T856,Orgenheter!$A$1:$C$166,3,FALSE)</f>
        <v>Sam</v>
      </c>
      <c r="W856" s="35" t="str">
        <f>VLOOKUP(D856,Program!$A$1:$B$36,2,FALSE)</f>
        <v>Ämneslärarprogrammet - Gy</v>
      </c>
      <c r="X856" s="40">
        <f>VLOOKUP(A856,kurspris!$A$1:$Q$913,15,FALSE)</f>
        <v>26554</v>
      </c>
      <c r="Y856" s="40">
        <f>VLOOKUP(A856,kurspris!$A$1:$Q$913,16,FALSE)</f>
        <v>33465</v>
      </c>
      <c r="Z856" s="40">
        <f t="shared" si="395"/>
        <v>20624.71875</v>
      </c>
      <c r="AA856" s="40">
        <f>VLOOKUP(A856,kurspris!$A$1:$Q$913,17,FALSE)</f>
        <v>6000</v>
      </c>
      <c r="AB856" s="40">
        <f t="shared" si="396"/>
        <v>2250</v>
      </c>
      <c r="AC856" s="40">
        <f t="shared" si="397"/>
        <v>22874.71875</v>
      </c>
      <c r="AD856" s="31">
        <f>VLOOKUP($A856,kurspris!$A$1:$Q$950,3,FALSE)</f>
        <v>0</v>
      </c>
      <c r="AE856" s="31">
        <f>VLOOKUP($A856,kurspris!$A$1:$Q$950,4,FALSE)</f>
        <v>0</v>
      </c>
      <c r="AF856" s="31">
        <f>VLOOKUP($A856,kurspris!$A$1:$Q$950,5,FALSE)</f>
        <v>0</v>
      </c>
      <c r="AG856" s="31">
        <f>VLOOKUP($A856,kurspris!$A$1:$Q$950,6,FALSE)</f>
        <v>1</v>
      </c>
      <c r="AH856" s="31">
        <f>VLOOKUP($A856,kurspris!$A$1:$Q$950,7,FALSE)</f>
        <v>0</v>
      </c>
      <c r="AI856" s="31">
        <f>VLOOKUP($A856,kurspris!$A$1:$Q$950,8,FALSE)</f>
        <v>0</v>
      </c>
      <c r="AJ856" s="31">
        <f>VLOOKUP($A856,kurspris!$A$1:$Q$950,9,FALSE)</f>
        <v>0</v>
      </c>
      <c r="AK856" s="31">
        <f>VLOOKUP($A856,kurspris!$A$1:$Q$950,10,FALSE)</f>
        <v>0</v>
      </c>
      <c r="AL856" s="31">
        <f>VLOOKUP($A856,kurspris!$A$1:$Q$950,11,FALSE)</f>
        <v>0</v>
      </c>
      <c r="AM856" s="31">
        <f>VLOOKUP($A856,kurspris!$A$1:$Q$950,12,FALSE)</f>
        <v>0</v>
      </c>
      <c r="AN856" s="31">
        <f>VLOOKUP($A856,kurspris!$A$1:$Q$950,13,FALSE)</f>
        <v>0</v>
      </c>
      <c r="AO856" s="31">
        <f>VLOOKUP($A856,kurspris!$A$1:$Q$950,14,FALSE)</f>
        <v>0</v>
      </c>
      <c r="AP856" s="57" t="s">
        <v>2402</v>
      </c>
      <c r="AQ856"/>
      <c r="AR856" s="31">
        <f t="shared" si="398"/>
        <v>0</v>
      </c>
      <c r="AS856" s="219">
        <f t="shared" si="399"/>
        <v>0</v>
      </c>
      <c r="AT856" s="31">
        <f t="shared" si="400"/>
        <v>0</v>
      </c>
      <c r="AU856" s="219">
        <f t="shared" si="401"/>
        <v>0</v>
      </c>
      <c r="AV856" s="31">
        <f t="shared" si="402"/>
        <v>0</v>
      </c>
      <c r="AW856" s="31">
        <f t="shared" si="403"/>
        <v>0</v>
      </c>
      <c r="AX856" s="31">
        <f t="shared" si="404"/>
        <v>0.375</v>
      </c>
      <c r="AY856" s="219">
        <f t="shared" si="405"/>
        <v>0.31874999999999998</v>
      </c>
      <c r="AZ856" s="196">
        <f t="shared" si="406"/>
        <v>0</v>
      </c>
      <c r="BA856" s="219">
        <f t="shared" si="407"/>
        <v>0</v>
      </c>
      <c r="BB856" s="31">
        <f t="shared" si="408"/>
        <v>0</v>
      </c>
      <c r="BC856" s="219">
        <f t="shared" si="409"/>
        <v>0</v>
      </c>
      <c r="BD856" s="31">
        <f t="shared" si="410"/>
        <v>0</v>
      </c>
      <c r="BE856" s="219">
        <f t="shared" si="411"/>
        <v>0</v>
      </c>
      <c r="BF856" s="31">
        <f t="shared" si="412"/>
        <v>0</v>
      </c>
      <c r="BG856" s="219">
        <f t="shared" si="413"/>
        <v>0</v>
      </c>
      <c r="BH856" s="31">
        <f t="shared" si="414"/>
        <v>0</v>
      </c>
      <c r="BI856" s="219">
        <f t="shared" si="415"/>
        <v>0</v>
      </c>
      <c r="BJ856" s="31">
        <f t="shared" si="416"/>
        <v>0</v>
      </c>
      <c r="BK856" s="219">
        <f t="shared" si="417"/>
        <v>0</v>
      </c>
      <c r="BL856" s="31">
        <f t="shared" si="418"/>
        <v>0</v>
      </c>
      <c r="BM856" s="219">
        <f t="shared" si="419"/>
        <v>0</v>
      </c>
      <c r="BN856" s="31">
        <f t="shared" si="420"/>
        <v>0</v>
      </c>
      <c r="BO856" s="219">
        <f t="shared" si="421"/>
        <v>0</v>
      </c>
    </row>
    <row r="857" spans="1:67" x14ac:dyDescent="0.25">
      <c r="A857" s="31" t="s">
        <v>2230</v>
      </c>
      <c r="B857" s="176" t="str">
        <f>VLOOKUP(A857,kurspris!$A$1:$B$992,2,FALSE)</f>
        <v>Profession och vetenskap för ämneslärare</v>
      </c>
      <c r="C857" s="31">
        <v>64901</v>
      </c>
      <c r="D857" s="60" t="s">
        <v>482</v>
      </c>
      <c r="E857" s="60"/>
      <c r="F857" s="57" t="s">
        <v>2274</v>
      </c>
      <c r="H857" s="31" t="s">
        <v>2335</v>
      </c>
      <c r="I857" s="31" t="s">
        <v>2399</v>
      </c>
      <c r="J857" s="31" t="s">
        <v>2231</v>
      </c>
      <c r="L857" s="38"/>
      <c r="M857">
        <v>7.5</v>
      </c>
      <c r="P857" s="31">
        <v>17</v>
      </c>
      <c r="Q857" s="539">
        <v>2.125</v>
      </c>
      <c r="R857" s="38">
        <v>0.85</v>
      </c>
      <c r="S857" s="280">
        <f t="shared" si="394"/>
        <v>1.8062499999999999</v>
      </c>
      <c r="T857" s="31">
        <f>VLOOKUP(A857,'Ansvar kurs'!$A$1:$C$1123,2,FALSE)</f>
        <v>2340</v>
      </c>
      <c r="U857" s="31" t="str">
        <f>VLOOKUP(T857,Orgenheter!$A$1:$C$166,2,FALSE)</f>
        <v xml:space="preserve">Statsvetenskap                </v>
      </c>
      <c r="V857" s="31" t="str">
        <f>VLOOKUP(T857,Orgenheter!$A$1:$C$166,3,FALSE)</f>
        <v>Sam</v>
      </c>
      <c r="W857" s="35" t="str">
        <f>VLOOKUP(D857,Program!$A$1:$B$36,2,FALSE)</f>
        <v>Ämneslärarprogrammet - Gy</v>
      </c>
      <c r="X857" s="40">
        <f>VLOOKUP(A857,kurspris!$A$1:$Q$913,15,FALSE)</f>
        <v>26554</v>
      </c>
      <c r="Y857" s="40">
        <f>VLOOKUP(A857,kurspris!$A$1:$Q$913,16,FALSE)</f>
        <v>33465</v>
      </c>
      <c r="Z857" s="40">
        <f t="shared" si="395"/>
        <v>116873.40625</v>
      </c>
      <c r="AA857" s="40">
        <f>VLOOKUP(A857,kurspris!$A$1:$Q$913,17,FALSE)</f>
        <v>6000</v>
      </c>
      <c r="AB857" s="40">
        <f t="shared" si="396"/>
        <v>12750</v>
      </c>
      <c r="AC857" s="40">
        <f t="shared" si="397"/>
        <v>129623.40625</v>
      </c>
      <c r="AD857" s="31">
        <f>VLOOKUP($A857,kurspris!$A$1:$Q$950,3,FALSE)</f>
        <v>0</v>
      </c>
      <c r="AE857" s="31">
        <f>VLOOKUP($A857,kurspris!$A$1:$Q$950,4,FALSE)</f>
        <v>0</v>
      </c>
      <c r="AF857" s="31">
        <f>VLOOKUP($A857,kurspris!$A$1:$Q$950,5,FALSE)</f>
        <v>0</v>
      </c>
      <c r="AG857" s="31">
        <f>VLOOKUP($A857,kurspris!$A$1:$Q$950,6,FALSE)</f>
        <v>1</v>
      </c>
      <c r="AH857" s="31">
        <f>VLOOKUP($A857,kurspris!$A$1:$Q$950,7,FALSE)</f>
        <v>0</v>
      </c>
      <c r="AI857" s="31">
        <f>VLOOKUP($A857,kurspris!$A$1:$Q$950,8,FALSE)</f>
        <v>0</v>
      </c>
      <c r="AJ857" s="31">
        <f>VLOOKUP($A857,kurspris!$A$1:$Q$950,9,FALSE)</f>
        <v>0</v>
      </c>
      <c r="AK857" s="31">
        <f>VLOOKUP($A857,kurspris!$A$1:$Q$950,10,FALSE)</f>
        <v>0</v>
      </c>
      <c r="AL857" s="31">
        <f>VLOOKUP($A857,kurspris!$A$1:$Q$950,11,FALSE)</f>
        <v>0</v>
      </c>
      <c r="AM857" s="31">
        <f>VLOOKUP($A857,kurspris!$A$1:$Q$950,12,FALSE)</f>
        <v>0</v>
      </c>
      <c r="AN857" s="31">
        <f>VLOOKUP($A857,kurspris!$A$1:$Q$950,13,FALSE)</f>
        <v>0</v>
      </c>
      <c r="AO857" s="31">
        <f>VLOOKUP($A857,kurspris!$A$1:$Q$950,14,FALSE)</f>
        <v>0</v>
      </c>
      <c r="AP857" s="57" t="s">
        <v>2402</v>
      </c>
      <c r="AQ857"/>
      <c r="AR857" s="31">
        <f t="shared" si="398"/>
        <v>0</v>
      </c>
      <c r="AS857" s="219">
        <f t="shared" si="399"/>
        <v>0</v>
      </c>
      <c r="AT857" s="31">
        <f t="shared" si="400"/>
        <v>0</v>
      </c>
      <c r="AU857" s="219">
        <f t="shared" si="401"/>
        <v>0</v>
      </c>
      <c r="AV857" s="31">
        <f t="shared" si="402"/>
        <v>0</v>
      </c>
      <c r="AW857" s="31">
        <f t="shared" si="403"/>
        <v>0</v>
      </c>
      <c r="AX857" s="31">
        <f t="shared" si="404"/>
        <v>2.125</v>
      </c>
      <c r="AY857" s="219">
        <f t="shared" si="405"/>
        <v>1.8062499999999999</v>
      </c>
      <c r="AZ857" s="196">
        <f t="shared" si="406"/>
        <v>0</v>
      </c>
      <c r="BA857" s="219">
        <f t="shared" si="407"/>
        <v>0</v>
      </c>
      <c r="BB857" s="31">
        <f t="shared" si="408"/>
        <v>0</v>
      </c>
      <c r="BC857" s="219">
        <f t="shared" si="409"/>
        <v>0</v>
      </c>
      <c r="BD857" s="31">
        <f t="shared" si="410"/>
        <v>0</v>
      </c>
      <c r="BE857" s="219">
        <f t="shared" si="411"/>
        <v>0</v>
      </c>
      <c r="BF857" s="31">
        <f t="shared" si="412"/>
        <v>0</v>
      </c>
      <c r="BG857" s="219">
        <f t="shared" si="413"/>
        <v>0</v>
      </c>
      <c r="BH857" s="31">
        <f t="shared" si="414"/>
        <v>0</v>
      </c>
      <c r="BI857" s="219">
        <f t="shared" si="415"/>
        <v>0</v>
      </c>
      <c r="BJ857" s="31">
        <f t="shared" si="416"/>
        <v>0</v>
      </c>
      <c r="BK857" s="219">
        <f t="shared" si="417"/>
        <v>0</v>
      </c>
      <c r="BL857" s="31">
        <f t="shared" si="418"/>
        <v>0</v>
      </c>
      <c r="BM857" s="219">
        <f t="shared" si="419"/>
        <v>0</v>
      </c>
      <c r="BN857" s="31">
        <f t="shared" si="420"/>
        <v>0</v>
      </c>
      <c r="BO857" s="219">
        <f t="shared" si="421"/>
        <v>0</v>
      </c>
    </row>
    <row r="858" spans="1:67" x14ac:dyDescent="0.25">
      <c r="A858" s="31" t="s">
        <v>2230</v>
      </c>
      <c r="B858" s="176" t="str">
        <f>VLOOKUP(A858,kurspris!$A$1:$B$992,2,FALSE)</f>
        <v>Profession och vetenskap för ämneslärare</v>
      </c>
      <c r="C858" s="31">
        <v>64901</v>
      </c>
      <c r="D858" s="60" t="s">
        <v>482</v>
      </c>
      <c r="E858" s="60"/>
      <c r="F858" s="57" t="s">
        <v>2274</v>
      </c>
      <c r="H858" s="31" t="s">
        <v>2335</v>
      </c>
      <c r="I858" s="31" t="s">
        <v>2399</v>
      </c>
      <c r="J858" s="31" t="s">
        <v>2241</v>
      </c>
      <c r="L858" s="38"/>
      <c r="M858">
        <v>7.5</v>
      </c>
      <c r="P858" s="31">
        <v>4</v>
      </c>
      <c r="Q858" s="539">
        <v>0.5</v>
      </c>
      <c r="R858" s="38">
        <v>0.85</v>
      </c>
      <c r="S858" s="280">
        <f t="shared" si="394"/>
        <v>0.42499999999999999</v>
      </c>
      <c r="T858" s="31">
        <f>VLOOKUP(A858,'Ansvar kurs'!$A$1:$C$1123,2,FALSE)</f>
        <v>2340</v>
      </c>
      <c r="U858" s="31" t="str">
        <f>VLOOKUP(T858,Orgenheter!$A$1:$C$166,2,FALSE)</f>
        <v xml:space="preserve">Statsvetenskap                </v>
      </c>
      <c r="V858" s="31" t="str">
        <f>VLOOKUP(T858,Orgenheter!$A$1:$C$166,3,FALSE)</f>
        <v>Sam</v>
      </c>
      <c r="W858" s="35" t="str">
        <f>VLOOKUP(D858,Program!$A$1:$B$36,2,FALSE)</f>
        <v>Ämneslärarprogrammet - Gy</v>
      </c>
      <c r="X858" s="40">
        <f>VLOOKUP(A858,kurspris!$A$1:$Q$913,15,FALSE)</f>
        <v>26554</v>
      </c>
      <c r="Y858" s="40">
        <f>VLOOKUP(A858,kurspris!$A$1:$Q$913,16,FALSE)</f>
        <v>33465</v>
      </c>
      <c r="Z858" s="40">
        <f t="shared" si="395"/>
        <v>27499.625</v>
      </c>
      <c r="AA858" s="40">
        <f>VLOOKUP(A858,kurspris!$A$1:$Q$913,17,FALSE)</f>
        <v>6000</v>
      </c>
      <c r="AB858" s="40">
        <f t="shared" si="396"/>
        <v>3000</v>
      </c>
      <c r="AC858" s="40">
        <f t="shared" si="397"/>
        <v>30499.625</v>
      </c>
      <c r="AD858" s="31">
        <f>VLOOKUP($A858,kurspris!$A$1:$Q$950,3,FALSE)</f>
        <v>0</v>
      </c>
      <c r="AE858" s="31">
        <f>VLOOKUP($A858,kurspris!$A$1:$Q$950,4,FALSE)</f>
        <v>0</v>
      </c>
      <c r="AF858" s="31">
        <f>VLOOKUP($A858,kurspris!$A$1:$Q$950,5,FALSE)</f>
        <v>0</v>
      </c>
      <c r="AG858" s="31">
        <f>VLOOKUP($A858,kurspris!$A$1:$Q$950,6,FALSE)</f>
        <v>1</v>
      </c>
      <c r="AH858" s="31">
        <f>VLOOKUP($A858,kurspris!$A$1:$Q$950,7,FALSE)</f>
        <v>0</v>
      </c>
      <c r="AI858" s="31">
        <f>VLOOKUP($A858,kurspris!$A$1:$Q$950,8,FALSE)</f>
        <v>0</v>
      </c>
      <c r="AJ858" s="31">
        <f>VLOOKUP($A858,kurspris!$A$1:$Q$950,9,FALSE)</f>
        <v>0</v>
      </c>
      <c r="AK858" s="31">
        <f>VLOOKUP($A858,kurspris!$A$1:$Q$950,10,FALSE)</f>
        <v>0</v>
      </c>
      <c r="AL858" s="31">
        <f>VLOOKUP($A858,kurspris!$A$1:$Q$950,11,FALSE)</f>
        <v>0</v>
      </c>
      <c r="AM858" s="31">
        <f>VLOOKUP($A858,kurspris!$A$1:$Q$950,12,FALSE)</f>
        <v>0</v>
      </c>
      <c r="AN858" s="31">
        <f>VLOOKUP($A858,kurspris!$A$1:$Q$950,13,FALSE)</f>
        <v>0</v>
      </c>
      <c r="AO858" s="31">
        <f>VLOOKUP($A858,kurspris!$A$1:$Q$950,14,FALSE)</f>
        <v>0</v>
      </c>
      <c r="AP858" s="57" t="s">
        <v>2402</v>
      </c>
      <c r="AQ858"/>
      <c r="AR858" s="31">
        <f t="shared" si="398"/>
        <v>0</v>
      </c>
      <c r="AS858" s="219">
        <f t="shared" si="399"/>
        <v>0</v>
      </c>
      <c r="AT858" s="31">
        <f t="shared" si="400"/>
        <v>0</v>
      </c>
      <c r="AU858" s="219">
        <f t="shared" si="401"/>
        <v>0</v>
      </c>
      <c r="AV858" s="31">
        <f t="shared" si="402"/>
        <v>0</v>
      </c>
      <c r="AW858" s="31">
        <f t="shared" si="403"/>
        <v>0</v>
      </c>
      <c r="AX858" s="31">
        <f t="shared" si="404"/>
        <v>0.5</v>
      </c>
      <c r="AY858" s="219">
        <f t="shared" si="405"/>
        <v>0.42499999999999999</v>
      </c>
      <c r="AZ858" s="196">
        <f t="shared" si="406"/>
        <v>0</v>
      </c>
      <c r="BA858" s="219">
        <f t="shared" si="407"/>
        <v>0</v>
      </c>
      <c r="BB858" s="31">
        <f t="shared" si="408"/>
        <v>0</v>
      </c>
      <c r="BC858" s="219">
        <f t="shared" si="409"/>
        <v>0</v>
      </c>
      <c r="BD858" s="31">
        <f t="shared" si="410"/>
        <v>0</v>
      </c>
      <c r="BE858" s="219">
        <f t="shared" si="411"/>
        <v>0</v>
      </c>
      <c r="BF858" s="31">
        <f t="shared" si="412"/>
        <v>0</v>
      </c>
      <c r="BG858" s="219">
        <f t="shared" si="413"/>
        <v>0</v>
      </c>
      <c r="BH858" s="31">
        <f t="shared" si="414"/>
        <v>0</v>
      </c>
      <c r="BI858" s="219">
        <f t="shared" si="415"/>
        <v>0</v>
      </c>
      <c r="BJ858" s="31">
        <f t="shared" si="416"/>
        <v>0</v>
      </c>
      <c r="BK858" s="219">
        <f t="shared" si="417"/>
        <v>0</v>
      </c>
      <c r="BL858" s="31">
        <f t="shared" si="418"/>
        <v>0</v>
      </c>
      <c r="BM858" s="219">
        <f t="shared" si="419"/>
        <v>0</v>
      </c>
      <c r="BN858" s="31">
        <f t="shared" si="420"/>
        <v>0</v>
      </c>
      <c r="BO858" s="219">
        <f t="shared" si="421"/>
        <v>0</v>
      </c>
    </row>
    <row r="859" spans="1:67" x14ac:dyDescent="0.25">
      <c r="A859" s="31" t="s">
        <v>2230</v>
      </c>
      <c r="B859" s="176" t="str">
        <f>VLOOKUP(A859,kurspris!$A$1:$B$992,2,FALSE)</f>
        <v>Profession och vetenskap för ämneslärare</v>
      </c>
      <c r="C859" s="31">
        <v>64901</v>
      </c>
      <c r="D859" s="60" t="s">
        <v>482</v>
      </c>
      <c r="E859" s="60"/>
      <c r="F859" s="57" t="s">
        <v>2274</v>
      </c>
      <c r="H859" s="31" t="s">
        <v>2335</v>
      </c>
      <c r="I859" s="31" t="s">
        <v>2399</v>
      </c>
      <c r="J859" s="31" t="s">
        <v>2249</v>
      </c>
      <c r="L859" s="38"/>
      <c r="M859">
        <v>7.5</v>
      </c>
      <c r="P859" s="31">
        <v>1</v>
      </c>
      <c r="Q859" s="539">
        <v>0.125</v>
      </c>
      <c r="R859" s="38">
        <v>0.85</v>
      </c>
      <c r="S859" s="280">
        <f t="shared" si="394"/>
        <v>0.10625</v>
      </c>
      <c r="T859" s="31">
        <f>VLOOKUP(A859,'Ansvar kurs'!$A$1:$C$1123,2,FALSE)</f>
        <v>2340</v>
      </c>
      <c r="U859" s="31" t="str">
        <f>VLOOKUP(T859,Orgenheter!$A$1:$C$166,2,FALSE)</f>
        <v xml:space="preserve">Statsvetenskap                </v>
      </c>
      <c r="V859" s="31" t="str">
        <f>VLOOKUP(T859,Orgenheter!$A$1:$C$166,3,FALSE)</f>
        <v>Sam</v>
      </c>
      <c r="W859" s="35" t="str">
        <f>VLOOKUP(D859,Program!$A$1:$B$36,2,FALSE)</f>
        <v>Ämneslärarprogrammet - Gy</v>
      </c>
      <c r="X859" s="40">
        <f>VLOOKUP(A859,kurspris!$A$1:$Q$913,15,FALSE)</f>
        <v>26554</v>
      </c>
      <c r="Y859" s="40">
        <f>VLOOKUP(A859,kurspris!$A$1:$Q$913,16,FALSE)</f>
        <v>33465</v>
      </c>
      <c r="Z859" s="40">
        <f t="shared" si="395"/>
        <v>6874.90625</v>
      </c>
      <c r="AA859" s="40">
        <f>VLOOKUP(A859,kurspris!$A$1:$Q$913,17,FALSE)</f>
        <v>6000</v>
      </c>
      <c r="AB859" s="40">
        <f t="shared" si="396"/>
        <v>750</v>
      </c>
      <c r="AC859" s="40">
        <f t="shared" si="397"/>
        <v>7624.90625</v>
      </c>
      <c r="AD859" s="31">
        <f>VLOOKUP($A859,kurspris!$A$1:$Q$950,3,FALSE)</f>
        <v>0</v>
      </c>
      <c r="AE859" s="31">
        <f>VLOOKUP($A859,kurspris!$A$1:$Q$950,4,FALSE)</f>
        <v>0</v>
      </c>
      <c r="AF859" s="31">
        <f>VLOOKUP($A859,kurspris!$A$1:$Q$950,5,FALSE)</f>
        <v>0</v>
      </c>
      <c r="AG859" s="31">
        <f>VLOOKUP($A859,kurspris!$A$1:$Q$950,6,FALSE)</f>
        <v>1</v>
      </c>
      <c r="AH859" s="31">
        <f>VLOOKUP($A859,kurspris!$A$1:$Q$950,7,FALSE)</f>
        <v>0</v>
      </c>
      <c r="AI859" s="31">
        <f>VLOOKUP($A859,kurspris!$A$1:$Q$950,8,FALSE)</f>
        <v>0</v>
      </c>
      <c r="AJ859" s="31">
        <f>VLOOKUP($A859,kurspris!$A$1:$Q$950,9,FALSE)</f>
        <v>0</v>
      </c>
      <c r="AK859" s="31">
        <f>VLOOKUP($A859,kurspris!$A$1:$Q$950,10,FALSE)</f>
        <v>0</v>
      </c>
      <c r="AL859" s="31">
        <f>VLOOKUP($A859,kurspris!$A$1:$Q$950,11,FALSE)</f>
        <v>0</v>
      </c>
      <c r="AM859" s="31">
        <f>VLOOKUP($A859,kurspris!$A$1:$Q$950,12,FALSE)</f>
        <v>0</v>
      </c>
      <c r="AN859" s="31">
        <f>VLOOKUP($A859,kurspris!$A$1:$Q$950,13,FALSE)</f>
        <v>0</v>
      </c>
      <c r="AO859" s="31">
        <f>VLOOKUP($A859,kurspris!$A$1:$Q$950,14,FALSE)</f>
        <v>0</v>
      </c>
      <c r="AP859" s="57" t="s">
        <v>2402</v>
      </c>
      <c r="AQ859"/>
      <c r="AR859" s="31">
        <f t="shared" si="398"/>
        <v>0</v>
      </c>
      <c r="AS859" s="219">
        <f t="shared" si="399"/>
        <v>0</v>
      </c>
      <c r="AT859" s="31">
        <f t="shared" si="400"/>
        <v>0</v>
      </c>
      <c r="AU859" s="219">
        <f t="shared" si="401"/>
        <v>0</v>
      </c>
      <c r="AV859" s="31">
        <f t="shared" si="402"/>
        <v>0</v>
      </c>
      <c r="AW859" s="31">
        <f t="shared" si="403"/>
        <v>0</v>
      </c>
      <c r="AX859" s="31">
        <f t="shared" si="404"/>
        <v>0.125</v>
      </c>
      <c r="AY859" s="219">
        <f t="shared" si="405"/>
        <v>0.10625</v>
      </c>
      <c r="AZ859" s="196">
        <f t="shared" si="406"/>
        <v>0</v>
      </c>
      <c r="BA859" s="219">
        <f t="shared" si="407"/>
        <v>0</v>
      </c>
      <c r="BB859" s="31">
        <f t="shared" si="408"/>
        <v>0</v>
      </c>
      <c r="BC859" s="219">
        <f t="shared" si="409"/>
        <v>0</v>
      </c>
      <c r="BD859" s="31">
        <f t="shared" si="410"/>
        <v>0</v>
      </c>
      <c r="BE859" s="219">
        <f t="shared" si="411"/>
        <v>0</v>
      </c>
      <c r="BF859" s="31">
        <f t="shared" si="412"/>
        <v>0</v>
      </c>
      <c r="BG859" s="219">
        <f t="shared" si="413"/>
        <v>0</v>
      </c>
      <c r="BH859" s="31">
        <f t="shared" si="414"/>
        <v>0</v>
      </c>
      <c r="BI859" s="219">
        <f t="shared" si="415"/>
        <v>0</v>
      </c>
      <c r="BJ859" s="31">
        <f t="shared" si="416"/>
        <v>0</v>
      </c>
      <c r="BK859" s="219">
        <f t="shared" si="417"/>
        <v>0</v>
      </c>
      <c r="BL859" s="31">
        <f t="shared" si="418"/>
        <v>0</v>
      </c>
      <c r="BM859" s="219">
        <f t="shared" si="419"/>
        <v>0</v>
      </c>
      <c r="BN859" s="31">
        <f t="shared" si="420"/>
        <v>0</v>
      </c>
      <c r="BO859" s="219">
        <f t="shared" si="421"/>
        <v>0</v>
      </c>
    </row>
    <row r="860" spans="1:67" x14ac:dyDescent="0.25">
      <c r="A860" s="31" t="s">
        <v>2230</v>
      </c>
      <c r="B860" s="176" t="str">
        <f>VLOOKUP(A860,kurspris!$A$1:$B$992,2,FALSE)</f>
        <v>Profession och vetenskap för ämneslärare</v>
      </c>
      <c r="C860" s="31">
        <v>64901</v>
      </c>
      <c r="D860" s="60" t="s">
        <v>482</v>
      </c>
      <c r="E860" s="60"/>
      <c r="F860" s="57" t="s">
        <v>2274</v>
      </c>
      <c r="H860" s="31" t="s">
        <v>2335</v>
      </c>
      <c r="I860" s="31" t="s">
        <v>2399</v>
      </c>
      <c r="J860" s="31" t="s">
        <v>2232</v>
      </c>
      <c r="L860" s="38"/>
      <c r="M860">
        <v>7.5</v>
      </c>
      <c r="P860" s="31">
        <v>14</v>
      </c>
      <c r="Q860" s="539">
        <v>1.75</v>
      </c>
      <c r="R860" s="38">
        <v>0.85</v>
      </c>
      <c r="S860" s="280">
        <f t="shared" si="394"/>
        <v>1.4875</v>
      </c>
      <c r="T860" s="31">
        <f>VLOOKUP(A860,'Ansvar kurs'!$A$1:$C$1123,2,FALSE)</f>
        <v>2340</v>
      </c>
      <c r="U860" s="31" t="str">
        <f>VLOOKUP(T860,Orgenheter!$A$1:$C$166,2,FALSE)</f>
        <v xml:space="preserve">Statsvetenskap                </v>
      </c>
      <c r="V860" s="31" t="str">
        <f>VLOOKUP(T860,Orgenheter!$A$1:$C$166,3,FALSE)</f>
        <v>Sam</v>
      </c>
      <c r="W860" s="35" t="str">
        <f>VLOOKUP(D860,Program!$A$1:$B$36,2,FALSE)</f>
        <v>Ämneslärarprogrammet - Gy</v>
      </c>
      <c r="X860" s="40">
        <f>VLOOKUP(A860,kurspris!$A$1:$Q$913,15,FALSE)</f>
        <v>26554</v>
      </c>
      <c r="Y860" s="40">
        <f>VLOOKUP(A860,kurspris!$A$1:$Q$913,16,FALSE)</f>
        <v>33465</v>
      </c>
      <c r="Z860" s="40">
        <f t="shared" si="395"/>
        <v>96248.6875</v>
      </c>
      <c r="AA860" s="40">
        <f>VLOOKUP(A860,kurspris!$A$1:$Q$913,17,FALSE)</f>
        <v>6000</v>
      </c>
      <c r="AB860" s="40">
        <f t="shared" si="396"/>
        <v>10500</v>
      </c>
      <c r="AC860" s="40">
        <f t="shared" si="397"/>
        <v>106748.6875</v>
      </c>
      <c r="AD860" s="31">
        <f>VLOOKUP($A860,kurspris!$A$1:$Q$950,3,FALSE)</f>
        <v>0</v>
      </c>
      <c r="AE860" s="31">
        <f>VLOOKUP($A860,kurspris!$A$1:$Q$950,4,FALSE)</f>
        <v>0</v>
      </c>
      <c r="AF860" s="31">
        <f>VLOOKUP($A860,kurspris!$A$1:$Q$950,5,FALSE)</f>
        <v>0</v>
      </c>
      <c r="AG860" s="31">
        <f>VLOOKUP($A860,kurspris!$A$1:$Q$950,6,FALSE)</f>
        <v>1</v>
      </c>
      <c r="AH860" s="31">
        <f>VLOOKUP($A860,kurspris!$A$1:$Q$950,7,FALSE)</f>
        <v>0</v>
      </c>
      <c r="AI860" s="31">
        <f>VLOOKUP($A860,kurspris!$A$1:$Q$950,8,FALSE)</f>
        <v>0</v>
      </c>
      <c r="AJ860" s="31">
        <f>VLOOKUP($A860,kurspris!$A$1:$Q$950,9,FALSE)</f>
        <v>0</v>
      </c>
      <c r="AK860" s="31">
        <f>VLOOKUP($A860,kurspris!$A$1:$Q$950,10,FALSE)</f>
        <v>0</v>
      </c>
      <c r="AL860" s="31">
        <f>VLOOKUP($A860,kurspris!$A$1:$Q$950,11,FALSE)</f>
        <v>0</v>
      </c>
      <c r="AM860" s="31">
        <f>VLOOKUP($A860,kurspris!$A$1:$Q$950,12,FALSE)</f>
        <v>0</v>
      </c>
      <c r="AN860" s="31">
        <f>VLOOKUP($A860,kurspris!$A$1:$Q$950,13,FALSE)</f>
        <v>0</v>
      </c>
      <c r="AO860" s="31">
        <f>VLOOKUP($A860,kurspris!$A$1:$Q$950,14,FALSE)</f>
        <v>0</v>
      </c>
      <c r="AP860" s="57" t="s">
        <v>2402</v>
      </c>
      <c r="AQ860"/>
      <c r="AR860" s="31">
        <f t="shared" si="398"/>
        <v>0</v>
      </c>
      <c r="AS860" s="219">
        <f t="shared" si="399"/>
        <v>0</v>
      </c>
      <c r="AT860" s="31">
        <f t="shared" si="400"/>
        <v>0</v>
      </c>
      <c r="AU860" s="219">
        <f t="shared" si="401"/>
        <v>0</v>
      </c>
      <c r="AV860" s="31">
        <f t="shared" si="402"/>
        <v>0</v>
      </c>
      <c r="AW860" s="31">
        <f t="shared" si="403"/>
        <v>0</v>
      </c>
      <c r="AX860" s="31">
        <f t="shared" si="404"/>
        <v>1.75</v>
      </c>
      <c r="AY860" s="219">
        <f t="shared" si="405"/>
        <v>1.4875</v>
      </c>
      <c r="AZ860" s="196">
        <f t="shared" si="406"/>
        <v>0</v>
      </c>
      <c r="BA860" s="219">
        <f t="shared" si="407"/>
        <v>0</v>
      </c>
      <c r="BB860" s="31">
        <f t="shared" si="408"/>
        <v>0</v>
      </c>
      <c r="BC860" s="219">
        <f t="shared" si="409"/>
        <v>0</v>
      </c>
      <c r="BD860" s="31">
        <f t="shared" si="410"/>
        <v>0</v>
      </c>
      <c r="BE860" s="219">
        <f t="shared" si="411"/>
        <v>0</v>
      </c>
      <c r="BF860" s="31">
        <f t="shared" si="412"/>
        <v>0</v>
      </c>
      <c r="BG860" s="219">
        <f t="shared" si="413"/>
        <v>0</v>
      </c>
      <c r="BH860" s="31">
        <f t="shared" si="414"/>
        <v>0</v>
      </c>
      <c r="BI860" s="219">
        <f t="shared" si="415"/>
        <v>0</v>
      </c>
      <c r="BJ860" s="31">
        <f t="shared" si="416"/>
        <v>0</v>
      </c>
      <c r="BK860" s="219">
        <f t="shared" si="417"/>
        <v>0</v>
      </c>
      <c r="BL860" s="31">
        <f t="shared" si="418"/>
        <v>0</v>
      </c>
      <c r="BM860" s="219">
        <f t="shared" si="419"/>
        <v>0</v>
      </c>
      <c r="BN860" s="31">
        <f t="shared" si="420"/>
        <v>0</v>
      </c>
      <c r="BO860" s="219">
        <f t="shared" si="421"/>
        <v>0</v>
      </c>
    </row>
    <row r="861" spans="1:67" x14ac:dyDescent="0.25">
      <c r="A861" s="31" t="s">
        <v>2230</v>
      </c>
      <c r="B861" s="176" t="str">
        <f>VLOOKUP(A861,kurspris!$A$1:$B$992,2,FALSE)</f>
        <v>Profession och vetenskap för ämneslärare</v>
      </c>
      <c r="C861" s="31">
        <v>64901</v>
      </c>
      <c r="D861" s="60" t="s">
        <v>482</v>
      </c>
      <c r="E861" s="60"/>
      <c r="F861" s="57" t="s">
        <v>2274</v>
      </c>
      <c r="H861" s="31" t="s">
        <v>2335</v>
      </c>
      <c r="I861" s="31" t="s">
        <v>2399</v>
      </c>
      <c r="J861" s="31" t="s">
        <v>2233</v>
      </c>
      <c r="L861" s="38"/>
      <c r="M861">
        <v>7.5</v>
      </c>
      <c r="P861" s="31">
        <v>8</v>
      </c>
      <c r="Q861" s="539">
        <v>1</v>
      </c>
      <c r="R861" s="38">
        <v>0.85</v>
      </c>
      <c r="S861" s="280">
        <f t="shared" si="394"/>
        <v>0.85</v>
      </c>
      <c r="T861" s="31">
        <f>VLOOKUP(A861,'Ansvar kurs'!$A$1:$C$1123,2,FALSE)</f>
        <v>2340</v>
      </c>
      <c r="U861" s="31" t="str">
        <f>VLOOKUP(T861,Orgenheter!$A$1:$C$166,2,FALSE)</f>
        <v xml:space="preserve">Statsvetenskap                </v>
      </c>
      <c r="V861" s="31" t="str">
        <f>VLOOKUP(T861,Orgenheter!$A$1:$C$166,3,FALSE)</f>
        <v>Sam</v>
      </c>
      <c r="W861" s="35" t="str">
        <f>VLOOKUP(D861,Program!$A$1:$B$36,2,FALSE)</f>
        <v>Ämneslärarprogrammet - Gy</v>
      </c>
      <c r="X861" s="40">
        <f>VLOOKUP(A861,kurspris!$A$1:$Q$913,15,FALSE)</f>
        <v>26554</v>
      </c>
      <c r="Y861" s="40">
        <f>VLOOKUP(A861,kurspris!$A$1:$Q$913,16,FALSE)</f>
        <v>33465</v>
      </c>
      <c r="Z861" s="40">
        <f t="shared" si="395"/>
        <v>54999.25</v>
      </c>
      <c r="AA861" s="40">
        <f>VLOOKUP(A861,kurspris!$A$1:$Q$913,17,FALSE)</f>
        <v>6000</v>
      </c>
      <c r="AB861" s="40">
        <f t="shared" si="396"/>
        <v>6000</v>
      </c>
      <c r="AC861" s="40">
        <f t="shared" si="397"/>
        <v>60999.25</v>
      </c>
      <c r="AD861" s="31">
        <f>VLOOKUP($A861,kurspris!$A$1:$Q$950,3,FALSE)</f>
        <v>0</v>
      </c>
      <c r="AE861" s="31">
        <f>VLOOKUP($A861,kurspris!$A$1:$Q$950,4,FALSE)</f>
        <v>0</v>
      </c>
      <c r="AF861" s="31">
        <f>VLOOKUP($A861,kurspris!$A$1:$Q$950,5,FALSE)</f>
        <v>0</v>
      </c>
      <c r="AG861" s="31">
        <f>VLOOKUP($A861,kurspris!$A$1:$Q$950,6,FALSE)</f>
        <v>1</v>
      </c>
      <c r="AH861" s="31">
        <f>VLOOKUP($A861,kurspris!$A$1:$Q$950,7,FALSE)</f>
        <v>0</v>
      </c>
      <c r="AI861" s="31">
        <f>VLOOKUP($A861,kurspris!$A$1:$Q$950,8,FALSE)</f>
        <v>0</v>
      </c>
      <c r="AJ861" s="31">
        <f>VLOOKUP($A861,kurspris!$A$1:$Q$950,9,FALSE)</f>
        <v>0</v>
      </c>
      <c r="AK861" s="31">
        <f>VLOOKUP($A861,kurspris!$A$1:$Q$950,10,FALSE)</f>
        <v>0</v>
      </c>
      <c r="AL861" s="31">
        <f>VLOOKUP($A861,kurspris!$A$1:$Q$950,11,FALSE)</f>
        <v>0</v>
      </c>
      <c r="AM861" s="31">
        <f>VLOOKUP($A861,kurspris!$A$1:$Q$950,12,FALSE)</f>
        <v>0</v>
      </c>
      <c r="AN861" s="31">
        <f>VLOOKUP($A861,kurspris!$A$1:$Q$950,13,FALSE)</f>
        <v>0</v>
      </c>
      <c r="AO861" s="31">
        <f>VLOOKUP($A861,kurspris!$A$1:$Q$950,14,FALSE)</f>
        <v>0</v>
      </c>
      <c r="AP861" s="57" t="s">
        <v>2402</v>
      </c>
      <c r="AQ861"/>
      <c r="AR861" s="31">
        <f t="shared" si="398"/>
        <v>0</v>
      </c>
      <c r="AS861" s="219">
        <f t="shared" si="399"/>
        <v>0</v>
      </c>
      <c r="AT861" s="31">
        <f t="shared" si="400"/>
        <v>0</v>
      </c>
      <c r="AU861" s="219">
        <f t="shared" si="401"/>
        <v>0</v>
      </c>
      <c r="AV861" s="31">
        <f t="shared" si="402"/>
        <v>0</v>
      </c>
      <c r="AW861" s="31">
        <f t="shared" si="403"/>
        <v>0</v>
      </c>
      <c r="AX861" s="31">
        <f t="shared" si="404"/>
        <v>1</v>
      </c>
      <c r="AY861" s="219">
        <f t="shared" si="405"/>
        <v>0.85</v>
      </c>
      <c r="AZ861" s="196">
        <f t="shared" si="406"/>
        <v>0</v>
      </c>
      <c r="BA861" s="219">
        <f t="shared" si="407"/>
        <v>0</v>
      </c>
      <c r="BB861" s="31">
        <f t="shared" si="408"/>
        <v>0</v>
      </c>
      <c r="BC861" s="219">
        <f t="shared" si="409"/>
        <v>0</v>
      </c>
      <c r="BD861" s="31">
        <f t="shared" si="410"/>
        <v>0</v>
      </c>
      <c r="BE861" s="219">
        <f t="shared" si="411"/>
        <v>0</v>
      </c>
      <c r="BF861" s="31">
        <f t="shared" si="412"/>
        <v>0</v>
      </c>
      <c r="BG861" s="219">
        <f t="shared" si="413"/>
        <v>0</v>
      </c>
      <c r="BH861" s="31">
        <f t="shared" si="414"/>
        <v>0</v>
      </c>
      <c r="BI861" s="219">
        <f t="shared" si="415"/>
        <v>0</v>
      </c>
      <c r="BJ861" s="31">
        <f t="shared" si="416"/>
        <v>0</v>
      </c>
      <c r="BK861" s="219">
        <f t="shared" si="417"/>
        <v>0</v>
      </c>
      <c r="BL861" s="31">
        <f t="shared" si="418"/>
        <v>0</v>
      </c>
      <c r="BM861" s="219">
        <f t="shared" si="419"/>
        <v>0</v>
      </c>
      <c r="BN861" s="31">
        <f t="shared" si="420"/>
        <v>0</v>
      </c>
      <c r="BO861" s="219">
        <f t="shared" si="421"/>
        <v>0</v>
      </c>
    </row>
    <row r="862" spans="1:67" x14ac:dyDescent="0.25">
      <c r="A862" s="31" t="s">
        <v>2230</v>
      </c>
      <c r="B862" s="176" t="str">
        <f>VLOOKUP(A862,kurspris!$A$1:$B$992,2,FALSE)</f>
        <v>Profession och vetenskap för ämneslärare</v>
      </c>
      <c r="C862" s="31">
        <v>64901</v>
      </c>
      <c r="D862" s="60" t="s">
        <v>482</v>
      </c>
      <c r="E862" s="60"/>
      <c r="F862" s="57" t="s">
        <v>2274</v>
      </c>
      <c r="H862" s="31" t="s">
        <v>2335</v>
      </c>
      <c r="I862" s="31" t="s">
        <v>2399</v>
      </c>
      <c r="J862" s="31" t="s">
        <v>2236</v>
      </c>
      <c r="L862" s="38"/>
      <c r="M862">
        <v>7.5</v>
      </c>
      <c r="P862" s="31">
        <v>3</v>
      </c>
      <c r="Q862" s="539">
        <v>0.375</v>
      </c>
      <c r="R862" s="38">
        <v>0.85</v>
      </c>
      <c r="S862" s="280">
        <f t="shared" si="394"/>
        <v>0.31874999999999998</v>
      </c>
      <c r="T862" s="31">
        <f>VLOOKUP(A862,'Ansvar kurs'!$A$1:$C$1123,2,FALSE)</f>
        <v>2340</v>
      </c>
      <c r="U862" s="31" t="str">
        <f>VLOOKUP(T862,Orgenheter!$A$1:$C$166,2,FALSE)</f>
        <v xml:space="preserve">Statsvetenskap                </v>
      </c>
      <c r="V862" s="31" t="str">
        <f>VLOOKUP(T862,Orgenheter!$A$1:$C$166,3,FALSE)</f>
        <v>Sam</v>
      </c>
      <c r="W862" s="35" t="str">
        <f>VLOOKUP(D862,Program!$A$1:$B$36,2,FALSE)</f>
        <v>Ämneslärarprogrammet - Gy</v>
      </c>
      <c r="X862" s="40">
        <f>VLOOKUP(A862,kurspris!$A$1:$Q$913,15,FALSE)</f>
        <v>26554</v>
      </c>
      <c r="Y862" s="40">
        <f>VLOOKUP(A862,kurspris!$A$1:$Q$913,16,FALSE)</f>
        <v>33465</v>
      </c>
      <c r="Z862" s="40">
        <f t="shared" si="395"/>
        <v>20624.71875</v>
      </c>
      <c r="AA862" s="40">
        <f>VLOOKUP(A862,kurspris!$A$1:$Q$913,17,FALSE)</f>
        <v>6000</v>
      </c>
      <c r="AB862" s="40">
        <f t="shared" si="396"/>
        <v>2250</v>
      </c>
      <c r="AC862" s="40">
        <f t="shared" si="397"/>
        <v>22874.71875</v>
      </c>
      <c r="AD862" s="31">
        <f>VLOOKUP($A862,kurspris!$A$1:$Q$950,3,FALSE)</f>
        <v>0</v>
      </c>
      <c r="AE862" s="31">
        <f>VLOOKUP($A862,kurspris!$A$1:$Q$950,4,FALSE)</f>
        <v>0</v>
      </c>
      <c r="AF862" s="31">
        <f>VLOOKUP($A862,kurspris!$A$1:$Q$950,5,FALSE)</f>
        <v>0</v>
      </c>
      <c r="AG862" s="31">
        <f>VLOOKUP($A862,kurspris!$A$1:$Q$950,6,FALSE)</f>
        <v>1</v>
      </c>
      <c r="AH862" s="31">
        <f>VLOOKUP($A862,kurspris!$A$1:$Q$950,7,FALSE)</f>
        <v>0</v>
      </c>
      <c r="AI862" s="31">
        <f>VLOOKUP($A862,kurspris!$A$1:$Q$950,8,FALSE)</f>
        <v>0</v>
      </c>
      <c r="AJ862" s="31">
        <f>VLOOKUP($A862,kurspris!$A$1:$Q$950,9,FALSE)</f>
        <v>0</v>
      </c>
      <c r="AK862" s="31">
        <f>VLOOKUP($A862,kurspris!$A$1:$Q$950,10,FALSE)</f>
        <v>0</v>
      </c>
      <c r="AL862" s="31">
        <f>VLOOKUP($A862,kurspris!$A$1:$Q$950,11,FALSE)</f>
        <v>0</v>
      </c>
      <c r="AM862" s="31">
        <f>VLOOKUP($A862,kurspris!$A$1:$Q$950,12,FALSE)</f>
        <v>0</v>
      </c>
      <c r="AN862" s="31">
        <f>VLOOKUP($A862,kurspris!$A$1:$Q$950,13,FALSE)</f>
        <v>0</v>
      </c>
      <c r="AO862" s="31">
        <f>VLOOKUP($A862,kurspris!$A$1:$Q$950,14,FALSE)</f>
        <v>0</v>
      </c>
      <c r="AP862" s="57" t="s">
        <v>2402</v>
      </c>
      <c r="AQ862"/>
      <c r="AR862" s="31">
        <f t="shared" si="398"/>
        <v>0</v>
      </c>
      <c r="AS862" s="219">
        <f t="shared" si="399"/>
        <v>0</v>
      </c>
      <c r="AT862" s="31">
        <f t="shared" si="400"/>
        <v>0</v>
      </c>
      <c r="AU862" s="219">
        <f t="shared" si="401"/>
        <v>0</v>
      </c>
      <c r="AV862" s="31">
        <f t="shared" si="402"/>
        <v>0</v>
      </c>
      <c r="AW862" s="31">
        <f t="shared" si="403"/>
        <v>0</v>
      </c>
      <c r="AX862" s="31">
        <f t="shared" si="404"/>
        <v>0.375</v>
      </c>
      <c r="AY862" s="219">
        <f t="shared" si="405"/>
        <v>0.31874999999999998</v>
      </c>
      <c r="AZ862" s="196">
        <f t="shared" si="406"/>
        <v>0</v>
      </c>
      <c r="BA862" s="219">
        <f t="shared" si="407"/>
        <v>0</v>
      </c>
      <c r="BB862" s="31">
        <f t="shared" si="408"/>
        <v>0</v>
      </c>
      <c r="BC862" s="219">
        <f t="shared" si="409"/>
        <v>0</v>
      </c>
      <c r="BD862" s="31">
        <f t="shared" si="410"/>
        <v>0</v>
      </c>
      <c r="BE862" s="219">
        <f t="shared" si="411"/>
        <v>0</v>
      </c>
      <c r="BF862" s="31">
        <f t="shared" si="412"/>
        <v>0</v>
      </c>
      <c r="BG862" s="219">
        <f t="shared" si="413"/>
        <v>0</v>
      </c>
      <c r="BH862" s="31">
        <f t="shared" si="414"/>
        <v>0</v>
      </c>
      <c r="BI862" s="219">
        <f t="shared" si="415"/>
        <v>0</v>
      </c>
      <c r="BJ862" s="31">
        <f t="shared" si="416"/>
        <v>0</v>
      </c>
      <c r="BK862" s="219">
        <f t="shared" si="417"/>
        <v>0</v>
      </c>
      <c r="BL862" s="31">
        <f t="shared" si="418"/>
        <v>0</v>
      </c>
      <c r="BM862" s="219">
        <f t="shared" si="419"/>
        <v>0</v>
      </c>
      <c r="BN862" s="31">
        <f t="shared" si="420"/>
        <v>0</v>
      </c>
      <c r="BO862" s="219">
        <f t="shared" si="421"/>
        <v>0</v>
      </c>
    </row>
    <row r="863" spans="1:67" x14ac:dyDescent="0.25">
      <c r="A863" s="31" t="s">
        <v>2230</v>
      </c>
      <c r="B863" s="176" t="str">
        <f>VLOOKUP(A863,kurspris!$A$1:$B$992,2,FALSE)</f>
        <v>Profession och vetenskap för ämneslärare</v>
      </c>
      <c r="C863" s="31">
        <v>64901</v>
      </c>
      <c r="D863" s="60" t="s">
        <v>482</v>
      </c>
      <c r="E863" s="60"/>
      <c r="F863" s="57" t="s">
        <v>2274</v>
      </c>
      <c r="H863" s="31" t="s">
        <v>2335</v>
      </c>
      <c r="I863" s="31" t="s">
        <v>2399</v>
      </c>
      <c r="J863" s="31" t="s">
        <v>2239</v>
      </c>
      <c r="L863" s="38"/>
      <c r="M863">
        <v>7.5</v>
      </c>
      <c r="P863" s="31">
        <v>3</v>
      </c>
      <c r="Q863" s="539">
        <v>0.375</v>
      </c>
      <c r="R863" s="38">
        <v>0.85</v>
      </c>
      <c r="S863" s="280">
        <f t="shared" si="394"/>
        <v>0.31874999999999998</v>
      </c>
      <c r="T863" s="31">
        <f>VLOOKUP(A863,'Ansvar kurs'!$A$1:$C$1123,2,FALSE)</f>
        <v>2340</v>
      </c>
      <c r="U863" s="31" t="str">
        <f>VLOOKUP(T863,Orgenheter!$A$1:$C$166,2,FALSE)</f>
        <v xml:space="preserve">Statsvetenskap                </v>
      </c>
      <c r="V863" s="31" t="str">
        <f>VLOOKUP(T863,Orgenheter!$A$1:$C$166,3,FALSE)</f>
        <v>Sam</v>
      </c>
      <c r="W863" s="35" t="str">
        <f>VLOOKUP(D863,Program!$A$1:$B$36,2,FALSE)</f>
        <v>Ämneslärarprogrammet - Gy</v>
      </c>
      <c r="X863" s="40">
        <f>VLOOKUP(A863,kurspris!$A$1:$Q$913,15,FALSE)</f>
        <v>26554</v>
      </c>
      <c r="Y863" s="40">
        <f>VLOOKUP(A863,kurspris!$A$1:$Q$913,16,FALSE)</f>
        <v>33465</v>
      </c>
      <c r="Z863" s="40">
        <f t="shared" si="395"/>
        <v>20624.71875</v>
      </c>
      <c r="AA863" s="40">
        <f>VLOOKUP(A863,kurspris!$A$1:$Q$913,17,FALSE)</f>
        <v>6000</v>
      </c>
      <c r="AB863" s="40">
        <f t="shared" si="396"/>
        <v>2250</v>
      </c>
      <c r="AC863" s="40">
        <f t="shared" si="397"/>
        <v>22874.71875</v>
      </c>
      <c r="AD863" s="31">
        <f>VLOOKUP($A863,kurspris!$A$1:$Q$950,3,FALSE)</f>
        <v>0</v>
      </c>
      <c r="AE863" s="31">
        <f>VLOOKUP($A863,kurspris!$A$1:$Q$950,4,FALSE)</f>
        <v>0</v>
      </c>
      <c r="AF863" s="31">
        <f>VLOOKUP($A863,kurspris!$A$1:$Q$950,5,FALSE)</f>
        <v>0</v>
      </c>
      <c r="AG863" s="31">
        <f>VLOOKUP($A863,kurspris!$A$1:$Q$950,6,FALSE)</f>
        <v>1</v>
      </c>
      <c r="AH863" s="31">
        <f>VLOOKUP($A863,kurspris!$A$1:$Q$950,7,FALSE)</f>
        <v>0</v>
      </c>
      <c r="AI863" s="31">
        <f>VLOOKUP($A863,kurspris!$A$1:$Q$950,8,FALSE)</f>
        <v>0</v>
      </c>
      <c r="AJ863" s="31">
        <f>VLOOKUP($A863,kurspris!$A$1:$Q$950,9,FALSE)</f>
        <v>0</v>
      </c>
      <c r="AK863" s="31">
        <f>VLOOKUP($A863,kurspris!$A$1:$Q$950,10,FALSE)</f>
        <v>0</v>
      </c>
      <c r="AL863" s="31">
        <f>VLOOKUP($A863,kurspris!$A$1:$Q$950,11,FALSE)</f>
        <v>0</v>
      </c>
      <c r="AM863" s="31">
        <f>VLOOKUP($A863,kurspris!$A$1:$Q$950,12,FALSE)</f>
        <v>0</v>
      </c>
      <c r="AN863" s="31">
        <f>VLOOKUP($A863,kurspris!$A$1:$Q$950,13,FALSE)</f>
        <v>0</v>
      </c>
      <c r="AO863" s="31">
        <f>VLOOKUP($A863,kurspris!$A$1:$Q$950,14,FALSE)</f>
        <v>0</v>
      </c>
      <c r="AP863" s="57" t="s">
        <v>2402</v>
      </c>
      <c r="AQ863"/>
      <c r="AR863" s="31">
        <f t="shared" si="398"/>
        <v>0</v>
      </c>
      <c r="AS863" s="219">
        <f t="shared" si="399"/>
        <v>0</v>
      </c>
      <c r="AT863" s="31">
        <f t="shared" si="400"/>
        <v>0</v>
      </c>
      <c r="AU863" s="219">
        <f t="shared" si="401"/>
        <v>0</v>
      </c>
      <c r="AV863" s="31">
        <f t="shared" si="402"/>
        <v>0</v>
      </c>
      <c r="AW863" s="31">
        <f t="shared" si="403"/>
        <v>0</v>
      </c>
      <c r="AX863" s="31">
        <f t="shared" si="404"/>
        <v>0.375</v>
      </c>
      <c r="AY863" s="219">
        <f t="shared" si="405"/>
        <v>0.31874999999999998</v>
      </c>
      <c r="AZ863" s="196">
        <f t="shared" si="406"/>
        <v>0</v>
      </c>
      <c r="BA863" s="219">
        <f t="shared" si="407"/>
        <v>0</v>
      </c>
      <c r="BB863" s="31">
        <f t="shared" si="408"/>
        <v>0</v>
      </c>
      <c r="BC863" s="219">
        <f t="shared" si="409"/>
        <v>0</v>
      </c>
      <c r="BD863" s="31">
        <f t="shared" si="410"/>
        <v>0</v>
      </c>
      <c r="BE863" s="219">
        <f t="shared" si="411"/>
        <v>0</v>
      </c>
      <c r="BF863" s="31">
        <f t="shared" si="412"/>
        <v>0</v>
      </c>
      <c r="BG863" s="219">
        <f t="shared" si="413"/>
        <v>0</v>
      </c>
      <c r="BH863" s="31">
        <f t="shared" si="414"/>
        <v>0</v>
      </c>
      <c r="BI863" s="219">
        <f t="shared" si="415"/>
        <v>0</v>
      </c>
      <c r="BJ863" s="31">
        <f t="shared" si="416"/>
        <v>0</v>
      </c>
      <c r="BK863" s="219">
        <f t="shared" si="417"/>
        <v>0</v>
      </c>
      <c r="BL863" s="31">
        <f t="shared" si="418"/>
        <v>0</v>
      </c>
      <c r="BM863" s="219">
        <f t="shared" si="419"/>
        <v>0</v>
      </c>
      <c r="BN863" s="31">
        <f t="shared" si="420"/>
        <v>0</v>
      </c>
      <c r="BO863" s="219">
        <f t="shared" si="421"/>
        <v>0</v>
      </c>
    </row>
    <row r="864" spans="1:67" x14ac:dyDescent="0.25">
      <c r="A864" s="31" t="s">
        <v>2230</v>
      </c>
      <c r="B864" s="176" t="str">
        <f>VLOOKUP(A864,kurspris!$A$1:$B$992,2,FALSE)</f>
        <v>Profession och vetenskap för ämneslärare</v>
      </c>
      <c r="C864" s="31">
        <v>64901</v>
      </c>
      <c r="D864" s="60" t="s">
        <v>482</v>
      </c>
      <c r="E864" s="60"/>
      <c r="F864" s="57" t="s">
        <v>2274</v>
      </c>
      <c r="H864" s="31" t="s">
        <v>2335</v>
      </c>
      <c r="I864" s="31" t="s">
        <v>2399</v>
      </c>
      <c r="J864" s="31" t="s">
        <v>2242</v>
      </c>
      <c r="L864" s="38"/>
      <c r="M864">
        <v>7.5</v>
      </c>
      <c r="P864" s="31">
        <v>3</v>
      </c>
      <c r="Q864" s="539">
        <v>0.375</v>
      </c>
      <c r="R864" s="38">
        <v>0.85</v>
      </c>
      <c r="S864" s="280">
        <f t="shared" si="394"/>
        <v>0.31874999999999998</v>
      </c>
      <c r="T864" s="31">
        <f>VLOOKUP(A864,'Ansvar kurs'!$A$1:$C$1123,2,FALSE)</f>
        <v>2340</v>
      </c>
      <c r="U864" s="31" t="str">
        <f>VLOOKUP(T864,Orgenheter!$A$1:$C$166,2,FALSE)</f>
        <v xml:space="preserve">Statsvetenskap                </v>
      </c>
      <c r="V864" s="31" t="str">
        <f>VLOOKUP(T864,Orgenheter!$A$1:$C$166,3,FALSE)</f>
        <v>Sam</v>
      </c>
      <c r="W864" s="35" t="str">
        <f>VLOOKUP(D864,Program!$A$1:$B$36,2,FALSE)</f>
        <v>Ämneslärarprogrammet - Gy</v>
      </c>
      <c r="X864" s="40">
        <f>VLOOKUP(A864,kurspris!$A$1:$Q$913,15,FALSE)</f>
        <v>26554</v>
      </c>
      <c r="Y864" s="40">
        <f>VLOOKUP(A864,kurspris!$A$1:$Q$913,16,FALSE)</f>
        <v>33465</v>
      </c>
      <c r="Z864" s="40">
        <f t="shared" si="395"/>
        <v>20624.71875</v>
      </c>
      <c r="AA864" s="40">
        <f>VLOOKUP(A864,kurspris!$A$1:$Q$913,17,FALSE)</f>
        <v>6000</v>
      </c>
      <c r="AB864" s="40">
        <f t="shared" si="396"/>
        <v>2250</v>
      </c>
      <c r="AC864" s="40">
        <f t="shared" si="397"/>
        <v>22874.71875</v>
      </c>
      <c r="AD864" s="31">
        <f>VLOOKUP($A864,kurspris!$A$1:$Q$950,3,FALSE)</f>
        <v>0</v>
      </c>
      <c r="AE864" s="31">
        <f>VLOOKUP($A864,kurspris!$A$1:$Q$950,4,FALSE)</f>
        <v>0</v>
      </c>
      <c r="AF864" s="31">
        <f>VLOOKUP($A864,kurspris!$A$1:$Q$950,5,FALSE)</f>
        <v>0</v>
      </c>
      <c r="AG864" s="31">
        <f>VLOOKUP($A864,kurspris!$A$1:$Q$950,6,FALSE)</f>
        <v>1</v>
      </c>
      <c r="AH864" s="31">
        <f>VLOOKUP($A864,kurspris!$A$1:$Q$950,7,FALSE)</f>
        <v>0</v>
      </c>
      <c r="AI864" s="31">
        <f>VLOOKUP($A864,kurspris!$A$1:$Q$950,8,FALSE)</f>
        <v>0</v>
      </c>
      <c r="AJ864" s="31">
        <f>VLOOKUP($A864,kurspris!$A$1:$Q$950,9,FALSE)</f>
        <v>0</v>
      </c>
      <c r="AK864" s="31">
        <f>VLOOKUP($A864,kurspris!$A$1:$Q$950,10,FALSE)</f>
        <v>0</v>
      </c>
      <c r="AL864" s="31">
        <f>VLOOKUP($A864,kurspris!$A$1:$Q$950,11,FALSE)</f>
        <v>0</v>
      </c>
      <c r="AM864" s="31">
        <f>VLOOKUP($A864,kurspris!$A$1:$Q$950,12,FALSE)</f>
        <v>0</v>
      </c>
      <c r="AN864" s="31">
        <f>VLOOKUP($A864,kurspris!$A$1:$Q$950,13,FALSE)</f>
        <v>0</v>
      </c>
      <c r="AO864" s="31">
        <f>VLOOKUP($A864,kurspris!$A$1:$Q$950,14,FALSE)</f>
        <v>0</v>
      </c>
      <c r="AP864" s="57" t="s">
        <v>2402</v>
      </c>
      <c r="AQ864"/>
      <c r="AR864" s="31">
        <f t="shared" si="398"/>
        <v>0</v>
      </c>
      <c r="AS864" s="219">
        <f t="shared" si="399"/>
        <v>0</v>
      </c>
      <c r="AT864" s="31">
        <f t="shared" si="400"/>
        <v>0</v>
      </c>
      <c r="AU864" s="219">
        <f t="shared" si="401"/>
        <v>0</v>
      </c>
      <c r="AV864" s="31">
        <f t="shared" si="402"/>
        <v>0</v>
      </c>
      <c r="AW864" s="31">
        <f t="shared" si="403"/>
        <v>0</v>
      </c>
      <c r="AX864" s="31">
        <f t="shared" si="404"/>
        <v>0.375</v>
      </c>
      <c r="AY864" s="219">
        <f t="shared" si="405"/>
        <v>0.31874999999999998</v>
      </c>
      <c r="AZ864" s="196">
        <f t="shared" si="406"/>
        <v>0</v>
      </c>
      <c r="BA864" s="219">
        <f t="shared" si="407"/>
        <v>0</v>
      </c>
      <c r="BB864" s="31">
        <f t="shared" si="408"/>
        <v>0</v>
      </c>
      <c r="BC864" s="219">
        <f t="shared" si="409"/>
        <v>0</v>
      </c>
      <c r="BD864" s="31">
        <f t="shared" si="410"/>
        <v>0</v>
      </c>
      <c r="BE864" s="219">
        <f t="shared" si="411"/>
        <v>0</v>
      </c>
      <c r="BF864" s="31">
        <f t="shared" si="412"/>
        <v>0</v>
      </c>
      <c r="BG864" s="219">
        <f t="shared" si="413"/>
        <v>0</v>
      </c>
      <c r="BH864" s="31">
        <f t="shared" si="414"/>
        <v>0</v>
      </c>
      <c r="BI864" s="219">
        <f t="shared" si="415"/>
        <v>0</v>
      </c>
      <c r="BJ864" s="31">
        <f t="shared" si="416"/>
        <v>0</v>
      </c>
      <c r="BK864" s="219">
        <f t="shared" si="417"/>
        <v>0</v>
      </c>
      <c r="BL864" s="31">
        <f t="shared" si="418"/>
        <v>0</v>
      </c>
      <c r="BM864" s="219">
        <f t="shared" si="419"/>
        <v>0</v>
      </c>
      <c r="BN864" s="31">
        <f t="shared" si="420"/>
        <v>0</v>
      </c>
      <c r="BO864" s="219">
        <f t="shared" si="421"/>
        <v>0</v>
      </c>
    </row>
    <row r="865" spans="1:67" x14ac:dyDescent="0.25">
      <c r="A865" s="31" t="s">
        <v>2230</v>
      </c>
      <c r="B865" s="176" t="str">
        <f>VLOOKUP(A865,kurspris!$A$1:$B$992,2,FALSE)</f>
        <v>Profession och vetenskap för ämneslärare</v>
      </c>
      <c r="C865" s="31">
        <v>64901</v>
      </c>
      <c r="D865" s="60" t="s">
        <v>482</v>
      </c>
      <c r="E865" s="60"/>
      <c r="F865" s="57" t="s">
        <v>2274</v>
      </c>
      <c r="H865" s="31" t="s">
        <v>2335</v>
      </c>
      <c r="I865" s="31" t="s">
        <v>2399</v>
      </c>
      <c r="J865" s="31" t="s">
        <v>2243</v>
      </c>
      <c r="L865" s="38"/>
      <c r="M865">
        <v>7.5</v>
      </c>
      <c r="P865" s="31">
        <v>1</v>
      </c>
      <c r="Q865" s="539">
        <v>0.125</v>
      </c>
      <c r="R865" s="38">
        <v>0.85</v>
      </c>
      <c r="S865" s="280">
        <f t="shared" si="394"/>
        <v>0.10625</v>
      </c>
      <c r="T865" s="31">
        <f>VLOOKUP(A865,'Ansvar kurs'!$A$1:$C$1123,2,FALSE)</f>
        <v>2340</v>
      </c>
      <c r="U865" s="31" t="str">
        <f>VLOOKUP(T865,Orgenheter!$A$1:$C$166,2,FALSE)</f>
        <v xml:space="preserve">Statsvetenskap                </v>
      </c>
      <c r="V865" s="31" t="str">
        <f>VLOOKUP(T865,Orgenheter!$A$1:$C$166,3,FALSE)</f>
        <v>Sam</v>
      </c>
      <c r="W865" s="35" t="str">
        <f>VLOOKUP(D865,Program!$A$1:$B$36,2,FALSE)</f>
        <v>Ämneslärarprogrammet - Gy</v>
      </c>
      <c r="X865" s="40">
        <f>VLOOKUP(A865,kurspris!$A$1:$Q$913,15,FALSE)</f>
        <v>26554</v>
      </c>
      <c r="Y865" s="40">
        <f>VLOOKUP(A865,kurspris!$A$1:$Q$913,16,FALSE)</f>
        <v>33465</v>
      </c>
      <c r="Z865" s="40">
        <f t="shared" si="395"/>
        <v>6874.90625</v>
      </c>
      <c r="AA865" s="40">
        <f>VLOOKUP(A865,kurspris!$A$1:$Q$913,17,FALSE)</f>
        <v>6000</v>
      </c>
      <c r="AB865" s="40">
        <f t="shared" si="396"/>
        <v>750</v>
      </c>
      <c r="AC865" s="40">
        <f t="shared" si="397"/>
        <v>7624.90625</v>
      </c>
      <c r="AD865" s="31">
        <f>VLOOKUP($A865,kurspris!$A$1:$Q$950,3,FALSE)</f>
        <v>0</v>
      </c>
      <c r="AE865" s="31">
        <f>VLOOKUP($A865,kurspris!$A$1:$Q$950,4,FALSE)</f>
        <v>0</v>
      </c>
      <c r="AF865" s="31">
        <f>VLOOKUP($A865,kurspris!$A$1:$Q$950,5,FALSE)</f>
        <v>0</v>
      </c>
      <c r="AG865" s="31">
        <f>VLOOKUP($A865,kurspris!$A$1:$Q$950,6,FALSE)</f>
        <v>1</v>
      </c>
      <c r="AH865" s="31">
        <f>VLOOKUP($A865,kurspris!$A$1:$Q$950,7,FALSE)</f>
        <v>0</v>
      </c>
      <c r="AI865" s="31">
        <f>VLOOKUP($A865,kurspris!$A$1:$Q$950,8,FALSE)</f>
        <v>0</v>
      </c>
      <c r="AJ865" s="31">
        <f>VLOOKUP($A865,kurspris!$A$1:$Q$950,9,FALSE)</f>
        <v>0</v>
      </c>
      <c r="AK865" s="31">
        <f>VLOOKUP($A865,kurspris!$A$1:$Q$950,10,FALSE)</f>
        <v>0</v>
      </c>
      <c r="AL865" s="31">
        <f>VLOOKUP($A865,kurspris!$A$1:$Q$950,11,FALSE)</f>
        <v>0</v>
      </c>
      <c r="AM865" s="31">
        <f>VLOOKUP($A865,kurspris!$A$1:$Q$950,12,FALSE)</f>
        <v>0</v>
      </c>
      <c r="AN865" s="31">
        <f>VLOOKUP($A865,kurspris!$A$1:$Q$950,13,FALSE)</f>
        <v>0</v>
      </c>
      <c r="AO865" s="31">
        <f>VLOOKUP($A865,kurspris!$A$1:$Q$950,14,FALSE)</f>
        <v>0</v>
      </c>
      <c r="AP865" s="57" t="s">
        <v>2402</v>
      </c>
      <c r="AQ865"/>
      <c r="AR865" s="31">
        <f t="shared" si="398"/>
        <v>0</v>
      </c>
      <c r="AS865" s="219">
        <f t="shared" si="399"/>
        <v>0</v>
      </c>
      <c r="AT865" s="31">
        <f t="shared" si="400"/>
        <v>0</v>
      </c>
      <c r="AU865" s="219">
        <f t="shared" si="401"/>
        <v>0</v>
      </c>
      <c r="AV865" s="31">
        <f t="shared" si="402"/>
        <v>0</v>
      </c>
      <c r="AW865" s="31">
        <f t="shared" si="403"/>
        <v>0</v>
      </c>
      <c r="AX865" s="31">
        <f t="shared" si="404"/>
        <v>0.125</v>
      </c>
      <c r="AY865" s="219">
        <f t="shared" si="405"/>
        <v>0.10625</v>
      </c>
      <c r="AZ865" s="196">
        <f t="shared" si="406"/>
        <v>0</v>
      </c>
      <c r="BA865" s="219">
        <f t="shared" si="407"/>
        <v>0</v>
      </c>
      <c r="BB865" s="31">
        <f t="shared" si="408"/>
        <v>0</v>
      </c>
      <c r="BC865" s="219">
        <f t="shared" si="409"/>
        <v>0</v>
      </c>
      <c r="BD865" s="31">
        <f t="shared" si="410"/>
        <v>0</v>
      </c>
      <c r="BE865" s="219">
        <f t="shared" si="411"/>
        <v>0</v>
      </c>
      <c r="BF865" s="31">
        <f t="shared" si="412"/>
        <v>0</v>
      </c>
      <c r="BG865" s="219">
        <f t="shared" si="413"/>
        <v>0</v>
      </c>
      <c r="BH865" s="31">
        <f t="shared" si="414"/>
        <v>0</v>
      </c>
      <c r="BI865" s="219">
        <f t="shared" si="415"/>
        <v>0</v>
      </c>
      <c r="BJ865" s="31">
        <f t="shared" si="416"/>
        <v>0</v>
      </c>
      <c r="BK865" s="219">
        <f t="shared" si="417"/>
        <v>0</v>
      </c>
      <c r="BL865" s="31">
        <f t="shared" si="418"/>
        <v>0</v>
      </c>
      <c r="BM865" s="219">
        <f t="shared" si="419"/>
        <v>0</v>
      </c>
      <c r="BN865" s="31">
        <f t="shared" si="420"/>
        <v>0</v>
      </c>
      <c r="BO865" s="219">
        <f t="shared" si="421"/>
        <v>0</v>
      </c>
    </row>
    <row r="866" spans="1:67" x14ac:dyDescent="0.25">
      <c r="A866" s="31" t="s">
        <v>2230</v>
      </c>
      <c r="B866" s="176" t="str">
        <f>VLOOKUP(A866,kurspris!$A$1:$B$992,2,FALSE)</f>
        <v>Profession och vetenskap för ämneslärare</v>
      </c>
      <c r="C866" s="31">
        <v>64901</v>
      </c>
      <c r="D866" s="60" t="s">
        <v>482</v>
      </c>
      <c r="E866" s="60"/>
      <c r="F866" s="57" t="s">
        <v>2274</v>
      </c>
      <c r="H866" s="31" t="s">
        <v>2335</v>
      </c>
      <c r="I866" s="31" t="s">
        <v>2399</v>
      </c>
      <c r="J866" s="31" t="s">
        <v>2240</v>
      </c>
      <c r="L866" s="38"/>
      <c r="M866">
        <v>7.5</v>
      </c>
      <c r="P866" s="31">
        <v>10</v>
      </c>
      <c r="Q866" s="539">
        <v>1.25</v>
      </c>
      <c r="R866" s="38">
        <v>0.85</v>
      </c>
      <c r="S866" s="280">
        <f t="shared" si="394"/>
        <v>1.0625</v>
      </c>
      <c r="T866" s="31">
        <f>VLOOKUP(A866,'Ansvar kurs'!$A$1:$C$1123,2,FALSE)</f>
        <v>2340</v>
      </c>
      <c r="U866" s="31" t="str">
        <f>VLOOKUP(T866,Orgenheter!$A$1:$C$166,2,FALSE)</f>
        <v xml:space="preserve">Statsvetenskap                </v>
      </c>
      <c r="V866" s="31" t="str">
        <f>VLOOKUP(T866,Orgenheter!$A$1:$C$166,3,FALSE)</f>
        <v>Sam</v>
      </c>
      <c r="W866" s="35" t="str">
        <f>VLOOKUP(D866,Program!$A$1:$B$36,2,FALSE)</f>
        <v>Ämneslärarprogrammet - Gy</v>
      </c>
      <c r="X866" s="40">
        <f>VLOOKUP(A866,kurspris!$A$1:$Q$913,15,FALSE)</f>
        <v>26554</v>
      </c>
      <c r="Y866" s="40">
        <f>VLOOKUP(A866,kurspris!$A$1:$Q$913,16,FALSE)</f>
        <v>33465</v>
      </c>
      <c r="Z866" s="40">
        <f t="shared" si="395"/>
        <v>68749.0625</v>
      </c>
      <c r="AA866" s="40">
        <f>VLOOKUP(A866,kurspris!$A$1:$Q$913,17,FALSE)</f>
        <v>6000</v>
      </c>
      <c r="AB866" s="40">
        <f t="shared" si="396"/>
        <v>7500</v>
      </c>
      <c r="AC866" s="40">
        <f t="shared" si="397"/>
        <v>76249.0625</v>
      </c>
      <c r="AD866" s="31">
        <f>VLOOKUP($A866,kurspris!$A$1:$Q$950,3,FALSE)</f>
        <v>0</v>
      </c>
      <c r="AE866" s="31">
        <f>VLOOKUP($A866,kurspris!$A$1:$Q$950,4,FALSE)</f>
        <v>0</v>
      </c>
      <c r="AF866" s="31">
        <f>VLOOKUP($A866,kurspris!$A$1:$Q$950,5,FALSE)</f>
        <v>0</v>
      </c>
      <c r="AG866" s="31">
        <f>VLOOKUP($A866,kurspris!$A$1:$Q$950,6,FALSE)</f>
        <v>1</v>
      </c>
      <c r="AH866" s="31">
        <f>VLOOKUP($A866,kurspris!$A$1:$Q$950,7,FALSE)</f>
        <v>0</v>
      </c>
      <c r="AI866" s="31">
        <f>VLOOKUP($A866,kurspris!$A$1:$Q$950,8,FALSE)</f>
        <v>0</v>
      </c>
      <c r="AJ866" s="31">
        <f>VLOOKUP($A866,kurspris!$A$1:$Q$950,9,FALSE)</f>
        <v>0</v>
      </c>
      <c r="AK866" s="31">
        <f>VLOOKUP($A866,kurspris!$A$1:$Q$950,10,FALSE)</f>
        <v>0</v>
      </c>
      <c r="AL866" s="31">
        <f>VLOOKUP($A866,kurspris!$A$1:$Q$950,11,FALSE)</f>
        <v>0</v>
      </c>
      <c r="AM866" s="31">
        <f>VLOOKUP($A866,kurspris!$A$1:$Q$950,12,FALSE)</f>
        <v>0</v>
      </c>
      <c r="AN866" s="31">
        <f>VLOOKUP($A866,kurspris!$A$1:$Q$950,13,FALSE)</f>
        <v>0</v>
      </c>
      <c r="AO866" s="31">
        <f>VLOOKUP($A866,kurspris!$A$1:$Q$950,14,FALSE)</f>
        <v>0</v>
      </c>
      <c r="AP866" s="57" t="s">
        <v>2402</v>
      </c>
      <c r="AQ866"/>
      <c r="AR866" s="31">
        <f t="shared" si="398"/>
        <v>0</v>
      </c>
      <c r="AS866" s="219">
        <f t="shared" si="399"/>
        <v>0</v>
      </c>
      <c r="AT866" s="31">
        <f t="shared" si="400"/>
        <v>0</v>
      </c>
      <c r="AU866" s="219">
        <f t="shared" si="401"/>
        <v>0</v>
      </c>
      <c r="AV866" s="31">
        <f t="shared" si="402"/>
        <v>0</v>
      </c>
      <c r="AW866" s="31">
        <f t="shared" si="403"/>
        <v>0</v>
      </c>
      <c r="AX866" s="31">
        <f t="shared" si="404"/>
        <v>1.25</v>
      </c>
      <c r="AY866" s="219">
        <f t="shared" si="405"/>
        <v>1.0625</v>
      </c>
      <c r="AZ866" s="196">
        <f t="shared" si="406"/>
        <v>0</v>
      </c>
      <c r="BA866" s="219">
        <f t="shared" si="407"/>
        <v>0</v>
      </c>
      <c r="BB866" s="31">
        <f t="shared" si="408"/>
        <v>0</v>
      </c>
      <c r="BC866" s="219">
        <f t="shared" si="409"/>
        <v>0</v>
      </c>
      <c r="BD866" s="31">
        <f t="shared" si="410"/>
        <v>0</v>
      </c>
      <c r="BE866" s="219">
        <f t="shared" si="411"/>
        <v>0</v>
      </c>
      <c r="BF866" s="31">
        <f t="shared" si="412"/>
        <v>0</v>
      </c>
      <c r="BG866" s="219">
        <f t="shared" si="413"/>
        <v>0</v>
      </c>
      <c r="BH866" s="31">
        <f t="shared" si="414"/>
        <v>0</v>
      </c>
      <c r="BI866" s="219">
        <f t="shared" si="415"/>
        <v>0</v>
      </c>
      <c r="BJ866" s="31">
        <f t="shared" si="416"/>
        <v>0</v>
      </c>
      <c r="BK866" s="219">
        <f t="shared" si="417"/>
        <v>0</v>
      </c>
      <c r="BL866" s="31">
        <f t="shared" si="418"/>
        <v>0</v>
      </c>
      <c r="BM866" s="219">
        <f t="shared" si="419"/>
        <v>0</v>
      </c>
      <c r="BN866" s="31">
        <f t="shared" si="420"/>
        <v>0</v>
      </c>
      <c r="BO866" s="219">
        <f t="shared" si="421"/>
        <v>0</v>
      </c>
    </row>
    <row r="867" spans="1:67" x14ac:dyDescent="0.25">
      <c r="A867" s="31" t="s">
        <v>2230</v>
      </c>
      <c r="B867" s="176" t="str">
        <f>VLOOKUP(A867,kurspris!$A$1:$B$992,2,FALSE)</f>
        <v>Profession och vetenskap för ämneslärare</v>
      </c>
      <c r="C867" s="31">
        <v>64901</v>
      </c>
      <c r="D867" s="60" t="s">
        <v>482</v>
      </c>
      <c r="E867" s="60"/>
      <c r="F867" s="57" t="s">
        <v>2274</v>
      </c>
      <c r="H867" s="31" t="s">
        <v>2335</v>
      </c>
      <c r="I867" s="31" t="s">
        <v>2399</v>
      </c>
      <c r="J867" s="31" t="s">
        <v>2248</v>
      </c>
      <c r="L867" s="38"/>
      <c r="M867">
        <v>7.5</v>
      </c>
      <c r="P867" s="31">
        <v>2</v>
      </c>
      <c r="Q867" s="539">
        <v>0.25</v>
      </c>
      <c r="R867" s="38">
        <v>0.85</v>
      </c>
      <c r="S867" s="280">
        <f t="shared" si="394"/>
        <v>0.21249999999999999</v>
      </c>
      <c r="T867" s="31">
        <f>VLOOKUP(A867,'Ansvar kurs'!$A$1:$C$1123,2,FALSE)</f>
        <v>2340</v>
      </c>
      <c r="U867" s="31" t="str">
        <f>VLOOKUP(T867,Orgenheter!$A$1:$C$166,2,FALSE)</f>
        <v xml:space="preserve">Statsvetenskap                </v>
      </c>
      <c r="V867" s="31" t="str">
        <f>VLOOKUP(T867,Orgenheter!$A$1:$C$166,3,FALSE)</f>
        <v>Sam</v>
      </c>
      <c r="W867" s="35" t="str">
        <f>VLOOKUP(D867,Program!$A$1:$B$36,2,FALSE)</f>
        <v>Ämneslärarprogrammet - Gy</v>
      </c>
      <c r="X867" s="40">
        <f>VLOOKUP(A867,kurspris!$A$1:$Q$913,15,FALSE)</f>
        <v>26554</v>
      </c>
      <c r="Y867" s="40">
        <f>VLOOKUP(A867,kurspris!$A$1:$Q$913,16,FALSE)</f>
        <v>33465</v>
      </c>
      <c r="Z867" s="40">
        <f t="shared" si="395"/>
        <v>13749.8125</v>
      </c>
      <c r="AA867" s="40">
        <f>VLOOKUP(A867,kurspris!$A$1:$Q$913,17,FALSE)</f>
        <v>6000</v>
      </c>
      <c r="AB867" s="40">
        <f t="shared" si="396"/>
        <v>1500</v>
      </c>
      <c r="AC867" s="40">
        <f t="shared" si="397"/>
        <v>15249.8125</v>
      </c>
      <c r="AD867" s="31">
        <f>VLOOKUP($A867,kurspris!$A$1:$Q$950,3,FALSE)</f>
        <v>0</v>
      </c>
      <c r="AE867" s="31">
        <f>VLOOKUP($A867,kurspris!$A$1:$Q$950,4,FALSE)</f>
        <v>0</v>
      </c>
      <c r="AF867" s="31">
        <f>VLOOKUP($A867,kurspris!$A$1:$Q$950,5,FALSE)</f>
        <v>0</v>
      </c>
      <c r="AG867" s="31">
        <f>VLOOKUP($A867,kurspris!$A$1:$Q$950,6,FALSE)</f>
        <v>1</v>
      </c>
      <c r="AH867" s="31">
        <f>VLOOKUP($A867,kurspris!$A$1:$Q$950,7,FALSE)</f>
        <v>0</v>
      </c>
      <c r="AI867" s="31">
        <f>VLOOKUP($A867,kurspris!$A$1:$Q$950,8,FALSE)</f>
        <v>0</v>
      </c>
      <c r="AJ867" s="31">
        <f>VLOOKUP($A867,kurspris!$A$1:$Q$950,9,FALSE)</f>
        <v>0</v>
      </c>
      <c r="AK867" s="31">
        <f>VLOOKUP($A867,kurspris!$A$1:$Q$950,10,FALSE)</f>
        <v>0</v>
      </c>
      <c r="AL867" s="31">
        <f>VLOOKUP($A867,kurspris!$A$1:$Q$950,11,FALSE)</f>
        <v>0</v>
      </c>
      <c r="AM867" s="31">
        <f>VLOOKUP($A867,kurspris!$A$1:$Q$950,12,FALSE)</f>
        <v>0</v>
      </c>
      <c r="AN867" s="31">
        <f>VLOOKUP($A867,kurspris!$A$1:$Q$950,13,FALSE)</f>
        <v>0</v>
      </c>
      <c r="AO867" s="31">
        <f>VLOOKUP($A867,kurspris!$A$1:$Q$950,14,FALSE)</f>
        <v>0</v>
      </c>
      <c r="AP867" s="57" t="s">
        <v>2402</v>
      </c>
      <c r="AQ867"/>
      <c r="AR867" s="31">
        <f t="shared" si="398"/>
        <v>0</v>
      </c>
      <c r="AS867" s="219">
        <f t="shared" si="399"/>
        <v>0</v>
      </c>
      <c r="AT867" s="31">
        <f t="shared" si="400"/>
        <v>0</v>
      </c>
      <c r="AU867" s="219">
        <f t="shared" si="401"/>
        <v>0</v>
      </c>
      <c r="AV867" s="31">
        <f t="shared" si="402"/>
        <v>0</v>
      </c>
      <c r="AW867" s="31">
        <f t="shared" si="403"/>
        <v>0</v>
      </c>
      <c r="AX867" s="31">
        <f t="shared" si="404"/>
        <v>0.25</v>
      </c>
      <c r="AY867" s="219">
        <f t="shared" si="405"/>
        <v>0.21249999999999999</v>
      </c>
      <c r="AZ867" s="196">
        <f t="shared" si="406"/>
        <v>0</v>
      </c>
      <c r="BA867" s="219">
        <f t="shared" si="407"/>
        <v>0</v>
      </c>
      <c r="BB867" s="31">
        <f t="shared" si="408"/>
        <v>0</v>
      </c>
      <c r="BC867" s="219">
        <f t="shared" si="409"/>
        <v>0</v>
      </c>
      <c r="BD867" s="31">
        <f t="shared" si="410"/>
        <v>0</v>
      </c>
      <c r="BE867" s="219">
        <f t="shared" si="411"/>
        <v>0</v>
      </c>
      <c r="BF867" s="31">
        <f t="shared" si="412"/>
        <v>0</v>
      </c>
      <c r="BG867" s="219">
        <f t="shared" si="413"/>
        <v>0</v>
      </c>
      <c r="BH867" s="31">
        <f t="shared" si="414"/>
        <v>0</v>
      </c>
      <c r="BI867" s="219">
        <f t="shared" si="415"/>
        <v>0</v>
      </c>
      <c r="BJ867" s="31">
        <f t="shared" si="416"/>
        <v>0</v>
      </c>
      <c r="BK867" s="219">
        <f t="shared" si="417"/>
        <v>0</v>
      </c>
      <c r="BL867" s="31">
        <f t="shared" si="418"/>
        <v>0</v>
      </c>
      <c r="BM867" s="219">
        <f t="shared" si="419"/>
        <v>0</v>
      </c>
      <c r="BN867" s="31">
        <f t="shared" si="420"/>
        <v>0</v>
      </c>
      <c r="BO867" s="219">
        <f t="shared" si="421"/>
        <v>0</v>
      </c>
    </row>
    <row r="868" spans="1:67" x14ac:dyDescent="0.25">
      <c r="A868" s="31" t="s">
        <v>2230</v>
      </c>
      <c r="B868" s="176" t="str">
        <f>VLOOKUP(A868,kurspris!$A$1:$B$992,2,FALSE)</f>
        <v>Profession och vetenskap för ämneslärare</v>
      </c>
      <c r="C868" s="31">
        <v>64901</v>
      </c>
      <c r="D868" s="60" t="s">
        <v>482</v>
      </c>
      <c r="E868" s="60"/>
      <c r="F868" s="57" t="s">
        <v>2274</v>
      </c>
      <c r="H868" s="31" t="s">
        <v>2335</v>
      </c>
      <c r="I868" s="31" t="s">
        <v>2399</v>
      </c>
      <c r="J868" s="31" t="s">
        <v>2246</v>
      </c>
      <c r="L868" s="38"/>
      <c r="M868">
        <v>7.5</v>
      </c>
      <c r="P868" s="31">
        <v>1</v>
      </c>
      <c r="Q868" s="539">
        <v>0.125</v>
      </c>
      <c r="R868" s="38">
        <v>0.85</v>
      </c>
      <c r="S868" s="280">
        <f t="shared" si="394"/>
        <v>0.10625</v>
      </c>
      <c r="T868" s="31">
        <f>VLOOKUP(A868,'Ansvar kurs'!$A$1:$C$1123,2,FALSE)</f>
        <v>2340</v>
      </c>
      <c r="U868" s="31" t="str">
        <f>VLOOKUP(T868,Orgenheter!$A$1:$C$166,2,FALSE)</f>
        <v xml:space="preserve">Statsvetenskap                </v>
      </c>
      <c r="V868" s="31" t="str">
        <f>VLOOKUP(T868,Orgenheter!$A$1:$C$166,3,FALSE)</f>
        <v>Sam</v>
      </c>
      <c r="W868" s="35" t="str">
        <f>VLOOKUP(D868,Program!$A$1:$B$36,2,FALSE)</f>
        <v>Ämneslärarprogrammet - Gy</v>
      </c>
      <c r="X868" s="40">
        <f>VLOOKUP(A868,kurspris!$A$1:$Q$913,15,FALSE)</f>
        <v>26554</v>
      </c>
      <c r="Y868" s="40">
        <f>VLOOKUP(A868,kurspris!$A$1:$Q$913,16,FALSE)</f>
        <v>33465</v>
      </c>
      <c r="Z868" s="40">
        <f t="shared" si="395"/>
        <v>6874.90625</v>
      </c>
      <c r="AA868" s="40">
        <f>VLOOKUP(A868,kurspris!$A$1:$Q$913,17,FALSE)</f>
        <v>6000</v>
      </c>
      <c r="AB868" s="40">
        <f t="shared" si="396"/>
        <v>750</v>
      </c>
      <c r="AC868" s="40">
        <f t="shared" si="397"/>
        <v>7624.90625</v>
      </c>
      <c r="AD868" s="31">
        <f>VLOOKUP($A868,kurspris!$A$1:$Q$950,3,FALSE)</f>
        <v>0</v>
      </c>
      <c r="AE868" s="31">
        <f>VLOOKUP($A868,kurspris!$A$1:$Q$950,4,FALSE)</f>
        <v>0</v>
      </c>
      <c r="AF868" s="31">
        <f>VLOOKUP($A868,kurspris!$A$1:$Q$950,5,FALSE)</f>
        <v>0</v>
      </c>
      <c r="AG868" s="31">
        <f>VLOOKUP($A868,kurspris!$A$1:$Q$950,6,FALSE)</f>
        <v>1</v>
      </c>
      <c r="AH868" s="31">
        <f>VLOOKUP($A868,kurspris!$A$1:$Q$950,7,FALSE)</f>
        <v>0</v>
      </c>
      <c r="AI868" s="31">
        <f>VLOOKUP($A868,kurspris!$A$1:$Q$950,8,FALSE)</f>
        <v>0</v>
      </c>
      <c r="AJ868" s="31">
        <f>VLOOKUP($A868,kurspris!$A$1:$Q$950,9,FALSE)</f>
        <v>0</v>
      </c>
      <c r="AK868" s="31">
        <f>VLOOKUP($A868,kurspris!$A$1:$Q$950,10,FALSE)</f>
        <v>0</v>
      </c>
      <c r="AL868" s="31">
        <f>VLOOKUP($A868,kurspris!$A$1:$Q$950,11,FALSE)</f>
        <v>0</v>
      </c>
      <c r="AM868" s="31">
        <f>VLOOKUP($A868,kurspris!$A$1:$Q$950,12,FALSE)</f>
        <v>0</v>
      </c>
      <c r="AN868" s="31">
        <f>VLOOKUP($A868,kurspris!$A$1:$Q$950,13,FALSE)</f>
        <v>0</v>
      </c>
      <c r="AO868" s="31">
        <f>VLOOKUP($A868,kurspris!$A$1:$Q$950,14,FALSE)</f>
        <v>0</v>
      </c>
      <c r="AP868" s="57" t="s">
        <v>2402</v>
      </c>
      <c r="AQ868"/>
      <c r="AR868" s="31">
        <f t="shared" si="398"/>
        <v>0</v>
      </c>
      <c r="AS868" s="219">
        <f t="shared" si="399"/>
        <v>0</v>
      </c>
      <c r="AT868" s="31">
        <f t="shared" si="400"/>
        <v>0</v>
      </c>
      <c r="AU868" s="219">
        <f t="shared" si="401"/>
        <v>0</v>
      </c>
      <c r="AV868" s="31">
        <f t="shared" si="402"/>
        <v>0</v>
      </c>
      <c r="AW868" s="31">
        <f t="shared" si="403"/>
        <v>0</v>
      </c>
      <c r="AX868" s="31">
        <f t="shared" si="404"/>
        <v>0.125</v>
      </c>
      <c r="AY868" s="219">
        <f t="shared" si="405"/>
        <v>0.10625</v>
      </c>
      <c r="AZ868" s="196">
        <f t="shared" si="406"/>
        <v>0</v>
      </c>
      <c r="BA868" s="219">
        <f t="shared" si="407"/>
        <v>0</v>
      </c>
      <c r="BB868" s="31">
        <f t="shared" si="408"/>
        <v>0</v>
      </c>
      <c r="BC868" s="219">
        <f t="shared" si="409"/>
        <v>0</v>
      </c>
      <c r="BD868" s="31">
        <f t="shared" si="410"/>
        <v>0</v>
      </c>
      <c r="BE868" s="219">
        <f t="shared" si="411"/>
        <v>0</v>
      </c>
      <c r="BF868" s="31">
        <f t="shared" si="412"/>
        <v>0</v>
      </c>
      <c r="BG868" s="219">
        <f t="shared" si="413"/>
        <v>0</v>
      </c>
      <c r="BH868" s="31">
        <f t="shared" si="414"/>
        <v>0</v>
      </c>
      <c r="BI868" s="219">
        <f t="shared" si="415"/>
        <v>0</v>
      </c>
      <c r="BJ868" s="31">
        <f t="shared" si="416"/>
        <v>0</v>
      </c>
      <c r="BK868" s="219">
        <f t="shared" si="417"/>
        <v>0</v>
      </c>
      <c r="BL868" s="31">
        <f t="shared" si="418"/>
        <v>0</v>
      </c>
      <c r="BM868" s="219">
        <f t="shared" si="419"/>
        <v>0</v>
      </c>
      <c r="BN868" s="31">
        <f t="shared" si="420"/>
        <v>0</v>
      </c>
      <c r="BO868" s="219">
        <f t="shared" si="421"/>
        <v>0</v>
      </c>
    </row>
    <row r="869" spans="1:67" x14ac:dyDescent="0.25">
      <c r="A869" s="31" t="s">
        <v>566</v>
      </c>
      <c r="B869" s="176" t="str">
        <f>VLOOKUP(A869,kurspris!$A$1:$B$992,2,FALSE)</f>
        <v>Slöjd, Trä- och metall 2a, distans</v>
      </c>
      <c r="D869" s="31" t="s">
        <v>117</v>
      </c>
      <c r="F869" s="529" t="s">
        <v>2273</v>
      </c>
      <c r="I869" s="31" t="s">
        <v>2275</v>
      </c>
      <c r="L869" s="38">
        <v>0.5</v>
      </c>
      <c r="M869" s="325">
        <v>15</v>
      </c>
      <c r="P869" s="31">
        <v>25</v>
      </c>
      <c r="Q869" s="196">
        <f>(M869/60)*P869</f>
        <v>6.25</v>
      </c>
      <c r="R869" s="38">
        <v>0.8</v>
      </c>
      <c r="S869" s="280">
        <f t="shared" si="394"/>
        <v>5</v>
      </c>
      <c r="T869" s="31">
        <f>VLOOKUP(A869,'Ansvar kurs'!$A$1:$C$1123,2,FALSE)</f>
        <v>1650</v>
      </c>
      <c r="U869" s="31" t="str">
        <f>VLOOKUP(T869,Orgenheter!$A$1:$C$166,2,FALSE)</f>
        <v xml:space="preserve">Estetiska ämnen               </v>
      </c>
      <c r="V869" s="31" t="str">
        <f>VLOOKUP(T869,Orgenheter!$A$1:$C$166,3,FALSE)</f>
        <v>Hum</v>
      </c>
      <c r="W869" s="35" t="str">
        <f>VLOOKUP(D869,Program!$A$1:$B$36,2,FALSE)</f>
        <v>Fristående och övriga kurser</v>
      </c>
      <c r="X869" s="40">
        <f>VLOOKUP(A869,kurspris!$A$1:$Q$913,15,FALSE)</f>
        <v>20757</v>
      </c>
      <c r="Y869" s="40">
        <f>VLOOKUP(A869,kurspris!$A$1:$Q$913,16,FALSE)</f>
        <v>36082</v>
      </c>
      <c r="Z869" s="40">
        <f t="shared" si="395"/>
        <v>310141.25</v>
      </c>
      <c r="AA869" s="40">
        <f>VLOOKUP(A869,kurspris!$A$1:$Q$913,17,FALSE)</f>
        <v>22600</v>
      </c>
      <c r="AB869" s="40">
        <f t="shared" si="396"/>
        <v>141250</v>
      </c>
      <c r="AC869" s="40">
        <f t="shared" si="397"/>
        <v>451391.25</v>
      </c>
      <c r="AD869" s="31">
        <f>VLOOKUP($A869,kurspris!$A$1:$Q$950,3,FALSE)</f>
        <v>0</v>
      </c>
      <c r="AE869" s="31">
        <f>VLOOKUP($A869,kurspris!$A$1:$Q$950,4,FALSE)</f>
        <v>0</v>
      </c>
      <c r="AF869" s="31">
        <f>VLOOKUP($A869,kurspris!$A$1:$Q$950,5,FALSE)</f>
        <v>0</v>
      </c>
      <c r="AG869" s="31">
        <f>VLOOKUP($A869,kurspris!$A$1:$Q$950,6,FALSE)</f>
        <v>0</v>
      </c>
      <c r="AH869" s="31">
        <f>VLOOKUP($A869,kurspris!$A$1:$Q$950,7,FALSE)</f>
        <v>0</v>
      </c>
      <c r="AI869" s="31">
        <f>VLOOKUP($A869,kurspris!$A$1:$Q$950,8,FALSE)</f>
        <v>0</v>
      </c>
      <c r="AJ869" s="31">
        <f>VLOOKUP($A869,kurspris!$A$1:$Q$950,9,FALSE)</f>
        <v>0</v>
      </c>
      <c r="AK869" s="31">
        <f>VLOOKUP($A869,kurspris!$A$1:$Q$950,10,FALSE)</f>
        <v>1</v>
      </c>
      <c r="AL869" s="31">
        <f>VLOOKUP($A869,kurspris!$A$1:$Q$950,11,FALSE)</f>
        <v>0</v>
      </c>
      <c r="AM869" s="31">
        <f>VLOOKUP($A869,kurspris!$A$1:$Q$950,12,FALSE)</f>
        <v>0</v>
      </c>
      <c r="AN869" s="31">
        <f>VLOOKUP($A869,kurspris!$A$1:$Q$950,13,FALSE)</f>
        <v>0</v>
      </c>
      <c r="AO869" s="31">
        <f>VLOOKUP($A869,kurspris!$A$1:$Q$950,14,FALSE)</f>
        <v>0</v>
      </c>
      <c r="AP869" s="57" t="s">
        <v>2267</v>
      </c>
      <c r="AQ869" s="37"/>
      <c r="AR869" s="31">
        <f t="shared" si="398"/>
        <v>0</v>
      </c>
      <c r="AS869" s="219">
        <f t="shared" si="399"/>
        <v>0</v>
      </c>
      <c r="AT869" s="31">
        <f t="shared" si="400"/>
        <v>0</v>
      </c>
      <c r="AU869" s="219">
        <f t="shared" si="401"/>
        <v>0</v>
      </c>
      <c r="AV869" s="31">
        <f t="shared" si="402"/>
        <v>0</v>
      </c>
      <c r="AW869" s="31">
        <f t="shared" si="403"/>
        <v>0</v>
      </c>
      <c r="AX869" s="31">
        <f t="shared" si="404"/>
        <v>0</v>
      </c>
      <c r="AY869" s="219">
        <f t="shared" si="405"/>
        <v>0</v>
      </c>
      <c r="AZ869" s="196">
        <f t="shared" si="406"/>
        <v>0</v>
      </c>
      <c r="BA869" s="219">
        <f t="shared" si="407"/>
        <v>0</v>
      </c>
      <c r="BB869" s="31">
        <f t="shared" si="408"/>
        <v>0</v>
      </c>
      <c r="BC869" s="219">
        <f t="shared" si="409"/>
        <v>0</v>
      </c>
      <c r="BD869" s="31">
        <f t="shared" si="410"/>
        <v>0</v>
      </c>
      <c r="BE869" s="219">
        <f t="shared" si="411"/>
        <v>0</v>
      </c>
      <c r="BF869" s="31">
        <f t="shared" si="412"/>
        <v>6.25</v>
      </c>
      <c r="BG869" s="219">
        <f t="shared" si="413"/>
        <v>5</v>
      </c>
      <c r="BH869" s="31">
        <f t="shared" si="414"/>
        <v>0</v>
      </c>
      <c r="BI869" s="219">
        <f t="shared" si="415"/>
        <v>0</v>
      </c>
      <c r="BJ869" s="31">
        <f t="shared" si="416"/>
        <v>0</v>
      </c>
      <c r="BK869" s="219">
        <f t="shared" si="417"/>
        <v>0</v>
      </c>
      <c r="BL869" s="31">
        <f t="shared" si="418"/>
        <v>0</v>
      </c>
      <c r="BM869" s="219">
        <f t="shared" si="419"/>
        <v>0</v>
      </c>
      <c r="BN869" s="31">
        <f t="shared" si="420"/>
        <v>0</v>
      </c>
      <c r="BO869" s="219">
        <f t="shared" si="421"/>
        <v>0</v>
      </c>
    </row>
    <row r="870" spans="1:67" x14ac:dyDescent="0.25">
      <c r="A870" s="31" t="s">
        <v>644</v>
      </c>
      <c r="B870" s="176" t="str">
        <f>VLOOKUP(A870,kurspris!$A$1:$B$992,2,FALSE)</f>
        <v>Slöjd, Trä- och metall 2b, distans</v>
      </c>
      <c r="C870" s="31">
        <v>67103</v>
      </c>
      <c r="D870" s="60" t="s">
        <v>117</v>
      </c>
      <c r="E870" s="60"/>
      <c r="F870" s="57" t="s">
        <v>2274</v>
      </c>
      <c r="H870" s="31" t="s">
        <v>2335</v>
      </c>
      <c r="I870" s="31" t="s">
        <v>2275</v>
      </c>
      <c r="L870" s="38"/>
      <c r="M870">
        <v>15</v>
      </c>
      <c r="P870" s="31">
        <v>17</v>
      </c>
      <c r="Q870" s="539">
        <v>4.25</v>
      </c>
      <c r="R870" s="38">
        <v>0.8</v>
      </c>
      <c r="S870" s="280">
        <f t="shared" si="394"/>
        <v>3.4000000000000004</v>
      </c>
      <c r="T870" s="31">
        <f>VLOOKUP(A870,'Ansvar kurs'!$A$1:$C$1123,2,FALSE)</f>
        <v>1650</v>
      </c>
      <c r="U870" s="31" t="str">
        <f>VLOOKUP(T870,Orgenheter!$A$1:$C$166,2,FALSE)</f>
        <v xml:space="preserve">Estetiska ämnen               </v>
      </c>
      <c r="V870" s="31" t="str">
        <f>VLOOKUP(T870,Orgenheter!$A$1:$C$166,3,FALSE)</f>
        <v>Hum</v>
      </c>
      <c r="W870" s="35" t="str">
        <f>VLOOKUP(D870,Program!$A$1:$B$36,2,FALSE)</f>
        <v>Fristående och övriga kurser</v>
      </c>
      <c r="X870" s="40">
        <f>VLOOKUP(A870,kurspris!$A$1:$Q$913,15,FALSE)</f>
        <v>20757</v>
      </c>
      <c r="Y870" s="40">
        <f>VLOOKUP(A870,kurspris!$A$1:$Q$913,16,FALSE)</f>
        <v>36082</v>
      </c>
      <c r="Z870" s="40">
        <f t="shared" si="395"/>
        <v>210896.05000000002</v>
      </c>
      <c r="AA870" s="40">
        <f>VLOOKUP(A870,kurspris!$A$1:$Q$913,17,FALSE)</f>
        <v>22600</v>
      </c>
      <c r="AB870" s="40">
        <f t="shared" si="396"/>
        <v>96050</v>
      </c>
      <c r="AC870" s="40">
        <f t="shared" si="397"/>
        <v>306946.05000000005</v>
      </c>
      <c r="AD870" s="31">
        <f>VLOOKUP($A870,kurspris!$A$1:$Q$950,3,FALSE)</f>
        <v>0</v>
      </c>
      <c r="AE870" s="31">
        <f>VLOOKUP($A870,kurspris!$A$1:$Q$950,4,FALSE)</f>
        <v>0</v>
      </c>
      <c r="AF870" s="31">
        <f>VLOOKUP($A870,kurspris!$A$1:$Q$950,5,FALSE)</f>
        <v>0</v>
      </c>
      <c r="AG870" s="31">
        <f>VLOOKUP($A870,kurspris!$A$1:$Q$950,6,FALSE)</f>
        <v>0</v>
      </c>
      <c r="AH870" s="31">
        <f>VLOOKUP($A870,kurspris!$A$1:$Q$950,7,FALSE)</f>
        <v>0</v>
      </c>
      <c r="AI870" s="31">
        <f>VLOOKUP($A870,kurspris!$A$1:$Q$950,8,FALSE)</f>
        <v>0</v>
      </c>
      <c r="AJ870" s="31">
        <f>VLOOKUP($A870,kurspris!$A$1:$Q$950,9,FALSE)</f>
        <v>0</v>
      </c>
      <c r="AK870" s="31">
        <f>VLOOKUP($A870,kurspris!$A$1:$Q$950,10,FALSE)</f>
        <v>1</v>
      </c>
      <c r="AL870" s="31">
        <f>VLOOKUP($A870,kurspris!$A$1:$Q$950,11,FALSE)</f>
        <v>0</v>
      </c>
      <c r="AM870" s="31">
        <f>VLOOKUP($A870,kurspris!$A$1:$Q$950,12,FALSE)</f>
        <v>0</v>
      </c>
      <c r="AN870" s="31">
        <f>VLOOKUP($A870,kurspris!$A$1:$Q$950,13,FALSE)</f>
        <v>0</v>
      </c>
      <c r="AO870" s="31">
        <f>VLOOKUP($A870,kurspris!$A$1:$Q$950,14,FALSE)</f>
        <v>0</v>
      </c>
      <c r="AP870" s="57" t="s">
        <v>2402</v>
      </c>
      <c r="AQ870"/>
      <c r="AR870" s="31">
        <f t="shared" si="398"/>
        <v>0</v>
      </c>
      <c r="AS870" s="219">
        <f t="shared" si="399"/>
        <v>0</v>
      </c>
      <c r="AT870" s="31">
        <f t="shared" si="400"/>
        <v>0</v>
      </c>
      <c r="AU870" s="219">
        <f t="shared" si="401"/>
        <v>0</v>
      </c>
      <c r="AV870" s="31">
        <f t="shared" si="402"/>
        <v>0</v>
      </c>
      <c r="AW870" s="31">
        <f t="shared" si="403"/>
        <v>0</v>
      </c>
      <c r="AX870" s="31">
        <f t="shared" si="404"/>
        <v>0</v>
      </c>
      <c r="AY870" s="219">
        <f t="shared" si="405"/>
        <v>0</v>
      </c>
      <c r="AZ870" s="196">
        <f t="shared" si="406"/>
        <v>0</v>
      </c>
      <c r="BA870" s="219">
        <f t="shared" si="407"/>
        <v>0</v>
      </c>
      <c r="BB870" s="31">
        <f t="shared" si="408"/>
        <v>0</v>
      </c>
      <c r="BC870" s="219">
        <f t="shared" si="409"/>
        <v>0</v>
      </c>
      <c r="BD870" s="31">
        <f t="shared" si="410"/>
        <v>0</v>
      </c>
      <c r="BE870" s="219">
        <f t="shared" si="411"/>
        <v>0</v>
      </c>
      <c r="BF870" s="31">
        <f t="shared" si="412"/>
        <v>4.25</v>
      </c>
      <c r="BG870" s="219">
        <f t="shared" si="413"/>
        <v>3.4000000000000004</v>
      </c>
      <c r="BH870" s="31">
        <f t="shared" si="414"/>
        <v>0</v>
      </c>
      <c r="BI870" s="219">
        <f t="shared" si="415"/>
        <v>0</v>
      </c>
      <c r="BJ870" s="31">
        <f t="shared" si="416"/>
        <v>0</v>
      </c>
      <c r="BK870" s="219">
        <f t="shared" si="417"/>
        <v>0</v>
      </c>
      <c r="BL870" s="31">
        <f t="shared" si="418"/>
        <v>0</v>
      </c>
      <c r="BM870" s="219">
        <f t="shared" si="419"/>
        <v>0</v>
      </c>
      <c r="BN870" s="31">
        <f t="shared" si="420"/>
        <v>0</v>
      </c>
      <c r="BO870" s="219">
        <f t="shared" si="421"/>
        <v>0</v>
      </c>
    </row>
    <row r="871" spans="1:67" x14ac:dyDescent="0.25">
      <c r="A871" s="31" t="s">
        <v>1721</v>
      </c>
      <c r="B871" s="176" t="str">
        <f>VLOOKUP(A871,kurspris!$A$1:$B$992,2,FALSE)</f>
        <v>Slöjd 1, trä- och metall</v>
      </c>
      <c r="C871" s="31">
        <v>67001</v>
      </c>
      <c r="D871" s="60" t="s">
        <v>117</v>
      </c>
      <c r="E871" s="60"/>
      <c r="F871" s="57" t="s">
        <v>2274</v>
      </c>
      <c r="H871" s="31" t="s">
        <v>2335</v>
      </c>
      <c r="I871" s="31" t="s">
        <v>2275</v>
      </c>
      <c r="L871" s="38"/>
      <c r="M871">
        <v>30</v>
      </c>
      <c r="P871" s="31">
        <v>25</v>
      </c>
      <c r="Q871" s="539">
        <v>6.25</v>
      </c>
      <c r="R871" s="38">
        <v>0.8</v>
      </c>
      <c r="S871" s="280">
        <f t="shared" si="394"/>
        <v>5</v>
      </c>
      <c r="T871" s="31">
        <f>VLOOKUP(A871,'Ansvar kurs'!$A$1:$C$1123,2,FALSE)</f>
        <v>1650</v>
      </c>
      <c r="U871" s="31" t="str">
        <f>VLOOKUP(T871,Orgenheter!$A$1:$C$166,2,FALSE)</f>
        <v xml:space="preserve">Estetiska ämnen               </v>
      </c>
      <c r="V871" s="31" t="str">
        <f>VLOOKUP(T871,Orgenheter!$A$1:$C$166,3,FALSE)</f>
        <v>Hum</v>
      </c>
      <c r="W871" s="35" t="str">
        <f>VLOOKUP(D871,Program!$A$1:$B$36,2,FALSE)</f>
        <v>Fristående och övriga kurser</v>
      </c>
      <c r="X871" s="40">
        <f>VLOOKUP(A871,kurspris!$A$1:$Q$913,15,FALSE)</f>
        <v>20757</v>
      </c>
      <c r="Y871" s="40">
        <f>VLOOKUP(A871,kurspris!$A$1:$Q$913,16,FALSE)</f>
        <v>36082</v>
      </c>
      <c r="Z871" s="40">
        <f t="shared" si="395"/>
        <v>310141.25</v>
      </c>
      <c r="AA871" s="40">
        <f>VLOOKUP(A871,kurspris!$A$1:$Q$913,17,FALSE)</f>
        <v>22600</v>
      </c>
      <c r="AB871" s="40">
        <f t="shared" si="396"/>
        <v>141250</v>
      </c>
      <c r="AC871" s="40">
        <f t="shared" si="397"/>
        <v>451391.25</v>
      </c>
      <c r="AD871" s="31">
        <f>VLOOKUP($A871,kurspris!$A$1:$Q$950,3,FALSE)</f>
        <v>0</v>
      </c>
      <c r="AE871" s="31">
        <f>VLOOKUP($A871,kurspris!$A$1:$Q$950,4,FALSE)</f>
        <v>0</v>
      </c>
      <c r="AF871" s="31">
        <f>VLOOKUP($A871,kurspris!$A$1:$Q$950,5,FALSE)</f>
        <v>0</v>
      </c>
      <c r="AG871" s="31">
        <f>VLOOKUP($A871,kurspris!$A$1:$Q$950,6,FALSE)</f>
        <v>0</v>
      </c>
      <c r="AH871" s="31">
        <f>VLOOKUP($A871,kurspris!$A$1:$Q$950,7,FALSE)</f>
        <v>0</v>
      </c>
      <c r="AI871" s="31">
        <f>VLOOKUP($A871,kurspris!$A$1:$Q$950,8,FALSE)</f>
        <v>0</v>
      </c>
      <c r="AJ871" s="31">
        <f>VLOOKUP($A871,kurspris!$A$1:$Q$950,9,FALSE)</f>
        <v>0</v>
      </c>
      <c r="AK871" s="31">
        <f>VLOOKUP($A871,kurspris!$A$1:$Q$950,10,FALSE)</f>
        <v>1</v>
      </c>
      <c r="AL871" s="31">
        <f>VLOOKUP($A871,kurspris!$A$1:$Q$950,11,FALSE)</f>
        <v>0</v>
      </c>
      <c r="AM871" s="31">
        <f>VLOOKUP($A871,kurspris!$A$1:$Q$950,12,FALSE)</f>
        <v>0</v>
      </c>
      <c r="AN871" s="31">
        <f>VLOOKUP($A871,kurspris!$A$1:$Q$950,13,FALSE)</f>
        <v>0</v>
      </c>
      <c r="AO871" s="31">
        <f>VLOOKUP($A871,kurspris!$A$1:$Q$950,14,FALSE)</f>
        <v>0</v>
      </c>
      <c r="AP871" s="57" t="s">
        <v>2402</v>
      </c>
      <c r="AQ871"/>
      <c r="AR871" s="31">
        <f t="shared" si="398"/>
        <v>0</v>
      </c>
      <c r="AS871" s="219">
        <f t="shared" si="399"/>
        <v>0</v>
      </c>
      <c r="AT871" s="31">
        <f t="shared" si="400"/>
        <v>0</v>
      </c>
      <c r="AU871" s="219">
        <f t="shared" si="401"/>
        <v>0</v>
      </c>
      <c r="AV871" s="31">
        <f t="shared" si="402"/>
        <v>0</v>
      </c>
      <c r="AW871" s="31">
        <f t="shared" si="403"/>
        <v>0</v>
      </c>
      <c r="AX871" s="31">
        <f t="shared" si="404"/>
        <v>0</v>
      </c>
      <c r="AY871" s="219">
        <f t="shared" si="405"/>
        <v>0</v>
      </c>
      <c r="AZ871" s="196">
        <f t="shared" si="406"/>
        <v>0</v>
      </c>
      <c r="BA871" s="219">
        <f t="shared" si="407"/>
        <v>0</v>
      </c>
      <c r="BB871" s="31">
        <f t="shared" si="408"/>
        <v>0</v>
      </c>
      <c r="BC871" s="219">
        <f t="shared" si="409"/>
        <v>0</v>
      </c>
      <c r="BD871" s="31">
        <f t="shared" si="410"/>
        <v>0</v>
      </c>
      <c r="BE871" s="219">
        <f t="shared" si="411"/>
        <v>0</v>
      </c>
      <c r="BF871" s="31">
        <f t="shared" si="412"/>
        <v>6.25</v>
      </c>
      <c r="BG871" s="219">
        <f t="shared" si="413"/>
        <v>5</v>
      </c>
      <c r="BH871" s="31">
        <f t="shared" si="414"/>
        <v>0</v>
      </c>
      <c r="BI871" s="219">
        <f t="shared" si="415"/>
        <v>0</v>
      </c>
      <c r="BJ871" s="31">
        <f t="shared" si="416"/>
        <v>0</v>
      </c>
      <c r="BK871" s="219">
        <f t="shared" si="417"/>
        <v>0</v>
      </c>
      <c r="BL871" s="31">
        <f t="shared" si="418"/>
        <v>0</v>
      </c>
      <c r="BM871" s="219">
        <f t="shared" si="419"/>
        <v>0</v>
      </c>
      <c r="BN871" s="31">
        <f t="shared" si="420"/>
        <v>0</v>
      </c>
      <c r="BO871" s="219">
        <f t="shared" si="421"/>
        <v>0</v>
      </c>
    </row>
    <row r="872" spans="1:67" x14ac:dyDescent="0.25">
      <c r="A872" s="31" t="s">
        <v>1721</v>
      </c>
      <c r="B872" s="176" t="str">
        <f>VLOOKUP(A872,kurspris!$A$1:$B$992,2,FALSE)</f>
        <v>Slöjd 1, trä- och metall</v>
      </c>
      <c r="C872" s="31">
        <v>67100</v>
      </c>
      <c r="D872" s="60" t="s">
        <v>117</v>
      </c>
      <c r="E872" s="60"/>
      <c r="F872" s="57" t="s">
        <v>2274</v>
      </c>
      <c r="H872" s="31" t="s">
        <v>2335</v>
      </c>
      <c r="I872" s="31" t="s">
        <v>2275</v>
      </c>
      <c r="L872" s="38"/>
      <c r="M872">
        <v>30</v>
      </c>
      <c r="P872" s="31">
        <v>12</v>
      </c>
      <c r="Q872" s="539">
        <v>6</v>
      </c>
      <c r="R872" s="38">
        <v>0.8</v>
      </c>
      <c r="S872" s="280">
        <f t="shared" si="394"/>
        <v>4.8000000000000007</v>
      </c>
      <c r="T872" s="31">
        <f>VLOOKUP(A872,'Ansvar kurs'!$A$1:$C$1123,2,FALSE)</f>
        <v>1650</v>
      </c>
      <c r="U872" s="31" t="str">
        <f>VLOOKUP(T872,Orgenheter!$A$1:$C$166,2,FALSE)</f>
        <v xml:space="preserve">Estetiska ämnen               </v>
      </c>
      <c r="V872" s="31" t="str">
        <f>VLOOKUP(T872,Orgenheter!$A$1:$C$166,3,FALSE)</f>
        <v>Hum</v>
      </c>
      <c r="W872" s="35" t="str">
        <f>VLOOKUP(D872,Program!$A$1:$B$36,2,FALSE)</f>
        <v>Fristående och övriga kurser</v>
      </c>
      <c r="X872" s="40">
        <f>VLOOKUP(A872,kurspris!$A$1:$Q$913,15,FALSE)</f>
        <v>20757</v>
      </c>
      <c r="Y872" s="40">
        <f>VLOOKUP(A872,kurspris!$A$1:$Q$913,16,FALSE)</f>
        <v>36082</v>
      </c>
      <c r="Z872" s="40">
        <f t="shared" si="395"/>
        <v>297735.60000000003</v>
      </c>
      <c r="AA872" s="40">
        <f>VLOOKUP(A872,kurspris!$A$1:$Q$913,17,FALSE)</f>
        <v>22600</v>
      </c>
      <c r="AB872" s="40">
        <f t="shared" si="396"/>
        <v>135600</v>
      </c>
      <c r="AC872" s="40">
        <f t="shared" si="397"/>
        <v>433335.60000000003</v>
      </c>
      <c r="AD872" s="31">
        <f>VLOOKUP($A872,kurspris!$A$1:$Q$950,3,FALSE)</f>
        <v>0</v>
      </c>
      <c r="AE872" s="31">
        <f>VLOOKUP($A872,kurspris!$A$1:$Q$950,4,FALSE)</f>
        <v>0</v>
      </c>
      <c r="AF872" s="31">
        <f>VLOOKUP($A872,kurspris!$A$1:$Q$950,5,FALSE)</f>
        <v>0</v>
      </c>
      <c r="AG872" s="31">
        <f>VLOOKUP($A872,kurspris!$A$1:$Q$950,6,FALSE)</f>
        <v>0</v>
      </c>
      <c r="AH872" s="31">
        <f>VLOOKUP($A872,kurspris!$A$1:$Q$950,7,FALSE)</f>
        <v>0</v>
      </c>
      <c r="AI872" s="31">
        <f>VLOOKUP($A872,kurspris!$A$1:$Q$950,8,FALSE)</f>
        <v>0</v>
      </c>
      <c r="AJ872" s="31">
        <f>VLOOKUP($A872,kurspris!$A$1:$Q$950,9,FALSE)</f>
        <v>0</v>
      </c>
      <c r="AK872" s="31">
        <f>VLOOKUP($A872,kurspris!$A$1:$Q$950,10,FALSE)</f>
        <v>1</v>
      </c>
      <c r="AL872" s="31">
        <f>VLOOKUP($A872,kurspris!$A$1:$Q$950,11,FALSE)</f>
        <v>0</v>
      </c>
      <c r="AM872" s="31">
        <f>VLOOKUP($A872,kurspris!$A$1:$Q$950,12,FALSE)</f>
        <v>0</v>
      </c>
      <c r="AN872" s="31">
        <f>VLOOKUP($A872,kurspris!$A$1:$Q$950,13,FALSE)</f>
        <v>0</v>
      </c>
      <c r="AO872" s="31">
        <f>VLOOKUP($A872,kurspris!$A$1:$Q$950,14,FALSE)</f>
        <v>0</v>
      </c>
      <c r="AP872" s="57" t="s">
        <v>2402</v>
      </c>
      <c r="AQ872"/>
      <c r="AR872" s="31">
        <f t="shared" si="398"/>
        <v>0</v>
      </c>
      <c r="AS872" s="219">
        <f t="shared" si="399"/>
        <v>0</v>
      </c>
      <c r="AT872" s="31">
        <f t="shared" si="400"/>
        <v>0</v>
      </c>
      <c r="AU872" s="219">
        <f t="shared" si="401"/>
        <v>0</v>
      </c>
      <c r="AV872" s="31">
        <f t="shared" si="402"/>
        <v>0</v>
      </c>
      <c r="AW872" s="31">
        <f t="shared" si="403"/>
        <v>0</v>
      </c>
      <c r="AX872" s="31">
        <f t="shared" si="404"/>
        <v>0</v>
      </c>
      <c r="AY872" s="219">
        <f t="shared" si="405"/>
        <v>0</v>
      </c>
      <c r="AZ872" s="196">
        <f t="shared" si="406"/>
        <v>0</v>
      </c>
      <c r="BA872" s="219">
        <f t="shared" si="407"/>
        <v>0</v>
      </c>
      <c r="BB872" s="31">
        <f t="shared" si="408"/>
        <v>0</v>
      </c>
      <c r="BC872" s="219">
        <f t="shared" si="409"/>
        <v>0</v>
      </c>
      <c r="BD872" s="31">
        <f t="shared" si="410"/>
        <v>0</v>
      </c>
      <c r="BE872" s="219">
        <f t="shared" si="411"/>
        <v>0</v>
      </c>
      <c r="BF872" s="31">
        <f t="shared" si="412"/>
        <v>6</v>
      </c>
      <c r="BG872" s="219">
        <f t="shared" si="413"/>
        <v>4.8000000000000007</v>
      </c>
      <c r="BH872" s="31">
        <f t="shared" si="414"/>
        <v>0</v>
      </c>
      <c r="BI872" s="219">
        <f t="shared" si="415"/>
        <v>0</v>
      </c>
      <c r="BJ872" s="31">
        <f t="shared" si="416"/>
        <v>0</v>
      </c>
      <c r="BK872" s="219">
        <f t="shared" si="417"/>
        <v>0</v>
      </c>
      <c r="BL872" s="31">
        <f t="shared" si="418"/>
        <v>0</v>
      </c>
      <c r="BM872" s="219">
        <f t="shared" si="419"/>
        <v>0</v>
      </c>
      <c r="BN872" s="31">
        <f t="shared" si="420"/>
        <v>0</v>
      </c>
      <c r="BO872" s="219">
        <f t="shared" si="421"/>
        <v>0</v>
      </c>
    </row>
    <row r="873" spans="1:67" x14ac:dyDescent="0.25">
      <c r="A873" s="31" t="s">
        <v>1721</v>
      </c>
      <c r="B873" s="176" t="str">
        <f>VLOOKUP(A873,kurspris!$A$1:$B$992,2,FALSE)</f>
        <v>Slöjd 1, trä- och metall</v>
      </c>
      <c r="D873" s="31" t="s">
        <v>117</v>
      </c>
      <c r="F873" s="31" t="s">
        <v>2273</v>
      </c>
      <c r="I873" s="31" t="s">
        <v>2275</v>
      </c>
      <c r="L873" s="38">
        <v>0.5</v>
      </c>
      <c r="M873" s="511">
        <v>15</v>
      </c>
      <c r="P873" s="31">
        <v>25</v>
      </c>
      <c r="Q873" s="196">
        <f>(M873/60)*P873</f>
        <v>6.25</v>
      </c>
      <c r="R873" s="38">
        <v>0.8</v>
      </c>
      <c r="S873" s="280">
        <f t="shared" si="394"/>
        <v>5</v>
      </c>
      <c r="T873" s="31">
        <f>VLOOKUP(A873,'Ansvar kurs'!$A$1:$C$1123,2,FALSE)</f>
        <v>1650</v>
      </c>
      <c r="U873" s="31" t="str">
        <f>VLOOKUP(T873,Orgenheter!$A$1:$C$166,2,FALSE)</f>
        <v xml:space="preserve">Estetiska ämnen               </v>
      </c>
      <c r="V873" s="31" t="str">
        <f>VLOOKUP(T873,Orgenheter!$A$1:$C$166,3,FALSE)</f>
        <v>Hum</v>
      </c>
      <c r="W873" s="35" t="str">
        <f>VLOOKUP(D873,Program!$A$1:$B$36,2,FALSE)</f>
        <v>Fristående och övriga kurser</v>
      </c>
      <c r="X873" s="40">
        <f>VLOOKUP(A873,kurspris!$A$1:$Q$913,15,FALSE)</f>
        <v>20757</v>
      </c>
      <c r="Y873" s="40">
        <f>VLOOKUP(A873,kurspris!$A$1:$Q$913,16,FALSE)</f>
        <v>36082</v>
      </c>
      <c r="Z873" s="40">
        <f t="shared" si="395"/>
        <v>310141.25</v>
      </c>
      <c r="AA873" s="40">
        <f>VLOOKUP(A873,kurspris!$A$1:$Q$913,17,FALSE)</f>
        <v>22600</v>
      </c>
      <c r="AB873" s="40">
        <f t="shared" si="396"/>
        <v>141250</v>
      </c>
      <c r="AC873" s="40">
        <f t="shared" si="397"/>
        <v>451391.25</v>
      </c>
      <c r="AD873" s="31">
        <f>VLOOKUP($A873,kurspris!$A$1:$Q$950,3,FALSE)</f>
        <v>0</v>
      </c>
      <c r="AE873" s="31">
        <f>VLOOKUP($A873,kurspris!$A$1:$Q$950,4,FALSE)</f>
        <v>0</v>
      </c>
      <c r="AF873" s="31">
        <f>VLOOKUP($A873,kurspris!$A$1:$Q$950,5,FALSE)</f>
        <v>0</v>
      </c>
      <c r="AG873" s="31">
        <f>VLOOKUP($A873,kurspris!$A$1:$Q$950,6,FALSE)</f>
        <v>0</v>
      </c>
      <c r="AH873" s="31">
        <f>VLOOKUP($A873,kurspris!$A$1:$Q$950,7,FALSE)</f>
        <v>0</v>
      </c>
      <c r="AI873" s="31">
        <f>VLOOKUP($A873,kurspris!$A$1:$Q$950,8,FALSE)</f>
        <v>0</v>
      </c>
      <c r="AJ873" s="31">
        <f>VLOOKUP($A873,kurspris!$A$1:$Q$950,9,FALSE)</f>
        <v>0</v>
      </c>
      <c r="AK873" s="31">
        <f>VLOOKUP($A873,kurspris!$A$1:$Q$950,10,FALSE)</f>
        <v>1</v>
      </c>
      <c r="AL873" s="31">
        <f>VLOOKUP($A873,kurspris!$A$1:$Q$950,11,FALSE)</f>
        <v>0</v>
      </c>
      <c r="AM873" s="31">
        <f>VLOOKUP($A873,kurspris!$A$1:$Q$950,12,FALSE)</f>
        <v>0</v>
      </c>
      <c r="AN873" s="31">
        <f>VLOOKUP($A873,kurspris!$A$1:$Q$950,13,FALSE)</f>
        <v>0</v>
      </c>
      <c r="AO873" s="31">
        <f>VLOOKUP($A873,kurspris!$A$1:$Q$950,14,FALSE)</f>
        <v>0</v>
      </c>
      <c r="AP873" s="57" t="s">
        <v>2267</v>
      </c>
      <c r="AQ873" s="37" t="s">
        <v>2308</v>
      </c>
      <c r="AR873" s="31">
        <f t="shared" si="398"/>
        <v>0</v>
      </c>
      <c r="AS873" s="219">
        <f t="shared" si="399"/>
        <v>0</v>
      </c>
      <c r="AT873" s="31">
        <f t="shared" si="400"/>
        <v>0</v>
      </c>
      <c r="AU873" s="219">
        <f t="shared" si="401"/>
        <v>0</v>
      </c>
      <c r="AV873" s="31">
        <f t="shared" si="402"/>
        <v>0</v>
      </c>
      <c r="AW873" s="31">
        <f t="shared" si="403"/>
        <v>0</v>
      </c>
      <c r="AX873" s="31">
        <f t="shared" si="404"/>
        <v>0</v>
      </c>
      <c r="AY873" s="219">
        <f t="shared" si="405"/>
        <v>0</v>
      </c>
      <c r="AZ873" s="196">
        <f t="shared" si="406"/>
        <v>0</v>
      </c>
      <c r="BA873" s="219">
        <f t="shared" si="407"/>
        <v>0</v>
      </c>
      <c r="BB873" s="31">
        <f t="shared" si="408"/>
        <v>0</v>
      </c>
      <c r="BC873" s="219">
        <f t="shared" si="409"/>
        <v>0</v>
      </c>
      <c r="BD873" s="31">
        <f t="shared" si="410"/>
        <v>0</v>
      </c>
      <c r="BE873" s="219">
        <f t="shared" si="411"/>
        <v>0</v>
      </c>
      <c r="BF873" s="31">
        <f t="shared" si="412"/>
        <v>6.25</v>
      </c>
      <c r="BG873" s="219">
        <f t="shared" si="413"/>
        <v>5</v>
      </c>
      <c r="BH873" s="31">
        <f t="shared" si="414"/>
        <v>0</v>
      </c>
      <c r="BI873" s="219">
        <f t="shared" si="415"/>
        <v>0</v>
      </c>
      <c r="BJ873" s="31">
        <f t="shared" si="416"/>
        <v>0</v>
      </c>
      <c r="BK873" s="219">
        <f t="shared" si="417"/>
        <v>0</v>
      </c>
      <c r="BL873" s="31">
        <f t="shared" si="418"/>
        <v>0</v>
      </c>
      <c r="BM873" s="219">
        <f t="shared" si="419"/>
        <v>0</v>
      </c>
      <c r="BN873" s="31">
        <f t="shared" si="420"/>
        <v>0</v>
      </c>
      <c r="BO873" s="219">
        <f t="shared" si="421"/>
        <v>0</v>
      </c>
    </row>
    <row r="874" spans="1:67" x14ac:dyDescent="0.25">
      <c r="A874" s="31" t="s">
        <v>1592</v>
      </c>
      <c r="B874" s="176" t="str">
        <f>VLOOKUP(A874,kurspris!$A$1:$B$992,2,FALSE)</f>
        <v>Form, färg, estetik och uttryck - Utveckla ditt formspråk i trä</v>
      </c>
      <c r="D874" s="31" t="s">
        <v>117</v>
      </c>
      <c r="F874" s="31" t="s">
        <v>2273</v>
      </c>
      <c r="I874" s="31" t="s">
        <v>2275</v>
      </c>
      <c r="L874" s="38">
        <v>0.5</v>
      </c>
      <c r="M874" s="325">
        <v>15</v>
      </c>
      <c r="P874" s="31">
        <v>8</v>
      </c>
      <c r="Q874" s="196">
        <f>(M874/60)*P874</f>
        <v>2</v>
      </c>
      <c r="R874" s="38">
        <v>0.8</v>
      </c>
      <c r="S874" s="280">
        <f t="shared" si="394"/>
        <v>1.6</v>
      </c>
      <c r="T874" s="31">
        <f>VLOOKUP(A874,'Ansvar kurs'!$A$1:$C$1123,2,FALSE)</f>
        <v>1650</v>
      </c>
      <c r="U874" s="31" t="str">
        <f>VLOOKUP(T874,Orgenheter!$A$1:$C$166,2,FALSE)</f>
        <v xml:space="preserve">Estetiska ämnen               </v>
      </c>
      <c r="V874" s="31" t="str">
        <f>VLOOKUP(T874,Orgenheter!$A$1:$C$166,3,FALSE)</f>
        <v>Hum</v>
      </c>
      <c r="W874" s="35" t="str">
        <f>VLOOKUP(D874,Program!$A$1:$B$36,2,FALSE)</f>
        <v>Fristående och övriga kurser</v>
      </c>
      <c r="X874" s="40">
        <f>VLOOKUP(A874,kurspris!$A$1:$Q$913,15,FALSE)</f>
        <v>20757</v>
      </c>
      <c r="Y874" s="40">
        <f>VLOOKUP(A874,kurspris!$A$1:$Q$913,16,FALSE)</f>
        <v>36082</v>
      </c>
      <c r="Z874" s="40">
        <f t="shared" si="395"/>
        <v>99245.200000000012</v>
      </c>
      <c r="AA874" s="40">
        <f>VLOOKUP(A874,kurspris!$A$1:$Q$913,17,FALSE)</f>
        <v>22600</v>
      </c>
      <c r="AB874" s="40">
        <f t="shared" si="396"/>
        <v>45200</v>
      </c>
      <c r="AC874" s="40">
        <f t="shared" si="397"/>
        <v>144445.20000000001</v>
      </c>
      <c r="AD874" s="31">
        <f>VLOOKUP($A874,kurspris!$A$1:$Q$950,3,FALSE)</f>
        <v>0</v>
      </c>
      <c r="AE874" s="31">
        <f>VLOOKUP($A874,kurspris!$A$1:$Q$950,4,FALSE)</f>
        <v>0</v>
      </c>
      <c r="AF874" s="31">
        <f>VLOOKUP($A874,kurspris!$A$1:$Q$950,5,FALSE)</f>
        <v>0</v>
      </c>
      <c r="AG874" s="31">
        <f>VLOOKUP($A874,kurspris!$A$1:$Q$950,6,FALSE)</f>
        <v>0</v>
      </c>
      <c r="AH874" s="31">
        <f>VLOOKUP($A874,kurspris!$A$1:$Q$950,7,FALSE)</f>
        <v>0</v>
      </c>
      <c r="AI874" s="31">
        <f>VLOOKUP($A874,kurspris!$A$1:$Q$950,8,FALSE)</f>
        <v>0</v>
      </c>
      <c r="AJ874" s="31">
        <f>VLOOKUP($A874,kurspris!$A$1:$Q$950,9,FALSE)</f>
        <v>0</v>
      </c>
      <c r="AK874" s="31">
        <f>VLOOKUP($A874,kurspris!$A$1:$Q$950,10,FALSE)</f>
        <v>1</v>
      </c>
      <c r="AL874" s="31">
        <f>VLOOKUP($A874,kurspris!$A$1:$Q$950,11,FALSE)</f>
        <v>0</v>
      </c>
      <c r="AM874" s="31">
        <f>VLOOKUP($A874,kurspris!$A$1:$Q$950,12,FALSE)</f>
        <v>0</v>
      </c>
      <c r="AN874" s="31">
        <f>VLOOKUP($A874,kurspris!$A$1:$Q$950,13,FALSE)</f>
        <v>0</v>
      </c>
      <c r="AO874" s="31">
        <f>VLOOKUP($A874,kurspris!$A$1:$Q$950,14,FALSE)</f>
        <v>0</v>
      </c>
      <c r="AP874" s="57" t="s">
        <v>2267</v>
      </c>
      <c r="AQ874" s="37"/>
      <c r="AR874" s="31">
        <f t="shared" si="398"/>
        <v>0</v>
      </c>
      <c r="AS874" s="219">
        <f t="shared" si="399"/>
        <v>0</v>
      </c>
      <c r="AT874" s="31">
        <f t="shared" si="400"/>
        <v>0</v>
      </c>
      <c r="AU874" s="219">
        <f t="shared" si="401"/>
        <v>0</v>
      </c>
      <c r="AV874" s="31">
        <f t="shared" si="402"/>
        <v>0</v>
      </c>
      <c r="AW874" s="31">
        <f t="shared" si="403"/>
        <v>0</v>
      </c>
      <c r="AX874" s="31">
        <f t="shared" si="404"/>
        <v>0</v>
      </c>
      <c r="AY874" s="219">
        <f t="shared" si="405"/>
        <v>0</v>
      </c>
      <c r="AZ874" s="196">
        <f t="shared" si="406"/>
        <v>0</v>
      </c>
      <c r="BA874" s="219">
        <f t="shared" si="407"/>
        <v>0</v>
      </c>
      <c r="BB874" s="31">
        <f t="shared" si="408"/>
        <v>0</v>
      </c>
      <c r="BC874" s="219">
        <f t="shared" si="409"/>
        <v>0</v>
      </c>
      <c r="BD874" s="31">
        <f t="shared" si="410"/>
        <v>0</v>
      </c>
      <c r="BE874" s="219">
        <f t="shared" si="411"/>
        <v>0</v>
      </c>
      <c r="BF874" s="31">
        <f t="shared" si="412"/>
        <v>2</v>
      </c>
      <c r="BG874" s="219">
        <f t="shared" si="413"/>
        <v>1.6</v>
      </c>
      <c r="BH874" s="31">
        <f t="shared" si="414"/>
        <v>0</v>
      </c>
      <c r="BI874" s="219">
        <f t="shared" si="415"/>
        <v>0</v>
      </c>
      <c r="BJ874" s="31">
        <f t="shared" si="416"/>
        <v>0</v>
      </c>
      <c r="BK874" s="219">
        <f t="shared" si="417"/>
        <v>0</v>
      </c>
      <c r="BL874" s="31">
        <f t="shared" si="418"/>
        <v>0</v>
      </c>
      <c r="BM874" s="219">
        <f t="shared" si="419"/>
        <v>0</v>
      </c>
      <c r="BN874" s="31">
        <f t="shared" si="420"/>
        <v>0</v>
      </c>
      <c r="BO874" s="219">
        <f t="shared" si="421"/>
        <v>0</v>
      </c>
    </row>
    <row r="875" spans="1:67" x14ac:dyDescent="0.25">
      <c r="A875" s="31" t="s">
        <v>1589</v>
      </c>
      <c r="B875" s="176" t="str">
        <f>VLOOKUP(A875,kurspris!$A$1:$B$992,2,FALSE)</f>
        <v>Skapandets intryck - utveckla och tala om hantverkets tysta kunskap</v>
      </c>
      <c r="C875" s="31">
        <v>67104</v>
      </c>
      <c r="D875" s="60" t="s">
        <v>117</v>
      </c>
      <c r="E875" s="60"/>
      <c r="F875" s="57" t="s">
        <v>2274</v>
      </c>
      <c r="H875" s="31" t="s">
        <v>2335</v>
      </c>
      <c r="I875" s="31" t="s">
        <v>2275</v>
      </c>
      <c r="L875" s="38"/>
      <c r="M875">
        <v>15</v>
      </c>
      <c r="P875" s="31">
        <v>10</v>
      </c>
      <c r="Q875" s="539">
        <v>2.5</v>
      </c>
      <c r="R875" s="38">
        <v>0.8</v>
      </c>
      <c r="S875" s="280">
        <f t="shared" si="394"/>
        <v>2</v>
      </c>
      <c r="T875" s="31">
        <f>VLOOKUP(A875,'Ansvar kurs'!$A$1:$C$1123,2,FALSE)</f>
        <v>1650</v>
      </c>
      <c r="U875" s="31" t="str">
        <f>VLOOKUP(T875,Orgenheter!$A$1:$C$166,2,FALSE)</f>
        <v xml:space="preserve">Estetiska ämnen               </v>
      </c>
      <c r="V875" s="31" t="str">
        <f>VLOOKUP(T875,Orgenheter!$A$1:$C$166,3,FALSE)</f>
        <v>Hum</v>
      </c>
      <c r="W875" s="35" t="str">
        <f>VLOOKUP(D875,Program!$A$1:$B$36,2,FALSE)</f>
        <v>Fristående och övriga kurser</v>
      </c>
      <c r="X875" s="40">
        <f>VLOOKUP(A875,kurspris!$A$1:$Q$913,15,FALSE)</f>
        <v>20757</v>
      </c>
      <c r="Y875" s="40">
        <f>VLOOKUP(A875,kurspris!$A$1:$Q$913,16,FALSE)</f>
        <v>36082</v>
      </c>
      <c r="Z875" s="40">
        <f t="shared" si="395"/>
        <v>124056.5</v>
      </c>
      <c r="AA875" s="40">
        <f>VLOOKUP(A875,kurspris!$A$1:$Q$913,17,FALSE)</f>
        <v>22600</v>
      </c>
      <c r="AB875" s="40">
        <f t="shared" si="396"/>
        <v>56500</v>
      </c>
      <c r="AC875" s="40">
        <f t="shared" si="397"/>
        <v>180556.5</v>
      </c>
      <c r="AD875" s="31">
        <f>VLOOKUP($A875,kurspris!$A$1:$Q$950,3,FALSE)</f>
        <v>0</v>
      </c>
      <c r="AE875" s="31">
        <f>VLOOKUP($A875,kurspris!$A$1:$Q$950,4,FALSE)</f>
        <v>0</v>
      </c>
      <c r="AF875" s="31">
        <f>VLOOKUP($A875,kurspris!$A$1:$Q$950,5,FALSE)</f>
        <v>0</v>
      </c>
      <c r="AG875" s="31">
        <f>VLOOKUP($A875,kurspris!$A$1:$Q$950,6,FALSE)</f>
        <v>0</v>
      </c>
      <c r="AH875" s="31">
        <f>VLOOKUP($A875,kurspris!$A$1:$Q$950,7,FALSE)</f>
        <v>0</v>
      </c>
      <c r="AI875" s="31">
        <f>VLOOKUP($A875,kurspris!$A$1:$Q$950,8,FALSE)</f>
        <v>0</v>
      </c>
      <c r="AJ875" s="31">
        <f>VLOOKUP($A875,kurspris!$A$1:$Q$950,9,FALSE)</f>
        <v>0</v>
      </c>
      <c r="AK875" s="31">
        <f>VLOOKUP($A875,kurspris!$A$1:$Q$950,10,FALSE)</f>
        <v>1</v>
      </c>
      <c r="AL875" s="31">
        <f>VLOOKUP($A875,kurspris!$A$1:$Q$950,11,FALSE)</f>
        <v>0</v>
      </c>
      <c r="AM875" s="31">
        <f>VLOOKUP($A875,kurspris!$A$1:$Q$950,12,FALSE)</f>
        <v>0</v>
      </c>
      <c r="AN875" s="31">
        <f>VLOOKUP($A875,kurspris!$A$1:$Q$950,13,FALSE)</f>
        <v>0</v>
      </c>
      <c r="AO875" s="31">
        <f>VLOOKUP($A875,kurspris!$A$1:$Q$950,14,FALSE)</f>
        <v>0</v>
      </c>
      <c r="AP875" s="57" t="s">
        <v>2402</v>
      </c>
      <c r="AQ875"/>
      <c r="AR875" s="31">
        <f t="shared" si="398"/>
        <v>0</v>
      </c>
      <c r="AS875" s="219">
        <f t="shared" si="399"/>
        <v>0</v>
      </c>
      <c r="AT875" s="31">
        <f t="shared" si="400"/>
        <v>0</v>
      </c>
      <c r="AU875" s="219">
        <f t="shared" si="401"/>
        <v>0</v>
      </c>
      <c r="AV875" s="31">
        <f t="shared" si="402"/>
        <v>0</v>
      </c>
      <c r="AW875" s="31">
        <f t="shared" si="403"/>
        <v>0</v>
      </c>
      <c r="AX875" s="31">
        <f t="shared" si="404"/>
        <v>0</v>
      </c>
      <c r="AY875" s="219">
        <f t="shared" si="405"/>
        <v>0</v>
      </c>
      <c r="AZ875" s="196">
        <f t="shared" si="406"/>
        <v>0</v>
      </c>
      <c r="BA875" s="219">
        <f t="shared" si="407"/>
        <v>0</v>
      </c>
      <c r="BB875" s="31">
        <f t="shared" si="408"/>
        <v>0</v>
      </c>
      <c r="BC875" s="219">
        <f t="shared" si="409"/>
        <v>0</v>
      </c>
      <c r="BD875" s="31">
        <f t="shared" si="410"/>
        <v>0</v>
      </c>
      <c r="BE875" s="219">
        <f t="shared" si="411"/>
        <v>0</v>
      </c>
      <c r="BF875" s="31">
        <f t="shared" si="412"/>
        <v>2.5</v>
      </c>
      <c r="BG875" s="219">
        <f t="shared" si="413"/>
        <v>2</v>
      </c>
      <c r="BH875" s="31">
        <f t="shared" si="414"/>
        <v>0</v>
      </c>
      <c r="BI875" s="219">
        <f t="shared" si="415"/>
        <v>0</v>
      </c>
      <c r="BJ875" s="31">
        <f t="shared" si="416"/>
        <v>0</v>
      </c>
      <c r="BK875" s="219">
        <f t="shared" si="417"/>
        <v>0</v>
      </c>
      <c r="BL875" s="31">
        <f t="shared" si="418"/>
        <v>0</v>
      </c>
      <c r="BM875" s="219">
        <f t="shared" si="419"/>
        <v>0</v>
      </c>
      <c r="BN875" s="31">
        <f t="shared" si="420"/>
        <v>0</v>
      </c>
      <c r="BO875" s="219">
        <f t="shared" si="421"/>
        <v>0</v>
      </c>
    </row>
    <row r="876" spans="1:67" x14ac:dyDescent="0.25">
      <c r="A876" s="31" t="s">
        <v>1864</v>
      </c>
      <c r="B876" s="176" t="str">
        <f>VLOOKUP(A876,kurspris!$A$1:$B$992,2,FALSE)</f>
        <v>Introduktion till det specialpedagogiska fältet</v>
      </c>
      <c r="D876" s="60" t="s">
        <v>120</v>
      </c>
      <c r="E876" s="576" t="s">
        <v>2469</v>
      </c>
      <c r="F876" s="31" t="s">
        <v>2273</v>
      </c>
      <c r="G876" s="31" t="s">
        <v>2448</v>
      </c>
      <c r="H876" s="31" t="s">
        <v>2335</v>
      </c>
      <c r="J876" s="31" t="s">
        <v>2347</v>
      </c>
      <c r="L876" s="38">
        <v>1</v>
      </c>
      <c r="M876" s="325">
        <v>7.5</v>
      </c>
      <c r="P876" s="31">
        <v>1</v>
      </c>
      <c r="Q876" s="196">
        <f t="shared" ref="Q876:Q884" si="423">(M876/60)*P876</f>
        <v>0.125</v>
      </c>
      <c r="R876" s="38">
        <v>0.85</v>
      </c>
      <c r="S876" s="280">
        <f t="shared" si="394"/>
        <v>0.10625</v>
      </c>
      <c r="T876" s="31">
        <f>VLOOKUP(A876,'Ansvar kurs'!$A$1:$C$1123,2,FALSE)</f>
        <v>2180</v>
      </c>
      <c r="U876" s="31" t="str">
        <f>VLOOKUP(T876,Orgenheter!$A$1:$C$166,2,FALSE)</f>
        <v xml:space="preserve">Pedagogik                     </v>
      </c>
      <c r="V876" s="31" t="str">
        <f>VLOOKUP(T876,Orgenheter!$A$1:$C$166,3,FALSE)</f>
        <v>Sam</v>
      </c>
      <c r="W876" s="35" t="str">
        <f>VLOOKUP(D876,Program!$A$1:$B$36,2,FALSE)</f>
        <v>Specialpedagogprogrammet</v>
      </c>
      <c r="X876" s="40">
        <f>VLOOKUP(A876,kurspris!$A$1:$Q$913,15,FALSE)</f>
        <v>20766</v>
      </c>
      <c r="Y876" s="40">
        <f>VLOOKUP(A876,kurspris!$A$1:$Q$913,16,FALSE)</f>
        <v>17442</v>
      </c>
      <c r="Z876" s="40">
        <f t="shared" si="395"/>
        <v>4448.9624999999996</v>
      </c>
      <c r="AA876" s="40">
        <f>VLOOKUP(A876,kurspris!$A$1:$Q$913,17,FALSE)</f>
        <v>6000</v>
      </c>
      <c r="AB876" s="40">
        <f t="shared" si="396"/>
        <v>750</v>
      </c>
      <c r="AC876" s="40">
        <f t="shared" si="397"/>
        <v>5198.9624999999996</v>
      </c>
      <c r="AD876" s="31">
        <f>VLOOKUP($A876,kurspris!$A$1:$Q$950,3,FALSE)</f>
        <v>0</v>
      </c>
      <c r="AE876" s="31">
        <f>VLOOKUP($A876,kurspris!$A$1:$Q$950,4,FALSE)</f>
        <v>0</v>
      </c>
      <c r="AF876" s="31">
        <f>VLOOKUP($A876,kurspris!$A$1:$Q$950,5,FALSE)</f>
        <v>0</v>
      </c>
      <c r="AG876" s="31">
        <f>VLOOKUP($A876,kurspris!$A$1:$Q$950,6,FALSE)</f>
        <v>0</v>
      </c>
      <c r="AH876" s="31">
        <f>VLOOKUP($A876,kurspris!$A$1:$Q$950,7,FALSE)</f>
        <v>0</v>
      </c>
      <c r="AI876" s="31">
        <f>VLOOKUP($A876,kurspris!$A$1:$Q$950,8,FALSE)</f>
        <v>0</v>
      </c>
      <c r="AJ876" s="31">
        <f>VLOOKUP($A876,kurspris!$A$1:$Q$950,9,FALSE)</f>
        <v>1</v>
      </c>
      <c r="AK876" s="31">
        <f>VLOOKUP($A876,kurspris!$A$1:$Q$950,10,FALSE)</f>
        <v>0</v>
      </c>
      <c r="AL876" s="31">
        <f>VLOOKUP($A876,kurspris!$A$1:$Q$950,11,FALSE)</f>
        <v>0</v>
      </c>
      <c r="AM876" s="31">
        <f>VLOOKUP($A876,kurspris!$A$1:$Q$950,12,FALSE)</f>
        <v>0</v>
      </c>
      <c r="AN876" s="31">
        <f>VLOOKUP($A876,kurspris!$A$1:$Q$950,13,FALSE)</f>
        <v>0</v>
      </c>
      <c r="AO876" s="31">
        <f>VLOOKUP($A876,kurspris!$A$1:$Q$950,14,FALSE)</f>
        <v>0</v>
      </c>
      <c r="AP876" s="57" t="s">
        <v>2506</v>
      </c>
      <c r="AQ876"/>
      <c r="AR876" s="31">
        <f t="shared" si="398"/>
        <v>0</v>
      </c>
      <c r="AS876" s="219">
        <f t="shared" si="399"/>
        <v>0</v>
      </c>
      <c r="AT876" s="31">
        <f t="shared" si="400"/>
        <v>0</v>
      </c>
      <c r="AU876" s="219">
        <f t="shared" si="401"/>
        <v>0</v>
      </c>
      <c r="AV876" s="31">
        <f t="shared" si="402"/>
        <v>0</v>
      </c>
      <c r="AW876" s="31">
        <f t="shared" si="403"/>
        <v>0</v>
      </c>
      <c r="AX876" s="31">
        <f t="shared" si="404"/>
        <v>0</v>
      </c>
      <c r="AY876" s="219">
        <f t="shared" si="405"/>
        <v>0</v>
      </c>
      <c r="AZ876" s="196">
        <f t="shared" si="406"/>
        <v>0</v>
      </c>
      <c r="BA876" s="219">
        <f t="shared" si="407"/>
        <v>0</v>
      </c>
      <c r="BB876" s="31">
        <f t="shared" si="408"/>
        <v>0</v>
      </c>
      <c r="BC876" s="219">
        <f t="shared" si="409"/>
        <v>0</v>
      </c>
      <c r="BD876" s="31">
        <f t="shared" si="410"/>
        <v>0.125</v>
      </c>
      <c r="BE876" s="219">
        <f t="shared" si="411"/>
        <v>0.10625</v>
      </c>
      <c r="BF876" s="31">
        <f t="shared" si="412"/>
        <v>0</v>
      </c>
      <c r="BG876" s="219">
        <f t="shared" si="413"/>
        <v>0</v>
      </c>
      <c r="BH876" s="31">
        <f t="shared" si="414"/>
        <v>0</v>
      </c>
      <c r="BI876" s="219">
        <f t="shared" si="415"/>
        <v>0</v>
      </c>
      <c r="BJ876" s="31">
        <f t="shared" si="416"/>
        <v>0</v>
      </c>
      <c r="BK876" s="219">
        <f t="shared" si="417"/>
        <v>0</v>
      </c>
      <c r="BL876" s="31">
        <f t="shared" si="418"/>
        <v>0</v>
      </c>
      <c r="BM876" s="219">
        <f t="shared" si="419"/>
        <v>0</v>
      </c>
      <c r="BN876" s="31">
        <f t="shared" si="420"/>
        <v>0</v>
      </c>
      <c r="BO876" s="219">
        <f t="shared" si="421"/>
        <v>0</v>
      </c>
    </row>
    <row r="877" spans="1:67" x14ac:dyDescent="0.25">
      <c r="A877" s="283" t="s">
        <v>1864</v>
      </c>
      <c r="B877" s="362" t="str">
        <f>VLOOKUP(A877,kurspris!$A$1:$B$992,2,FALSE)</f>
        <v>Introduktion till det specialpedagogiska fältet</v>
      </c>
      <c r="C877" s="244"/>
      <c r="D877" s="538" t="s">
        <v>120</v>
      </c>
      <c r="E877" s="538" t="s">
        <v>2203</v>
      </c>
      <c r="F877" s="244" t="s">
        <v>2273</v>
      </c>
      <c r="G877" s="244"/>
      <c r="H877" s="244">
        <v>2480</v>
      </c>
      <c r="I877" s="244"/>
      <c r="J877" s="244"/>
      <c r="K877" s="244"/>
      <c r="L877" s="518"/>
      <c r="M877" s="325">
        <v>7.5</v>
      </c>
      <c r="P877" s="575">
        <v>46</v>
      </c>
      <c r="Q877" s="196">
        <f t="shared" si="423"/>
        <v>5.75</v>
      </c>
      <c r="R877" s="38">
        <v>0.85</v>
      </c>
      <c r="S877" s="280">
        <f t="shared" si="394"/>
        <v>4.8875000000000002</v>
      </c>
      <c r="T877" s="31">
        <f>VLOOKUP(A877,'Ansvar kurs'!$A$1:$C$1123,2,FALSE)</f>
        <v>2180</v>
      </c>
      <c r="U877" s="31" t="str">
        <f>VLOOKUP(T877,Orgenheter!$A$1:$C$166,2,FALSE)</f>
        <v xml:space="preserve">Pedagogik                     </v>
      </c>
      <c r="V877" s="31" t="str">
        <f>VLOOKUP(T877,Orgenheter!$A$1:$C$166,3,FALSE)</f>
        <v>Sam</v>
      </c>
      <c r="W877" s="35" t="str">
        <f>VLOOKUP(D877,Program!$A$1:$B$36,2,FALSE)</f>
        <v>Specialpedagogprogrammet</v>
      </c>
      <c r="X877" s="40">
        <f>VLOOKUP(A877,kurspris!$A$1:$Q$913,15,FALSE)</f>
        <v>20766</v>
      </c>
      <c r="Y877" s="40">
        <f>VLOOKUP(A877,kurspris!$A$1:$Q$913,16,FALSE)</f>
        <v>17442</v>
      </c>
      <c r="Z877" s="40">
        <f t="shared" si="395"/>
        <v>204652.27500000002</v>
      </c>
      <c r="AA877" s="40">
        <f>VLOOKUP(A877,kurspris!$A$1:$Q$913,17,FALSE)</f>
        <v>6000</v>
      </c>
      <c r="AB877" s="40">
        <f t="shared" si="396"/>
        <v>34500</v>
      </c>
      <c r="AC877" s="40">
        <f t="shared" si="397"/>
        <v>239152.27500000002</v>
      </c>
      <c r="AD877" s="31">
        <f>VLOOKUP($A877,kurspris!$A$1:$Q$950,3,FALSE)</f>
        <v>0</v>
      </c>
      <c r="AE877" s="31">
        <f>VLOOKUP($A877,kurspris!$A$1:$Q$950,4,FALSE)</f>
        <v>0</v>
      </c>
      <c r="AF877" s="31">
        <f>VLOOKUP($A877,kurspris!$A$1:$Q$950,5,FALSE)</f>
        <v>0</v>
      </c>
      <c r="AG877" s="31">
        <f>VLOOKUP($A877,kurspris!$A$1:$Q$950,6,FALSE)</f>
        <v>0</v>
      </c>
      <c r="AH877" s="31">
        <f>VLOOKUP($A877,kurspris!$A$1:$Q$950,7,FALSE)</f>
        <v>0</v>
      </c>
      <c r="AI877" s="31">
        <f>VLOOKUP($A877,kurspris!$A$1:$Q$950,8,FALSE)</f>
        <v>0</v>
      </c>
      <c r="AJ877" s="31">
        <f>VLOOKUP($A877,kurspris!$A$1:$Q$950,9,FALSE)</f>
        <v>1</v>
      </c>
      <c r="AK877" s="31">
        <f>VLOOKUP($A877,kurspris!$A$1:$Q$950,10,FALSE)</f>
        <v>0</v>
      </c>
      <c r="AL877" s="31">
        <f>VLOOKUP($A877,kurspris!$A$1:$Q$950,11,FALSE)</f>
        <v>0</v>
      </c>
      <c r="AM877" s="31">
        <f>VLOOKUP($A877,kurspris!$A$1:$Q$950,12,FALSE)</f>
        <v>0</v>
      </c>
      <c r="AN877" s="31">
        <f>VLOOKUP($A877,kurspris!$A$1:$Q$950,13,FALSE)</f>
        <v>0</v>
      </c>
      <c r="AO877" s="31">
        <f>VLOOKUP($A877,kurspris!$A$1:$Q$950,14,FALSE)</f>
        <v>0</v>
      </c>
      <c r="AP877" s="57" t="s">
        <v>2499</v>
      </c>
      <c r="AQ877" s="37"/>
      <c r="AR877" s="31">
        <f t="shared" si="398"/>
        <v>0</v>
      </c>
      <c r="AS877" s="219">
        <f t="shared" si="399"/>
        <v>0</v>
      </c>
      <c r="AT877" s="31">
        <f t="shared" si="400"/>
        <v>0</v>
      </c>
      <c r="AU877" s="219">
        <f t="shared" si="401"/>
        <v>0</v>
      </c>
      <c r="AV877" s="31">
        <f t="shared" si="402"/>
        <v>0</v>
      </c>
      <c r="AW877" s="31">
        <f t="shared" si="403"/>
        <v>0</v>
      </c>
      <c r="AX877" s="31">
        <f t="shared" si="404"/>
        <v>0</v>
      </c>
      <c r="AY877" s="219">
        <f t="shared" si="405"/>
        <v>0</v>
      </c>
      <c r="AZ877" s="196">
        <f t="shared" si="406"/>
        <v>0</v>
      </c>
      <c r="BA877" s="219">
        <f t="shared" si="407"/>
        <v>0</v>
      </c>
      <c r="BB877" s="31">
        <f t="shared" si="408"/>
        <v>0</v>
      </c>
      <c r="BC877" s="219">
        <f t="shared" si="409"/>
        <v>0</v>
      </c>
      <c r="BD877" s="31">
        <f t="shared" si="410"/>
        <v>5.75</v>
      </c>
      <c r="BE877" s="219">
        <f t="shared" si="411"/>
        <v>4.8875000000000002</v>
      </c>
      <c r="BF877" s="31">
        <f t="shared" si="412"/>
        <v>0</v>
      </c>
      <c r="BG877" s="219">
        <f t="shared" si="413"/>
        <v>0</v>
      </c>
      <c r="BH877" s="31">
        <f t="shared" si="414"/>
        <v>0</v>
      </c>
      <c r="BI877" s="219">
        <f t="shared" si="415"/>
        <v>0</v>
      </c>
      <c r="BJ877" s="31">
        <f t="shared" si="416"/>
        <v>0</v>
      </c>
      <c r="BK877" s="219">
        <f t="shared" si="417"/>
        <v>0</v>
      </c>
      <c r="BL877" s="31">
        <f t="shared" si="418"/>
        <v>0</v>
      </c>
      <c r="BM877" s="219">
        <f t="shared" si="419"/>
        <v>0</v>
      </c>
      <c r="BN877" s="31">
        <f t="shared" si="420"/>
        <v>0</v>
      </c>
      <c r="BO877" s="219">
        <f t="shared" si="421"/>
        <v>0</v>
      </c>
    </row>
    <row r="878" spans="1:67" x14ac:dyDescent="0.25">
      <c r="A878" s="283" t="s">
        <v>1864</v>
      </c>
      <c r="B878" s="362" t="str">
        <f>VLOOKUP(A878,kurspris!$A$1:$B$992,2,FALSE)</f>
        <v>Introduktion till det specialpedagogiska fältet</v>
      </c>
      <c r="C878" s="244"/>
      <c r="D878" s="538" t="s">
        <v>115</v>
      </c>
      <c r="E878" s="538" t="s">
        <v>2203</v>
      </c>
      <c r="F878" s="244" t="s">
        <v>2273</v>
      </c>
      <c r="G878" s="244"/>
      <c r="H878" s="244">
        <v>2480</v>
      </c>
      <c r="I878" s="244"/>
      <c r="J878" s="244" t="s">
        <v>2220</v>
      </c>
      <c r="K878" s="244"/>
      <c r="L878" s="518"/>
      <c r="M878" s="325">
        <v>7.5</v>
      </c>
      <c r="P878" s="575">
        <v>48</v>
      </c>
      <c r="Q878" s="196">
        <f t="shared" si="423"/>
        <v>6</v>
      </c>
      <c r="R878" s="38">
        <v>0.85</v>
      </c>
      <c r="S878" s="280">
        <f t="shared" si="394"/>
        <v>5.0999999999999996</v>
      </c>
      <c r="T878" s="31">
        <f>VLOOKUP(A878,'Ansvar kurs'!$A$1:$C$1123,2,FALSE)</f>
        <v>2180</v>
      </c>
      <c r="U878" s="31" t="str">
        <f>VLOOKUP(T878,Orgenheter!$A$1:$C$166,2,FALSE)</f>
        <v xml:space="preserve">Pedagogik                     </v>
      </c>
      <c r="V878" s="31" t="str">
        <f>VLOOKUP(T878,Orgenheter!$A$1:$C$166,3,FALSE)</f>
        <v>Sam</v>
      </c>
      <c r="W878" s="35" t="str">
        <f>VLOOKUP(D878,Program!$A$1:$B$36,2,FALSE)</f>
        <v>Speciallärarprogrammet</v>
      </c>
      <c r="X878" s="40">
        <f>VLOOKUP(A878,kurspris!$A$1:$Q$913,15,FALSE)</f>
        <v>20766</v>
      </c>
      <c r="Y878" s="40">
        <f>VLOOKUP(A878,kurspris!$A$1:$Q$913,16,FALSE)</f>
        <v>17442</v>
      </c>
      <c r="Z878" s="40">
        <f t="shared" si="395"/>
        <v>213550.2</v>
      </c>
      <c r="AA878" s="40">
        <f>VLOOKUP(A878,kurspris!$A$1:$Q$913,17,FALSE)</f>
        <v>6000</v>
      </c>
      <c r="AB878" s="40">
        <f t="shared" si="396"/>
        <v>36000</v>
      </c>
      <c r="AC878" s="40">
        <f t="shared" si="397"/>
        <v>249550.2</v>
      </c>
      <c r="AD878" s="31">
        <f>VLOOKUP($A878,kurspris!$A$1:$Q$950,3,FALSE)</f>
        <v>0</v>
      </c>
      <c r="AE878" s="31">
        <f>VLOOKUP($A878,kurspris!$A$1:$Q$950,4,FALSE)</f>
        <v>0</v>
      </c>
      <c r="AF878" s="31">
        <f>VLOOKUP($A878,kurspris!$A$1:$Q$950,5,FALSE)</f>
        <v>0</v>
      </c>
      <c r="AG878" s="31">
        <f>VLOOKUP($A878,kurspris!$A$1:$Q$950,6,FALSE)</f>
        <v>0</v>
      </c>
      <c r="AH878" s="31">
        <f>VLOOKUP($A878,kurspris!$A$1:$Q$950,7,FALSE)</f>
        <v>0</v>
      </c>
      <c r="AI878" s="31">
        <f>VLOOKUP($A878,kurspris!$A$1:$Q$950,8,FALSE)</f>
        <v>0</v>
      </c>
      <c r="AJ878" s="31">
        <f>VLOOKUP($A878,kurspris!$A$1:$Q$950,9,FALSE)</f>
        <v>1</v>
      </c>
      <c r="AK878" s="31">
        <f>VLOOKUP($A878,kurspris!$A$1:$Q$950,10,FALSE)</f>
        <v>0</v>
      </c>
      <c r="AL878" s="31">
        <f>VLOOKUP($A878,kurspris!$A$1:$Q$950,11,FALSE)</f>
        <v>0</v>
      </c>
      <c r="AM878" s="31">
        <f>VLOOKUP($A878,kurspris!$A$1:$Q$950,12,FALSE)</f>
        <v>0</v>
      </c>
      <c r="AN878" s="31">
        <f>VLOOKUP($A878,kurspris!$A$1:$Q$950,13,FALSE)</f>
        <v>0</v>
      </c>
      <c r="AO878" s="31">
        <f>VLOOKUP($A878,kurspris!$A$1:$Q$950,14,FALSE)</f>
        <v>0</v>
      </c>
      <c r="AP878" s="57" t="s">
        <v>2499</v>
      </c>
      <c r="AQ878"/>
      <c r="AR878" s="31">
        <f t="shared" si="398"/>
        <v>0</v>
      </c>
      <c r="AS878" s="219">
        <f t="shared" si="399"/>
        <v>0</v>
      </c>
      <c r="AT878" s="31">
        <f t="shared" si="400"/>
        <v>0</v>
      </c>
      <c r="AU878" s="219">
        <f t="shared" si="401"/>
        <v>0</v>
      </c>
      <c r="AV878" s="31">
        <f t="shared" si="402"/>
        <v>0</v>
      </c>
      <c r="AW878" s="31">
        <f t="shared" si="403"/>
        <v>0</v>
      </c>
      <c r="AX878" s="31">
        <f t="shared" si="404"/>
        <v>0</v>
      </c>
      <c r="AY878" s="219">
        <f t="shared" si="405"/>
        <v>0</v>
      </c>
      <c r="AZ878" s="196">
        <f t="shared" si="406"/>
        <v>0</v>
      </c>
      <c r="BA878" s="219">
        <f t="shared" si="407"/>
        <v>0</v>
      </c>
      <c r="BB878" s="31">
        <f t="shared" si="408"/>
        <v>0</v>
      </c>
      <c r="BC878" s="219">
        <f t="shared" si="409"/>
        <v>0</v>
      </c>
      <c r="BD878" s="31">
        <f t="shared" si="410"/>
        <v>6</v>
      </c>
      <c r="BE878" s="219">
        <f t="shared" si="411"/>
        <v>5.0999999999999996</v>
      </c>
      <c r="BF878" s="31">
        <f t="shared" si="412"/>
        <v>0</v>
      </c>
      <c r="BG878" s="219">
        <f t="shared" si="413"/>
        <v>0</v>
      </c>
      <c r="BH878" s="31">
        <f t="shared" si="414"/>
        <v>0</v>
      </c>
      <c r="BI878" s="219">
        <f t="shared" si="415"/>
        <v>0</v>
      </c>
      <c r="BJ878" s="31">
        <f t="shared" si="416"/>
        <v>0</v>
      </c>
      <c r="BK878" s="219">
        <f t="shared" si="417"/>
        <v>0</v>
      </c>
      <c r="BL878" s="31">
        <f t="shared" si="418"/>
        <v>0</v>
      </c>
      <c r="BM878" s="219">
        <f t="shared" si="419"/>
        <v>0</v>
      </c>
      <c r="BN878" s="31">
        <f t="shared" si="420"/>
        <v>0</v>
      </c>
      <c r="BO878" s="219">
        <f t="shared" si="421"/>
        <v>0</v>
      </c>
    </row>
    <row r="879" spans="1:67" x14ac:dyDescent="0.25">
      <c r="A879" s="31" t="s">
        <v>1867</v>
      </c>
      <c r="B879" s="176" t="str">
        <f>VLOOKUP(A879,kurspris!$A$1:$B$992,2,FALSE)</f>
        <v>Neuropsykiatriska svårigheter i olika lärmiljöer</v>
      </c>
      <c r="D879" s="60" t="s">
        <v>120</v>
      </c>
      <c r="E879" s="576" t="s">
        <v>2469</v>
      </c>
      <c r="F879" s="31" t="s">
        <v>2273</v>
      </c>
      <c r="G879" s="31" t="s">
        <v>2438</v>
      </c>
      <c r="H879" s="31" t="s">
        <v>2335</v>
      </c>
      <c r="J879" s="31" t="s">
        <v>2347</v>
      </c>
      <c r="L879" s="38">
        <v>1</v>
      </c>
      <c r="M879" s="325">
        <v>7.5</v>
      </c>
      <c r="P879" s="31">
        <v>1</v>
      </c>
      <c r="Q879" s="196">
        <f t="shared" si="423"/>
        <v>0.125</v>
      </c>
      <c r="R879" s="38">
        <v>0.85</v>
      </c>
      <c r="S879" s="280">
        <f t="shared" si="394"/>
        <v>0.10625</v>
      </c>
      <c r="T879" s="31">
        <f>VLOOKUP(A879,'Ansvar kurs'!$A$1:$C$1123,2,FALSE)</f>
        <v>2180</v>
      </c>
      <c r="U879" s="31" t="str">
        <f>VLOOKUP(T879,Orgenheter!$A$1:$C$166,2,FALSE)</f>
        <v xml:space="preserve">Pedagogik                     </v>
      </c>
      <c r="V879" s="31" t="str">
        <f>VLOOKUP(T879,Orgenheter!$A$1:$C$166,3,FALSE)</f>
        <v>Sam</v>
      </c>
      <c r="W879" s="35" t="str">
        <f>VLOOKUP(D879,Program!$A$1:$B$36,2,FALSE)</f>
        <v>Specialpedagogprogrammet</v>
      </c>
      <c r="X879" s="40">
        <f>VLOOKUP(A879,kurspris!$A$1:$Q$913,15,FALSE)</f>
        <v>20766</v>
      </c>
      <c r="Y879" s="40">
        <f>VLOOKUP(A879,kurspris!$A$1:$Q$913,16,FALSE)</f>
        <v>17442</v>
      </c>
      <c r="Z879" s="40">
        <f t="shared" si="395"/>
        <v>4448.9624999999996</v>
      </c>
      <c r="AA879" s="40">
        <f>VLOOKUP(A879,kurspris!$A$1:$Q$913,17,FALSE)</f>
        <v>6000</v>
      </c>
      <c r="AB879" s="40">
        <f t="shared" si="396"/>
        <v>750</v>
      </c>
      <c r="AC879" s="40">
        <f t="shared" si="397"/>
        <v>5198.9624999999996</v>
      </c>
      <c r="AD879" s="31">
        <f>VLOOKUP($A879,kurspris!$A$1:$Q$950,3,FALSE)</f>
        <v>0</v>
      </c>
      <c r="AE879" s="31">
        <f>VLOOKUP($A879,kurspris!$A$1:$Q$950,4,FALSE)</f>
        <v>0</v>
      </c>
      <c r="AF879" s="31">
        <f>VLOOKUP($A879,kurspris!$A$1:$Q$950,5,FALSE)</f>
        <v>0</v>
      </c>
      <c r="AG879" s="31">
        <f>VLOOKUP($A879,kurspris!$A$1:$Q$950,6,FALSE)</f>
        <v>0</v>
      </c>
      <c r="AH879" s="31">
        <f>VLOOKUP($A879,kurspris!$A$1:$Q$950,7,FALSE)</f>
        <v>0</v>
      </c>
      <c r="AI879" s="31">
        <f>VLOOKUP($A879,kurspris!$A$1:$Q$950,8,FALSE)</f>
        <v>0</v>
      </c>
      <c r="AJ879" s="31">
        <f>VLOOKUP($A879,kurspris!$A$1:$Q$950,9,FALSE)</f>
        <v>1</v>
      </c>
      <c r="AK879" s="31">
        <f>VLOOKUP($A879,kurspris!$A$1:$Q$950,10,FALSE)</f>
        <v>0</v>
      </c>
      <c r="AL879" s="31">
        <f>VLOOKUP($A879,kurspris!$A$1:$Q$950,11,FALSE)</f>
        <v>0</v>
      </c>
      <c r="AM879" s="31">
        <f>VLOOKUP($A879,kurspris!$A$1:$Q$950,12,FALSE)</f>
        <v>0</v>
      </c>
      <c r="AN879" s="31">
        <f>VLOOKUP($A879,kurspris!$A$1:$Q$950,13,FALSE)</f>
        <v>0</v>
      </c>
      <c r="AO879" s="31">
        <f>VLOOKUP($A879,kurspris!$A$1:$Q$950,14,FALSE)</f>
        <v>0</v>
      </c>
      <c r="AP879" s="57" t="s">
        <v>2506</v>
      </c>
      <c r="AQ879"/>
      <c r="AR879" s="31">
        <f t="shared" si="398"/>
        <v>0</v>
      </c>
      <c r="AS879" s="219">
        <f t="shared" si="399"/>
        <v>0</v>
      </c>
      <c r="AT879" s="31">
        <f t="shared" si="400"/>
        <v>0</v>
      </c>
      <c r="AU879" s="219">
        <f t="shared" si="401"/>
        <v>0</v>
      </c>
      <c r="AV879" s="31">
        <f t="shared" si="402"/>
        <v>0</v>
      </c>
      <c r="AW879" s="31">
        <f t="shared" si="403"/>
        <v>0</v>
      </c>
      <c r="AX879" s="31">
        <f t="shared" si="404"/>
        <v>0</v>
      </c>
      <c r="AY879" s="219">
        <f t="shared" si="405"/>
        <v>0</v>
      </c>
      <c r="AZ879" s="196">
        <f t="shared" si="406"/>
        <v>0</v>
      </c>
      <c r="BA879" s="219">
        <f t="shared" si="407"/>
        <v>0</v>
      </c>
      <c r="BB879" s="31">
        <f t="shared" si="408"/>
        <v>0</v>
      </c>
      <c r="BC879" s="219">
        <f t="shared" si="409"/>
        <v>0</v>
      </c>
      <c r="BD879" s="31">
        <f t="shared" si="410"/>
        <v>0.125</v>
      </c>
      <c r="BE879" s="219">
        <f t="shared" si="411"/>
        <v>0.10625</v>
      </c>
      <c r="BF879" s="31">
        <f t="shared" si="412"/>
        <v>0</v>
      </c>
      <c r="BG879" s="219">
        <f t="shared" si="413"/>
        <v>0</v>
      </c>
      <c r="BH879" s="31">
        <f t="shared" si="414"/>
        <v>0</v>
      </c>
      <c r="BI879" s="219">
        <f t="shared" si="415"/>
        <v>0</v>
      </c>
      <c r="BJ879" s="31">
        <f t="shared" si="416"/>
        <v>0</v>
      </c>
      <c r="BK879" s="219">
        <f t="shared" si="417"/>
        <v>0</v>
      </c>
      <c r="BL879" s="31">
        <f t="shared" si="418"/>
        <v>0</v>
      </c>
      <c r="BM879" s="219">
        <f t="shared" si="419"/>
        <v>0</v>
      </c>
      <c r="BN879" s="31">
        <f t="shared" si="420"/>
        <v>0</v>
      </c>
      <c r="BO879" s="219">
        <f t="shared" si="421"/>
        <v>0</v>
      </c>
    </row>
    <row r="880" spans="1:67" x14ac:dyDescent="0.25">
      <c r="A880" s="244" t="s">
        <v>1867</v>
      </c>
      <c r="B880" s="362" t="str">
        <f>VLOOKUP(A880,kurspris!$A$1:$B$992,2,FALSE)</f>
        <v>Neuropsykiatriska svårigheter i olika lärmiljöer</v>
      </c>
      <c r="C880" s="244"/>
      <c r="D880" s="538" t="s">
        <v>120</v>
      </c>
      <c r="E880" s="538" t="s">
        <v>2203</v>
      </c>
      <c r="F880" s="244" t="s">
        <v>2273</v>
      </c>
      <c r="G880" s="244"/>
      <c r="H880" s="244">
        <v>2480</v>
      </c>
      <c r="I880" s="244"/>
      <c r="J880" s="244"/>
      <c r="K880" s="244"/>
      <c r="L880" s="518"/>
      <c r="M880" s="325">
        <v>7.5</v>
      </c>
      <c r="N880" s="38">
        <v>-0.1</v>
      </c>
      <c r="O880" s="31">
        <v>46</v>
      </c>
      <c r="P880" s="31">
        <f>O880+(O880*N880)</f>
        <v>41.4</v>
      </c>
      <c r="Q880" s="196">
        <f t="shared" si="423"/>
        <v>5.1749999999999998</v>
      </c>
      <c r="R880" s="38">
        <v>0.85</v>
      </c>
      <c r="S880" s="280">
        <f t="shared" si="394"/>
        <v>4.3987499999999997</v>
      </c>
      <c r="T880" s="31">
        <f>VLOOKUP(A880,'Ansvar kurs'!$A$1:$C$1123,2,FALSE)</f>
        <v>2180</v>
      </c>
      <c r="U880" s="31" t="str">
        <f>VLOOKUP(T880,Orgenheter!$A$1:$C$166,2,FALSE)</f>
        <v xml:space="preserve">Pedagogik                     </v>
      </c>
      <c r="V880" s="31" t="str">
        <f>VLOOKUP(T880,Orgenheter!$A$1:$C$166,3,FALSE)</f>
        <v>Sam</v>
      </c>
      <c r="W880" s="35" t="str">
        <f>VLOOKUP(D880,Program!$A$1:$B$36,2,FALSE)</f>
        <v>Specialpedagogprogrammet</v>
      </c>
      <c r="X880" s="40">
        <f>VLOOKUP(A880,kurspris!$A$1:$Q$913,15,FALSE)</f>
        <v>20766</v>
      </c>
      <c r="Y880" s="40">
        <f>VLOOKUP(A880,kurspris!$A$1:$Q$913,16,FALSE)</f>
        <v>17442</v>
      </c>
      <c r="Z880" s="40">
        <f t="shared" si="395"/>
        <v>184187.04749999999</v>
      </c>
      <c r="AA880" s="40">
        <f>VLOOKUP(A880,kurspris!$A$1:$Q$913,17,FALSE)</f>
        <v>6000</v>
      </c>
      <c r="AB880" s="40">
        <f t="shared" si="396"/>
        <v>31050</v>
      </c>
      <c r="AC880" s="40">
        <f t="shared" si="397"/>
        <v>215237.04749999999</v>
      </c>
      <c r="AD880" s="31">
        <f>VLOOKUP($A880,kurspris!$A$1:$Q$950,3,FALSE)</f>
        <v>0</v>
      </c>
      <c r="AE880" s="31">
        <f>VLOOKUP($A880,kurspris!$A$1:$Q$950,4,FALSE)</f>
        <v>0</v>
      </c>
      <c r="AF880" s="31">
        <f>VLOOKUP($A880,kurspris!$A$1:$Q$950,5,FALSE)</f>
        <v>0</v>
      </c>
      <c r="AG880" s="31">
        <f>VLOOKUP($A880,kurspris!$A$1:$Q$950,6,FALSE)</f>
        <v>0</v>
      </c>
      <c r="AH880" s="31">
        <f>VLOOKUP($A880,kurspris!$A$1:$Q$950,7,FALSE)</f>
        <v>0</v>
      </c>
      <c r="AI880" s="31">
        <f>VLOOKUP($A880,kurspris!$A$1:$Q$950,8,FALSE)</f>
        <v>0</v>
      </c>
      <c r="AJ880" s="31">
        <f>VLOOKUP($A880,kurspris!$A$1:$Q$950,9,FALSE)</f>
        <v>1</v>
      </c>
      <c r="AK880" s="31">
        <f>VLOOKUP($A880,kurspris!$A$1:$Q$950,10,FALSE)</f>
        <v>0</v>
      </c>
      <c r="AL880" s="31">
        <f>VLOOKUP($A880,kurspris!$A$1:$Q$950,11,FALSE)</f>
        <v>0</v>
      </c>
      <c r="AM880" s="31">
        <f>VLOOKUP($A880,kurspris!$A$1:$Q$950,12,FALSE)</f>
        <v>0</v>
      </c>
      <c r="AN880" s="31">
        <f>VLOOKUP($A880,kurspris!$A$1:$Q$950,13,FALSE)</f>
        <v>0</v>
      </c>
      <c r="AO880" s="31">
        <f>VLOOKUP($A880,kurspris!$A$1:$Q$950,14,FALSE)</f>
        <v>0</v>
      </c>
      <c r="AP880" s="57" t="s">
        <v>2222</v>
      </c>
      <c r="AQ880"/>
      <c r="AR880" s="31">
        <f t="shared" si="398"/>
        <v>0</v>
      </c>
      <c r="AS880" s="219">
        <f t="shared" si="399"/>
        <v>0</v>
      </c>
      <c r="AT880" s="31">
        <f t="shared" si="400"/>
        <v>0</v>
      </c>
      <c r="AU880" s="219">
        <f t="shared" si="401"/>
        <v>0</v>
      </c>
      <c r="AV880" s="31">
        <f t="shared" si="402"/>
        <v>0</v>
      </c>
      <c r="AW880" s="31">
        <f t="shared" si="403"/>
        <v>0</v>
      </c>
      <c r="AX880" s="31">
        <f t="shared" si="404"/>
        <v>0</v>
      </c>
      <c r="AY880" s="219">
        <f t="shared" si="405"/>
        <v>0</v>
      </c>
      <c r="AZ880" s="196">
        <f t="shared" si="406"/>
        <v>0</v>
      </c>
      <c r="BA880" s="219">
        <f t="shared" si="407"/>
        <v>0</v>
      </c>
      <c r="BB880" s="31">
        <f t="shared" si="408"/>
        <v>0</v>
      </c>
      <c r="BC880" s="219">
        <f t="shared" si="409"/>
        <v>0</v>
      </c>
      <c r="BD880" s="31">
        <f t="shared" si="410"/>
        <v>5.1749999999999998</v>
      </c>
      <c r="BE880" s="219">
        <f t="shared" si="411"/>
        <v>4.3987499999999997</v>
      </c>
      <c r="BF880" s="31">
        <f t="shared" si="412"/>
        <v>0</v>
      </c>
      <c r="BG880" s="219">
        <f t="shared" si="413"/>
        <v>0</v>
      </c>
      <c r="BH880" s="31">
        <f t="shared" si="414"/>
        <v>0</v>
      </c>
      <c r="BI880" s="219">
        <f t="shared" si="415"/>
        <v>0</v>
      </c>
      <c r="BJ880" s="31">
        <f t="shared" si="416"/>
        <v>0</v>
      </c>
      <c r="BK880" s="219">
        <f t="shared" si="417"/>
        <v>0</v>
      </c>
      <c r="BL880" s="31">
        <f t="shared" si="418"/>
        <v>0</v>
      </c>
      <c r="BM880" s="219">
        <f t="shared" si="419"/>
        <v>0</v>
      </c>
      <c r="BN880" s="31">
        <f t="shared" si="420"/>
        <v>0</v>
      </c>
      <c r="BO880" s="219">
        <f t="shared" si="421"/>
        <v>0</v>
      </c>
    </row>
    <row r="881" spans="1:67" x14ac:dyDescent="0.25">
      <c r="A881" s="244" t="s">
        <v>1867</v>
      </c>
      <c r="B881" s="362" t="str">
        <f>VLOOKUP(A881,kurspris!$A$1:$B$992,2,FALSE)</f>
        <v>Neuropsykiatriska svårigheter i olika lärmiljöer</v>
      </c>
      <c r="C881" s="244"/>
      <c r="D881" s="538" t="s">
        <v>115</v>
      </c>
      <c r="E881" s="538" t="s">
        <v>2203</v>
      </c>
      <c r="F881" s="244" t="s">
        <v>2273</v>
      </c>
      <c r="G881" s="244"/>
      <c r="H881" s="244">
        <v>2480</v>
      </c>
      <c r="I881" s="244"/>
      <c r="J881" s="244" t="s">
        <v>2220</v>
      </c>
      <c r="K881" s="244"/>
      <c r="L881" s="518"/>
      <c r="M881" s="325">
        <v>7.5</v>
      </c>
      <c r="N881" s="38">
        <v>-0.1</v>
      </c>
      <c r="O881" s="31">
        <v>48</v>
      </c>
      <c r="P881" s="31">
        <f>O881+(O881*N881)</f>
        <v>43.2</v>
      </c>
      <c r="Q881" s="196">
        <f t="shared" si="423"/>
        <v>5.4</v>
      </c>
      <c r="R881" s="38">
        <v>0.85</v>
      </c>
      <c r="S881" s="280">
        <f t="shared" si="394"/>
        <v>4.59</v>
      </c>
      <c r="T881" s="31">
        <f>VLOOKUP(A881,'Ansvar kurs'!$A$1:$C$1123,2,FALSE)</f>
        <v>2180</v>
      </c>
      <c r="U881" s="31" t="str">
        <f>VLOOKUP(T881,Orgenheter!$A$1:$C$166,2,FALSE)</f>
        <v xml:space="preserve">Pedagogik                     </v>
      </c>
      <c r="V881" s="31" t="str">
        <f>VLOOKUP(T881,Orgenheter!$A$1:$C$166,3,FALSE)</f>
        <v>Sam</v>
      </c>
      <c r="W881" s="35" t="str">
        <f>VLOOKUP(D881,Program!$A$1:$B$36,2,FALSE)</f>
        <v>Speciallärarprogrammet</v>
      </c>
      <c r="X881" s="40">
        <f>VLOOKUP(A881,kurspris!$A$1:$Q$913,15,FALSE)</f>
        <v>20766</v>
      </c>
      <c r="Y881" s="40">
        <f>VLOOKUP(A881,kurspris!$A$1:$Q$913,16,FALSE)</f>
        <v>17442</v>
      </c>
      <c r="Z881" s="40">
        <f t="shared" si="395"/>
        <v>192195.18</v>
      </c>
      <c r="AA881" s="40">
        <f>VLOOKUP(A881,kurspris!$A$1:$Q$913,17,FALSE)</f>
        <v>6000</v>
      </c>
      <c r="AB881" s="40">
        <f t="shared" si="396"/>
        <v>32400.000000000004</v>
      </c>
      <c r="AC881" s="40">
        <f t="shared" si="397"/>
        <v>224595.18</v>
      </c>
      <c r="AD881" s="31">
        <f>VLOOKUP($A881,kurspris!$A$1:$Q$950,3,FALSE)</f>
        <v>0</v>
      </c>
      <c r="AE881" s="31">
        <f>VLOOKUP($A881,kurspris!$A$1:$Q$950,4,FALSE)</f>
        <v>0</v>
      </c>
      <c r="AF881" s="31">
        <f>VLOOKUP($A881,kurspris!$A$1:$Q$950,5,FALSE)</f>
        <v>0</v>
      </c>
      <c r="AG881" s="31">
        <f>VLOOKUP($A881,kurspris!$A$1:$Q$950,6,FALSE)</f>
        <v>0</v>
      </c>
      <c r="AH881" s="31">
        <f>VLOOKUP($A881,kurspris!$A$1:$Q$950,7,FALSE)</f>
        <v>0</v>
      </c>
      <c r="AI881" s="31">
        <f>VLOOKUP($A881,kurspris!$A$1:$Q$950,8,FALSE)</f>
        <v>0</v>
      </c>
      <c r="AJ881" s="31">
        <f>VLOOKUP($A881,kurspris!$A$1:$Q$950,9,FALSE)</f>
        <v>1</v>
      </c>
      <c r="AK881" s="31">
        <f>VLOOKUP($A881,kurspris!$A$1:$Q$950,10,FALSE)</f>
        <v>0</v>
      </c>
      <c r="AL881" s="31">
        <f>VLOOKUP($A881,kurspris!$A$1:$Q$950,11,FALSE)</f>
        <v>0</v>
      </c>
      <c r="AM881" s="31">
        <f>VLOOKUP($A881,kurspris!$A$1:$Q$950,12,FALSE)</f>
        <v>0</v>
      </c>
      <c r="AN881" s="31">
        <f>VLOOKUP($A881,kurspris!$A$1:$Q$950,13,FALSE)</f>
        <v>0</v>
      </c>
      <c r="AO881" s="31">
        <f>VLOOKUP($A881,kurspris!$A$1:$Q$950,14,FALSE)</f>
        <v>0</v>
      </c>
      <c r="AP881" s="57" t="s">
        <v>2222</v>
      </c>
      <c r="AQ881"/>
      <c r="AR881" s="31">
        <f t="shared" si="398"/>
        <v>0</v>
      </c>
      <c r="AS881" s="219">
        <f t="shared" si="399"/>
        <v>0</v>
      </c>
      <c r="AT881" s="31">
        <f t="shared" si="400"/>
        <v>0</v>
      </c>
      <c r="AU881" s="219">
        <f t="shared" si="401"/>
        <v>0</v>
      </c>
      <c r="AV881" s="31">
        <f t="shared" si="402"/>
        <v>0</v>
      </c>
      <c r="AW881" s="31">
        <f t="shared" si="403"/>
        <v>0</v>
      </c>
      <c r="AX881" s="31">
        <f t="shared" si="404"/>
        <v>0</v>
      </c>
      <c r="AY881" s="219">
        <f t="shared" si="405"/>
        <v>0</v>
      </c>
      <c r="AZ881" s="196">
        <f t="shared" si="406"/>
        <v>0</v>
      </c>
      <c r="BA881" s="219">
        <f t="shared" si="407"/>
        <v>0</v>
      </c>
      <c r="BB881" s="31">
        <f t="shared" si="408"/>
        <v>0</v>
      </c>
      <c r="BC881" s="219">
        <f t="shared" si="409"/>
        <v>0</v>
      </c>
      <c r="BD881" s="31">
        <f t="shared" si="410"/>
        <v>5.4</v>
      </c>
      <c r="BE881" s="219">
        <f t="shared" si="411"/>
        <v>4.59</v>
      </c>
      <c r="BF881" s="31">
        <f t="shared" si="412"/>
        <v>0</v>
      </c>
      <c r="BG881" s="219">
        <f t="shared" si="413"/>
        <v>0</v>
      </c>
      <c r="BH881" s="31">
        <f t="shared" si="414"/>
        <v>0</v>
      </c>
      <c r="BI881" s="219">
        <f t="shared" si="415"/>
        <v>0</v>
      </c>
      <c r="BJ881" s="31">
        <f t="shared" si="416"/>
        <v>0</v>
      </c>
      <c r="BK881" s="219">
        <f t="shared" si="417"/>
        <v>0</v>
      </c>
      <c r="BL881" s="31">
        <f t="shared" si="418"/>
        <v>0</v>
      </c>
      <c r="BM881" s="219">
        <f t="shared" si="419"/>
        <v>0</v>
      </c>
      <c r="BN881" s="31">
        <f t="shared" si="420"/>
        <v>0</v>
      </c>
      <c r="BO881" s="219">
        <f t="shared" si="421"/>
        <v>0</v>
      </c>
    </row>
    <row r="882" spans="1:67" x14ac:dyDescent="0.25">
      <c r="A882" s="31" t="s">
        <v>1866</v>
      </c>
      <c r="B882" s="176" t="str">
        <f>VLOOKUP(A882,kurspris!$A$1:$B$992,2,FALSE)</f>
        <v>Speciallärarens och specialpedagogens yrkesfunktion</v>
      </c>
      <c r="D882" s="60" t="s">
        <v>120</v>
      </c>
      <c r="E882" s="576" t="s">
        <v>2469</v>
      </c>
      <c r="F882" s="31" t="s">
        <v>2273</v>
      </c>
      <c r="G882" s="31" t="s">
        <v>2463</v>
      </c>
      <c r="H882" s="31" t="s">
        <v>2335</v>
      </c>
      <c r="J882" s="31" t="s">
        <v>2347</v>
      </c>
      <c r="L882" s="38">
        <v>1</v>
      </c>
      <c r="M882" s="325">
        <v>15</v>
      </c>
      <c r="P882" s="31">
        <v>1</v>
      </c>
      <c r="Q882" s="196">
        <f t="shared" si="423"/>
        <v>0.25</v>
      </c>
      <c r="R882" s="38">
        <v>0.85</v>
      </c>
      <c r="S882" s="280">
        <f t="shared" si="394"/>
        <v>0.21249999999999999</v>
      </c>
      <c r="T882" s="31">
        <f>VLOOKUP(A882,'Ansvar kurs'!$A$1:$C$1123,2,FALSE)</f>
        <v>2193</v>
      </c>
      <c r="U882" s="31" t="str">
        <f>VLOOKUP(T882,Orgenheter!$A$1:$C$166,2,FALSE)</f>
        <v xml:space="preserve">TUV </v>
      </c>
      <c r="V882" s="31" t="str">
        <f>VLOOKUP(T882,Orgenheter!$A$1:$C$166,3,FALSE)</f>
        <v>Sam</v>
      </c>
      <c r="W882" s="35" t="str">
        <f>VLOOKUP(D882,Program!$A$1:$B$36,2,FALSE)</f>
        <v>Specialpedagogprogrammet</v>
      </c>
      <c r="X882" s="40">
        <f>VLOOKUP(A882,kurspris!$A$1:$Q$913,15,FALSE)</f>
        <v>36229.199999999997</v>
      </c>
      <c r="Y882" s="40">
        <f>VLOOKUP(A882,kurspris!$A$1:$Q$913,16,FALSE)</f>
        <v>35006.800000000003</v>
      </c>
      <c r="Z882" s="40">
        <f t="shared" si="395"/>
        <v>16496.244999999999</v>
      </c>
      <c r="AA882" s="40">
        <f>VLOOKUP(A882,kurspris!$A$1:$Q$913,17,FALSE)</f>
        <v>6000</v>
      </c>
      <c r="AB882" s="40">
        <f t="shared" si="396"/>
        <v>1500</v>
      </c>
      <c r="AC882" s="40">
        <f t="shared" si="397"/>
        <v>17996.244999999999</v>
      </c>
      <c r="AD882" s="31">
        <f>VLOOKUP($A882,kurspris!$A$1:$Q$950,3,FALSE)</f>
        <v>0</v>
      </c>
      <c r="AE882" s="31">
        <f>VLOOKUP($A882,kurspris!$A$1:$Q$950,4,FALSE)</f>
        <v>0</v>
      </c>
      <c r="AF882" s="31">
        <f>VLOOKUP($A882,kurspris!$A$1:$Q$950,5,FALSE)</f>
        <v>0</v>
      </c>
      <c r="AG882" s="31">
        <f>VLOOKUP($A882,kurspris!$A$1:$Q$950,6,FALSE)</f>
        <v>0</v>
      </c>
      <c r="AH882" s="31">
        <f>VLOOKUP($A882,kurspris!$A$1:$Q$950,7,FALSE)</f>
        <v>0</v>
      </c>
      <c r="AI882" s="31">
        <f>VLOOKUP($A882,kurspris!$A$1:$Q$950,8,FALSE)</f>
        <v>0</v>
      </c>
      <c r="AJ882" s="31">
        <f>VLOOKUP($A882,kurspris!$A$1:$Q$950,9,FALSE)</f>
        <v>0.2</v>
      </c>
      <c r="AK882" s="31">
        <f>VLOOKUP($A882,kurspris!$A$1:$Q$950,10,FALSE)</f>
        <v>0</v>
      </c>
      <c r="AL882" s="31">
        <f>VLOOKUP($A882,kurspris!$A$1:$Q$950,11,FALSE)</f>
        <v>0</v>
      </c>
      <c r="AM882" s="31">
        <f>VLOOKUP($A882,kurspris!$A$1:$Q$950,12,FALSE)</f>
        <v>0</v>
      </c>
      <c r="AN882" s="31">
        <f>VLOOKUP($A882,kurspris!$A$1:$Q$950,13,FALSE)</f>
        <v>0</v>
      </c>
      <c r="AO882" s="31">
        <f>VLOOKUP($A882,kurspris!$A$1:$Q$950,14,FALSE)</f>
        <v>0.8</v>
      </c>
      <c r="AP882" s="57" t="s">
        <v>2506</v>
      </c>
      <c r="AQ882"/>
      <c r="AR882" s="31">
        <f t="shared" si="398"/>
        <v>0</v>
      </c>
      <c r="AS882" s="219">
        <f t="shared" si="399"/>
        <v>0</v>
      </c>
      <c r="AT882" s="31">
        <f t="shared" si="400"/>
        <v>0</v>
      </c>
      <c r="AU882" s="219">
        <f t="shared" si="401"/>
        <v>0</v>
      </c>
      <c r="AV882" s="31">
        <f t="shared" si="402"/>
        <v>0</v>
      </c>
      <c r="AW882" s="31">
        <f t="shared" si="403"/>
        <v>0</v>
      </c>
      <c r="AX882" s="31">
        <f t="shared" si="404"/>
        <v>0</v>
      </c>
      <c r="AY882" s="219">
        <f t="shared" si="405"/>
        <v>0</v>
      </c>
      <c r="AZ882" s="196">
        <f t="shared" si="406"/>
        <v>0</v>
      </c>
      <c r="BA882" s="219">
        <f t="shared" si="407"/>
        <v>0</v>
      </c>
      <c r="BB882" s="31">
        <f t="shared" si="408"/>
        <v>0</v>
      </c>
      <c r="BC882" s="219">
        <f t="shared" si="409"/>
        <v>0</v>
      </c>
      <c r="BD882" s="31">
        <f t="shared" si="410"/>
        <v>0.05</v>
      </c>
      <c r="BE882" s="219">
        <f t="shared" si="411"/>
        <v>4.2500000000000003E-2</v>
      </c>
      <c r="BF882" s="31">
        <f t="shared" si="412"/>
        <v>0</v>
      </c>
      <c r="BG882" s="219">
        <f t="shared" si="413"/>
        <v>0</v>
      </c>
      <c r="BH882" s="31">
        <f t="shared" si="414"/>
        <v>0</v>
      </c>
      <c r="BI882" s="219">
        <f t="shared" si="415"/>
        <v>0</v>
      </c>
      <c r="BJ882" s="31">
        <f t="shared" si="416"/>
        <v>0</v>
      </c>
      <c r="BK882" s="219">
        <f t="shared" si="417"/>
        <v>0</v>
      </c>
      <c r="BL882" s="31">
        <f t="shared" si="418"/>
        <v>0</v>
      </c>
      <c r="BM882" s="219">
        <f t="shared" si="419"/>
        <v>0</v>
      </c>
      <c r="BN882" s="31">
        <f t="shared" si="420"/>
        <v>0.2</v>
      </c>
      <c r="BO882" s="219">
        <f t="shared" si="421"/>
        <v>0.17</v>
      </c>
    </row>
    <row r="883" spans="1:67" x14ac:dyDescent="0.25">
      <c r="A883" s="283" t="s">
        <v>1866</v>
      </c>
      <c r="B883" s="362" t="str">
        <f>VLOOKUP(A883,kurspris!$A$1:$B$992,2,FALSE)</f>
        <v>Speciallärarens och specialpedagogens yrkesfunktion</v>
      </c>
      <c r="C883" s="244"/>
      <c r="D883" s="538" t="s">
        <v>120</v>
      </c>
      <c r="E883" s="538" t="s">
        <v>2203</v>
      </c>
      <c r="F883" s="244" t="s">
        <v>2273</v>
      </c>
      <c r="G883" s="244"/>
      <c r="H883" s="244">
        <v>2480</v>
      </c>
      <c r="I883" s="244"/>
      <c r="J883" s="244"/>
      <c r="K883" s="244"/>
      <c r="L883" s="518"/>
      <c r="M883" s="325">
        <v>15</v>
      </c>
      <c r="N883" s="38">
        <v>-0.05</v>
      </c>
      <c r="O883" s="31">
        <v>46</v>
      </c>
      <c r="P883" s="31">
        <f>O883+(O883*N883)</f>
        <v>43.7</v>
      </c>
      <c r="Q883" s="196">
        <f t="shared" si="423"/>
        <v>10.925000000000001</v>
      </c>
      <c r="R883" s="38">
        <v>0.85</v>
      </c>
      <c r="S883" s="280">
        <f t="shared" si="394"/>
        <v>9.2862500000000008</v>
      </c>
      <c r="T883" s="31">
        <f>VLOOKUP(A883,'Ansvar kurs'!$A$1:$C$1123,2,FALSE)</f>
        <v>2193</v>
      </c>
      <c r="U883" s="31" t="str">
        <f>VLOOKUP(T883,Orgenheter!$A$1:$C$166,2,FALSE)</f>
        <v xml:space="preserve">TUV </v>
      </c>
      <c r="V883" s="31" t="str">
        <f>VLOOKUP(T883,Orgenheter!$A$1:$C$166,3,FALSE)</f>
        <v>Sam</v>
      </c>
      <c r="W883" s="35" t="str">
        <f>VLOOKUP(D883,Program!$A$1:$B$36,2,FALSE)</f>
        <v>Specialpedagogprogrammet</v>
      </c>
      <c r="X883" s="40">
        <f>VLOOKUP(A883,kurspris!$A$1:$Q$913,15,FALSE)</f>
        <v>36229.199999999997</v>
      </c>
      <c r="Y883" s="40">
        <f>VLOOKUP(A883,kurspris!$A$1:$Q$913,16,FALSE)</f>
        <v>35006.800000000003</v>
      </c>
      <c r="Z883" s="40">
        <f t="shared" si="395"/>
        <v>720885.90650000004</v>
      </c>
      <c r="AA883" s="40">
        <f>VLOOKUP(A883,kurspris!$A$1:$Q$913,17,FALSE)</f>
        <v>6000</v>
      </c>
      <c r="AB883" s="40">
        <f t="shared" si="396"/>
        <v>65550</v>
      </c>
      <c r="AC883" s="40">
        <f t="shared" si="397"/>
        <v>786435.90650000004</v>
      </c>
      <c r="AD883" s="31">
        <f>VLOOKUP($A883,kurspris!$A$1:$Q$950,3,FALSE)</f>
        <v>0</v>
      </c>
      <c r="AE883" s="31">
        <f>VLOOKUP($A883,kurspris!$A$1:$Q$950,4,FALSE)</f>
        <v>0</v>
      </c>
      <c r="AF883" s="31">
        <f>VLOOKUP($A883,kurspris!$A$1:$Q$950,5,FALSE)</f>
        <v>0</v>
      </c>
      <c r="AG883" s="31">
        <f>VLOOKUP($A883,kurspris!$A$1:$Q$950,6,FALSE)</f>
        <v>0</v>
      </c>
      <c r="AH883" s="31">
        <f>VLOOKUP($A883,kurspris!$A$1:$Q$950,7,FALSE)</f>
        <v>0</v>
      </c>
      <c r="AI883" s="31">
        <f>VLOOKUP($A883,kurspris!$A$1:$Q$950,8,FALSE)</f>
        <v>0</v>
      </c>
      <c r="AJ883" s="31">
        <f>VLOOKUP($A883,kurspris!$A$1:$Q$950,9,FALSE)</f>
        <v>0.2</v>
      </c>
      <c r="AK883" s="31">
        <f>VLOOKUP($A883,kurspris!$A$1:$Q$950,10,FALSE)</f>
        <v>0</v>
      </c>
      <c r="AL883" s="31">
        <f>VLOOKUP($A883,kurspris!$A$1:$Q$950,11,FALSE)</f>
        <v>0</v>
      </c>
      <c r="AM883" s="31">
        <f>VLOOKUP($A883,kurspris!$A$1:$Q$950,12,FALSE)</f>
        <v>0</v>
      </c>
      <c r="AN883" s="31">
        <f>VLOOKUP($A883,kurspris!$A$1:$Q$950,13,FALSE)</f>
        <v>0</v>
      </c>
      <c r="AO883" s="31">
        <f>VLOOKUP($A883,kurspris!$A$1:$Q$950,14,FALSE)</f>
        <v>0.8</v>
      </c>
      <c r="AP883" s="57" t="s">
        <v>2222</v>
      </c>
      <c r="AQ883" s="37"/>
      <c r="AR883" s="31">
        <f t="shared" si="398"/>
        <v>0</v>
      </c>
      <c r="AS883" s="219">
        <f t="shared" si="399"/>
        <v>0</v>
      </c>
      <c r="AT883" s="31">
        <f t="shared" si="400"/>
        <v>0</v>
      </c>
      <c r="AU883" s="219">
        <f t="shared" si="401"/>
        <v>0</v>
      </c>
      <c r="AV883" s="31">
        <f t="shared" si="402"/>
        <v>0</v>
      </c>
      <c r="AW883" s="31">
        <f t="shared" si="403"/>
        <v>0</v>
      </c>
      <c r="AX883" s="31">
        <f t="shared" si="404"/>
        <v>0</v>
      </c>
      <c r="AY883" s="219">
        <f t="shared" si="405"/>
        <v>0</v>
      </c>
      <c r="AZ883" s="196">
        <f t="shared" si="406"/>
        <v>0</v>
      </c>
      <c r="BA883" s="219">
        <f t="shared" si="407"/>
        <v>0</v>
      </c>
      <c r="BB883" s="31">
        <f t="shared" si="408"/>
        <v>0</v>
      </c>
      <c r="BC883" s="219">
        <f t="shared" si="409"/>
        <v>0</v>
      </c>
      <c r="BD883" s="31">
        <f t="shared" si="410"/>
        <v>2.1850000000000001</v>
      </c>
      <c r="BE883" s="219">
        <f t="shared" si="411"/>
        <v>1.8572500000000003</v>
      </c>
      <c r="BF883" s="31">
        <f t="shared" si="412"/>
        <v>0</v>
      </c>
      <c r="BG883" s="219">
        <f t="shared" si="413"/>
        <v>0</v>
      </c>
      <c r="BH883" s="31">
        <f t="shared" si="414"/>
        <v>0</v>
      </c>
      <c r="BI883" s="219">
        <f t="shared" si="415"/>
        <v>0</v>
      </c>
      <c r="BJ883" s="31">
        <f t="shared" si="416"/>
        <v>0</v>
      </c>
      <c r="BK883" s="219">
        <f t="shared" si="417"/>
        <v>0</v>
      </c>
      <c r="BL883" s="31">
        <f t="shared" si="418"/>
        <v>0</v>
      </c>
      <c r="BM883" s="219">
        <f t="shared" si="419"/>
        <v>0</v>
      </c>
      <c r="BN883" s="31">
        <f t="shared" si="420"/>
        <v>8.74</v>
      </c>
      <c r="BO883" s="219">
        <f t="shared" si="421"/>
        <v>7.4290000000000012</v>
      </c>
    </row>
    <row r="884" spans="1:67" x14ac:dyDescent="0.25">
      <c r="A884" s="244" t="s">
        <v>1866</v>
      </c>
      <c r="B884" s="362" t="str">
        <f>VLOOKUP(A884,kurspris!$A$1:$B$992,2,FALSE)</f>
        <v>Speciallärarens och specialpedagogens yrkesfunktion</v>
      </c>
      <c r="C884" s="244"/>
      <c r="D884" s="538" t="s">
        <v>115</v>
      </c>
      <c r="E884" s="538" t="s">
        <v>2203</v>
      </c>
      <c r="F884" s="244" t="s">
        <v>2273</v>
      </c>
      <c r="G884" s="244"/>
      <c r="H884" s="244">
        <v>2480</v>
      </c>
      <c r="I884" s="244"/>
      <c r="J884" s="244" t="s">
        <v>2220</v>
      </c>
      <c r="K884" s="244"/>
      <c r="L884" s="518"/>
      <c r="M884" s="325">
        <v>15</v>
      </c>
      <c r="N884" s="38">
        <v>-0.05</v>
      </c>
      <c r="O884" s="31">
        <v>48</v>
      </c>
      <c r="P884" s="31">
        <f>O884+(O884*N884)</f>
        <v>45.6</v>
      </c>
      <c r="Q884" s="196">
        <f t="shared" si="423"/>
        <v>11.4</v>
      </c>
      <c r="R884" s="38">
        <v>0.85</v>
      </c>
      <c r="S884" s="280">
        <f t="shared" si="394"/>
        <v>9.69</v>
      </c>
      <c r="T884" s="31">
        <f>VLOOKUP(A884,'Ansvar kurs'!$A$1:$C$1123,2,FALSE)</f>
        <v>2193</v>
      </c>
      <c r="U884" s="31" t="str">
        <f>VLOOKUP(T884,Orgenheter!$A$1:$C$166,2,FALSE)</f>
        <v xml:space="preserve">TUV </v>
      </c>
      <c r="V884" s="31" t="str">
        <f>VLOOKUP(T884,Orgenheter!$A$1:$C$166,3,FALSE)</f>
        <v>Sam</v>
      </c>
      <c r="W884" s="35" t="str">
        <f>VLOOKUP(D884,Program!$A$1:$B$36,2,FALSE)</f>
        <v>Speciallärarprogrammet</v>
      </c>
      <c r="X884" s="40">
        <f>VLOOKUP(A884,kurspris!$A$1:$Q$913,15,FALSE)</f>
        <v>36229.199999999997</v>
      </c>
      <c r="Y884" s="40">
        <f>VLOOKUP(A884,kurspris!$A$1:$Q$913,16,FALSE)</f>
        <v>35006.800000000003</v>
      </c>
      <c r="Z884" s="40">
        <f t="shared" si="395"/>
        <v>752228.772</v>
      </c>
      <c r="AA884" s="40">
        <f>VLOOKUP(A884,kurspris!$A$1:$Q$913,17,FALSE)</f>
        <v>6000</v>
      </c>
      <c r="AB884" s="40">
        <f t="shared" si="396"/>
        <v>68400</v>
      </c>
      <c r="AC884" s="40">
        <f t="shared" si="397"/>
        <v>820628.772</v>
      </c>
      <c r="AD884" s="31">
        <f>VLOOKUP($A884,kurspris!$A$1:$Q$950,3,FALSE)</f>
        <v>0</v>
      </c>
      <c r="AE884" s="31">
        <f>VLOOKUP($A884,kurspris!$A$1:$Q$950,4,FALSE)</f>
        <v>0</v>
      </c>
      <c r="AF884" s="31">
        <f>VLOOKUP($A884,kurspris!$A$1:$Q$950,5,FALSE)</f>
        <v>0</v>
      </c>
      <c r="AG884" s="31">
        <f>VLOOKUP($A884,kurspris!$A$1:$Q$950,6,FALSE)</f>
        <v>0</v>
      </c>
      <c r="AH884" s="31">
        <f>VLOOKUP($A884,kurspris!$A$1:$Q$950,7,FALSE)</f>
        <v>0</v>
      </c>
      <c r="AI884" s="31">
        <f>VLOOKUP($A884,kurspris!$A$1:$Q$950,8,FALSE)</f>
        <v>0</v>
      </c>
      <c r="AJ884" s="31">
        <f>VLOOKUP($A884,kurspris!$A$1:$Q$950,9,FALSE)</f>
        <v>0.2</v>
      </c>
      <c r="AK884" s="31">
        <f>VLOOKUP($A884,kurspris!$A$1:$Q$950,10,FALSE)</f>
        <v>0</v>
      </c>
      <c r="AL884" s="31">
        <f>VLOOKUP($A884,kurspris!$A$1:$Q$950,11,FALSE)</f>
        <v>0</v>
      </c>
      <c r="AM884" s="31">
        <f>VLOOKUP($A884,kurspris!$A$1:$Q$950,12,FALSE)</f>
        <v>0</v>
      </c>
      <c r="AN884" s="31">
        <f>VLOOKUP($A884,kurspris!$A$1:$Q$950,13,FALSE)</f>
        <v>0</v>
      </c>
      <c r="AO884" s="31">
        <f>VLOOKUP($A884,kurspris!$A$1:$Q$950,14,FALSE)</f>
        <v>0.8</v>
      </c>
      <c r="AP884" s="57" t="s">
        <v>2222</v>
      </c>
      <c r="AQ884"/>
      <c r="AR884" s="31">
        <f t="shared" si="398"/>
        <v>0</v>
      </c>
      <c r="AS884" s="219">
        <f t="shared" si="399"/>
        <v>0</v>
      </c>
      <c r="AT884" s="31">
        <f t="shared" si="400"/>
        <v>0</v>
      </c>
      <c r="AU884" s="219">
        <f t="shared" si="401"/>
        <v>0</v>
      </c>
      <c r="AV884" s="31">
        <f t="shared" si="402"/>
        <v>0</v>
      </c>
      <c r="AW884" s="31">
        <f t="shared" si="403"/>
        <v>0</v>
      </c>
      <c r="AX884" s="31">
        <f t="shared" si="404"/>
        <v>0</v>
      </c>
      <c r="AY884" s="219">
        <f t="shared" si="405"/>
        <v>0</v>
      </c>
      <c r="AZ884" s="196">
        <f t="shared" si="406"/>
        <v>0</v>
      </c>
      <c r="BA884" s="219">
        <f t="shared" si="407"/>
        <v>0</v>
      </c>
      <c r="BB884" s="31">
        <f t="shared" si="408"/>
        <v>0</v>
      </c>
      <c r="BC884" s="219">
        <f t="shared" si="409"/>
        <v>0</v>
      </c>
      <c r="BD884" s="31">
        <f t="shared" si="410"/>
        <v>2.2800000000000002</v>
      </c>
      <c r="BE884" s="219">
        <f t="shared" si="411"/>
        <v>1.9379999999999999</v>
      </c>
      <c r="BF884" s="31">
        <f t="shared" si="412"/>
        <v>0</v>
      </c>
      <c r="BG884" s="219">
        <f t="shared" si="413"/>
        <v>0</v>
      </c>
      <c r="BH884" s="31">
        <f t="shared" si="414"/>
        <v>0</v>
      </c>
      <c r="BI884" s="219">
        <f t="shared" si="415"/>
        <v>0</v>
      </c>
      <c r="BJ884" s="31">
        <f t="shared" si="416"/>
        <v>0</v>
      </c>
      <c r="BK884" s="219">
        <f t="shared" si="417"/>
        <v>0</v>
      </c>
      <c r="BL884" s="31">
        <f t="shared" si="418"/>
        <v>0</v>
      </c>
      <c r="BM884" s="219">
        <f t="shared" si="419"/>
        <v>0</v>
      </c>
      <c r="BN884" s="31">
        <f t="shared" si="420"/>
        <v>9.120000000000001</v>
      </c>
      <c r="BO884" s="219">
        <f t="shared" si="421"/>
        <v>7.7519999999999998</v>
      </c>
    </row>
    <row r="885" spans="1:67" x14ac:dyDescent="0.25">
      <c r="A885" s="31" t="s">
        <v>2023</v>
      </c>
      <c r="B885" s="176" t="str">
        <f>VLOOKUP(A885,kurspris!$A$1:$B$992,2,FALSE)</f>
        <v>Neuropsykiatriska svårigheter - förhållningsätt, bemötande och strategier i pedagogisk verksamhet</v>
      </c>
      <c r="C885" s="31">
        <v>68900</v>
      </c>
      <c r="D885" s="60" t="s">
        <v>117</v>
      </c>
      <c r="E885" s="60"/>
      <c r="F885" s="57" t="s">
        <v>2274</v>
      </c>
      <c r="H885" s="31" t="s">
        <v>2335</v>
      </c>
      <c r="I885" s="31" t="s">
        <v>2275</v>
      </c>
      <c r="L885" s="38"/>
      <c r="M885">
        <v>15</v>
      </c>
      <c r="P885" s="31">
        <v>44</v>
      </c>
      <c r="Q885" s="539">
        <v>11</v>
      </c>
      <c r="R885" s="38">
        <v>0.8</v>
      </c>
      <c r="S885" s="280">
        <f t="shared" si="394"/>
        <v>8.8000000000000007</v>
      </c>
      <c r="T885" s="31">
        <f>VLOOKUP(A885,'Ansvar kurs'!$A$1:$C$1123,2,FALSE)</f>
        <v>2193</v>
      </c>
      <c r="U885" s="31" t="str">
        <f>VLOOKUP(T885,Orgenheter!$A$1:$C$166,2,FALSE)</f>
        <v xml:space="preserve">TUV </v>
      </c>
      <c r="V885" s="31" t="str">
        <f>VLOOKUP(T885,Orgenheter!$A$1:$C$166,3,FALSE)</f>
        <v>Sam</v>
      </c>
      <c r="W885" s="35" t="str">
        <f>VLOOKUP(D885,Program!$A$1:$B$36,2,FALSE)</f>
        <v>Fristående och övriga kurser</v>
      </c>
      <c r="X885" s="40">
        <f>VLOOKUP(A885,kurspris!$A$1:$Q$913,15,FALSE)</f>
        <v>20766</v>
      </c>
      <c r="Y885" s="40">
        <f>VLOOKUP(A885,kurspris!$A$1:$Q$913,16,FALSE)</f>
        <v>17442</v>
      </c>
      <c r="Z885" s="40">
        <f t="shared" si="395"/>
        <v>381915.6</v>
      </c>
      <c r="AA885" s="40">
        <f>VLOOKUP(A885,kurspris!$A$1:$Q$913,17,FALSE)</f>
        <v>6000</v>
      </c>
      <c r="AB885" s="40">
        <f t="shared" si="396"/>
        <v>66000</v>
      </c>
      <c r="AC885" s="40">
        <f t="shared" si="397"/>
        <v>447915.6</v>
      </c>
      <c r="AD885" s="31">
        <f>VLOOKUP($A885,kurspris!$A$1:$Q$950,3,FALSE)</f>
        <v>0</v>
      </c>
      <c r="AE885" s="31">
        <f>VLOOKUP($A885,kurspris!$A$1:$Q$950,4,FALSE)</f>
        <v>0</v>
      </c>
      <c r="AF885" s="31">
        <f>VLOOKUP($A885,kurspris!$A$1:$Q$950,5,FALSE)</f>
        <v>0</v>
      </c>
      <c r="AG885" s="31">
        <f>VLOOKUP($A885,kurspris!$A$1:$Q$950,6,FALSE)</f>
        <v>0</v>
      </c>
      <c r="AH885" s="31">
        <f>VLOOKUP($A885,kurspris!$A$1:$Q$950,7,FALSE)</f>
        <v>0</v>
      </c>
      <c r="AI885" s="31">
        <f>VLOOKUP($A885,kurspris!$A$1:$Q$950,8,FALSE)</f>
        <v>0</v>
      </c>
      <c r="AJ885" s="31">
        <f>VLOOKUP($A885,kurspris!$A$1:$Q$950,9,FALSE)</f>
        <v>1</v>
      </c>
      <c r="AK885" s="31">
        <f>VLOOKUP($A885,kurspris!$A$1:$Q$950,10,FALSE)</f>
        <v>0</v>
      </c>
      <c r="AL885" s="31">
        <f>VLOOKUP($A885,kurspris!$A$1:$Q$950,11,FALSE)</f>
        <v>0</v>
      </c>
      <c r="AM885" s="31">
        <f>VLOOKUP($A885,kurspris!$A$1:$Q$950,12,FALSE)</f>
        <v>0</v>
      </c>
      <c r="AN885" s="31">
        <f>VLOOKUP($A885,kurspris!$A$1:$Q$950,13,FALSE)</f>
        <v>0</v>
      </c>
      <c r="AO885" s="31">
        <f>VLOOKUP($A885,kurspris!$A$1:$Q$950,14,FALSE)</f>
        <v>0</v>
      </c>
      <c r="AP885" s="57" t="s">
        <v>2402</v>
      </c>
      <c r="AQ885"/>
      <c r="AR885" s="31">
        <f t="shared" si="398"/>
        <v>0</v>
      </c>
      <c r="AS885" s="219">
        <f t="shared" si="399"/>
        <v>0</v>
      </c>
      <c r="AT885" s="31">
        <f t="shared" si="400"/>
        <v>0</v>
      </c>
      <c r="AU885" s="219">
        <f t="shared" si="401"/>
        <v>0</v>
      </c>
      <c r="AV885" s="31">
        <f t="shared" si="402"/>
        <v>0</v>
      </c>
      <c r="AW885" s="31">
        <f t="shared" si="403"/>
        <v>0</v>
      </c>
      <c r="AX885" s="31">
        <f t="shared" si="404"/>
        <v>0</v>
      </c>
      <c r="AY885" s="219">
        <f t="shared" si="405"/>
        <v>0</v>
      </c>
      <c r="AZ885" s="196">
        <f t="shared" si="406"/>
        <v>0</v>
      </c>
      <c r="BA885" s="219">
        <f t="shared" si="407"/>
        <v>0</v>
      </c>
      <c r="BB885" s="31">
        <f t="shared" si="408"/>
        <v>0</v>
      </c>
      <c r="BC885" s="219">
        <f t="shared" si="409"/>
        <v>0</v>
      </c>
      <c r="BD885" s="31">
        <f t="shared" si="410"/>
        <v>11</v>
      </c>
      <c r="BE885" s="219">
        <f t="shared" si="411"/>
        <v>8.8000000000000007</v>
      </c>
      <c r="BF885" s="31">
        <f t="shared" si="412"/>
        <v>0</v>
      </c>
      <c r="BG885" s="219">
        <f t="shared" si="413"/>
        <v>0</v>
      </c>
      <c r="BH885" s="31">
        <f t="shared" si="414"/>
        <v>0</v>
      </c>
      <c r="BI885" s="219">
        <f t="shared" si="415"/>
        <v>0</v>
      </c>
      <c r="BJ885" s="31">
        <f t="shared" si="416"/>
        <v>0</v>
      </c>
      <c r="BK885" s="219">
        <f t="shared" si="417"/>
        <v>0</v>
      </c>
      <c r="BL885" s="31">
        <f t="shared" si="418"/>
        <v>0</v>
      </c>
      <c r="BM885" s="219">
        <f t="shared" si="419"/>
        <v>0</v>
      </c>
      <c r="BN885" s="31">
        <f t="shared" si="420"/>
        <v>0</v>
      </c>
      <c r="BO885" s="219">
        <f t="shared" si="421"/>
        <v>0</v>
      </c>
    </row>
    <row r="886" spans="1:67" x14ac:dyDescent="0.25">
      <c r="A886" s="31" t="s">
        <v>1975</v>
      </c>
      <c r="B886" s="176" t="str">
        <f>VLOOKUP(A886,kurspris!$A$1:$B$992,2,FALSE)</f>
        <v>Specialpedagogiska kunskapsområden</v>
      </c>
      <c r="C886" s="31">
        <v>68901</v>
      </c>
      <c r="D886" s="60" t="s">
        <v>120</v>
      </c>
      <c r="E886" s="60"/>
      <c r="F886" s="57" t="s">
        <v>2274</v>
      </c>
      <c r="H886" s="31" t="s">
        <v>2335</v>
      </c>
      <c r="I886" s="31" t="s">
        <v>2275</v>
      </c>
      <c r="J886" s="31" t="s">
        <v>2347</v>
      </c>
      <c r="L886" s="38"/>
      <c r="M886">
        <v>7.5</v>
      </c>
      <c r="P886" s="31">
        <v>38</v>
      </c>
      <c r="Q886" s="539">
        <v>4.75</v>
      </c>
      <c r="R886" s="38">
        <v>0.85</v>
      </c>
      <c r="S886" s="280">
        <f t="shared" si="394"/>
        <v>4.0374999999999996</v>
      </c>
      <c r="T886" s="31">
        <f>VLOOKUP(A886,'Ansvar kurs'!$A$1:$C$1123,2,FALSE)</f>
        <v>2193</v>
      </c>
      <c r="U886" s="31" t="str">
        <f>VLOOKUP(T886,Orgenheter!$A$1:$C$166,2,FALSE)</f>
        <v xml:space="preserve">TUV </v>
      </c>
      <c r="V886" s="31" t="str">
        <f>VLOOKUP(T886,Orgenheter!$A$1:$C$166,3,FALSE)</f>
        <v>Sam</v>
      </c>
      <c r="W886" s="35" t="str">
        <f>VLOOKUP(D886,Program!$A$1:$B$36,2,FALSE)</f>
        <v>Specialpedagogprogrammet</v>
      </c>
      <c r="X886" s="40">
        <f>VLOOKUP(A886,kurspris!$A$1:$Q$913,15,FALSE)</f>
        <v>20766</v>
      </c>
      <c r="Y886" s="40">
        <f>VLOOKUP(A886,kurspris!$A$1:$Q$913,16,FALSE)</f>
        <v>17442</v>
      </c>
      <c r="Z886" s="40">
        <f t="shared" si="395"/>
        <v>169060.57500000001</v>
      </c>
      <c r="AA886" s="40">
        <f>VLOOKUP(A886,kurspris!$A$1:$Q$913,17,FALSE)</f>
        <v>6000</v>
      </c>
      <c r="AB886" s="40">
        <f t="shared" si="396"/>
        <v>28500</v>
      </c>
      <c r="AC886" s="40">
        <f t="shared" si="397"/>
        <v>197560.57500000001</v>
      </c>
      <c r="AD886" s="31">
        <f>VLOOKUP($A886,kurspris!$A$1:$Q$950,3,FALSE)</f>
        <v>0</v>
      </c>
      <c r="AE886" s="31">
        <f>VLOOKUP($A886,kurspris!$A$1:$Q$950,4,FALSE)</f>
        <v>0</v>
      </c>
      <c r="AF886" s="31">
        <f>VLOOKUP($A886,kurspris!$A$1:$Q$950,5,FALSE)</f>
        <v>0</v>
      </c>
      <c r="AG886" s="31">
        <f>VLOOKUP($A886,kurspris!$A$1:$Q$950,6,FALSE)</f>
        <v>0</v>
      </c>
      <c r="AH886" s="31">
        <f>VLOOKUP($A886,kurspris!$A$1:$Q$950,7,FALSE)</f>
        <v>0</v>
      </c>
      <c r="AI886" s="31">
        <f>VLOOKUP($A886,kurspris!$A$1:$Q$950,8,FALSE)</f>
        <v>0</v>
      </c>
      <c r="AJ886" s="31">
        <f>VLOOKUP($A886,kurspris!$A$1:$Q$950,9,FALSE)</f>
        <v>1</v>
      </c>
      <c r="AK886" s="31">
        <f>VLOOKUP($A886,kurspris!$A$1:$Q$950,10,FALSE)</f>
        <v>0</v>
      </c>
      <c r="AL886" s="31">
        <f>VLOOKUP($A886,kurspris!$A$1:$Q$950,11,FALSE)</f>
        <v>0</v>
      </c>
      <c r="AM886" s="31">
        <f>VLOOKUP($A886,kurspris!$A$1:$Q$950,12,FALSE)</f>
        <v>0</v>
      </c>
      <c r="AN886" s="31">
        <f>VLOOKUP($A886,kurspris!$A$1:$Q$950,13,FALSE)</f>
        <v>0</v>
      </c>
      <c r="AO886" s="31">
        <f>VLOOKUP($A886,kurspris!$A$1:$Q$950,14,FALSE)</f>
        <v>0</v>
      </c>
      <c r="AP886" s="57" t="s">
        <v>2402</v>
      </c>
      <c r="AQ886"/>
      <c r="AR886" s="31">
        <f t="shared" si="398"/>
        <v>0</v>
      </c>
      <c r="AS886" s="219">
        <f t="shared" si="399"/>
        <v>0</v>
      </c>
      <c r="AT886" s="31">
        <f t="shared" si="400"/>
        <v>0</v>
      </c>
      <c r="AU886" s="219">
        <f t="shared" si="401"/>
        <v>0</v>
      </c>
      <c r="AV886" s="31">
        <f t="shared" si="402"/>
        <v>0</v>
      </c>
      <c r="AW886" s="31">
        <f t="shared" si="403"/>
        <v>0</v>
      </c>
      <c r="AX886" s="31">
        <f t="shared" si="404"/>
        <v>0</v>
      </c>
      <c r="AY886" s="219">
        <f t="shared" si="405"/>
        <v>0</v>
      </c>
      <c r="AZ886" s="196">
        <f t="shared" si="406"/>
        <v>0</v>
      </c>
      <c r="BA886" s="219">
        <f t="shared" si="407"/>
        <v>0</v>
      </c>
      <c r="BB886" s="31">
        <f t="shared" si="408"/>
        <v>0</v>
      </c>
      <c r="BC886" s="219">
        <f t="shared" si="409"/>
        <v>0</v>
      </c>
      <c r="BD886" s="31">
        <f t="shared" si="410"/>
        <v>4.75</v>
      </c>
      <c r="BE886" s="219">
        <f t="shared" si="411"/>
        <v>4.0374999999999996</v>
      </c>
      <c r="BF886" s="31">
        <f t="shared" si="412"/>
        <v>0</v>
      </c>
      <c r="BG886" s="219">
        <f t="shared" si="413"/>
        <v>0</v>
      </c>
      <c r="BH886" s="31">
        <f t="shared" si="414"/>
        <v>0</v>
      </c>
      <c r="BI886" s="219">
        <f t="shared" si="415"/>
        <v>0</v>
      </c>
      <c r="BJ886" s="31">
        <f t="shared" si="416"/>
        <v>0</v>
      </c>
      <c r="BK886" s="219">
        <f t="shared" si="417"/>
        <v>0</v>
      </c>
      <c r="BL886" s="31">
        <f t="shared" si="418"/>
        <v>0</v>
      </c>
      <c r="BM886" s="219">
        <f t="shared" si="419"/>
        <v>0</v>
      </c>
      <c r="BN886" s="31">
        <f t="shared" si="420"/>
        <v>0</v>
      </c>
      <c r="BO886" s="219">
        <f t="shared" si="421"/>
        <v>0</v>
      </c>
    </row>
    <row r="887" spans="1:67" x14ac:dyDescent="0.25">
      <c r="A887" s="31" t="s">
        <v>1975</v>
      </c>
      <c r="B887" s="176" t="str">
        <f>VLOOKUP(A887,kurspris!$A$1:$B$992,2,FALSE)</f>
        <v>Specialpedagogiska kunskapsområden</v>
      </c>
      <c r="C887" s="31">
        <v>68901</v>
      </c>
      <c r="D887" s="60" t="s">
        <v>120</v>
      </c>
      <c r="E887" s="60"/>
      <c r="F887" s="57" t="s">
        <v>2274</v>
      </c>
      <c r="H887" s="31" t="s">
        <v>2335</v>
      </c>
      <c r="I887" s="31" t="s">
        <v>2275</v>
      </c>
      <c r="L887" s="38"/>
      <c r="M887">
        <v>7.5</v>
      </c>
      <c r="P887" s="31">
        <v>1</v>
      </c>
      <c r="Q887" s="539">
        <v>0.125</v>
      </c>
      <c r="R887" s="38">
        <v>0.85</v>
      </c>
      <c r="S887" s="280">
        <f t="shared" si="394"/>
        <v>0.10625</v>
      </c>
      <c r="T887" s="31">
        <f>VLOOKUP(A887,'Ansvar kurs'!$A$1:$C$1123,2,FALSE)</f>
        <v>2193</v>
      </c>
      <c r="U887" s="31" t="str">
        <f>VLOOKUP(T887,Orgenheter!$A$1:$C$166,2,FALSE)</f>
        <v xml:space="preserve">TUV </v>
      </c>
      <c r="V887" s="31" t="str">
        <f>VLOOKUP(T887,Orgenheter!$A$1:$C$166,3,FALSE)</f>
        <v>Sam</v>
      </c>
      <c r="W887" s="35" t="str">
        <f>VLOOKUP(D887,Program!$A$1:$B$36,2,FALSE)</f>
        <v>Specialpedagogprogrammet</v>
      </c>
      <c r="X887" s="40">
        <f>VLOOKUP(A887,kurspris!$A$1:$Q$913,15,FALSE)</f>
        <v>20766</v>
      </c>
      <c r="Y887" s="40">
        <f>VLOOKUP(A887,kurspris!$A$1:$Q$913,16,FALSE)</f>
        <v>17442</v>
      </c>
      <c r="Z887" s="40">
        <f t="shared" si="395"/>
        <v>4448.9624999999996</v>
      </c>
      <c r="AA887" s="40">
        <f>VLOOKUP(A887,kurspris!$A$1:$Q$913,17,FALSE)</f>
        <v>6000</v>
      </c>
      <c r="AB887" s="40">
        <f t="shared" si="396"/>
        <v>750</v>
      </c>
      <c r="AC887" s="40">
        <f t="shared" si="397"/>
        <v>5198.9624999999996</v>
      </c>
      <c r="AD887" s="31">
        <f>VLOOKUP($A887,kurspris!$A$1:$Q$950,3,FALSE)</f>
        <v>0</v>
      </c>
      <c r="AE887" s="31">
        <f>VLOOKUP($A887,kurspris!$A$1:$Q$950,4,FALSE)</f>
        <v>0</v>
      </c>
      <c r="AF887" s="31">
        <f>VLOOKUP($A887,kurspris!$A$1:$Q$950,5,FALSE)</f>
        <v>0</v>
      </c>
      <c r="AG887" s="31">
        <f>VLOOKUP($A887,kurspris!$A$1:$Q$950,6,FALSE)</f>
        <v>0</v>
      </c>
      <c r="AH887" s="31">
        <f>VLOOKUP($A887,kurspris!$A$1:$Q$950,7,FALSE)</f>
        <v>0</v>
      </c>
      <c r="AI887" s="31">
        <f>VLOOKUP($A887,kurspris!$A$1:$Q$950,8,FALSE)</f>
        <v>0</v>
      </c>
      <c r="AJ887" s="31">
        <f>VLOOKUP($A887,kurspris!$A$1:$Q$950,9,FALSE)</f>
        <v>1</v>
      </c>
      <c r="AK887" s="31">
        <f>VLOOKUP($A887,kurspris!$A$1:$Q$950,10,FALSE)</f>
        <v>0</v>
      </c>
      <c r="AL887" s="31">
        <f>VLOOKUP($A887,kurspris!$A$1:$Q$950,11,FALSE)</f>
        <v>0</v>
      </c>
      <c r="AM887" s="31">
        <f>VLOOKUP($A887,kurspris!$A$1:$Q$950,12,FALSE)</f>
        <v>0</v>
      </c>
      <c r="AN887" s="31">
        <f>VLOOKUP($A887,kurspris!$A$1:$Q$950,13,FALSE)</f>
        <v>0</v>
      </c>
      <c r="AO887" s="31">
        <f>VLOOKUP($A887,kurspris!$A$1:$Q$950,14,FALSE)</f>
        <v>0</v>
      </c>
      <c r="AP887" s="57" t="s">
        <v>2402</v>
      </c>
      <c r="AQ887"/>
      <c r="AR887" s="31">
        <f t="shared" si="398"/>
        <v>0</v>
      </c>
      <c r="AS887" s="219">
        <f t="shared" si="399"/>
        <v>0</v>
      </c>
      <c r="AT887" s="31">
        <f t="shared" si="400"/>
        <v>0</v>
      </c>
      <c r="AU887" s="219">
        <f t="shared" si="401"/>
        <v>0</v>
      </c>
      <c r="AV887" s="31">
        <f t="shared" si="402"/>
        <v>0</v>
      </c>
      <c r="AW887" s="31">
        <f t="shared" si="403"/>
        <v>0</v>
      </c>
      <c r="AX887" s="31">
        <f t="shared" si="404"/>
        <v>0</v>
      </c>
      <c r="AY887" s="219">
        <f t="shared" si="405"/>
        <v>0</v>
      </c>
      <c r="AZ887" s="196">
        <f t="shared" si="406"/>
        <v>0</v>
      </c>
      <c r="BA887" s="219">
        <f t="shared" si="407"/>
        <v>0</v>
      </c>
      <c r="BB887" s="31">
        <f t="shared" si="408"/>
        <v>0</v>
      </c>
      <c r="BC887" s="219">
        <f t="shared" si="409"/>
        <v>0</v>
      </c>
      <c r="BD887" s="31">
        <f t="shared" si="410"/>
        <v>0.125</v>
      </c>
      <c r="BE887" s="219">
        <f t="shared" si="411"/>
        <v>0.10625</v>
      </c>
      <c r="BF887" s="31">
        <f t="shared" si="412"/>
        <v>0</v>
      </c>
      <c r="BG887" s="219">
        <f t="shared" si="413"/>
        <v>0</v>
      </c>
      <c r="BH887" s="31">
        <f t="shared" si="414"/>
        <v>0</v>
      </c>
      <c r="BI887" s="219">
        <f t="shared" si="415"/>
        <v>0</v>
      </c>
      <c r="BJ887" s="31">
        <f t="shared" si="416"/>
        <v>0</v>
      </c>
      <c r="BK887" s="219">
        <f t="shared" si="417"/>
        <v>0</v>
      </c>
      <c r="BL887" s="31">
        <f t="shared" si="418"/>
        <v>0</v>
      </c>
      <c r="BM887" s="219">
        <f t="shared" si="419"/>
        <v>0</v>
      </c>
      <c r="BN887" s="31">
        <f t="shared" si="420"/>
        <v>0</v>
      </c>
      <c r="BO887" s="219">
        <f t="shared" si="421"/>
        <v>0</v>
      </c>
    </row>
    <row r="888" spans="1:67" x14ac:dyDescent="0.25">
      <c r="A888" s="31" t="s">
        <v>2004</v>
      </c>
      <c r="B888" s="176" t="str">
        <f>VLOOKUP(A888,kurspris!$A$1:$B$992,2,FALSE)</f>
        <v>Examensarbete speciallärarprogrammet med specialisering mot utvecklingsstörning</v>
      </c>
      <c r="D888" s="60" t="s">
        <v>115</v>
      </c>
      <c r="E888" s="576" t="s">
        <v>2434</v>
      </c>
      <c r="F888" s="31" t="s">
        <v>2273</v>
      </c>
      <c r="G888" s="31" t="s">
        <v>2463</v>
      </c>
      <c r="H888" s="31" t="s">
        <v>2335</v>
      </c>
      <c r="J888" s="31" t="s">
        <v>2260</v>
      </c>
      <c r="L888" s="38">
        <v>1</v>
      </c>
      <c r="M888" s="325">
        <v>15</v>
      </c>
      <c r="P888" s="31">
        <v>1</v>
      </c>
      <c r="Q888" s="196">
        <f>(M888/60)*P888</f>
        <v>0.25</v>
      </c>
      <c r="R888" s="38">
        <v>0.85</v>
      </c>
      <c r="S888" s="280">
        <f t="shared" si="394"/>
        <v>0.21249999999999999</v>
      </c>
      <c r="T888" s="31">
        <f>VLOOKUP(A888,'Ansvar kurs'!$A$1:$C$1123,2,FALSE)</f>
        <v>2180</v>
      </c>
      <c r="U888" s="31" t="str">
        <f>VLOOKUP(T888,Orgenheter!$A$1:$C$166,2,FALSE)</f>
        <v xml:space="preserve">Pedagogik                     </v>
      </c>
      <c r="V888" s="31" t="str">
        <f>VLOOKUP(T888,Orgenheter!$A$1:$C$166,3,FALSE)</f>
        <v>Sam</v>
      </c>
      <c r="W888" s="35" t="str">
        <f>VLOOKUP(D888,Program!$A$1:$B$36,2,FALSE)</f>
        <v>Speciallärarprogrammet</v>
      </c>
      <c r="X888" s="40">
        <f>VLOOKUP(A888,kurspris!$A$1:$Q$913,15,FALSE)</f>
        <v>20766</v>
      </c>
      <c r="Y888" s="40">
        <f>VLOOKUP(A888,kurspris!$A$1:$Q$913,16,FALSE)</f>
        <v>17442</v>
      </c>
      <c r="Z888" s="40">
        <f t="shared" si="395"/>
        <v>8897.9249999999993</v>
      </c>
      <c r="AA888" s="40">
        <f>VLOOKUP(A888,kurspris!$A$1:$Q$913,17,FALSE)</f>
        <v>6000</v>
      </c>
      <c r="AB888" s="40">
        <f t="shared" si="396"/>
        <v>1500</v>
      </c>
      <c r="AC888" s="40">
        <f t="shared" si="397"/>
        <v>10397.924999999999</v>
      </c>
      <c r="AD888" s="31">
        <f>VLOOKUP($A888,kurspris!$A$1:$Q$950,3,FALSE)</f>
        <v>0</v>
      </c>
      <c r="AE888" s="31">
        <f>VLOOKUP($A888,kurspris!$A$1:$Q$950,4,FALSE)</f>
        <v>0</v>
      </c>
      <c r="AF888" s="31">
        <f>VLOOKUP($A888,kurspris!$A$1:$Q$950,5,FALSE)</f>
        <v>0</v>
      </c>
      <c r="AG888" s="31">
        <f>VLOOKUP($A888,kurspris!$A$1:$Q$950,6,FALSE)</f>
        <v>0</v>
      </c>
      <c r="AH888" s="31">
        <f>VLOOKUP($A888,kurspris!$A$1:$Q$950,7,FALSE)</f>
        <v>0</v>
      </c>
      <c r="AI888" s="31">
        <f>VLOOKUP($A888,kurspris!$A$1:$Q$950,8,FALSE)</f>
        <v>0</v>
      </c>
      <c r="AJ888" s="31">
        <f>VLOOKUP($A888,kurspris!$A$1:$Q$950,9,FALSE)</f>
        <v>1</v>
      </c>
      <c r="AK888" s="31">
        <f>VLOOKUP($A888,kurspris!$A$1:$Q$950,10,FALSE)</f>
        <v>0</v>
      </c>
      <c r="AL888" s="31">
        <f>VLOOKUP($A888,kurspris!$A$1:$Q$950,11,FALSE)</f>
        <v>0</v>
      </c>
      <c r="AM888" s="31">
        <f>VLOOKUP($A888,kurspris!$A$1:$Q$950,12,FALSE)</f>
        <v>0</v>
      </c>
      <c r="AN888" s="31">
        <f>VLOOKUP($A888,kurspris!$A$1:$Q$950,13,FALSE)</f>
        <v>0</v>
      </c>
      <c r="AO888" s="31">
        <f>VLOOKUP($A888,kurspris!$A$1:$Q$950,14,FALSE)</f>
        <v>0</v>
      </c>
      <c r="AP888" s="57" t="s">
        <v>2506</v>
      </c>
      <c r="AQ888"/>
      <c r="AR888" s="31">
        <f t="shared" si="398"/>
        <v>0</v>
      </c>
      <c r="AS888" s="219">
        <f t="shared" si="399"/>
        <v>0</v>
      </c>
      <c r="AT888" s="31">
        <f t="shared" si="400"/>
        <v>0</v>
      </c>
      <c r="AU888" s="219">
        <f t="shared" si="401"/>
        <v>0</v>
      </c>
      <c r="AV888" s="31">
        <f t="shared" si="402"/>
        <v>0</v>
      </c>
      <c r="AW888" s="31">
        <f t="shared" si="403"/>
        <v>0</v>
      </c>
      <c r="AX888" s="31">
        <f t="shared" si="404"/>
        <v>0</v>
      </c>
      <c r="AY888" s="219">
        <f t="shared" si="405"/>
        <v>0</v>
      </c>
      <c r="AZ888" s="196">
        <f t="shared" si="406"/>
        <v>0</v>
      </c>
      <c r="BA888" s="219">
        <f t="shared" si="407"/>
        <v>0</v>
      </c>
      <c r="BB888" s="31">
        <f t="shared" si="408"/>
        <v>0</v>
      </c>
      <c r="BC888" s="219">
        <f t="shared" si="409"/>
        <v>0</v>
      </c>
      <c r="BD888" s="31">
        <f t="shared" si="410"/>
        <v>0.25</v>
      </c>
      <c r="BE888" s="219">
        <f t="shared" si="411"/>
        <v>0.21249999999999999</v>
      </c>
      <c r="BF888" s="31">
        <f t="shared" si="412"/>
        <v>0</v>
      </c>
      <c r="BG888" s="219">
        <f t="shared" si="413"/>
        <v>0</v>
      </c>
      <c r="BH888" s="31">
        <f t="shared" si="414"/>
        <v>0</v>
      </c>
      <c r="BI888" s="219">
        <f t="shared" si="415"/>
        <v>0</v>
      </c>
      <c r="BJ888" s="31">
        <f t="shared" si="416"/>
        <v>0</v>
      </c>
      <c r="BK888" s="219">
        <f t="shared" si="417"/>
        <v>0</v>
      </c>
      <c r="BL888" s="31">
        <f t="shared" si="418"/>
        <v>0</v>
      </c>
      <c r="BM888" s="219">
        <f t="shared" si="419"/>
        <v>0</v>
      </c>
      <c r="BN888" s="31">
        <f t="shared" si="420"/>
        <v>0</v>
      </c>
      <c r="BO888" s="219">
        <f t="shared" si="421"/>
        <v>0</v>
      </c>
    </row>
    <row r="889" spans="1:67" x14ac:dyDescent="0.25">
      <c r="A889" s="31" t="s">
        <v>2004</v>
      </c>
      <c r="B889" s="176" t="str">
        <f>VLOOKUP(A889,kurspris!$A$1:$B$992,2,FALSE)</f>
        <v>Examensarbete speciallärarprogrammet med specialisering mot utvecklingsstörning</v>
      </c>
      <c r="D889" s="60" t="s">
        <v>115</v>
      </c>
      <c r="E889" s="576" t="s">
        <v>2432</v>
      </c>
      <c r="F889" s="31" t="s">
        <v>2273</v>
      </c>
      <c r="G889" s="31" t="s">
        <v>2463</v>
      </c>
      <c r="H889" s="31" t="s">
        <v>2335</v>
      </c>
      <c r="J889" s="31" t="s">
        <v>2260</v>
      </c>
      <c r="L889" s="38">
        <v>1</v>
      </c>
      <c r="M889" s="325">
        <v>15</v>
      </c>
      <c r="P889" s="31">
        <v>15</v>
      </c>
      <c r="Q889" s="196">
        <f>(M889/60)*P889</f>
        <v>3.75</v>
      </c>
      <c r="R889" s="38">
        <v>0.85</v>
      </c>
      <c r="S889" s="280">
        <f t="shared" si="394"/>
        <v>3.1875</v>
      </c>
      <c r="T889" s="31">
        <f>VLOOKUP(A889,'Ansvar kurs'!$A$1:$C$1123,2,FALSE)</f>
        <v>2180</v>
      </c>
      <c r="U889" s="31" t="str">
        <f>VLOOKUP(T889,Orgenheter!$A$1:$C$166,2,FALSE)</f>
        <v xml:space="preserve">Pedagogik                     </v>
      </c>
      <c r="V889" s="31" t="str">
        <f>VLOOKUP(T889,Orgenheter!$A$1:$C$166,3,FALSE)</f>
        <v>Sam</v>
      </c>
      <c r="W889" s="35" t="str">
        <f>VLOOKUP(D889,Program!$A$1:$B$36,2,FALSE)</f>
        <v>Speciallärarprogrammet</v>
      </c>
      <c r="X889" s="40">
        <f>VLOOKUP(A889,kurspris!$A$1:$Q$913,15,FALSE)</f>
        <v>20766</v>
      </c>
      <c r="Y889" s="40">
        <f>VLOOKUP(A889,kurspris!$A$1:$Q$913,16,FALSE)</f>
        <v>17442</v>
      </c>
      <c r="Z889" s="40">
        <f t="shared" si="395"/>
        <v>133468.875</v>
      </c>
      <c r="AA889" s="40">
        <f>VLOOKUP(A889,kurspris!$A$1:$Q$913,17,FALSE)</f>
        <v>6000</v>
      </c>
      <c r="AB889" s="40">
        <f t="shared" si="396"/>
        <v>22500</v>
      </c>
      <c r="AC889" s="40">
        <f t="shared" si="397"/>
        <v>155968.875</v>
      </c>
      <c r="AD889" s="31">
        <f>VLOOKUP($A889,kurspris!$A$1:$Q$950,3,FALSE)</f>
        <v>0</v>
      </c>
      <c r="AE889" s="31">
        <f>VLOOKUP($A889,kurspris!$A$1:$Q$950,4,FALSE)</f>
        <v>0</v>
      </c>
      <c r="AF889" s="31">
        <f>VLOOKUP($A889,kurspris!$A$1:$Q$950,5,FALSE)</f>
        <v>0</v>
      </c>
      <c r="AG889" s="31">
        <f>VLOOKUP($A889,kurspris!$A$1:$Q$950,6,FALSE)</f>
        <v>0</v>
      </c>
      <c r="AH889" s="31">
        <f>VLOOKUP($A889,kurspris!$A$1:$Q$950,7,FALSE)</f>
        <v>0</v>
      </c>
      <c r="AI889" s="31">
        <f>VLOOKUP($A889,kurspris!$A$1:$Q$950,8,FALSE)</f>
        <v>0</v>
      </c>
      <c r="AJ889" s="31">
        <f>VLOOKUP($A889,kurspris!$A$1:$Q$950,9,FALSE)</f>
        <v>1</v>
      </c>
      <c r="AK889" s="31">
        <f>VLOOKUP($A889,kurspris!$A$1:$Q$950,10,FALSE)</f>
        <v>0</v>
      </c>
      <c r="AL889" s="31">
        <f>VLOOKUP($A889,kurspris!$A$1:$Q$950,11,FALSE)</f>
        <v>0</v>
      </c>
      <c r="AM889" s="31">
        <f>VLOOKUP($A889,kurspris!$A$1:$Q$950,12,FALSE)</f>
        <v>0</v>
      </c>
      <c r="AN889" s="31">
        <f>VLOOKUP($A889,kurspris!$A$1:$Q$950,13,FALSE)</f>
        <v>0</v>
      </c>
      <c r="AO889" s="31">
        <f>VLOOKUP($A889,kurspris!$A$1:$Q$950,14,FALSE)</f>
        <v>0</v>
      </c>
      <c r="AP889" s="57" t="s">
        <v>2506</v>
      </c>
      <c r="AQ889"/>
      <c r="AR889" s="31">
        <f t="shared" si="398"/>
        <v>0</v>
      </c>
      <c r="AS889" s="219">
        <f t="shared" si="399"/>
        <v>0</v>
      </c>
      <c r="AT889" s="31">
        <f t="shared" si="400"/>
        <v>0</v>
      </c>
      <c r="AU889" s="219">
        <f t="shared" si="401"/>
        <v>0</v>
      </c>
      <c r="AV889" s="31">
        <f t="shared" si="402"/>
        <v>0</v>
      </c>
      <c r="AW889" s="31">
        <f t="shared" si="403"/>
        <v>0</v>
      </c>
      <c r="AX889" s="31">
        <f t="shared" si="404"/>
        <v>0</v>
      </c>
      <c r="AY889" s="219">
        <f t="shared" si="405"/>
        <v>0</v>
      </c>
      <c r="AZ889" s="196">
        <f t="shared" si="406"/>
        <v>0</v>
      </c>
      <c r="BA889" s="219">
        <f t="shared" si="407"/>
        <v>0</v>
      </c>
      <c r="BB889" s="31">
        <f t="shared" si="408"/>
        <v>0</v>
      </c>
      <c r="BC889" s="219">
        <f t="shared" si="409"/>
        <v>0</v>
      </c>
      <c r="BD889" s="31">
        <f t="shared" si="410"/>
        <v>3.75</v>
      </c>
      <c r="BE889" s="219">
        <f t="shared" si="411"/>
        <v>3.1875</v>
      </c>
      <c r="BF889" s="31">
        <f t="shared" si="412"/>
        <v>0</v>
      </c>
      <c r="BG889" s="219">
        <f t="shared" si="413"/>
        <v>0</v>
      </c>
      <c r="BH889" s="31">
        <f t="shared" si="414"/>
        <v>0</v>
      </c>
      <c r="BI889" s="219">
        <f t="shared" si="415"/>
        <v>0</v>
      </c>
      <c r="BJ889" s="31">
        <f t="shared" si="416"/>
        <v>0</v>
      </c>
      <c r="BK889" s="219">
        <f t="shared" si="417"/>
        <v>0</v>
      </c>
      <c r="BL889" s="31">
        <f t="shared" si="418"/>
        <v>0</v>
      </c>
      <c r="BM889" s="219">
        <f t="shared" si="419"/>
        <v>0</v>
      </c>
      <c r="BN889" s="31">
        <f t="shared" si="420"/>
        <v>0</v>
      </c>
      <c r="BO889" s="219">
        <f t="shared" si="421"/>
        <v>0</v>
      </c>
    </row>
    <row r="890" spans="1:67" x14ac:dyDescent="0.25">
      <c r="A890" s="31" t="s">
        <v>2002</v>
      </c>
      <c r="B890" s="176" t="str">
        <f>VLOOKUP(A890,kurspris!$A$1:$B$992,2,FALSE)</f>
        <v>Eamensarbete specialpedagogprogrammet</v>
      </c>
      <c r="D890" s="60" t="s">
        <v>120</v>
      </c>
      <c r="E890" s="576" t="s">
        <v>2434</v>
      </c>
      <c r="F890" s="31" t="s">
        <v>2273</v>
      </c>
      <c r="G890" s="31" t="s">
        <v>2463</v>
      </c>
      <c r="H890" s="31" t="s">
        <v>2335</v>
      </c>
      <c r="J890" s="31" t="s">
        <v>2261</v>
      </c>
      <c r="L890" s="38">
        <v>1</v>
      </c>
      <c r="M890" s="325">
        <v>15</v>
      </c>
      <c r="P890" s="31">
        <v>1</v>
      </c>
      <c r="Q890" s="196">
        <f>(M890/60)*P890</f>
        <v>0.25</v>
      </c>
      <c r="R890" s="38">
        <v>0.85</v>
      </c>
      <c r="S890" s="280">
        <f t="shared" si="394"/>
        <v>0.21249999999999999</v>
      </c>
      <c r="T890" s="31">
        <f>VLOOKUP(A890,'Ansvar kurs'!$A$1:$C$1123,2,FALSE)</f>
        <v>2180</v>
      </c>
      <c r="U890" s="31" t="str">
        <f>VLOOKUP(T890,Orgenheter!$A$1:$C$166,2,FALSE)</f>
        <v xml:space="preserve">Pedagogik                     </v>
      </c>
      <c r="V890" s="31" t="str">
        <f>VLOOKUP(T890,Orgenheter!$A$1:$C$166,3,FALSE)</f>
        <v>Sam</v>
      </c>
      <c r="W890" s="35" t="str">
        <f>VLOOKUP(D890,Program!$A$1:$B$36,2,FALSE)</f>
        <v>Specialpedagogprogrammet</v>
      </c>
      <c r="X890" s="40">
        <f>VLOOKUP(A890,kurspris!$A$1:$Q$913,15,FALSE)</f>
        <v>20766</v>
      </c>
      <c r="Y890" s="40">
        <f>VLOOKUP(A890,kurspris!$A$1:$Q$913,16,FALSE)</f>
        <v>17442</v>
      </c>
      <c r="Z890" s="40">
        <f t="shared" si="395"/>
        <v>8897.9249999999993</v>
      </c>
      <c r="AA890" s="40">
        <f>VLOOKUP(A890,kurspris!$A$1:$Q$913,17,FALSE)</f>
        <v>6000</v>
      </c>
      <c r="AB890" s="40">
        <f t="shared" si="396"/>
        <v>1500</v>
      </c>
      <c r="AC890" s="40">
        <f t="shared" si="397"/>
        <v>10397.924999999999</v>
      </c>
      <c r="AD890" s="31">
        <f>VLOOKUP($A890,kurspris!$A$1:$Q$950,3,FALSE)</f>
        <v>0</v>
      </c>
      <c r="AE890" s="31">
        <f>VLOOKUP($A890,kurspris!$A$1:$Q$950,4,FALSE)</f>
        <v>0</v>
      </c>
      <c r="AF890" s="31">
        <f>VLOOKUP($A890,kurspris!$A$1:$Q$950,5,FALSE)</f>
        <v>0</v>
      </c>
      <c r="AG890" s="31">
        <f>VLOOKUP($A890,kurspris!$A$1:$Q$950,6,FALSE)</f>
        <v>0</v>
      </c>
      <c r="AH890" s="31">
        <f>VLOOKUP($A890,kurspris!$A$1:$Q$950,7,FALSE)</f>
        <v>0</v>
      </c>
      <c r="AI890" s="31">
        <f>VLOOKUP($A890,kurspris!$A$1:$Q$950,8,FALSE)</f>
        <v>0</v>
      </c>
      <c r="AJ890" s="31">
        <f>VLOOKUP($A890,kurspris!$A$1:$Q$950,9,FALSE)</f>
        <v>1</v>
      </c>
      <c r="AK890" s="31">
        <f>VLOOKUP($A890,kurspris!$A$1:$Q$950,10,FALSE)</f>
        <v>0</v>
      </c>
      <c r="AL890" s="31">
        <f>VLOOKUP($A890,kurspris!$A$1:$Q$950,11,FALSE)</f>
        <v>0</v>
      </c>
      <c r="AM890" s="31">
        <f>VLOOKUP($A890,kurspris!$A$1:$Q$950,12,FALSE)</f>
        <v>0</v>
      </c>
      <c r="AN890" s="31">
        <f>VLOOKUP($A890,kurspris!$A$1:$Q$950,13,FALSE)</f>
        <v>0</v>
      </c>
      <c r="AO890" s="31">
        <f>VLOOKUP($A890,kurspris!$A$1:$Q$950,14,FALSE)</f>
        <v>0</v>
      </c>
      <c r="AP890" s="57" t="s">
        <v>2506</v>
      </c>
      <c r="AQ890"/>
      <c r="AR890" s="31">
        <f t="shared" si="398"/>
        <v>0</v>
      </c>
      <c r="AS890" s="219">
        <f t="shared" si="399"/>
        <v>0</v>
      </c>
      <c r="AT890" s="31">
        <f t="shared" si="400"/>
        <v>0</v>
      </c>
      <c r="AU890" s="219">
        <f t="shared" si="401"/>
        <v>0</v>
      </c>
      <c r="AV890" s="31">
        <f t="shared" si="402"/>
        <v>0</v>
      </c>
      <c r="AW890" s="31">
        <f t="shared" si="403"/>
        <v>0</v>
      </c>
      <c r="AX890" s="31">
        <f t="shared" si="404"/>
        <v>0</v>
      </c>
      <c r="AY890" s="219">
        <f t="shared" si="405"/>
        <v>0</v>
      </c>
      <c r="AZ890" s="196">
        <f t="shared" si="406"/>
        <v>0</v>
      </c>
      <c r="BA890" s="219">
        <f t="shared" si="407"/>
        <v>0</v>
      </c>
      <c r="BB890" s="31">
        <f t="shared" si="408"/>
        <v>0</v>
      </c>
      <c r="BC890" s="219">
        <f t="shared" si="409"/>
        <v>0</v>
      </c>
      <c r="BD890" s="31">
        <f t="shared" si="410"/>
        <v>0.25</v>
      </c>
      <c r="BE890" s="219">
        <f t="shared" si="411"/>
        <v>0.21249999999999999</v>
      </c>
      <c r="BF890" s="31">
        <f t="shared" si="412"/>
        <v>0</v>
      </c>
      <c r="BG890" s="219">
        <f t="shared" si="413"/>
        <v>0</v>
      </c>
      <c r="BH890" s="31">
        <f t="shared" si="414"/>
        <v>0</v>
      </c>
      <c r="BI890" s="219">
        <f t="shared" si="415"/>
        <v>0</v>
      </c>
      <c r="BJ890" s="31">
        <f t="shared" si="416"/>
        <v>0</v>
      </c>
      <c r="BK890" s="219">
        <f t="shared" si="417"/>
        <v>0</v>
      </c>
      <c r="BL890" s="31">
        <f t="shared" si="418"/>
        <v>0</v>
      </c>
      <c r="BM890" s="219">
        <f t="shared" si="419"/>
        <v>0</v>
      </c>
      <c r="BN890" s="31">
        <f t="shared" si="420"/>
        <v>0</v>
      </c>
      <c r="BO890" s="219">
        <f t="shared" si="421"/>
        <v>0</v>
      </c>
    </row>
    <row r="891" spans="1:67" x14ac:dyDescent="0.25">
      <c r="A891" s="31" t="s">
        <v>2002</v>
      </c>
      <c r="B891" s="176" t="str">
        <f>VLOOKUP(A891,kurspris!$A$1:$B$992,2,FALSE)</f>
        <v>Eamensarbete specialpedagogprogrammet</v>
      </c>
      <c r="D891" s="60" t="s">
        <v>120</v>
      </c>
      <c r="E891" s="576" t="s">
        <v>2432</v>
      </c>
      <c r="F891" s="31" t="s">
        <v>2273</v>
      </c>
      <c r="G891" s="31" t="s">
        <v>2463</v>
      </c>
      <c r="H891" s="31" t="s">
        <v>2335</v>
      </c>
      <c r="J891" s="31" t="s">
        <v>2347</v>
      </c>
      <c r="L891" s="38">
        <v>1</v>
      </c>
      <c r="M891" s="325">
        <v>15</v>
      </c>
      <c r="P891" s="31">
        <v>36</v>
      </c>
      <c r="Q891" s="196">
        <f>(M891/60)*P891</f>
        <v>9</v>
      </c>
      <c r="R891" s="38">
        <v>0.85</v>
      </c>
      <c r="S891" s="280">
        <f t="shared" si="394"/>
        <v>7.6499999999999995</v>
      </c>
      <c r="T891" s="31">
        <f>VLOOKUP(A891,'Ansvar kurs'!$A$1:$C$1123,2,FALSE)</f>
        <v>2180</v>
      </c>
      <c r="U891" s="31" t="str">
        <f>VLOOKUP(T891,Orgenheter!$A$1:$C$166,2,FALSE)</f>
        <v xml:space="preserve">Pedagogik                     </v>
      </c>
      <c r="V891" s="31" t="str">
        <f>VLOOKUP(T891,Orgenheter!$A$1:$C$166,3,FALSE)</f>
        <v>Sam</v>
      </c>
      <c r="W891" s="35" t="str">
        <f>VLOOKUP(D891,Program!$A$1:$B$36,2,FALSE)</f>
        <v>Specialpedagogprogrammet</v>
      </c>
      <c r="X891" s="40">
        <f>VLOOKUP(A891,kurspris!$A$1:$Q$913,15,FALSE)</f>
        <v>20766</v>
      </c>
      <c r="Y891" s="40">
        <f>VLOOKUP(A891,kurspris!$A$1:$Q$913,16,FALSE)</f>
        <v>17442</v>
      </c>
      <c r="Z891" s="40">
        <f t="shared" si="395"/>
        <v>320325.3</v>
      </c>
      <c r="AA891" s="40">
        <f>VLOOKUP(A891,kurspris!$A$1:$Q$913,17,FALSE)</f>
        <v>6000</v>
      </c>
      <c r="AB891" s="40">
        <f t="shared" si="396"/>
        <v>54000</v>
      </c>
      <c r="AC891" s="40">
        <f t="shared" si="397"/>
        <v>374325.3</v>
      </c>
      <c r="AD891" s="31">
        <f>VLOOKUP($A891,kurspris!$A$1:$Q$950,3,FALSE)</f>
        <v>0</v>
      </c>
      <c r="AE891" s="31">
        <f>VLOOKUP($A891,kurspris!$A$1:$Q$950,4,FALSE)</f>
        <v>0</v>
      </c>
      <c r="AF891" s="31">
        <f>VLOOKUP($A891,kurspris!$A$1:$Q$950,5,FALSE)</f>
        <v>0</v>
      </c>
      <c r="AG891" s="31">
        <f>VLOOKUP($A891,kurspris!$A$1:$Q$950,6,FALSE)</f>
        <v>0</v>
      </c>
      <c r="AH891" s="31">
        <f>VLOOKUP($A891,kurspris!$A$1:$Q$950,7,FALSE)</f>
        <v>0</v>
      </c>
      <c r="AI891" s="31">
        <f>VLOOKUP($A891,kurspris!$A$1:$Q$950,8,FALSE)</f>
        <v>0</v>
      </c>
      <c r="AJ891" s="31">
        <f>VLOOKUP($A891,kurspris!$A$1:$Q$950,9,FALSE)</f>
        <v>1</v>
      </c>
      <c r="AK891" s="31">
        <f>VLOOKUP($A891,kurspris!$A$1:$Q$950,10,FALSE)</f>
        <v>0</v>
      </c>
      <c r="AL891" s="31">
        <f>VLOOKUP($A891,kurspris!$A$1:$Q$950,11,FALSE)</f>
        <v>0</v>
      </c>
      <c r="AM891" s="31">
        <f>VLOOKUP($A891,kurspris!$A$1:$Q$950,12,FALSE)</f>
        <v>0</v>
      </c>
      <c r="AN891" s="31">
        <f>VLOOKUP($A891,kurspris!$A$1:$Q$950,13,FALSE)</f>
        <v>0</v>
      </c>
      <c r="AO891" s="31">
        <f>VLOOKUP($A891,kurspris!$A$1:$Q$950,14,FALSE)</f>
        <v>0</v>
      </c>
      <c r="AP891" s="57" t="s">
        <v>2506</v>
      </c>
      <c r="AQ891"/>
      <c r="AR891" s="31">
        <f t="shared" si="398"/>
        <v>0</v>
      </c>
      <c r="AS891" s="219">
        <f t="shared" si="399"/>
        <v>0</v>
      </c>
      <c r="AT891" s="31">
        <f t="shared" si="400"/>
        <v>0</v>
      </c>
      <c r="AU891" s="219">
        <f t="shared" si="401"/>
        <v>0</v>
      </c>
      <c r="AV891" s="31">
        <f t="shared" si="402"/>
        <v>0</v>
      </c>
      <c r="AW891" s="31">
        <f t="shared" si="403"/>
        <v>0</v>
      </c>
      <c r="AX891" s="31">
        <f t="shared" si="404"/>
        <v>0</v>
      </c>
      <c r="AY891" s="219">
        <f t="shared" si="405"/>
        <v>0</v>
      </c>
      <c r="AZ891" s="196">
        <f t="shared" si="406"/>
        <v>0</v>
      </c>
      <c r="BA891" s="219">
        <f t="shared" si="407"/>
        <v>0</v>
      </c>
      <c r="BB891" s="31">
        <f t="shared" si="408"/>
        <v>0</v>
      </c>
      <c r="BC891" s="219">
        <f t="shared" si="409"/>
        <v>0</v>
      </c>
      <c r="BD891" s="31">
        <f t="shared" si="410"/>
        <v>9</v>
      </c>
      <c r="BE891" s="219">
        <f t="shared" si="411"/>
        <v>7.6499999999999995</v>
      </c>
      <c r="BF891" s="31">
        <f t="shared" si="412"/>
        <v>0</v>
      </c>
      <c r="BG891" s="219">
        <f t="shared" si="413"/>
        <v>0</v>
      </c>
      <c r="BH891" s="31">
        <f t="shared" si="414"/>
        <v>0</v>
      </c>
      <c r="BI891" s="219">
        <f t="shared" si="415"/>
        <v>0</v>
      </c>
      <c r="BJ891" s="31">
        <f t="shared" si="416"/>
        <v>0</v>
      </c>
      <c r="BK891" s="219">
        <f t="shared" si="417"/>
        <v>0</v>
      </c>
      <c r="BL891" s="31">
        <f t="shared" si="418"/>
        <v>0</v>
      </c>
      <c r="BM891" s="219">
        <f t="shared" si="419"/>
        <v>0</v>
      </c>
      <c r="BN891" s="31">
        <f t="shared" si="420"/>
        <v>0</v>
      </c>
      <c r="BO891" s="219">
        <f t="shared" si="421"/>
        <v>0</v>
      </c>
    </row>
    <row r="892" spans="1:67" x14ac:dyDescent="0.25">
      <c r="A892" s="31" t="s">
        <v>2256</v>
      </c>
      <c r="B892" s="176" t="str">
        <f>VLOOKUP(A892,kurspris!$A$1:$B$992,2,FALSE)</f>
        <v>Utvärdering, ledarskap och förändringsarbete</v>
      </c>
      <c r="C892" s="31">
        <v>72007</v>
      </c>
      <c r="D892" s="60" t="s">
        <v>120</v>
      </c>
      <c r="E892" s="60"/>
      <c r="F892" s="57" t="s">
        <v>2274</v>
      </c>
      <c r="H892" s="31" t="s">
        <v>2335</v>
      </c>
      <c r="I892" s="31" t="s">
        <v>2275</v>
      </c>
      <c r="J892" s="31" t="s">
        <v>2347</v>
      </c>
      <c r="L892" s="38"/>
      <c r="M892">
        <v>22.5</v>
      </c>
      <c r="P892" s="31">
        <v>36</v>
      </c>
      <c r="Q892" s="539">
        <v>13.5</v>
      </c>
      <c r="R892" s="38">
        <v>0.85</v>
      </c>
      <c r="S892" s="280">
        <f t="shared" si="394"/>
        <v>11.475</v>
      </c>
      <c r="T892" s="31">
        <f>VLOOKUP(A892,'Ansvar kurs'!$A$1:$C$1123,2,FALSE)</f>
        <v>2180</v>
      </c>
      <c r="U892" s="31" t="str">
        <f>VLOOKUP(T892,Orgenheter!$A$1:$C$166,2,FALSE)</f>
        <v xml:space="preserve">Pedagogik                     </v>
      </c>
      <c r="V892" s="31" t="str">
        <f>VLOOKUP(T892,Orgenheter!$A$1:$C$166,3,FALSE)</f>
        <v>Sam</v>
      </c>
      <c r="W892" s="35" t="str">
        <f>VLOOKUP(D892,Program!$A$1:$B$36,2,FALSE)</f>
        <v>Specialpedagogprogrammet</v>
      </c>
      <c r="X892" s="40">
        <f>VLOOKUP(A892,kurspris!$A$1:$Q$913,15,FALSE)</f>
        <v>20766</v>
      </c>
      <c r="Y892" s="40">
        <f>VLOOKUP(A892,kurspris!$A$1:$Q$913,16,FALSE)</f>
        <v>17442</v>
      </c>
      <c r="Z892" s="40">
        <f t="shared" si="395"/>
        <v>480487.94999999995</v>
      </c>
      <c r="AA892" s="40">
        <f>VLOOKUP(A892,kurspris!$A$1:$Q$913,17,FALSE)</f>
        <v>6000</v>
      </c>
      <c r="AB892" s="40">
        <f t="shared" si="396"/>
        <v>81000</v>
      </c>
      <c r="AC892" s="40">
        <f t="shared" si="397"/>
        <v>561487.94999999995</v>
      </c>
      <c r="AD892" s="31">
        <f>VLOOKUP($A892,kurspris!$A$1:$Q$950,3,FALSE)</f>
        <v>0</v>
      </c>
      <c r="AE892" s="31">
        <f>VLOOKUP($A892,kurspris!$A$1:$Q$950,4,FALSE)</f>
        <v>0</v>
      </c>
      <c r="AF892" s="31">
        <f>VLOOKUP($A892,kurspris!$A$1:$Q$950,5,FALSE)</f>
        <v>0</v>
      </c>
      <c r="AG892" s="31">
        <f>VLOOKUP($A892,kurspris!$A$1:$Q$950,6,FALSE)</f>
        <v>0</v>
      </c>
      <c r="AH892" s="31">
        <f>VLOOKUP($A892,kurspris!$A$1:$Q$950,7,FALSE)</f>
        <v>0</v>
      </c>
      <c r="AI892" s="31">
        <f>VLOOKUP($A892,kurspris!$A$1:$Q$950,8,FALSE)</f>
        <v>0</v>
      </c>
      <c r="AJ892" s="31">
        <f>VLOOKUP($A892,kurspris!$A$1:$Q$950,9,FALSE)</f>
        <v>1</v>
      </c>
      <c r="AK892" s="31">
        <f>VLOOKUP($A892,kurspris!$A$1:$Q$950,10,FALSE)</f>
        <v>0</v>
      </c>
      <c r="AL892" s="31">
        <f>VLOOKUP($A892,kurspris!$A$1:$Q$950,11,FALSE)</f>
        <v>0</v>
      </c>
      <c r="AM892" s="31">
        <f>VLOOKUP($A892,kurspris!$A$1:$Q$950,12,FALSE)</f>
        <v>0</v>
      </c>
      <c r="AN892" s="31">
        <f>VLOOKUP($A892,kurspris!$A$1:$Q$950,13,FALSE)</f>
        <v>0</v>
      </c>
      <c r="AO892" s="31">
        <f>VLOOKUP($A892,kurspris!$A$1:$Q$950,14,FALSE)</f>
        <v>0</v>
      </c>
      <c r="AP892" s="57" t="s">
        <v>2402</v>
      </c>
      <c r="AQ892"/>
      <c r="AR892" s="31">
        <f t="shared" si="398"/>
        <v>0</v>
      </c>
      <c r="AS892" s="219">
        <f t="shared" si="399"/>
        <v>0</v>
      </c>
      <c r="AT892" s="31">
        <f t="shared" si="400"/>
        <v>0</v>
      </c>
      <c r="AU892" s="219">
        <f t="shared" si="401"/>
        <v>0</v>
      </c>
      <c r="AV892" s="31">
        <f t="shared" si="402"/>
        <v>0</v>
      </c>
      <c r="AW892" s="31">
        <f t="shared" si="403"/>
        <v>0</v>
      </c>
      <c r="AX892" s="31">
        <f t="shared" si="404"/>
        <v>0</v>
      </c>
      <c r="AY892" s="219">
        <f t="shared" si="405"/>
        <v>0</v>
      </c>
      <c r="AZ892" s="196">
        <f t="shared" si="406"/>
        <v>0</v>
      </c>
      <c r="BA892" s="219">
        <f t="shared" si="407"/>
        <v>0</v>
      </c>
      <c r="BB892" s="31">
        <f t="shared" si="408"/>
        <v>0</v>
      </c>
      <c r="BC892" s="219">
        <f t="shared" si="409"/>
        <v>0</v>
      </c>
      <c r="BD892" s="31">
        <f t="shared" si="410"/>
        <v>13.5</v>
      </c>
      <c r="BE892" s="219">
        <f t="shared" si="411"/>
        <v>11.475</v>
      </c>
      <c r="BF892" s="31">
        <f t="shared" si="412"/>
        <v>0</v>
      </c>
      <c r="BG892" s="219">
        <f t="shared" si="413"/>
        <v>0</v>
      </c>
      <c r="BH892" s="31">
        <f t="shared" si="414"/>
        <v>0</v>
      </c>
      <c r="BI892" s="219">
        <f t="shared" si="415"/>
        <v>0</v>
      </c>
      <c r="BJ892" s="31">
        <f t="shared" si="416"/>
        <v>0</v>
      </c>
      <c r="BK892" s="219">
        <f t="shared" si="417"/>
        <v>0</v>
      </c>
      <c r="BL892" s="31">
        <f t="shared" si="418"/>
        <v>0</v>
      </c>
      <c r="BM892" s="219">
        <f t="shared" si="419"/>
        <v>0</v>
      </c>
      <c r="BN892" s="31">
        <f t="shared" si="420"/>
        <v>0</v>
      </c>
      <c r="BO892" s="219">
        <f t="shared" si="421"/>
        <v>0</v>
      </c>
    </row>
    <row r="893" spans="1:67" x14ac:dyDescent="0.25">
      <c r="A893" s="31" t="s">
        <v>2256</v>
      </c>
      <c r="B893" s="176" t="str">
        <f>VLOOKUP(A893,kurspris!$A$1:$B$992,2,FALSE)</f>
        <v>Utvärdering, ledarskap och förändringsarbete</v>
      </c>
      <c r="C893" s="31">
        <v>72007</v>
      </c>
      <c r="D893" s="60" t="s">
        <v>120</v>
      </c>
      <c r="E893" s="60"/>
      <c r="F893" s="57" t="s">
        <v>2274</v>
      </c>
      <c r="H893" s="31" t="s">
        <v>2335</v>
      </c>
      <c r="I893" s="31" t="s">
        <v>2275</v>
      </c>
      <c r="L893" s="38"/>
      <c r="M893">
        <v>22.5</v>
      </c>
      <c r="P893" s="31">
        <v>1</v>
      </c>
      <c r="Q893" s="539">
        <v>0.375</v>
      </c>
      <c r="R893" s="38">
        <v>0.85</v>
      </c>
      <c r="S893" s="280">
        <f t="shared" si="394"/>
        <v>0.31874999999999998</v>
      </c>
      <c r="T893" s="31">
        <f>VLOOKUP(A893,'Ansvar kurs'!$A$1:$C$1123,2,FALSE)</f>
        <v>2180</v>
      </c>
      <c r="U893" s="31" t="str">
        <f>VLOOKUP(T893,Orgenheter!$A$1:$C$166,2,FALSE)</f>
        <v xml:space="preserve">Pedagogik                     </v>
      </c>
      <c r="V893" s="31" t="str">
        <f>VLOOKUP(T893,Orgenheter!$A$1:$C$166,3,FALSE)</f>
        <v>Sam</v>
      </c>
      <c r="W893" s="35" t="str">
        <f>VLOOKUP(D893,Program!$A$1:$B$36,2,FALSE)</f>
        <v>Specialpedagogprogrammet</v>
      </c>
      <c r="X893" s="40">
        <f>VLOOKUP(A893,kurspris!$A$1:$Q$913,15,FALSE)</f>
        <v>20766</v>
      </c>
      <c r="Y893" s="40">
        <f>VLOOKUP(A893,kurspris!$A$1:$Q$913,16,FALSE)</f>
        <v>17442</v>
      </c>
      <c r="Z893" s="40">
        <f t="shared" si="395"/>
        <v>13346.887500000001</v>
      </c>
      <c r="AA893" s="40">
        <f>VLOOKUP(A893,kurspris!$A$1:$Q$913,17,FALSE)</f>
        <v>6000</v>
      </c>
      <c r="AB893" s="40">
        <f t="shared" si="396"/>
        <v>2250</v>
      </c>
      <c r="AC893" s="40">
        <f t="shared" si="397"/>
        <v>15596.887500000001</v>
      </c>
      <c r="AD893" s="31">
        <f>VLOOKUP($A893,kurspris!$A$1:$Q$950,3,FALSE)</f>
        <v>0</v>
      </c>
      <c r="AE893" s="31">
        <f>VLOOKUP($A893,kurspris!$A$1:$Q$950,4,FALSE)</f>
        <v>0</v>
      </c>
      <c r="AF893" s="31">
        <f>VLOOKUP($A893,kurspris!$A$1:$Q$950,5,FALSE)</f>
        <v>0</v>
      </c>
      <c r="AG893" s="31">
        <f>VLOOKUP($A893,kurspris!$A$1:$Q$950,6,FALSE)</f>
        <v>0</v>
      </c>
      <c r="AH893" s="31">
        <f>VLOOKUP($A893,kurspris!$A$1:$Q$950,7,FALSE)</f>
        <v>0</v>
      </c>
      <c r="AI893" s="31">
        <f>VLOOKUP($A893,kurspris!$A$1:$Q$950,8,FALSE)</f>
        <v>0</v>
      </c>
      <c r="AJ893" s="31">
        <f>VLOOKUP($A893,kurspris!$A$1:$Q$950,9,FALSE)</f>
        <v>1</v>
      </c>
      <c r="AK893" s="31">
        <f>VLOOKUP($A893,kurspris!$A$1:$Q$950,10,FALSE)</f>
        <v>0</v>
      </c>
      <c r="AL893" s="31">
        <f>VLOOKUP($A893,kurspris!$A$1:$Q$950,11,FALSE)</f>
        <v>0</v>
      </c>
      <c r="AM893" s="31">
        <f>VLOOKUP($A893,kurspris!$A$1:$Q$950,12,FALSE)</f>
        <v>0</v>
      </c>
      <c r="AN893" s="31">
        <f>VLOOKUP($A893,kurspris!$A$1:$Q$950,13,FALSE)</f>
        <v>0</v>
      </c>
      <c r="AO893" s="31">
        <f>VLOOKUP($A893,kurspris!$A$1:$Q$950,14,FALSE)</f>
        <v>0</v>
      </c>
      <c r="AP893" s="57" t="s">
        <v>2402</v>
      </c>
      <c r="AQ893"/>
      <c r="AR893" s="31">
        <f t="shared" si="398"/>
        <v>0</v>
      </c>
      <c r="AS893" s="219">
        <f t="shared" si="399"/>
        <v>0</v>
      </c>
      <c r="AT893" s="31">
        <f t="shared" si="400"/>
        <v>0</v>
      </c>
      <c r="AU893" s="219">
        <f t="shared" si="401"/>
        <v>0</v>
      </c>
      <c r="AV893" s="31">
        <f t="shared" si="402"/>
        <v>0</v>
      </c>
      <c r="AW893" s="31">
        <f t="shared" si="403"/>
        <v>0</v>
      </c>
      <c r="AX893" s="31">
        <f t="shared" si="404"/>
        <v>0</v>
      </c>
      <c r="AY893" s="219">
        <f t="shared" si="405"/>
        <v>0</v>
      </c>
      <c r="AZ893" s="196">
        <f t="shared" si="406"/>
        <v>0</v>
      </c>
      <c r="BA893" s="219">
        <f t="shared" si="407"/>
        <v>0</v>
      </c>
      <c r="BB893" s="31">
        <f t="shared" si="408"/>
        <v>0</v>
      </c>
      <c r="BC893" s="219">
        <f t="shared" si="409"/>
        <v>0</v>
      </c>
      <c r="BD893" s="31">
        <f t="shared" si="410"/>
        <v>0.375</v>
      </c>
      <c r="BE893" s="219">
        <f t="shared" si="411"/>
        <v>0.31874999999999998</v>
      </c>
      <c r="BF893" s="31">
        <f t="shared" si="412"/>
        <v>0</v>
      </c>
      <c r="BG893" s="219">
        <f t="shared" si="413"/>
        <v>0</v>
      </c>
      <c r="BH893" s="31">
        <f t="shared" si="414"/>
        <v>0</v>
      </c>
      <c r="BI893" s="219">
        <f t="shared" si="415"/>
        <v>0</v>
      </c>
      <c r="BJ893" s="31">
        <f t="shared" si="416"/>
        <v>0</v>
      </c>
      <c r="BK893" s="219">
        <f t="shared" si="417"/>
        <v>0</v>
      </c>
      <c r="BL893" s="31">
        <f t="shared" si="418"/>
        <v>0</v>
      </c>
      <c r="BM893" s="219">
        <f t="shared" si="419"/>
        <v>0</v>
      </c>
      <c r="BN893" s="31">
        <f t="shared" si="420"/>
        <v>0</v>
      </c>
      <c r="BO893" s="219">
        <f t="shared" si="421"/>
        <v>0</v>
      </c>
    </row>
    <row r="894" spans="1:67" x14ac:dyDescent="0.25">
      <c r="A894" s="31" t="s">
        <v>2257</v>
      </c>
      <c r="B894" s="176" t="str">
        <f>VLOOKUP(A894,kurspris!$A$1:$B$992,2,FALSE)</f>
        <v>Att utveckla lärande i skola och vardag för elever med intellektuell funktionsnedsättning</v>
      </c>
      <c r="C894" s="31">
        <v>72011</v>
      </c>
      <c r="D894" s="60" t="s">
        <v>115</v>
      </c>
      <c r="E894" s="60"/>
      <c r="F894" s="57" t="s">
        <v>2274</v>
      </c>
      <c r="H894" s="31" t="s">
        <v>2335</v>
      </c>
      <c r="I894" s="31" t="s">
        <v>2275</v>
      </c>
      <c r="J894" s="31" t="s">
        <v>2260</v>
      </c>
      <c r="L894" s="38"/>
      <c r="M894">
        <v>15</v>
      </c>
      <c r="P894" s="31">
        <v>15</v>
      </c>
      <c r="Q894" s="539">
        <v>3.75</v>
      </c>
      <c r="R894" s="38">
        <v>0.85</v>
      </c>
      <c r="S894" s="280">
        <f t="shared" si="394"/>
        <v>3.1875</v>
      </c>
      <c r="T894" s="31">
        <f>VLOOKUP(A894,'Ansvar kurs'!$A$1:$C$1123,2,FALSE)</f>
        <v>2180</v>
      </c>
      <c r="U894" s="31" t="str">
        <f>VLOOKUP(T894,Orgenheter!$A$1:$C$166,2,FALSE)</f>
        <v xml:space="preserve">Pedagogik                     </v>
      </c>
      <c r="V894" s="31" t="str">
        <f>VLOOKUP(T894,Orgenheter!$A$1:$C$166,3,FALSE)</f>
        <v>Sam</v>
      </c>
      <c r="W894" s="35" t="str">
        <f>VLOOKUP(D894,Program!$A$1:$B$36,2,FALSE)</f>
        <v>Speciallärarprogrammet</v>
      </c>
      <c r="X894" s="40">
        <f>VLOOKUP(A894,kurspris!$A$1:$Q$913,15,FALSE)</f>
        <v>20766</v>
      </c>
      <c r="Y894" s="40">
        <f>VLOOKUP(A894,kurspris!$A$1:$Q$913,16,FALSE)</f>
        <v>17442</v>
      </c>
      <c r="Z894" s="40">
        <f t="shared" si="395"/>
        <v>133468.875</v>
      </c>
      <c r="AA894" s="40">
        <f>VLOOKUP(A894,kurspris!$A$1:$Q$913,17,FALSE)</f>
        <v>6000</v>
      </c>
      <c r="AB894" s="40">
        <f t="shared" si="396"/>
        <v>22500</v>
      </c>
      <c r="AC894" s="40">
        <f t="shared" si="397"/>
        <v>155968.875</v>
      </c>
      <c r="AD894" s="31">
        <f>VLOOKUP($A894,kurspris!$A$1:$Q$950,3,FALSE)</f>
        <v>0</v>
      </c>
      <c r="AE894" s="31">
        <f>VLOOKUP($A894,kurspris!$A$1:$Q$950,4,FALSE)</f>
        <v>0</v>
      </c>
      <c r="AF894" s="31">
        <f>VLOOKUP($A894,kurspris!$A$1:$Q$950,5,FALSE)</f>
        <v>0</v>
      </c>
      <c r="AG894" s="31">
        <f>VLOOKUP($A894,kurspris!$A$1:$Q$950,6,FALSE)</f>
        <v>0</v>
      </c>
      <c r="AH894" s="31">
        <f>VLOOKUP($A894,kurspris!$A$1:$Q$950,7,FALSE)</f>
        <v>0</v>
      </c>
      <c r="AI894" s="31">
        <f>VLOOKUP($A894,kurspris!$A$1:$Q$950,8,FALSE)</f>
        <v>0</v>
      </c>
      <c r="AJ894" s="31">
        <f>VLOOKUP($A894,kurspris!$A$1:$Q$950,9,FALSE)</f>
        <v>1</v>
      </c>
      <c r="AK894" s="31">
        <f>VLOOKUP($A894,kurspris!$A$1:$Q$950,10,FALSE)</f>
        <v>0</v>
      </c>
      <c r="AL894" s="31">
        <f>VLOOKUP($A894,kurspris!$A$1:$Q$950,11,FALSE)</f>
        <v>0</v>
      </c>
      <c r="AM894" s="31">
        <f>VLOOKUP($A894,kurspris!$A$1:$Q$950,12,FALSE)</f>
        <v>0</v>
      </c>
      <c r="AN894" s="31">
        <f>VLOOKUP($A894,kurspris!$A$1:$Q$950,13,FALSE)</f>
        <v>0</v>
      </c>
      <c r="AO894" s="31">
        <f>VLOOKUP($A894,kurspris!$A$1:$Q$950,14,FALSE)</f>
        <v>0</v>
      </c>
      <c r="AP894" s="57" t="s">
        <v>2402</v>
      </c>
      <c r="AQ894"/>
      <c r="AR894" s="31">
        <f t="shared" si="398"/>
        <v>0</v>
      </c>
      <c r="AS894" s="219">
        <f t="shared" si="399"/>
        <v>0</v>
      </c>
      <c r="AT894" s="31">
        <f t="shared" si="400"/>
        <v>0</v>
      </c>
      <c r="AU894" s="219">
        <f t="shared" si="401"/>
        <v>0</v>
      </c>
      <c r="AV894" s="31">
        <f t="shared" si="402"/>
        <v>0</v>
      </c>
      <c r="AW894" s="31">
        <f t="shared" si="403"/>
        <v>0</v>
      </c>
      <c r="AX894" s="31">
        <f t="shared" si="404"/>
        <v>0</v>
      </c>
      <c r="AY894" s="219">
        <f t="shared" si="405"/>
        <v>0</v>
      </c>
      <c r="AZ894" s="196">
        <f t="shared" si="406"/>
        <v>0</v>
      </c>
      <c r="BA894" s="219">
        <f t="shared" si="407"/>
        <v>0</v>
      </c>
      <c r="BB894" s="31">
        <f t="shared" si="408"/>
        <v>0</v>
      </c>
      <c r="BC894" s="219">
        <f t="shared" si="409"/>
        <v>0</v>
      </c>
      <c r="BD894" s="31">
        <f t="shared" si="410"/>
        <v>3.75</v>
      </c>
      <c r="BE894" s="219">
        <f t="shared" si="411"/>
        <v>3.1875</v>
      </c>
      <c r="BF894" s="31">
        <f t="shared" si="412"/>
        <v>0</v>
      </c>
      <c r="BG894" s="219">
        <f t="shared" si="413"/>
        <v>0</v>
      </c>
      <c r="BH894" s="31">
        <f t="shared" si="414"/>
        <v>0</v>
      </c>
      <c r="BI894" s="219">
        <f t="shared" si="415"/>
        <v>0</v>
      </c>
      <c r="BJ894" s="31">
        <f t="shared" si="416"/>
        <v>0</v>
      </c>
      <c r="BK894" s="219">
        <f t="shared" si="417"/>
        <v>0</v>
      </c>
      <c r="BL894" s="31">
        <f t="shared" si="418"/>
        <v>0</v>
      </c>
      <c r="BM894" s="219">
        <f t="shared" si="419"/>
        <v>0</v>
      </c>
      <c r="BN894" s="31">
        <f t="shared" si="420"/>
        <v>0</v>
      </c>
      <c r="BO894" s="219">
        <f t="shared" si="421"/>
        <v>0</v>
      </c>
    </row>
    <row r="895" spans="1:67" x14ac:dyDescent="0.25">
      <c r="A895" s="31" t="s">
        <v>2257</v>
      </c>
      <c r="B895" s="176" t="str">
        <f>VLOOKUP(A895,kurspris!$A$1:$B$992,2,FALSE)</f>
        <v>Att utveckla lärande i skola och vardag för elever med intellektuell funktionsnedsättning</v>
      </c>
      <c r="C895" s="31">
        <v>72011</v>
      </c>
      <c r="D895" s="60" t="s">
        <v>115</v>
      </c>
      <c r="E895" s="60"/>
      <c r="F895" s="57" t="s">
        <v>2274</v>
      </c>
      <c r="H895" s="31" t="s">
        <v>2335</v>
      </c>
      <c r="I895" s="31" t="s">
        <v>2275</v>
      </c>
      <c r="L895" s="38"/>
      <c r="M895">
        <v>15</v>
      </c>
      <c r="P895" s="31">
        <v>1</v>
      </c>
      <c r="Q895" s="539">
        <v>0.25</v>
      </c>
      <c r="R895" s="38">
        <v>0.85</v>
      </c>
      <c r="S895" s="280">
        <f t="shared" si="394"/>
        <v>0.21249999999999999</v>
      </c>
      <c r="T895" s="31">
        <f>VLOOKUP(A895,'Ansvar kurs'!$A$1:$C$1123,2,FALSE)</f>
        <v>2180</v>
      </c>
      <c r="U895" s="31" t="str">
        <f>VLOOKUP(T895,Orgenheter!$A$1:$C$166,2,FALSE)</f>
        <v xml:space="preserve">Pedagogik                     </v>
      </c>
      <c r="V895" s="31" t="str">
        <f>VLOOKUP(T895,Orgenheter!$A$1:$C$166,3,FALSE)</f>
        <v>Sam</v>
      </c>
      <c r="W895" s="35" t="str">
        <f>VLOOKUP(D895,Program!$A$1:$B$36,2,FALSE)</f>
        <v>Speciallärarprogrammet</v>
      </c>
      <c r="X895" s="40">
        <f>VLOOKUP(A895,kurspris!$A$1:$Q$913,15,FALSE)</f>
        <v>20766</v>
      </c>
      <c r="Y895" s="40">
        <f>VLOOKUP(A895,kurspris!$A$1:$Q$913,16,FALSE)</f>
        <v>17442</v>
      </c>
      <c r="Z895" s="40">
        <f t="shared" si="395"/>
        <v>8897.9249999999993</v>
      </c>
      <c r="AA895" s="40">
        <f>VLOOKUP(A895,kurspris!$A$1:$Q$913,17,FALSE)</f>
        <v>6000</v>
      </c>
      <c r="AB895" s="40">
        <f t="shared" si="396"/>
        <v>1500</v>
      </c>
      <c r="AC895" s="40">
        <f t="shared" si="397"/>
        <v>10397.924999999999</v>
      </c>
      <c r="AD895" s="31">
        <f>VLOOKUP($A895,kurspris!$A$1:$Q$950,3,FALSE)</f>
        <v>0</v>
      </c>
      <c r="AE895" s="31">
        <f>VLOOKUP($A895,kurspris!$A$1:$Q$950,4,FALSE)</f>
        <v>0</v>
      </c>
      <c r="AF895" s="31">
        <f>VLOOKUP($A895,kurspris!$A$1:$Q$950,5,FALSE)</f>
        <v>0</v>
      </c>
      <c r="AG895" s="31">
        <f>VLOOKUP($A895,kurspris!$A$1:$Q$950,6,FALSE)</f>
        <v>0</v>
      </c>
      <c r="AH895" s="31">
        <f>VLOOKUP($A895,kurspris!$A$1:$Q$950,7,FALSE)</f>
        <v>0</v>
      </c>
      <c r="AI895" s="31">
        <f>VLOOKUP($A895,kurspris!$A$1:$Q$950,8,FALSE)</f>
        <v>0</v>
      </c>
      <c r="AJ895" s="31">
        <f>VLOOKUP($A895,kurspris!$A$1:$Q$950,9,FALSE)</f>
        <v>1</v>
      </c>
      <c r="AK895" s="31">
        <f>VLOOKUP($A895,kurspris!$A$1:$Q$950,10,FALSE)</f>
        <v>0</v>
      </c>
      <c r="AL895" s="31">
        <f>VLOOKUP($A895,kurspris!$A$1:$Q$950,11,FALSE)</f>
        <v>0</v>
      </c>
      <c r="AM895" s="31">
        <f>VLOOKUP($A895,kurspris!$A$1:$Q$950,12,FALSE)</f>
        <v>0</v>
      </c>
      <c r="AN895" s="31">
        <f>VLOOKUP($A895,kurspris!$A$1:$Q$950,13,FALSE)</f>
        <v>0</v>
      </c>
      <c r="AO895" s="31">
        <f>VLOOKUP($A895,kurspris!$A$1:$Q$950,14,FALSE)</f>
        <v>0</v>
      </c>
      <c r="AP895" s="57" t="s">
        <v>2402</v>
      </c>
      <c r="AQ895"/>
      <c r="AR895" s="31">
        <f t="shared" si="398"/>
        <v>0</v>
      </c>
      <c r="AS895" s="219">
        <f t="shared" si="399"/>
        <v>0</v>
      </c>
      <c r="AT895" s="31">
        <f t="shared" si="400"/>
        <v>0</v>
      </c>
      <c r="AU895" s="219">
        <f t="shared" si="401"/>
        <v>0</v>
      </c>
      <c r="AV895" s="31">
        <f t="shared" si="402"/>
        <v>0</v>
      </c>
      <c r="AW895" s="31">
        <f t="shared" si="403"/>
        <v>0</v>
      </c>
      <c r="AX895" s="31">
        <f t="shared" si="404"/>
        <v>0</v>
      </c>
      <c r="AY895" s="219">
        <f t="shared" si="405"/>
        <v>0</v>
      </c>
      <c r="AZ895" s="196">
        <f t="shared" si="406"/>
        <v>0</v>
      </c>
      <c r="BA895" s="219">
        <f t="shared" si="407"/>
        <v>0</v>
      </c>
      <c r="BB895" s="31">
        <f t="shared" si="408"/>
        <v>0</v>
      </c>
      <c r="BC895" s="219">
        <f t="shared" si="409"/>
        <v>0</v>
      </c>
      <c r="BD895" s="31">
        <f t="shared" si="410"/>
        <v>0.25</v>
      </c>
      <c r="BE895" s="219">
        <f t="shared" si="411"/>
        <v>0.21249999999999999</v>
      </c>
      <c r="BF895" s="31">
        <f t="shared" si="412"/>
        <v>0</v>
      </c>
      <c r="BG895" s="219">
        <f t="shared" si="413"/>
        <v>0</v>
      </c>
      <c r="BH895" s="31">
        <f t="shared" si="414"/>
        <v>0</v>
      </c>
      <c r="BI895" s="219">
        <f t="shared" si="415"/>
        <v>0</v>
      </c>
      <c r="BJ895" s="31">
        <f t="shared" si="416"/>
        <v>0</v>
      </c>
      <c r="BK895" s="219">
        <f t="shared" si="417"/>
        <v>0</v>
      </c>
      <c r="BL895" s="31">
        <f t="shared" si="418"/>
        <v>0</v>
      </c>
      <c r="BM895" s="219">
        <f t="shared" si="419"/>
        <v>0</v>
      </c>
      <c r="BN895" s="31">
        <f t="shared" si="420"/>
        <v>0</v>
      </c>
      <c r="BO895" s="219">
        <f t="shared" si="421"/>
        <v>0</v>
      </c>
    </row>
    <row r="896" spans="1:67" x14ac:dyDescent="0.25">
      <c r="A896" s="31" t="s">
        <v>2258</v>
      </c>
      <c r="B896" s="176" t="str">
        <f>VLOOKUP(A896,kurspris!$A$1:$B$992,2,FALSE)</f>
        <v>Kunskap och kommunikation - att utveckla läromiljöer för elever med intellektuell funktionsnedsättning</v>
      </c>
      <c r="C896" s="31">
        <v>72013</v>
      </c>
      <c r="D896" s="60" t="s">
        <v>115</v>
      </c>
      <c r="E896" s="60"/>
      <c r="F896" s="57" t="s">
        <v>2274</v>
      </c>
      <c r="H896" s="31" t="s">
        <v>2335</v>
      </c>
      <c r="I896" s="31" t="s">
        <v>2275</v>
      </c>
      <c r="J896" s="31" t="s">
        <v>2260</v>
      </c>
      <c r="L896" s="38"/>
      <c r="M896">
        <v>15</v>
      </c>
      <c r="P896" s="31">
        <v>15</v>
      </c>
      <c r="Q896" s="539">
        <v>3.75</v>
      </c>
      <c r="R896" s="38">
        <v>0.85</v>
      </c>
      <c r="S896" s="280">
        <f t="shared" si="394"/>
        <v>3.1875</v>
      </c>
      <c r="T896" s="31">
        <f>VLOOKUP(A896,'Ansvar kurs'!$A$1:$C$1123,2,FALSE)</f>
        <v>2180</v>
      </c>
      <c r="U896" s="31" t="str">
        <f>VLOOKUP(T896,Orgenheter!$A$1:$C$166,2,FALSE)</f>
        <v xml:space="preserve">Pedagogik                     </v>
      </c>
      <c r="V896" s="31" t="str">
        <f>VLOOKUP(T896,Orgenheter!$A$1:$C$166,3,FALSE)</f>
        <v>Sam</v>
      </c>
      <c r="W896" s="35" t="str">
        <f>VLOOKUP(D896,Program!$A$1:$B$36,2,FALSE)</f>
        <v>Speciallärarprogrammet</v>
      </c>
      <c r="X896" s="40">
        <f>VLOOKUP(A896,kurspris!$A$1:$Q$913,15,FALSE)</f>
        <v>20766</v>
      </c>
      <c r="Y896" s="40">
        <f>VLOOKUP(A896,kurspris!$A$1:$Q$913,16,FALSE)</f>
        <v>17442</v>
      </c>
      <c r="Z896" s="40">
        <f t="shared" si="395"/>
        <v>133468.875</v>
      </c>
      <c r="AA896" s="40">
        <f>VLOOKUP(A896,kurspris!$A$1:$Q$913,17,FALSE)</f>
        <v>6000</v>
      </c>
      <c r="AB896" s="40">
        <f t="shared" si="396"/>
        <v>22500</v>
      </c>
      <c r="AC896" s="40">
        <f t="shared" si="397"/>
        <v>155968.875</v>
      </c>
      <c r="AD896" s="31">
        <f>VLOOKUP($A896,kurspris!$A$1:$Q$950,3,FALSE)</f>
        <v>0</v>
      </c>
      <c r="AE896" s="31">
        <f>VLOOKUP($A896,kurspris!$A$1:$Q$950,4,FALSE)</f>
        <v>0</v>
      </c>
      <c r="AF896" s="31">
        <f>VLOOKUP($A896,kurspris!$A$1:$Q$950,5,FALSE)</f>
        <v>0</v>
      </c>
      <c r="AG896" s="31">
        <f>VLOOKUP($A896,kurspris!$A$1:$Q$950,6,FALSE)</f>
        <v>0</v>
      </c>
      <c r="AH896" s="31">
        <f>VLOOKUP($A896,kurspris!$A$1:$Q$950,7,FALSE)</f>
        <v>0</v>
      </c>
      <c r="AI896" s="31">
        <f>VLOOKUP($A896,kurspris!$A$1:$Q$950,8,FALSE)</f>
        <v>0</v>
      </c>
      <c r="AJ896" s="31">
        <f>VLOOKUP($A896,kurspris!$A$1:$Q$950,9,FALSE)</f>
        <v>1</v>
      </c>
      <c r="AK896" s="31">
        <f>VLOOKUP($A896,kurspris!$A$1:$Q$950,10,FALSE)</f>
        <v>0</v>
      </c>
      <c r="AL896" s="31">
        <f>VLOOKUP($A896,kurspris!$A$1:$Q$950,11,FALSE)</f>
        <v>0</v>
      </c>
      <c r="AM896" s="31">
        <f>VLOOKUP($A896,kurspris!$A$1:$Q$950,12,FALSE)</f>
        <v>0</v>
      </c>
      <c r="AN896" s="31">
        <f>VLOOKUP($A896,kurspris!$A$1:$Q$950,13,FALSE)</f>
        <v>0</v>
      </c>
      <c r="AO896" s="31">
        <f>VLOOKUP($A896,kurspris!$A$1:$Q$950,14,FALSE)</f>
        <v>0</v>
      </c>
      <c r="AP896" s="57" t="s">
        <v>2402</v>
      </c>
      <c r="AQ896"/>
      <c r="AR896" s="31">
        <f t="shared" si="398"/>
        <v>0</v>
      </c>
      <c r="AS896" s="219">
        <f t="shared" si="399"/>
        <v>0</v>
      </c>
      <c r="AT896" s="31">
        <f t="shared" si="400"/>
        <v>0</v>
      </c>
      <c r="AU896" s="219">
        <f t="shared" si="401"/>
        <v>0</v>
      </c>
      <c r="AV896" s="31">
        <f t="shared" si="402"/>
        <v>0</v>
      </c>
      <c r="AW896" s="31">
        <f t="shared" si="403"/>
        <v>0</v>
      </c>
      <c r="AX896" s="31">
        <f t="shared" si="404"/>
        <v>0</v>
      </c>
      <c r="AY896" s="219">
        <f t="shared" si="405"/>
        <v>0</v>
      </c>
      <c r="AZ896" s="196">
        <f t="shared" si="406"/>
        <v>0</v>
      </c>
      <c r="BA896" s="219">
        <f t="shared" si="407"/>
        <v>0</v>
      </c>
      <c r="BB896" s="31">
        <f t="shared" si="408"/>
        <v>0</v>
      </c>
      <c r="BC896" s="219">
        <f t="shared" si="409"/>
        <v>0</v>
      </c>
      <c r="BD896" s="31">
        <f t="shared" si="410"/>
        <v>3.75</v>
      </c>
      <c r="BE896" s="219">
        <f t="shared" si="411"/>
        <v>3.1875</v>
      </c>
      <c r="BF896" s="31">
        <f t="shared" si="412"/>
        <v>0</v>
      </c>
      <c r="BG896" s="219">
        <f t="shared" si="413"/>
        <v>0</v>
      </c>
      <c r="BH896" s="31">
        <f t="shared" si="414"/>
        <v>0</v>
      </c>
      <c r="BI896" s="219">
        <f t="shared" si="415"/>
        <v>0</v>
      </c>
      <c r="BJ896" s="31">
        <f t="shared" si="416"/>
        <v>0</v>
      </c>
      <c r="BK896" s="219">
        <f t="shared" si="417"/>
        <v>0</v>
      </c>
      <c r="BL896" s="31">
        <f t="shared" si="418"/>
        <v>0</v>
      </c>
      <c r="BM896" s="219">
        <f t="shared" si="419"/>
        <v>0</v>
      </c>
      <c r="BN896" s="31">
        <f t="shared" si="420"/>
        <v>0</v>
      </c>
      <c r="BO896" s="219">
        <f t="shared" si="421"/>
        <v>0</v>
      </c>
    </row>
    <row r="897" spans="1:67" x14ac:dyDescent="0.25">
      <c r="A897" s="31" t="s">
        <v>2258</v>
      </c>
      <c r="B897" s="176" t="str">
        <f>VLOOKUP(A897,kurspris!$A$1:$B$992,2,FALSE)</f>
        <v>Kunskap och kommunikation - att utveckla läromiljöer för elever med intellektuell funktionsnedsättning</v>
      </c>
      <c r="C897" s="31">
        <v>72013</v>
      </c>
      <c r="D897" s="60" t="s">
        <v>115</v>
      </c>
      <c r="E897" s="60"/>
      <c r="F897" s="57" t="s">
        <v>2274</v>
      </c>
      <c r="H897" s="31" t="s">
        <v>2335</v>
      </c>
      <c r="I897" s="31" t="s">
        <v>2275</v>
      </c>
      <c r="L897" s="38"/>
      <c r="M897">
        <v>15</v>
      </c>
      <c r="P897" s="31">
        <v>2</v>
      </c>
      <c r="Q897" s="539">
        <v>0.5</v>
      </c>
      <c r="R897" s="38">
        <v>0.85</v>
      </c>
      <c r="S897" s="280">
        <f t="shared" si="394"/>
        <v>0.42499999999999999</v>
      </c>
      <c r="T897" s="31">
        <f>VLOOKUP(A897,'Ansvar kurs'!$A$1:$C$1123,2,FALSE)</f>
        <v>2180</v>
      </c>
      <c r="U897" s="31" t="str">
        <f>VLOOKUP(T897,Orgenheter!$A$1:$C$166,2,FALSE)</f>
        <v xml:space="preserve">Pedagogik                     </v>
      </c>
      <c r="V897" s="31" t="str">
        <f>VLOOKUP(T897,Orgenheter!$A$1:$C$166,3,FALSE)</f>
        <v>Sam</v>
      </c>
      <c r="W897" s="35" t="str">
        <f>VLOOKUP(D897,Program!$A$1:$B$36,2,FALSE)</f>
        <v>Speciallärarprogrammet</v>
      </c>
      <c r="X897" s="40">
        <f>VLOOKUP(A897,kurspris!$A$1:$Q$913,15,FALSE)</f>
        <v>20766</v>
      </c>
      <c r="Y897" s="40">
        <f>VLOOKUP(A897,kurspris!$A$1:$Q$913,16,FALSE)</f>
        <v>17442</v>
      </c>
      <c r="Z897" s="40">
        <f t="shared" si="395"/>
        <v>17795.849999999999</v>
      </c>
      <c r="AA897" s="40">
        <f>VLOOKUP(A897,kurspris!$A$1:$Q$913,17,FALSE)</f>
        <v>6000</v>
      </c>
      <c r="AB897" s="40">
        <f t="shared" si="396"/>
        <v>3000</v>
      </c>
      <c r="AC897" s="40">
        <f t="shared" si="397"/>
        <v>20795.849999999999</v>
      </c>
      <c r="AD897" s="31">
        <f>VLOOKUP($A897,kurspris!$A$1:$Q$950,3,FALSE)</f>
        <v>0</v>
      </c>
      <c r="AE897" s="31">
        <f>VLOOKUP($A897,kurspris!$A$1:$Q$950,4,FALSE)</f>
        <v>0</v>
      </c>
      <c r="AF897" s="31">
        <f>VLOOKUP($A897,kurspris!$A$1:$Q$950,5,FALSE)</f>
        <v>0</v>
      </c>
      <c r="AG897" s="31">
        <f>VLOOKUP($A897,kurspris!$A$1:$Q$950,6,FALSE)</f>
        <v>0</v>
      </c>
      <c r="AH897" s="31">
        <f>VLOOKUP($A897,kurspris!$A$1:$Q$950,7,FALSE)</f>
        <v>0</v>
      </c>
      <c r="AI897" s="31">
        <f>VLOOKUP($A897,kurspris!$A$1:$Q$950,8,FALSE)</f>
        <v>0</v>
      </c>
      <c r="AJ897" s="31">
        <f>VLOOKUP($A897,kurspris!$A$1:$Q$950,9,FALSE)</f>
        <v>1</v>
      </c>
      <c r="AK897" s="31">
        <f>VLOOKUP($A897,kurspris!$A$1:$Q$950,10,FALSE)</f>
        <v>0</v>
      </c>
      <c r="AL897" s="31">
        <f>VLOOKUP($A897,kurspris!$A$1:$Q$950,11,FALSE)</f>
        <v>0</v>
      </c>
      <c r="AM897" s="31">
        <f>VLOOKUP($A897,kurspris!$A$1:$Q$950,12,FALSE)</f>
        <v>0</v>
      </c>
      <c r="AN897" s="31">
        <f>VLOOKUP($A897,kurspris!$A$1:$Q$950,13,FALSE)</f>
        <v>0</v>
      </c>
      <c r="AO897" s="31">
        <f>VLOOKUP($A897,kurspris!$A$1:$Q$950,14,FALSE)</f>
        <v>0</v>
      </c>
      <c r="AP897" s="57" t="s">
        <v>2402</v>
      </c>
      <c r="AQ897"/>
      <c r="AR897" s="31">
        <f t="shared" si="398"/>
        <v>0</v>
      </c>
      <c r="AS897" s="219">
        <f t="shared" si="399"/>
        <v>0</v>
      </c>
      <c r="AT897" s="31">
        <f t="shared" si="400"/>
        <v>0</v>
      </c>
      <c r="AU897" s="219">
        <f t="shared" si="401"/>
        <v>0</v>
      </c>
      <c r="AV897" s="31">
        <f t="shared" si="402"/>
        <v>0</v>
      </c>
      <c r="AW897" s="31">
        <f t="shared" si="403"/>
        <v>0</v>
      </c>
      <c r="AX897" s="31">
        <f t="shared" si="404"/>
        <v>0</v>
      </c>
      <c r="AY897" s="219">
        <f t="shared" si="405"/>
        <v>0</v>
      </c>
      <c r="AZ897" s="196">
        <f t="shared" si="406"/>
        <v>0</v>
      </c>
      <c r="BA897" s="219">
        <f t="shared" si="407"/>
        <v>0</v>
      </c>
      <c r="BB897" s="31">
        <f t="shared" si="408"/>
        <v>0</v>
      </c>
      <c r="BC897" s="219">
        <f t="shared" si="409"/>
        <v>0</v>
      </c>
      <c r="BD897" s="31">
        <f t="shared" si="410"/>
        <v>0.5</v>
      </c>
      <c r="BE897" s="219">
        <f t="shared" si="411"/>
        <v>0.42499999999999999</v>
      </c>
      <c r="BF897" s="31">
        <f t="shared" si="412"/>
        <v>0</v>
      </c>
      <c r="BG897" s="219">
        <f t="shared" si="413"/>
        <v>0</v>
      </c>
      <c r="BH897" s="31">
        <f t="shared" si="414"/>
        <v>0</v>
      </c>
      <c r="BI897" s="219">
        <f t="shared" si="415"/>
        <v>0</v>
      </c>
      <c r="BJ897" s="31">
        <f t="shared" si="416"/>
        <v>0</v>
      </c>
      <c r="BK897" s="219">
        <f t="shared" si="417"/>
        <v>0</v>
      </c>
      <c r="BL897" s="31">
        <f t="shared" si="418"/>
        <v>0</v>
      </c>
      <c r="BM897" s="219">
        <f t="shared" si="419"/>
        <v>0</v>
      </c>
      <c r="BN897" s="31">
        <f t="shared" si="420"/>
        <v>0</v>
      </c>
      <c r="BO897" s="219">
        <f t="shared" si="421"/>
        <v>0</v>
      </c>
    </row>
    <row r="898" spans="1:67" x14ac:dyDescent="0.25">
      <c r="A898" s="31" t="s">
        <v>2462</v>
      </c>
      <c r="B898" s="176" t="str">
        <f>VLOOKUP(A898,kurspris!$A$1:$B$992,2,FALSE)</f>
        <v>Vetenskaplig metodkurs Speciallärar- och specialpedagogprogrammen</v>
      </c>
      <c r="D898" s="60" t="s">
        <v>120</v>
      </c>
      <c r="E898" s="576" t="s">
        <v>2432</v>
      </c>
      <c r="F898" s="31" t="s">
        <v>2273</v>
      </c>
      <c r="G898" s="31" t="s">
        <v>2448</v>
      </c>
      <c r="H898" s="31" t="s">
        <v>2335</v>
      </c>
      <c r="J898" s="31" t="s">
        <v>2347</v>
      </c>
      <c r="L898" s="38">
        <v>1</v>
      </c>
      <c r="M898" s="325">
        <v>7.5</v>
      </c>
      <c r="P898" s="31">
        <v>33</v>
      </c>
      <c r="Q898" s="196">
        <f t="shared" ref="Q898:Q905" si="424">(M898/60)*P898</f>
        <v>4.125</v>
      </c>
      <c r="R898" s="38">
        <v>0.85</v>
      </c>
      <c r="S898" s="280">
        <f t="shared" ref="S898:S961" si="425">Q898*R898</f>
        <v>3.5062500000000001</v>
      </c>
      <c r="T898" s="31">
        <f>VLOOKUP(A898,'Ansvar kurs'!$A$1:$C$1123,2,FALSE)</f>
        <v>2180</v>
      </c>
      <c r="U898" s="31" t="str">
        <f>VLOOKUP(T898,Orgenheter!$A$1:$C$166,2,FALSE)</f>
        <v xml:space="preserve">Pedagogik                     </v>
      </c>
      <c r="V898" s="31" t="str">
        <f>VLOOKUP(T898,Orgenheter!$A$1:$C$166,3,FALSE)</f>
        <v>Sam</v>
      </c>
      <c r="W898" s="35" t="str">
        <f>VLOOKUP(D898,Program!$A$1:$B$36,2,FALSE)</f>
        <v>Specialpedagogprogrammet</v>
      </c>
      <c r="X898" s="40">
        <f>VLOOKUP(A898,kurspris!$A$1:$Q$913,15,FALSE)</f>
        <v>20766</v>
      </c>
      <c r="Y898" s="40">
        <f>VLOOKUP(A898,kurspris!$A$1:$Q$913,16,FALSE)</f>
        <v>17442</v>
      </c>
      <c r="Z898" s="40">
        <f t="shared" ref="Z898:Z961" si="426">X898*Q898+S898*Y898</f>
        <v>146815.76250000001</v>
      </c>
      <c r="AA898" s="40">
        <f>VLOOKUP(A898,kurspris!$A$1:$Q$913,17,FALSE)</f>
        <v>6000</v>
      </c>
      <c r="AB898" s="40">
        <f t="shared" ref="AB898:AB961" si="427">AA898*Q898</f>
        <v>24750</v>
      </c>
      <c r="AC898" s="40">
        <f t="shared" ref="AC898:AC961" si="428">Z898+AB898</f>
        <v>171565.76250000001</v>
      </c>
      <c r="AD898" s="31">
        <f>VLOOKUP($A898,kurspris!$A$1:$Q$950,3,FALSE)</f>
        <v>0</v>
      </c>
      <c r="AE898" s="31">
        <f>VLOOKUP($A898,kurspris!$A$1:$Q$950,4,FALSE)</f>
        <v>0</v>
      </c>
      <c r="AF898" s="31">
        <f>VLOOKUP($A898,kurspris!$A$1:$Q$950,5,FALSE)</f>
        <v>0</v>
      </c>
      <c r="AG898" s="31">
        <f>VLOOKUP($A898,kurspris!$A$1:$Q$950,6,FALSE)</f>
        <v>0</v>
      </c>
      <c r="AH898" s="31">
        <f>VLOOKUP($A898,kurspris!$A$1:$Q$950,7,FALSE)</f>
        <v>0</v>
      </c>
      <c r="AI898" s="31">
        <f>VLOOKUP($A898,kurspris!$A$1:$Q$950,8,FALSE)</f>
        <v>0</v>
      </c>
      <c r="AJ898" s="31">
        <f>VLOOKUP($A898,kurspris!$A$1:$Q$950,9,FALSE)</f>
        <v>1</v>
      </c>
      <c r="AK898" s="31">
        <f>VLOOKUP($A898,kurspris!$A$1:$Q$950,10,FALSE)</f>
        <v>0</v>
      </c>
      <c r="AL898" s="31">
        <f>VLOOKUP($A898,kurspris!$A$1:$Q$950,11,FALSE)</f>
        <v>0</v>
      </c>
      <c r="AM898" s="31">
        <f>VLOOKUP($A898,kurspris!$A$1:$Q$950,12,FALSE)</f>
        <v>0</v>
      </c>
      <c r="AN898" s="31">
        <f>VLOOKUP($A898,kurspris!$A$1:$Q$950,13,FALSE)</f>
        <v>0</v>
      </c>
      <c r="AO898" s="31">
        <f>VLOOKUP($A898,kurspris!$A$1:$Q$950,14,FALSE)</f>
        <v>0</v>
      </c>
      <c r="AP898" s="57" t="s">
        <v>2506</v>
      </c>
      <c r="AQ898"/>
      <c r="AR898" s="31">
        <f t="shared" ref="AR898:AR961" si="429">$Q898*AD898</f>
        <v>0</v>
      </c>
      <c r="AS898" s="219">
        <f t="shared" ref="AS898:AS961" si="430">$S898*AD898</f>
        <v>0</v>
      </c>
      <c r="AT898" s="31">
        <f t="shared" ref="AT898:AT961" si="431">$Q898*AE898</f>
        <v>0</v>
      </c>
      <c r="AU898" s="219">
        <f t="shared" ref="AU898:AU961" si="432">$S898*AE898</f>
        <v>0</v>
      </c>
      <c r="AV898" s="31">
        <f t="shared" ref="AV898:AV961" si="433">$Q898*AF898</f>
        <v>0</v>
      </c>
      <c r="AW898" s="31">
        <f t="shared" ref="AW898:AW961" si="434">$S898*AF898</f>
        <v>0</v>
      </c>
      <c r="AX898" s="31">
        <f t="shared" ref="AX898:AX961" si="435">$Q898*AG898</f>
        <v>0</v>
      </c>
      <c r="AY898" s="219">
        <f t="shared" ref="AY898:AY961" si="436">$S898*AG898</f>
        <v>0</v>
      </c>
      <c r="AZ898" s="196">
        <f t="shared" ref="AZ898:AZ961" si="437">$Q898*AH898</f>
        <v>0</v>
      </c>
      <c r="BA898" s="219">
        <f t="shared" ref="BA898:BA961" si="438">$S898*AH898</f>
        <v>0</v>
      </c>
      <c r="BB898" s="31">
        <f t="shared" ref="BB898:BB961" si="439">$Q898*AI898</f>
        <v>0</v>
      </c>
      <c r="BC898" s="219">
        <f t="shared" ref="BC898:BC961" si="440">$S898*AI898</f>
        <v>0</v>
      </c>
      <c r="BD898" s="31">
        <f t="shared" ref="BD898:BD961" si="441">$Q898*AJ898</f>
        <v>4.125</v>
      </c>
      <c r="BE898" s="219">
        <f t="shared" ref="BE898:BE961" si="442">$S898*AJ898</f>
        <v>3.5062500000000001</v>
      </c>
      <c r="BF898" s="31">
        <f t="shared" ref="BF898:BF961" si="443">$Q898*AK898</f>
        <v>0</v>
      </c>
      <c r="BG898" s="219">
        <f t="shared" ref="BG898:BG961" si="444">$S898*AK898</f>
        <v>0</v>
      </c>
      <c r="BH898" s="31">
        <f t="shared" ref="BH898:BH961" si="445">$Q898*AL898</f>
        <v>0</v>
      </c>
      <c r="BI898" s="219">
        <f t="shared" ref="BI898:BI961" si="446">$S898*AL898</f>
        <v>0</v>
      </c>
      <c r="BJ898" s="31">
        <f t="shared" ref="BJ898:BJ961" si="447">$Q898*AM898</f>
        <v>0</v>
      </c>
      <c r="BK898" s="219">
        <f t="shared" ref="BK898:BK961" si="448">$S898*AM898</f>
        <v>0</v>
      </c>
      <c r="BL898" s="31">
        <f t="shared" ref="BL898:BL961" si="449">$Q898*AN898</f>
        <v>0</v>
      </c>
      <c r="BM898" s="219">
        <f t="shared" ref="BM898:BM961" si="450">$S898*AN898</f>
        <v>0</v>
      </c>
      <c r="BN898" s="31">
        <f t="shared" ref="BN898:BN961" si="451">$Q898*AO898</f>
        <v>0</v>
      </c>
      <c r="BO898" s="219">
        <f t="shared" ref="BO898:BO961" si="452">$S898*AO898</f>
        <v>0</v>
      </c>
    </row>
    <row r="899" spans="1:67" x14ac:dyDescent="0.25">
      <c r="A899" s="31" t="s">
        <v>2462</v>
      </c>
      <c r="B899" s="176" t="str">
        <f>VLOOKUP(A899,kurspris!$A$1:$B$992,2,FALSE)</f>
        <v>Vetenskaplig metodkurs Speciallärar- och specialpedagogprogrammen</v>
      </c>
      <c r="D899" s="60" t="s">
        <v>115</v>
      </c>
      <c r="E899" s="576" t="s">
        <v>2434</v>
      </c>
      <c r="F899" s="31" t="s">
        <v>2273</v>
      </c>
      <c r="G899" s="31" t="s">
        <v>2448</v>
      </c>
      <c r="H899" s="31" t="s">
        <v>2335</v>
      </c>
      <c r="J899" s="31" t="s">
        <v>2260</v>
      </c>
      <c r="L899" s="38">
        <v>1</v>
      </c>
      <c r="M899" s="325">
        <v>7.5</v>
      </c>
      <c r="P899" s="31">
        <v>1</v>
      </c>
      <c r="Q899" s="196">
        <f t="shared" si="424"/>
        <v>0.125</v>
      </c>
      <c r="R899" s="38">
        <v>0.85</v>
      </c>
      <c r="S899" s="280">
        <f t="shared" si="425"/>
        <v>0.10625</v>
      </c>
      <c r="T899" s="31">
        <f>VLOOKUP(A899,'Ansvar kurs'!$A$1:$C$1123,2,FALSE)</f>
        <v>2180</v>
      </c>
      <c r="U899" s="31" t="str">
        <f>VLOOKUP(T899,Orgenheter!$A$1:$C$166,2,FALSE)</f>
        <v xml:space="preserve">Pedagogik                     </v>
      </c>
      <c r="V899" s="31" t="str">
        <f>VLOOKUP(T899,Orgenheter!$A$1:$C$166,3,FALSE)</f>
        <v>Sam</v>
      </c>
      <c r="W899" s="35" t="str">
        <f>VLOOKUP(D899,Program!$A$1:$B$36,2,FALSE)</f>
        <v>Speciallärarprogrammet</v>
      </c>
      <c r="X899" s="40">
        <f>VLOOKUP(A899,kurspris!$A$1:$Q$913,15,FALSE)</f>
        <v>20766</v>
      </c>
      <c r="Y899" s="40">
        <f>VLOOKUP(A899,kurspris!$A$1:$Q$913,16,FALSE)</f>
        <v>17442</v>
      </c>
      <c r="Z899" s="40">
        <f t="shared" si="426"/>
        <v>4448.9624999999996</v>
      </c>
      <c r="AA899" s="40">
        <f>VLOOKUP(A899,kurspris!$A$1:$Q$913,17,FALSE)</f>
        <v>6000</v>
      </c>
      <c r="AB899" s="40">
        <f t="shared" si="427"/>
        <v>750</v>
      </c>
      <c r="AC899" s="40">
        <f t="shared" si="428"/>
        <v>5198.9624999999996</v>
      </c>
      <c r="AD899" s="31">
        <f>VLOOKUP($A899,kurspris!$A$1:$Q$950,3,FALSE)</f>
        <v>0</v>
      </c>
      <c r="AE899" s="31">
        <f>VLOOKUP($A899,kurspris!$A$1:$Q$950,4,FALSE)</f>
        <v>0</v>
      </c>
      <c r="AF899" s="31">
        <f>VLOOKUP($A899,kurspris!$A$1:$Q$950,5,FALSE)</f>
        <v>0</v>
      </c>
      <c r="AG899" s="31">
        <f>VLOOKUP($A899,kurspris!$A$1:$Q$950,6,FALSE)</f>
        <v>0</v>
      </c>
      <c r="AH899" s="31">
        <f>VLOOKUP($A899,kurspris!$A$1:$Q$950,7,FALSE)</f>
        <v>0</v>
      </c>
      <c r="AI899" s="31">
        <f>VLOOKUP($A899,kurspris!$A$1:$Q$950,8,FALSE)</f>
        <v>0</v>
      </c>
      <c r="AJ899" s="31">
        <f>VLOOKUP($A899,kurspris!$A$1:$Q$950,9,FALSE)</f>
        <v>1</v>
      </c>
      <c r="AK899" s="31">
        <f>VLOOKUP($A899,kurspris!$A$1:$Q$950,10,FALSE)</f>
        <v>0</v>
      </c>
      <c r="AL899" s="31">
        <f>VLOOKUP($A899,kurspris!$A$1:$Q$950,11,FALSE)</f>
        <v>0</v>
      </c>
      <c r="AM899" s="31">
        <f>VLOOKUP($A899,kurspris!$A$1:$Q$950,12,FALSE)</f>
        <v>0</v>
      </c>
      <c r="AN899" s="31">
        <f>VLOOKUP($A899,kurspris!$A$1:$Q$950,13,FALSE)</f>
        <v>0</v>
      </c>
      <c r="AO899" s="31">
        <f>VLOOKUP($A899,kurspris!$A$1:$Q$950,14,FALSE)</f>
        <v>0</v>
      </c>
      <c r="AP899" s="57" t="s">
        <v>2506</v>
      </c>
      <c r="AQ899"/>
      <c r="AR899" s="31">
        <f t="shared" si="429"/>
        <v>0</v>
      </c>
      <c r="AS899" s="219">
        <f t="shared" si="430"/>
        <v>0</v>
      </c>
      <c r="AT899" s="31">
        <f t="shared" si="431"/>
        <v>0</v>
      </c>
      <c r="AU899" s="219">
        <f t="shared" si="432"/>
        <v>0</v>
      </c>
      <c r="AV899" s="31">
        <f t="shared" si="433"/>
        <v>0</v>
      </c>
      <c r="AW899" s="31">
        <f t="shared" si="434"/>
        <v>0</v>
      </c>
      <c r="AX899" s="31">
        <f t="shared" si="435"/>
        <v>0</v>
      </c>
      <c r="AY899" s="219">
        <f t="shared" si="436"/>
        <v>0</v>
      </c>
      <c r="AZ899" s="196">
        <f t="shared" si="437"/>
        <v>0</v>
      </c>
      <c r="BA899" s="219">
        <f t="shared" si="438"/>
        <v>0</v>
      </c>
      <c r="BB899" s="31">
        <f t="shared" si="439"/>
        <v>0</v>
      </c>
      <c r="BC899" s="219">
        <f t="shared" si="440"/>
        <v>0</v>
      </c>
      <c r="BD899" s="31">
        <f t="shared" si="441"/>
        <v>0.125</v>
      </c>
      <c r="BE899" s="219">
        <f t="shared" si="442"/>
        <v>0.10625</v>
      </c>
      <c r="BF899" s="31">
        <f t="shared" si="443"/>
        <v>0</v>
      </c>
      <c r="BG899" s="219">
        <f t="shared" si="444"/>
        <v>0</v>
      </c>
      <c r="BH899" s="31">
        <f t="shared" si="445"/>
        <v>0</v>
      </c>
      <c r="BI899" s="219">
        <f t="shared" si="446"/>
        <v>0</v>
      </c>
      <c r="BJ899" s="31">
        <f t="shared" si="447"/>
        <v>0</v>
      </c>
      <c r="BK899" s="219">
        <f t="shared" si="448"/>
        <v>0</v>
      </c>
      <c r="BL899" s="31">
        <f t="shared" si="449"/>
        <v>0</v>
      </c>
      <c r="BM899" s="219">
        <f t="shared" si="450"/>
        <v>0</v>
      </c>
      <c r="BN899" s="31">
        <f t="shared" si="451"/>
        <v>0</v>
      </c>
      <c r="BO899" s="219">
        <f t="shared" si="452"/>
        <v>0</v>
      </c>
    </row>
    <row r="900" spans="1:67" x14ac:dyDescent="0.25">
      <c r="A900" s="31" t="s">
        <v>2462</v>
      </c>
      <c r="B900" s="176" t="str">
        <f>VLOOKUP(A900,kurspris!$A$1:$B$992,2,FALSE)</f>
        <v>Vetenskaplig metodkurs Speciallärar- och specialpedagogprogrammen</v>
      </c>
      <c r="D900" s="60" t="s">
        <v>115</v>
      </c>
      <c r="E900" s="576" t="s">
        <v>2432</v>
      </c>
      <c r="F900" s="31" t="s">
        <v>2273</v>
      </c>
      <c r="G900" s="31" t="s">
        <v>2448</v>
      </c>
      <c r="H900" s="31" t="s">
        <v>2335</v>
      </c>
      <c r="J900" s="31" t="s">
        <v>2259</v>
      </c>
      <c r="L900" s="38">
        <v>1</v>
      </c>
      <c r="M900" s="325">
        <v>7.5</v>
      </c>
      <c r="P900" s="31">
        <v>8</v>
      </c>
      <c r="Q900" s="196">
        <f t="shared" si="424"/>
        <v>1</v>
      </c>
      <c r="R900" s="38">
        <v>0.85</v>
      </c>
      <c r="S900" s="280">
        <f t="shared" si="425"/>
        <v>0.85</v>
      </c>
      <c r="T900" s="31">
        <f>VLOOKUP(A900,'Ansvar kurs'!$A$1:$C$1123,2,FALSE)</f>
        <v>2180</v>
      </c>
      <c r="U900" s="31" t="str">
        <f>VLOOKUP(T900,Orgenheter!$A$1:$C$166,2,FALSE)</f>
        <v xml:space="preserve">Pedagogik                     </v>
      </c>
      <c r="V900" s="31" t="str">
        <f>VLOOKUP(T900,Orgenheter!$A$1:$C$166,3,FALSE)</f>
        <v>Sam</v>
      </c>
      <c r="W900" s="35" t="str">
        <f>VLOOKUP(D900,Program!$A$1:$B$36,2,FALSE)</f>
        <v>Speciallärarprogrammet</v>
      </c>
      <c r="X900" s="40">
        <f>VLOOKUP(A900,kurspris!$A$1:$Q$913,15,FALSE)</f>
        <v>20766</v>
      </c>
      <c r="Y900" s="40">
        <f>VLOOKUP(A900,kurspris!$A$1:$Q$913,16,FALSE)</f>
        <v>17442</v>
      </c>
      <c r="Z900" s="40">
        <f t="shared" si="426"/>
        <v>35591.699999999997</v>
      </c>
      <c r="AA900" s="40">
        <f>VLOOKUP(A900,kurspris!$A$1:$Q$913,17,FALSE)</f>
        <v>6000</v>
      </c>
      <c r="AB900" s="40">
        <f t="shared" si="427"/>
        <v>6000</v>
      </c>
      <c r="AC900" s="40">
        <f t="shared" si="428"/>
        <v>41591.699999999997</v>
      </c>
      <c r="AD900" s="31">
        <f>VLOOKUP($A900,kurspris!$A$1:$Q$950,3,FALSE)</f>
        <v>0</v>
      </c>
      <c r="AE900" s="31">
        <f>VLOOKUP($A900,kurspris!$A$1:$Q$950,4,FALSE)</f>
        <v>0</v>
      </c>
      <c r="AF900" s="31">
        <f>VLOOKUP($A900,kurspris!$A$1:$Q$950,5,FALSE)</f>
        <v>0</v>
      </c>
      <c r="AG900" s="31">
        <f>VLOOKUP($A900,kurspris!$A$1:$Q$950,6,FALSE)</f>
        <v>0</v>
      </c>
      <c r="AH900" s="31">
        <f>VLOOKUP($A900,kurspris!$A$1:$Q$950,7,FALSE)</f>
        <v>0</v>
      </c>
      <c r="AI900" s="31">
        <f>VLOOKUP($A900,kurspris!$A$1:$Q$950,8,FALSE)</f>
        <v>0</v>
      </c>
      <c r="AJ900" s="31">
        <f>VLOOKUP($A900,kurspris!$A$1:$Q$950,9,FALSE)</f>
        <v>1</v>
      </c>
      <c r="AK900" s="31">
        <f>VLOOKUP($A900,kurspris!$A$1:$Q$950,10,FALSE)</f>
        <v>0</v>
      </c>
      <c r="AL900" s="31">
        <f>VLOOKUP($A900,kurspris!$A$1:$Q$950,11,FALSE)</f>
        <v>0</v>
      </c>
      <c r="AM900" s="31">
        <f>VLOOKUP($A900,kurspris!$A$1:$Q$950,12,FALSE)</f>
        <v>0</v>
      </c>
      <c r="AN900" s="31">
        <f>VLOOKUP($A900,kurspris!$A$1:$Q$950,13,FALSE)</f>
        <v>0</v>
      </c>
      <c r="AO900" s="31">
        <f>VLOOKUP($A900,kurspris!$A$1:$Q$950,14,FALSE)</f>
        <v>0</v>
      </c>
      <c r="AP900" s="57" t="s">
        <v>2506</v>
      </c>
      <c r="AQ900"/>
      <c r="AR900" s="31">
        <f t="shared" si="429"/>
        <v>0</v>
      </c>
      <c r="AS900" s="219">
        <f t="shared" si="430"/>
        <v>0</v>
      </c>
      <c r="AT900" s="31">
        <f t="shared" si="431"/>
        <v>0</v>
      </c>
      <c r="AU900" s="219">
        <f t="shared" si="432"/>
        <v>0</v>
      </c>
      <c r="AV900" s="31">
        <f t="shared" si="433"/>
        <v>0</v>
      </c>
      <c r="AW900" s="31">
        <f t="shared" si="434"/>
        <v>0</v>
      </c>
      <c r="AX900" s="31">
        <f t="shared" si="435"/>
        <v>0</v>
      </c>
      <c r="AY900" s="219">
        <f t="shared" si="436"/>
        <v>0</v>
      </c>
      <c r="AZ900" s="196">
        <f t="shared" si="437"/>
        <v>0</v>
      </c>
      <c r="BA900" s="219">
        <f t="shared" si="438"/>
        <v>0</v>
      </c>
      <c r="BB900" s="31">
        <f t="shared" si="439"/>
        <v>0</v>
      </c>
      <c r="BC900" s="219">
        <f t="shared" si="440"/>
        <v>0</v>
      </c>
      <c r="BD900" s="31">
        <f t="shared" si="441"/>
        <v>1</v>
      </c>
      <c r="BE900" s="219">
        <f t="shared" si="442"/>
        <v>0.85</v>
      </c>
      <c r="BF900" s="31">
        <f t="shared" si="443"/>
        <v>0</v>
      </c>
      <c r="BG900" s="219">
        <f t="shared" si="444"/>
        <v>0</v>
      </c>
      <c r="BH900" s="31">
        <f t="shared" si="445"/>
        <v>0</v>
      </c>
      <c r="BI900" s="219">
        <f t="shared" si="446"/>
        <v>0</v>
      </c>
      <c r="BJ900" s="31">
        <f t="shared" si="447"/>
        <v>0</v>
      </c>
      <c r="BK900" s="219">
        <f t="shared" si="448"/>
        <v>0</v>
      </c>
      <c r="BL900" s="31">
        <f t="shared" si="449"/>
        <v>0</v>
      </c>
      <c r="BM900" s="219">
        <f t="shared" si="450"/>
        <v>0</v>
      </c>
      <c r="BN900" s="31">
        <f t="shared" si="451"/>
        <v>0</v>
      </c>
      <c r="BO900" s="219">
        <f t="shared" si="452"/>
        <v>0</v>
      </c>
    </row>
    <row r="901" spans="1:67" x14ac:dyDescent="0.25">
      <c r="A901" s="31" t="s">
        <v>2462</v>
      </c>
      <c r="B901" s="176" t="str">
        <f>VLOOKUP(A901,kurspris!$A$1:$B$992,2,FALSE)</f>
        <v>Vetenskaplig metodkurs Speciallärar- och specialpedagogprogrammen</v>
      </c>
      <c r="D901" s="60" t="s">
        <v>115</v>
      </c>
      <c r="E901" s="576" t="s">
        <v>2432</v>
      </c>
      <c r="F901" s="31" t="s">
        <v>2273</v>
      </c>
      <c r="G901" s="31" t="s">
        <v>2448</v>
      </c>
      <c r="H901" s="31" t="s">
        <v>2335</v>
      </c>
      <c r="J901" s="31" t="s">
        <v>2261</v>
      </c>
      <c r="L901" s="38">
        <v>1</v>
      </c>
      <c r="M901" s="325">
        <v>7.5</v>
      </c>
      <c r="P901" s="31">
        <v>13</v>
      </c>
      <c r="Q901" s="196">
        <f t="shared" si="424"/>
        <v>1.625</v>
      </c>
      <c r="R901" s="38">
        <v>0.85</v>
      </c>
      <c r="S901" s="280">
        <f t="shared" si="425"/>
        <v>1.3812499999999999</v>
      </c>
      <c r="T901" s="31">
        <f>VLOOKUP(A901,'Ansvar kurs'!$A$1:$C$1123,2,FALSE)</f>
        <v>2180</v>
      </c>
      <c r="U901" s="31" t="str">
        <f>VLOOKUP(T901,Orgenheter!$A$1:$C$166,2,FALSE)</f>
        <v xml:space="preserve">Pedagogik                     </v>
      </c>
      <c r="V901" s="31" t="str">
        <f>VLOOKUP(T901,Orgenheter!$A$1:$C$166,3,FALSE)</f>
        <v>Sam</v>
      </c>
      <c r="W901" s="35" t="str">
        <f>VLOOKUP(D901,Program!$A$1:$B$36,2,FALSE)</f>
        <v>Speciallärarprogrammet</v>
      </c>
      <c r="X901" s="40">
        <f>VLOOKUP(A901,kurspris!$A$1:$Q$913,15,FALSE)</f>
        <v>20766</v>
      </c>
      <c r="Y901" s="40">
        <f>VLOOKUP(A901,kurspris!$A$1:$Q$913,16,FALSE)</f>
        <v>17442</v>
      </c>
      <c r="Z901" s="40">
        <f t="shared" si="426"/>
        <v>57836.512499999997</v>
      </c>
      <c r="AA901" s="40">
        <f>VLOOKUP(A901,kurspris!$A$1:$Q$913,17,FALSE)</f>
        <v>6000</v>
      </c>
      <c r="AB901" s="40">
        <f t="shared" si="427"/>
        <v>9750</v>
      </c>
      <c r="AC901" s="40">
        <f t="shared" si="428"/>
        <v>67586.512499999997</v>
      </c>
      <c r="AD901" s="31">
        <f>VLOOKUP($A901,kurspris!$A$1:$Q$950,3,FALSE)</f>
        <v>0</v>
      </c>
      <c r="AE901" s="31">
        <f>VLOOKUP($A901,kurspris!$A$1:$Q$950,4,FALSE)</f>
        <v>0</v>
      </c>
      <c r="AF901" s="31">
        <f>VLOOKUP($A901,kurspris!$A$1:$Q$950,5,FALSE)</f>
        <v>0</v>
      </c>
      <c r="AG901" s="31">
        <f>VLOOKUP($A901,kurspris!$A$1:$Q$950,6,FALSE)</f>
        <v>0</v>
      </c>
      <c r="AH901" s="31">
        <f>VLOOKUP($A901,kurspris!$A$1:$Q$950,7,FALSE)</f>
        <v>0</v>
      </c>
      <c r="AI901" s="31">
        <f>VLOOKUP($A901,kurspris!$A$1:$Q$950,8,FALSE)</f>
        <v>0</v>
      </c>
      <c r="AJ901" s="31">
        <f>VLOOKUP($A901,kurspris!$A$1:$Q$950,9,FALSE)</f>
        <v>1</v>
      </c>
      <c r="AK901" s="31">
        <f>VLOOKUP($A901,kurspris!$A$1:$Q$950,10,FALSE)</f>
        <v>0</v>
      </c>
      <c r="AL901" s="31">
        <f>VLOOKUP($A901,kurspris!$A$1:$Q$950,11,FALSE)</f>
        <v>0</v>
      </c>
      <c r="AM901" s="31">
        <f>VLOOKUP($A901,kurspris!$A$1:$Q$950,12,FALSE)</f>
        <v>0</v>
      </c>
      <c r="AN901" s="31">
        <f>VLOOKUP($A901,kurspris!$A$1:$Q$950,13,FALSE)</f>
        <v>0</v>
      </c>
      <c r="AO901" s="31">
        <f>VLOOKUP($A901,kurspris!$A$1:$Q$950,14,FALSE)</f>
        <v>0</v>
      </c>
      <c r="AP901" s="57" t="s">
        <v>2506</v>
      </c>
      <c r="AQ901"/>
      <c r="AR901" s="31">
        <f t="shared" si="429"/>
        <v>0</v>
      </c>
      <c r="AS901" s="219">
        <f t="shared" si="430"/>
        <v>0</v>
      </c>
      <c r="AT901" s="31">
        <f t="shared" si="431"/>
        <v>0</v>
      </c>
      <c r="AU901" s="219">
        <f t="shared" si="432"/>
        <v>0</v>
      </c>
      <c r="AV901" s="31">
        <f t="shared" si="433"/>
        <v>0</v>
      </c>
      <c r="AW901" s="31">
        <f t="shared" si="434"/>
        <v>0</v>
      </c>
      <c r="AX901" s="31">
        <f t="shared" si="435"/>
        <v>0</v>
      </c>
      <c r="AY901" s="219">
        <f t="shared" si="436"/>
        <v>0</v>
      </c>
      <c r="AZ901" s="196">
        <f t="shared" si="437"/>
        <v>0</v>
      </c>
      <c r="BA901" s="219">
        <f t="shared" si="438"/>
        <v>0</v>
      </c>
      <c r="BB901" s="31">
        <f t="shared" si="439"/>
        <v>0</v>
      </c>
      <c r="BC901" s="219">
        <f t="shared" si="440"/>
        <v>0</v>
      </c>
      <c r="BD901" s="31">
        <f t="shared" si="441"/>
        <v>1.625</v>
      </c>
      <c r="BE901" s="219">
        <f t="shared" si="442"/>
        <v>1.3812499999999999</v>
      </c>
      <c r="BF901" s="31">
        <f t="shared" si="443"/>
        <v>0</v>
      </c>
      <c r="BG901" s="219">
        <f t="shared" si="444"/>
        <v>0</v>
      </c>
      <c r="BH901" s="31">
        <f t="shared" si="445"/>
        <v>0</v>
      </c>
      <c r="BI901" s="219">
        <f t="shared" si="446"/>
        <v>0</v>
      </c>
      <c r="BJ901" s="31">
        <f t="shared" si="447"/>
        <v>0</v>
      </c>
      <c r="BK901" s="219">
        <f t="shared" si="448"/>
        <v>0</v>
      </c>
      <c r="BL901" s="31">
        <f t="shared" si="449"/>
        <v>0</v>
      </c>
      <c r="BM901" s="219">
        <f t="shared" si="450"/>
        <v>0</v>
      </c>
      <c r="BN901" s="31">
        <f t="shared" si="451"/>
        <v>0</v>
      </c>
      <c r="BO901" s="219">
        <f t="shared" si="452"/>
        <v>0</v>
      </c>
    </row>
    <row r="902" spans="1:67" x14ac:dyDescent="0.25">
      <c r="A902" s="31" t="s">
        <v>2462</v>
      </c>
      <c r="B902" s="176" t="str">
        <f>VLOOKUP(A902,kurspris!$A$1:$B$992,2,FALSE)</f>
        <v>Vetenskaplig metodkurs Speciallärar- och specialpedagogprogrammen</v>
      </c>
      <c r="D902" s="60" t="s">
        <v>115</v>
      </c>
      <c r="E902" s="576" t="s">
        <v>2432</v>
      </c>
      <c r="F902" s="31" t="s">
        <v>2273</v>
      </c>
      <c r="G902" s="31" t="s">
        <v>2448</v>
      </c>
      <c r="H902" s="31" t="s">
        <v>2335</v>
      </c>
      <c r="J902" s="31" t="s">
        <v>2260</v>
      </c>
      <c r="L902" s="38">
        <v>1</v>
      </c>
      <c r="M902" s="325">
        <v>7.5</v>
      </c>
      <c r="P902" s="31">
        <v>14</v>
      </c>
      <c r="Q902" s="196">
        <f t="shared" si="424"/>
        <v>1.75</v>
      </c>
      <c r="R902" s="38">
        <v>0.85</v>
      </c>
      <c r="S902" s="280">
        <f t="shared" si="425"/>
        <v>1.4875</v>
      </c>
      <c r="T902" s="31">
        <f>VLOOKUP(A902,'Ansvar kurs'!$A$1:$C$1123,2,FALSE)</f>
        <v>2180</v>
      </c>
      <c r="U902" s="31" t="str">
        <f>VLOOKUP(T902,Orgenheter!$A$1:$C$166,2,FALSE)</f>
        <v xml:space="preserve">Pedagogik                     </v>
      </c>
      <c r="V902" s="31" t="str">
        <f>VLOOKUP(T902,Orgenheter!$A$1:$C$166,3,FALSE)</f>
        <v>Sam</v>
      </c>
      <c r="W902" s="35" t="str">
        <f>VLOOKUP(D902,Program!$A$1:$B$36,2,FALSE)</f>
        <v>Speciallärarprogrammet</v>
      </c>
      <c r="X902" s="40">
        <f>VLOOKUP(A902,kurspris!$A$1:$Q$913,15,FALSE)</f>
        <v>20766</v>
      </c>
      <c r="Y902" s="40">
        <f>VLOOKUP(A902,kurspris!$A$1:$Q$913,16,FALSE)</f>
        <v>17442</v>
      </c>
      <c r="Z902" s="40">
        <f t="shared" si="426"/>
        <v>62285.475000000006</v>
      </c>
      <c r="AA902" s="40">
        <f>VLOOKUP(A902,kurspris!$A$1:$Q$913,17,FALSE)</f>
        <v>6000</v>
      </c>
      <c r="AB902" s="40">
        <f t="shared" si="427"/>
        <v>10500</v>
      </c>
      <c r="AC902" s="40">
        <f t="shared" si="428"/>
        <v>72785.475000000006</v>
      </c>
      <c r="AD902" s="31">
        <f>VLOOKUP($A902,kurspris!$A$1:$Q$950,3,FALSE)</f>
        <v>0</v>
      </c>
      <c r="AE902" s="31">
        <f>VLOOKUP($A902,kurspris!$A$1:$Q$950,4,FALSE)</f>
        <v>0</v>
      </c>
      <c r="AF902" s="31">
        <f>VLOOKUP($A902,kurspris!$A$1:$Q$950,5,FALSE)</f>
        <v>0</v>
      </c>
      <c r="AG902" s="31">
        <f>VLOOKUP($A902,kurspris!$A$1:$Q$950,6,FALSE)</f>
        <v>0</v>
      </c>
      <c r="AH902" s="31">
        <f>VLOOKUP($A902,kurspris!$A$1:$Q$950,7,FALSE)</f>
        <v>0</v>
      </c>
      <c r="AI902" s="31">
        <f>VLOOKUP($A902,kurspris!$A$1:$Q$950,8,FALSE)</f>
        <v>0</v>
      </c>
      <c r="AJ902" s="31">
        <f>VLOOKUP($A902,kurspris!$A$1:$Q$950,9,FALSE)</f>
        <v>1</v>
      </c>
      <c r="AK902" s="31">
        <f>VLOOKUP($A902,kurspris!$A$1:$Q$950,10,FALSE)</f>
        <v>0</v>
      </c>
      <c r="AL902" s="31">
        <f>VLOOKUP($A902,kurspris!$A$1:$Q$950,11,FALSE)</f>
        <v>0</v>
      </c>
      <c r="AM902" s="31">
        <f>VLOOKUP($A902,kurspris!$A$1:$Q$950,12,FALSE)</f>
        <v>0</v>
      </c>
      <c r="AN902" s="31">
        <f>VLOOKUP($A902,kurspris!$A$1:$Q$950,13,FALSE)</f>
        <v>0</v>
      </c>
      <c r="AO902" s="31">
        <f>VLOOKUP($A902,kurspris!$A$1:$Q$950,14,FALSE)</f>
        <v>0</v>
      </c>
      <c r="AP902" s="57" t="s">
        <v>2506</v>
      </c>
      <c r="AQ902"/>
      <c r="AR902" s="31">
        <f t="shared" si="429"/>
        <v>0</v>
      </c>
      <c r="AS902" s="219">
        <f t="shared" si="430"/>
        <v>0</v>
      </c>
      <c r="AT902" s="31">
        <f t="shared" si="431"/>
        <v>0</v>
      </c>
      <c r="AU902" s="219">
        <f t="shared" si="432"/>
        <v>0</v>
      </c>
      <c r="AV902" s="31">
        <f t="shared" si="433"/>
        <v>0</v>
      </c>
      <c r="AW902" s="31">
        <f t="shared" si="434"/>
        <v>0</v>
      </c>
      <c r="AX902" s="31">
        <f t="shared" si="435"/>
        <v>0</v>
      </c>
      <c r="AY902" s="219">
        <f t="shared" si="436"/>
        <v>0</v>
      </c>
      <c r="AZ902" s="196">
        <f t="shared" si="437"/>
        <v>0</v>
      </c>
      <c r="BA902" s="219">
        <f t="shared" si="438"/>
        <v>0</v>
      </c>
      <c r="BB902" s="31">
        <f t="shared" si="439"/>
        <v>0</v>
      </c>
      <c r="BC902" s="219">
        <f t="shared" si="440"/>
        <v>0</v>
      </c>
      <c r="BD902" s="31">
        <f t="shared" si="441"/>
        <v>1.75</v>
      </c>
      <c r="BE902" s="219">
        <f t="shared" si="442"/>
        <v>1.4875</v>
      </c>
      <c r="BF902" s="31">
        <f t="shared" si="443"/>
        <v>0</v>
      </c>
      <c r="BG902" s="219">
        <f t="shared" si="444"/>
        <v>0</v>
      </c>
      <c r="BH902" s="31">
        <f t="shared" si="445"/>
        <v>0</v>
      </c>
      <c r="BI902" s="219">
        <f t="shared" si="446"/>
        <v>0</v>
      </c>
      <c r="BJ902" s="31">
        <f t="shared" si="447"/>
        <v>0</v>
      </c>
      <c r="BK902" s="219">
        <f t="shared" si="448"/>
        <v>0</v>
      </c>
      <c r="BL902" s="31">
        <f t="shared" si="449"/>
        <v>0</v>
      </c>
      <c r="BM902" s="219">
        <f t="shared" si="450"/>
        <v>0</v>
      </c>
      <c r="BN902" s="31">
        <f t="shared" si="451"/>
        <v>0</v>
      </c>
      <c r="BO902" s="219">
        <f t="shared" si="452"/>
        <v>0</v>
      </c>
    </row>
    <row r="903" spans="1:67" x14ac:dyDescent="0.25">
      <c r="A903" s="31" t="s">
        <v>101</v>
      </c>
      <c r="B903" s="176" t="str">
        <f>VLOOKUP(A903,kurspris!$A$1:$B$992,2,FALSE)</f>
        <v>Politik och samhälle</v>
      </c>
      <c r="D903" s="60" t="s">
        <v>85</v>
      </c>
      <c r="E903" s="576" t="s">
        <v>2434</v>
      </c>
      <c r="F903" s="31" t="s">
        <v>2273</v>
      </c>
      <c r="G903" s="31" t="s">
        <v>2437</v>
      </c>
      <c r="H903" s="31" t="s">
        <v>2335</v>
      </c>
      <c r="I903" s="31" t="s">
        <v>624</v>
      </c>
      <c r="L903" s="38">
        <v>1</v>
      </c>
      <c r="M903" s="325">
        <v>15</v>
      </c>
      <c r="P903" s="31">
        <v>1</v>
      </c>
      <c r="Q903" s="196">
        <f t="shared" si="424"/>
        <v>0.25</v>
      </c>
      <c r="R903" s="38">
        <v>0.85</v>
      </c>
      <c r="S903" s="280">
        <f t="shared" si="425"/>
        <v>0.21249999999999999</v>
      </c>
      <c r="T903" s="31">
        <f>VLOOKUP(A903,'Ansvar kurs'!$A$1:$C$1123,2,FALSE)</f>
        <v>2340</v>
      </c>
      <c r="U903" s="31" t="str">
        <f>VLOOKUP(T903,Orgenheter!$A$1:$C$166,2,FALSE)</f>
        <v xml:space="preserve">Statsvetenskap                </v>
      </c>
      <c r="V903" s="31" t="str">
        <f>VLOOKUP(T903,Orgenheter!$A$1:$C$166,3,FALSE)</f>
        <v>Sam</v>
      </c>
      <c r="W903" s="35" t="str">
        <f>VLOOKUP(D903,Program!$A$1:$B$36,2,FALSE)</f>
        <v>Studie- och yrkesvägledarprogram</v>
      </c>
      <c r="X903" s="40">
        <f>VLOOKUP(A903,kurspris!$A$1:$Q$913,15,FALSE)</f>
        <v>20766</v>
      </c>
      <c r="Y903" s="40">
        <f>VLOOKUP(A903,kurspris!$A$1:$Q$913,16,FALSE)</f>
        <v>17442</v>
      </c>
      <c r="Z903" s="40">
        <f t="shared" si="426"/>
        <v>8897.9249999999993</v>
      </c>
      <c r="AA903" s="40">
        <f>VLOOKUP(A903,kurspris!$A$1:$Q$913,17,FALSE)</f>
        <v>6000</v>
      </c>
      <c r="AB903" s="40">
        <f t="shared" si="427"/>
        <v>1500</v>
      </c>
      <c r="AC903" s="40">
        <f t="shared" si="428"/>
        <v>10397.924999999999</v>
      </c>
      <c r="AD903" s="31">
        <f>VLOOKUP($A903,kurspris!$A$1:$Q$950,3,FALSE)</f>
        <v>0</v>
      </c>
      <c r="AE903" s="31">
        <f>VLOOKUP($A903,kurspris!$A$1:$Q$950,4,FALSE)</f>
        <v>0</v>
      </c>
      <c r="AF903" s="31">
        <f>VLOOKUP($A903,kurspris!$A$1:$Q$950,5,FALSE)</f>
        <v>0</v>
      </c>
      <c r="AG903" s="31">
        <f>VLOOKUP($A903,kurspris!$A$1:$Q$950,6,FALSE)</f>
        <v>0</v>
      </c>
      <c r="AH903" s="31">
        <f>VLOOKUP($A903,kurspris!$A$1:$Q$950,7,FALSE)</f>
        <v>0</v>
      </c>
      <c r="AI903" s="31">
        <f>VLOOKUP($A903,kurspris!$A$1:$Q$950,8,FALSE)</f>
        <v>0</v>
      </c>
      <c r="AJ903" s="31">
        <f>VLOOKUP($A903,kurspris!$A$1:$Q$950,9,FALSE)</f>
        <v>1</v>
      </c>
      <c r="AK903" s="31">
        <f>VLOOKUP($A903,kurspris!$A$1:$Q$950,10,FALSE)</f>
        <v>0</v>
      </c>
      <c r="AL903" s="31">
        <f>VLOOKUP($A903,kurspris!$A$1:$Q$950,11,FALSE)</f>
        <v>0</v>
      </c>
      <c r="AM903" s="31">
        <f>VLOOKUP($A903,kurspris!$A$1:$Q$950,12,FALSE)</f>
        <v>0</v>
      </c>
      <c r="AN903" s="31">
        <f>VLOOKUP($A903,kurspris!$A$1:$Q$950,13,FALSE)</f>
        <v>0</v>
      </c>
      <c r="AO903" s="31">
        <f>VLOOKUP($A903,kurspris!$A$1:$Q$950,14,FALSE)</f>
        <v>0</v>
      </c>
      <c r="AP903" s="57" t="s">
        <v>2506</v>
      </c>
      <c r="AQ903"/>
      <c r="AR903" s="31">
        <f t="shared" si="429"/>
        <v>0</v>
      </c>
      <c r="AS903" s="219">
        <f t="shared" si="430"/>
        <v>0</v>
      </c>
      <c r="AT903" s="31">
        <f t="shared" si="431"/>
        <v>0</v>
      </c>
      <c r="AU903" s="219">
        <f t="shared" si="432"/>
        <v>0</v>
      </c>
      <c r="AV903" s="31">
        <f t="shared" si="433"/>
        <v>0</v>
      </c>
      <c r="AW903" s="31">
        <f t="shared" si="434"/>
        <v>0</v>
      </c>
      <c r="AX903" s="31">
        <f t="shared" si="435"/>
        <v>0</v>
      </c>
      <c r="AY903" s="219">
        <f t="shared" si="436"/>
        <v>0</v>
      </c>
      <c r="AZ903" s="196">
        <f t="shared" si="437"/>
        <v>0</v>
      </c>
      <c r="BA903" s="219">
        <f t="shared" si="438"/>
        <v>0</v>
      </c>
      <c r="BB903" s="31">
        <f t="shared" si="439"/>
        <v>0</v>
      </c>
      <c r="BC903" s="219">
        <f t="shared" si="440"/>
        <v>0</v>
      </c>
      <c r="BD903" s="31">
        <f t="shared" si="441"/>
        <v>0.25</v>
      </c>
      <c r="BE903" s="219">
        <f t="shared" si="442"/>
        <v>0.21249999999999999</v>
      </c>
      <c r="BF903" s="31">
        <f t="shared" si="443"/>
        <v>0</v>
      </c>
      <c r="BG903" s="219">
        <f t="shared" si="444"/>
        <v>0</v>
      </c>
      <c r="BH903" s="31">
        <f t="shared" si="445"/>
        <v>0</v>
      </c>
      <c r="BI903" s="219">
        <f t="shared" si="446"/>
        <v>0</v>
      </c>
      <c r="BJ903" s="31">
        <f t="shared" si="447"/>
        <v>0</v>
      </c>
      <c r="BK903" s="219">
        <f t="shared" si="448"/>
        <v>0</v>
      </c>
      <c r="BL903" s="31">
        <f t="shared" si="449"/>
        <v>0</v>
      </c>
      <c r="BM903" s="219">
        <f t="shared" si="450"/>
        <v>0</v>
      </c>
      <c r="BN903" s="31">
        <f t="shared" si="451"/>
        <v>0</v>
      </c>
      <c r="BO903" s="219">
        <f t="shared" si="452"/>
        <v>0</v>
      </c>
    </row>
    <row r="904" spans="1:67" x14ac:dyDescent="0.25">
      <c r="A904" s="283" t="s">
        <v>101</v>
      </c>
      <c r="B904" s="362" t="str">
        <f>VLOOKUP(A904,kurspris!$A$1:$B$992,2,FALSE)</f>
        <v>Politik och samhälle</v>
      </c>
      <c r="C904" s="244"/>
      <c r="D904" s="538" t="s">
        <v>85</v>
      </c>
      <c r="E904" s="538" t="s">
        <v>2203</v>
      </c>
      <c r="F904" s="244" t="s">
        <v>2273</v>
      </c>
      <c r="G904" s="244"/>
      <c r="H904" s="244">
        <v>2480</v>
      </c>
      <c r="I904" s="538" t="s">
        <v>624</v>
      </c>
      <c r="J904" s="283"/>
      <c r="K904" s="283"/>
      <c r="L904" s="518"/>
      <c r="M904" s="325">
        <v>15</v>
      </c>
      <c r="P904" s="31">
        <v>38</v>
      </c>
      <c r="Q904" s="196">
        <f t="shared" si="424"/>
        <v>9.5</v>
      </c>
      <c r="R904" s="38">
        <v>0.85</v>
      </c>
      <c r="S904" s="280">
        <f t="shared" si="425"/>
        <v>8.0749999999999993</v>
      </c>
      <c r="T904" s="31">
        <f>VLOOKUP(A904,'Ansvar kurs'!$A$1:$C$1123,2,FALSE)</f>
        <v>2340</v>
      </c>
      <c r="U904" s="31" t="str">
        <f>VLOOKUP(T904,Orgenheter!$A$1:$C$166,2,FALSE)</f>
        <v xml:space="preserve">Statsvetenskap                </v>
      </c>
      <c r="V904" s="31" t="str">
        <f>VLOOKUP(T904,Orgenheter!$A$1:$C$166,3,FALSE)</f>
        <v>Sam</v>
      </c>
      <c r="W904" s="35" t="str">
        <f>VLOOKUP(D904,Program!$A$1:$B$36,2,FALSE)</f>
        <v>Studie- och yrkesvägledarprogram</v>
      </c>
      <c r="X904" s="40">
        <f>VLOOKUP(A904,kurspris!$A$1:$Q$913,15,FALSE)</f>
        <v>20766</v>
      </c>
      <c r="Y904" s="40">
        <f>VLOOKUP(A904,kurspris!$A$1:$Q$913,16,FALSE)</f>
        <v>17442</v>
      </c>
      <c r="Z904" s="40">
        <f t="shared" si="426"/>
        <v>338121.15</v>
      </c>
      <c r="AA904" s="40">
        <f>VLOOKUP(A904,kurspris!$A$1:$Q$913,17,FALSE)</f>
        <v>6000</v>
      </c>
      <c r="AB904" s="40">
        <f t="shared" si="427"/>
        <v>57000</v>
      </c>
      <c r="AC904" s="40">
        <f t="shared" si="428"/>
        <v>395121.15</v>
      </c>
      <c r="AD904" s="31">
        <f>VLOOKUP($A904,kurspris!$A$1:$Q$950,3,FALSE)</f>
        <v>0</v>
      </c>
      <c r="AE904" s="31">
        <f>VLOOKUP($A904,kurspris!$A$1:$Q$950,4,FALSE)</f>
        <v>0</v>
      </c>
      <c r="AF904" s="31">
        <f>VLOOKUP($A904,kurspris!$A$1:$Q$950,5,FALSE)</f>
        <v>0</v>
      </c>
      <c r="AG904" s="31">
        <f>VLOOKUP($A904,kurspris!$A$1:$Q$950,6,FALSE)</f>
        <v>0</v>
      </c>
      <c r="AH904" s="31">
        <f>VLOOKUP($A904,kurspris!$A$1:$Q$950,7,FALSE)</f>
        <v>0</v>
      </c>
      <c r="AI904" s="31">
        <f>VLOOKUP($A904,kurspris!$A$1:$Q$950,8,FALSE)</f>
        <v>0</v>
      </c>
      <c r="AJ904" s="31">
        <f>VLOOKUP($A904,kurspris!$A$1:$Q$950,9,FALSE)</f>
        <v>1</v>
      </c>
      <c r="AK904" s="31">
        <f>VLOOKUP($A904,kurspris!$A$1:$Q$950,10,FALSE)</f>
        <v>0</v>
      </c>
      <c r="AL904" s="31">
        <f>VLOOKUP($A904,kurspris!$A$1:$Q$950,11,FALSE)</f>
        <v>0</v>
      </c>
      <c r="AM904" s="31">
        <f>VLOOKUP($A904,kurspris!$A$1:$Q$950,12,FALSE)</f>
        <v>0</v>
      </c>
      <c r="AN904" s="31">
        <f>VLOOKUP($A904,kurspris!$A$1:$Q$950,13,FALSE)</f>
        <v>0</v>
      </c>
      <c r="AO904" s="31">
        <f>VLOOKUP($A904,kurspris!$A$1:$Q$950,14,FALSE)</f>
        <v>0</v>
      </c>
      <c r="AP904" s="57" t="s">
        <v>2222</v>
      </c>
      <c r="AQ904"/>
      <c r="AR904" s="31">
        <f t="shared" si="429"/>
        <v>0</v>
      </c>
      <c r="AS904" s="219">
        <f t="shared" si="430"/>
        <v>0</v>
      </c>
      <c r="AT904" s="31">
        <f t="shared" si="431"/>
        <v>0</v>
      </c>
      <c r="AU904" s="219">
        <f t="shared" si="432"/>
        <v>0</v>
      </c>
      <c r="AV904" s="31">
        <f t="shared" si="433"/>
        <v>0</v>
      </c>
      <c r="AW904" s="31">
        <f t="shared" si="434"/>
        <v>0</v>
      </c>
      <c r="AX904" s="31">
        <f t="shared" si="435"/>
        <v>0</v>
      </c>
      <c r="AY904" s="219">
        <f t="shared" si="436"/>
        <v>0</v>
      </c>
      <c r="AZ904" s="196">
        <f t="shared" si="437"/>
        <v>0</v>
      </c>
      <c r="BA904" s="219">
        <f t="shared" si="438"/>
        <v>0</v>
      </c>
      <c r="BB904" s="31">
        <f t="shared" si="439"/>
        <v>0</v>
      </c>
      <c r="BC904" s="219">
        <f t="shared" si="440"/>
        <v>0</v>
      </c>
      <c r="BD904" s="31">
        <f t="shared" si="441"/>
        <v>9.5</v>
      </c>
      <c r="BE904" s="219">
        <f t="shared" si="442"/>
        <v>8.0749999999999993</v>
      </c>
      <c r="BF904" s="31">
        <f t="shared" si="443"/>
        <v>0</v>
      </c>
      <c r="BG904" s="219">
        <f t="shared" si="444"/>
        <v>0</v>
      </c>
      <c r="BH904" s="31">
        <f t="shared" si="445"/>
        <v>0</v>
      </c>
      <c r="BI904" s="219">
        <f t="shared" si="446"/>
        <v>0</v>
      </c>
      <c r="BJ904" s="31">
        <f t="shared" si="447"/>
        <v>0</v>
      </c>
      <c r="BK904" s="219">
        <f t="shared" si="448"/>
        <v>0</v>
      </c>
      <c r="BL904" s="31">
        <f t="shared" si="449"/>
        <v>0</v>
      </c>
      <c r="BM904" s="219">
        <f t="shared" si="450"/>
        <v>0</v>
      </c>
      <c r="BN904" s="31">
        <f t="shared" si="451"/>
        <v>0</v>
      </c>
      <c r="BO904" s="219">
        <f t="shared" si="452"/>
        <v>0</v>
      </c>
    </row>
    <row r="905" spans="1:67" x14ac:dyDescent="0.25">
      <c r="A905" s="283" t="s">
        <v>101</v>
      </c>
      <c r="B905" s="362" t="str">
        <f>VLOOKUP(A905,kurspris!$A$1:$B$992,2,FALSE)</f>
        <v>Politik och samhälle</v>
      </c>
      <c r="C905" s="244"/>
      <c r="D905" s="538" t="s">
        <v>85</v>
      </c>
      <c r="E905" s="538" t="s">
        <v>2203</v>
      </c>
      <c r="F905" s="244" t="s">
        <v>2273</v>
      </c>
      <c r="G905" s="244"/>
      <c r="H905" s="244">
        <v>2480</v>
      </c>
      <c r="I905" s="538" t="s">
        <v>1500</v>
      </c>
      <c r="J905" s="283"/>
      <c r="K905" s="283"/>
      <c r="L905" s="518"/>
      <c r="M905" s="325">
        <v>15</v>
      </c>
      <c r="P905" s="31">
        <v>34</v>
      </c>
      <c r="Q905" s="196">
        <f t="shared" si="424"/>
        <v>8.5</v>
      </c>
      <c r="R905" s="38">
        <v>0.85</v>
      </c>
      <c r="S905" s="280">
        <f t="shared" si="425"/>
        <v>7.2249999999999996</v>
      </c>
      <c r="T905" s="31">
        <f>VLOOKUP(A905,'Ansvar kurs'!$A$1:$C$1123,2,FALSE)</f>
        <v>2340</v>
      </c>
      <c r="U905" s="31" t="str">
        <f>VLOOKUP(T905,Orgenheter!$A$1:$C$166,2,FALSE)</f>
        <v xml:space="preserve">Statsvetenskap                </v>
      </c>
      <c r="V905" s="31" t="str">
        <f>VLOOKUP(T905,Orgenheter!$A$1:$C$166,3,FALSE)</f>
        <v>Sam</v>
      </c>
      <c r="W905" s="35" t="str">
        <f>VLOOKUP(D905,Program!$A$1:$B$36,2,FALSE)</f>
        <v>Studie- och yrkesvägledarprogram</v>
      </c>
      <c r="X905" s="40">
        <f>VLOOKUP(A905,kurspris!$A$1:$Q$913,15,FALSE)</f>
        <v>20766</v>
      </c>
      <c r="Y905" s="40">
        <f>VLOOKUP(A905,kurspris!$A$1:$Q$913,16,FALSE)</f>
        <v>17442</v>
      </c>
      <c r="Z905" s="40">
        <f t="shared" si="426"/>
        <v>302529.45</v>
      </c>
      <c r="AA905" s="40">
        <f>VLOOKUP(A905,kurspris!$A$1:$Q$913,17,FALSE)</f>
        <v>6000</v>
      </c>
      <c r="AB905" s="40">
        <f t="shared" si="427"/>
        <v>51000</v>
      </c>
      <c r="AC905" s="40">
        <f t="shared" si="428"/>
        <v>353529.45</v>
      </c>
      <c r="AD905" s="31">
        <f>VLOOKUP($A905,kurspris!$A$1:$Q$950,3,FALSE)</f>
        <v>0</v>
      </c>
      <c r="AE905" s="31">
        <f>VLOOKUP($A905,kurspris!$A$1:$Q$950,4,FALSE)</f>
        <v>0</v>
      </c>
      <c r="AF905" s="31">
        <f>VLOOKUP($A905,kurspris!$A$1:$Q$950,5,FALSE)</f>
        <v>0</v>
      </c>
      <c r="AG905" s="31">
        <f>VLOOKUP($A905,kurspris!$A$1:$Q$950,6,FALSE)</f>
        <v>0</v>
      </c>
      <c r="AH905" s="31">
        <f>VLOOKUP($A905,kurspris!$A$1:$Q$950,7,FALSE)</f>
        <v>0</v>
      </c>
      <c r="AI905" s="31">
        <f>VLOOKUP($A905,kurspris!$A$1:$Q$950,8,FALSE)</f>
        <v>0</v>
      </c>
      <c r="AJ905" s="31">
        <f>VLOOKUP($A905,kurspris!$A$1:$Q$950,9,FALSE)</f>
        <v>1</v>
      </c>
      <c r="AK905" s="31">
        <f>VLOOKUP($A905,kurspris!$A$1:$Q$950,10,FALSE)</f>
        <v>0</v>
      </c>
      <c r="AL905" s="31">
        <f>VLOOKUP($A905,kurspris!$A$1:$Q$950,11,FALSE)</f>
        <v>0</v>
      </c>
      <c r="AM905" s="31">
        <f>VLOOKUP($A905,kurspris!$A$1:$Q$950,12,FALSE)</f>
        <v>0</v>
      </c>
      <c r="AN905" s="31">
        <f>VLOOKUP($A905,kurspris!$A$1:$Q$950,13,FALSE)</f>
        <v>0</v>
      </c>
      <c r="AO905" s="31">
        <f>VLOOKUP($A905,kurspris!$A$1:$Q$950,14,FALSE)</f>
        <v>0</v>
      </c>
      <c r="AP905" s="57" t="s">
        <v>2222</v>
      </c>
      <c r="AQ905"/>
      <c r="AR905" s="31">
        <f t="shared" si="429"/>
        <v>0</v>
      </c>
      <c r="AS905" s="219">
        <f t="shared" si="430"/>
        <v>0</v>
      </c>
      <c r="AT905" s="31">
        <f t="shared" si="431"/>
        <v>0</v>
      </c>
      <c r="AU905" s="219">
        <f t="shared" si="432"/>
        <v>0</v>
      </c>
      <c r="AV905" s="31">
        <f t="shared" si="433"/>
        <v>0</v>
      </c>
      <c r="AW905" s="31">
        <f t="shared" si="434"/>
        <v>0</v>
      </c>
      <c r="AX905" s="31">
        <f t="shared" si="435"/>
        <v>0</v>
      </c>
      <c r="AY905" s="219">
        <f t="shared" si="436"/>
        <v>0</v>
      </c>
      <c r="AZ905" s="196">
        <f t="shared" si="437"/>
        <v>0</v>
      </c>
      <c r="BA905" s="219">
        <f t="shared" si="438"/>
        <v>0</v>
      </c>
      <c r="BB905" s="31">
        <f t="shared" si="439"/>
        <v>0</v>
      </c>
      <c r="BC905" s="219">
        <f t="shared" si="440"/>
        <v>0</v>
      </c>
      <c r="BD905" s="31">
        <f t="shared" si="441"/>
        <v>8.5</v>
      </c>
      <c r="BE905" s="219">
        <f t="shared" si="442"/>
        <v>7.2249999999999996</v>
      </c>
      <c r="BF905" s="31">
        <f t="shared" si="443"/>
        <v>0</v>
      </c>
      <c r="BG905" s="219">
        <f t="shared" si="444"/>
        <v>0</v>
      </c>
      <c r="BH905" s="31">
        <f t="shared" si="445"/>
        <v>0</v>
      </c>
      <c r="BI905" s="219">
        <f t="shared" si="446"/>
        <v>0</v>
      </c>
      <c r="BJ905" s="31">
        <f t="shared" si="447"/>
        <v>0</v>
      </c>
      <c r="BK905" s="219">
        <f t="shared" si="448"/>
        <v>0</v>
      </c>
      <c r="BL905" s="31">
        <f t="shared" si="449"/>
        <v>0</v>
      </c>
      <c r="BM905" s="219">
        <f t="shared" si="450"/>
        <v>0</v>
      </c>
      <c r="BN905" s="31">
        <f t="shared" si="451"/>
        <v>0</v>
      </c>
      <c r="BO905" s="219">
        <f t="shared" si="452"/>
        <v>0</v>
      </c>
    </row>
    <row r="906" spans="1:67" x14ac:dyDescent="0.25">
      <c r="A906" s="31" t="s">
        <v>102</v>
      </c>
      <c r="B906" s="176" t="str">
        <f>VLOOKUP(A906,kurspris!$A$1:$B$992,2,FALSE)</f>
        <v>Utbildning och arbetsmarknad I</v>
      </c>
      <c r="C906" s="31">
        <v>72603</v>
      </c>
      <c r="D906" s="60" t="s">
        <v>85</v>
      </c>
      <c r="E906" s="57"/>
      <c r="F906" s="57" t="s">
        <v>2274</v>
      </c>
      <c r="H906" s="31" t="s">
        <v>2335</v>
      </c>
      <c r="I906" s="31" t="s">
        <v>2275</v>
      </c>
      <c r="J906" s="31" t="s">
        <v>624</v>
      </c>
      <c r="L906" s="38"/>
      <c r="M906">
        <v>7.5</v>
      </c>
      <c r="P906" s="31">
        <v>21</v>
      </c>
      <c r="Q906" s="539">
        <v>2.625</v>
      </c>
      <c r="R906" s="38">
        <v>0.85</v>
      </c>
      <c r="S906" s="280">
        <f t="shared" si="425"/>
        <v>2.2312499999999997</v>
      </c>
      <c r="T906" s="31">
        <f>VLOOKUP(A906,'Ansvar kurs'!$A$1:$C$1123,2,FALSE)</f>
        <v>2340</v>
      </c>
      <c r="U906" s="31" t="str">
        <f>VLOOKUP(T906,Orgenheter!$A$1:$C$166,2,FALSE)</f>
        <v xml:space="preserve">Statsvetenskap                </v>
      </c>
      <c r="V906" s="31" t="str">
        <f>VLOOKUP(T906,Orgenheter!$A$1:$C$166,3,FALSE)</f>
        <v>Sam</v>
      </c>
      <c r="W906" s="35" t="str">
        <f>VLOOKUP(D906,Program!$A$1:$B$36,2,FALSE)</f>
        <v>Studie- och yrkesvägledarprogram</v>
      </c>
      <c r="X906" s="40">
        <f>VLOOKUP(A906,kurspris!$A$1:$Q$913,15,FALSE)</f>
        <v>20766</v>
      </c>
      <c r="Y906" s="40">
        <f>VLOOKUP(A906,kurspris!$A$1:$Q$913,16,FALSE)</f>
        <v>17442</v>
      </c>
      <c r="Z906" s="40">
        <f t="shared" si="426"/>
        <v>93428.212499999994</v>
      </c>
      <c r="AA906" s="40">
        <f>VLOOKUP(A906,kurspris!$A$1:$Q$913,17,FALSE)</f>
        <v>6000</v>
      </c>
      <c r="AB906" s="40">
        <f t="shared" si="427"/>
        <v>15750</v>
      </c>
      <c r="AC906" s="40">
        <f t="shared" si="428"/>
        <v>109178.21249999999</v>
      </c>
      <c r="AD906" s="31">
        <f>VLOOKUP($A906,kurspris!$A$1:$Q$950,3,FALSE)</f>
        <v>0</v>
      </c>
      <c r="AE906" s="31">
        <f>VLOOKUP($A906,kurspris!$A$1:$Q$950,4,FALSE)</f>
        <v>0</v>
      </c>
      <c r="AF906" s="31">
        <f>VLOOKUP($A906,kurspris!$A$1:$Q$950,5,FALSE)</f>
        <v>0</v>
      </c>
      <c r="AG906" s="31">
        <f>VLOOKUP($A906,kurspris!$A$1:$Q$950,6,FALSE)</f>
        <v>0</v>
      </c>
      <c r="AH906" s="31">
        <f>VLOOKUP($A906,kurspris!$A$1:$Q$950,7,FALSE)</f>
        <v>0</v>
      </c>
      <c r="AI906" s="31">
        <f>VLOOKUP($A906,kurspris!$A$1:$Q$950,8,FALSE)</f>
        <v>0</v>
      </c>
      <c r="AJ906" s="31">
        <f>VLOOKUP($A906,kurspris!$A$1:$Q$950,9,FALSE)</f>
        <v>1</v>
      </c>
      <c r="AK906" s="31">
        <f>VLOOKUP($A906,kurspris!$A$1:$Q$950,10,FALSE)</f>
        <v>0</v>
      </c>
      <c r="AL906" s="31">
        <f>VLOOKUP($A906,kurspris!$A$1:$Q$950,11,FALSE)</f>
        <v>0</v>
      </c>
      <c r="AM906" s="31">
        <f>VLOOKUP($A906,kurspris!$A$1:$Q$950,12,FALSE)</f>
        <v>0</v>
      </c>
      <c r="AN906" s="31">
        <f>VLOOKUP($A906,kurspris!$A$1:$Q$950,13,FALSE)</f>
        <v>0</v>
      </c>
      <c r="AO906" s="31">
        <f>VLOOKUP($A906,kurspris!$A$1:$Q$950,14,FALSE)</f>
        <v>0</v>
      </c>
      <c r="AP906" s="57" t="s">
        <v>2402</v>
      </c>
      <c r="AQ906"/>
      <c r="AR906" s="31">
        <f t="shared" si="429"/>
        <v>0</v>
      </c>
      <c r="AS906" s="219">
        <f t="shared" si="430"/>
        <v>0</v>
      </c>
      <c r="AT906" s="31">
        <f t="shared" si="431"/>
        <v>0</v>
      </c>
      <c r="AU906" s="219">
        <f t="shared" si="432"/>
        <v>0</v>
      </c>
      <c r="AV906" s="31">
        <f t="shared" si="433"/>
        <v>0</v>
      </c>
      <c r="AW906" s="31">
        <f t="shared" si="434"/>
        <v>0</v>
      </c>
      <c r="AX906" s="31">
        <f t="shared" si="435"/>
        <v>0</v>
      </c>
      <c r="AY906" s="219">
        <f t="shared" si="436"/>
        <v>0</v>
      </c>
      <c r="AZ906" s="196">
        <f t="shared" si="437"/>
        <v>0</v>
      </c>
      <c r="BA906" s="219">
        <f t="shared" si="438"/>
        <v>0</v>
      </c>
      <c r="BB906" s="31">
        <f t="shared" si="439"/>
        <v>0</v>
      </c>
      <c r="BC906" s="219">
        <f t="shared" si="440"/>
        <v>0</v>
      </c>
      <c r="BD906" s="31">
        <f t="shared" si="441"/>
        <v>2.625</v>
      </c>
      <c r="BE906" s="219">
        <f t="shared" si="442"/>
        <v>2.2312499999999997</v>
      </c>
      <c r="BF906" s="31">
        <f t="shared" si="443"/>
        <v>0</v>
      </c>
      <c r="BG906" s="219">
        <f t="shared" si="444"/>
        <v>0</v>
      </c>
      <c r="BH906" s="31">
        <f t="shared" si="445"/>
        <v>0</v>
      </c>
      <c r="BI906" s="219">
        <f t="shared" si="446"/>
        <v>0</v>
      </c>
      <c r="BJ906" s="31">
        <f t="shared" si="447"/>
        <v>0</v>
      </c>
      <c r="BK906" s="219">
        <f t="shared" si="448"/>
        <v>0</v>
      </c>
      <c r="BL906" s="31">
        <f t="shared" si="449"/>
        <v>0</v>
      </c>
      <c r="BM906" s="219">
        <f t="shared" si="450"/>
        <v>0</v>
      </c>
      <c r="BN906" s="31">
        <f t="shared" si="451"/>
        <v>0</v>
      </c>
      <c r="BO906" s="219">
        <f t="shared" si="452"/>
        <v>0</v>
      </c>
    </row>
    <row r="907" spans="1:67" x14ac:dyDescent="0.25">
      <c r="A907" s="31" t="s">
        <v>102</v>
      </c>
      <c r="B907" s="176" t="str">
        <f>VLOOKUP(A907,kurspris!$A$1:$B$992,2,FALSE)</f>
        <v>Utbildning och arbetsmarknad I</v>
      </c>
      <c r="C907" s="31">
        <v>72602</v>
      </c>
      <c r="D907" s="60" t="s">
        <v>85</v>
      </c>
      <c r="E907" s="60"/>
      <c r="F907" s="57" t="s">
        <v>2274</v>
      </c>
      <c r="H907" s="31" t="s">
        <v>2335</v>
      </c>
      <c r="I907" s="31" t="s">
        <v>2399</v>
      </c>
      <c r="J907" s="31" t="s">
        <v>1500</v>
      </c>
      <c r="L907" s="38"/>
      <c r="M907">
        <v>7.5</v>
      </c>
      <c r="P907" s="31">
        <v>25</v>
      </c>
      <c r="Q907" s="539">
        <v>3.125</v>
      </c>
      <c r="R907" s="38">
        <v>0.85</v>
      </c>
      <c r="S907" s="280">
        <f t="shared" si="425"/>
        <v>2.65625</v>
      </c>
      <c r="T907" s="31">
        <f>VLOOKUP(A907,'Ansvar kurs'!$A$1:$C$1123,2,FALSE)</f>
        <v>2340</v>
      </c>
      <c r="U907" s="31" t="str">
        <f>VLOOKUP(T907,Orgenheter!$A$1:$C$166,2,FALSE)</f>
        <v xml:space="preserve">Statsvetenskap                </v>
      </c>
      <c r="V907" s="31" t="str">
        <f>VLOOKUP(T907,Orgenheter!$A$1:$C$166,3,FALSE)</f>
        <v>Sam</v>
      </c>
      <c r="W907" s="35" t="str">
        <f>VLOOKUP(D907,Program!$A$1:$B$36,2,FALSE)</f>
        <v>Studie- och yrkesvägledarprogram</v>
      </c>
      <c r="X907" s="40">
        <f>VLOOKUP(A907,kurspris!$A$1:$Q$913,15,FALSE)</f>
        <v>20766</v>
      </c>
      <c r="Y907" s="40">
        <f>VLOOKUP(A907,kurspris!$A$1:$Q$913,16,FALSE)</f>
        <v>17442</v>
      </c>
      <c r="Z907" s="40">
        <f t="shared" si="426"/>
        <v>111224.0625</v>
      </c>
      <c r="AA907" s="40">
        <f>VLOOKUP(A907,kurspris!$A$1:$Q$913,17,FALSE)</f>
        <v>6000</v>
      </c>
      <c r="AB907" s="40">
        <f t="shared" si="427"/>
        <v>18750</v>
      </c>
      <c r="AC907" s="40">
        <f t="shared" si="428"/>
        <v>129974.0625</v>
      </c>
      <c r="AD907" s="31">
        <f>VLOOKUP($A907,kurspris!$A$1:$Q$950,3,FALSE)</f>
        <v>0</v>
      </c>
      <c r="AE907" s="31">
        <f>VLOOKUP($A907,kurspris!$A$1:$Q$950,4,FALSE)</f>
        <v>0</v>
      </c>
      <c r="AF907" s="31">
        <f>VLOOKUP($A907,kurspris!$A$1:$Q$950,5,FALSE)</f>
        <v>0</v>
      </c>
      <c r="AG907" s="31">
        <f>VLOOKUP($A907,kurspris!$A$1:$Q$950,6,FALSE)</f>
        <v>0</v>
      </c>
      <c r="AH907" s="31">
        <f>VLOOKUP($A907,kurspris!$A$1:$Q$950,7,FALSE)</f>
        <v>0</v>
      </c>
      <c r="AI907" s="31">
        <f>VLOOKUP($A907,kurspris!$A$1:$Q$950,8,FALSE)</f>
        <v>0</v>
      </c>
      <c r="AJ907" s="31">
        <f>VLOOKUP($A907,kurspris!$A$1:$Q$950,9,FALSE)</f>
        <v>1</v>
      </c>
      <c r="AK907" s="31">
        <f>VLOOKUP($A907,kurspris!$A$1:$Q$950,10,FALSE)</f>
        <v>0</v>
      </c>
      <c r="AL907" s="31">
        <f>VLOOKUP($A907,kurspris!$A$1:$Q$950,11,FALSE)</f>
        <v>0</v>
      </c>
      <c r="AM907" s="31">
        <f>VLOOKUP($A907,kurspris!$A$1:$Q$950,12,FALSE)</f>
        <v>0</v>
      </c>
      <c r="AN907" s="31">
        <f>VLOOKUP($A907,kurspris!$A$1:$Q$950,13,FALSE)</f>
        <v>0</v>
      </c>
      <c r="AO907" s="31">
        <f>VLOOKUP($A907,kurspris!$A$1:$Q$950,14,FALSE)</f>
        <v>0</v>
      </c>
      <c r="AP907" s="57" t="s">
        <v>2402</v>
      </c>
      <c r="AQ907"/>
      <c r="AR907" s="31">
        <f t="shared" si="429"/>
        <v>0</v>
      </c>
      <c r="AS907" s="219">
        <f t="shared" si="430"/>
        <v>0</v>
      </c>
      <c r="AT907" s="31">
        <f t="shared" si="431"/>
        <v>0</v>
      </c>
      <c r="AU907" s="219">
        <f t="shared" si="432"/>
        <v>0</v>
      </c>
      <c r="AV907" s="31">
        <f t="shared" si="433"/>
        <v>0</v>
      </c>
      <c r="AW907" s="31">
        <f t="shared" si="434"/>
        <v>0</v>
      </c>
      <c r="AX907" s="31">
        <f t="shared" si="435"/>
        <v>0</v>
      </c>
      <c r="AY907" s="219">
        <f t="shared" si="436"/>
        <v>0</v>
      </c>
      <c r="AZ907" s="196">
        <f t="shared" si="437"/>
        <v>0</v>
      </c>
      <c r="BA907" s="219">
        <f t="shared" si="438"/>
        <v>0</v>
      </c>
      <c r="BB907" s="31">
        <f t="shared" si="439"/>
        <v>0</v>
      </c>
      <c r="BC907" s="219">
        <f t="shared" si="440"/>
        <v>0</v>
      </c>
      <c r="BD907" s="31">
        <f t="shared" si="441"/>
        <v>3.125</v>
      </c>
      <c r="BE907" s="219">
        <f t="shared" si="442"/>
        <v>2.65625</v>
      </c>
      <c r="BF907" s="31">
        <f t="shared" si="443"/>
        <v>0</v>
      </c>
      <c r="BG907" s="219">
        <f t="shared" si="444"/>
        <v>0</v>
      </c>
      <c r="BH907" s="31">
        <f t="shared" si="445"/>
        <v>0</v>
      </c>
      <c r="BI907" s="219">
        <f t="shared" si="446"/>
        <v>0</v>
      </c>
      <c r="BJ907" s="31">
        <f t="shared" si="447"/>
        <v>0</v>
      </c>
      <c r="BK907" s="219">
        <f t="shared" si="448"/>
        <v>0</v>
      </c>
      <c r="BL907" s="31">
        <f t="shared" si="449"/>
        <v>0</v>
      </c>
      <c r="BM907" s="219">
        <f t="shared" si="450"/>
        <v>0</v>
      </c>
      <c r="BN907" s="31">
        <f t="shared" si="451"/>
        <v>0</v>
      </c>
      <c r="BO907" s="219">
        <f t="shared" si="452"/>
        <v>0</v>
      </c>
    </row>
    <row r="908" spans="1:67" x14ac:dyDescent="0.25">
      <c r="A908" s="176" t="s">
        <v>2300</v>
      </c>
      <c r="B908" s="176" t="str">
        <f>VLOOKUP(A908,kurspris!$A$1:$B$992,2,FALSE)</f>
        <v xml:space="preserve">Ledarskap och organisation med inriktning mot utbildningsledarskap: Teori och analys </v>
      </c>
      <c r="C908" s="35"/>
      <c r="D908" s="31" t="s">
        <v>117</v>
      </c>
      <c r="F908" s="31" t="s">
        <v>2273</v>
      </c>
      <c r="I908" s="31" t="s">
        <v>2275</v>
      </c>
      <c r="L908" s="38">
        <v>0.25</v>
      </c>
      <c r="M908" s="325">
        <v>7.5</v>
      </c>
      <c r="P908" s="31">
        <v>20</v>
      </c>
      <c r="Q908" s="196">
        <f>(M908/60)*P908</f>
        <v>2.5</v>
      </c>
      <c r="R908" s="38">
        <v>0.8</v>
      </c>
      <c r="S908" s="280">
        <f t="shared" si="425"/>
        <v>2</v>
      </c>
      <c r="T908" s="31">
        <f>VLOOKUP(A908,'Ansvar kurs'!$A$1:$C$1123,2,FALSE)</f>
        <v>2340</v>
      </c>
      <c r="U908" s="31" t="str">
        <f>VLOOKUP(T908,Orgenheter!$A$1:$C$166,2,FALSE)</f>
        <v xml:space="preserve">Statsvetenskap                </v>
      </c>
      <c r="V908" s="31" t="str">
        <f>VLOOKUP(T908,Orgenheter!$A$1:$C$166,3,FALSE)</f>
        <v>Sam</v>
      </c>
      <c r="W908" s="35" t="str">
        <f>VLOOKUP(D908,Program!$A$1:$B$36,2,FALSE)</f>
        <v>Fristående och övriga kurser</v>
      </c>
      <c r="X908" s="40">
        <f>VLOOKUP(A908,kurspris!$A$1:$Q$913,15,FALSE)</f>
        <v>20766</v>
      </c>
      <c r="Y908" s="40">
        <f>VLOOKUP(A908,kurspris!$A$1:$Q$913,16,FALSE)</f>
        <v>17442</v>
      </c>
      <c r="Z908" s="40">
        <f t="shared" si="426"/>
        <v>86799</v>
      </c>
      <c r="AA908" s="40">
        <f>VLOOKUP(A908,kurspris!$A$1:$Q$913,17,FALSE)</f>
        <v>6000</v>
      </c>
      <c r="AB908" s="40">
        <f t="shared" si="427"/>
        <v>15000</v>
      </c>
      <c r="AC908" s="40">
        <f t="shared" si="428"/>
        <v>101799</v>
      </c>
      <c r="AD908" s="31">
        <f>VLOOKUP($A908,kurspris!$A$1:$Q$950,3,FALSE)</f>
        <v>0</v>
      </c>
      <c r="AE908" s="31">
        <f>VLOOKUP($A908,kurspris!$A$1:$Q$950,4,FALSE)</f>
        <v>0</v>
      </c>
      <c r="AF908" s="31">
        <f>VLOOKUP($A908,kurspris!$A$1:$Q$950,5,FALSE)</f>
        <v>0</v>
      </c>
      <c r="AG908" s="31">
        <f>VLOOKUP($A908,kurspris!$A$1:$Q$950,6,FALSE)</f>
        <v>0</v>
      </c>
      <c r="AH908" s="31">
        <f>VLOOKUP($A908,kurspris!$A$1:$Q$950,7,FALSE)</f>
        <v>0</v>
      </c>
      <c r="AI908" s="31">
        <f>VLOOKUP($A908,kurspris!$A$1:$Q$950,8,FALSE)</f>
        <v>0</v>
      </c>
      <c r="AJ908" s="31">
        <f>VLOOKUP($A908,kurspris!$A$1:$Q$950,9,FALSE)</f>
        <v>1</v>
      </c>
      <c r="AK908" s="31">
        <f>VLOOKUP($A908,kurspris!$A$1:$Q$950,10,FALSE)</f>
        <v>0</v>
      </c>
      <c r="AL908" s="31">
        <f>VLOOKUP($A908,kurspris!$A$1:$Q$950,11,FALSE)</f>
        <v>0</v>
      </c>
      <c r="AM908" s="31">
        <f>VLOOKUP($A908,kurspris!$A$1:$Q$950,12,FALSE)</f>
        <v>0</v>
      </c>
      <c r="AN908" s="31">
        <f>VLOOKUP($A908,kurspris!$A$1:$Q$950,13,FALSE)</f>
        <v>0</v>
      </c>
      <c r="AO908" s="31">
        <f>VLOOKUP($A908,kurspris!$A$1:$Q$950,14,FALSE)</f>
        <v>0</v>
      </c>
      <c r="AP908" s="57" t="s">
        <v>2267</v>
      </c>
      <c r="AQ908"/>
      <c r="AR908" s="31">
        <f t="shared" si="429"/>
        <v>0</v>
      </c>
      <c r="AS908" s="219">
        <f t="shared" si="430"/>
        <v>0</v>
      </c>
      <c r="AT908" s="31">
        <f t="shared" si="431"/>
        <v>0</v>
      </c>
      <c r="AU908" s="219">
        <f t="shared" si="432"/>
        <v>0</v>
      </c>
      <c r="AV908" s="31">
        <f t="shared" si="433"/>
        <v>0</v>
      </c>
      <c r="AW908" s="31">
        <f t="shared" si="434"/>
        <v>0</v>
      </c>
      <c r="AX908" s="31">
        <f t="shared" si="435"/>
        <v>0</v>
      </c>
      <c r="AY908" s="219">
        <f t="shared" si="436"/>
        <v>0</v>
      </c>
      <c r="AZ908" s="196">
        <f t="shared" si="437"/>
        <v>0</v>
      </c>
      <c r="BA908" s="219">
        <f t="shared" si="438"/>
        <v>0</v>
      </c>
      <c r="BB908" s="31">
        <f t="shared" si="439"/>
        <v>0</v>
      </c>
      <c r="BC908" s="219">
        <f t="shared" si="440"/>
        <v>0</v>
      </c>
      <c r="BD908" s="31">
        <f t="shared" si="441"/>
        <v>2.5</v>
      </c>
      <c r="BE908" s="219">
        <f t="shared" si="442"/>
        <v>2</v>
      </c>
      <c r="BF908" s="31">
        <f t="shared" si="443"/>
        <v>0</v>
      </c>
      <c r="BG908" s="219">
        <f t="shared" si="444"/>
        <v>0</v>
      </c>
      <c r="BH908" s="31">
        <f t="shared" si="445"/>
        <v>0</v>
      </c>
      <c r="BI908" s="219">
        <f t="shared" si="446"/>
        <v>0</v>
      </c>
      <c r="BJ908" s="31">
        <f t="shared" si="447"/>
        <v>0</v>
      </c>
      <c r="BK908" s="219">
        <f t="shared" si="448"/>
        <v>0</v>
      </c>
      <c r="BL908" s="31">
        <f t="shared" si="449"/>
        <v>0</v>
      </c>
      <c r="BM908" s="219">
        <f t="shared" si="450"/>
        <v>0</v>
      </c>
      <c r="BN908" s="31">
        <f t="shared" si="451"/>
        <v>0</v>
      </c>
      <c r="BO908" s="219">
        <f t="shared" si="452"/>
        <v>0</v>
      </c>
    </row>
    <row r="909" spans="1:67" x14ac:dyDescent="0.25">
      <c r="A909" s="31" t="s">
        <v>2301</v>
      </c>
      <c r="B909" s="176" t="str">
        <f>VLOOKUP(A909,kurspris!$A$1:$B$992,2,FALSE)</f>
        <v>Ledarskap och organisation med inriktning mot utbildningsledarskap: Forsknings- och utredningsmetodik</v>
      </c>
      <c r="C909" s="31">
        <v>72604</v>
      </c>
      <c r="D909" s="60" t="s">
        <v>117</v>
      </c>
      <c r="E909" s="60"/>
      <c r="F909" s="57" t="s">
        <v>2274</v>
      </c>
      <c r="H909" s="31" t="s">
        <v>2395</v>
      </c>
      <c r="I909" s="31" t="s">
        <v>2275</v>
      </c>
      <c r="L909" s="38"/>
      <c r="M909">
        <v>7.5</v>
      </c>
      <c r="P909" s="31">
        <v>7</v>
      </c>
      <c r="Q909" s="539">
        <v>0.875</v>
      </c>
      <c r="R909" s="38">
        <v>0.8</v>
      </c>
      <c r="S909" s="280">
        <f t="shared" si="425"/>
        <v>0.70000000000000007</v>
      </c>
      <c r="T909" s="31">
        <f>VLOOKUP(A909,'Ansvar kurs'!$A$1:$C$1123,2,FALSE)</f>
        <v>2340</v>
      </c>
      <c r="U909" s="31" t="str">
        <f>VLOOKUP(T909,Orgenheter!$A$1:$C$166,2,FALSE)</f>
        <v xml:space="preserve">Statsvetenskap                </v>
      </c>
      <c r="V909" s="31" t="str">
        <f>VLOOKUP(T909,Orgenheter!$A$1:$C$166,3,FALSE)</f>
        <v>Sam</v>
      </c>
      <c r="W909" s="35" t="str">
        <f>VLOOKUP(D909,Program!$A$1:$B$36,2,FALSE)</f>
        <v>Fristående och övriga kurser</v>
      </c>
      <c r="X909" s="40">
        <f>VLOOKUP(A909,kurspris!$A$1:$Q$913,15,FALSE)</f>
        <v>20766</v>
      </c>
      <c r="Y909" s="40">
        <f>VLOOKUP(A909,kurspris!$A$1:$Q$913,16,FALSE)</f>
        <v>17442</v>
      </c>
      <c r="Z909" s="40">
        <f t="shared" si="426"/>
        <v>30379.65</v>
      </c>
      <c r="AA909" s="40">
        <f>VLOOKUP(A909,kurspris!$A$1:$Q$913,17,FALSE)</f>
        <v>6000</v>
      </c>
      <c r="AB909" s="40">
        <f t="shared" si="427"/>
        <v>5250</v>
      </c>
      <c r="AC909" s="40">
        <f t="shared" si="428"/>
        <v>35629.65</v>
      </c>
      <c r="AD909" s="31">
        <f>VLOOKUP($A909,kurspris!$A$1:$Q$950,3,FALSE)</f>
        <v>0</v>
      </c>
      <c r="AE909" s="31">
        <f>VLOOKUP($A909,kurspris!$A$1:$Q$950,4,FALSE)</f>
        <v>0</v>
      </c>
      <c r="AF909" s="31">
        <f>VLOOKUP($A909,kurspris!$A$1:$Q$950,5,FALSE)</f>
        <v>0</v>
      </c>
      <c r="AG909" s="31">
        <f>VLOOKUP($A909,kurspris!$A$1:$Q$950,6,FALSE)</f>
        <v>0</v>
      </c>
      <c r="AH909" s="31">
        <f>VLOOKUP($A909,kurspris!$A$1:$Q$950,7,FALSE)</f>
        <v>0</v>
      </c>
      <c r="AI909" s="31">
        <f>VLOOKUP($A909,kurspris!$A$1:$Q$950,8,FALSE)</f>
        <v>0</v>
      </c>
      <c r="AJ909" s="31">
        <f>VLOOKUP($A909,kurspris!$A$1:$Q$950,9,FALSE)</f>
        <v>1</v>
      </c>
      <c r="AK909" s="31">
        <f>VLOOKUP($A909,kurspris!$A$1:$Q$950,10,FALSE)</f>
        <v>0</v>
      </c>
      <c r="AL909" s="31">
        <f>VLOOKUP($A909,kurspris!$A$1:$Q$950,11,FALSE)</f>
        <v>0</v>
      </c>
      <c r="AM909" s="31">
        <f>VLOOKUP($A909,kurspris!$A$1:$Q$950,12,FALSE)</f>
        <v>0</v>
      </c>
      <c r="AN909" s="31">
        <f>VLOOKUP($A909,kurspris!$A$1:$Q$950,13,FALSE)</f>
        <v>0</v>
      </c>
      <c r="AO909" s="31">
        <f>VLOOKUP($A909,kurspris!$A$1:$Q$950,14,FALSE)</f>
        <v>0</v>
      </c>
      <c r="AP909" s="57" t="s">
        <v>2402</v>
      </c>
      <c r="AQ909"/>
      <c r="AR909" s="31">
        <f t="shared" si="429"/>
        <v>0</v>
      </c>
      <c r="AS909" s="219">
        <f t="shared" si="430"/>
        <v>0</v>
      </c>
      <c r="AT909" s="31">
        <f t="shared" si="431"/>
        <v>0</v>
      </c>
      <c r="AU909" s="219">
        <f t="shared" si="432"/>
        <v>0</v>
      </c>
      <c r="AV909" s="31">
        <f t="shared" si="433"/>
        <v>0</v>
      </c>
      <c r="AW909" s="31">
        <f t="shared" si="434"/>
        <v>0</v>
      </c>
      <c r="AX909" s="31">
        <f t="shared" si="435"/>
        <v>0</v>
      </c>
      <c r="AY909" s="219">
        <f t="shared" si="436"/>
        <v>0</v>
      </c>
      <c r="AZ909" s="196">
        <f t="shared" si="437"/>
        <v>0</v>
      </c>
      <c r="BA909" s="219">
        <f t="shared" si="438"/>
        <v>0</v>
      </c>
      <c r="BB909" s="31">
        <f t="shared" si="439"/>
        <v>0</v>
      </c>
      <c r="BC909" s="219">
        <f t="shared" si="440"/>
        <v>0</v>
      </c>
      <c r="BD909" s="31">
        <f t="shared" si="441"/>
        <v>0.875</v>
      </c>
      <c r="BE909" s="219">
        <f t="shared" si="442"/>
        <v>0.70000000000000007</v>
      </c>
      <c r="BF909" s="31">
        <f t="shared" si="443"/>
        <v>0</v>
      </c>
      <c r="BG909" s="219">
        <f t="shared" si="444"/>
        <v>0</v>
      </c>
      <c r="BH909" s="31">
        <f t="shared" si="445"/>
        <v>0</v>
      </c>
      <c r="BI909" s="219">
        <f t="shared" si="446"/>
        <v>0</v>
      </c>
      <c r="BJ909" s="31">
        <f t="shared" si="447"/>
        <v>0</v>
      </c>
      <c r="BK909" s="219">
        <f t="shared" si="448"/>
        <v>0</v>
      </c>
      <c r="BL909" s="31">
        <f t="shared" si="449"/>
        <v>0</v>
      </c>
      <c r="BM909" s="219">
        <f t="shared" si="450"/>
        <v>0</v>
      </c>
      <c r="BN909" s="31">
        <f t="shared" si="451"/>
        <v>0</v>
      </c>
      <c r="BO909" s="219">
        <f t="shared" si="452"/>
        <v>0</v>
      </c>
    </row>
    <row r="910" spans="1:67" x14ac:dyDescent="0.25">
      <c r="A910" s="31" t="s">
        <v>2302</v>
      </c>
      <c r="B910" s="176" t="str">
        <f>VLOOKUP(A910,kurspris!$A$1:$B$992,2,FALSE)</f>
        <v>Ledarskap och organisation med inriktning mot utbildningsledarskap: Magisteruppsats (15 hp)</v>
      </c>
      <c r="D910" s="31" t="s">
        <v>117</v>
      </c>
      <c r="F910" s="31" t="s">
        <v>2273</v>
      </c>
      <c r="I910" s="31" t="s">
        <v>2275</v>
      </c>
      <c r="L910" s="38">
        <v>0.25</v>
      </c>
      <c r="M910" s="511">
        <v>7.5</v>
      </c>
      <c r="P910" s="31">
        <v>20</v>
      </c>
      <c r="Q910" s="196">
        <f>(M910/60)*P910</f>
        <v>2.5</v>
      </c>
      <c r="R910" s="38">
        <v>0.8</v>
      </c>
      <c r="S910" s="280">
        <f t="shared" si="425"/>
        <v>2</v>
      </c>
      <c r="T910" s="31">
        <f>VLOOKUP(A910,'Ansvar kurs'!$A$1:$C$1123,2,FALSE)</f>
        <v>2340</v>
      </c>
      <c r="U910" s="31" t="str">
        <f>VLOOKUP(T910,Orgenheter!$A$1:$C$166,2,FALSE)</f>
        <v xml:space="preserve">Statsvetenskap                </v>
      </c>
      <c r="V910" s="31" t="str">
        <f>VLOOKUP(T910,Orgenheter!$A$1:$C$166,3,FALSE)</f>
        <v>Sam</v>
      </c>
      <c r="W910" s="35" t="str">
        <f>VLOOKUP(D910,Program!$A$1:$B$36,2,FALSE)</f>
        <v>Fristående och övriga kurser</v>
      </c>
      <c r="X910" s="40">
        <f>VLOOKUP(A910,kurspris!$A$1:$Q$913,15,FALSE)</f>
        <v>20766</v>
      </c>
      <c r="Y910" s="40">
        <f>VLOOKUP(A910,kurspris!$A$1:$Q$913,16,FALSE)</f>
        <v>17442</v>
      </c>
      <c r="Z910" s="40">
        <f t="shared" si="426"/>
        <v>86799</v>
      </c>
      <c r="AA910" s="40">
        <f>VLOOKUP(A910,kurspris!$A$1:$Q$913,17,FALSE)</f>
        <v>6000</v>
      </c>
      <c r="AB910" s="40">
        <f t="shared" si="427"/>
        <v>15000</v>
      </c>
      <c r="AC910" s="40">
        <f t="shared" si="428"/>
        <v>101799</v>
      </c>
      <c r="AD910" s="31">
        <f>VLOOKUP($A910,kurspris!$A$1:$Q$950,3,FALSE)</f>
        <v>0</v>
      </c>
      <c r="AE910" s="31">
        <f>VLOOKUP($A910,kurspris!$A$1:$Q$950,4,FALSE)</f>
        <v>0</v>
      </c>
      <c r="AF910" s="31">
        <f>VLOOKUP($A910,kurspris!$A$1:$Q$950,5,FALSE)</f>
        <v>0</v>
      </c>
      <c r="AG910" s="31">
        <f>VLOOKUP($A910,kurspris!$A$1:$Q$950,6,FALSE)</f>
        <v>0</v>
      </c>
      <c r="AH910" s="31">
        <f>VLOOKUP($A910,kurspris!$A$1:$Q$950,7,FALSE)</f>
        <v>0</v>
      </c>
      <c r="AI910" s="31">
        <f>VLOOKUP($A910,kurspris!$A$1:$Q$950,8,FALSE)</f>
        <v>0</v>
      </c>
      <c r="AJ910" s="31">
        <f>VLOOKUP($A910,kurspris!$A$1:$Q$950,9,FALSE)</f>
        <v>1</v>
      </c>
      <c r="AK910" s="31">
        <f>VLOOKUP($A910,kurspris!$A$1:$Q$950,10,FALSE)</f>
        <v>0</v>
      </c>
      <c r="AL910" s="31">
        <f>VLOOKUP($A910,kurspris!$A$1:$Q$950,11,FALSE)</f>
        <v>0</v>
      </c>
      <c r="AM910" s="31">
        <f>VLOOKUP($A910,kurspris!$A$1:$Q$950,12,FALSE)</f>
        <v>0</v>
      </c>
      <c r="AN910" s="31">
        <f>VLOOKUP($A910,kurspris!$A$1:$Q$950,13,FALSE)</f>
        <v>0</v>
      </c>
      <c r="AO910" s="31">
        <f>VLOOKUP($A910,kurspris!$A$1:$Q$950,14,FALSE)</f>
        <v>0</v>
      </c>
      <c r="AP910" s="57" t="s">
        <v>2267</v>
      </c>
      <c r="AQ910" t="s">
        <v>2306</v>
      </c>
      <c r="AR910" s="31">
        <f t="shared" si="429"/>
        <v>0</v>
      </c>
      <c r="AS910" s="219">
        <f t="shared" si="430"/>
        <v>0</v>
      </c>
      <c r="AT910" s="31">
        <f t="shared" si="431"/>
        <v>0</v>
      </c>
      <c r="AU910" s="219">
        <f t="shared" si="432"/>
        <v>0</v>
      </c>
      <c r="AV910" s="31">
        <f t="shared" si="433"/>
        <v>0</v>
      </c>
      <c r="AW910" s="31">
        <f t="shared" si="434"/>
        <v>0</v>
      </c>
      <c r="AX910" s="31">
        <f t="shared" si="435"/>
        <v>0</v>
      </c>
      <c r="AY910" s="219">
        <f t="shared" si="436"/>
        <v>0</v>
      </c>
      <c r="AZ910" s="196">
        <f t="shared" si="437"/>
        <v>0</v>
      </c>
      <c r="BA910" s="219">
        <f t="shared" si="438"/>
        <v>0</v>
      </c>
      <c r="BB910" s="31">
        <f t="shared" si="439"/>
        <v>0</v>
      </c>
      <c r="BC910" s="219">
        <f t="shared" si="440"/>
        <v>0</v>
      </c>
      <c r="BD910" s="31">
        <f t="shared" si="441"/>
        <v>2.5</v>
      </c>
      <c r="BE910" s="219">
        <f t="shared" si="442"/>
        <v>2</v>
      </c>
      <c r="BF910" s="31">
        <f t="shared" si="443"/>
        <v>0</v>
      </c>
      <c r="BG910" s="219">
        <f t="shared" si="444"/>
        <v>0</v>
      </c>
      <c r="BH910" s="31">
        <f t="shared" si="445"/>
        <v>0</v>
      </c>
      <c r="BI910" s="219">
        <f t="shared" si="446"/>
        <v>0</v>
      </c>
      <c r="BJ910" s="31">
        <f t="shared" si="447"/>
        <v>0</v>
      </c>
      <c r="BK910" s="219">
        <f t="shared" si="448"/>
        <v>0</v>
      </c>
      <c r="BL910" s="31">
        <f t="shared" si="449"/>
        <v>0</v>
      </c>
      <c r="BM910" s="219">
        <f t="shared" si="450"/>
        <v>0</v>
      </c>
      <c r="BN910" s="31">
        <f t="shared" si="451"/>
        <v>0</v>
      </c>
      <c r="BO910" s="219">
        <f t="shared" si="452"/>
        <v>0</v>
      </c>
    </row>
    <row r="911" spans="1:67" x14ac:dyDescent="0.25">
      <c r="A911" s="57" t="s">
        <v>516</v>
      </c>
      <c r="B911" s="176" t="str">
        <f>VLOOKUP(A911,kurspris!$A$1:$B$992,2,FALSE)</f>
        <v>Svenska för F-3, kurs 1</v>
      </c>
      <c r="C911" s="31">
        <v>71806</v>
      </c>
      <c r="D911" s="31" t="s">
        <v>485</v>
      </c>
      <c r="F911" s="57" t="s">
        <v>2274</v>
      </c>
      <c r="H911" s="31" t="s">
        <v>2335</v>
      </c>
      <c r="I911" s="31" t="s">
        <v>2399</v>
      </c>
      <c r="L911" s="38"/>
      <c r="M911">
        <v>15</v>
      </c>
      <c r="P911" s="31">
        <v>50</v>
      </c>
      <c r="Q911" s="539">
        <v>12.5</v>
      </c>
      <c r="R911" s="38">
        <v>0.85</v>
      </c>
      <c r="S911" s="280">
        <f t="shared" si="425"/>
        <v>10.625</v>
      </c>
      <c r="T911" s="31">
        <f>VLOOKUP(A911,'Ansvar kurs'!$A$1:$C$1123,2,FALSE)</f>
        <v>1620</v>
      </c>
      <c r="U911" s="31" t="str">
        <f>VLOOKUP(T911,Orgenheter!$A$1:$C$166,2,FALSE)</f>
        <v>Inst för språkstudier</v>
      </c>
      <c r="V911" s="31" t="str">
        <f>VLOOKUP(T911,Orgenheter!$A$1:$C$166,3,FALSE)</f>
        <v>Hum</v>
      </c>
      <c r="W911" s="35" t="str">
        <f>VLOOKUP(D911,Program!$A$1:$B$36,2,FALSE)</f>
        <v>Grundlärarprogrammet - förskoleklass och åk 1-3</v>
      </c>
      <c r="X911" s="40">
        <f>VLOOKUP(A911,kurspris!$A$1:$Q$913,15,FALSE)</f>
        <v>20766</v>
      </c>
      <c r="Y911" s="40">
        <f>VLOOKUP(A911,kurspris!$A$1:$Q$913,16,FALSE)</f>
        <v>17442</v>
      </c>
      <c r="Z911" s="40">
        <f t="shared" si="426"/>
        <v>444896.25</v>
      </c>
      <c r="AA911" s="40">
        <f>VLOOKUP(A911,kurspris!$A$1:$Q$913,17,FALSE)</f>
        <v>6000</v>
      </c>
      <c r="AB911" s="40">
        <f t="shared" si="427"/>
        <v>75000</v>
      </c>
      <c r="AC911" s="40">
        <f t="shared" si="428"/>
        <v>519896.25</v>
      </c>
      <c r="AD911" s="31">
        <f>VLOOKUP($A911,kurspris!$A$1:$Q$950,3,FALSE)</f>
        <v>0</v>
      </c>
      <c r="AE911" s="31">
        <f>VLOOKUP($A911,kurspris!$A$1:$Q$950,4,FALSE)</f>
        <v>1</v>
      </c>
      <c r="AF911" s="31">
        <f>VLOOKUP($A911,kurspris!$A$1:$Q$950,5,FALSE)</f>
        <v>0</v>
      </c>
      <c r="AG911" s="31">
        <f>VLOOKUP($A911,kurspris!$A$1:$Q$950,6,FALSE)</f>
        <v>0</v>
      </c>
      <c r="AH911" s="31">
        <f>VLOOKUP($A911,kurspris!$A$1:$Q$950,7,FALSE)</f>
        <v>0</v>
      </c>
      <c r="AI911" s="31">
        <f>VLOOKUP($A911,kurspris!$A$1:$Q$950,8,FALSE)</f>
        <v>0</v>
      </c>
      <c r="AJ911" s="31">
        <f>VLOOKUP($A911,kurspris!$A$1:$Q$950,9,FALSE)</f>
        <v>0</v>
      </c>
      <c r="AK911" s="31">
        <f>VLOOKUP($A911,kurspris!$A$1:$Q$950,10,FALSE)</f>
        <v>0</v>
      </c>
      <c r="AL911" s="31">
        <f>VLOOKUP($A911,kurspris!$A$1:$Q$950,11,FALSE)</f>
        <v>0</v>
      </c>
      <c r="AM911" s="31">
        <f>VLOOKUP($A911,kurspris!$A$1:$Q$950,12,FALSE)</f>
        <v>0</v>
      </c>
      <c r="AN911" s="31">
        <f>VLOOKUP($A911,kurspris!$A$1:$Q$950,13,FALSE)</f>
        <v>0</v>
      </c>
      <c r="AO911" s="31">
        <f>VLOOKUP($A911,kurspris!$A$1:$Q$950,14,FALSE)</f>
        <v>0</v>
      </c>
      <c r="AP911" s="57" t="s">
        <v>2402</v>
      </c>
      <c r="AQ911" s="37"/>
      <c r="AR911" s="31">
        <f t="shared" si="429"/>
        <v>0</v>
      </c>
      <c r="AS911" s="219">
        <f t="shared" si="430"/>
        <v>0</v>
      </c>
      <c r="AT911" s="31">
        <f t="shared" si="431"/>
        <v>12.5</v>
      </c>
      <c r="AU911" s="219">
        <f t="shared" si="432"/>
        <v>10.625</v>
      </c>
      <c r="AV911" s="31">
        <f t="shared" si="433"/>
        <v>0</v>
      </c>
      <c r="AW911" s="31">
        <f t="shared" si="434"/>
        <v>0</v>
      </c>
      <c r="AX911" s="31">
        <f t="shared" si="435"/>
        <v>0</v>
      </c>
      <c r="AY911" s="219">
        <f t="shared" si="436"/>
        <v>0</v>
      </c>
      <c r="AZ911" s="196">
        <f t="shared" si="437"/>
        <v>0</v>
      </c>
      <c r="BA911" s="219">
        <f t="shared" si="438"/>
        <v>0</v>
      </c>
      <c r="BB911" s="31">
        <f t="shared" si="439"/>
        <v>0</v>
      </c>
      <c r="BC911" s="219">
        <f t="shared" si="440"/>
        <v>0</v>
      </c>
      <c r="BD911" s="31">
        <f t="shared" si="441"/>
        <v>0</v>
      </c>
      <c r="BE911" s="219">
        <f t="shared" si="442"/>
        <v>0</v>
      </c>
      <c r="BF911" s="31">
        <f t="shared" si="443"/>
        <v>0</v>
      </c>
      <c r="BG911" s="219">
        <f t="shared" si="444"/>
        <v>0</v>
      </c>
      <c r="BH911" s="31">
        <f t="shared" si="445"/>
        <v>0</v>
      </c>
      <c r="BI911" s="219">
        <f t="shared" si="446"/>
        <v>0</v>
      </c>
      <c r="BJ911" s="31">
        <f t="shared" si="447"/>
        <v>0</v>
      </c>
      <c r="BK911" s="219">
        <f t="shared" si="448"/>
        <v>0</v>
      </c>
      <c r="BL911" s="31">
        <f t="shared" si="449"/>
        <v>0</v>
      </c>
      <c r="BM911" s="219">
        <f t="shared" si="450"/>
        <v>0</v>
      </c>
      <c r="BN911" s="31">
        <f t="shared" si="451"/>
        <v>0</v>
      </c>
      <c r="BO911" s="219">
        <f t="shared" si="452"/>
        <v>0</v>
      </c>
    </row>
    <row r="912" spans="1:67" x14ac:dyDescent="0.25">
      <c r="A912" s="31" t="s">
        <v>517</v>
      </c>
      <c r="B912" s="176" t="str">
        <f>VLOOKUP(A912,kurspris!$A$1:$B$992,2,FALSE)</f>
        <v>Svenska för F-3, kurs 2</v>
      </c>
      <c r="D912" s="60" t="s">
        <v>485</v>
      </c>
      <c r="E912" s="576" t="s">
        <v>2432</v>
      </c>
      <c r="F912" s="31" t="s">
        <v>2273</v>
      </c>
      <c r="G912" t="s">
        <v>2438</v>
      </c>
      <c r="H912" t="s">
        <v>2335</v>
      </c>
      <c r="I912" s="31" t="s">
        <v>2276</v>
      </c>
      <c r="L912" s="38">
        <v>1</v>
      </c>
      <c r="M912">
        <v>7.5</v>
      </c>
      <c r="P912" s="31">
        <v>45</v>
      </c>
      <c r="Q912" s="196">
        <f t="shared" ref="Q912:Q917" si="453">(M912/60)*P912</f>
        <v>5.625</v>
      </c>
      <c r="R912" s="38">
        <v>0.85</v>
      </c>
      <c r="S912" s="280">
        <f t="shared" si="425"/>
        <v>4.78125</v>
      </c>
      <c r="T912" s="31">
        <f>VLOOKUP(A912,'Ansvar kurs'!$A$1:$C$1123,2,FALSE)</f>
        <v>1620</v>
      </c>
      <c r="U912" s="31" t="str">
        <f>VLOOKUP(T912,Orgenheter!$A$1:$C$166,2,FALSE)</f>
        <v>Inst för språkstudier</v>
      </c>
      <c r="V912" s="31" t="str">
        <f>VLOOKUP(T912,Orgenheter!$A$1:$C$166,3,FALSE)</f>
        <v>Hum</v>
      </c>
      <c r="W912" s="35" t="str">
        <f>VLOOKUP(D912,Program!$A$1:$B$36,2,FALSE)</f>
        <v>Grundlärarprogrammet - förskoleklass och åk 1-3</v>
      </c>
      <c r="X912" s="40">
        <f>VLOOKUP(A912,kurspris!$A$1:$Q$913,15,FALSE)</f>
        <v>20766</v>
      </c>
      <c r="Y912" s="40">
        <f>VLOOKUP(A912,kurspris!$A$1:$Q$913,16,FALSE)</f>
        <v>17442</v>
      </c>
      <c r="Z912" s="40">
        <f t="shared" si="426"/>
        <v>200203.3125</v>
      </c>
      <c r="AA912" s="40">
        <f>VLOOKUP(A912,kurspris!$A$1:$Q$913,17,FALSE)</f>
        <v>6000</v>
      </c>
      <c r="AB912" s="40">
        <f t="shared" si="427"/>
        <v>33750</v>
      </c>
      <c r="AC912" s="40">
        <f t="shared" si="428"/>
        <v>233953.3125</v>
      </c>
      <c r="AD912" s="31">
        <f>VLOOKUP($A912,kurspris!$A$1:$Q$950,3,FALSE)</f>
        <v>0</v>
      </c>
      <c r="AE912" s="31">
        <f>VLOOKUP($A912,kurspris!$A$1:$Q$950,4,FALSE)</f>
        <v>1</v>
      </c>
      <c r="AF912" s="31">
        <f>VLOOKUP($A912,kurspris!$A$1:$Q$950,5,FALSE)</f>
        <v>0</v>
      </c>
      <c r="AG912" s="31">
        <f>VLOOKUP($A912,kurspris!$A$1:$Q$950,6,FALSE)</f>
        <v>0</v>
      </c>
      <c r="AH912" s="31">
        <f>VLOOKUP($A912,kurspris!$A$1:$Q$950,7,FALSE)</f>
        <v>0</v>
      </c>
      <c r="AI912" s="31">
        <f>VLOOKUP($A912,kurspris!$A$1:$Q$950,8,FALSE)</f>
        <v>0</v>
      </c>
      <c r="AJ912" s="31">
        <f>VLOOKUP($A912,kurspris!$A$1:$Q$950,9,FALSE)</f>
        <v>0</v>
      </c>
      <c r="AK912" s="31">
        <f>VLOOKUP($A912,kurspris!$A$1:$Q$950,10,FALSE)</f>
        <v>0</v>
      </c>
      <c r="AL912" s="31">
        <f>VLOOKUP($A912,kurspris!$A$1:$Q$950,11,FALSE)</f>
        <v>0</v>
      </c>
      <c r="AM912" s="31">
        <f>VLOOKUP($A912,kurspris!$A$1:$Q$950,12,FALSE)</f>
        <v>0</v>
      </c>
      <c r="AN912" s="31">
        <f>VLOOKUP($A912,kurspris!$A$1:$Q$950,13,FALSE)</f>
        <v>0</v>
      </c>
      <c r="AO912" s="31">
        <f>VLOOKUP($A912,kurspris!$A$1:$Q$950,14,FALSE)</f>
        <v>0</v>
      </c>
      <c r="AP912" s="57" t="s">
        <v>2504</v>
      </c>
      <c r="AQ912"/>
      <c r="AR912" s="31">
        <f t="shared" si="429"/>
        <v>0</v>
      </c>
      <c r="AS912" s="219">
        <f t="shared" si="430"/>
        <v>0</v>
      </c>
      <c r="AT912" s="31">
        <f t="shared" si="431"/>
        <v>5.625</v>
      </c>
      <c r="AU912" s="219">
        <f t="shared" si="432"/>
        <v>4.78125</v>
      </c>
      <c r="AV912" s="31">
        <f t="shared" si="433"/>
        <v>0</v>
      </c>
      <c r="AW912" s="31">
        <f t="shared" si="434"/>
        <v>0</v>
      </c>
      <c r="AX912" s="31">
        <f t="shared" si="435"/>
        <v>0</v>
      </c>
      <c r="AY912" s="219">
        <f t="shared" si="436"/>
        <v>0</v>
      </c>
      <c r="AZ912" s="196">
        <f t="shared" si="437"/>
        <v>0</v>
      </c>
      <c r="BA912" s="219">
        <f t="shared" si="438"/>
        <v>0</v>
      </c>
      <c r="BB912" s="31">
        <f t="shared" si="439"/>
        <v>0</v>
      </c>
      <c r="BC912" s="219">
        <f t="shared" si="440"/>
        <v>0</v>
      </c>
      <c r="BD912" s="31">
        <f t="shared" si="441"/>
        <v>0</v>
      </c>
      <c r="BE912" s="219">
        <f t="shared" si="442"/>
        <v>0</v>
      </c>
      <c r="BF912" s="31">
        <f t="shared" si="443"/>
        <v>0</v>
      </c>
      <c r="BG912" s="219">
        <f t="shared" si="444"/>
        <v>0</v>
      </c>
      <c r="BH912" s="31">
        <f t="shared" si="445"/>
        <v>0</v>
      </c>
      <c r="BI912" s="219">
        <f t="shared" si="446"/>
        <v>0</v>
      </c>
      <c r="BJ912" s="31">
        <f t="shared" si="447"/>
        <v>0</v>
      </c>
      <c r="BK912" s="219">
        <f t="shared" si="448"/>
        <v>0</v>
      </c>
      <c r="BL912" s="31">
        <f t="shared" si="449"/>
        <v>0</v>
      </c>
      <c r="BM912" s="219">
        <f t="shared" si="450"/>
        <v>0</v>
      </c>
      <c r="BN912" s="31">
        <f t="shared" si="451"/>
        <v>0</v>
      </c>
      <c r="BO912" s="219">
        <f t="shared" si="452"/>
        <v>0</v>
      </c>
    </row>
    <row r="913" spans="1:67" x14ac:dyDescent="0.25">
      <c r="A913" s="31" t="s">
        <v>517</v>
      </c>
      <c r="B913" s="176" t="str">
        <f>VLOOKUP(A913,kurspris!$A$1:$B$992,2,FALSE)</f>
        <v>Svenska för F-3, kurs 2</v>
      </c>
      <c r="D913" s="60" t="s">
        <v>485</v>
      </c>
      <c r="E913" s="576" t="s">
        <v>2430</v>
      </c>
      <c r="F913" s="31" t="s">
        <v>2273</v>
      </c>
      <c r="G913" t="s">
        <v>2438</v>
      </c>
      <c r="H913" t="s">
        <v>2335</v>
      </c>
      <c r="I913" s="31" t="s">
        <v>2276</v>
      </c>
      <c r="L913" s="38">
        <v>1</v>
      </c>
      <c r="M913">
        <v>7.5</v>
      </c>
      <c r="P913" s="31">
        <v>1</v>
      </c>
      <c r="Q913" s="196">
        <f t="shared" si="453"/>
        <v>0.125</v>
      </c>
      <c r="R913" s="38">
        <v>0.85</v>
      </c>
      <c r="S913" s="280">
        <f t="shared" si="425"/>
        <v>0.10625</v>
      </c>
      <c r="T913" s="31">
        <f>VLOOKUP(A913,'Ansvar kurs'!$A$1:$C$1123,2,FALSE)</f>
        <v>1620</v>
      </c>
      <c r="U913" s="31" t="str">
        <f>VLOOKUP(T913,Orgenheter!$A$1:$C$166,2,FALSE)</f>
        <v>Inst för språkstudier</v>
      </c>
      <c r="V913" s="31" t="str">
        <f>VLOOKUP(T913,Orgenheter!$A$1:$C$166,3,FALSE)</f>
        <v>Hum</v>
      </c>
      <c r="W913" s="35" t="str">
        <f>VLOOKUP(D913,Program!$A$1:$B$36,2,FALSE)</f>
        <v>Grundlärarprogrammet - förskoleklass och åk 1-3</v>
      </c>
      <c r="X913" s="40">
        <f>VLOOKUP(A913,kurspris!$A$1:$Q$913,15,FALSE)</f>
        <v>20766</v>
      </c>
      <c r="Y913" s="40">
        <f>VLOOKUP(A913,kurspris!$A$1:$Q$913,16,FALSE)</f>
        <v>17442</v>
      </c>
      <c r="Z913" s="40">
        <f t="shared" si="426"/>
        <v>4448.9624999999996</v>
      </c>
      <c r="AA913" s="40">
        <f>VLOOKUP(A913,kurspris!$A$1:$Q$913,17,FALSE)</f>
        <v>6000</v>
      </c>
      <c r="AB913" s="40">
        <f t="shared" si="427"/>
        <v>750</v>
      </c>
      <c r="AC913" s="40">
        <f t="shared" si="428"/>
        <v>5198.9624999999996</v>
      </c>
      <c r="AD913" s="31">
        <f>VLOOKUP($A913,kurspris!$A$1:$Q$950,3,FALSE)</f>
        <v>0</v>
      </c>
      <c r="AE913" s="31">
        <f>VLOOKUP($A913,kurspris!$A$1:$Q$950,4,FALSE)</f>
        <v>1</v>
      </c>
      <c r="AF913" s="31">
        <f>VLOOKUP($A913,kurspris!$A$1:$Q$950,5,FALSE)</f>
        <v>0</v>
      </c>
      <c r="AG913" s="31">
        <f>VLOOKUP($A913,kurspris!$A$1:$Q$950,6,FALSE)</f>
        <v>0</v>
      </c>
      <c r="AH913" s="31">
        <f>VLOOKUP($A913,kurspris!$A$1:$Q$950,7,FALSE)</f>
        <v>0</v>
      </c>
      <c r="AI913" s="31">
        <f>VLOOKUP($A913,kurspris!$A$1:$Q$950,8,FALSE)</f>
        <v>0</v>
      </c>
      <c r="AJ913" s="31">
        <f>VLOOKUP($A913,kurspris!$A$1:$Q$950,9,FALSE)</f>
        <v>0</v>
      </c>
      <c r="AK913" s="31">
        <f>VLOOKUP($A913,kurspris!$A$1:$Q$950,10,FALSE)</f>
        <v>0</v>
      </c>
      <c r="AL913" s="31">
        <f>VLOOKUP($A913,kurspris!$A$1:$Q$950,11,FALSE)</f>
        <v>0</v>
      </c>
      <c r="AM913" s="31">
        <f>VLOOKUP($A913,kurspris!$A$1:$Q$950,12,FALSE)</f>
        <v>0</v>
      </c>
      <c r="AN913" s="31">
        <f>VLOOKUP($A913,kurspris!$A$1:$Q$950,13,FALSE)</f>
        <v>0</v>
      </c>
      <c r="AO913" s="31">
        <f>VLOOKUP($A913,kurspris!$A$1:$Q$950,14,FALSE)</f>
        <v>0</v>
      </c>
      <c r="AP913" s="57" t="s">
        <v>2504</v>
      </c>
      <c r="AQ913"/>
      <c r="AR913" s="31">
        <f t="shared" si="429"/>
        <v>0</v>
      </c>
      <c r="AS913" s="219">
        <f t="shared" si="430"/>
        <v>0</v>
      </c>
      <c r="AT913" s="31">
        <f t="shared" si="431"/>
        <v>0.125</v>
      </c>
      <c r="AU913" s="219">
        <f t="shared" si="432"/>
        <v>0.10625</v>
      </c>
      <c r="AV913" s="31">
        <f t="shared" si="433"/>
        <v>0</v>
      </c>
      <c r="AW913" s="31">
        <f t="shared" si="434"/>
        <v>0</v>
      </c>
      <c r="AX913" s="31">
        <f t="shared" si="435"/>
        <v>0</v>
      </c>
      <c r="AY913" s="219">
        <f t="shared" si="436"/>
        <v>0</v>
      </c>
      <c r="AZ913" s="196">
        <f t="shared" si="437"/>
        <v>0</v>
      </c>
      <c r="BA913" s="219">
        <f t="shared" si="438"/>
        <v>0</v>
      </c>
      <c r="BB913" s="31">
        <f t="shared" si="439"/>
        <v>0</v>
      </c>
      <c r="BC913" s="219">
        <f t="shared" si="440"/>
        <v>0</v>
      </c>
      <c r="BD913" s="31">
        <f t="shared" si="441"/>
        <v>0</v>
      </c>
      <c r="BE913" s="219">
        <f t="shared" si="442"/>
        <v>0</v>
      </c>
      <c r="BF913" s="31">
        <f t="shared" si="443"/>
        <v>0</v>
      </c>
      <c r="BG913" s="219">
        <f t="shared" si="444"/>
        <v>0</v>
      </c>
      <c r="BH913" s="31">
        <f t="shared" si="445"/>
        <v>0</v>
      </c>
      <c r="BI913" s="219">
        <f t="shared" si="446"/>
        <v>0</v>
      </c>
      <c r="BJ913" s="31">
        <f t="shared" si="447"/>
        <v>0</v>
      </c>
      <c r="BK913" s="219">
        <f t="shared" si="448"/>
        <v>0</v>
      </c>
      <c r="BL913" s="31">
        <f t="shared" si="449"/>
        <v>0</v>
      </c>
      <c r="BM913" s="219">
        <f t="shared" si="450"/>
        <v>0</v>
      </c>
      <c r="BN913" s="31">
        <f t="shared" si="451"/>
        <v>0</v>
      </c>
      <c r="BO913" s="219">
        <f t="shared" si="452"/>
        <v>0</v>
      </c>
    </row>
    <row r="914" spans="1:67" x14ac:dyDescent="0.25">
      <c r="A914" s="31" t="s">
        <v>601</v>
      </c>
      <c r="B914" s="176" t="str">
        <f>VLOOKUP(A914,kurspris!$A$1:$B$992,2,FALSE)</f>
        <v>Svenska för F-3, kurs 3</v>
      </c>
      <c r="D914" s="60" t="s">
        <v>485</v>
      </c>
      <c r="E914" s="576" t="s">
        <v>2226</v>
      </c>
      <c r="F914" s="31" t="s">
        <v>2273</v>
      </c>
      <c r="G914" t="s">
        <v>2439</v>
      </c>
      <c r="H914" t="s">
        <v>2335</v>
      </c>
      <c r="I914" s="31" t="s">
        <v>2276</v>
      </c>
      <c r="L914" s="38">
        <v>1</v>
      </c>
      <c r="M914">
        <v>7.5</v>
      </c>
      <c r="P914" s="31">
        <v>1</v>
      </c>
      <c r="Q914" s="196">
        <f t="shared" si="453"/>
        <v>0.125</v>
      </c>
      <c r="R914" s="38">
        <v>0.85</v>
      </c>
      <c r="S914" s="280">
        <f t="shared" si="425"/>
        <v>0.10625</v>
      </c>
      <c r="T914" s="31">
        <f>VLOOKUP(A914,'Ansvar kurs'!$A$1:$C$1123,2,FALSE)</f>
        <v>1620</v>
      </c>
      <c r="U914" s="31" t="str">
        <f>VLOOKUP(T914,Orgenheter!$A$1:$C$166,2,FALSE)</f>
        <v>Inst för språkstudier</v>
      </c>
      <c r="V914" s="31" t="str">
        <f>VLOOKUP(T914,Orgenheter!$A$1:$C$166,3,FALSE)</f>
        <v>Hum</v>
      </c>
      <c r="W914" s="35" t="str">
        <f>VLOOKUP(D914,Program!$A$1:$B$36,2,FALSE)</f>
        <v>Grundlärarprogrammet - förskoleklass och åk 1-3</v>
      </c>
      <c r="X914" s="40">
        <f>VLOOKUP(A914,kurspris!$A$1:$Q$913,15,FALSE)</f>
        <v>20766</v>
      </c>
      <c r="Y914" s="40">
        <f>VLOOKUP(A914,kurspris!$A$1:$Q$913,16,FALSE)</f>
        <v>17442</v>
      </c>
      <c r="Z914" s="40">
        <f t="shared" si="426"/>
        <v>4448.9624999999996</v>
      </c>
      <c r="AA914" s="40">
        <f>VLOOKUP(A914,kurspris!$A$1:$Q$913,17,FALSE)</f>
        <v>6000</v>
      </c>
      <c r="AB914" s="40">
        <f t="shared" si="427"/>
        <v>750</v>
      </c>
      <c r="AC914" s="40">
        <f t="shared" si="428"/>
        <v>5198.9624999999996</v>
      </c>
      <c r="AD914" s="31">
        <f>VLOOKUP($A914,kurspris!$A$1:$Q$950,3,FALSE)</f>
        <v>0</v>
      </c>
      <c r="AE914" s="31">
        <f>VLOOKUP($A914,kurspris!$A$1:$Q$950,4,FALSE)</f>
        <v>1</v>
      </c>
      <c r="AF914" s="31">
        <f>VLOOKUP($A914,kurspris!$A$1:$Q$950,5,FALSE)</f>
        <v>0</v>
      </c>
      <c r="AG914" s="31">
        <f>VLOOKUP($A914,kurspris!$A$1:$Q$950,6,FALSE)</f>
        <v>0</v>
      </c>
      <c r="AH914" s="31">
        <f>VLOOKUP($A914,kurspris!$A$1:$Q$950,7,FALSE)</f>
        <v>0</v>
      </c>
      <c r="AI914" s="31">
        <f>VLOOKUP($A914,kurspris!$A$1:$Q$950,8,FALSE)</f>
        <v>0</v>
      </c>
      <c r="AJ914" s="31">
        <f>VLOOKUP($A914,kurspris!$A$1:$Q$950,9,FALSE)</f>
        <v>0</v>
      </c>
      <c r="AK914" s="31">
        <f>VLOOKUP($A914,kurspris!$A$1:$Q$950,10,FALSE)</f>
        <v>0</v>
      </c>
      <c r="AL914" s="31">
        <f>VLOOKUP($A914,kurspris!$A$1:$Q$950,11,FALSE)</f>
        <v>0</v>
      </c>
      <c r="AM914" s="31">
        <f>VLOOKUP($A914,kurspris!$A$1:$Q$950,12,FALSE)</f>
        <v>0</v>
      </c>
      <c r="AN914" s="31">
        <f>VLOOKUP($A914,kurspris!$A$1:$Q$950,13,FALSE)</f>
        <v>0</v>
      </c>
      <c r="AO914" s="31">
        <f>VLOOKUP($A914,kurspris!$A$1:$Q$950,14,FALSE)</f>
        <v>0</v>
      </c>
      <c r="AP914" s="57" t="s">
        <v>2504</v>
      </c>
      <c r="AQ914"/>
      <c r="AR914" s="31">
        <f t="shared" si="429"/>
        <v>0</v>
      </c>
      <c r="AS914" s="219">
        <f t="shared" si="430"/>
        <v>0</v>
      </c>
      <c r="AT914" s="31">
        <f t="shared" si="431"/>
        <v>0.125</v>
      </c>
      <c r="AU914" s="219">
        <f t="shared" si="432"/>
        <v>0.10625</v>
      </c>
      <c r="AV914" s="31">
        <f t="shared" si="433"/>
        <v>0</v>
      </c>
      <c r="AW914" s="31">
        <f t="shared" si="434"/>
        <v>0</v>
      </c>
      <c r="AX914" s="31">
        <f t="shared" si="435"/>
        <v>0</v>
      </c>
      <c r="AY914" s="219">
        <f t="shared" si="436"/>
        <v>0</v>
      </c>
      <c r="AZ914" s="196">
        <f t="shared" si="437"/>
        <v>0</v>
      </c>
      <c r="BA914" s="219">
        <f t="shared" si="438"/>
        <v>0</v>
      </c>
      <c r="BB914" s="31">
        <f t="shared" si="439"/>
        <v>0</v>
      </c>
      <c r="BC914" s="219">
        <f t="shared" si="440"/>
        <v>0</v>
      </c>
      <c r="BD914" s="31">
        <f t="shared" si="441"/>
        <v>0</v>
      </c>
      <c r="BE914" s="219">
        <f t="shared" si="442"/>
        <v>0</v>
      </c>
      <c r="BF914" s="31">
        <f t="shared" si="443"/>
        <v>0</v>
      </c>
      <c r="BG914" s="219">
        <f t="shared" si="444"/>
        <v>0</v>
      </c>
      <c r="BH914" s="31">
        <f t="shared" si="445"/>
        <v>0</v>
      </c>
      <c r="BI914" s="219">
        <f t="shared" si="446"/>
        <v>0</v>
      </c>
      <c r="BJ914" s="31">
        <f t="shared" si="447"/>
        <v>0</v>
      </c>
      <c r="BK914" s="219">
        <f t="shared" si="448"/>
        <v>0</v>
      </c>
      <c r="BL914" s="31">
        <f t="shared" si="449"/>
        <v>0</v>
      </c>
      <c r="BM914" s="219">
        <f t="shared" si="450"/>
        <v>0</v>
      </c>
      <c r="BN914" s="31">
        <f t="shared" si="451"/>
        <v>0</v>
      </c>
      <c r="BO914" s="219">
        <f t="shared" si="452"/>
        <v>0</v>
      </c>
    </row>
    <row r="915" spans="1:67" x14ac:dyDescent="0.25">
      <c r="A915" s="31" t="s">
        <v>601</v>
      </c>
      <c r="B915" s="176" t="str">
        <f>VLOOKUP(A915,kurspris!$A$1:$B$992,2,FALSE)</f>
        <v>Svenska för F-3, kurs 3</v>
      </c>
      <c r="D915" s="60" t="s">
        <v>485</v>
      </c>
      <c r="E915" s="576" t="s">
        <v>2225</v>
      </c>
      <c r="F915" s="31" t="s">
        <v>2273</v>
      </c>
      <c r="G915" t="s">
        <v>2439</v>
      </c>
      <c r="H915" t="s">
        <v>2335</v>
      </c>
      <c r="I915" s="31" t="s">
        <v>2276</v>
      </c>
      <c r="L915" s="38">
        <v>1</v>
      </c>
      <c r="M915">
        <v>7.5</v>
      </c>
      <c r="P915" s="31">
        <v>3</v>
      </c>
      <c r="Q915" s="196">
        <f t="shared" si="453"/>
        <v>0.375</v>
      </c>
      <c r="R915" s="38">
        <v>0.85</v>
      </c>
      <c r="S915" s="280">
        <f t="shared" si="425"/>
        <v>0.31874999999999998</v>
      </c>
      <c r="T915" s="31">
        <f>VLOOKUP(A915,'Ansvar kurs'!$A$1:$C$1123,2,FALSE)</f>
        <v>1620</v>
      </c>
      <c r="U915" s="31" t="str">
        <f>VLOOKUP(T915,Orgenheter!$A$1:$C$166,2,FALSE)</f>
        <v>Inst för språkstudier</v>
      </c>
      <c r="V915" s="31" t="str">
        <f>VLOOKUP(T915,Orgenheter!$A$1:$C$166,3,FALSE)</f>
        <v>Hum</v>
      </c>
      <c r="W915" s="35" t="str">
        <f>VLOOKUP(D915,Program!$A$1:$B$36,2,FALSE)</f>
        <v>Grundlärarprogrammet - förskoleklass och åk 1-3</v>
      </c>
      <c r="X915" s="40">
        <f>VLOOKUP(A915,kurspris!$A$1:$Q$913,15,FALSE)</f>
        <v>20766</v>
      </c>
      <c r="Y915" s="40">
        <f>VLOOKUP(A915,kurspris!$A$1:$Q$913,16,FALSE)</f>
        <v>17442</v>
      </c>
      <c r="Z915" s="40">
        <f t="shared" si="426"/>
        <v>13346.887500000001</v>
      </c>
      <c r="AA915" s="40">
        <f>VLOOKUP(A915,kurspris!$A$1:$Q$913,17,FALSE)</f>
        <v>6000</v>
      </c>
      <c r="AB915" s="40">
        <f t="shared" si="427"/>
        <v>2250</v>
      </c>
      <c r="AC915" s="40">
        <f t="shared" si="428"/>
        <v>15596.887500000001</v>
      </c>
      <c r="AD915" s="31">
        <f>VLOOKUP($A915,kurspris!$A$1:$Q$950,3,FALSE)</f>
        <v>0</v>
      </c>
      <c r="AE915" s="31">
        <f>VLOOKUP($A915,kurspris!$A$1:$Q$950,4,FALSE)</f>
        <v>1</v>
      </c>
      <c r="AF915" s="31">
        <f>VLOOKUP($A915,kurspris!$A$1:$Q$950,5,FALSE)</f>
        <v>0</v>
      </c>
      <c r="AG915" s="31">
        <f>VLOOKUP($A915,kurspris!$A$1:$Q$950,6,FALSE)</f>
        <v>0</v>
      </c>
      <c r="AH915" s="31">
        <f>VLOOKUP($A915,kurspris!$A$1:$Q$950,7,FALSE)</f>
        <v>0</v>
      </c>
      <c r="AI915" s="31">
        <f>VLOOKUP($A915,kurspris!$A$1:$Q$950,8,FALSE)</f>
        <v>0</v>
      </c>
      <c r="AJ915" s="31">
        <f>VLOOKUP($A915,kurspris!$A$1:$Q$950,9,FALSE)</f>
        <v>0</v>
      </c>
      <c r="AK915" s="31">
        <f>VLOOKUP($A915,kurspris!$A$1:$Q$950,10,FALSE)</f>
        <v>0</v>
      </c>
      <c r="AL915" s="31">
        <f>VLOOKUP($A915,kurspris!$A$1:$Q$950,11,FALSE)</f>
        <v>0</v>
      </c>
      <c r="AM915" s="31">
        <f>VLOOKUP($A915,kurspris!$A$1:$Q$950,12,FALSE)</f>
        <v>0</v>
      </c>
      <c r="AN915" s="31">
        <f>VLOOKUP($A915,kurspris!$A$1:$Q$950,13,FALSE)</f>
        <v>0</v>
      </c>
      <c r="AO915" s="31">
        <f>VLOOKUP($A915,kurspris!$A$1:$Q$950,14,FALSE)</f>
        <v>0</v>
      </c>
      <c r="AP915" s="57" t="s">
        <v>2504</v>
      </c>
      <c r="AQ915"/>
      <c r="AR915" s="31">
        <f t="shared" si="429"/>
        <v>0</v>
      </c>
      <c r="AS915" s="219">
        <f t="shared" si="430"/>
        <v>0</v>
      </c>
      <c r="AT915" s="31">
        <f t="shared" si="431"/>
        <v>0.375</v>
      </c>
      <c r="AU915" s="219">
        <f t="shared" si="432"/>
        <v>0.31874999999999998</v>
      </c>
      <c r="AV915" s="31">
        <f t="shared" si="433"/>
        <v>0</v>
      </c>
      <c r="AW915" s="31">
        <f t="shared" si="434"/>
        <v>0</v>
      </c>
      <c r="AX915" s="31">
        <f t="shared" si="435"/>
        <v>0</v>
      </c>
      <c r="AY915" s="219">
        <f t="shared" si="436"/>
        <v>0</v>
      </c>
      <c r="AZ915" s="196">
        <f t="shared" si="437"/>
        <v>0</v>
      </c>
      <c r="BA915" s="219">
        <f t="shared" si="438"/>
        <v>0</v>
      </c>
      <c r="BB915" s="31">
        <f t="shared" si="439"/>
        <v>0</v>
      </c>
      <c r="BC915" s="219">
        <f t="shared" si="440"/>
        <v>0</v>
      </c>
      <c r="BD915" s="31">
        <f t="shared" si="441"/>
        <v>0</v>
      </c>
      <c r="BE915" s="219">
        <f t="shared" si="442"/>
        <v>0</v>
      </c>
      <c r="BF915" s="31">
        <f t="shared" si="443"/>
        <v>0</v>
      </c>
      <c r="BG915" s="219">
        <f t="shared" si="444"/>
        <v>0</v>
      </c>
      <c r="BH915" s="31">
        <f t="shared" si="445"/>
        <v>0</v>
      </c>
      <c r="BI915" s="219">
        <f t="shared" si="446"/>
        <v>0</v>
      </c>
      <c r="BJ915" s="31">
        <f t="shared" si="447"/>
        <v>0</v>
      </c>
      <c r="BK915" s="219">
        <f t="shared" si="448"/>
        <v>0</v>
      </c>
      <c r="BL915" s="31">
        <f t="shared" si="449"/>
        <v>0</v>
      </c>
      <c r="BM915" s="219">
        <f t="shared" si="450"/>
        <v>0</v>
      </c>
      <c r="BN915" s="31">
        <f t="shared" si="451"/>
        <v>0</v>
      </c>
      <c r="BO915" s="219">
        <f t="shared" si="452"/>
        <v>0</v>
      </c>
    </row>
    <row r="916" spans="1:67" x14ac:dyDescent="0.25">
      <c r="A916" s="31" t="s">
        <v>601</v>
      </c>
      <c r="B916" s="176" t="str">
        <f>VLOOKUP(A916,kurspris!$A$1:$B$992,2,FALSE)</f>
        <v>Svenska för F-3, kurs 3</v>
      </c>
      <c r="D916" s="60" t="s">
        <v>485</v>
      </c>
      <c r="E916" s="576" t="s">
        <v>2434</v>
      </c>
      <c r="F916" s="31" t="s">
        <v>2273</v>
      </c>
      <c r="G916" t="s">
        <v>2439</v>
      </c>
      <c r="H916" t="s">
        <v>2335</v>
      </c>
      <c r="I916" s="31" t="s">
        <v>2276</v>
      </c>
      <c r="L916" s="38">
        <v>1</v>
      </c>
      <c r="M916">
        <v>7.5</v>
      </c>
      <c r="P916" s="31">
        <v>33</v>
      </c>
      <c r="Q916" s="196">
        <f t="shared" si="453"/>
        <v>4.125</v>
      </c>
      <c r="R916" s="38">
        <v>0.85</v>
      </c>
      <c r="S916" s="280">
        <f t="shared" si="425"/>
        <v>3.5062500000000001</v>
      </c>
      <c r="T916" s="31">
        <f>VLOOKUP(A916,'Ansvar kurs'!$A$1:$C$1123,2,FALSE)</f>
        <v>1620</v>
      </c>
      <c r="U916" s="31" t="str">
        <f>VLOOKUP(T916,Orgenheter!$A$1:$C$166,2,FALSE)</f>
        <v>Inst för språkstudier</v>
      </c>
      <c r="V916" s="31" t="str">
        <f>VLOOKUP(T916,Orgenheter!$A$1:$C$166,3,FALSE)</f>
        <v>Hum</v>
      </c>
      <c r="W916" s="35" t="str">
        <f>VLOOKUP(D916,Program!$A$1:$B$36,2,FALSE)</f>
        <v>Grundlärarprogrammet - förskoleklass och åk 1-3</v>
      </c>
      <c r="X916" s="40">
        <f>VLOOKUP(A916,kurspris!$A$1:$Q$913,15,FALSE)</f>
        <v>20766</v>
      </c>
      <c r="Y916" s="40">
        <f>VLOOKUP(A916,kurspris!$A$1:$Q$913,16,FALSE)</f>
        <v>17442</v>
      </c>
      <c r="Z916" s="40">
        <f t="shared" si="426"/>
        <v>146815.76250000001</v>
      </c>
      <c r="AA916" s="40">
        <f>VLOOKUP(A916,kurspris!$A$1:$Q$913,17,FALSE)</f>
        <v>6000</v>
      </c>
      <c r="AB916" s="40">
        <f t="shared" si="427"/>
        <v>24750</v>
      </c>
      <c r="AC916" s="40">
        <f t="shared" si="428"/>
        <v>171565.76250000001</v>
      </c>
      <c r="AD916" s="31">
        <f>VLOOKUP($A916,kurspris!$A$1:$Q$950,3,FALSE)</f>
        <v>0</v>
      </c>
      <c r="AE916" s="31">
        <f>VLOOKUP($A916,kurspris!$A$1:$Q$950,4,FALSE)</f>
        <v>1</v>
      </c>
      <c r="AF916" s="31">
        <f>VLOOKUP($A916,kurspris!$A$1:$Q$950,5,FALSE)</f>
        <v>0</v>
      </c>
      <c r="AG916" s="31">
        <f>VLOOKUP($A916,kurspris!$A$1:$Q$950,6,FALSE)</f>
        <v>0</v>
      </c>
      <c r="AH916" s="31">
        <f>VLOOKUP($A916,kurspris!$A$1:$Q$950,7,FALSE)</f>
        <v>0</v>
      </c>
      <c r="AI916" s="31">
        <f>VLOOKUP($A916,kurspris!$A$1:$Q$950,8,FALSE)</f>
        <v>0</v>
      </c>
      <c r="AJ916" s="31">
        <f>VLOOKUP($A916,kurspris!$A$1:$Q$950,9,FALSE)</f>
        <v>0</v>
      </c>
      <c r="AK916" s="31">
        <f>VLOOKUP($A916,kurspris!$A$1:$Q$950,10,FALSE)</f>
        <v>0</v>
      </c>
      <c r="AL916" s="31">
        <f>VLOOKUP($A916,kurspris!$A$1:$Q$950,11,FALSE)</f>
        <v>0</v>
      </c>
      <c r="AM916" s="31">
        <f>VLOOKUP($A916,kurspris!$A$1:$Q$950,12,FALSE)</f>
        <v>0</v>
      </c>
      <c r="AN916" s="31">
        <f>VLOOKUP($A916,kurspris!$A$1:$Q$950,13,FALSE)</f>
        <v>0</v>
      </c>
      <c r="AO916" s="31">
        <f>VLOOKUP($A916,kurspris!$A$1:$Q$950,14,FALSE)</f>
        <v>0</v>
      </c>
      <c r="AP916" s="57" t="s">
        <v>2504</v>
      </c>
      <c r="AQ916"/>
      <c r="AR916" s="31">
        <f t="shared" si="429"/>
        <v>0</v>
      </c>
      <c r="AS916" s="219">
        <f t="shared" si="430"/>
        <v>0</v>
      </c>
      <c r="AT916" s="31">
        <f t="shared" si="431"/>
        <v>4.125</v>
      </c>
      <c r="AU916" s="219">
        <f t="shared" si="432"/>
        <v>3.5062500000000001</v>
      </c>
      <c r="AV916" s="31">
        <f t="shared" si="433"/>
        <v>0</v>
      </c>
      <c r="AW916" s="31">
        <f t="shared" si="434"/>
        <v>0</v>
      </c>
      <c r="AX916" s="31">
        <f t="shared" si="435"/>
        <v>0</v>
      </c>
      <c r="AY916" s="219">
        <f t="shared" si="436"/>
        <v>0</v>
      </c>
      <c r="AZ916" s="196">
        <f t="shared" si="437"/>
        <v>0</v>
      </c>
      <c r="BA916" s="219">
        <f t="shared" si="438"/>
        <v>0</v>
      </c>
      <c r="BB916" s="31">
        <f t="shared" si="439"/>
        <v>0</v>
      </c>
      <c r="BC916" s="219">
        <f t="shared" si="440"/>
        <v>0</v>
      </c>
      <c r="BD916" s="31">
        <f t="shared" si="441"/>
        <v>0</v>
      </c>
      <c r="BE916" s="219">
        <f t="shared" si="442"/>
        <v>0</v>
      </c>
      <c r="BF916" s="31">
        <f t="shared" si="443"/>
        <v>0</v>
      </c>
      <c r="BG916" s="219">
        <f t="shared" si="444"/>
        <v>0</v>
      </c>
      <c r="BH916" s="31">
        <f t="shared" si="445"/>
        <v>0</v>
      </c>
      <c r="BI916" s="219">
        <f t="shared" si="446"/>
        <v>0</v>
      </c>
      <c r="BJ916" s="31">
        <f t="shared" si="447"/>
        <v>0</v>
      </c>
      <c r="BK916" s="219">
        <f t="shared" si="448"/>
        <v>0</v>
      </c>
      <c r="BL916" s="31">
        <f t="shared" si="449"/>
        <v>0</v>
      </c>
      <c r="BM916" s="219">
        <f t="shared" si="450"/>
        <v>0</v>
      </c>
      <c r="BN916" s="31">
        <f t="shared" si="451"/>
        <v>0</v>
      </c>
      <c r="BO916" s="219">
        <f t="shared" si="452"/>
        <v>0</v>
      </c>
    </row>
    <row r="917" spans="1:67" x14ac:dyDescent="0.25">
      <c r="A917" s="31" t="s">
        <v>601</v>
      </c>
      <c r="B917" s="176" t="str">
        <f>VLOOKUP(A917,kurspris!$A$1:$B$992,2,FALSE)</f>
        <v>Svenska för F-3, kurs 3</v>
      </c>
      <c r="D917" s="60" t="s">
        <v>485</v>
      </c>
      <c r="E917" s="576" t="s">
        <v>2432</v>
      </c>
      <c r="F917" s="31" t="s">
        <v>2273</v>
      </c>
      <c r="G917" t="s">
        <v>2439</v>
      </c>
      <c r="H917" t="s">
        <v>2335</v>
      </c>
      <c r="I917" s="31" t="s">
        <v>2276</v>
      </c>
      <c r="L917" s="38">
        <v>1</v>
      </c>
      <c r="M917">
        <v>7.5</v>
      </c>
      <c r="P917" s="31">
        <v>1</v>
      </c>
      <c r="Q917" s="196">
        <f t="shared" si="453"/>
        <v>0.125</v>
      </c>
      <c r="R917" s="38">
        <v>0.85</v>
      </c>
      <c r="S917" s="280">
        <f t="shared" si="425"/>
        <v>0.10625</v>
      </c>
      <c r="T917" s="31">
        <f>VLOOKUP(A917,'Ansvar kurs'!$A$1:$C$1123,2,FALSE)</f>
        <v>1620</v>
      </c>
      <c r="U917" s="31" t="str">
        <f>VLOOKUP(T917,Orgenheter!$A$1:$C$166,2,FALSE)</f>
        <v>Inst för språkstudier</v>
      </c>
      <c r="V917" s="31" t="str">
        <f>VLOOKUP(T917,Orgenheter!$A$1:$C$166,3,FALSE)</f>
        <v>Hum</v>
      </c>
      <c r="W917" s="35" t="str">
        <f>VLOOKUP(D917,Program!$A$1:$B$36,2,FALSE)</f>
        <v>Grundlärarprogrammet - förskoleklass och åk 1-3</v>
      </c>
      <c r="X917" s="40">
        <f>VLOOKUP(A917,kurspris!$A$1:$Q$913,15,FALSE)</f>
        <v>20766</v>
      </c>
      <c r="Y917" s="40">
        <f>VLOOKUP(A917,kurspris!$A$1:$Q$913,16,FALSE)</f>
        <v>17442</v>
      </c>
      <c r="Z917" s="40">
        <f t="shared" si="426"/>
        <v>4448.9624999999996</v>
      </c>
      <c r="AA917" s="40">
        <f>VLOOKUP(A917,kurspris!$A$1:$Q$913,17,FALSE)</f>
        <v>6000</v>
      </c>
      <c r="AB917" s="40">
        <f t="shared" si="427"/>
        <v>750</v>
      </c>
      <c r="AC917" s="40">
        <f t="shared" si="428"/>
        <v>5198.9624999999996</v>
      </c>
      <c r="AD917" s="31">
        <f>VLOOKUP($A917,kurspris!$A$1:$Q$950,3,FALSE)</f>
        <v>0</v>
      </c>
      <c r="AE917" s="31">
        <f>VLOOKUP($A917,kurspris!$A$1:$Q$950,4,FALSE)</f>
        <v>1</v>
      </c>
      <c r="AF917" s="31">
        <f>VLOOKUP($A917,kurspris!$A$1:$Q$950,5,FALSE)</f>
        <v>0</v>
      </c>
      <c r="AG917" s="31">
        <f>VLOOKUP($A917,kurspris!$A$1:$Q$950,6,FALSE)</f>
        <v>0</v>
      </c>
      <c r="AH917" s="31">
        <f>VLOOKUP($A917,kurspris!$A$1:$Q$950,7,FALSE)</f>
        <v>0</v>
      </c>
      <c r="AI917" s="31">
        <f>VLOOKUP($A917,kurspris!$A$1:$Q$950,8,FALSE)</f>
        <v>0</v>
      </c>
      <c r="AJ917" s="31">
        <f>VLOOKUP($A917,kurspris!$A$1:$Q$950,9,FALSE)</f>
        <v>0</v>
      </c>
      <c r="AK917" s="31">
        <f>VLOOKUP($A917,kurspris!$A$1:$Q$950,10,FALSE)</f>
        <v>0</v>
      </c>
      <c r="AL917" s="31">
        <f>VLOOKUP($A917,kurspris!$A$1:$Q$950,11,FALSE)</f>
        <v>0</v>
      </c>
      <c r="AM917" s="31">
        <f>VLOOKUP($A917,kurspris!$A$1:$Q$950,12,FALSE)</f>
        <v>0</v>
      </c>
      <c r="AN917" s="31">
        <f>VLOOKUP($A917,kurspris!$A$1:$Q$950,13,FALSE)</f>
        <v>0</v>
      </c>
      <c r="AO917" s="31">
        <f>VLOOKUP($A917,kurspris!$A$1:$Q$950,14,FALSE)</f>
        <v>0</v>
      </c>
      <c r="AP917" s="57" t="s">
        <v>2504</v>
      </c>
      <c r="AQ917"/>
      <c r="AR917" s="31">
        <f t="shared" si="429"/>
        <v>0</v>
      </c>
      <c r="AS917" s="219">
        <f t="shared" si="430"/>
        <v>0</v>
      </c>
      <c r="AT917" s="31">
        <f t="shared" si="431"/>
        <v>0.125</v>
      </c>
      <c r="AU917" s="219">
        <f t="shared" si="432"/>
        <v>0.10625</v>
      </c>
      <c r="AV917" s="31">
        <f t="shared" si="433"/>
        <v>0</v>
      </c>
      <c r="AW917" s="31">
        <f t="shared" si="434"/>
        <v>0</v>
      </c>
      <c r="AX917" s="31">
        <f t="shared" si="435"/>
        <v>0</v>
      </c>
      <c r="AY917" s="219">
        <f t="shared" si="436"/>
        <v>0</v>
      </c>
      <c r="AZ917" s="196">
        <f t="shared" si="437"/>
        <v>0</v>
      </c>
      <c r="BA917" s="219">
        <f t="shared" si="438"/>
        <v>0</v>
      </c>
      <c r="BB917" s="31">
        <f t="shared" si="439"/>
        <v>0</v>
      </c>
      <c r="BC917" s="219">
        <f t="shared" si="440"/>
        <v>0</v>
      </c>
      <c r="BD917" s="31">
        <f t="shared" si="441"/>
        <v>0</v>
      </c>
      <c r="BE917" s="219">
        <f t="shared" si="442"/>
        <v>0</v>
      </c>
      <c r="BF917" s="31">
        <f t="shared" si="443"/>
        <v>0</v>
      </c>
      <c r="BG917" s="219">
        <f t="shared" si="444"/>
        <v>0</v>
      </c>
      <c r="BH917" s="31">
        <f t="shared" si="445"/>
        <v>0</v>
      </c>
      <c r="BI917" s="219">
        <f t="shared" si="446"/>
        <v>0</v>
      </c>
      <c r="BJ917" s="31">
        <f t="shared" si="447"/>
        <v>0</v>
      </c>
      <c r="BK917" s="219">
        <f t="shared" si="448"/>
        <v>0</v>
      </c>
      <c r="BL917" s="31">
        <f t="shared" si="449"/>
        <v>0</v>
      </c>
      <c r="BM917" s="219">
        <f t="shared" si="450"/>
        <v>0</v>
      </c>
      <c r="BN917" s="31">
        <f t="shared" si="451"/>
        <v>0</v>
      </c>
      <c r="BO917" s="219">
        <f t="shared" si="452"/>
        <v>0</v>
      </c>
    </row>
    <row r="918" spans="1:67" x14ac:dyDescent="0.25">
      <c r="A918" s="157" t="s">
        <v>518</v>
      </c>
      <c r="B918" s="176" t="str">
        <f>VLOOKUP(A918,kurspris!$A$1:$B$992,2,FALSE)</f>
        <v>Svenska för åk 4-6, kurs 1</v>
      </c>
      <c r="C918" s="31">
        <v>71810</v>
      </c>
      <c r="D918" s="31" t="s">
        <v>523</v>
      </c>
      <c r="F918" s="57" t="s">
        <v>2274</v>
      </c>
      <c r="H918" s="31" t="s">
        <v>2335</v>
      </c>
      <c r="I918" s="31" t="s">
        <v>2399</v>
      </c>
      <c r="L918" s="38"/>
      <c r="M918">
        <v>15</v>
      </c>
      <c r="P918" s="31">
        <v>50</v>
      </c>
      <c r="Q918" s="539">
        <v>12.5</v>
      </c>
      <c r="R918" s="38">
        <v>0.85</v>
      </c>
      <c r="S918" s="280">
        <f t="shared" si="425"/>
        <v>10.625</v>
      </c>
      <c r="T918" s="31">
        <f>VLOOKUP(A918,'Ansvar kurs'!$A$1:$C$1123,2,FALSE)</f>
        <v>1620</v>
      </c>
      <c r="U918" s="31" t="str">
        <f>VLOOKUP(T918,Orgenheter!$A$1:$C$166,2,FALSE)</f>
        <v>Inst för språkstudier</v>
      </c>
      <c r="V918" s="31" t="str">
        <f>VLOOKUP(T918,Orgenheter!$A$1:$C$166,3,FALSE)</f>
        <v>Hum</v>
      </c>
      <c r="W918" s="35" t="str">
        <f>VLOOKUP(D918,Program!$A$1:$B$36,2,FALSE)</f>
        <v>Grundlärarprogrammet - grundskolans åk 4-6</v>
      </c>
      <c r="X918" s="40">
        <f>VLOOKUP(A918,kurspris!$A$1:$Q$913,15,FALSE)</f>
        <v>20766</v>
      </c>
      <c r="Y918" s="40">
        <f>VLOOKUP(A918,kurspris!$A$1:$Q$913,16,FALSE)</f>
        <v>17442</v>
      </c>
      <c r="Z918" s="40">
        <f t="shared" si="426"/>
        <v>444896.25</v>
      </c>
      <c r="AA918" s="40">
        <f>VLOOKUP(A918,kurspris!$A$1:$Q$913,17,FALSE)</f>
        <v>6000</v>
      </c>
      <c r="AB918" s="40">
        <f t="shared" si="427"/>
        <v>75000</v>
      </c>
      <c r="AC918" s="40">
        <f t="shared" si="428"/>
        <v>519896.25</v>
      </c>
      <c r="AD918" s="31">
        <f>VLOOKUP($A918,kurspris!$A$1:$Q$950,3,FALSE)</f>
        <v>0</v>
      </c>
      <c r="AE918" s="31">
        <f>VLOOKUP($A918,kurspris!$A$1:$Q$950,4,FALSE)</f>
        <v>1</v>
      </c>
      <c r="AF918" s="31">
        <f>VLOOKUP($A918,kurspris!$A$1:$Q$950,5,FALSE)</f>
        <v>0</v>
      </c>
      <c r="AG918" s="31">
        <f>VLOOKUP($A918,kurspris!$A$1:$Q$950,6,FALSE)</f>
        <v>0</v>
      </c>
      <c r="AH918" s="31">
        <f>VLOOKUP($A918,kurspris!$A$1:$Q$950,7,FALSE)</f>
        <v>0</v>
      </c>
      <c r="AI918" s="31">
        <f>VLOOKUP($A918,kurspris!$A$1:$Q$950,8,FALSE)</f>
        <v>0</v>
      </c>
      <c r="AJ918" s="31">
        <f>VLOOKUP($A918,kurspris!$A$1:$Q$950,9,FALSE)</f>
        <v>0</v>
      </c>
      <c r="AK918" s="31">
        <f>VLOOKUP($A918,kurspris!$A$1:$Q$950,10,FALSE)</f>
        <v>0</v>
      </c>
      <c r="AL918" s="31">
        <f>VLOOKUP($A918,kurspris!$A$1:$Q$950,11,FALSE)</f>
        <v>0</v>
      </c>
      <c r="AM918" s="31">
        <f>VLOOKUP($A918,kurspris!$A$1:$Q$950,12,FALSE)</f>
        <v>0</v>
      </c>
      <c r="AN918" s="31">
        <f>VLOOKUP($A918,kurspris!$A$1:$Q$950,13,FALSE)</f>
        <v>0</v>
      </c>
      <c r="AO918" s="31">
        <f>VLOOKUP($A918,kurspris!$A$1:$Q$950,14,FALSE)</f>
        <v>0</v>
      </c>
      <c r="AP918" s="57" t="s">
        <v>2402</v>
      </c>
      <c r="AQ918"/>
      <c r="AR918" s="31">
        <f t="shared" si="429"/>
        <v>0</v>
      </c>
      <c r="AS918" s="219">
        <f t="shared" si="430"/>
        <v>0</v>
      </c>
      <c r="AT918" s="31">
        <f t="shared" si="431"/>
        <v>12.5</v>
      </c>
      <c r="AU918" s="219">
        <f t="shared" si="432"/>
        <v>10.625</v>
      </c>
      <c r="AV918" s="31">
        <f t="shared" si="433"/>
        <v>0</v>
      </c>
      <c r="AW918" s="31">
        <f t="shared" si="434"/>
        <v>0</v>
      </c>
      <c r="AX918" s="31">
        <f t="shared" si="435"/>
        <v>0</v>
      </c>
      <c r="AY918" s="219">
        <f t="shared" si="436"/>
        <v>0</v>
      </c>
      <c r="AZ918" s="196">
        <f t="shared" si="437"/>
        <v>0</v>
      </c>
      <c r="BA918" s="219">
        <f t="shared" si="438"/>
        <v>0</v>
      </c>
      <c r="BB918" s="31">
        <f t="shared" si="439"/>
        <v>0</v>
      </c>
      <c r="BC918" s="219">
        <f t="shared" si="440"/>
        <v>0</v>
      </c>
      <c r="BD918" s="31">
        <f t="shared" si="441"/>
        <v>0</v>
      </c>
      <c r="BE918" s="219">
        <f t="shared" si="442"/>
        <v>0</v>
      </c>
      <c r="BF918" s="31">
        <f t="shared" si="443"/>
        <v>0</v>
      </c>
      <c r="BG918" s="219">
        <f t="shared" si="444"/>
        <v>0</v>
      </c>
      <c r="BH918" s="31">
        <f t="shared" si="445"/>
        <v>0</v>
      </c>
      <c r="BI918" s="219">
        <f t="shared" si="446"/>
        <v>0</v>
      </c>
      <c r="BJ918" s="31">
        <f t="shared" si="447"/>
        <v>0</v>
      </c>
      <c r="BK918" s="219">
        <f t="shared" si="448"/>
        <v>0</v>
      </c>
      <c r="BL918" s="31">
        <f t="shared" si="449"/>
        <v>0</v>
      </c>
      <c r="BM918" s="219">
        <f t="shared" si="450"/>
        <v>0</v>
      </c>
      <c r="BN918" s="31">
        <f t="shared" si="451"/>
        <v>0</v>
      </c>
      <c r="BO918" s="219">
        <f t="shared" si="452"/>
        <v>0</v>
      </c>
    </row>
    <row r="919" spans="1:67" x14ac:dyDescent="0.25">
      <c r="A919" s="31" t="s">
        <v>519</v>
      </c>
      <c r="B919" s="176" t="str">
        <f>VLOOKUP(A919,kurspris!$A$1:$B$992,2,FALSE)</f>
        <v>Svenska för åk 4-6, kurs 2</v>
      </c>
      <c r="D919" s="60" t="s">
        <v>523</v>
      </c>
      <c r="E919" s="576" t="s">
        <v>2432</v>
      </c>
      <c r="F919" s="31" t="s">
        <v>2273</v>
      </c>
      <c r="G919" t="s">
        <v>2438</v>
      </c>
      <c r="H919" t="s">
        <v>2335</v>
      </c>
      <c r="I919" s="31" t="s">
        <v>2276</v>
      </c>
      <c r="L919" s="38">
        <v>1</v>
      </c>
      <c r="M919">
        <v>7.5</v>
      </c>
      <c r="P919" s="31">
        <v>41</v>
      </c>
      <c r="Q919" s="196">
        <f t="shared" ref="Q919:Q924" si="454">(M919/60)*P919</f>
        <v>5.125</v>
      </c>
      <c r="R919" s="38">
        <v>0.85</v>
      </c>
      <c r="S919" s="280">
        <f t="shared" si="425"/>
        <v>4.3562500000000002</v>
      </c>
      <c r="T919" s="31">
        <f>VLOOKUP(A919,'Ansvar kurs'!$A$1:$C$1123,2,FALSE)</f>
        <v>1620</v>
      </c>
      <c r="U919" s="31" t="str">
        <f>VLOOKUP(T919,Orgenheter!$A$1:$C$166,2,FALSE)</f>
        <v>Inst för språkstudier</v>
      </c>
      <c r="V919" s="31" t="str">
        <f>VLOOKUP(T919,Orgenheter!$A$1:$C$166,3,FALSE)</f>
        <v>Hum</v>
      </c>
      <c r="W919" s="35" t="str">
        <f>VLOOKUP(D919,Program!$A$1:$B$36,2,FALSE)</f>
        <v>Grundlärarprogrammet - grundskolans åk 4-6</v>
      </c>
      <c r="X919" s="40">
        <f>VLOOKUP(A919,kurspris!$A$1:$Q$913,15,FALSE)</f>
        <v>20766</v>
      </c>
      <c r="Y919" s="40">
        <f>VLOOKUP(A919,kurspris!$A$1:$Q$913,16,FALSE)</f>
        <v>17442</v>
      </c>
      <c r="Z919" s="40">
        <f t="shared" si="426"/>
        <v>182407.46250000002</v>
      </c>
      <c r="AA919" s="40">
        <f>VLOOKUP(A919,kurspris!$A$1:$Q$913,17,FALSE)</f>
        <v>6000</v>
      </c>
      <c r="AB919" s="40">
        <f t="shared" si="427"/>
        <v>30750</v>
      </c>
      <c r="AC919" s="40">
        <f t="shared" si="428"/>
        <v>213157.46250000002</v>
      </c>
      <c r="AD919" s="31">
        <f>VLOOKUP($A919,kurspris!$A$1:$Q$950,3,FALSE)</f>
        <v>0</v>
      </c>
      <c r="AE919" s="31">
        <f>VLOOKUP($A919,kurspris!$A$1:$Q$950,4,FALSE)</f>
        <v>1</v>
      </c>
      <c r="AF919" s="31">
        <f>VLOOKUP($A919,kurspris!$A$1:$Q$950,5,FALSE)</f>
        <v>0</v>
      </c>
      <c r="AG919" s="31">
        <f>VLOOKUP($A919,kurspris!$A$1:$Q$950,6,FALSE)</f>
        <v>0</v>
      </c>
      <c r="AH919" s="31">
        <f>VLOOKUP($A919,kurspris!$A$1:$Q$950,7,FALSE)</f>
        <v>0</v>
      </c>
      <c r="AI919" s="31">
        <f>VLOOKUP($A919,kurspris!$A$1:$Q$950,8,FALSE)</f>
        <v>0</v>
      </c>
      <c r="AJ919" s="31">
        <f>VLOOKUP($A919,kurspris!$A$1:$Q$950,9,FALSE)</f>
        <v>0</v>
      </c>
      <c r="AK919" s="31">
        <f>VLOOKUP($A919,kurspris!$A$1:$Q$950,10,FALSE)</f>
        <v>0</v>
      </c>
      <c r="AL919" s="31">
        <f>VLOOKUP($A919,kurspris!$A$1:$Q$950,11,FALSE)</f>
        <v>0</v>
      </c>
      <c r="AM919" s="31">
        <f>VLOOKUP($A919,kurspris!$A$1:$Q$950,12,FALSE)</f>
        <v>0</v>
      </c>
      <c r="AN919" s="31">
        <f>VLOOKUP($A919,kurspris!$A$1:$Q$950,13,FALSE)</f>
        <v>0</v>
      </c>
      <c r="AO919" s="31">
        <f>VLOOKUP($A919,kurspris!$A$1:$Q$950,14,FALSE)</f>
        <v>0</v>
      </c>
      <c r="AP919" s="57" t="s">
        <v>2504</v>
      </c>
      <c r="AQ919"/>
      <c r="AR919" s="31">
        <f t="shared" si="429"/>
        <v>0</v>
      </c>
      <c r="AS919" s="219">
        <f t="shared" si="430"/>
        <v>0</v>
      </c>
      <c r="AT919" s="31">
        <f t="shared" si="431"/>
        <v>5.125</v>
      </c>
      <c r="AU919" s="219">
        <f t="shared" si="432"/>
        <v>4.3562500000000002</v>
      </c>
      <c r="AV919" s="31">
        <f t="shared" si="433"/>
        <v>0</v>
      </c>
      <c r="AW919" s="31">
        <f t="shared" si="434"/>
        <v>0</v>
      </c>
      <c r="AX919" s="31">
        <f t="shared" si="435"/>
        <v>0</v>
      </c>
      <c r="AY919" s="219">
        <f t="shared" si="436"/>
        <v>0</v>
      </c>
      <c r="AZ919" s="196">
        <f t="shared" si="437"/>
        <v>0</v>
      </c>
      <c r="BA919" s="219">
        <f t="shared" si="438"/>
        <v>0</v>
      </c>
      <c r="BB919" s="31">
        <f t="shared" si="439"/>
        <v>0</v>
      </c>
      <c r="BC919" s="219">
        <f t="shared" si="440"/>
        <v>0</v>
      </c>
      <c r="BD919" s="31">
        <f t="shared" si="441"/>
        <v>0</v>
      </c>
      <c r="BE919" s="219">
        <f t="shared" si="442"/>
        <v>0</v>
      </c>
      <c r="BF919" s="31">
        <f t="shared" si="443"/>
        <v>0</v>
      </c>
      <c r="BG919" s="219">
        <f t="shared" si="444"/>
        <v>0</v>
      </c>
      <c r="BH919" s="31">
        <f t="shared" si="445"/>
        <v>0</v>
      </c>
      <c r="BI919" s="219">
        <f t="shared" si="446"/>
        <v>0</v>
      </c>
      <c r="BJ919" s="31">
        <f t="shared" si="447"/>
        <v>0</v>
      </c>
      <c r="BK919" s="219">
        <f t="shared" si="448"/>
        <v>0</v>
      </c>
      <c r="BL919" s="31">
        <f t="shared" si="449"/>
        <v>0</v>
      </c>
      <c r="BM919" s="219">
        <f t="shared" si="450"/>
        <v>0</v>
      </c>
      <c r="BN919" s="31">
        <f t="shared" si="451"/>
        <v>0</v>
      </c>
      <c r="BO919" s="219">
        <f t="shared" si="452"/>
        <v>0</v>
      </c>
    </row>
    <row r="920" spans="1:67" x14ac:dyDescent="0.25">
      <c r="A920" s="31" t="s">
        <v>602</v>
      </c>
      <c r="B920" s="176" t="str">
        <f>VLOOKUP(A920,kurspris!$A$1:$B$992,2,FALSE)</f>
        <v>Svenska för åk 4-6, kurs 3</v>
      </c>
      <c r="D920" s="60" t="s">
        <v>523</v>
      </c>
      <c r="E920" s="576" t="s">
        <v>2226</v>
      </c>
      <c r="F920" s="31" t="s">
        <v>2273</v>
      </c>
      <c r="G920" t="s">
        <v>2439</v>
      </c>
      <c r="H920" t="s">
        <v>2335</v>
      </c>
      <c r="I920" s="31" t="s">
        <v>2276</v>
      </c>
      <c r="L920" s="38">
        <v>1</v>
      </c>
      <c r="M920">
        <v>7.5</v>
      </c>
      <c r="P920" s="31">
        <v>1</v>
      </c>
      <c r="Q920" s="196">
        <f t="shared" si="454"/>
        <v>0.125</v>
      </c>
      <c r="R920" s="38">
        <v>0.85</v>
      </c>
      <c r="S920" s="280">
        <f t="shared" si="425"/>
        <v>0.10625</v>
      </c>
      <c r="T920" s="31">
        <f>VLOOKUP(A920,'Ansvar kurs'!$A$1:$C$1123,2,FALSE)</f>
        <v>1620</v>
      </c>
      <c r="U920" s="31" t="str">
        <f>VLOOKUP(T920,Orgenheter!$A$1:$C$166,2,FALSE)</f>
        <v>Inst för språkstudier</v>
      </c>
      <c r="V920" s="31" t="str">
        <f>VLOOKUP(T920,Orgenheter!$A$1:$C$166,3,FALSE)</f>
        <v>Hum</v>
      </c>
      <c r="W920" s="35" t="str">
        <f>VLOOKUP(D920,Program!$A$1:$B$36,2,FALSE)</f>
        <v>Grundlärarprogrammet - grundskolans åk 4-6</v>
      </c>
      <c r="X920" s="40">
        <f>VLOOKUP(A920,kurspris!$A$1:$Q$913,15,FALSE)</f>
        <v>20766</v>
      </c>
      <c r="Y920" s="40">
        <f>VLOOKUP(A920,kurspris!$A$1:$Q$913,16,FALSE)</f>
        <v>17442</v>
      </c>
      <c r="Z920" s="40">
        <f t="shared" si="426"/>
        <v>4448.9624999999996</v>
      </c>
      <c r="AA920" s="40">
        <f>VLOOKUP(A920,kurspris!$A$1:$Q$913,17,FALSE)</f>
        <v>6000</v>
      </c>
      <c r="AB920" s="40">
        <f t="shared" si="427"/>
        <v>750</v>
      </c>
      <c r="AC920" s="40">
        <f t="shared" si="428"/>
        <v>5198.9624999999996</v>
      </c>
      <c r="AD920" s="31">
        <f>VLOOKUP($A920,kurspris!$A$1:$Q$950,3,FALSE)</f>
        <v>0</v>
      </c>
      <c r="AE920" s="31">
        <f>VLOOKUP($A920,kurspris!$A$1:$Q$950,4,FALSE)</f>
        <v>1</v>
      </c>
      <c r="AF920" s="31">
        <f>VLOOKUP($A920,kurspris!$A$1:$Q$950,5,FALSE)</f>
        <v>0</v>
      </c>
      <c r="AG920" s="31">
        <f>VLOOKUP($A920,kurspris!$A$1:$Q$950,6,FALSE)</f>
        <v>0</v>
      </c>
      <c r="AH920" s="31">
        <f>VLOOKUP($A920,kurspris!$A$1:$Q$950,7,FALSE)</f>
        <v>0</v>
      </c>
      <c r="AI920" s="31">
        <f>VLOOKUP($A920,kurspris!$A$1:$Q$950,8,FALSE)</f>
        <v>0</v>
      </c>
      <c r="AJ920" s="31">
        <f>VLOOKUP($A920,kurspris!$A$1:$Q$950,9,FALSE)</f>
        <v>0</v>
      </c>
      <c r="AK920" s="31">
        <f>VLOOKUP($A920,kurspris!$A$1:$Q$950,10,FALSE)</f>
        <v>0</v>
      </c>
      <c r="AL920" s="31">
        <f>VLOOKUP($A920,kurspris!$A$1:$Q$950,11,FALSE)</f>
        <v>0</v>
      </c>
      <c r="AM920" s="31">
        <f>VLOOKUP($A920,kurspris!$A$1:$Q$950,12,FALSE)</f>
        <v>0</v>
      </c>
      <c r="AN920" s="31">
        <f>VLOOKUP($A920,kurspris!$A$1:$Q$950,13,FALSE)</f>
        <v>0</v>
      </c>
      <c r="AO920" s="31">
        <f>VLOOKUP($A920,kurspris!$A$1:$Q$950,14,FALSE)</f>
        <v>0</v>
      </c>
      <c r="AP920" s="57" t="s">
        <v>2504</v>
      </c>
      <c r="AQ920"/>
      <c r="AR920" s="31">
        <f t="shared" si="429"/>
        <v>0</v>
      </c>
      <c r="AS920" s="219">
        <f t="shared" si="430"/>
        <v>0</v>
      </c>
      <c r="AT920" s="31">
        <f t="shared" si="431"/>
        <v>0.125</v>
      </c>
      <c r="AU920" s="219">
        <f t="shared" si="432"/>
        <v>0.10625</v>
      </c>
      <c r="AV920" s="31">
        <f t="shared" si="433"/>
        <v>0</v>
      </c>
      <c r="AW920" s="31">
        <f t="shared" si="434"/>
        <v>0</v>
      </c>
      <c r="AX920" s="31">
        <f t="shared" si="435"/>
        <v>0</v>
      </c>
      <c r="AY920" s="219">
        <f t="shared" si="436"/>
        <v>0</v>
      </c>
      <c r="AZ920" s="196">
        <f t="shared" si="437"/>
        <v>0</v>
      </c>
      <c r="BA920" s="219">
        <f t="shared" si="438"/>
        <v>0</v>
      </c>
      <c r="BB920" s="31">
        <f t="shared" si="439"/>
        <v>0</v>
      </c>
      <c r="BC920" s="219">
        <f t="shared" si="440"/>
        <v>0</v>
      </c>
      <c r="BD920" s="31">
        <f t="shared" si="441"/>
        <v>0</v>
      </c>
      <c r="BE920" s="219">
        <f t="shared" si="442"/>
        <v>0</v>
      </c>
      <c r="BF920" s="31">
        <f t="shared" si="443"/>
        <v>0</v>
      </c>
      <c r="BG920" s="219">
        <f t="shared" si="444"/>
        <v>0</v>
      </c>
      <c r="BH920" s="31">
        <f t="shared" si="445"/>
        <v>0</v>
      </c>
      <c r="BI920" s="219">
        <f t="shared" si="446"/>
        <v>0</v>
      </c>
      <c r="BJ920" s="31">
        <f t="shared" si="447"/>
        <v>0</v>
      </c>
      <c r="BK920" s="219">
        <f t="shared" si="448"/>
        <v>0</v>
      </c>
      <c r="BL920" s="31">
        <f t="shared" si="449"/>
        <v>0</v>
      </c>
      <c r="BM920" s="219">
        <f t="shared" si="450"/>
        <v>0</v>
      </c>
      <c r="BN920" s="31">
        <f t="shared" si="451"/>
        <v>0</v>
      </c>
      <c r="BO920" s="219">
        <f t="shared" si="452"/>
        <v>0</v>
      </c>
    </row>
    <row r="921" spans="1:67" x14ac:dyDescent="0.25">
      <c r="A921" s="31" t="s">
        <v>602</v>
      </c>
      <c r="B921" s="176" t="str">
        <f>VLOOKUP(A921,kurspris!$A$1:$B$992,2,FALSE)</f>
        <v>Svenska för åk 4-6, kurs 3</v>
      </c>
      <c r="D921" s="60" t="s">
        <v>523</v>
      </c>
      <c r="E921" s="576" t="s">
        <v>2434</v>
      </c>
      <c r="F921" s="31" t="s">
        <v>2273</v>
      </c>
      <c r="G921" t="s">
        <v>2439</v>
      </c>
      <c r="H921" t="s">
        <v>2335</v>
      </c>
      <c r="I921" s="31" t="s">
        <v>2276</v>
      </c>
      <c r="L921" s="38">
        <v>1</v>
      </c>
      <c r="M921">
        <v>7.5</v>
      </c>
      <c r="P921" s="31">
        <v>21</v>
      </c>
      <c r="Q921" s="196">
        <f t="shared" si="454"/>
        <v>2.625</v>
      </c>
      <c r="R921" s="38">
        <v>0.85</v>
      </c>
      <c r="S921" s="280">
        <f t="shared" si="425"/>
        <v>2.2312499999999997</v>
      </c>
      <c r="T921" s="31">
        <f>VLOOKUP(A921,'Ansvar kurs'!$A$1:$C$1123,2,FALSE)</f>
        <v>1620</v>
      </c>
      <c r="U921" s="31" t="str">
        <f>VLOOKUP(T921,Orgenheter!$A$1:$C$166,2,FALSE)</f>
        <v>Inst för språkstudier</v>
      </c>
      <c r="V921" s="31" t="str">
        <f>VLOOKUP(T921,Orgenheter!$A$1:$C$166,3,FALSE)</f>
        <v>Hum</v>
      </c>
      <c r="W921" s="35" t="str">
        <f>VLOOKUP(D921,Program!$A$1:$B$36,2,FALSE)</f>
        <v>Grundlärarprogrammet - grundskolans åk 4-6</v>
      </c>
      <c r="X921" s="40">
        <f>VLOOKUP(A921,kurspris!$A$1:$Q$913,15,FALSE)</f>
        <v>20766</v>
      </c>
      <c r="Y921" s="40">
        <f>VLOOKUP(A921,kurspris!$A$1:$Q$913,16,FALSE)</f>
        <v>17442</v>
      </c>
      <c r="Z921" s="40">
        <f t="shared" si="426"/>
        <v>93428.212499999994</v>
      </c>
      <c r="AA921" s="40">
        <f>VLOOKUP(A921,kurspris!$A$1:$Q$913,17,FALSE)</f>
        <v>6000</v>
      </c>
      <c r="AB921" s="40">
        <f t="shared" si="427"/>
        <v>15750</v>
      </c>
      <c r="AC921" s="40">
        <f t="shared" si="428"/>
        <v>109178.21249999999</v>
      </c>
      <c r="AD921" s="31">
        <f>VLOOKUP($A921,kurspris!$A$1:$Q$950,3,FALSE)</f>
        <v>0</v>
      </c>
      <c r="AE921" s="31">
        <f>VLOOKUP($A921,kurspris!$A$1:$Q$950,4,FALSE)</f>
        <v>1</v>
      </c>
      <c r="AF921" s="31">
        <f>VLOOKUP($A921,kurspris!$A$1:$Q$950,5,FALSE)</f>
        <v>0</v>
      </c>
      <c r="AG921" s="31">
        <f>VLOOKUP($A921,kurspris!$A$1:$Q$950,6,FALSE)</f>
        <v>0</v>
      </c>
      <c r="AH921" s="31">
        <f>VLOOKUP($A921,kurspris!$A$1:$Q$950,7,FALSE)</f>
        <v>0</v>
      </c>
      <c r="AI921" s="31">
        <f>VLOOKUP($A921,kurspris!$A$1:$Q$950,8,FALSE)</f>
        <v>0</v>
      </c>
      <c r="AJ921" s="31">
        <f>VLOOKUP($A921,kurspris!$A$1:$Q$950,9,FALSE)</f>
        <v>0</v>
      </c>
      <c r="AK921" s="31">
        <f>VLOOKUP($A921,kurspris!$A$1:$Q$950,10,FALSE)</f>
        <v>0</v>
      </c>
      <c r="AL921" s="31">
        <f>VLOOKUP($A921,kurspris!$A$1:$Q$950,11,FALSE)</f>
        <v>0</v>
      </c>
      <c r="AM921" s="31">
        <f>VLOOKUP($A921,kurspris!$A$1:$Q$950,12,FALSE)</f>
        <v>0</v>
      </c>
      <c r="AN921" s="31">
        <f>VLOOKUP($A921,kurspris!$A$1:$Q$950,13,FALSE)</f>
        <v>0</v>
      </c>
      <c r="AO921" s="31">
        <f>VLOOKUP($A921,kurspris!$A$1:$Q$950,14,FALSE)</f>
        <v>0</v>
      </c>
      <c r="AP921" s="57" t="s">
        <v>2504</v>
      </c>
      <c r="AQ921"/>
      <c r="AR921" s="31">
        <f t="shared" si="429"/>
        <v>0</v>
      </c>
      <c r="AS921" s="219">
        <f t="shared" si="430"/>
        <v>0</v>
      </c>
      <c r="AT921" s="31">
        <f t="shared" si="431"/>
        <v>2.625</v>
      </c>
      <c r="AU921" s="219">
        <f t="shared" si="432"/>
        <v>2.2312499999999997</v>
      </c>
      <c r="AV921" s="31">
        <f t="shared" si="433"/>
        <v>0</v>
      </c>
      <c r="AW921" s="31">
        <f t="shared" si="434"/>
        <v>0</v>
      </c>
      <c r="AX921" s="31">
        <f t="shared" si="435"/>
        <v>0</v>
      </c>
      <c r="AY921" s="219">
        <f t="shared" si="436"/>
        <v>0</v>
      </c>
      <c r="AZ921" s="196">
        <f t="shared" si="437"/>
        <v>0</v>
      </c>
      <c r="BA921" s="219">
        <f t="shared" si="438"/>
        <v>0</v>
      </c>
      <c r="BB921" s="31">
        <f t="shared" si="439"/>
        <v>0</v>
      </c>
      <c r="BC921" s="219">
        <f t="shared" si="440"/>
        <v>0</v>
      </c>
      <c r="BD921" s="31">
        <f t="shared" si="441"/>
        <v>0</v>
      </c>
      <c r="BE921" s="219">
        <f t="shared" si="442"/>
        <v>0</v>
      </c>
      <c r="BF921" s="31">
        <f t="shared" si="443"/>
        <v>0</v>
      </c>
      <c r="BG921" s="219">
        <f t="shared" si="444"/>
        <v>0</v>
      </c>
      <c r="BH921" s="31">
        <f t="shared" si="445"/>
        <v>0</v>
      </c>
      <c r="BI921" s="219">
        <f t="shared" si="446"/>
        <v>0</v>
      </c>
      <c r="BJ921" s="31">
        <f t="shared" si="447"/>
        <v>0</v>
      </c>
      <c r="BK921" s="219">
        <f t="shared" si="448"/>
        <v>0</v>
      </c>
      <c r="BL921" s="31">
        <f t="shared" si="449"/>
        <v>0</v>
      </c>
      <c r="BM921" s="219">
        <f t="shared" si="450"/>
        <v>0</v>
      </c>
      <c r="BN921" s="31">
        <f t="shared" si="451"/>
        <v>0</v>
      </c>
      <c r="BO921" s="219">
        <f t="shared" si="452"/>
        <v>0</v>
      </c>
    </row>
    <row r="922" spans="1:67" x14ac:dyDescent="0.25">
      <c r="A922" s="31" t="s">
        <v>1840</v>
      </c>
      <c r="B922" s="176" t="str">
        <f>VLOOKUP(A922,kurspris!$A$1:$B$992,2,FALSE)</f>
        <v>Att undervisa i svenska som andraspråk (VFU)</v>
      </c>
      <c r="D922" s="60" t="s">
        <v>482</v>
      </c>
      <c r="E922" s="576" t="s">
        <v>2434</v>
      </c>
      <c r="F922" s="31" t="s">
        <v>2273</v>
      </c>
      <c r="G922" t="s">
        <v>2444</v>
      </c>
      <c r="H922" t="s">
        <v>2335</v>
      </c>
      <c r="J922" s="31" t="s">
        <v>2248</v>
      </c>
      <c r="L922" s="38">
        <v>1</v>
      </c>
      <c r="M922">
        <v>6</v>
      </c>
      <c r="P922" s="31">
        <v>2</v>
      </c>
      <c r="Q922" s="196">
        <f t="shared" si="454"/>
        <v>0.2</v>
      </c>
      <c r="R922" s="38">
        <v>0.85</v>
      </c>
      <c r="S922" s="280">
        <f t="shared" si="425"/>
        <v>0.17</v>
      </c>
      <c r="T922" s="31">
        <f>VLOOKUP(A922,'Ansvar kurs'!$A$1:$C$1123,2,FALSE)</f>
        <v>1620</v>
      </c>
      <c r="U922" s="31" t="str">
        <f>VLOOKUP(T922,Orgenheter!$A$1:$C$166,2,FALSE)</f>
        <v>Inst för språkstudier</v>
      </c>
      <c r="V922" s="31" t="str">
        <f>VLOOKUP(T922,Orgenheter!$A$1:$C$166,3,FALSE)</f>
        <v>Hum</v>
      </c>
      <c r="W922" s="35" t="str">
        <f>VLOOKUP(D922,Program!$A$1:$B$36,2,FALSE)</f>
        <v>Ämneslärarprogrammet - Gy</v>
      </c>
      <c r="X922" s="40">
        <f>VLOOKUP(A922,kurspris!$A$1:$Q$913,15,FALSE)</f>
        <v>25235</v>
      </c>
      <c r="Y922" s="40">
        <f>VLOOKUP(A922,kurspris!$A$1:$Q$913,16,FALSE)</f>
        <v>27976</v>
      </c>
      <c r="Z922" s="40">
        <f t="shared" si="426"/>
        <v>9802.92</v>
      </c>
      <c r="AA922" s="40">
        <f>VLOOKUP(A922,kurspris!$A$1:$Q$913,17,FALSE)</f>
        <v>3600</v>
      </c>
      <c r="AB922" s="40">
        <f t="shared" si="427"/>
        <v>720</v>
      </c>
      <c r="AC922" s="40">
        <f t="shared" si="428"/>
        <v>10522.92</v>
      </c>
      <c r="AD922" s="31">
        <f>VLOOKUP($A922,kurspris!$A$1:$Q$950,3,FALSE)</f>
        <v>0</v>
      </c>
      <c r="AE922" s="31">
        <f>VLOOKUP($A922,kurspris!$A$1:$Q$950,4,FALSE)</f>
        <v>0</v>
      </c>
      <c r="AF922" s="31">
        <f>VLOOKUP($A922,kurspris!$A$1:$Q$950,5,FALSE)</f>
        <v>0</v>
      </c>
      <c r="AG922" s="31">
        <f>VLOOKUP($A922,kurspris!$A$1:$Q$950,6,FALSE)</f>
        <v>0</v>
      </c>
      <c r="AH922" s="31">
        <f>VLOOKUP($A922,kurspris!$A$1:$Q$950,7,FALSE)</f>
        <v>0</v>
      </c>
      <c r="AI922" s="31">
        <f>VLOOKUP($A922,kurspris!$A$1:$Q$950,8,FALSE)</f>
        <v>0</v>
      </c>
      <c r="AJ922" s="31">
        <f>VLOOKUP($A922,kurspris!$A$1:$Q$950,9,FALSE)</f>
        <v>0</v>
      </c>
      <c r="AK922" s="31">
        <f>VLOOKUP($A922,kurspris!$A$1:$Q$950,10,FALSE)</f>
        <v>0</v>
      </c>
      <c r="AL922" s="31">
        <f>VLOOKUP($A922,kurspris!$A$1:$Q$950,11,FALSE)</f>
        <v>1</v>
      </c>
      <c r="AM922" s="31">
        <f>VLOOKUP($A922,kurspris!$A$1:$Q$950,12,FALSE)</f>
        <v>0</v>
      </c>
      <c r="AN922" s="31">
        <f>VLOOKUP($A922,kurspris!$A$1:$Q$950,13,FALSE)</f>
        <v>0</v>
      </c>
      <c r="AO922" s="31">
        <f>VLOOKUP($A922,kurspris!$A$1:$Q$950,14,FALSE)</f>
        <v>0</v>
      </c>
      <c r="AP922" s="57" t="s">
        <v>2506</v>
      </c>
      <c r="AQ922"/>
      <c r="AR922" s="31">
        <f t="shared" si="429"/>
        <v>0</v>
      </c>
      <c r="AS922" s="219">
        <f t="shared" si="430"/>
        <v>0</v>
      </c>
      <c r="AT922" s="31">
        <f t="shared" si="431"/>
        <v>0</v>
      </c>
      <c r="AU922" s="219">
        <f t="shared" si="432"/>
        <v>0</v>
      </c>
      <c r="AV922" s="31">
        <f t="shared" si="433"/>
        <v>0</v>
      </c>
      <c r="AW922" s="31">
        <f t="shared" si="434"/>
        <v>0</v>
      </c>
      <c r="AX922" s="31">
        <f t="shared" si="435"/>
        <v>0</v>
      </c>
      <c r="AY922" s="219">
        <f t="shared" si="436"/>
        <v>0</v>
      </c>
      <c r="AZ922" s="196">
        <f t="shared" si="437"/>
        <v>0</v>
      </c>
      <c r="BA922" s="219">
        <f t="shared" si="438"/>
        <v>0</v>
      </c>
      <c r="BB922" s="31">
        <f t="shared" si="439"/>
        <v>0</v>
      </c>
      <c r="BC922" s="219">
        <f t="shared" si="440"/>
        <v>0</v>
      </c>
      <c r="BD922" s="31">
        <f t="shared" si="441"/>
        <v>0</v>
      </c>
      <c r="BE922" s="219">
        <f t="shared" si="442"/>
        <v>0</v>
      </c>
      <c r="BF922" s="31">
        <f t="shared" si="443"/>
        <v>0</v>
      </c>
      <c r="BG922" s="219">
        <f t="shared" si="444"/>
        <v>0</v>
      </c>
      <c r="BH922" s="31">
        <f t="shared" si="445"/>
        <v>0.2</v>
      </c>
      <c r="BI922" s="219">
        <f t="shared" si="446"/>
        <v>0.17</v>
      </c>
      <c r="BJ922" s="31">
        <f t="shared" si="447"/>
        <v>0</v>
      </c>
      <c r="BK922" s="219">
        <f t="shared" si="448"/>
        <v>0</v>
      </c>
      <c r="BL922" s="31">
        <f t="shared" si="449"/>
        <v>0</v>
      </c>
      <c r="BM922" s="219">
        <f t="shared" si="450"/>
        <v>0</v>
      </c>
      <c r="BN922" s="31">
        <f t="shared" si="451"/>
        <v>0</v>
      </c>
      <c r="BO922" s="219">
        <f t="shared" si="452"/>
        <v>0</v>
      </c>
    </row>
    <row r="923" spans="1:67" x14ac:dyDescent="0.25">
      <c r="A923" s="31" t="s">
        <v>1839</v>
      </c>
      <c r="B923" s="176" t="str">
        <f>VLOOKUP(A923,kurspris!$A$1:$B$992,2,FALSE)</f>
        <v>Att undervisa i svenska (VFU)</v>
      </c>
      <c r="D923" s="60" t="s">
        <v>482</v>
      </c>
      <c r="E923" s="576" t="s">
        <v>2434</v>
      </c>
      <c r="F923" s="31" t="s">
        <v>2273</v>
      </c>
      <c r="G923" t="s">
        <v>2444</v>
      </c>
      <c r="H923" t="s">
        <v>2335</v>
      </c>
      <c r="J923" s="31" t="s">
        <v>2242</v>
      </c>
      <c r="L923" s="38">
        <v>1</v>
      </c>
      <c r="M923">
        <v>6</v>
      </c>
      <c r="P923" s="31">
        <v>1</v>
      </c>
      <c r="Q923" s="196">
        <f t="shared" si="454"/>
        <v>0.1</v>
      </c>
      <c r="R923" s="38">
        <v>0.85</v>
      </c>
      <c r="S923" s="280">
        <f t="shared" si="425"/>
        <v>8.5000000000000006E-2</v>
      </c>
      <c r="T923" s="31">
        <f>VLOOKUP(A923,'Ansvar kurs'!$A$1:$C$1123,2,FALSE)</f>
        <v>1620</v>
      </c>
      <c r="U923" s="31" t="str">
        <f>VLOOKUP(T923,Orgenheter!$A$1:$C$166,2,FALSE)</f>
        <v>Inst för språkstudier</v>
      </c>
      <c r="V923" s="31" t="str">
        <f>VLOOKUP(T923,Orgenheter!$A$1:$C$166,3,FALSE)</f>
        <v>Hum</v>
      </c>
      <c r="W923" s="35" t="str">
        <f>VLOOKUP(D923,Program!$A$1:$B$36,2,FALSE)</f>
        <v>Ämneslärarprogrammet - Gy</v>
      </c>
      <c r="X923" s="40">
        <f>VLOOKUP(A923,kurspris!$A$1:$Q$913,15,FALSE)</f>
        <v>25235</v>
      </c>
      <c r="Y923" s="40">
        <f>VLOOKUP(A923,kurspris!$A$1:$Q$913,16,FALSE)</f>
        <v>27976</v>
      </c>
      <c r="Z923" s="40">
        <f t="shared" si="426"/>
        <v>4901.46</v>
      </c>
      <c r="AA923" s="40">
        <f>VLOOKUP(A923,kurspris!$A$1:$Q$913,17,FALSE)</f>
        <v>3600</v>
      </c>
      <c r="AB923" s="40">
        <f t="shared" si="427"/>
        <v>360</v>
      </c>
      <c r="AC923" s="40">
        <f t="shared" si="428"/>
        <v>5261.46</v>
      </c>
      <c r="AD923" s="31">
        <f>VLOOKUP($A923,kurspris!$A$1:$Q$950,3,FALSE)</f>
        <v>0</v>
      </c>
      <c r="AE923" s="31">
        <f>VLOOKUP($A923,kurspris!$A$1:$Q$950,4,FALSE)</f>
        <v>0</v>
      </c>
      <c r="AF923" s="31">
        <f>VLOOKUP($A923,kurspris!$A$1:$Q$950,5,FALSE)</f>
        <v>0</v>
      </c>
      <c r="AG923" s="31">
        <f>VLOOKUP($A923,kurspris!$A$1:$Q$950,6,FALSE)</f>
        <v>0</v>
      </c>
      <c r="AH923" s="31">
        <f>VLOOKUP($A923,kurspris!$A$1:$Q$950,7,FALSE)</f>
        <v>0</v>
      </c>
      <c r="AI923" s="31">
        <f>VLOOKUP($A923,kurspris!$A$1:$Q$950,8,FALSE)</f>
        <v>0</v>
      </c>
      <c r="AJ923" s="31">
        <f>VLOOKUP($A923,kurspris!$A$1:$Q$950,9,FALSE)</f>
        <v>0</v>
      </c>
      <c r="AK923" s="31">
        <f>VLOOKUP($A923,kurspris!$A$1:$Q$950,10,FALSE)</f>
        <v>0</v>
      </c>
      <c r="AL923" s="31">
        <f>VLOOKUP($A923,kurspris!$A$1:$Q$950,11,FALSE)</f>
        <v>1</v>
      </c>
      <c r="AM923" s="31">
        <f>VLOOKUP($A923,kurspris!$A$1:$Q$950,12,FALSE)</f>
        <v>0</v>
      </c>
      <c r="AN923" s="31">
        <f>VLOOKUP($A923,kurspris!$A$1:$Q$950,13,FALSE)</f>
        <v>0</v>
      </c>
      <c r="AO923" s="31">
        <f>VLOOKUP($A923,kurspris!$A$1:$Q$950,14,FALSE)</f>
        <v>0</v>
      </c>
      <c r="AP923" s="57" t="s">
        <v>2506</v>
      </c>
      <c r="AQ923"/>
      <c r="AR923" s="31">
        <f t="shared" si="429"/>
        <v>0</v>
      </c>
      <c r="AS923" s="219">
        <f t="shared" si="430"/>
        <v>0</v>
      </c>
      <c r="AT923" s="31">
        <f t="shared" si="431"/>
        <v>0</v>
      </c>
      <c r="AU923" s="219">
        <f t="shared" si="432"/>
        <v>0</v>
      </c>
      <c r="AV923" s="31">
        <f t="shared" si="433"/>
        <v>0</v>
      </c>
      <c r="AW923" s="31">
        <f t="shared" si="434"/>
        <v>0</v>
      </c>
      <c r="AX923" s="31">
        <f t="shared" si="435"/>
        <v>0</v>
      </c>
      <c r="AY923" s="219">
        <f t="shared" si="436"/>
        <v>0</v>
      </c>
      <c r="AZ923" s="196">
        <f t="shared" si="437"/>
        <v>0</v>
      </c>
      <c r="BA923" s="219">
        <f t="shared" si="438"/>
        <v>0</v>
      </c>
      <c r="BB923" s="31">
        <f t="shared" si="439"/>
        <v>0</v>
      </c>
      <c r="BC923" s="219">
        <f t="shared" si="440"/>
        <v>0</v>
      </c>
      <c r="BD923" s="31">
        <f t="shared" si="441"/>
        <v>0</v>
      </c>
      <c r="BE923" s="219">
        <f t="shared" si="442"/>
        <v>0</v>
      </c>
      <c r="BF923" s="31">
        <f t="shared" si="443"/>
        <v>0</v>
      </c>
      <c r="BG923" s="219">
        <f t="shared" si="444"/>
        <v>0</v>
      </c>
      <c r="BH923" s="31">
        <f t="shared" si="445"/>
        <v>0.1</v>
      </c>
      <c r="BI923" s="219">
        <f t="shared" si="446"/>
        <v>8.5000000000000006E-2</v>
      </c>
      <c r="BJ923" s="31">
        <f t="shared" si="447"/>
        <v>0</v>
      </c>
      <c r="BK923" s="219">
        <f t="shared" si="448"/>
        <v>0</v>
      </c>
      <c r="BL923" s="31">
        <f t="shared" si="449"/>
        <v>0</v>
      </c>
      <c r="BM923" s="219">
        <f t="shared" si="450"/>
        <v>0</v>
      </c>
      <c r="BN923" s="31">
        <f t="shared" si="451"/>
        <v>0</v>
      </c>
      <c r="BO923" s="219">
        <f t="shared" si="452"/>
        <v>0</v>
      </c>
    </row>
    <row r="924" spans="1:67" x14ac:dyDescent="0.25">
      <c r="A924" s="31" t="s">
        <v>1839</v>
      </c>
      <c r="B924" s="176" t="str">
        <f>VLOOKUP(A924,kurspris!$A$1:$B$992,2,FALSE)</f>
        <v>Att undervisa i svenska (VFU)</v>
      </c>
      <c r="D924" s="60" t="s">
        <v>482</v>
      </c>
      <c r="E924" s="576" t="s">
        <v>2434</v>
      </c>
      <c r="F924" s="31" t="s">
        <v>2273</v>
      </c>
      <c r="G924" t="s">
        <v>2444</v>
      </c>
      <c r="H924" t="s">
        <v>2335</v>
      </c>
      <c r="J924" s="31" t="s">
        <v>2240</v>
      </c>
      <c r="L924" s="38">
        <v>1</v>
      </c>
      <c r="M924">
        <v>6</v>
      </c>
      <c r="P924" s="31">
        <v>8</v>
      </c>
      <c r="Q924" s="196">
        <f t="shared" si="454"/>
        <v>0.8</v>
      </c>
      <c r="R924" s="38">
        <v>0.85</v>
      </c>
      <c r="S924" s="280">
        <f t="shared" si="425"/>
        <v>0.68</v>
      </c>
      <c r="T924" s="31">
        <f>VLOOKUP(A924,'Ansvar kurs'!$A$1:$C$1123,2,FALSE)</f>
        <v>1620</v>
      </c>
      <c r="U924" s="31" t="str">
        <f>VLOOKUP(T924,Orgenheter!$A$1:$C$166,2,FALSE)</f>
        <v>Inst för språkstudier</v>
      </c>
      <c r="V924" s="31" t="str">
        <f>VLOOKUP(T924,Orgenheter!$A$1:$C$166,3,FALSE)</f>
        <v>Hum</v>
      </c>
      <c r="W924" s="35" t="str">
        <f>VLOOKUP(D924,Program!$A$1:$B$36,2,FALSE)</f>
        <v>Ämneslärarprogrammet - Gy</v>
      </c>
      <c r="X924" s="40">
        <f>VLOOKUP(A924,kurspris!$A$1:$Q$913,15,FALSE)</f>
        <v>25235</v>
      </c>
      <c r="Y924" s="40">
        <f>VLOOKUP(A924,kurspris!$A$1:$Q$913,16,FALSE)</f>
        <v>27976</v>
      </c>
      <c r="Z924" s="40">
        <f t="shared" si="426"/>
        <v>39211.68</v>
      </c>
      <c r="AA924" s="40">
        <f>VLOOKUP(A924,kurspris!$A$1:$Q$913,17,FALSE)</f>
        <v>3600</v>
      </c>
      <c r="AB924" s="40">
        <f t="shared" si="427"/>
        <v>2880</v>
      </c>
      <c r="AC924" s="40">
        <f t="shared" si="428"/>
        <v>42091.68</v>
      </c>
      <c r="AD924" s="31">
        <f>VLOOKUP($A924,kurspris!$A$1:$Q$950,3,FALSE)</f>
        <v>0</v>
      </c>
      <c r="AE924" s="31">
        <f>VLOOKUP($A924,kurspris!$A$1:$Q$950,4,FALSE)</f>
        <v>0</v>
      </c>
      <c r="AF924" s="31">
        <f>VLOOKUP($A924,kurspris!$A$1:$Q$950,5,FALSE)</f>
        <v>0</v>
      </c>
      <c r="AG924" s="31">
        <f>VLOOKUP($A924,kurspris!$A$1:$Q$950,6,FALSE)</f>
        <v>0</v>
      </c>
      <c r="AH924" s="31">
        <f>VLOOKUP($A924,kurspris!$A$1:$Q$950,7,FALSE)</f>
        <v>0</v>
      </c>
      <c r="AI924" s="31">
        <f>VLOOKUP($A924,kurspris!$A$1:$Q$950,8,FALSE)</f>
        <v>0</v>
      </c>
      <c r="AJ924" s="31">
        <f>VLOOKUP($A924,kurspris!$A$1:$Q$950,9,FALSE)</f>
        <v>0</v>
      </c>
      <c r="AK924" s="31">
        <f>VLOOKUP($A924,kurspris!$A$1:$Q$950,10,FALSE)</f>
        <v>0</v>
      </c>
      <c r="AL924" s="31">
        <f>VLOOKUP($A924,kurspris!$A$1:$Q$950,11,FALSE)</f>
        <v>1</v>
      </c>
      <c r="AM924" s="31">
        <f>VLOOKUP($A924,kurspris!$A$1:$Q$950,12,FALSE)</f>
        <v>0</v>
      </c>
      <c r="AN924" s="31">
        <f>VLOOKUP($A924,kurspris!$A$1:$Q$950,13,FALSE)</f>
        <v>0</v>
      </c>
      <c r="AO924" s="31">
        <f>VLOOKUP($A924,kurspris!$A$1:$Q$950,14,FALSE)</f>
        <v>0</v>
      </c>
      <c r="AP924" s="57" t="s">
        <v>2506</v>
      </c>
      <c r="AQ924"/>
      <c r="AR924" s="31">
        <f t="shared" si="429"/>
        <v>0</v>
      </c>
      <c r="AS924" s="219">
        <f t="shared" si="430"/>
        <v>0</v>
      </c>
      <c r="AT924" s="31">
        <f t="shared" si="431"/>
        <v>0</v>
      </c>
      <c r="AU924" s="219">
        <f t="shared" si="432"/>
        <v>0</v>
      </c>
      <c r="AV924" s="31">
        <f t="shared" si="433"/>
        <v>0</v>
      </c>
      <c r="AW924" s="31">
        <f t="shared" si="434"/>
        <v>0</v>
      </c>
      <c r="AX924" s="31">
        <f t="shared" si="435"/>
        <v>0</v>
      </c>
      <c r="AY924" s="219">
        <f t="shared" si="436"/>
        <v>0</v>
      </c>
      <c r="AZ924" s="196">
        <f t="shared" si="437"/>
        <v>0</v>
      </c>
      <c r="BA924" s="219">
        <f t="shared" si="438"/>
        <v>0</v>
      </c>
      <c r="BB924" s="31">
        <f t="shared" si="439"/>
        <v>0</v>
      </c>
      <c r="BC924" s="219">
        <f t="shared" si="440"/>
        <v>0</v>
      </c>
      <c r="BD924" s="31">
        <f t="shared" si="441"/>
        <v>0</v>
      </c>
      <c r="BE924" s="219">
        <f t="shared" si="442"/>
        <v>0</v>
      </c>
      <c r="BF924" s="31">
        <f t="shared" si="443"/>
        <v>0</v>
      </c>
      <c r="BG924" s="219">
        <f t="shared" si="444"/>
        <v>0</v>
      </c>
      <c r="BH924" s="31">
        <f t="shared" si="445"/>
        <v>0.8</v>
      </c>
      <c r="BI924" s="219">
        <f t="shared" si="446"/>
        <v>0.68</v>
      </c>
      <c r="BJ924" s="31">
        <f t="shared" si="447"/>
        <v>0</v>
      </c>
      <c r="BK924" s="219">
        <f t="shared" si="448"/>
        <v>0</v>
      </c>
      <c r="BL924" s="31">
        <f t="shared" si="449"/>
        <v>0</v>
      </c>
      <c r="BM924" s="219">
        <f t="shared" si="450"/>
        <v>0</v>
      </c>
      <c r="BN924" s="31">
        <f t="shared" si="451"/>
        <v>0</v>
      </c>
      <c r="BO924" s="219">
        <f t="shared" si="452"/>
        <v>0</v>
      </c>
    </row>
    <row r="925" spans="1:67" x14ac:dyDescent="0.25">
      <c r="A925" s="397" t="s">
        <v>1932</v>
      </c>
      <c r="B925" s="176" t="str">
        <f>VLOOKUP(A925,kurspris!$A$1:$B$992,2,FALSE)</f>
        <v>Svenska som andraspråk A</v>
      </c>
      <c r="C925" s="31">
        <v>71812</v>
      </c>
      <c r="D925" s="31" t="s">
        <v>117</v>
      </c>
      <c r="F925" s="57" t="s">
        <v>2274</v>
      </c>
      <c r="H925" s="31" t="s">
        <v>2335</v>
      </c>
      <c r="I925" s="31" t="s">
        <v>2399</v>
      </c>
      <c r="L925" s="38"/>
      <c r="M925">
        <v>30</v>
      </c>
      <c r="P925" s="31">
        <v>15</v>
      </c>
      <c r="Q925" s="539">
        <v>7.5</v>
      </c>
      <c r="R925" s="38">
        <v>0.8</v>
      </c>
      <c r="S925" s="280">
        <f t="shared" si="425"/>
        <v>6</v>
      </c>
      <c r="T925" s="31">
        <f>VLOOKUP(A925,'Ansvar kurs'!$A$1:$C$1123,2,FALSE)</f>
        <v>1620</v>
      </c>
      <c r="U925" s="31" t="str">
        <f>VLOOKUP(T925,Orgenheter!$A$1:$C$166,2,FALSE)</f>
        <v>Inst för språkstudier</v>
      </c>
      <c r="V925" s="31" t="str">
        <f>VLOOKUP(T925,Orgenheter!$A$1:$C$166,3,FALSE)</f>
        <v>Hum</v>
      </c>
      <c r="W925" s="35" t="str">
        <f>VLOOKUP(D925,Program!$A$1:$B$36,2,FALSE)</f>
        <v>Fristående och övriga kurser</v>
      </c>
      <c r="X925" s="40">
        <f>VLOOKUP(A925,kurspris!$A$1:$Q$913,15,FALSE)</f>
        <v>20766</v>
      </c>
      <c r="Y925" s="40">
        <f>VLOOKUP(A925,kurspris!$A$1:$Q$913,16,FALSE)</f>
        <v>17442</v>
      </c>
      <c r="Z925" s="40">
        <f t="shared" si="426"/>
        <v>260397</v>
      </c>
      <c r="AA925" s="40">
        <f>VLOOKUP(A925,kurspris!$A$1:$Q$913,17,FALSE)</f>
        <v>6000</v>
      </c>
      <c r="AB925" s="40">
        <f t="shared" si="427"/>
        <v>45000</v>
      </c>
      <c r="AC925" s="40">
        <f t="shared" si="428"/>
        <v>305397</v>
      </c>
      <c r="AD925" s="31">
        <f>VLOOKUP($A925,kurspris!$A$1:$Q$950,3,FALSE)</f>
        <v>0</v>
      </c>
      <c r="AE925" s="31">
        <f>VLOOKUP($A925,kurspris!$A$1:$Q$950,4,FALSE)</f>
        <v>1</v>
      </c>
      <c r="AF925" s="31">
        <f>VLOOKUP($A925,kurspris!$A$1:$Q$950,5,FALSE)</f>
        <v>0</v>
      </c>
      <c r="AG925" s="31">
        <f>VLOOKUP($A925,kurspris!$A$1:$Q$950,6,FALSE)</f>
        <v>0</v>
      </c>
      <c r="AH925" s="31">
        <f>VLOOKUP($A925,kurspris!$A$1:$Q$950,7,FALSE)</f>
        <v>0</v>
      </c>
      <c r="AI925" s="31">
        <f>VLOOKUP($A925,kurspris!$A$1:$Q$950,8,FALSE)</f>
        <v>0</v>
      </c>
      <c r="AJ925" s="31">
        <f>VLOOKUP($A925,kurspris!$A$1:$Q$950,9,FALSE)</f>
        <v>0</v>
      </c>
      <c r="AK925" s="31">
        <f>VLOOKUP($A925,kurspris!$A$1:$Q$950,10,FALSE)</f>
        <v>0</v>
      </c>
      <c r="AL925" s="31">
        <f>VLOOKUP($A925,kurspris!$A$1:$Q$950,11,FALSE)</f>
        <v>0</v>
      </c>
      <c r="AM925" s="31">
        <f>VLOOKUP($A925,kurspris!$A$1:$Q$950,12,FALSE)</f>
        <v>0</v>
      </c>
      <c r="AN925" s="31">
        <f>VLOOKUP($A925,kurspris!$A$1:$Q$950,13,FALSE)</f>
        <v>0</v>
      </c>
      <c r="AO925" s="31">
        <f>VLOOKUP($A925,kurspris!$A$1:$Q$950,14,FALSE)</f>
        <v>0</v>
      </c>
      <c r="AP925" s="57" t="s">
        <v>2402</v>
      </c>
      <c r="AQ925"/>
      <c r="AR925" s="31">
        <f t="shared" si="429"/>
        <v>0</v>
      </c>
      <c r="AS925" s="219">
        <f t="shared" si="430"/>
        <v>0</v>
      </c>
      <c r="AT925" s="31">
        <f t="shared" si="431"/>
        <v>7.5</v>
      </c>
      <c r="AU925" s="219">
        <f t="shared" si="432"/>
        <v>6</v>
      </c>
      <c r="AV925" s="31">
        <f t="shared" si="433"/>
        <v>0</v>
      </c>
      <c r="AW925" s="31">
        <f t="shared" si="434"/>
        <v>0</v>
      </c>
      <c r="AX925" s="31">
        <f t="shared" si="435"/>
        <v>0</v>
      </c>
      <c r="AY925" s="219">
        <f t="shared" si="436"/>
        <v>0</v>
      </c>
      <c r="AZ925" s="196">
        <f t="shared" si="437"/>
        <v>0</v>
      </c>
      <c r="BA925" s="219">
        <f t="shared" si="438"/>
        <v>0</v>
      </c>
      <c r="BB925" s="31">
        <f t="shared" si="439"/>
        <v>0</v>
      </c>
      <c r="BC925" s="219">
        <f t="shared" si="440"/>
        <v>0</v>
      </c>
      <c r="BD925" s="31">
        <f t="shared" si="441"/>
        <v>0</v>
      </c>
      <c r="BE925" s="219">
        <f t="shared" si="442"/>
        <v>0</v>
      </c>
      <c r="BF925" s="31">
        <f t="shared" si="443"/>
        <v>0</v>
      </c>
      <c r="BG925" s="219">
        <f t="shared" si="444"/>
        <v>0</v>
      </c>
      <c r="BH925" s="31">
        <f t="shared" si="445"/>
        <v>0</v>
      </c>
      <c r="BI925" s="219">
        <f t="shared" si="446"/>
        <v>0</v>
      </c>
      <c r="BJ925" s="31">
        <f t="shared" si="447"/>
        <v>0</v>
      </c>
      <c r="BK925" s="219">
        <f t="shared" si="448"/>
        <v>0</v>
      </c>
      <c r="BL925" s="31">
        <f t="shared" si="449"/>
        <v>0</v>
      </c>
      <c r="BM925" s="219">
        <f t="shared" si="450"/>
        <v>0</v>
      </c>
      <c r="BN925" s="31">
        <f t="shared" si="451"/>
        <v>0</v>
      </c>
      <c r="BO925" s="219">
        <f t="shared" si="452"/>
        <v>0</v>
      </c>
    </row>
    <row r="926" spans="1:67" x14ac:dyDescent="0.25">
      <c r="A926" s="31" t="s">
        <v>2100</v>
      </c>
      <c r="B926" s="176" t="str">
        <f>VLOOKUP(A926,kurspris!$A$1:$B$992,2,FALSE)</f>
        <v xml:space="preserve">Svenska som andraspråk A, Det mångkulturella klassrummet och svenskans fonologi </v>
      </c>
      <c r="C926" s="31">
        <v>71816</v>
      </c>
      <c r="D926" s="60" t="s">
        <v>117</v>
      </c>
      <c r="E926" s="60"/>
      <c r="F926" s="57" t="s">
        <v>2274</v>
      </c>
      <c r="H926" s="31" t="s">
        <v>2335</v>
      </c>
      <c r="I926" s="31" t="s">
        <v>2275</v>
      </c>
      <c r="L926" s="38"/>
      <c r="M926">
        <v>15</v>
      </c>
      <c r="P926" s="31">
        <v>12</v>
      </c>
      <c r="Q926" s="539">
        <v>1.5</v>
      </c>
      <c r="R926" s="38">
        <v>0.8</v>
      </c>
      <c r="S926" s="280">
        <f t="shared" si="425"/>
        <v>1.2000000000000002</v>
      </c>
      <c r="T926" s="31">
        <f>VLOOKUP(A926,'Ansvar kurs'!$A$1:$C$1123,2,FALSE)</f>
        <v>1620</v>
      </c>
      <c r="U926" s="31" t="str">
        <f>VLOOKUP(T926,Orgenheter!$A$1:$C$166,2,FALSE)</f>
        <v>Inst för språkstudier</v>
      </c>
      <c r="V926" s="31" t="str">
        <f>VLOOKUP(T926,Orgenheter!$A$1:$C$166,3,FALSE)</f>
        <v>Hum</v>
      </c>
      <c r="W926" s="35" t="str">
        <f>VLOOKUP(D926,Program!$A$1:$B$36,2,FALSE)</f>
        <v>Fristående och övriga kurser</v>
      </c>
      <c r="X926" s="40">
        <f>VLOOKUP(A926,kurspris!$A$1:$Q$913,15,FALSE)</f>
        <v>20766</v>
      </c>
      <c r="Y926" s="40">
        <f>VLOOKUP(A926,kurspris!$A$1:$Q$913,16,FALSE)</f>
        <v>17442</v>
      </c>
      <c r="Z926" s="40">
        <f t="shared" si="426"/>
        <v>52079.4</v>
      </c>
      <c r="AA926" s="40">
        <f>VLOOKUP(A926,kurspris!$A$1:$Q$913,17,FALSE)</f>
        <v>6000</v>
      </c>
      <c r="AB926" s="40">
        <f t="shared" si="427"/>
        <v>9000</v>
      </c>
      <c r="AC926" s="40">
        <f t="shared" si="428"/>
        <v>61079.4</v>
      </c>
      <c r="AD926" s="31">
        <f>VLOOKUP($A926,kurspris!$A$1:$Q$950,3,FALSE)</f>
        <v>0</v>
      </c>
      <c r="AE926" s="31">
        <f>VLOOKUP($A926,kurspris!$A$1:$Q$950,4,FALSE)</f>
        <v>1</v>
      </c>
      <c r="AF926" s="31">
        <f>VLOOKUP($A926,kurspris!$A$1:$Q$950,5,FALSE)</f>
        <v>0</v>
      </c>
      <c r="AG926" s="31">
        <f>VLOOKUP($A926,kurspris!$A$1:$Q$950,6,FALSE)</f>
        <v>0</v>
      </c>
      <c r="AH926" s="31">
        <f>VLOOKUP($A926,kurspris!$A$1:$Q$950,7,FALSE)</f>
        <v>0</v>
      </c>
      <c r="AI926" s="31">
        <f>VLOOKUP($A926,kurspris!$A$1:$Q$950,8,FALSE)</f>
        <v>0</v>
      </c>
      <c r="AJ926" s="31">
        <f>VLOOKUP($A926,kurspris!$A$1:$Q$950,9,FALSE)</f>
        <v>0</v>
      </c>
      <c r="AK926" s="31">
        <f>VLOOKUP($A926,kurspris!$A$1:$Q$950,10,FALSE)</f>
        <v>0</v>
      </c>
      <c r="AL926" s="31">
        <f>VLOOKUP($A926,kurspris!$A$1:$Q$950,11,FALSE)</f>
        <v>0</v>
      </c>
      <c r="AM926" s="31">
        <f>VLOOKUP($A926,kurspris!$A$1:$Q$950,12,FALSE)</f>
        <v>0</v>
      </c>
      <c r="AN926" s="31">
        <f>VLOOKUP($A926,kurspris!$A$1:$Q$950,13,FALSE)</f>
        <v>0</v>
      </c>
      <c r="AO926" s="31">
        <f>VLOOKUP($A926,kurspris!$A$1:$Q$950,14,FALSE)</f>
        <v>0</v>
      </c>
      <c r="AP926" s="57" t="s">
        <v>2402</v>
      </c>
      <c r="AQ926"/>
      <c r="AR926" s="31">
        <f t="shared" si="429"/>
        <v>0</v>
      </c>
      <c r="AS926" s="219">
        <f t="shared" si="430"/>
        <v>0</v>
      </c>
      <c r="AT926" s="31">
        <f t="shared" si="431"/>
        <v>1.5</v>
      </c>
      <c r="AU926" s="219">
        <f t="shared" si="432"/>
        <v>1.2000000000000002</v>
      </c>
      <c r="AV926" s="31">
        <f t="shared" si="433"/>
        <v>0</v>
      </c>
      <c r="AW926" s="31">
        <f t="shared" si="434"/>
        <v>0</v>
      </c>
      <c r="AX926" s="31">
        <f t="shared" si="435"/>
        <v>0</v>
      </c>
      <c r="AY926" s="219">
        <f t="shared" si="436"/>
        <v>0</v>
      </c>
      <c r="AZ926" s="196">
        <f t="shared" si="437"/>
        <v>0</v>
      </c>
      <c r="BA926" s="219">
        <f t="shared" si="438"/>
        <v>0</v>
      </c>
      <c r="BB926" s="31">
        <f t="shared" si="439"/>
        <v>0</v>
      </c>
      <c r="BC926" s="219">
        <f t="shared" si="440"/>
        <v>0</v>
      </c>
      <c r="BD926" s="31">
        <f t="shared" si="441"/>
        <v>0</v>
      </c>
      <c r="BE926" s="219">
        <f t="shared" si="442"/>
        <v>0</v>
      </c>
      <c r="BF926" s="31">
        <f t="shared" si="443"/>
        <v>0</v>
      </c>
      <c r="BG926" s="219">
        <f t="shared" si="444"/>
        <v>0</v>
      </c>
      <c r="BH926" s="31">
        <f t="shared" si="445"/>
        <v>0</v>
      </c>
      <c r="BI926" s="219">
        <f t="shared" si="446"/>
        <v>0</v>
      </c>
      <c r="BJ926" s="31">
        <f t="shared" si="447"/>
        <v>0</v>
      </c>
      <c r="BK926" s="219">
        <f t="shared" si="448"/>
        <v>0</v>
      </c>
      <c r="BL926" s="31">
        <f t="shared" si="449"/>
        <v>0</v>
      </c>
      <c r="BM926" s="219">
        <f t="shared" si="450"/>
        <v>0</v>
      </c>
      <c r="BN926" s="31">
        <f t="shared" si="451"/>
        <v>0</v>
      </c>
      <c r="BO926" s="219">
        <f t="shared" si="452"/>
        <v>0</v>
      </c>
    </row>
    <row r="927" spans="1:67" x14ac:dyDescent="0.25">
      <c r="A927" s="31" t="s">
        <v>2101</v>
      </c>
      <c r="B927" s="176" t="str">
        <f>VLOOKUP(A927,kurspris!$A$1:$B$992,2,FALSE)</f>
        <v>Svenska som andraspråk A, Att lära på ett andraspråk och svenskans grammatik</v>
      </c>
      <c r="C927" s="31">
        <v>71817</v>
      </c>
      <c r="D927" s="60" t="s">
        <v>117</v>
      </c>
      <c r="E927" s="60"/>
      <c r="F927" s="57" t="s">
        <v>2274</v>
      </c>
      <c r="H927" s="31" t="s">
        <v>2335</v>
      </c>
      <c r="I927" s="31" t="s">
        <v>2275</v>
      </c>
      <c r="L927" s="38"/>
      <c r="M927" s="244">
        <v>7.5</v>
      </c>
      <c r="P927" s="31">
        <v>8</v>
      </c>
      <c r="Q927" s="539">
        <v>1</v>
      </c>
      <c r="R927" s="38">
        <v>0.8</v>
      </c>
      <c r="S927" s="280">
        <f t="shared" si="425"/>
        <v>0.8</v>
      </c>
      <c r="T927" s="31">
        <f>VLOOKUP(A927,'Ansvar kurs'!$A$1:$C$1123,2,FALSE)</f>
        <v>1620</v>
      </c>
      <c r="U927" s="31" t="str">
        <f>VLOOKUP(T927,Orgenheter!$A$1:$C$166,2,FALSE)</f>
        <v>Inst för språkstudier</v>
      </c>
      <c r="V927" s="31" t="str">
        <f>VLOOKUP(T927,Orgenheter!$A$1:$C$166,3,FALSE)</f>
        <v>Hum</v>
      </c>
      <c r="W927" s="35" t="str">
        <f>VLOOKUP(D927,Program!$A$1:$B$36,2,FALSE)</f>
        <v>Fristående och övriga kurser</v>
      </c>
      <c r="X927" s="40">
        <f>VLOOKUP(A927,kurspris!$A$1:$Q$913,15,FALSE)</f>
        <v>20766</v>
      </c>
      <c r="Y927" s="40">
        <f>VLOOKUP(A927,kurspris!$A$1:$Q$913,16,FALSE)</f>
        <v>17442</v>
      </c>
      <c r="Z927" s="40">
        <f t="shared" si="426"/>
        <v>34719.599999999999</v>
      </c>
      <c r="AA927" s="40">
        <f>VLOOKUP(A927,kurspris!$A$1:$Q$913,17,FALSE)</f>
        <v>6000</v>
      </c>
      <c r="AB927" s="40">
        <f t="shared" si="427"/>
        <v>6000</v>
      </c>
      <c r="AC927" s="40">
        <f t="shared" si="428"/>
        <v>40719.599999999999</v>
      </c>
      <c r="AD927" s="31">
        <f>VLOOKUP($A927,kurspris!$A$1:$Q$950,3,FALSE)</f>
        <v>0</v>
      </c>
      <c r="AE927" s="31">
        <f>VLOOKUP($A927,kurspris!$A$1:$Q$950,4,FALSE)</f>
        <v>1</v>
      </c>
      <c r="AF927" s="31">
        <f>VLOOKUP($A927,kurspris!$A$1:$Q$950,5,FALSE)</f>
        <v>0</v>
      </c>
      <c r="AG927" s="31">
        <f>VLOOKUP($A927,kurspris!$A$1:$Q$950,6,FALSE)</f>
        <v>0</v>
      </c>
      <c r="AH927" s="31">
        <f>VLOOKUP($A927,kurspris!$A$1:$Q$950,7,FALSE)</f>
        <v>0</v>
      </c>
      <c r="AI927" s="31">
        <f>VLOOKUP($A927,kurspris!$A$1:$Q$950,8,FALSE)</f>
        <v>0</v>
      </c>
      <c r="AJ927" s="31">
        <f>VLOOKUP($A927,kurspris!$A$1:$Q$950,9,FALSE)</f>
        <v>0</v>
      </c>
      <c r="AK927" s="31">
        <f>VLOOKUP($A927,kurspris!$A$1:$Q$950,10,FALSE)</f>
        <v>0</v>
      </c>
      <c r="AL927" s="31">
        <f>VLOOKUP($A927,kurspris!$A$1:$Q$950,11,FALSE)</f>
        <v>0</v>
      </c>
      <c r="AM927" s="31">
        <f>VLOOKUP($A927,kurspris!$A$1:$Q$950,12,FALSE)</f>
        <v>0</v>
      </c>
      <c r="AN927" s="31">
        <f>VLOOKUP($A927,kurspris!$A$1:$Q$950,13,FALSE)</f>
        <v>0</v>
      </c>
      <c r="AO927" s="31">
        <f>VLOOKUP($A927,kurspris!$A$1:$Q$950,14,FALSE)</f>
        <v>0</v>
      </c>
      <c r="AP927" s="57" t="s">
        <v>2402</v>
      </c>
      <c r="AQ927" t="s">
        <v>2401</v>
      </c>
      <c r="AR927" s="31">
        <f t="shared" si="429"/>
        <v>0</v>
      </c>
      <c r="AS927" s="219">
        <f t="shared" si="430"/>
        <v>0</v>
      </c>
      <c r="AT927" s="31">
        <f t="shared" si="431"/>
        <v>1</v>
      </c>
      <c r="AU927" s="219">
        <f t="shared" si="432"/>
        <v>0.8</v>
      </c>
      <c r="AV927" s="31">
        <f t="shared" si="433"/>
        <v>0</v>
      </c>
      <c r="AW927" s="31">
        <f t="shared" si="434"/>
        <v>0</v>
      </c>
      <c r="AX927" s="31">
        <f t="shared" si="435"/>
        <v>0</v>
      </c>
      <c r="AY927" s="219">
        <f t="shared" si="436"/>
        <v>0</v>
      </c>
      <c r="AZ927" s="196">
        <f t="shared" si="437"/>
        <v>0</v>
      </c>
      <c r="BA927" s="219">
        <f t="shared" si="438"/>
        <v>0</v>
      </c>
      <c r="BB927" s="31">
        <f t="shared" si="439"/>
        <v>0</v>
      </c>
      <c r="BC927" s="219">
        <f t="shared" si="440"/>
        <v>0</v>
      </c>
      <c r="BD927" s="31">
        <f t="shared" si="441"/>
        <v>0</v>
      </c>
      <c r="BE927" s="219">
        <f t="shared" si="442"/>
        <v>0</v>
      </c>
      <c r="BF927" s="31">
        <f t="shared" si="443"/>
        <v>0</v>
      </c>
      <c r="BG927" s="219">
        <f t="shared" si="444"/>
        <v>0</v>
      </c>
      <c r="BH927" s="31">
        <f t="shared" si="445"/>
        <v>0</v>
      </c>
      <c r="BI927" s="219">
        <f t="shared" si="446"/>
        <v>0</v>
      </c>
      <c r="BJ927" s="31">
        <f t="shared" si="447"/>
        <v>0</v>
      </c>
      <c r="BK927" s="219">
        <f t="shared" si="448"/>
        <v>0</v>
      </c>
      <c r="BL927" s="31">
        <f t="shared" si="449"/>
        <v>0</v>
      </c>
      <c r="BM927" s="219">
        <f t="shared" si="450"/>
        <v>0</v>
      </c>
      <c r="BN927" s="31">
        <f t="shared" si="451"/>
        <v>0</v>
      </c>
      <c r="BO927" s="219">
        <f t="shared" si="452"/>
        <v>0</v>
      </c>
    </row>
    <row r="928" spans="1:67" x14ac:dyDescent="0.25">
      <c r="A928" s="31" t="s">
        <v>1933</v>
      </c>
      <c r="B928" s="176" t="str">
        <f>VLOOKUP(A928,kurspris!$A$1:$B$992,2,FALSE)</f>
        <v>Svenska som andraspråk B</v>
      </c>
      <c r="D928" s="31" t="s">
        <v>117</v>
      </c>
      <c r="F928" s="31" t="s">
        <v>2273</v>
      </c>
      <c r="I928" s="31" t="s">
        <v>2276</v>
      </c>
      <c r="L928" s="38">
        <v>1</v>
      </c>
      <c r="M928" s="325">
        <v>30</v>
      </c>
      <c r="P928" s="31">
        <v>8</v>
      </c>
      <c r="Q928" s="196">
        <f>(M928/60)*P928</f>
        <v>4</v>
      </c>
      <c r="R928" s="38">
        <v>0.8</v>
      </c>
      <c r="S928" s="280">
        <f t="shared" si="425"/>
        <v>3.2</v>
      </c>
      <c r="T928" s="31">
        <f>VLOOKUP(A928,'Ansvar kurs'!$A$1:$C$1123,2,FALSE)</f>
        <v>1620</v>
      </c>
      <c r="U928" s="31" t="str">
        <f>VLOOKUP(T928,Orgenheter!$A$1:$C$166,2,FALSE)</f>
        <v>Inst för språkstudier</v>
      </c>
      <c r="V928" s="31" t="str">
        <f>VLOOKUP(T928,Orgenheter!$A$1:$C$166,3,FALSE)</f>
        <v>Hum</v>
      </c>
      <c r="W928" s="35" t="str">
        <f>VLOOKUP(D928,Program!$A$1:$B$36,2,FALSE)</f>
        <v>Fristående och övriga kurser</v>
      </c>
      <c r="X928" s="40">
        <f>VLOOKUP(A928,kurspris!$A$1:$Q$913,15,FALSE)</f>
        <v>20766</v>
      </c>
      <c r="Y928" s="40">
        <f>VLOOKUP(A928,kurspris!$A$1:$Q$913,16,FALSE)</f>
        <v>17442</v>
      </c>
      <c r="Z928" s="40">
        <f t="shared" si="426"/>
        <v>138878.39999999999</v>
      </c>
      <c r="AA928" s="40">
        <f>VLOOKUP(A928,kurspris!$A$1:$Q$913,17,FALSE)</f>
        <v>6000</v>
      </c>
      <c r="AB928" s="40">
        <f t="shared" si="427"/>
        <v>24000</v>
      </c>
      <c r="AC928" s="40">
        <f t="shared" si="428"/>
        <v>162878.39999999999</v>
      </c>
      <c r="AD928" s="31">
        <f>VLOOKUP($A928,kurspris!$A$1:$Q$950,3,FALSE)</f>
        <v>0</v>
      </c>
      <c r="AE928" s="31">
        <f>VLOOKUP($A928,kurspris!$A$1:$Q$950,4,FALSE)</f>
        <v>1</v>
      </c>
      <c r="AF928" s="31">
        <f>VLOOKUP($A928,kurspris!$A$1:$Q$950,5,FALSE)</f>
        <v>0</v>
      </c>
      <c r="AG928" s="31">
        <f>VLOOKUP($A928,kurspris!$A$1:$Q$950,6,FALSE)</f>
        <v>0</v>
      </c>
      <c r="AH928" s="31">
        <f>VLOOKUP($A928,kurspris!$A$1:$Q$950,7,FALSE)</f>
        <v>0</v>
      </c>
      <c r="AI928" s="31">
        <f>VLOOKUP($A928,kurspris!$A$1:$Q$950,8,FALSE)</f>
        <v>0</v>
      </c>
      <c r="AJ928" s="31">
        <f>VLOOKUP($A928,kurspris!$A$1:$Q$950,9,FALSE)</f>
        <v>0</v>
      </c>
      <c r="AK928" s="31">
        <f>VLOOKUP($A928,kurspris!$A$1:$Q$950,10,FALSE)</f>
        <v>0</v>
      </c>
      <c r="AL928" s="31">
        <f>VLOOKUP($A928,kurspris!$A$1:$Q$950,11,FALSE)</f>
        <v>0</v>
      </c>
      <c r="AM928" s="31">
        <f>VLOOKUP($A928,kurspris!$A$1:$Q$950,12,FALSE)</f>
        <v>0</v>
      </c>
      <c r="AN928" s="31">
        <f>VLOOKUP($A928,kurspris!$A$1:$Q$950,13,FALSE)</f>
        <v>0</v>
      </c>
      <c r="AO928" s="31">
        <f>VLOOKUP($A928,kurspris!$A$1:$Q$950,14,FALSE)</f>
        <v>0</v>
      </c>
      <c r="AP928" s="57" t="s">
        <v>2267</v>
      </c>
      <c r="AQ928"/>
      <c r="AR928" s="31">
        <f t="shared" si="429"/>
        <v>0</v>
      </c>
      <c r="AS928" s="219">
        <f t="shared" si="430"/>
        <v>0</v>
      </c>
      <c r="AT928" s="31">
        <f t="shared" si="431"/>
        <v>4</v>
      </c>
      <c r="AU928" s="219">
        <f t="shared" si="432"/>
        <v>3.2</v>
      </c>
      <c r="AV928" s="31">
        <f t="shared" si="433"/>
        <v>0</v>
      </c>
      <c r="AW928" s="31">
        <f t="shared" si="434"/>
        <v>0</v>
      </c>
      <c r="AX928" s="31">
        <f t="shared" si="435"/>
        <v>0</v>
      </c>
      <c r="AY928" s="219">
        <f t="shared" si="436"/>
        <v>0</v>
      </c>
      <c r="AZ928" s="196">
        <f t="shared" si="437"/>
        <v>0</v>
      </c>
      <c r="BA928" s="219">
        <f t="shared" si="438"/>
        <v>0</v>
      </c>
      <c r="BB928" s="31">
        <f t="shared" si="439"/>
        <v>0</v>
      </c>
      <c r="BC928" s="219">
        <f t="shared" si="440"/>
        <v>0</v>
      </c>
      <c r="BD928" s="31">
        <f t="shared" si="441"/>
        <v>0</v>
      </c>
      <c r="BE928" s="219">
        <f t="shared" si="442"/>
        <v>0</v>
      </c>
      <c r="BF928" s="31">
        <f t="shared" si="443"/>
        <v>0</v>
      </c>
      <c r="BG928" s="219">
        <f t="shared" si="444"/>
        <v>0</v>
      </c>
      <c r="BH928" s="31">
        <f t="shared" si="445"/>
        <v>0</v>
      </c>
      <c r="BI928" s="219">
        <f t="shared" si="446"/>
        <v>0</v>
      </c>
      <c r="BJ928" s="31">
        <f t="shared" si="447"/>
        <v>0</v>
      </c>
      <c r="BK928" s="219">
        <f t="shared" si="448"/>
        <v>0</v>
      </c>
      <c r="BL928" s="31">
        <f t="shared" si="449"/>
        <v>0</v>
      </c>
      <c r="BM928" s="219">
        <f t="shared" si="450"/>
        <v>0</v>
      </c>
      <c r="BN928" s="31">
        <f t="shared" si="451"/>
        <v>0</v>
      </c>
      <c r="BO928" s="219">
        <f t="shared" si="452"/>
        <v>0</v>
      </c>
    </row>
    <row r="929" spans="1:67" x14ac:dyDescent="0.25">
      <c r="A929" s="31" t="s">
        <v>2102</v>
      </c>
      <c r="B929" s="176" t="str">
        <f>VLOOKUP(A929,kurspris!$A$1:$B$992,2,FALSE)</f>
        <v xml:space="preserve">Svenska som andraspråk B, Flerspråkiga inlärares litteracitet </v>
      </c>
      <c r="C929" s="31">
        <v>71821</v>
      </c>
      <c r="D929" s="60" t="s">
        <v>117</v>
      </c>
      <c r="E929" s="60"/>
      <c r="F929" s="57" t="s">
        <v>2274</v>
      </c>
      <c r="H929" s="31" t="s">
        <v>2335</v>
      </c>
      <c r="I929" s="31" t="s">
        <v>2275</v>
      </c>
      <c r="L929" s="38"/>
      <c r="M929" s="244">
        <v>7.5</v>
      </c>
      <c r="P929" s="31">
        <v>2</v>
      </c>
      <c r="Q929" s="539">
        <v>0.25</v>
      </c>
      <c r="R929" s="38">
        <v>0.8</v>
      </c>
      <c r="S929" s="280">
        <f t="shared" si="425"/>
        <v>0.2</v>
      </c>
      <c r="T929" s="31">
        <f>VLOOKUP(A929,'Ansvar kurs'!$A$1:$C$1123,2,FALSE)</f>
        <v>1620</v>
      </c>
      <c r="U929" s="31" t="str">
        <f>VLOOKUP(T929,Orgenheter!$A$1:$C$166,2,FALSE)</f>
        <v>Inst för språkstudier</v>
      </c>
      <c r="V929" s="31" t="str">
        <f>VLOOKUP(T929,Orgenheter!$A$1:$C$166,3,FALSE)</f>
        <v>Hum</v>
      </c>
      <c r="W929" s="35" t="str">
        <f>VLOOKUP(D929,Program!$A$1:$B$36,2,FALSE)</f>
        <v>Fristående och övriga kurser</v>
      </c>
      <c r="X929" s="40">
        <f>VLOOKUP(A929,kurspris!$A$1:$Q$913,15,FALSE)</f>
        <v>20766</v>
      </c>
      <c r="Y929" s="40">
        <f>VLOOKUP(A929,kurspris!$A$1:$Q$913,16,FALSE)</f>
        <v>17442</v>
      </c>
      <c r="Z929" s="40">
        <f t="shared" si="426"/>
        <v>8679.9</v>
      </c>
      <c r="AA929" s="40">
        <f>VLOOKUP(A929,kurspris!$A$1:$Q$913,17,FALSE)</f>
        <v>6000</v>
      </c>
      <c r="AB929" s="40">
        <f t="shared" si="427"/>
        <v>1500</v>
      </c>
      <c r="AC929" s="40">
        <f t="shared" si="428"/>
        <v>10179.9</v>
      </c>
      <c r="AD929" s="31">
        <f>VLOOKUP($A929,kurspris!$A$1:$Q$950,3,FALSE)</f>
        <v>0</v>
      </c>
      <c r="AE929" s="31">
        <f>VLOOKUP($A929,kurspris!$A$1:$Q$950,4,FALSE)</f>
        <v>1</v>
      </c>
      <c r="AF929" s="31">
        <f>VLOOKUP($A929,kurspris!$A$1:$Q$950,5,FALSE)</f>
        <v>0</v>
      </c>
      <c r="AG929" s="31">
        <f>VLOOKUP($A929,kurspris!$A$1:$Q$950,6,FALSE)</f>
        <v>0</v>
      </c>
      <c r="AH929" s="31">
        <f>VLOOKUP($A929,kurspris!$A$1:$Q$950,7,FALSE)</f>
        <v>0</v>
      </c>
      <c r="AI929" s="31">
        <f>VLOOKUP($A929,kurspris!$A$1:$Q$950,8,FALSE)</f>
        <v>0</v>
      </c>
      <c r="AJ929" s="31">
        <f>VLOOKUP($A929,kurspris!$A$1:$Q$950,9,FALSE)</f>
        <v>0</v>
      </c>
      <c r="AK929" s="31">
        <f>VLOOKUP($A929,kurspris!$A$1:$Q$950,10,FALSE)</f>
        <v>0</v>
      </c>
      <c r="AL929" s="31">
        <f>VLOOKUP($A929,kurspris!$A$1:$Q$950,11,FALSE)</f>
        <v>0</v>
      </c>
      <c r="AM929" s="31">
        <f>VLOOKUP($A929,kurspris!$A$1:$Q$950,12,FALSE)</f>
        <v>0</v>
      </c>
      <c r="AN929" s="31">
        <f>VLOOKUP($A929,kurspris!$A$1:$Q$950,13,FALSE)</f>
        <v>0</v>
      </c>
      <c r="AO929" s="31">
        <f>VLOOKUP($A929,kurspris!$A$1:$Q$950,14,FALSE)</f>
        <v>0</v>
      </c>
      <c r="AP929" s="57" t="s">
        <v>2402</v>
      </c>
      <c r="AQ929" t="s">
        <v>2401</v>
      </c>
      <c r="AR929" s="31">
        <f t="shared" si="429"/>
        <v>0</v>
      </c>
      <c r="AS929" s="219">
        <f t="shared" si="430"/>
        <v>0</v>
      </c>
      <c r="AT929" s="31">
        <f t="shared" si="431"/>
        <v>0.25</v>
      </c>
      <c r="AU929" s="219">
        <f t="shared" si="432"/>
        <v>0.2</v>
      </c>
      <c r="AV929" s="31">
        <f t="shared" si="433"/>
        <v>0</v>
      </c>
      <c r="AW929" s="31">
        <f t="shared" si="434"/>
        <v>0</v>
      </c>
      <c r="AX929" s="31">
        <f t="shared" si="435"/>
        <v>0</v>
      </c>
      <c r="AY929" s="219">
        <f t="shared" si="436"/>
        <v>0</v>
      </c>
      <c r="AZ929" s="196">
        <f t="shared" si="437"/>
        <v>0</v>
      </c>
      <c r="BA929" s="219">
        <f t="shared" si="438"/>
        <v>0</v>
      </c>
      <c r="BB929" s="31">
        <f t="shared" si="439"/>
        <v>0</v>
      </c>
      <c r="BC929" s="219">
        <f t="shared" si="440"/>
        <v>0</v>
      </c>
      <c r="BD929" s="31">
        <f t="shared" si="441"/>
        <v>0</v>
      </c>
      <c r="BE929" s="219">
        <f t="shared" si="442"/>
        <v>0</v>
      </c>
      <c r="BF929" s="31">
        <f t="shared" si="443"/>
        <v>0</v>
      </c>
      <c r="BG929" s="219">
        <f t="shared" si="444"/>
        <v>0</v>
      </c>
      <c r="BH929" s="31">
        <f t="shared" si="445"/>
        <v>0</v>
      </c>
      <c r="BI929" s="219">
        <f t="shared" si="446"/>
        <v>0</v>
      </c>
      <c r="BJ929" s="31">
        <f t="shared" si="447"/>
        <v>0</v>
      </c>
      <c r="BK929" s="219">
        <f t="shared" si="448"/>
        <v>0</v>
      </c>
      <c r="BL929" s="31">
        <f t="shared" si="449"/>
        <v>0</v>
      </c>
      <c r="BM929" s="219">
        <f t="shared" si="450"/>
        <v>0</v>
      </c>
      <c r="BN929" s="31">
        <f t="shared" si="451"/>
        <v>0</v>
      </c>
      <c r="BO929" s="219">
        <f t="shared" si="452"/>
        <v>0</v>
      </c>
    </row>
    <row r="930" spans="1:67" x14ac:dyDescent="0.25">
      <c r="A930" s="31" t="s">
        <v>1934</v>
      </c>
      <c r="B930" s="176" t="str">
        <f>VLOOKUP(A930,kurspris!$A$1:$B$992,2,FALSE)</f>
        <v>Svenska som andraspråk C, Diskriminerande strukturer och skönlitteratur</v>
      </c>
      <c r="C930" s="31">
        <v>71809</v>
      </c>
      <c r="D930" s="60" t="s">
        <v>117</v>
      </c>
      <c r="E930" s="60"/>
      <c r="F930" s="57" t="s">
        <v>2274</v>
      </c>
      <c r="H930" s="31" t="s">
        <v>2335</v>
      </c>
      <c r="I930" s="31" t="s">
        <v>2275</v>
      </c>
      <c r="L930" s="38"/>
      <c r="M930">
        <v>15</v>
      </c>
      <c r="P930" s="31">
        <v>8</v>
      </c>
      <c r="Q930" s="539">
        <v>2</v>
      </c>
      <c r="R930" s="38">
        <v>0.8</v>
      </c>
      <c r="S930" s="280">
        <f t="shared" si="425"/>
        <v>1.6</v>
      </c>
      <c r="T930" s="31">
        <f>VLOOKUP(A930,'Ansvar kurs'!$A$1:$C$1123,2,FALSE)</f>
        <v>1620</v>
      </c>
      <c r="U930" s="31" t="str">
        <f>VLOOKUP(T930,Orgenheter!$A$1:$C$166,2,FALSE)</f>
        <v>Inst för språkstudier</v>
      </c>
      <c r="V930" s="31" t="str">
        <f>VLOOKUP(T930,Orgenheter!$A$1:$C$166,3,FALSE)</f>
        <v>Hum</v>
      </c>
      <c r="W930" s="35" t="str">
        <f>VLOOKUP(D930,Program!$A$1:$B$36,2,FALSE)</f>
        <v>Fristående och övriga kurser</v>
      </c>
      <c r="X930" s="40">
        <f>VLOOKUP(A930,kurspris!$A$1:$Q$913,15,FALSE)</f>
        <v>20766</v>
      </c>
      <c r="Y930" s="40">
        <f>VLOOKUP(A930,kurspris!$A$1:$Q$913,16,FALSE)</f>
        <v>17442</v>
      </c>
      <c r="Z930" s="40">
        <f t="shared" si="426"/>
        <v>69439.199999999997</v>
      </c>
      <c r="AA930" s="40">
        <f>VLOOKUP(A930,kurspris!$A$1:$Q$913,17,FALSE)</f>
        <v>6000</v>
      </c>
      <c r="AB930" s="40">
        <f t="shared" si="427"/>
        <v>12000</v>
      </c>
      <c r="AC930" s="40">
        <f t="shared" si="428"/>
        <v>81439.199999999997</v>
      </c>
      <c r="AD930" s="31">
        <f>VLOOKUP($A930,kurspris!$A$1:$Q$950,3,FALSE)</f>
        <v>0</v>
      </c>
      <c r="AE930" s="31">
        <f>VLOOKUP($A930,kurspris!$A$1:$Q$950,4,FALSE)</f>
        <v>1</v>
      </c>
      <c r="AF930" s="31">
        <f>VLOOKUP($A930,kurspris!$A$1:$Q$950,5,FALSE)</f>
        <v>0</v>
      </c>
      <c r="AG930" s="31">
        <f>VLOOKUP($A930,kurspris!$A$1:$Q$950,6,FALSE)</f>
        <v>0</v>
      </c>
      <c r="AH930" s="31">
        <f>VLOOKUP($A930,kurspris!$A$1:$Q$950,7,FALSE)</f>
        <v>0</v>
      </c>
      <c r="AI930" s="31">
        <f>VLOOKUP($A930,kurspris!$A$1:$Q$950,8,FALSE)</f>
        <v>0</v>
      </c>
      <c r="AJ930" s="31">
        <f>VLOOKUP($A930,kurspris!$A$1:$Q$950,9,FALSE)</f>
        <v>0</v>
      </c>
      <c r="AK930" s="31">
        <f>VLOOKUP($A930,kurspris!$A$1:$Q$950,10,FALSE)</f>
        <v>0</v>
      </c>
      <c r="AL930" s="31">
        <f>VLOOKUP($A930,kurspris!$A$1:$Q$950,11,FALSE)</f>
        <v>0</v>
      </c>
      <c r="AM930" s="31">
        <f>VLOOKUP($A930,kurspris!$A$1:$Q$950,12,FALSE)</f>
        <v>0</v>
      </c>
      <c r="AN930" s="31">
        <f>VLOOKUP($A930,kurspris!$A$1:$Q$950,13,FALSE)</f>
        <v>0</v>
      </c>
      <c r="AO930" s="31">
        <f>VLOOKUP($A930,kurspris!$A$1:$Q$950,14,FALSE)</f>
        <v>0</v>
      </c>
      <c r="AP930" s="57" t="s">
        <v>2402</v>
      </c>
      <c r="AQ930"/>
      <c r="AR930" s="31">
        <f t="shared" si="429"/>
        <v>0</v>
      </c>
      <c r="AS930" s="219">
        <f t="shared" si="430"/>
        <v>0</v>
      </c>
      <c r="AT930" s="31">
        <f t="shared" si="431"/>
        <v>2</v>
      </c>
      <c r="AU930" s="219">
        <f t="shared" si="432"/>
        <v>1.6</v>
      </c>
      <c r="AV930" s="31">
        <f t="shared" si="433"/>
        <v>0</v>
      </c>
      <c r="AW930" s="31">
        <f t="shared" si="434"/>
        <v>0</v>
      </c>
      <c r="AX930" s="31">
        <f t="shared" si="435"/>
        <v>0</v>
      </c>
      <c r="AY930" s="219">
        <f t="shared" si="436"/>
        <v>0</v>
      </c>
      <c r="AZ930" s="196">
        <f t="shared" si="437"/>
        <v>0</v>
      </c>
      <c r="BA930" s="219">
        <f t="shared" si="438"/>
        <v>0</v>
      </c>
      <c r="BB930" s="31">
        <f t="shared" si="439"/>
        <v>0</v>
      </c>
      <c r="BC930" s="219">
        <f t="shared" si="440"/>
        <v>0</v>
      </c>
      <c r="BD930" s="31">
        <f t="shared" si="441"/>
        <v>0</v>
      </c>
      <c r="BE930" s="219">
        <f t="shared" si="442"/>
        <v>0</v>
      </c>
      <c r="BF930" s="31">
        <f t="shared" si="443"/>
        <v>0</v>
      </c>
      <c r="BG930" s="219">
        <f t="shared" si="444"/>
        <v>0</v>
      </c>
      <c r="BH930" s="31">
        <f t="shared" si="445"/>
        <v>0</v>
      </c>
      <c r="BI930" s="219">
        <f t="shared" si="446"/>
        <v>0</v>
      </c>
      <c r="BJ930" s="31">
        <f t="shared" si="447"/>
        <v>0</v>
      </c>
      <c r="BK930" s="219">
        <f t="shared" si="448"/>
        <v>0</v>
      </c>
      <c r="BL930" s="31">
        <f t="shared" si="449"/>
        <v>0</v>
      </c>
      <c r="BM930" s="219">
        <f t="shared" si="450"/>
        <v>0</v>
      </c>
      <c r="BN930" s="31">
        <f t="shared" si="451"/>
        <v>0</v>
      </c>
      <c r="BO930" s="219">
        <f t="shared" si="452"/>
        <v>0</v>
      </c>
    </row>
    <row r="931" spans="1:67" x14ac:dyDescent="0.25">
      <c r="A931" s="31" t="s">
        <v>1935</v>
      </c>
      <c r="B931" s="176" t="str">
        <f>VLOOKUP(A931,kurspris!$A$1:$B$992,2,FALSE)</f>
        <v>Svenska som andraspråk C, Examensarbete för kandidatexamen</v>
      </c>
      <c r="C931" s="31">
        <v>71808</v>
      </c>
      <c r="D931" s="60" t="s">
        <v>117</v>
      </c>
      <c r="E931" s="60"/>
      <c r="F931" s="57" t="s">
        <v>2274</v>
      </c>
      <c r="H931" s="31" t="s">
        <v>2335</v>
      </c>
      <c r="I931" s="31" t="s">
        <v>2275</v>
      </c>
      <c r="L931" s="38"/>
      <c r="M931">
        <v>15</v>
      </c>
      <c r="P931" s="31">
        <v>1</v>
      </c>
      <c r="Q931" s="539">
        <v>0.25</v>
      </c>
      <c r="R931" s="38">
        <v>0.8</v>
      </c>
      <c r="S931" s="280">
        <f t="shared" si="425"/>
        <v>0.2</v>
      </c>
      <c r="T931" s="31">
        <f>VLOOKUP(A931,'Ansvar kurs'!$A$1:$C$1123,2,FALSE)</f>
        <v>1620</v>
      </c>
      <c r="U931" s="31" t="str">
        <f>VLOOKUP(T931,Orgenheter!$A$1:$C$166,2,FALSE)</f>
        <v>Inst för språkstudier</v>
      </c>
      <c r="V931" s="31" t="str">
        <f>VLOOKUP(T931,Orgenheter!$A$1:$C$166,3,FALSE)</f>
        <v>Hum</v>
      </c>
      <c r="W931" s="35" t="str">
        <f>VLOOKUP(D931,Program!$A$1:$B$36,2,FALSE)</f>
        <v>Fristående och övriga kurser</v>
      </c>
      <c r="X931" s="40">
        <f>VLOOKUP(A931,kurspris!$A$1:$Q$913,15,FALSE)</f>
        <v>20766</v>
      </c>
      <c r="Y931" s="40">
        <f>VLOOKUP(A931,kurspris!$A$1:$Q$913,16,FALSE)</f>
        <v>17442</v>
      </c>
      <c r="Z931" s="40">
        <f t="shared" si="426"/>
        <v>8679.9</v>
      </c>
      <c r="AA931" s="40">
        <f>VLOOKUP(A931,kurspris!$A$1:$Q$913,17,FALSE)</f>
        <v>6000</v>
      </c>
      <c r="AB931" s="40">
        <f t="shared" si="427"/>
        <v>1500</v>
      </c>
      <c r="AC931" s="40">
        <f t="shared" si="428"/>
        <v>10179.9</v>
      </c>
      <c r="AD931" s="31">
        <f>VLOOKUP($A931,kurspris!$A$1:$Q$950,3,FALSE)</f>
        <v>0</v>
      </c>
      <c r="AE931" s="31">
        <f>VLOOKUP($A931,kurspris!$A$1:$Q$950,4,FALSE)</f>
        <v>1</v>
      </c>
      <c r="AF931" s="31">
        <f>VLOOKUP($A931,kurspris!$A$1:$Q$950,5,FALSE)</f>
        <v>0</v>
      </c>
      <c r="AG931" s="31">
        <f>VLOOKUP($A931,kurspris!$A$1:$Q$950,6,FALSE)</f>
        <v>0</v>
      </c>
      <c r="AH931" s="31">
        <f>VLOOKUP($A931,kurspris!$A$1:$Q$950,7,FALSE)</f>
        <v>0</v>
      </c>
      <c r="AI931" s="31">
        <f>VLOOKUP($A931,kurspris!$A$1:$Q$950,8,FALSE)</f>
        <v>0</v>
      </c>
      <c r="AJ931" s="31">
        <f>VLOOKUP($A931,kurspris!$A$1:$Q$950,9,FALSE)</f>
        <v>0</v>
      </c>
      <c r="AK931" s="31">
        <f>VLOOKUP($A931,kurspris!$A$1:$Q$950,10,FALSE)</f>
        <v>0</v>
      </c>
      <c r="AL931" s="31">
        <f>VLOOKUP($A931,kurspris!$A$1:$Q$950,11,FALSE)</f>
        <v>0</v>
      </c>
      <c r="AM931" s="31">
        <f>VLOOKUP($A931,kurspris!$A$1:$Q$950,12,FALSE)</f>
        <v>0</v>
      </c>
      <c r="AN931" s="31">
        <f>VLOOKUP($A931,kurspris!$A$1:$Q$950,13,FALSE)</f>
        <v>0</v>
      </c>
      <c r="AO931" s="31">
        <f>VLOOKUP($A931,kurspris!$A$1:$Q$950,14,FALSE)</f>
        <v>0</v>
      </c>
      <c r="AP931" s="57" t="s">
        <v>2402</v>
      </c>
      <c r="AQ931"/>
      <c r="AR931" s="31">
        <f t="shared" si="429"/>
        <v>0</v>
      </c>
      <c r="AS931" s="219">
        <f t="shared" si="430"/>
        <v>0</v>
      </c>
      <c r="AT931" s="31">
        <f t="shared" si="431"/>
        <v>0.25</v>
      </c>
      <c r="AU931" s="219">
        <f t="shared" si="432"/>
        <v>0.2</v>
      </c>
      <c r="AV931" s="31">
        <f t="shared" si="433"/>
        <v>0</v>
      </c>
      <c r="AW931" s="31">
        <f t="shared" si="434"/>
        <v>0</v>
      </c>
      <c r="AX931" s="31">
        <f t="shared" si="435"/>
        <v>0</v>
      </c>
      <c r="AY931" s="219">
        <f t="shared" si="436"/>
        <v>0</v>
      </c>
      <c r="AZ931" s="196">
        <f t="shared" si="437"/>
        <v>0</v>
      </c>
      <c r="BA931" s="219">
        <f t="shared" si="438"/>
        <v>0</v>
      </c>
      <c r="BB931" s="31">
        <f t="shared" si="439"/>
        <v>0</v>
      </c>
      <c r="BC931" s="219">
        <f t="shared" si="440"/>
        <v>0</v>
      </c>
      <c r="BD931" s="31">
        <f t="shared" si="441"/>
        <v>0</v>
      </c>
      <c r="BE931" s="219">
        <f t="shared" si="442"/>
        <v>0</v>
      </c>
      <c r="BF931" s="31">
        <f t="shared" si="443"/>
        <v>0</v>
      </c>
      <c r="BG931" s="219">
        <f t="shared" si="444"/>
        <v>0</v>
      </c>
      <c r="BH931" s="31">
        <f t="shared" si="445"/>
        <v>0</v>
      </c>
      <c r="BI931" s="219">
        <f t="shared" si="446"/>
        <v>0</v>
      </c>
      <c r="BJ931" s="31">
        <f t="shared" si="447"/>
        <v>0</v>
      </c>
      <c r="BK931" s="219">
        <f t="shared" si="448"/>
        <v>0</v>
      </c>
      <c r="BL931" s="31">
        <f t="shared" si="449"/>
        <v>0</v>
      </c>
      <c r="BM931" s="219">
        <f t="shared" si="450"/>
        <v>0</v>
      </c>
      <c r="BN931" s="31">
        <f t="shared" si="451"/>
        <v>0</v>
      </c>
      <c r="BO931" s="219">
        <f t="shared" si="452"/>
        <v>0</v>
      </c>
    </row>
    <row r="932" spans="1:67" x14ac:dyDescent="0.25">
      <c r="A932" s="31" t="s">
        <v>1935</v>
      </c>
      <c r="B932" s="176" t="str">
        <f>VLOOKUP(A932,kurspris!$A$1:$B$992,2,FALSE)</f>
        <v>Svenska som andraspråk C, Examensarbete för kandidatexamen</v>
      </c>
      <c r="D932" s="31" t="s">
        <v>117</v>
      </c>
      <c r="F932" s="60" t="s">
        <v>2273</v>
      </c>
      <c r="I932" s="31" t="s">
        <v>2275</v>
      </c>
      <c r="L932" s="38">
        <v>0.5</v>
      </c>
      <c r="M932" s="325">
        <v>15</v>
      </c>
      <c r="P932" s="31">
        <v>6</v>
      </c>
      <c r="Q932" s="196">
        <f>(M932/60)*P932</f>
        <v>1.5</v>
      </c>
      <c r="R932" s="38">
        <v>0.8</v>
      </c>
      <c r="S932" s="280">
        <f t="shared" si="425"/>
        <v>1.2000000000000002</v>
      </c>
      <c r="T932" s="31">
        <f>VLOOKUP(A932,'Ansvar kurs'!$A$1:$C$1123,2,FALSE)</f>
        <v>1620</v>
      </c>
      <c r="U932" s="31" t="str">
        <f>VLOOKUP(T932,Orgenheter!$A$1:$C$166,2,FALSE)</f>
        <v>Inst för språkstudier</v>
      </c>
      <c r="V932" s="31" t="str">
        <f>VLOOKUP(T932,Orgenheter!$A$1:$C$166,3,FALSE)</f>
        <v>Hum</v>
      </c>
      <c r="W932" s="35" t="str">
        <f>VLOOKUP(D932,Program!$A$1:$B$36,2,FALSE)</f>
        <v>Fristående och övriga kurser</v>
      </c>
      <c r="X932" s="40">
        <f>VLOOKUP(A932,kurspris!$A$1:$Q$913,15,FALSE)</f>
        <v>20766</v>
      </c>
      <c r="Y932" s="40">
        <f>VLOOKUP(A932,kurspris!$A$1:$Q$913,16,FALSE)</f>
        <v>17442</v>
      </c>
      <c r="Z932" s="40">
        <f t="shared" si="426"/>
        <v>52079.4</v>
      </c>
      <c r="AA932" s="40">
        <f>VLOOKUP(A932,kurspris!$A$1:$Q$913,17,FALSE)</f>
        <v>6000</v>
      </c>
      <c r="AB932" s="40">
        <f t="shared" si="427"/>
        <v>9000</v>
      </c>
      <c r="AC932" s="40">
        <f t="shared" si="428"/>
        <v>61079.4</v>
      </c>
      <c r="AD932" s="31">
        <f>VLOOKUP($A932,kurspris!$A$1:$Q$950,3,FALSE)</f>
        <v>0</v>
      </c>
      <c r="AE932" s="31">
        <f>VLOOKUP($A932,kurspris!$A$1:$Q$950,4,FALSE)</f>
        <v>1</v>
      </c>
      <c r="AF932" s="31">
        <f>VLOOKUP($A932,kurspris!$A$1:$Q$950,5,FALSE)</f>
        <v>0</v>
      </c>
      <c r="AG932" s="31">
        <f>VLOOKUP($A932,kurspris!$A$1:$Q$950,6,FALSE)</f>
        <v>0</v>
      </c>
      <c r="AH932" s="31">
        <f>VLOOKUP($A932,kurspris!$A$1:$Q$950,7,FALSE)</f>
        <v>0</v>
      </c>
      <c r="AI932" s="31">
        <f>VLOOKUP($A932,kurspris!$A$1:$Q$950,8,FALSE)</f>
        <v>0</v>
      </c>
      <c r="AJ932" s="31">
        <f>VLOOKUP($A932,kurspris!$A$1:$Q$950,9,FALSE)</f>
        <v>0</v>
      </c>
      <c r="AK932" s="31">
        <f>VLOOKUP($A932,kurspris!$A$1:$Q$950,10,FALSE)</f>
        <v>0</v>
      </c>
      <c r="AL932" s="31">
        <f>VLOOKUP($A932,kurspris!$A$1:$Q$950,11,FALSE)</f>
        <v>0</v>
      </c>
      <c r="AM932" s="31">
        <f>VLOOKUP($A932,kurspris!$A$1:$Q$950,12,FALSE)</f>
        <v>0</v>
      </c>
      <c r="AN932" s="31">
        <f>VLOOKUP($A932,kurspris!$A$1:$Q$950,13,FALSE)</f>
        <v>0</v>
      </c>
      <c r="AO932" s="31">
        <f>VLOOKUP($A932,kurspris!$A$1:$Q$950,14,FALSE)</f>
        <v>0</v>
      </c>
      <c r="AP932" s="57" t="s">
        <v>2267</v>
      </c>
      <c r="AQ932"/>
      <c r="AR932" s="31">
        <f t="shared" si="429"/>
        <v>0</v>
      </c>
      <c r="AS932" s="219">
        <f t="shared" si="430"/>
        <v>0</v>
      </c>
      <c r="AT932" s="31">
        <f t="shared" si="431"/>
        <v>1.5</v>
      </c>
      <c r="AU932" s="219">
        <f t="shared" si="432"/>
        <v>1.2000000000000002</v>
      </c>
      <c r="AV932" s="31">
        <f t="shared" si="433"/>
        <v>0</v>
      </c>
      <c r="AW932" s="31">
        <f t="shared" si="434"/>
        <v>0</v>
      </c>
      <c r="AX932" s="31">
        <f t="shared" si="435"/>
        <v>0</v>
      </c>
      <c r="AY932" s="219">
        <f t="shared" si="436"/>
        <v>0</v>
      </c>
      <c r="AZ932" s="196">
        <f t="shared" si="437"/>
        <v>0</v>
      </c>
      <c r="BA932" s="219">
        <f t="shared" si="438"/>
        <v>0</v>
      </c>
      <c r="BB932" s="31">
        <f t="shared" si="439"/>
        <v>0</v>
      </c>
      <c r="BC932" s="219">
        <f t="shared" si="440"/>
        <v>0</v>
      </c>
      <c r="BD932" s="31">
        <f t="shared" si="441"/>
        <v>0</v>
      </c>
      <c r="BE932" s="219">
        <f t="shared" si="442"/>
        <v>0</v>
      </c>
      <c r="BF932" s="31">
        <f t="shared" si="443"/>
        <v>0</v>
      </c>
      <c r="BG932" s="219">
        <f t="shared" si="444"/>
        <v>0</v>
      </c>
      <c r="BH932" s="31">
        <f t="shared" si="445"/>
        <v>0</v>
      </c>
      <c r="BI932" s="219">
        <f t="shared" si="446"/>
        <v>0</v>
      </c>
      <c r="BJ932" s="31">
        <f t="shared" si="447"/>
        <v>0</v>
      </c>
      <c r="BK932" s="219">
        <f t="shared" si="448"/>
        <v>0</v>
      </c>
      <c r="BL932" s="31">
        <f t="shared" si="449"/>
        <v>0</v>
      </c>
      <c r="BM932" s="219">
        <f t="shared" si="450"/>
        <v>0</v>
      </c>
      <c r="BN932" s="31">
        <f t="shared" si="451"/>
        <v>0</v>
      </c>
      <c r="BO932" s="219">
        <f t="shared" si="452"/>
        <v>0</v>
      </c>
    </row>
    <row r="933" spans="1:67" x14ac:dyDescent="0.25">
      <c r="A933" s="31" t="s">
        <v>1936</v>
      </c>
      <c r="B933" s="176" t="str">
        <f>VLOOKUP(A933,kurspris!$A$1:$B$992,2,FALSE)</f>
        <v>Svenska som andraspråk för ämneslärare, kurs 1</v>
      </c>
      <c r="C933" s="31">
        <v>71805</v>
      </c>
      <c r="D933" s="60" t="s">
        <v>481</v>
      </c>
      <c r="E933" s="60"/>
      <c r="F933" s="57" t="s">
        <v>2274</v>
      </c>
      <c r="H933" s="31" t="s">
        <v>2335</v>
      </c>
      <c r="I933" s="31" t="s">
        <v>2399</v>
      </c>
      <c r="J933" s="31" t="s">
        <v>2250</v>
      </c>
      <c r="L933" s="38"/>
      <c r="M933">
        <v>30</v>
      </c>
      <c r="P933" s="31">
        <v>1</v>
      </c>
      <c r="Q933" s="539">
        <v>0.5</v>
      </c>
      <c r="R933" s="38">
        <v>0.85</v>
      </c>
      <c r="S933" s="280">
        <f t="shared" si="425"/>
        <v>0.42499999999999999</v>
      </c>
      <c r="T933" s="31">
        <f>VLOOKUP(A933,'Ansvar kurs'!$A$1:$C$1123,2,FALSE)</f>
        <v>1620</v>
      </c>
      <c r="U933" s="31" t="str">
        <f>VLOOKUP(T933,Orgenheter!$A$1:$C$166,2,FALSE)</f>
        <v>Inst för språkstudier</v>
      </c>
      <c r="V933" s="31" t="str">
        <f>VLOOKUP(T933,Orgenheter!$A$1:$C$166,3,FALSE)</f>
        <v>Hum</v>
      </c>
      <c r="W933" s="35" t="str">
        <f>VLOOKUP(D933,Program!$A$1:$B$36,2,FALSE)</f>
        <v>Ämneslärarprogrammet - åk 7-9</v>
      </c>
      <c r="X933" s="40">
        <f>VLOOKUP(A933,kurspris!$A$1:$Q$913,15,FALSE)</f>
        <v>20766</v>
      </c>
      <c r="Y933" s="40">
        <f>VLOOKUP(A933,kurspris!$A$1:$Q$913,16,FALSE)</f>
        <v>17442</v>
      </c>
      <c r="Z933" s="40">
        <f t="shared" si="426"/>
        <v>17795.849999999999</v>
      </c>
      <c r="AA933" s="40">
        <f>VLOOKUP(A933,kurspris!$A$1:$Q$913,17,FALSE)</f>
        <v>6000</v>
      </c>
      <c r="AB933" s="40">
        <f t="shared" si="427"/>
        <v>3000</v>
      </c>
      <c r="AC933" s="40">
        <f t="shared" si="428"/>
        <v>20795.849999999999</v>
      </c>
      <c r="AD933" s="31">
        <f>VLOOKUP($A933,kurspris!$A$1:$Q$950,3,FALSE)</f>
        <v>0</v>
      </c>
      <c r="AE933" s="31">
        <f>VLOOKUP($A933,kurspris!$A$1:$Q$950,4,FALSE)</f>
        <v>1</v>
      </c>
      <c r="AF933" s="31">
        <f>VLOOKUP($A933,kurspris!$A$1:$Q$950,5,FALSE)</f>
        <v>0</v>
      </c>
      <c r="AG933" s="31">
        <f>VLOOKUP($A933,kurspris!$A$1:$Q$950,6,FALSE)</f>
        <v>0</v>
      </c>
      <c r="AH933" s="31">
        <f>VLOOKUP($A933,kurspris!$A$1:$Q$950,7,FALSE)</f>
        <v>0</v>
      </c>
      <c r="AI933" s="31">
        <f>VLOOKUP($A933,kurspris!$A$1:$Q$950,8,FALSE)</f>
        <v>0</v>
      </c>
      <c r="AJ933" s="31">
        <f>VLOOKUP($A933,kurspris!$A$1:$Q$950,9,FALSE)</f>
        <v>0</v>
      </c>
      <c r="AK933" s="31">
        <f>VLOOKUP($A933,kurspris!$A$1:$Q$950,10,FALSE)</f>
        <v>0</v>
      </c>
      <c r="AL933" s="31">
        <f>VLOOKUP($A933,kurspris!$A$1:$Q$950,11,FALSE)</f>
        <v>0</v>
      </c>
      <c r="AM933" s="31">
        <f>VLOOKUP($A933,kurspris!$A$1:$Q$950,12,FALSE)</f>
        <v>0</v>
      </c>
      <c r="AN933" s="31">
        <f>VLOOKUP($A933,kurspris!$A$1:$Q$950,13,FALSE)</f>
        <v>0</v>
      </c>
      <c r="AO933" s="31">
        <f>VLOOKUP($A933,kurspris!$A$1:$Q$950,14,FALSE)</f>
        <v>0</v>
      </c>
      <c r="AP933" s="57" t="s">
        <v>2402</v>
      </c>
      <c r="AQ933"/>
      <c r="AR933" s="31">
        <f t="shared" si="429"/>
        <v>0</v>
      </c>
      <c r="AS933" s="219">
        <f t="shared" si="430"/>
        <v>0</v>
      </c>
      <c r="AT933" s="31">
        <f t="shared" si="431"/>
        <v>0.5</v>
      </c>
      <c r="AU933" s="219">
        <f t="shared" si="432"/>
        <v>0.42499999999999999</v>
      </c>
      <c r="AV933" s="31">
        <f t="shared" si="433"/>
        <v>0</v>
      </c>
      <c r="AW933" s="31">
        <f t="shared" si="434"/>
        <v>0</v>
      </c>
      <c r="AX933" s="31">
        <f t="shared" si="435"/>
        <v>0</v>
      </c>
      <c r="AY933" s="219">
        <f t="shared" si="436"/>
        <v>0</v>
      </c>
      <c r="AZ933" s="196">
        <f t="shared" si="437"/>
        <v>0</v>
      </c>
      <c r="BA933" s="219">
        <f t="shared" si="438"/>
        <v>0</v>
      </c>
      <c r="BB933" s="31">
        <f t="shared" si="439"/>
        <v>0</v>
      </c>
      <c r="BC933" s="219">
        <f t="shared" si="440"/>
        <v>0</v>
      </c>
      <c r="BD933" s="31">
        <f t="shared" si="441"/>
        <v>0</v>
      </c>
      <c r="BE933" s="219">
        <f t="shared" si="442"/>
        <v>0</v>
      </c>
      <c r="BF933" s="31">
        <f t="shared" si="443"/>
        <v>0</v>
      </c>
      <c r="BG933" s="219">
        <f t="shared" si="444"/>
        <v>0</v>
      </c>
      <c r="BH933" s="31">
        <f t="shared" si="445"/>
        <v>0</v>
      </c>
      <c r="BI933" s="219">
        <f t="shared" si="446"/>
        <v>0</v>
      </c>
      <c r="BJ933" s="31">
        <f t="shared" si="447"/>
        <v>0</v>
      </c>
      <c r="BK933" s="219">
        <f t="shared" si="448"/>
        <v>0</v>
      </c>
      <c r="BL933" s="31">
        <f t="shared" si="449"/>
        <v>0</v>
      </c>
      <c r="BM933" s="219">
        <f t="shared" si="450"/>
        <v>0</v>
      </c>
      <c r="BN933" s="31">
        <f t="shared" si="451"/>
        <v>0</v>
      </c>
      <c r="BO933" s="219">
        <f t="shared" si="452"/>
        <v>0</v>
      </c>
    </row>
    <row r="934" spans="1:67" x14ac:dyDescent="0.25">
      <c r="A934" s="31" t="s">
        <v>1936</v>
      </c>
      <c r="B934" s="176" t="str">
        <f>VLOOKUP(A934,kurspris!$A$1:$B$992,2,FALSE)</f>
        <v>Svenska som andraspråk för ämneslärare, kurs 1</v>
      </c>
      <c r="C934" s="31">
        <v>71805</v>
      </c>
      <c r="D934" s="60" t="s">
        <v>482</v>
      </c>
      <c r="E934" s="60"/>
      <c r="F934" s="57" t="s">
        <v>2274</v>
      </c>
      <c r="H934" s="31" t="s">
        <v>2335</v>
      </c>
      <c r="I934" s="31" t="s">
        <v>2399</v>
      </c>
      <c r="J934" s="31" t="s">
        <v>2231</v>
      </c>
      <c r="L934" s="38"/>
      <c r="M934">
        <v>30</v>
      </c>
      <c r="P934" s="31">
        <v>2</v>
      </c>
      <c r="Q934" s="539">
        <v>1</v>
      </c>
      <c r="R934" s="38">
        <v>0.85</v>
      </c>
      <c r="S934" s="280">
        <f t="shared" si="425"/>
        <v>0.85</v>
      </c>
      <c r="T934" s="31">
        <f>VLOOKUP(A934,'Ansvar kurs'!$A$1:$C$1123,2,FALSE)</f>
        <v>1620</v>
      </c>
      <c r="U934" s="31" t="str">
        <f>VLOOKUP(T934,Orgenheter!$A$1:$C$166,2,FALSE)</f>
        <v>Inst för språkstudier</v>
      </c>
      <c r="V934" s="31" t="str">
        <f>VLOOKUP(T934,Orgenheter!$A$1:$C$166,3,FALSE)</f>
        <v>Hum</v>
      </c>
      <c r="W934" s="35" t="str">
        <f>VLOOKUP(D934,Program!$A$1:$B$36,2,FALSE)</f>
        <v>Ämneslärarprogrammet - Gy</v>
      </c>
      <c r="X934" s="40">
        <f>VLOOKUP(A934,kurspris!$A$1:$Q$913,15,FALSE)</f>
        <v>20766</v>
      </c>
      <c r="Y934" s="40">
        <f>VLOOKUP(A934,kurspris!$A$1:$Q$913,16,FALSE)</f>
        <v>17442</v>
      </c>
      <c r="Z934" s="40">
        <f t="shared" si="426"/>
        <v>35591.699999999997</v>
      </c>
      <c r="AA934" s="40">
        <f>VLOOKUP(A934,kurspris!$A$1:$Q$913,17,FALSE)</f>
        <v>6000</v>
      </c>
      <c r="AB934" s="40">
        <f t="shared" si="427"/>
        <v>6000</v>
      </c>
      <c r="AC934" s="40">
        <f t="shared" si="428"/>
        <v>41591.699999999997</v>
      </c>
      <c r="AD934" s="31">
        <f>VLOOKUP($A934,kurspris!$A$1:$Q$950,3,FALSE)</f>
        <v>0</v>
      </c>
      <c r="AE934" s="31">
        <f>VLOOKUP($A934,kurspris!$A$1:$Q$950,4,FALSE)</f>
        <v>1</v>
      </c>
      <c r="AF934" s="31">
        <f>VLOOKUP($A934,kurspris!$A$1:$Q$950,5,FALSE)</f>
        <v>0</v>
      </c>
      <c r="AG934" s="31">
        <f>VLOOKUP($A934,kurspris!$A$1:$Q$950,6,FALSE)</f>
        <v>0</v>
      </c>
      <c r="AH934" s="31">
        <f>VLOOKUP($A934,kurspris!$A$1:$Q$950,7,FALSE)</f>
        <v>0</v>
      </c>
      <c r="AI934" s="31">
        <f>VLOOKUP($A934,kurspris!$A$1:$Q$950,8,FALSE)</f>
        <v>0</v>
      </c>
      <c r="AJ934" s="31">
        <f>VLOOKUP($A934,kurspris!$A$1:$Q$950,9,FALSE)</f>
        <v>0</v>
      </c>
      <c r="AK934" s="31">
        <f>VLOOKUP($A934,kurspris!$A$1:$Q$950,10,FALSE)</f>
        <v>0</v>
      </c>
      <c r="AL934" s="31">
        <f>VLOOKUP($A934,kurspris!$A$1:$Q$950,11,FALSE)</f>
        <v>0</v>
      </c>
      <c r="AM934" s="31">
        <f>VLOOKUP($A934,kurspris!$A$1:$Q$950,12,FALSE)</f>
        <v>0</v>
      </c>
      <c r="AN934" s="31">
        <f>VLOOKUP($A934,kurspris!$A$1:$Q$950,13,FALSE)</f>
        <v>0</v>
      </c>
      <c r="AO934" s="31">
        <f>VLOOKUP($A934,kurspris!$A$1:$Q$950,14,FALSE)</f>
        <v>0</v>
      </c>
      <c r="AP934" s="57" t="s">
        <v>2402</v>
      </c>
      <c r="AQ934"/>
      <c r="AR934" s="31">
        <f t="shared" si="429"/>
        <v>0</v>
      </c>
      <c r="AS934" s="219">
        <f t="shared" si="430"/>
        <v>0</v>
      </c>
      <c r="AT934" s="31">
        <f t="shared" si="431"/>
        <v>1</v>
      </c>
      <c r="AU934" s="219">
        <f t="shared" si="432"/>
        <v>0.85</v>
      </c>
      <c r="AV934" s="31">
        <f t="shared" si="433"/>
        <v>0</v>
      </c>
      <c r="AW934" s="31">
        <f t="shared" si="434"/>
        <v>0</v>
      </c>
      <c r="AX934" s="31">
        <f t="shared" si="435"/>
        <v>0</v>
      </c>
      <c r="AY934" s="219">
        <f t="shared" si="436"/>
        <v>0</v>
      </c>
      <c r="AZ934" s="196">
        <f t="shared" si="437"/>
        <v>0</v>
      </c>
      <c r="BA934" s="219">
        <f t="shared" si="438"/>
        <v>0</v>
      </c>
      <c r="BB934" s="31">
        <f t="shared" si="439"/>
        <v>0</v>
      </c>
      <c r="BC934" s="219">
        <f t="shared" si="440"/>
        <v>0</v>
      </c>
      <c r="BD934" s="31">
        <f t="shared" si="441"/>
        <v>0</v>
      </c>
      <c r="BE934" s="219">
        <f t="shared" si="442"/>
        <v>0</v>
      </c>
      <c r="BF934" s="31">
        <f t="shared" si="443"/>
        <v>0</v>
      </c>
      <c r="BG934" s="219">
        <f t="shared" si="444"/>
        <v>0</v>
      </c>
      <c r="BH934" s="31">
        <f t="shared" si="445"/>
        <v>0</v>
      </c>
      <c r="BI934" s="219">
        <f t="shared" si="446"/>
        <v>0</v>
      </c>
      <c r="BJ934" s="31">
        <f t="shared" si="447"/>
        <v>0</v>
      </c>
      <c r="BK934" s="219">
        <f t="shared" si="448"/>
        <v>0</v>
      </c>
      <c r="BL934" s="31">
        <f t="shared" si="449"/>
        <v>0</v>
      </c>
      <c r="BM934" s="219">
        <f t="shared" si="450"/>
        <v>0</v>
      </c>
      <c r="BN934" s="31">
        <f t="shared" si="451"/>
        <v>0</v>
      </c>
      <c r="BO934" s="219">
        <f t="shared" si="452"/>
        <v>0</v>
      </c>
    </row>
    <row r="935" spans="1:67" x14ac:dyDescent="0.25">
      <c r="A935" s="31" t="s">
        <v>1936</v>
      </c>
      <c r="B935" s="176" t="str">
        <f>VLOOKUP(A935,kurspris!$A$1:$B$992,2,FALSE)</f>
        <v>Svenska som andraspråk för ämneslärare, kurs 1</v>
      </c>
      <c r="C935" s="31">
        <v>71805</v>
      </c>
      <c r="D935" s="60" t="s">
        <v>482</v>
      </c>
      <c r="E935" s="60"/>
      <c r="F935" s="57" t="s">
        <v>2274</v>
      </c>
      <c r="H935" s="31" t="s">
        <v>2335</v>
      </c>
      <c r="I935" s="31" t="s">
        <v>2399</v>
      </c>
      <c r="J935" s="31" t="s">
        <v>2232</v>
      </c>
      <c r="L935" s="38"/>
      <c r="M935">
        <v>30</v>
      </c>
      <c r="P935" s="31">
        <v>2</v>
      </c>
      <c r="Q935" s="539">
        <v>1</v>
      </c>
      <c r="R935" s="38">
        <v>0.85</v>
      </c>
      <c r="S935" s="280">
        <f t="shared" si="425"/>
        <v>0.85</v>
      </c>
      <c r="T935" s="31">
        <f>VLOOKUP(A935,'Ansvar kurs'!$A$1:$C$1123,2,FALSE)</f>
        <v>1620</v>
      </c>
      <c r="U935" s="31" t="str">
        <f>VLOOKUP(T935,Orgenheter!$A$1:$C$166,2,FALSE)</f>
        <v>Inst för språkstudier</v>
      </c>
      <c r="V935" s="31" t="str">
        <f>VLOOKUP(T935,Orgenheter!$A$1:$C$166,3,FALSE)</f>
        <v>Hum</v>
      </c>
      <c r="W935" s="35" t="str">
        <f>VLOOKUP(D935,Program!$A$1:$B$36,2,FALSE)</f>
        <v>Ämneslärarprogrammet - Gy</v>
      </c>
      <c r="X935" s="40">
        <f>VLOOKUP(A935,kurspris!$A$1:$Q$913,15,FALSE)</f>
        <v>20766</v>
      </c>
      <c r="Y935" s="40">
        <f>VLOOKUP(A935,kurspris!$A$1:$Q$913,16,FALSE)</f>
        <v>17442</v>
      </c>
      <c r="Z935" s="40">
        <f t="shared" si="426"/>
        <v>35591.699999999997</v>
      </c>
      <c r="AA935" s="40">
        <f>VLOOKUP(A935,kurspris!$A$1:$Q$913,17,FALSE)</f>
        <v>6000</v>
      </c>
      <c r="AB935" s="40">
        <f t="shared" si="427"/>
        <v>6000</v>
      </c>
      <c r="AC935" s="40">
        <f t="shared" si="428"/>
        <v>41591.699999999997</v>
      </c>
      <c r="AD935" s="31">
        <f>VLOOKUP($A935,kurspris!$A$1:$Q$950,3,FALSE)</f>
        <v>0</v>
      </c>
      <c r="AE935" s="31">
        <f>VLOOKUP($A935,kurspris!$A$1:$Q$950,4,FALSE)</f>
        <v>1</v>
      </c>
      <c r="AF935" s="31">
        <f>VLOOKUP($A935,kurspris!$A$1:$Q$950,5,FALSE)</f>
        <v>0</v>
      </c>
      <c r="AG935" s="31">
        <f>VLOOKUP($A935,kurspris!$A$1:$Q$950,6,FALSE)</f>
        <v>0</v>
      </c>
      <c r="AH935" s="31">
        <f>VLOOKUP($A935,kurspris!$A$1:$Q$950,7,FALSE)</f>
        <v>0</v>
      </c>
      <c r="AI935" s="31">
        <f>VLOOKUP($A935,kurspris!$A$1:$Q$950,8,FALSE)</f>
        <v>0</v>
      </c>
      <c r="AJ935" s="31">
        <f>VLOOKUP($A935,kurspris!$A$1:$Q$950,9,FALSE)</f>
        <v>0</v>
      </c>
      <c r="AK935" s="31">
        <f>VLOOKUP($A935,kurspris!$A$1:$Q$950,10,FALSE)</f>
        <v>0</v>
      </c>
      <c r="AL935" s="31">
        <f>VLOOKUP($A935,kurspris!$A$1:$Q$950,11,FALSE)</f>
        <v>0</v>
      </c>
      <c r="AM935" s="31">
        <f>VLOOKUP($A935,kurspris!$A$1:$Q$950,12,FALSE)</f>
        <v>0</v>
      </c>
      <c r="AN935" s="31">
        <f>VLOOKUP($A935,kurspris!$A$1:$Q$950,13,FALSE)</f>
        <v>0</v>
      </c>
      <c r="AO935" s="31">
        <f>VLOOKUP($A935,kurspris!$A$1:$Q$950,14,FALSE)</f>
        <v>0</v>
      </c>
      <c r="AP935" s="57" t="s">
        <v>2402</v>
      </c>
      <c r="AQ935"/>
      <c r="AR935" s="31">
        <f t="shared" si="429"/>
        <v>0</v>
      </c>
      <c r="AS935" s="219">
        <f t="shared" si="430"/>
        <v>0</v>
      </c>
      <c r="AT935" s="31">
        <f t="shared" si="431"/>
        <v>1</v>
      </c>
      <c r="AU935" s="219">
        <f t="shared" si="432"/>
        <v>0.85</v>
      </c>
      <c r="AV935" s="31">
        <f t="shared" si="433"/>
        <v>0</v>
      </c>
      <c r="AW935" s="31">
        <f t="shared" si="434"/>
        <v>0</v>
      </c>
      <c r="AX935" s="31">
        <f t="shared" si="435"/>
        <v>0</v>
      </c>
      <c r="AY935" s="219">
        <f t="shared" si="436"/>
        <v>0</v>
      </c>
      <c r="AZ935" s="196">
        <f t="shared" si="437"/>
        <v>0</v>
      </c>
      <c r="BA935" s="219">
        <f t="shared" si="438"/>
        <v>0</v>
      </c>
      <c r="BB935" s="31">
        <f t="shared" si="439"/>
        <v>0</v>
      </c>
      <c r="BC935" s="219">
        <f t="shared" si="440"/>
        <v>0</v>
      </c>
      <c r="BD935" s="31">
        <f t="shared" si="441"/>
        <v>0</v>
      </c>
      <c r="BE935" s="219">
        <f t="shared" si="442"/>
        <v>0</v>
      </c>
      <c r="BF935" s="31">
        <f t="shared" si="443"/>
        <v>0</v>
      </c>
      <c r="BG935" s="219">
        <f t="shared" si="444"/>
        <v>0</v>
      </c>
      <c r="BH935" s="31">
        <f t="shared" si="445"/>
        <v>0</v>
      </c>
      <c r="BI935" s="219">
        <f t="shared" si="446"/>
        <v>0</v>
      </c>
      <c r="BJ935" s="31">
        <f t="shared" si="447"/>
        <v>0</v>
      </c>
      <c r="BK935" s="219">
        <f t="shared" si="448"/>
        <v>0</v>
      </c>
      <c r="BL935" s="31">
        <f t="shared" si="449"/>
        <v>0</v>
      </c>
      <c r="BM935" s="219">
        <f t="shared" si="450"/>
        <v>0</v>
      </c>
      <c r="BN935" s="31">
        <f t="shared" si="451"/>
        <v>0</v>
      </c>
      <c r="BO935" s="219">
        <f t="shared" si="452"/>
        <v>0</v>
      </c>
    </row>
    <row r="936" spans="1:67" x14ac:dyDescent="0.25">
      <c r="A936" s="157" t="s">
        <v>1936</v>
      </c>
      <c r="B936" s="176" t="str">
        <f>VLOOKUP(A936,kurspris!$A$1:$B$992,2,FALSE)</f>
        <v>Svenska som andraspråk för ämneslärare, kurs 1</v>
      </c>
      <c r="C936" s="31">
        <v>71805</v>
      </c>
      <c r="D936" s="31" t="s">
        <v>482</v>
      </c>
      <c r="F936" s="57" t="s">
        <v>2274</v>
      </c>
      <c r="H936" s="31" t="s">
        <v>2335</v>
      </c>
      <c r="I936" s="31" t="s">
        <v>2399</v>
      </c>
      <c r="J936" s="31" t="s">
        <v>2240</v>
      </c>
      <c r="L936" s="38"/>
      <c r="M936">
        <v>30</v>
      </c>
      <c r="P936" s="31">
        <v>2</v>
      </c>
      <c r="Q936" s="539">
        <v>1</v>
      </c>
      <c r="R936" s="38">
        <v>0.85</v>
      </c>
      <c r="S936" s="280">
        <f t="shared" si="425"/>
        <v>0.85</v>
      </c>
      <c r="T936" s="31">
        <f>VLOOKUP(A936,'Ansvar kurs'!$A$1:$C$1123,2,FALSE)</f>
        <v>1620</v>
      </c>
      <c r="U936" s="31" t="str">
        <f>VLOOKUP(T936,Orgenheter!$A$1:$C$166,2,FALSE)</f>
        <v>Inst för språkstudier</v>
      </c>
      <c r="V936" s="31" t="str">
        <f>VLOOKUP(T936,Orgenheter!$A$1:$C$166,3,FALSE)</f>
        <v>Hum</v>
      </c>
      <c r="W936" s="35" t="str">
        <f>VLOOKUP(D936,Program!$A$1:$B$36,2,FALSE)</f>
        <v>Ämneslärarprogrammet - Gy</v>
      </c>
      <c r="X936" s="40">
        <f>VLOOKUP(A936,kurspris!$A$1:$Q$913,15,FALSE)</f>
        <v>20766</v>
      </c>
      <c r="Y936" s="40">
        <f>VLOOKUP(A936,kurspris!$A$1:$Q$913,16,FALSE)</f>
        <v>17442</v>
      </c>
      <c r="Z936" s="40">
        <f t="shared" si="426"/>
        <v>35591.699999999997</v>
      </c>
      <c r="AA936" s="40">
        <f>VLOOKUP(A936,kurspris!$A$1:$Q$913,17,FALSE)</f>
        <v>6000</v>
      </c>
      <c r="AB936" s="40">
        <f t="shared" si="427"/>
        <v>6000</v>
      </c>
      <c r="AC936" s="40">
        <f t="shared" si="428"/>
        <v>41591.699999999997</v>
      </c>
      <c r="AD936" s="31">
        <f>VLOOKUP($A936,kurspris!$A$1:$Q$950,3,FALSE)</f>
        <v>0</v>
      </c>
      <c r="AE936" s="31">
        <f>VLOOKUP($A936,kurspris!$A$1:$Q$950,4,FALSE)</f>
        <v>1</v>
      </c>
      <c r="AF936" s="31">
        <f>VLOOKUP($A936,kurspris!$A$1:$Q$950,5,FALSE)</f>
        <v>0</v>
      </c>
      <c r="AG936" s="31">
        <f>VLOOKUP($A936,kurspris!$A$1:$Q$950,6,FALSE)</f>
        <v>0</v>
      </c>
      <c r="AH936" s="31">
        <f>VLOOKUP($A936,kurspris!$A$1:$Q$950,7,FALSE)</f>
        <v>0</v>
      </c>
      <c r="AI936" s="31">
        <f>VLOOKUP($A936,kurspris!$A$1:$Q$950,8,FALSE)</f>
        <v>0</v>
      </c>
      <c r="AJ936" s="31">
        <f>VLOOKUP($A936,kurspris!$A$1:$Q$950,9,FALSE)</f>
        <v>0</v>
      </c>
      <c r="AK936" s="31">
        <f>VLOOKUP($A936,kurspris!$A$1:$Q$950,10,FALSE)</f>
        <v>0</v>
      </c>
      <c r="AL936" s="31">
        <f>VLOOKUP($A936,kurspris!$A$1:$Q$950,11,FALSE)</f>
        <v>0</v>
      </c>
      <c r="AM936" s="31">
        <f>VLOOKUP($A936,kurspris!$A$1:$Q$950,12,FALSE)</f>
        <v>0</v>
      </c>
      <c r="AN936" s="31">
        <f>VLOOKUP($A936,kurspris!$A$1:$Q$950,13,FALSE)</f>
        <v>0</v>
      </c>
      <c r="AO936" s="31">
        <f>VLOOKUP($A936,kurspris!$A$1:$Q$950,14,FALSE)</f>
        <v>0</v>
      </c>
      <c r="AP936" s="57" t="s">
        <v>2402</v>
      </c>
      <c r="AQ936" s="37"/>
      <c r="AR936" s="31">
        <f t="shared" si="429"/>
        <v>0</v>
      </c>
      <c r="AS936" s="219">
        <f t="shared" si="430"/>
        <v>0</v>
      </c>
      <c r="AT936" s="31">
        <f t="shared" si="431"/>
        <v>1</v>
      </c>
      <c r="AU936" s="219">
        <f t="shared" si="432"/>
        <v>0.85</v>
      </c>
      <c r="AV936" s="31">
        <f t="shared" si="433"/>
        <v>0</v>
      </c>
      <c r="AW936" s="31">
        <f t="shared" si="434"/>
        <v>0</v>
      </c>
      <c r="AX936" s="31">
        <f t="shared" si="435"/>
        <v>0</v>
      </c>
      <c r="AY936" s="219">
        <f t="shared" si="436"/>
        <v>0</v>
      </c>
      <c r="AZ936" s="196">
        <f t="shared" si="437"/>
        <v>0</v>
      </c>
      <c r="BA936" s="219">
        <f t="shared" si="438"/>
        <v>0</v>
      </c>
      <c r="BB936" s="31">
        <f t="shared" si="439"/>
        <v>0</v>
      </c>
      <c r="BC936" s="219">
        <f t="shared" si="440"/>
        <v>0</v>
      </c>
      <c r="BD936" s="31">
        <f t="shared" si="441"/>
        <v>0</v>
      </c>
      <c r="BE936" s="219">
        <f t="shared" si="442"/>
        <v>0</v>
      </c>
      <c r="BF936" s="31">
        <f t="shared" si="443"/>
        <v>0</v>
      </c>
      <c r="BG936" s="219">
        <f t="shared" si="444"/>
        <v>0</v>
      </c>
      <c r="BH936" s="31">
        <f t="shared" si="445"/>
        <v>0</v>
      </c>
      <c r="BI936" s="219">
        <f t="shared" si="446"/>
        <v>0</v>
      </c>
      <c r="BJ936" s="31">
        <f t="shared" si="447"/>
        <v>0</v>
      </c>
      <c r="BK936" s="219">
        <f t="shared" si="448"/>
        <v>0</v>
      </c>
      <c r="BL936" s="31">
        <f t="shared" si="449"/>
        <v>0</v>
      </c>
      <c r="BM936" s="219">
        <f t="shared" si="450"/>
        <v>0</v>
      </c>
      <c r="BN936" s="31">
        <f t="shared" si="451"/>
        <v>0</v>
      </c>
      <c r="BO936" s="219">
        <f t="shared" si="452"/>
        <v>0</v>
      </c>
    </row>
    <row r="937" spans="1:67" x14ac:dyDescent="0.25">
      <c r="A937" s="31" t="s">
        <v>1936</v>
      </c>
      <c r="B937" s="176" t="str">
        <f>VLOOKUP(A937,kurspris!$A$1:$B$992,2,FALSE)</f>
        <v>Svenska som andraspråk för ämneslärare, kurs 1</v>
      </c>
      <c r="C937" s="31">
        <v>71805</v>
      </c>
      <c r="D937" s="60" t="s">
        <v>482</v>
      </c>
      <c r="E937" s="60"/>
      <c r="F937" s="57" t="s">
        <v>2274</v>
      </c>
      <c r="H937" s="31" t="s">
        <v>2335</v>
      </c>
      <c r="I937" s="31" t="s">
        <v>2399</v>
      </c>
      <c r="J937" s="31" t="s">
        <v>2248</v>
      </c>
      <c r="L937" s="38"/>
      <c r="M937">
        <v>30</v>
      </c>
      <c r="P937" s="31">
        <v>2</v>
      </c>
      <c r="Q937" s="539">
        <v>1</v>
      </c>
      <c r="R937" s="38">
        <v>0.85</v>
      </c>
      <c r="S937" s="280">
        <f t="shared" si="425"/>
        <v>0.85</v>
      </c>
      <c r="T937" s="31">
        <f>VLOOKUP(A937,'Ansvar kurs'!$A$1:$C$1123,2,FALSE)</f>
        <v>1620</v>
      </c>
      <c r="U937" s="31" t="str">
        <f>VLOOKUP(T937,Orgenheter!$A$1:$C$166,2,FALSE)</f>
        <v>Inst för språkstudier</v>
      </c>
      <c r="V937" s="31" t="str">
        <f>VLOOKUP(T937,Orgenheter!$A$1:$C$166,3,FALSE)</f>
        <v>Hum</v>
      </c>
      <c r="W937" s="35" t="str">
        <f>VLOOKUP(D937,Program!$A$1:$B$36,2,FALSE)</f>
        <v>Ämneslärarprogrammet - Gy</v>
      </c>
      <c r="X937" s="40">
        <f>VLOOKUP(A937,kurspris!$A$1:$Q$913,15,FALSE)</f>
        <v>20766</v>
      </c>
      <c r="Y937" s="40">
        <f>VLOOKUP(A937,kurspris!$A$1:$Q$913,16,FALSE)</f>
        <v>17442</v>
      </c>
      <c r="Z937" s="40">
        <f t="shared" si="426"/>
        <v>35591.699999999997</v>
      </c>
      <c r="AA937" s="40">
        <f>VLOOKUP(A937,kurspris!$A$1:$Q$913,17,FALSE)</f>
        <v>6000</v>
      </c>
      <c r="AB937" s="40">
        <f t="shared" si="427"/>
        <v>6000</v>
      </c>
      <c r="AC937" s="40">
        <f t="shared" si="428"/>
        <v>41591.699999999997</v>
      </c>
      <c r="AD937" s="31">
        <f>VLOOKUP($A937,kurspris!$A$1:$Q$950,3,FALSE)</f>
        <v>0</v>
      </c>
      <c r="AE937" s="31">
        <f>VLOOKUP($A937,kurspris!$A$1:$Q$950,4,FALSE)</f>
        <v>1</v>
      </c>
      <c r="AF937" s="31">
        <f>VLOOKUP($A937,kurspris!$A$1:$Q$950,5,FALSE)</f>
        <v>0</v>
      </c>
      <c r="AG937" s="31">
        <f>VLOOKUP($A937,kurspris!$A$1:$Q$950,6,FALSE)</f>
        <v>0</v>
      </c>
      <c r="AH937" s="31">
        <f>VLOOKUP($A937,kurspris!$A$1:$Q$950,7,FALSE)</f>
        <v>0</v>
      </c>
      <c r="AI937" s="31">
        <f>VLOOKUP($A937,kurspris!$A$1:$Q$950,8,FALSE)</f>
        <v>0</v>
      </c>
      <c r="AJ937" s="31">
        <f>VLOOKUP($A937,kurspris!$A$1:$Q$950,9,FALSE)</f>
        <v>0</v>
      </c>
      <c r="AK937" s="31">
        <f>VLOOKUP($A937,kurspris!$A$1:$Q$950,10,FALSE)</f>
        <v>0</v>
      </c>
      <c r="AL937" s="31">
        <f>VLOOKUP($A937,kurspris!$A$1:$Q$950,11,FALSE)</f>
        <v>0</v>
      </c>
      <c r="AM937" s="31">
        <f>VLOOKUP($A937,kurspris!$A$1:$Q$950,12,FALSE)</f>
        <v>0</v>
      </c>
      <c r="AN937" s="31">
        <f>VLOOKUP($A937,kurspris!$A$1:$Q$950,13,FALSE)</f>
        <v>0</v>
      </c>
      <c r="AO937" s="31">
        <f>VLOOKUP($A937,kurspris!$A$1:$Q$950,14,FALSE)</f>
        <v>0</v>
      </c>
      <c r="AP937" s="57" t="s">
        <v>2402</v>
      </c>
      <c r="AQ937"/>
      <c r="AR937" s="31">
        <f t="shared" si="429"/>
        <v>0</v>
      </c>
      <c r="AS937" s="219">
        <f t="shared" si="430"/>
        <v>0</v>
      </c>
      <c r="AT937" s="31">
        <f t="shared" si="431"/>
        <v>1</v>
      </c>
      <c r="AU937" s="219">
        <f t="shared" si="432"/>
        <v>0.85</v>
      </c>
      <c r="AV937" s="31">
        <f t="shared" si="433"/>
        <v>0</v>
      </c>
      <c r="AW937" s="31">
        <f t="shared" si="434"/>
        <v>0</v>
      </c>
      <c r="AX937" s="31">
        <f t="shared" si="435"/>
        <v>0</v>
      </c>
      <c r="AY937" s="219">
        <f t="shared" si="436"/>
        <v>0</v>
      </c>
      <c r="AZ937" s="196">
        <f t="shared" si="437"/>
        <v>0</v>
      </c>
      <c r="BA937" s="219">
        <f t="shared" si="438"/>
        <v>0</v>
      </c>
      <c r="BB937" s="31">
        <f t="shared" si="439"/>
        <v>0</v>
      </c>
      <c r="BC937" s="219">
        <f t="shared" si="440"/>
        <v>0</v>
      </c>
      <c r="BD937" s="31">
        <f t="shared" si="441"/>
        <v>0</v>
      </c>
      <c r="BE937" s="219">
        <f t="shared" si="442"/>
        <v>0</v>
      </c>
      <c r="BF937" s="31">
        <f t="shared" si="443"/>
        <v>0</v>
      </c>
      <c r="BG937" s="219">
        <f t="shared" si="444"/>
        <v>0</v>
      </c>
      <c r="BH937" s="31">
        <f t="shared" si="445"/>
        <v>0</v>
      </c>
      <c r="BI937" s="219">
        <f t="shared" si="446"/>
        <v>0</v>
      </c>
      <c r="BJ937" s="31">
        <f t="shared" si="447"/>
        <v>0</v>
      </c>
      <c r="BK937" s="219">
        <f t="shared" si="448"/>
        <v>0</v>
      </c>
      <c r="BL937" s="31">
        <f t="shared" si="449"/>
        <v>0</v>
      </c>
      <c r="BM937" s="219">
        <f t="shared" si="450"/>
        <v>0</v>
      </c>
      <c r="BN937" s="31">
        <f t="shared" si="451"/>
        <v>0</v>
      </c>
      <c r="BO937" s="219">
        <f t="shared" si="452"/>
        <v>0</v>
      </c>
    </row>
    <row r="938" spans="1:67" x14ac:dyDescent="0.25">
      <c r="A938" s="31" t="s">
        <v>1936</v>
      </c>
      <c r="B938" s="176" t="str">
        <f>VLOOKUP(A938,kurspris!$A$1:$B$992,2,FALSE)</f>
        <v>Svenska som andraspråk för ämneslärare, kurs 1</v>
      </c>
      <c r="C938" s="31">
        <v>71805</v>
      </c>
      <c r="D938" s="60" t="s">
        <v>482</v>
      </c>
      <c r="E938" s="60"/>
      <c r="F938" s="57" t="s">
        <v>2274</v>
      </c>
      <c r="H938" s="31" t="s">
        <v>2335</v>
      </c>
      <c r="I938" s="31" t="s">
        <v>2399</v>
      </c>
      <c r="L938" s="38"/>
      <c r="M938">
        <v>30</v>
      </c>
      <c r="P938" s="31">
        <v>1</v>
      </c>
      <c r="Q938" s="539">
        <v>0.5</v>
      </c>
      <c r="R938" s="38">
        <v>0.85</v>
      </c>
      <c r="S938" s="280">
        <f t="shared" si="425"/>
        <v>0.42499999999999999</v>
      </c>
      <c r="T938" s="31">
        <f>VLOOKUP(A938,'Ansvar kurs'!$A$1:$C$1123,2,FALSE)</f>
        <v>1620</v>
      </c>
      <c r="U938" s="31" t="str">
        <f>VLOOKUP(T938,Orgenheter!$A$1:$C$166,2,FALSE)</f>
        <v>Inst för språkstudier</v>
      </c>
      <c r="V938" s="31" t="str">
        <f>VLOOKUP(T938,Orgenheter!$A$1:$C$166,3,FALSE)</f>
        <v>Hum</v>
      </c>
      <c r="W938" s="35" t="str">
        <f>VLOOKUP(D938,Program!$A$1:$B$36,2,FALSE)</f>
        <v>Ämneslärarprogrammet - Gy</v>
      </c>
      <c r="X938" s="40">
        <f>VLOOKUP(A938,kurspris!$A$1:$Q$913,15,FALSE)</f>
        <v>20766</v>
      </c>
      <c r="Y938" s="40">
        <f>VLOOKUP(A938,kurspris!$A$1:$Q$913,16,FALSE)</f>
        <v>17442</v>
      </c>
      <c r="Z938" s="40">
        <f t="shared" si="426"/>
        <v>17795.849999999999</v>
      </c>
      <c r="AA938" s="40">
        <f>VLOOKUP(A938,kurspris!$A$1:$Q$913,17,FALSE)</f>
        <v>6000</v>
      </c>
      <c r="AB938" s="40">
        <f t="shared" si="427"/>
        <v>3000</v>
      </c>
      <c r="AC938" s="40">
        <f t="shared" si="428"/>
        <v>20795.849999999999</v>
      </c>
      <c r="AD938" s="31">
        <f>VLOOKUP($A938,kurspris!$A$1:$Q$950,3,FALSE)</f>
        <v>0</v>
      </c>
      <c r="AE938" s="31">
        <f>VLOOKUP($A938,kurspris!$A$1:$Q$950,4,FALSE)</f>
        <v>1</v>
      </c>
      <c r="AF938" s="31">
        <f>VLOOKUP($A938,kurspris!$A$1:$Q$950,5,FALSE)</f>
        <v>0</v>
      </c>
      <c r="AG938" s="31">
        <f>VLOOKUP($A938,kurspris!$A$1:$Q$950,6,FALSE)</f>
        <v>0</v>
      </c>
      <c r="AH938" s="31">
        <f>VLOOKUP($A938,kurspris!$A$1:$Q$950,7,FALSE)</f>
        <v>0</v>
      </c>
      <c r="AI938" s="31">
        <f>VLOOKUP($A938,kurspris!$A$1:$Q$950,8,FALSE)</f>
        <v>0</v>
      </c>
      <c r="AJ938" s="31">
        <f>VLOOKUP($A938,kurspris!$A$1:$Q$950,9,FALSE)</f>
        <v>0</v>
      </c>
      <c r="AK938" s="31">
        <f>VLOOKUP($A938,kurspris!$A$1:$Q$950,10,FALSE)</f>
        <v>0</v>
      </c>
      <c r="AL938" s="31">
        <f>VLOOKUP($A938,kurspris!$A$1:$Q$950,11,FALSE)</f>
        <v>0</v>
      </c>
      <c r="AM938" s="31">
        <f>VLOOKUP($A938,kurspris!$A$1:$Q$950,12,FALSE)</f>
        <v>0</v>
      </c>
      <c r="AN938" s="31">
        <f>VLOOKUP($A938,kurspris!$A$1:$Q$950,13,FALSE)</f>
        <v>0</v>
      </c>
      <c r="AO938" s="31">
        <f>VLOOKUP($A938,kurspris!$A$1:$Q$950,14,FALSE)</f>
        <v>0</v>
      </c>
      <c r="AP938" s="57" t="s">
        <v>2402</v>
      </c>
      <c r="AQ938"/>
      <c r="AR938" s="31">
        <f t="shared" si="429"/>
        <v>0</v>
      </c>
      <c r="AS938" s="219">
        <f t="shared" si="430"/>
        <v>0</v>
      </c>
      <c r="AT938" s="31">
        <f t="shared" si="431"/>
        <v>0.5</v>
      </c>
      <c r="AU938" s="219">
        <f t="shared" si="432"/>
        <v>0.42499999999999999</v>
      </c>
      <c r="AV938" s="31">
        <f t="shared" si="433"/>
        <v>0</v>
      </c>
      <c r="AW938" s="31">
        <f t="shared" si="434"/>
        <v>0</v>
      </c>
      <c r="AX938" s="31">
        <f t="shared" si="435"/>
        <v>0</v>
      </c>
      <c r="AY938" s="219">
        <f t="shared" si="436"/>
        <v>0</v>
      </c>
      <c r="AZ938" s="196">
        <f t="shared" si="437"/>
        <v>0</v>
      </c>
      <c r="BA938" s="219">
        <f t="shared" si="438"/>
        <v>0</v>
      </c>
      <c r="BB938" s="31">
        <f t="shared" si="439"/>
        <v>0</v>
      </c>
      <c r="BC938" s="219">
        <f t="shared" si="440"/>
        <v>0</v>
      </c>
      <c r="BD938" s="31">
        <f t="shared" si="441"/>
        <v>0</v>
      </c>
      <c r="BE938" s="219">
        <f t="shared" si="442"/>
        <v>0</v>
      </c>
      <c r="BF938" s="31">
        <f t="shared" si="443"/>
        <v>0</v>
      </c>
      <c r="BG938" s="219">
        <f t="shared" si="444"/>
        <v>0</v>
      </c>
      <c r="BH938" s="31">
        <f t="shared" si="445"/>
        <v>0</v>
      </c>
      <c r="BI938" s="219">
        <f t="shared" si="446"/>
        <v>0</v>
      </c>
      <c r="BJ938" s="31">
        <f t="shared" si="447"/>
        <v>0</v>
      </c>
      <c r="BK938" s="219">
        <f t="shared" si="448"/>
        <v>0</v>
      </c>
      <c r="BL938" s="31">
        <f t="shared" si="449"/>
        <v>0</v>
      </c>
      <c r="BM938" s="219">
        <f t="shared" si="450"/>
        <v>0</v>
      </c>
      <c r="BN938" s="31">
        <f t="shared" si="451"/>
        <v>0</v>
      </c>
      <c r="BO938" s="219">
        <f t="shared" si="452"/>
        <v>0</v>
      </c>
    </row>
    <row r="939" spans="1:67" x14ac:dyDescent="0.25">
      <c r="A939" s="157" t="s">
        <v>1937</v>
      </c>
      <c r="B939" s="176" t="str">
        <f>VLOOKUP(A939,kurspris!$A$1:$B$992,2,FALSE)</f>
        <v>Svenska som andraspråk för ämneslärare, kurs 2</v>
      </c>
      <c r="C939" s="35"/>
      <c r="D939" s="31" t="s">
        <v>117</v>
      </c>
      <c r="E939" s="60"/>
      <c r="F939" s="60" t="s">
        <v>2273</v>
      </c>
      <c r="I939" s="157" t="s">
        <v>2276</v>
      </c>
      <c r="J939" s="157"/>
      <c r="K939" s="157"/>
      <c r="L939" s="38">
        <v>1</v>
      </c>
      <c r="M939" s="325">
        <v>30</v>
      </c>
      <c r="P939" s="31">
        <v>2</v>
      </c>
      <c r="Q939" s="196">
        <f t="shared" ref="Q939:Q944" si="455">(M939/60)*P939</f>
        <v>1</v>
      </c>
      <c r="R939" s="38">
        <v>0.8</v>
      </c>
      <c r="S939" s="280">
        <f t="shared" si="425"/>
        <v>0.8</v>
      </c>
      <c r="T939" s="31">
        <f>VLOOKUP(A939,'Ansvar kurs'!$A$1:$C$1123,2,FALSE)</f>
        <v>1620</v>
      </c>
      <c r="U939" s="31" t="str">
        <f>VLOOKUP(T939,Orgenheter!$A$1:$C$166,2,FALSE)</f>
        <v>Inst för språkstudier</v>
      </c>
      <c r="V939" s="31" t="str">
        <f>VLOOKUP(T939,Orgenheter!$A$1:$C$166,3,FALSE)</f>
        <v>Hum</v>
      </c>
      <c r="W939" s="35" t="str">
        <f>VLOOKUP(D939,Program!$A$1:$B$36,2,FALSE)</f>
        <v>Fristående och övriga kurser</v>
      </c>
      <c r="X939" s="40">
        <f>VLOOKUP(A939,kurspris!$A$1:$Q$913,15,FALSE)</f>
        <v>20766</v>
      </c>
      <c r="Y939" s="40">
        <f>VLOOKUP(A939,kurspris!$A$1:$Q$913,16,FALSE)</f>
        <v>17442</v>
      </c>
      <c r="Z939" s="40">
        <f t="shared" si="426"/>
        <v>34719.599999999999</v>
      </c>
      <c r="AA939" s="40">
        <f>VLOOKUP(A939,kurspris!$A$1:$Q$913,17,FALSE)</f>
        <v>6000</v>
      </c>
      <c r="AB939" s="40">
        <f t="shared" si="427"/>
        <v>6000</v>
      </c>
      <c r="AC939" s="40">
        <f t="shared" si="428"/>
        <v>40719.599999999999</v>
      </c>
      <c r="AD939" s="31">
        <f>VLOOKUP($A939,kurspris!$A$1:$Q$950,3,FALSE)</f>
        <v>0</v>
      </c>
      <c r="AE939" s="31">
        <f>VLOOKUP($A939,kurspris!$A$1:$Q$950,4,FALSE)</f>
        <v>1</v>
      </c>
      <c r="AF939" s="31">
        <f>VLOOKUP($A939,kurspris!$A$1:$Q$950,5,FALSE)</f>
        <v>0</v>
      </c>
      <c r="AG939" s="31">
        <f>VLOOKUP($A939,kurspris!$A$1:$Q$950,6,FALSE)</f>
        <v>0</v>
      </c>
      <c r="AH939" s="31">
        <f>VLOOKUP($A939,kurspris!$A$1:$Q$950,7,FALSE)</f>
        <v>0</v>
      </c>
      <c r="AI939" s="31">
        <f>VLOOKUP($A939,kurspris!$A$1:$Q$950,8,FALSE)</f>
        <v>0</v>
      </c>
      <c r="AJ939" s="31">
        <f>VLOOKUP($A939,kurspris!$A$1:$Q$950,9,FALSE)</f>
        <v>0</v>
      </c>
      <c r="AK939" s="31">
        <f>VLOOKUP($A939,kurspris!$A$1:$Q$950,10,FALSE)</f>
        <v>0</v>
      </c>
      <c r="AL939" s="31">
        <f>VLOOKUP($A939,kurspris!$A$1:$Q$950,11,FALSE)</f>
        <v>0</v>
      </c>
      <c r="AM939" s="31">
        <f>VLOOKUP($A939,kurspris!$A$1:$Q$950,12,FALSE)</f>
        <v>0</v>
      </c>
      <c r="AN939" s="31">
        <f>VLOOKUP($A939,kurspris!$A$1:$Q$950,13,FALSE)</f>
        <v>0</v>
      </c>
      <c r="AO939" s="31">
        <f>VLOOKUP($A939,kurspris!$A$1:$Q$950,14,FALSE)</f>
        <v>0</v>
      </c>
      <c r="AP939" s="57" t="s">
        <v>2267</v>
      </c>
      <c r="AQ939" s="37"/>
      <c r="AR939" s="31">
        <f t="shared" si="429"/>
        <v>0</v>
      </c>
      <c r="AS939" s="219">
        <f t="shared" si="430"/>
        <v>0</v>
      </c>
      <c r="AT939" s="31">
        <f t="shared" si="431"/>
        <v>1</v>
      </c>
      <c r="AU939" s="219">
        <f t="shared" si="432"/>
        <v>0.8</v>
      </c>
      <c r="AV939" s="31">
        <f t="shared" si="433"/>
        <v>0</v>
      </c>
      <c r="AW939" s="31">
        <f t="shared" si="434"/>
        <v>0</v>
      </c>
      <c r="AX939" s="31">
        <f t="shared" si="435"/>
        <v>0</v>
      </c>
      <c r="AY939" s="219">
        <f t="shared" si="436"/>
        <v>0</v>
      </c>
      <c r="AZ939" s="196">
        <f t="shared" si="437"/>
        <v>0</v>
      </c>
      <c r="BA939" s="219">
        <f t="shared" si="438"/>
        <v>0</v>
      </c>
      <c r="BB939" s="31">
        <f t="shared" si="439"/>
        <v>0</v>
      </c>
      <c r="BC939" s="219">
        <f t="shared" si="440"/>
        <v>0</v>
      </c>
      <c r="BD939" s="31">
        <f t="shared" si="441"/>
        <v>0</v>
      </c>
      <c r="BE939" s="219">
        <f t="shared" si="442"/>
        <v>0</v>
      </c>
      <c r="BF939" s="31">
        <f t="shared" si="443"/>
        <v>0</v>
      </c>
      <c r="BG939" s="219">
        <f t="shared" si="444"/>
        <v>0</v>
      </c>
      <c r="BH939" s="31">
        <f t="shared" si="445"/>
        <v>0</v>
      </c>
      <c r="BI939" s="219">
        <f t="shared" si="446"/>
        <v>0</v>
      </c>
      <c r="BJ939" s="31">
        <f t="shared" si="447"/>
        <v>0</v>
      </c>
      <c r="BK939" s="219">
        <f t="shared" si="448"/>
        <v>0</v>
      </c>
      <c r="BL939" s="31">
        <f t="shared" si="449"/>
        <v>0</v>
      </c>
      <c r="BM939" s="219">
        <f t="shared" si="450"/>
        <v>0</v>
      </c>
      <c r="BN939" s="31">
        <f t="shared" si="451"/>
        <v>0</v>
      </c>
      <c r="BO939" s="219">
        <f t="shared" si="452"/>
        <v>0</v>
      </c>
    </row>
    <row r="940" spans="1:67" x14ac:dyDescent="0.25">
      <c r="A940" s="31" t="s">
        <v>1937</v>
      </c>
      <c r="B940" s="176" t="str">
        <f>VLOOKUP(A940,kurspris!$A$1:$B$992,2,FALSE)</f>
        <v>Svenska som andraspråk för ämneslärare, kurs 2</v>
      </c>
      <c r="D940" s="60" t="s">
        <v>481</v>
      </c>
      <c r="E940" s="576" t="s">
        <v>2225</v>
      </c>
      <c r="F940" s="31" t="s">
        <v>2273</v>
      </c>
      <c r="G940" t="s">
        <v>2458</v>
      </c>
      <c r="H940" t="s">
        <v>2335</v>
      </c>
      <c r="J940" s="31" t="s">
        <v>2250</v>
      </c>
      <c r="L940" s="38">
        <v>1</v>
      </c>
      <c r="M940">
        <v>30</v>
      </c>
      <c r="P940" s="31">
        <v>1</v>
      </c>
      <c r="Q940" s="196">
        <f t="shared" si="455"/>
        <v>0.5</v>
      </c>
      <c r="R940" s="38">
        <v>0.85</v>
      </c>
      <c r="S940" s="280">
        <f t="shared" si="425"/>
        <v>0.42499999999999999</v>
      </c>
      <c r="T940" s="31">
        <f>VLOOKUP(A940,'Ansvar kurs'!$A$1:$C$1123,2,FALSE)</f>
        <v>1620</v>
      </c>
      <c r="U940" s="31" t="str">
        <f>VLOOKUP(T940,Orgenheter!$A$1:$C$166,2,FALSE)</f>
        <v>Inst för språkstudier</v>
      </c>
      <c r="V940" s="31" t="str">
        <f>VLOOKUP(T940,Orgenheter!$A$1:$C$166,3,FALSE)</f>
        <v>Hum</v>
      </c>
      <c r="W940" s="35" t="str">
        <f>VLOOKUP(D940,Program!$A$1:$B$36,2,FALSE)</f>
        <v>Ämneslärarprogrammet - åk 7-9</v>
      </c>
      <c r="X940" s="40">
        <f>VLOOKUP(A940,kurspris!$A$1:$Q$913,15,FALSE)</f>
        <v>20766</v>
      </c>
      <c r="Y940" s="40">
        <f>VLOOKUP(A940,kurspris!$A$1:$Q$913,16,FALSE)</f>
        <v>17442</v>
      </c>
      <c r="Z940" s="40">
        <f t="shared" si="426"/>
        <v>17795.849999999999</v>
      </c>
      <c r="AA940" s="40">
        <f>VLOOKUP(A940,kurspris!$A$1:$Q$913,17,FALSE)</f>
        <v>6000</v>
      </c>
      <c r="AB940" s="40">
        <f t="shared" si="427"/>
        <v>3000</v>
      </c>
      <c r="AC940" s="40">
        <f t="shared" si="428"/>
        <v>20795.849999999999</v>
      </c>
      <c r="AD940" s="31">
        <f>VLOOKUP($A940,kurspris!$A$1:$Q$950,3,FALSE)</f>
        <v>0</v>
      </c>
      <c r="AE940" s="31">
        <f>VLOOKUP($A940,kurspris!$A$1:$Q$950,4,FALSE)</f>
        <v>1</v>
      </c>
      <c r="AF940" s="31">
        <f>VLOOKUP($A940,kurspris!$A$1:$Q$950,5,FALSE)</f>
        <v>0</v>
      </c>
      <c r="AG940" s="31">
        <f>VLOOKUP($A940,kurspris!$A$1:$Q$950,6,FALSE)</f>
        <v>0</v>
      </c>
      <c r="AH940" s="31">
        <f>VLOOKUP($A940,kurspris!$A$1:$Q$950,7,FALSE)</f>
        <v>0</v>
      </c>
      <c r="AI940" s="31">
        <f>VLOOKUP($A940,kurspris!$A$1:$Q$950,8,FALSE)</f>
        <v>0</v>
      </c>
      <c r="AJ940" s="31">
        <f>VLOOKUP($A940,kurspris!$A$1:$Q$950,9,FALSE)</f>
        <v>0</v>
      </c>
      <c r="AK940" s="31">
        <f>VLOOKUP($A940,kurspris!$A$1:$Q$950,10,FALSE)</f>
        <v>0</v>
      </c>
      <c r="AL940" s="31">
        <f>VLOOKUP($A940,kurspris!$A$1:$Q$950,11,FALSE)</f>
        <v>0</v>
      </c>
      <c r="AM940" s="31">
        <f>VLOOKUP($A940,kurspris!$A$1:$Q$950,12,FALSE)</f>
        <v>0</v>
      </c>
      <c r="AN940" s="31">
        <f>VLOOKUP($A940,kurspris!$A$1:$Q$950,13,FALSE)</f>
        <v>0</v>
      </c>
      <c r="AO940" s="31">
        <f>VLOOKUP($A940,kurspris!$A$1:$Q$950,14,FALSE)</f>
        <v>0</v>
      </c>
      <c r="AP940" s="57" t="s">
        <v>2506</v>
      </c>
      <c r="AQ940"/>
      <c r="AR940" s="31">
        <f t="shared" si="429"/>
        <v>0</v>
      </c>
      <c r="AS940" s="219">
        <f t="shared" si="430"/>
        <v>0</v>
      </c>
      <c r="AT940" s="31">
        <f t="shared" si="431"/>
        <v>0.5</v>
      </c>
      <c r="AU940" s="219">
        <f t="shared" si="432"/>
        <v>0.42499999999999999</v>
      </c>
      <c r="AV940" s="31">
        <f t="shared" si="433"/>
        <v>0</v>
      </c>
      <c r="AW940" s="31">
        <f t="shared" si="434"/>
        <v>0</v>
      </c>
      <c r="AX940" s="31">
        <f t="shared" si="435"/>
        <v>0</v>
      </c>
      <c r="AY940" s="219">
        <f t="shared" si="436"/>
        <v>0</v>
      </c>
      <c r="AZ940" s="196">
        <f t="shared" si="437"/>
        <v>0</v>
      </c>
      <c r="BA940" s="219">
        <f t="shared" si="438"/>
        <v>0</v>
      </c>
      <c r="BB940" s="31">
        <f t="shared" si="439"/>
        <v>0</v>
      </c>
      <c r="BC940" s="219">
        <f t="shared" si="440"/>
        <v>0</v>
      </c>
      <c r="BD940" s="31">
        <f t="shared" si="441"/>
        <v>0</v>
      </c>
      <c r="BE940" s="219">
        <f t="shared" si="442"/>
        <v>0</v>
      </c>
      <c r="BF940" s="31">
        <f t="shared" si="443"/>
        <v>0</v>
      </c>
      <c r="BG940" s="219">
        <f t="shared" si="444"/>
        <v>0</v>
      </c>
      <c r="BH940" s="31">
        <f t="shared" si="445"/>
        <v>0</v>
      </c>
      <c r="BI940" s="219">
        <f t="shared" si="446"/>
        <v>0</v>
      </c>
      <c r="BJ940" s="31">
        <f t="shared" si="447"/>
        <v>0</v>
      </c>
      <c r="BK940" s="219">
        <f t="shared" si="448"/>
        <v>0</v>
      </c>
      <c r="BL940" s="31">
        <f t="shared" si="449"/>
        <v>0</v>
      </c>
      <c r="BM940" s="219">
        <f t="shared" si="450"/>
        <v>0</v>
      </c>
      <c r="BN940" s="31">
        <f t="shared" si="451"/>
        <v>0</v>
      </c>
      <c r="BO940" s="219">
        <f t="shared" si="452"/>
        <v>0</v>
      </c>
    </row>
    <row r="941" spans="1:67" x14ac:dyDescent="0.25">
      <c r="A941" s="31" t="s">
        <v>1937</v>
      </c>
      <c r="B941" s="176" t="str">
        <f>VLOOKUP(A941,kurspris!$A$1:$B$992,2,FALSE)</f>
        <v>Svenska som andraspråk för ämneslärare, kurs 2</v>
      </c>
      <c r="D941" s="60" t="s">
        <v>482</v>
      </c>
      <c r="E941" s="576" t="s">
        <v>2226</v>
      </c>
      <c r="F941" s="31" t="s">
        <v>2273</v>
      </c>
      <c r="G941" t="s">
        <v>2458</v>
      </c>
      <c r="H941" t="s">
        <v>2335</v>
      </c>
      <c r="J941" s="31" t="s">
        <v>2232</v>
      </c>
      <c r="L941" s="38">
        <v>1</v>
      </c>
      <c r="M941">
        <v>30</v>
      </c>
      <c r="P941" s="31">
        <v>1</v>
      </c>
      <c r="Q941" s="196">
        <f t="shared" si="455"/>
        <v>0.5</v>
      </c>
      <c r="R941" s="38">
        <v>0.85</v>
      </c>
      <c r="S941" s="280">
        <f t="shared" si="425"/>
        <v>0.42499999999999999</v>
      </c>
      <c r="T941" s="31">
        <f>VLOOKUP(A941,'Ansvar kurs'!$A$1:$C$1123,2,FALSE)</f>
        <v>1620</v>
      </c>
      <c r="U941" s="31" t="str">
        <f>VLOOKUP(T941,Orgenheter!$A$1:$C$166,2,FALSE)</f>
        <v>Inst för språkstudier</v>
      </c>
      <c r="V941" s="31" t="str">
        <f>VLOOKUP(T941,Orgenheter!$A$1:$C$166,3,FALSE)</f>
        <v>Hum</v>
      </c>
      <c r="W941" s="35" t="str">
        <f>VLOOKUP(D941,Program!$A$1:$B$36,2,FALSE)</f>
        <v>Ämneslärarprogrammet - Gy</v>
      </c>
      <c r="X941" s="40">
        <f>VLOOKUP(A941,kurspris!$A$1:$Q$913,15,FALSE)</f>
        <v>20766</v>
      </c>
      <c r="Y941" s="40">
        <f>VLOOKUP(A941,kurspris!$A$1:$Q$913,16,FALSE)</f>
        <v>17442</v>
      </c>
      <c r="Z941" s="40">
        <f t="shared" si="426"/>
        <v>17795.849999999999</v>
      </c>
      <c r="AA941" s="40">
        <f>VLOOKUP(A941,kurspris!$A$1:$Q$913,17,FALSE)</f>
        <v>6000</v>
      </c>
      <c r="AB941" s="40">
        <f t="shared" si="427"/>
        <v>3000</v>
      </c>
      <c r="AC941" s="40">
        <f t="shared" si="428"/>
        <v>20795.849999999999</v>
      </c>
      <c r="AD941" s="31">
        <f>VLOOKUP($A941,kurspris!$A$1:$Q$950,3,FALSE)</f>
        <v>0</v>
      </c>
      <c r="AE941" s="31">
        <f>VLOOKUP($A941,kurspris!$A$1:$Q$950,4,FALSE)</f>
        <v>1</v>
      </c>
      <c r="AF941" s="31">
        <f>VLOOKUP($A941,kurspris!$A$1:$Q$950,5,FALSE)</f>
        <v>0</v>
      </c>
      <c r="AG941" s="31">
        <f>VLOOKUP($A941,kurspris!$A$1:$Q$950,6,FALSE)</f>
        <v>0</v>
      </c>
      <c r="AH941" s="31">
        <f>VLOOKUP($A941,kurspris!$A$1:$Q$950,7,FALSE)</f>
        <v>0</v>
      </c>
      <c r="AI941" s="31">
        <f>VLOOKUP($A941,kurspris!$A$1:$Q$950,8,FALSE)</f>
        <v>0</v>
      </c>
      <c r="AJ941" s="31">
        <f>VLOOKUP($A941,kurspris!$A$1:$Q$950,9,FALSE)</f>
        <v>0</v>
      </c>
      <c r="AK941" s="31">
        <f>VLOOKUP($A941,kurspris!$A$1:$Q$950,10,FALSE)</f>
        <v>0</v>
      </c>
      <c r="AL941" s="31">
        <f>VLOOKUP($A941,kurspris!$A$1:$Q$950,11,FALSE)</f>
        <v>0</v>
      </c>
      <c r="AM941" s="31">
        <f>VLOOKUP($A941,kurspris!$A$1:$Q$950,12,FALSE)</f>
        <v>0</v>
      </c>
      <c r="AN941" s="31">
        <f>VLOOKUP($A941,kurspris!$A$1:$Q$950,13,FALSE)</f>
        <v>0</v>
      </c>
      <c r="AO941" s="31">
        <f>VLOOKUP($A941,kurspris!$A$1:$Q$950,14,FALSE)</f>
        <v>0</v>
      </c>
      <c r="AP941" s="57" t="s">
        <v>2506</v>
      </c>
      <c r="AQ941"/>
      <c r="AR941" s="31">
        <f t="shared" si="429"/>
        <v>0</v>
      </c>
      <c r="AS941" s="219">
        <f t="shared" si="430"/>
        <v>0</v>
      </c>
      <c r="AT941" s="31">
        <f t="shared" si="431"/>
        <v>0.5</v>
      </c>
      <c r="AU941" s="219">
        <f t="shared" si="432"/>
        <v>0.42499999999999999</v>
      </c>
      <c r="AV941" s="31">
        <f t="shared" si="433"/>
        <v>0</v>
      </c>
      <c r="AW941" s="31">
        <f t="shared" si="434"/>
        <v>0</v>
      </c>
      <c r="AX941" s="31">
        <f t="shared" si="435"/>
        <v>0</v>
      </c>
      <c r="AY941" s="219">
        <f t="shared" si="436"/>
        <v>0</v>
      </c>
      <c r="AZ941" s="196">
        <f t="shared" si="437"/>
        <v>0</v>
      </c>
      <c r="BA941" s="219">
        <f t="shared" si="438"/>
        <v>0</v>
      </c>
      <c r="BB941" s="31">
        <f t="shared" si="439"/>
        <v>0</v>
      </c>
      <c r="BC941" s="219">
        <f t="shared" si="440"/>
        <v>0</v>
      </c>
      <c r="BD941" s="31">
        <f t="shared" si="441"/>
        <v>0</v>
      </c>
      <c r="BE941" s="219">
        <f t="shared" si="442"/>
        <v>0</v>
      </c>
      <c r="BF941" s="31">
        <f t="shared" si="443"/>
        <v>0</v>
      </c>
      <c r="BG941" s="219">
        <f t="shared" si="444"/>
        <v>0</v>
      </c>
      <c r="BH941" s="31">
        <f t="shared" si="445"/>
        <v>0</v>
      </c>
      <c r="BI941" s="219">
        <f t="shared" si="446"/>
        <v>0</v>
      </c>
      <c r="BJ941" s="31">
        <f t="shared" si="447"/>
        <v>0</v>
      </c>
      <c r="BK941" s="219">
        <f t="shared" si="448"/>
        <v>0</v>
      </c>
      <c r="BL941" s="31">
        <f t="shared" si="449"/>
        <v>0</v>
      </c>
      <c r="BM941" s="219">
        <f t="shared" si="450"/>
        <v>0</v>
      </c>
      <c r="BN941" s="31">
        <f t="shared" si="451"/>
        <v>0</v>
      </c>
      <c r="BO941" s="219">
        <f t="shared" si="452"/>
        <v>0</v>
      </c>
    </row>
    <row r="942" spans="1:67" x14ac:dyDescent="0.25">
      <c r="A942" s="31" t="s">
        <v>1937</v>
      </c>
      <c r="B942" s="176" t="str">
        <f>VLOOKUP(A942,kurspris!$A$1:$B$992,2,FALSE)</f>
        <v>Svenska som andraspråk för ämneslärare, kurs 2</v>
      </c>
      <c r="D942" s="60" t="s">
        <v>482</v>
      </c>
      <c r="E942" s="576" t="s">
        <v>2225</v>
      </c>
      <c r="F942" s="31" t="s">
        <v>2273</v>
      </c>
      <c r="G942" t="s">
        <v>2458</v>
      </c>
      <c r="H942" t="s">
        <v>2335</v>
      </c>
      <c r="J942" s="31" t="s">
        <v>2231</v>
      </c>
      <c r="L942" s="38">
        <v>1</v>
      </c>
      <c r="M942">
        <v>30</v>
      </c>
      <c r="P942" s="31">
        <v>1</v>
      </c>
      <c r="Q942" s="196">
        <f t="shared" si="455"/>
        <v>0.5</v>
      </c>
      <c r="R942" s="38">
        <v>0.85</v>
      </c>
      <c r="S942" s="280">
        <f t="shared" si="425"/>
        <v>0.42499999999999999</v>
      </c>
      <c r="T942" s="31">
        <f>VLOOKUP(A942,'Ansvar kurs'!$A$1:$C$1123,2,FALSE)</f>
        <v>1620</v>
      </c>
      <c r="U942" s="31" t="str">
        <f>VLOOKUP(T942,Orgenheter!$A$1:$C$166,2,FALSE)</f>
        <v>Inst för språkstudier</v>
      </c>
      <c r="V942" s="31" t="str">
        <f>VLOOKUP(T942,Orgenheter!$A$1:$C$166,3,FALSE)</f>
        <v>Hum</v>
      </c>
      <c r="W942" s="35" t="str">
        <f>VLOOKUP(D942,Program!$A$1:$B$36,2,FALSE)</f>
        <v>Ämneslärarprogrammet - Gy</v>
      </c>
      <c r="X942" s="40">
        <f>VLOOKUP(A942,kurspris!$A$1:$Q$913,15,FALSE)</f>
        <v>20766</v>
      </c>
      <c r="Y942" s="40">
        <f>VLOOKUP(A942,kurspris!$A$1:$Q$913,16,FALSE)</f>
        <v>17442</v>
      </c>
      <c r="Z942" s="40">
        <f t="shared" si="426"/>
        <v>17795.849999999999</v>
      </c>
      <c r="AA942" s="40">
        <f>VLOOKUP(A942,kurspris!$A$1:$Q$913,17,FALSE)</f>
        <v>6000</v>
      </c>
      <c r="AB942" s="40">
        <f t="shared" si="427"/>
        <v>3000</v>
      </c>
      <c r="AC942" s="40">
        <f t="shared" si="428"/>
        <v>20795.849999999999</v>
      </c>
      <c r="AD942" s="31">
        <f>VLOOKUP($A942,kurspris!$A$1:$Q$950,3,FALSE)</f>
        <v>0</v>
      </c>
      <c r="AE942" s="31">
        <f>VLOOKUP($A942,kurspris!$A$1:$Q$950,4,FALSE)</f>
        <v>1</v>
      </c>
      <c r="AF942" s="31">
        <f>VLOOKUP($A942,kurspris!$A$1:$Q$950,5,FALSE)</f>
        <v>0</v>
      </c>
      <c r="AG942" s="31">
        <f>VLOOKUP($A942,kurspris!$A$1:$Q$950,6,FALSE)</f>
        <v>0</v>
      </c>
      <c r="AH942" s="31">
        <f>VLOOKUP($A942,kurspris!$A$1:$Q$950,7,FALSE)</f>
        <v>0</v>
      </c>
      <c r="AI942" s="31">
        <f>VLOOKUP($A942,kurspris!$A$1:$Q$950,8,FALSE)</f>
        <v>0</v>
      </c>
      <c r="AJ942" s="31">
        <f>VLOOKUP($A942,kurspris!$A$1:$Q$950,9,FALSE)</f>
        <v>0</v>
      </c>
      <c r="AK942" s="31">
        <f>VLOOKUP($A942,kurspris!$A$1:$Q$950,10,FALSE)</f>
        <v>0</v>
      </c>
      <c r="AL942" s="31">
        <f>VLOOKUP($A942,kurspris!$A$1:$Q$950,11,FALSE)</f>
        <v>0</v>
      </c>
      <c r="AM942" s="31">
        <f>VLOOKUP($A942,kurspris!$A$1:$Q$950,12,FALSE)</f>
        <v>0</v>
      </c>
      <c r="AN942" s="31">
        <f>VLOOKUP($A942,kurspris!$A$1:$Q$950,13,FALSE)</f>
        <v>0</v>
      </c>
      <c r="AO942" s="31">
        <f>VLOOKUP($A942,kurspris!$A$1:$Q$950,14,FALSE)</f>
        <v>0</v>
      </c>
      <c r="AP942" s="57" t="s">
        <v>2506</v>
      </c>
      <c r="AQ942"/>
      <c r="AR942" s="31">
        <f t="shared" si="429"/>
        <v>0</v>
      </c>
      <c r="AS942" s="219">
        <f t="shared" si="430"/>
        <v>0</v>
      </c>
      <c r="AT942" s="31">
        <f t="shared" si="431"/>
        <v>0.5</v>
      </c>
      <c r="AU942" s="219">
        <f t="shared" si="432"/>
        <v>0.42499999999999999</v>
      </c>
      <c r="AV942" s="31">
        <f t="shared" si="433"/>
        <v>0</v>
      </c>
      <c r="AW942" s="31">
        <f t="shared" si="434"/>
        <v>0</v>
      </c>
      <c r="AX942" s="31">
        <f t="shared" si="435"/>
        <v>0</v>
      </c>
      <c r="AY942" s="219">
        <f t="shared" si="436"/>
        <v>0</v>
      </c>
      <c r="AZ942" s="196">
        <f t="shared" si="437"/>
        <v>0</v>
      </c>
      <c r="BA942" s="219">
        <f t="shared" si="438"/>
        <v>0</v>
      </c>
      <c r="BB942" s="31">
        <f t="shared" si="439"/>
        <v>0</v>
      </c>
      <c r="BC942" s="219">
        <f t="shared" si="440"/>
        <v>0</v>
      </c>
      <c r="BD942" s="31">
        <f t="shared" si="441"/>
        <v>0</v>
      </c>
      <c r="BE942" s="219">
        <f t="shared" si="442"/>
        <v>0</v>
      </c>
      <c r="BF942" s="31">
        <f t="shared" si="443"/>
        <v>0</v>
      </c>
      <c r="BG942" s="219">
        <f t="shared" si="444"/>
        <v>0</v>
      </c>
      <c r="BH942" s="31">
        <f t="shared" si="445"/>
        <v>0</v>
      </c>
      <c r="BI942" s="219">
        <f t="shared" si="446"/>
        <v>0</v>
      </c>
      <c r="BJ942" s="31">
        <f t="shared" si="447"/>
        <v>0</v>
      </c>
      <c r="BK942" s="219">
        <f t="shared" si="448"/>
        <v>0</v>
      </c>
      <c r="BL942" s="31">
        <f t="shared" si="449"/>
        <v>0</v>
      </c>
      <c r="BM942" s="219">
        <f t="shared" si="450"/>
        <v>0</v>
      </c>
      <c r="BN942" s="31">
        <f t="shared" si="451"/>
        <v>0</v>
      </c>
      <c r="BO942" s="219">
        <f t="shared" si="452"/>
        <v>0</v>
      </c>
    </row>
    <row r="943" spans="1:67" x14ac:dyDescent="0.25">
      <c r="A943" s="31" t="s">
        <v>1937</v>
      </c>
      <c r="B943" s="176" t="str">
        <f>VLOOKUP(A943,kurspris!$A$1:$B$992,2,FALSE)</f>
        <v>Svenska som andraspråk för ämneslärare, kurs 2</v>
      </c>
      <c r="D943" s="60" t="s">
        <v>482</v>
      </c>
      <c r="E943" s="576" t="s">
        <v>2225</v>
      </c>
      <c r="F943" s="31" t="s">
        <v>2273</v>
      </c>
      <c r="G943" t="s">
        <v>2458</v>
      </c>
      <c r="H943" t="s">
        <v>2335</v>
      </c>
      <c r="J943" s="31" t="s">
        <v>2232</v>
      </c>
      <c r="L943" s="38">
        <v>1</v>
      </c>
      <c r="M943">
        <v>30</v>
      </c>
      <c r="P943" s="31">
        <v>2</v>
      </c>
      <c r="Q943" s="196">
        <f t="shared" si="455"/>
        <v>1</v>
      </c>
      <c r="R943" s="38">
        <v>0.85</v>
      </c>
      <c r="S943" s="280">
        <f t="shared" si="425"/>
        <v>0.85</v>
      </c>
      <c r="T943" s="31">
        <f>VLOOKUP(A943,'Ansvar kurs'!$A$1:$C$1123,2,FALSE)</f>
        <v>1620</v>
      </c>
      <c r="U943" s="31" t="str">
        <f>VLOOKUP(T943,Orgenheter!$A$1:$C$166,2,FALSE)</f>
        <v>Inst för språkstudier</v>
      </c>
      <c r="V943" s="31" t="str">
        <f>VLOOKUP(T943,Orgenheter!$A$1:$C$166,3,FALSE)</f>
        <v>Hum</v>
      </c>
      <c r="W943" s="35" t="str">
        <f>VLOOKUP(D943,Program!$A$1:$B$36,2,FALSE)</f>
        <v>Ämneslärarprogrammet - Gy</v>
      </c>
      <c r="X943" s="40">
        <f>VLOOKUP(A943,kurspris!$A$1:$Q$913,15,FALSE)</f>
        <v>20766</v>
      </c>
      <c r="Y943" s="40">
        <f>VLOOKUP(A943,kurspris!$A$1:$Q$913,16,FALSE)</f>
        <v>17442</v>
      </c>
      <c r="Z943" s="40">
        <f t="shared" si="426"/>
        <v>35591.699999999997</v>
      </c>
      <c r="AA943" s="40">
        <f>VLOOKUP(A943,kurspris!$A$1:$Q$913,17,FALSE)</f>
        <v>6000</v>
      </c>
      <c r="AB943" s="40">
        <f t="shared" si="427"/>
        <v>6000</v>
      </c>
      <c r="AC943" s="40">
        <f t="shared" si="428"/>
        <v>41591.699999999997</v>
      </c>
      <c r="AD943" s="31">
        <f>VLOOKUP($A943,kurspris!$A$1:$Q$950,3,FALSE)</f>
        <v>0</v>
      </c>
      <c r="AE943" s="31">
        <f>VLOOKUP($A943,kurspris!$A$1:$Q$950,4,FALSE)</f>
        <v>1</v>
      </c>
      <c r="AF943" s="31">
        <f>VLOOKUP($A943,kurspris!$A$1:$Q$950,5,FALSE)</f>
        <v>0</v>
      </c>
      <c r="AG943" s="31">
        <f>VLOOKUP($A943,kurspris!$A$1:$Q$950,6,FALSE)</f>
        <v>0</v>
      </c>
      <c r="AH943" s="31">
        <f>VLOOKUP($A943,kurspris!$A$1:$Q$950,7,FALSE)</f>
        <v>0</v>
      </c>
      <c r="AI943" s="31">
        <f>VLOOKUP($A943,kurspris!$A$1:$Q$950,8,FALSE)</f>
        <v>0</v>
      </c>
      <c r="AJ943" s="31">
        <f>VLOOKUP($A943,kurspris!$A$1:$Q$950,9,FALSE)</f>
        <v>0</v>
      </c>
      <c r="AK943" s="31">
        <f>VLOOKUP($A943,kurspris!$A$1:$Q$950,10,FALSE)</f>
        <v>0</v>
      </c>
      <c r="AL943" s="31">
        <f>VLOOKUP($A943,kurspris!$A$1:$Q$950,11,FALSE)</f>
        <v>0</v>
      </c>
      <c r="AM943" s="31">
        <f>VLOOKUP($A943,kurspris!$A$1:$Q$950,12,FALSE)</f>
        <v>0</v>
      </c>
      <c r="AN943" s="31">
        <f>VLOOKUP($A943,kurspris!$A$1:$Q$950,13,FALSE)</f>
        <v>0</v>
      </c>
      <c r="AO943" s="31">
        <f>VLOOKUP($A943,kurspris!$A$1:$Q$950,14,FALSE)</f>
        <v>0</v>
      </c>
      <c r="AP943" s="57" t="s">
        <v>2506</v>
      </c>
      <c r="AQ943"/>
      <c r="AR943" s="31">
        <f t="shared" si="429"/>
        <v>0</v>
      </c>
      <c r="AS943" s="219">
        <f t="shared" si="430"/>
        <v>0</v>
      </c>
      <c r="AT943" s="31">
        <f t="shared" si="431"/>
        <v>1</v>
      </c>
      <c r="AU943" s="219">
        <f t="shared" si="432"/>
        <v>0.85</v>
      </c>
      <c r="AV943" s="31">
        <f t="shared" si="433"/>
        <v>0</v>
      </c>
      <c r="AW943" s="31">
        <f t="shared" si="434"/>
        <v>0</v>
      </c>
      <c r="AX943" s="31">
        <f t="shared" si="435"/>
        <v>0</v>
      </c>
      <c r="AY943" s="219">
        <f t="shared" si="436"/>
        <v>0</v>
      </c>
      <c r="AZ943" s="196">
        <f t="shared" si="437"/>
        <v>0</v>
      </c>
      <c r="BA943" s="219">
        <f t="shared" si="438"/>
        <v>0</v>
      </c>
      <c r="BB943" s="31">
        <f t="shared" si="439"/>
        <v>0</v>
      </c>
      <c r="BC943" s="219">
        <f t="shared" si="440"/>
        <v>0</v>
      </c>
      <c r="BD943" s="31">
        <f t="shared" si="441"/>
        <v>0</v>
      </c>
      <c r="BE943" s="219">
        <f t="shared" si="442"/>
        <v>0</v>
      </c>
      <c r="BF943" s="31">
        <f t="shared" si="443"/>
        <v>0</v>
      </c>
      <c r="BG943" s="219">
        <f t="shared" si="444"/>
        <v>0</v>
      </c>
      <c r="BH943" s="31">
        <f t="shared" si="445"/>
        <v>0</v>
      </c>
      <c r="BI943" s="219">
        <f t="shared" si="446"/>
        <v>0</v>
      </c>
      <c r="BJ943" s="31">
        <f t="shared" si="447"/>
        <v>0</v>
      </c>
      <c r="BK943" s="219">
        <f t="shared" si="448"/>
        <v>0</v>
      </c>
      <c r="BL943" s="31">
        <f t="shared" si="449"/>
        <v>0</v>
      </c>
      <c r="BM943" s="219">
        <f t="shared" si="450"/>
        <v>0</v>
      </c>
      <c r="BN943" s="31">
        <f t="shared" si="451"/>
        <v>0</v>
      </c>
      <c r="BO943" s="219">
        <f t="shared" si="452"/>
        <v>0</v>
      </c>
    </row>
    <row r="944" spans="1:67" x14ac:dyDescent="0.25">
      <c r="A944" s="31" t="s">
        <v>1937</v>
      </c>
      <c r="B944" s="176" t="str">
        <f>VLOOKUP(A944,kurspris!$A$1:$B$992,2,FALSE)</f>
        <v>Svenska som andraspråk för ämneslärare, kurs 2</v>
      </c>
      <c r="D944" s="60" t="s">
        <v>482</v>
      </c>
      <c r="E944" s="576" t="s">
        <v>2225</v>
      </c>
      <c r="F944" s="31" t="s">
        <v>2273</v>
      </c>
      <c r="G944" t="s">
        <v>2458</v>
      </c>
      <c r="H944" t="s">
        <v>2335</v>
      </c>
      <c r="J944" s="31" t="s">
        <v>2240</v>
      </c>
      <c r="L944" s="38">
        <v>1</v>
      </c>
      <c r="M944">
        <v>30</v>
      </c>
      <c r="P944" s="31">
        <v>2</v>
      </c>
      <c r="Q944" s="196">
        <f t="shared" si="455"/>
        <v>1</v>
      </c>
      <c r="R944" s="38">
        <v>0.85</v>
      </c>
      <c r="S944" s="280">
        <f t="shared" si="425"/>
        <v>0.85</v>
      </c>
      <c r="T944" s="31">
        <f>VLOOKUP(A944,'Ansvar kurs'!$A$1:$C$1123,2,FALSE)</f>
        <v>1620</v>
      </c>
      <c r="U944" s="31" t="str">
        <f>VLOOKUP(T944,Orgenheter!$A$1:$C$166,2,FALSE)</f>
        <v>Inst för språkstudier</v>
      </c>
      <c r="V944" s="31" t="str">
        <f>VLOOKUP(T944,Orgenheter!$A$1:$C$166,3,FALSE)</f>
        <v>Hum</v>
      </c>
      <c r="W944" s="35" t="str">
        <f>VLOOKUP(D944,Program!$A$1:$B$36,2,FALSE)</f>
        <v>Ämneslärarprogrammet - Gy</v>
      </c>
      <c r="X944" s="40">
        <f>VLOOKUP(A944,kurspris!$A$1:$Q$913,15,FALSE)</f>
        <v>20766</v>
      </c>
      <c r="Y944" s="40">
        <f>VLOOKUP(A944,kurspris!$A$1:$Q$913,16,FALSE)</f>
        <v>17442</v>
      </c>
      <c r="Z944" s="40">
        <f t="shared" si="426"/>
        <v>35591.699999999997</v>
      </c>
      <c r="AA944" s="40">
        <f>VLOOKUP(A944,kurspris!$A$1:$Q$913,17,FALSE)</f>
        <v>6000</v>
      </c>
      <c r="AB944" s="40">
        <f t="shared" si="427"/>
        <v>6000</v>
      </c>
      <c r="AC944" s="40">
        <f t="shared" si="428"/>
        <v>41591.699999999997</v>
      </c>
      <c r="AD944" s="31">
        <f>VLOOKUP($A944,kurspris!$A$1:$Q$950,3,FALSE)</f>
        <v>0</v>
      </c>
      <c r="AE944" s="31">
        <f>VLOOKUP($A944,kurspris!$A$1:$Q$950,4,FALSE)</f>
        <v>1</v>
      </c>
      <c r="AF944" s="31">
        <f>VLOOKUP($A944,kurspris!$A$1:$Q$950,5,FALSE)</f>
        <v>0</v>
      </c>
      <c r="AG944" s="31">
        <f>VLOOKUP($A944,kurspris!$A$1:$Q$950,6,FALSE)</f>
        <v>0</v>
      </c>
      <c r="AH944" s="31">
        <f>VLOOKUP($A944,kurspris!$A$1:$Q$950,7,FALSE)</f>
        <v>0</v>
      </c>
      <c r="AI944" s="31">
        <f>VLOOKUP($A944,kurspris!$A$1:$Q$950,8,FALSE)</f>
        <v>0</v>
      </c>
      <c r="AJ944" s="31">
        <f>VLOOKUP($A944,kurspris!$A$1:$Q$950,9,FALSE)</f>
        <v>0</v>
      </c>
      <c r="AK944" s="31">
        <f>VLOOKUP($A944,kurspris!$A$1:$Q$950,10,FALSE)</f>
        <v>0</v>
      </c>
      <c r="AL944" s="31">
        <f>VLOOKUP($A944,kurspris!$A$1:$Q$950,11,FALSE)</f>
        <v>0</v>
      </c>
      <c r="AM944" s="31">
        <f>VLOOKUP($A944,kurspris!$A$1:$Q$950,12,FALSE)</f>
        <v>0</v>
      </c>
      <c r="AN944" s="31">
        <f>VLOOKUP($A944,kurspris!$A$1:$Q$950,13,FALSE)</f>
        <v>0</v>
      </c>
      <c r="AO944" s="31">
        <f>VLOOKUP($A944,kurspris!$A$1:$Q$950,14,FALSE)</f>
        <v>0</v>
      </c>
      <c r="AP944" s="57" t="s">
        <v>2506</v>
      </c>
      <c r="AQ944"/>
      <c r="AR944" s="31">
        <f t="shared" si="429"/>
        <v>0</v>
      </c>
      <c r="AS944" s="219">
        <f t="shared" si="430"/>
        <v>0</v>
      </c>
      <c r="AT944" s="31">
        <f t="shared" si="431"/>
        <v>1</v>
      </c>
      <c r="AU944" s="219">
        <f t="shared" si="432"/>
        <v>0.85</v>
      </c>
      <c r="AV944" s="31">
        <f t="shared" si="433"/>
        <v>0</v>
      </c>
      <c r="AW944" s="31">
        <f t="shared" si="434"/>
        <v>0</v>
      </c>
      <c r="AX944" s="31">
        <f t="shared" si="435"/>
        <v>0</v>
      </c>
      <c r="AY944" s="219">
        <f t="shared" si="436"/>
        <v>0</v>
      </c>
      <c r="AZ944" s="196">
        <f t="shared" si="437"/>
        <v>0</v>
      </c>
      <c r="BA944" s="219">
        <f t="shared" si="438"/>
        <v>0</v>
      </c>
      <c r="BB944" s="31">
        <f t="shared" si="439"/>
        <v>0</v>
      </c>
      <c r="BC944" s="219">
        <f t="shared" si="440"/>
        <v>0</v>
      </c>
      <c r="BD944" s="31">
        <f t="shared" si="441"/>
        <v>0</v>
      </c>
      <c r="BE944" s="219">
        <f t="shared" si="442"/>
        <v>0</v>
      </c>
      <c r="BF944" s="31">
        <f t="shared" si="443"/>
        <v>0</v>
      </c>
      <c r="BG944" s="219">
        <f t="shared" si="444"/>
        <v>0</v>
      </c>
      <c r="BH944" s="31">
        <f t="shared" si="445"/>
        <v>0</v>
      </c>
      <c r="BI944" s="219">
        <f t="shared" si="446"/>
        <v>0</v>
      </c>
      <c r="BJ944" s="31">
        <f t="shared" si="447"/>
        <v>0</v>
      </c>
      <c r="BK944" s="219">
        <f t="shared" si="448"/>
        <v>0</v>
      </c>
      <c r="BL944" s="31">
        <f t="shared" si="449"/>
        <v>0</v>
      </c>
      <c r="BM944" s="219">
        <f t="shared" si="450"/>
        <v>0</v>
      </c>
      <c r="BN944" s="31">
        <f t="shared" si="451"/>
        <v>0</v>
      </c>
      <c r="BO944" s="219">
        <f t="shared" si="452"/>
        <v>0</v>
      </c>
    </row>
    <row r="945" spans="1:67" x14ac:dyDescent="0.25">
      <c r="A945" s="31" t="s">
        <v>1938</v>
      </c>
      <c r="B945" s="176" t="str">
        <f>VLOOKUP(A945,kurspris!$A$1:$B$992,2,FALSE)</f>
        <v>Svenska som andraspråk för ämneslärare, kurs 3</v>
      </c>
      <c r="C945" s="31">
        <v>71807</v>
      </c>
      <c r="D945" s="60" t="s">
        <v>482</v>
      </c>
      <c r="E945" s="60"/>
      <c r="F945" s="57" t="s">
        <v>2274</v>
      </c>
      <c r="H945" s="31" t="s">
        <v>2335</v>
      </c>
      <c r="I945" s="31" t="s">
        <v>2399</v>
      </c>
      <c r="J945" s="31" t="s">
        <v>2231</v>
      </c>
      <c r="L945" s="38"/>
      <c r="M945">
        <v>30</v>
      </c>
      <c r="P945" s="31">
        <v>4</v>
      </c>
      <c r="Q945" s="539">
        <v>2</v>
      </c>
      <c r="R945" s="38">
        <v>0.85</v>
      </c>
      <c r="S945" s="280">
        <f t="shared" si="425"/>
        <v>1.7</v>
      </c>
      <c r="T945" s="31">
        <f>VLOOKUP(A945,'Ansvar kurs'!$A$1:$C$1123,2,FALSE)</f>
        <v>1620</v>
      </c>
      <c r="U945" s="31" t="str">
        <f>VLOOKUP(T945,Orgenheter!$A$1:$C$166,2,FALSE)</f>
        <v>Inst för språkstudier</v>
      </c>
      <c r="V945" s="31" t="str">
        <f>VLOOKUP(T945,Orgenheter!$A$1:$C$166,3,FALSE)</f>
        <v>Hum</v>
      </c>
      <c r="W945" s="35" t="str">
        <f>VLOOKUP(D945,Program!$A$1:$B$36,2,FALSE)</f>
        <v>Ämneslärarprogrammet - Gy</v>
      </c>
      <c r="X945" s="40">
        <f>VLOOKUP(A945,kurspris!$A$1:$Q$913,15,FALSE)</f>
        <v>20766</v>
      </c>
      <c r="Y945" s="40">
        <f>VLOOKUP(A945,kurspris!$A$1:$Q$913,16,FALSE)</f>
        <v>17442</v>
      </c>
      <c r="Z945" s="40">
        <f t="shared" si="426"/>
        <v>71183.399999999994</v>
      </c>
      <c r="AA945" s="40">
        <f>VLOOKUP(A945,kurspris!$A$1:$Q$913,17,FALSE)</f>
        <v>6000</v>
      </c>
      <c r="AB945" s="40">
        <f t="shared" si="427"/>
        <v>12000</v>
      </c>
      <c r="AC945" s="40">
        <f t="shared" si="428"/>
        <v>83183.399999999994</v>
      </c>
      <c r="AD945" s="31">
        <f>VLOOKUP($A945,kurspris!$A$1:$Q$950,3,FALSE)</f>
        <v>0</v>
      </c>
      <c r="AE945" s="31">
        <f>VLOOKUP($A945,kurspris!$A$1:$Q$950,4,FALSE)</f>
        <v>1</v>
      </c>
      <c r="AF945" s="31">
        <f>VLOOKUP($A945,kurspris!$A$1:$Q$950,5,FALSE)</f>
        <v>0</v>
      </c>
      <c r="AG945" s="31">
        <f>VLOOKUP($A945,kurspris!$A$1:$Q$950,6,FALSE)</f>
        <v>0</v>
      </c>
      <c r="AH945" s="31">
        <f>VLOOKUP($A945,kurspris!$A$1:$Q$950,7,FALSE)</f>
        <v>0</v>
      </c>
      <c r="AI945" s="31">
        <f>VLOOKUP($A945,kurspris!$A$1:$Q$950,8,FALSE)</f>
        <v>0</v>
      </c>
      <c r="AJ945" s="31">
        <f>VLOOKUP($A945,kurspris!$A$1:$Q$950,9,FALSE)</f>
        <v>0</v>
      </c>
      <c r="AK945" s="31">
        <f>VLOOKUP($A945,kurspris!$A$1:$Q$950,10,FALSE)</f>
        <v>0</v>
      </c>
      <c r="AL945" s="31">
        <f>VLOOKUP($A945,kurspris!$A$1:$Q$950,11,FALSE)</f>
        <v>0</v>
      </c>
      <c r="AM945" s="31">
        <f>VLOOKUP($A945,kurspris!$A$1:$Q$950,12,FALSE)</f>
        <v>0</v>
      </c>
      <c r="AN945" s="31">
        <f>VLOOKUP($A945,kurspris!$A$1:$Q$950,13,FALSE)</f>
        <v>0</v>
      </c>
      <c r="AO945" s="31">
        <f>VLOOKUP($A945,kurspris!$A$1:$Q$950,14,FALSE)</f>
        <v>0</v>
      </c>
      <c r="AP945" s="57" t="s">
        <v>2402</v>
      </c>
      <c r="AQ945"/>
      <c r="AR945" s="31">
        <f t="shared" si="429"/>
        <v>0</v>
      </c>
      <c r="AS945" s="219">
        <f t="shared" si="430"/>
        <v>0</v>
      </c>
      <c r="AT945" s="31">
        <f t="shared" si="431"/>
        <v>2</v>
      </c>
      <c r="AU945" s="219">
        <f t="shared" si="432"/>
        <v>1.7</v>
      </c>
      <c r="AV945" s="31">
        <f t="shared" si="433"/>
        <v>0</v>
      </c>
      <c r="AW945" s="31">
        <f t="shared" si="434"/>
        <v>0</v>
      </c>
      <c r="AX945" s="31">
        <f t="shared" si="435"/>
        <v>0</v>
      </c>
      <c r="AY945" s="219">
        <f t="shared" si="436"/>
        <v>0</v>
      </c>
      <c r="AZ945" s="196">
        <f t="shared" si="437"/>
        <v>0</v>
      </c>
      <c r="BA945" s="219">
        <f t="shared" si="438"/>
        <v>0</v>
      </c>
      <c r="BB945" s="31">
        <f t="shared" si="439"/>
        <v>0</v>
      </c>
      <c r="BC945" s="219">
        <f t="shared" si="440"/>
        <v>0</v>
      </c>
      <c r="BD945" s="31">
        <f t="shared" si="441"/>
        <v>0</v>
      </c>
      <c r="BE945" s="219">
        <f t="shared" si="442"/>
        <v>0</v>
      </c>
      <c r="BF945" s="31">
        <f t="shared" si="443"/>
        <v>0</v>
      </c>
      <c r="BG945" s="219">
        <f t="shared" si="444"/>
        <v>0</v>
      </c>
      <c r="BH945" s="31">
        <f t="shared" si="445"/>
        <v>0</v>
      </c>
      <c r="BI945" s="219">
        <f t="shared" si="446"/>
        <v>0</v>
      </c>
      <c r="BJ945" s="31">
        <f t="shared" si="447"/>
        <v>0</v>
      </c>
      <c r="BK945" s="219">
        <f t="shared" si="448"/>
        <v>0</v>
      </c>
      <c r="BL945" s="31">
        <f t="shared" si="449"/>
        <v>0</v>
      </c>
      <c r="BM945" s="219">
        <f t="shared" si="450"/>
        <v>0</v>
      </c>
      <c r="BN945" s="31">
        <f t="shared" si="451"/>
        <v>0</v>
      </c>
      <c r="BO945" s="219">
        <f t="shared" si="452"/>
        <v>0</v>
      </c>
    </row>
    <row r="946" spans="1:67" x14ac:dyDescent="0.25">
      <c r="A946" s="31" t="s">
        <v>1938</v>
      </c>
      <c r="B946" s="176" t="str">
        <f>VLOOKUP(A946,kurspris!$A$1:$B$992,2,FALSE)</f>
        <v>Svenska som andraspråk för ämneslärare, kurs 3</v>
      </c>
      <c r="C946" s="31">
        <v>71807</v>
      </c>
      <c r="D946" s="60" t="s">
        <v>482</v>
      </c>
      <c r="E946" s="60"/>
      <c r="F946" s="57" t="s">
        <v>2274</v>
      </c>
      <c r="H946" s="31" t="s">
        <v>2335</v>
      </c>
      <c r="I946" s="31" t="s">
        <v>2399</v>
      </c>
      <c r="J946" s="31" t="s">
        <v>2232</v>
      </c>
      <c r="L946" s="38"/>
      <c r="M946">
        <v>30</v>
      </c>
      <c r="P946" s="31">
        <v>5</v>
      </c>
      <c r="Q946" s="539">
        <v>2.5</v>
      </c>
      <c r="R946" s="38">
        <v>0.85</v>
      </c>
      <c r="S946" s="280">
        <f t="shared" si="425"/>
        <v>2.125</v>
      </c>
      <c r="T946" s="31">
        <f>VLOOKUP(A946,'Ansvar kurs'!$A$1:$C$1123,2,FALSE)</f>
        <v>1620</v>
      </c>
      <c r="U946" s="31" t="str">
        <f>VLOOKUP(T946,Orgenheter!$A$1:$C$166,2,FALSE)</f>
        <v>Inst för språkstudier</v>
      </c>
      <c r="V946" s="31" t="str">
        <f>VLOOKUP(T946,Orgenheter!$A$1:$C$166,3,FALSE)</f>
        <v>Hum</v>
      </c>
      <c r="W946" s="35" t="str">
        <f>VLOOKUP(D946,Program!$A$1:$B$36,2,FALSE)</f>
        <v>Ämneslärarprogrammet - Gy</v>
      </c>
      <c r="X946" s="40">
        <f>VLOOKUP(A946,kurspris!$A$1:$Q$913,15,FALSE)</f>
        <v>20766</v>
      </c>
      <c r="Y946" s="40">
        <f>VLOOKUP(A946,kurspris!$A$1:$Q$913,16,FALSE)</f>
        <v>17442</v>
      </c>
      <c r="Z946" s="40">
        <f t="shared" si="426"/>
        <v>88979.25</v>
      </c>
      <c r="AA946" s="40">
        <f>VLOOKUP(A946,kurspris!$A$1:$Q$913,17,FALSE)</f>
        <v>6000</v>
      </c>
      <c r="AB946" s="40">
        <f t="shared" si="427"/>
        <v>15000</v>
      </c>
      <c r="AC946" s="40">
        <f t="shared" si="428"/>
        <v>103979.25</v>
      </c>
      <c r="AD946" s="31">
        <f>VLOOKUP($A946,kurspris!$A$1:$Q$950,3,FALSE)</f>
        <v>0</v>
      </c>
      <c r="AE946" s="31">
        <f>VLOOKUP($A946,kurspris!$A$1:$Q$950,4,FALSE)</f>
        <v>1</v>
      </c>
      <c r="AF946" s="31">
        <f>VLOOKUP($A946,kurspris!$A$1:$Q$950,5,FALSE)</f>
        <v>0</v>
      </c>
      <c r="AG946" s="31">
        <f>VLOOKUP($A946,kurspris!$A$1:$Q$950,6,FALSE)</f>
        <v>0</v>
      </c>
      <c r="AH946" s="31">
        <f>VLOOKUP($A946,kurspris!$A$1:$Q$950,7,FALSE)</f>
        <v>0</v>
      </c>
      <c r="AI946" s="31">
        <f>VLOOKUP($A946,kurspris!$A$1:$Q$950,8,FALSE)</f>
        <v>0</v>
      </c>
      <c r="AJ946" s="31">
        <f>VLOOKUP($A946,kurspris!$A$1:$Q$950,9,FALSE)</f>
        <v>0</v>
      </c>
      <c r="AK946" s="31">
        <f>VLOOKUP($A946,kurspris!$A$1:$Q$950,10,FALSE)</f>
        <v>0</v>
      </c>
      <c r="AL946" s="31">
        <f>VLOOKUP($A946,kurspris!$A$1:$Q$950,11,FALSE)</f>
        <v>0</v>
      </c>
      <c r="AM946" s="31">
        <f>VLOOKUP($A946,kurspris!$A$1:$Q$950,12,FALSE)</f>
        <v>0</v>
      </c>
      <c r="AN946" s="31">
        <f>VLOOKUP($A946,kurspris!$A$1:$Q$950,13,FALSE)</f>
        <v>0</v>
      </c>
      <c r="AO946" s="31">
        <f>VLOOKUP($A946,kurspris!$A$1:$Q$950,14,FALSE)</f>
        <v>0</v>
      </c>
      <c r="AP946" s="57" t="s">
        <v>2402</v>
      </c>
      <c r="AQ946"/>
      <c r="AR946" s="31">
        <f t="shared" si="429"/>
        <v>0</v>
      </c>
      <c r="AS946" s="219">
        <f t="shared" si="430"/>
        <v>0</v>
      </c>
      <c r="AT946" s="31">
        <f t="shared" si="431"/>
        <v>2.5</v>
      </c>
      <c r="AU946" s="219">
        <f t="shared" si="432"/>
        <v>2.125</v>
      </c>
      <c r="AV946" s="31">
        <f t="shared" si="433"/>
        <v>0</v>
      </c>
      <c r="AW946" s="31">
        <f t="shared" si="434"/>
        <v>0</v>
      </c>
      <c r="AX946" s="31">
        <f t="shared" si="435"/>
        <v>0</v>
      </c>
      <c r="AY946" s="219">
        <f t="shared" si="436"/>
        <v>0</v>
      </c>
      <c r="AZ946" s="196">
        <f t="shared" si="437"/>
        <v>0</v>
      </c>
      <c r="BA946" s="219">
        <f t="shared" si="438"/>
        <v>0</v>
      </c>
      <c r="BB946" s="31">
        <f t="shared" si="439"/>
        <v>0</v>
      </c>
      <c r="BC946" s="219">
        <f t="shared" si="440"/>
        <v>0</v>
      </c>
      <c r="BD946" s="31">
        <f t="shared" si="441"/>
        <v>0</v>
      </c>
      <c r="BE946" s="219">
        <f t="shared" si="442"/>
        <v>0</v>
      </c>
      <c r="BF946" s="31">
        <f t="shared" si="443"/>
        <v>0</v>
      </c>
      <c r="BG946" s="219">
        <f t="shared" si="444"/>
        <v>0</v>
      </c>
      <c r="BH946" s="31">
        <f t="shared" si="445"/>
        <v>0</v>
      </c>
      <c r="BI946" s="219">
        <f t="shared" si="446"/>
        <v>0</v>
      </c>
      <c r="BJ946" s="31">
        <f t="shared" si="447"/>
        <v>0</v>
      </c>
      <c r="BK946" s="219">
        <f t="shared" si="448"/>
        <v>0</v>
      </c>
      <c r="BL946" s="31">
        <f t="shared" si="449"/>
        <v>0</v>
      </c>
      <c r="BM946" s="219">
        <f t="shared" si="450"/>
        <v>0</v>
      </c>
      <c r="BN946" s="31">
        <f t="shared" si="451"/>
        <v>0</v>
      </c>
      <c r="BO946" s="219">
        <f t="shared" si="452"/>
        <v>0</v>
      </c>
    </row>
    <row r="947" spans="1:67" x14ac:dyDescent="0.25">
      <c r="A947" s="31" t="s">
        <v>1938</v>
      </c>
      <c r="B947" s="176" t="str">
        <f>VLOOKUP(A947,kurspris!$A$1:$B$992,2,FALSE)</f>
        <v>Svenska som andraspråk för ämneslärare, kurs 3</v>
      </c>
      <c r="C947" s="31">
        <v>71807</v>
      </c>
      <c r="D947" s="60" t="s">
        <v>482</v>
      </c>
      <c r="E947" s="60"/>
      <c r="F947" s="57" t="s">
        <v>2274</v>
      </c>
      <c r="H947" s="31" t="s">
        <v>2335</v>
      </c>
      <c r="I947" s="31" t="s">
        <v>2399</v>
      </c>
      <c r="J947" s="31" t="s">
        <v>2233</v>
      </c>
      <c r="L947" s="38"/>
      <c r="M947">
        <v>30</v>
      </c>
      <c r="P947" s="31">
        <v>1</v>
      </c>
      <c r="Q947" s="539">
        <v>0.5</v>
      </c>
      <c r="R947" s="38">
        <v>0.85</v>
      </c>
      <c r="S947" s="280">
        <f t="shared" si="425"/>
        <v>0.42499999999999999</v>
      </c>
      <c r="T947" s="31">
        <f>VLOOKUP(A947,'Ansvar kurs'!$A$1:$C$1123,2,FALSE)</f>
        <v>1620</v>
      </c>
      <c r="U947" s="31" t="str">
        <f>VLOOKUP(T947,Orgenheter!$A$1:$C$166,2,FALSE)</f>
        <v>Inst för språkstudier</v>
      </c>
      <c r="V947" s="31" t="str">
        <f>VLOOKUP(T947,Orgenheter!$A$1:$C$166,3,FALSE)</f>
        <v>Hum</v>
      </c>
      <c r="W947" s="35" t="str">
        <f>VLOOKUP(D947,Program!$A$1:$B$36,2,FALSE)</f>
        <v>Ämneslärarprogrammet - Gy</v>
      </c>
      <c r="X947" s="40">
        <f>VLOOKUP(A947,kurspris!$A$1:$Q$913,15,FALSE)</f>
        <v>20766</v>
      </c>
      <c r="Y947" s="40">
        <f>VLOOKUP(A947,kurspris!$A$1:$Q$913,16,FALSE)</f>
        <v>17442</v>
      </c>
      <c r="Z947" s="40">
        <f t="shared" si="426"/>
        <v>17795.849999999999</v>
      </c>
      <c r="AA947" s="40">
        <f>VLOOKUP(A947,kurspris!$A$1:$Q$913,17,FALSE)</f>
        <v>6000</v>
      </c>
      <c r="AB947" s="40">
        <f t="shared" si="427"/>
        <v>3000</v>
      </c>
      <c r="AC947" s="40">
        <f t="shared" si="428"/>
        <v>20795.849999999999</v>
      </c>
      <c r="AD947" s="31">
        <f>VLOOKUP($A947,kurspris!$A$1:$Q$950,3,FALSE)</f>
        <v>0</v>
      </c>
      <c r="AE947" s="31">
        <f>VLOOKUP($A947,kurspris!$A$1:$Q$950,4,FALSE)</f>
        <v>1</v>
      </c>
      <c r="AF947" s="31">
        <f>VLOOKUP($A947,kurspris!$A$1:$Q$950,5,FALSE)</f>
        <v>0</v>
      </c>
      <c r="AG947" s="31">
        <f>VLOOKUP($A947,kurspris!$A$1:$Q$950,6,FALSE)</f>
        <v>0</v>
      </c>
      <c r="AH947" s="31">
        <f>VLOOKUP($A947,kurspris!$A$1:$Q$950,7,FALSE)</f>
        <v>0</v>
      </c>
      <c r="AI947" s="31">
        <f>VLOOKUP($A947,kurspris!$A$1:$Q$950,8,FALSE)</f>
        <v>0</v>
      </c>
      <c r="AJ947" s="31">
        <f>VLOOKUP($A947,kurspris!$A$1:$Q$950,9,FALSE)</f>
        <v>0</v>
      </c>
      <c r="AK947" s="31">
        <f>VLOOKUP($A947,kurspris!$A$1:$Q$950,10,FALSE)</f>
        <v>0</v>
      </c>
      <c r="AL947" s="31">
        <f>VLOOKUP($A947,kurspris!$A$1:$Q$950,11,FALSE)</f>
        <v>0</v>
      </c>
      <c r="AM947" s="31">
        <f>VLOOKUP($A947,kurspris!$A$1:$Q$950,12,FALSE)</f>
        <v>0</v>
      </c>
      <c r="AN947" s="31">
        <f>VLOOKUP($A947,kurspris!$A$1:$Q$950,13,FALSE)</f>
        <v>0</v>
      </c>
      <c r="AO947" s="31">
        <f>VLOOKUP($A947,kurspris!$A$1:$Q$950,14,FALSE)</f>
        <v>0</v>
      </c>
      <c r="AP947" s="57" t="s">
        <v>2402</v>
      </c>
      <c r="AQ947"/>
      <c r="AR947" s="31">
        <f t="shared" si="429"/>
        <v>0</v>
      </c>
      <c r="AS947" s="219">
        <f t="shared" si="430"/>
        <v>0</v>
      </c>
      <c r="AT947" s="31">
        <f t="shared" si="431"/>
        <v>0.5</v>
      </c>
      <c r="AU947" s="219">
        <f t="shared" si="432"/>
        <v>0.42499999999999999</v>
      </c>
      <c r="AV947" s="31">
        <f t="shared" si="433"/>
        <v>0</v>
      </c>
      <c r="AW947" s="31">
        <f t="shared" si="434"/>
        <v>0</v>
      </c>
      <c r="AX947" s="31">
        <f t="shared" si="435"/>
        <v>0</v>
      </c>
      <c r="AY947" s="219">
        <f t="shared" si="436"/>
        <v>0</v>
      </c>
      <c r="AZ947" s="196">
        <f t="shared" si="437"/>
        <v>0</v>
      </c>
      <c r="BA947" s="219">
        <f t="shared" si="438"/>
        <v>0</v>
      </c>
      <c r="BB947" s="31">
        <f t="shared" si="439"/>
        <v>0</v>
      </c>
      <c r="BC947" s="219">
        <f t="shared" si="440"/>
        <v>0</v>
      </c>
      <c r="BD947" s="31">
        <f t="shared" si="441"/>
        <v>0</v>
      </c>
      <c r="BE947" s="219">
        <f t="shared" si="442"/>
        <v>0</v>
      </c>
      <c r="BF947" s="31">
        <f t="shared" si="443"/>
        <v>0</v>
      </c>
      <c r="BG947" s="219">
        <f t="shared" si="444"/>
        <v>0</v>
      </c>
      <c r="BH947" s="31">
        <f t="shared" si="445"/>
        <v>0</v>
      </c>
      <c r="BI947" s="219">
        <f t="shared" si="446"/>
        <v>0</v>
      </c>
      <c r="BJ947" s="31">
        <f t="shared" si="447"/>
        <v>0</v>
      </c>
      <c r="BK947" s="219">
        <f t="shared" si="448"/>
        <v>0</v>
      </c>
      <c r="BL947" s="31">
        <f t="shared" si="449"/>
        <v>0</v>
      </c>
      <c r="BM947" s="219">
        <f t="shared" si="450"/>
        <v>0</v>
      </c>
      <c r="BN947" s="31">
        <f t="shared" si="451"/>
        <v>0</v>
      </c>
      <c r="BO947" s="219">
        <f t="shared" si="452"/>
        <v>0</v>
      </c>
    </row>
    <row r="948" spans="1:67" x14ac:dyDescent="0.25">
      <c r="A948" s="31" t="s">
        <v>1938</v>
      </c>
      <c r="B948" s="176" t="str">
        <f>VLOOKUP(A948,kurspris!$A$1:$B$992,2,FALSE)</f>
        <v>Svenska som andraspråk för ämneslärare, kurs 3</v>
      </c>
      <c r="C948" s="31">
        <v>71807</v>
      </c>
      <c r="D948" s="60" t="s">
        <v>482</v>
      </c>
      <c r="E948" s="60"/>
      <c r="F948" s="57" t="s">
        <v>2274</v>
      </c>
      <c r="H948" s="31" t="s">
        <v>2335</v>
      </c>
      <c r="I948" s="31" t="s">
        <v>2399</v>
      </c>
      <c r="J948" s="31" t="s">
        <v>2239</v>
      </c>
      <c r="L948" s="38"/>
      <c r="M948">
        <v>30</v>
      </c>
      <c r="P948" s="31">
        <v>1</v>
      </c>
      <c r="Q948" s="539">
        <v>0.5</v>
      </c>
      <c r="R948" s="38">
        <v>0.85</v>
      </c>
      <c r="S948" s="280">
        <f t="shared" si="425"/>
        <v>0.42499999999999999</v>
      </c>
      <c r="T948" s="31">
        <f>VLOOKUP(A948,'Ansvar kurs'!$A$1:$C$1123,2,FALSE)</f>
        <v>1620</v>
      </c>
      <c r="U948" s="31" t="str">
        <f>VLOOKUP(T948,Orgenheter!$A$1:$C$166,2,FALSE)</f>
        <v>Inst för språkstudier</v>
      </c>
      <c r="V948" s="31" t="str">
        <f>VLOOKUP(T948,Orgenheter!$A$1:$C$166,3,FALSE)</f>
        <v>Hum</v>
      </c>
      <c r="W948" s="35" t="str">
        <f>VLOOKUP(D948,Program!$A$1:$B$36,2,FALSE)</f>
        <v>Ämneslärarprogrammet - Gy</v>
      </c>
      <c r="X948" s="40">
        <f>VLOOKUP(A948,kurspris!$A$1:$Q$913,15,FALSE)</f>
        <v>20766</v>
      </c>
      <c r="Y948" s="40">
        <f>VLOOKUP(A948,kurspris!$A$1:$Q$913,16,FALSE)</f>
        <v>17442</v>
      </c>
      <c r="Z948" s="40">
        <f t="shared" si="426"/>
        <v>17795.849999999999</v>
      </c>
      <c r="AA948" s="40">
        <f>VLOOKUP(A948,kurspris!$A$1:$Q$913,17,FALSE)</f>
        <v>6000</v>
      </c>
      <c r="AB948" s="40">
        <f t="shared" si="427"/>
        <v>3000</v>
      </c>
      <c r="AC948" s="40">
        <f t="shared" si="428"/>
        <v>20795.849999999999</v>
      </c>
      <c r="AD948" s="31">
        <f>VLOOKUP($A948,kurspris!$A$1:$Q$950,3,FALSE)</f>
        <v>0</v>
      </c>
      <c r="AE948" s="31">
        <f>VLOOKUP($A948,kurspris!$A$1:$Q$950,4,FALSE)</f>
        <v>1</v>
      </c>
      <c r="AF948" s="31">
        <f>VLOOKUP($A948,kurspris!$A$1:$Q$950,5,FALSE)</f>
        <v>0</v>
      </c>
      <c r="AG948" s="31">
        <f>VLOOKUP($A948,kurspris!$A$1:$Q$950,6,FALSE)</f>
        <v>0</v>
      </c>
      <c r="AH948" s="31">
        <f>VLOOKUP($A948,kurspris!$A$1:$Q$950,7,FALSE)</f>
        <v>0</v>
      </c>
      <c r="AI948" s="31">
        <f>VLOOKUP($A948,kurspris!$A$1:$Q$950,8,FALSE)</f>
        <v>0</v>
      </c>
      <c r="AJ948" s="31">
        <f>VLOOKUP($A948,kurspris!$A$1:$Q$950,9,FALSE)</f>
        <v>0</v>
      </c>
      <c r="AK948" s="31">
        <f>VLOOKUP($A948,kurspris!$A$1:$Q$950,10,FALSE)</f>
        <v>0</v>
      </c>
      <c r="AL948" s="31">
        <f>VLOOKUP($A948,kurspris!$A$1:$Q$950,11,FALSE)</f>
        <v>0</v>
      </c>
      <c r="AM948" s="31">
        <f>VLOOKUP($A948,kurspris!$A$1:$Q$950,12,FALSE)</f>
        <v>0</v>
      </c>
      <c r="AN948" s="31">
        <f>VLOOKUP($A948,kurspris!$A$1:$Q$950,13,FALSE)</f>
        <v>0</v>
      </c>
      <c r="AO948" s="31">
        <f>VLOOKUP($A948,kurspris!$A$1:$Q$950,14,FALSE)</f>
        <v>0</v>
      </c>
      <c r="AP948" s="57" t="s">
        <v>2402</v>
      </c>
      <c r="AQ948"/>
      <c r="AR948" s="31">
        <f t="shared" si="429"/>
        <v>0</v>
      </c>
      <c r="AS948" s="219">
        <f t="shared" si="430"/>
        <v>0</v>
      </c>
      <c r="AT948" s="31">
        <f t="shared" si="431"/>
        <v>0.5</v>
      </c>
      <c r="AU948" s="219">
        <f t="shared" si="432"/>
        <v>0.42499999999999999</v>
      </c>
      <c r="AV948" s="31">
        <f t="shared" si="433"/>
        <v>0</v>
      </c>
      <c r="AW948" s="31">
        <f t="shared" si="434"/>
        <v>0</v>
      </c>
      <c r="AX948" s="31">
        <f t="shared" si="435"/>
        <v>0</v>
      </c>
      <c r="AY948" s="219">
        <f t="shared" si="436"/>
        <v>0</v>
      </c>
      <c r="AZ948" s="196">
        <f t="shared" si="437"/>
        <v>0</v>
      </c>
      <c r="BA948" s="219">
        <f t="shared" si="438"/>
        <v>0</v>
      </c>
      <c r="BB948" s="31">
        <f t="shared" si="439"/>
        <v>0</v>
      </c>
      <c r="BC948" s="219">
        <f t="shared" si="440"/>
        <v>0</v>
      </c>
      <c r="BD948" s="31">
        <f t="shared" si="441"/>
        <v>0</v>
      </c>
      <c r="BE948" s="219">
        <f t="shared" si="442"/>
        <v>0</v>
      </c>
      <c r="BF948" s="31">
        <f t="shared" si="443"/>
        <v>0</v>
      </c>
      <c r="BG948" s="219">
        <f t="shared" si="444"/>
        <v>0</v>
      </c>
      <c r="BH948" s="31">
        <f t="shared" si="445"/>
        <v>0</v>
      </c>
      <c r="BI948" s="219">
        <f t="shared" si="446"/>
        <v>0</v>
      </c>
      <c r="BJ948" s="31">
        <f t="shared" si="447"/>
        <v>0</v>
      </c>
      <c r="BK948" s="219">
        <f t="shared" si="448"/>
        <v>0</v>
      </c>
      <c r="BL948" s="31">
        <f t="shared" si="449"/>
        <v>0</v>
      </c>
      <c r="BM948" s="219">
        <f t="shared" si="450"/>
        <v>0</v>
      </c>
      <c r="BN948" s="31">
        <f t="shared" si="451"/>
        <v>0</v>
      </c>
      <c r="BO948" s="219">
        <f t="shared" si="452"/>
        <v>0</v>
      </c>
    </row>
    <row r="949" spans="1:67" x14ac:dyDescent="0.25">
      <c r="A949" s="157" t="s">
        <v>1938</v>
      </c>
      <c r="B949" s="176" t="str">
        <f>VLOOKUP(A949,kurspris!$A$1:$B$992,2,FALSE)</f>
        <v>Svenska som andraspråk för ämneslärare, kurs 3</v>
      </c>
      <c r="C949" s="31">
        <v>71807</v>
      </c>
      <c r="D949" s="31" t="s">
        <v>482</v>
      </c>
      <c r="F949" s="57" t="s">
        <v>2274</v>
      </c>
      <c r="H949" s="31" t="s">
        <v>2335</v>
      </c>
      <c r="I949" s="31" t="s">
        <v>2399</v>
      </c>
      <c r="J949" s="31" t="s">
        <v>2240</v>
      </c>
      <c r="L949" s="38"/>
      <c r="M949">
        <v>30</v>
      </c>
      <c r="P949" s="31">
        <v>1</v>
      </c>
      <c r="Q949" s="539">
        <v>0.5</v>
      </c>
      <c r="R949" s="38">
        <v>0.85</v>
      </c>
      <c r="S949" s="280">
        <f t="shared" si="425"/>
        <v>0.42499999999999999</v>
      </c>
      <c r="T949" s="31">
        <f>VLOOKUP(A949,'Ansvar kurs'!$A$1:$C$1123,2,FALSE)</f>
        <v>1620</v>
      </c>
      <c r="U949" s="31" t="str">
        <f>VLOOKUP(T949,Orgenheter!$A$1:$C$166,2,FALSE)</f>
        <v>Inst för språkstudier</v>
      </c>
      <c r="V949" s="31" t="str">
        <f>VLOOKUP(T949,Orgenheter!$A$1:$C$166,3,FALSE)</f>
        <v>Hum</v>
      </c>
      <c r="W949" s="35" t="str">
        <f>VLOOKUP(D949,Program!$A$1:$B$36,2,FALSE)</f>
        <v>Ämneslärarprogrammet - Gy</v>
      </c>
      <c r="X949" s="40">
        <f>VLOOKUP(A949,kurspris!$A$1:$Q$913,15,FALSE)</f>
        <v>20766</v>
      </c>
      <c r="Y949" s="40">
        <f>VLOOKUP(A949,kurspris!$A$1:$Q$913,16,FALSE)</f>
        <v>17442</v>
      </c>
      <c r="Z949" s="40">
        <f t="shared" si="426"/>
        <v>17795.849999999999</v>
      </c>
      <c r="AA949" s="40">
        <f>VLOOKUP(A949,kurspris!$A$1:$Q$913,17,FALSE)</f>
        <v>6000</v>
      </c>
      <c r="AB949" s="40">
        <f t="shared" si="427"/>
        <v>3000</v>
      </c>
      <c r="AC949" s="40">
        <f t="shared" si="428"/>
        <v>20795.849999999999</v>
      </c>
      <c r="AD949" s="31">
        <f>VLOOKUP($A949,kurspris!$A$1:$Q$950,3,FALSE)</f>
        <v>0</v>
      </c>
      <c r="AE949" s="31">
        <f>VLOOKUP($A949,kurspris!$A$1:$Q$950,4,FALSE)</f>
        <v>1</v>
      </c>
      <c r="AF949" s="31">
        <f>VLOOKUP($A949,kurspris!$A$1:$Q$950,5,FALSE)</f>
        <v>0</v>
      </c>
      <c r="AG949" s="31">
        <f>VLOOKUP($A949,kurspris!$A$1:$Q$950,6,FALSE)</f>
        <v>0</v>
      </c>
      <c r="AH949" s="31">
        <f>VLOOKUP($A949,kurspris!$A$1:$Q$950,7,FALSE)</f>
        <v>0</v>
      </c>
      <c r="AI949" s="31">
        <f>VLOOKUP($A949,kurspris!$A$1:$Q$950,8,FALSE)</f>
        <v>0</v>
      </c>
      <c r="AJ949" s="31">
        <f>VLOOKUP($A949,kurspris!$A$1:$Q$950,9,FALSE)</f>
        <v>0</v>
      </c>
      <c r="AK949" s="31">
        <f>VLOOKUP($A949,kurspris!$A$1:$Q$950,10,FALSE)</f>
        <v>0</v>
      </c>
      <c r="AL949" s="31">
        <f>VLOOKUP($A949,kurspris!$A$1:$Q$950,11,FALSE)</f>
        <v>0</v>
      </c>
      <c r="AM949" s="31">
        <f>VLOOKUP($A949,kurspris!$A$1:$Q$950,12,FALSE)</f>
        <v>0</v>
      </c>
      <c r="AN949" s="31">
        <f>VLOOKUP($A949,kurspris!$A$1:$Q$950,13,FALSE)</f>
        <v>0</v>
      </c>
      <c r="AO949" s="31">
        <f>VLOOKUP($A949,kurspris!$A$1:$Q$950,14,FALSE)</f>
        <v>0</v>
      </c>
      <c r="AP949" s="57" t="s">
        <v>2402</v>
      </c>
      <c r="AQ949" s="37"/>
      <c r="AR949" s="31">
        <f t="shared" si="429"/>
        <v>0</v>
      </c>
      <c r="AS949" s="219">
        <f t="shared" si="430"/>
        <v>0</v>
      </c>
      <c r="AT949" s="31">
        <f t="shared" si="431"/>
        <v>0.5</v>
      </c>
      <c r="AU949" s="219">
        <f t="shared" si="432"/>
        <v>0.42499999999999999</v>
      </c>
      <c r="AV949" s="31">
        <f t="shared" si="433"/>
        <v>0</v>
      </c>
      <c r="AW949" s="31">
        <f t="shared" si="434"/>
        <v>0</v>
      </c>
      <c r="AX949" s="31">
        <f t="shared" si="435"/>
        <v>0</v>
      </c>
      <c r="AY949" s="219">
        <f t="shared" si="436"/>
        <v>0</v>
      </c>
      <c r="AZ949" s="196">
        <f t="shared" si="437"/>
        <v>0</v>
      </c>
      <c r="BA949" s="219">
        <f t="shared" si="438"/>
        <v>0</v>
      </c>
      <c r="BB949" s="31">
        <f t="shared" si="439"/>
        <v>0</v>
      </c>
      <c r="BC949" s="219">
        <f t="shared" si="440"/>
        <v>0</v>
      </c>
      <c r="BD949" s="31">
        <f t="shared" si="441"/>
        <v>0</v>
      </c>
      <c r="BE949" s="219">
        <f t="shared" si="442"/>
        <v>0</v>
      </c>
      <c r="BF949" s="31">
        <f t="shared" si="443"/>
        <v>0</v>
      </c>
      <c r="BG949" s="219">
        <f t="shared" si="444"/>
        <v>0</v>
      </c>
      <c r="BH949" s="31">
        <f t="shared" si="445"/>
        <v>0</v>
      </c>
      <c r="BI949" s="219">
        <f t="shared" si="446"/>
        <v>0</v>
      </c>
      <c r="BJ949" s="31">
        <f t="shared" si="447"/>
        <v>0</v>
      </c>
      <c r="BK949" s="219">
        <f t="shared" si="448"/>
        <v>0</v>
      </c>
      <c r="BL949" s="31">
        <f t="shared" si="449"/>
        <v>0</v>
      </c>
      <c r="BM949" s="219">
        <f t="shared" si="450"/>
        <v>0</v>
      </c>
      <c r="BN949" s="31">
        <f t="shared" si="451"/>
        <v>0</v>
      </c>
      <c r="BO949" s="219">
        <f t="shared" si="452"/>
        <v>0</v>
      </c>
    </row>
    <row r="950" spans="1:67" x14ac:dyDescent="0.25">
      <c r="A950" s="157" t="s">
        <v>1938</v>
      </c>
      <c r="B950" s="176" t="str">
        <f>VLOOKUP(A950,kurspris!$A$1:$B$992,2,FALSE)</f>
        <v>Svenska som andraspråk för ämneslärare, kurs 3</v>
      </c>
      <c r="C950" s="31">
        <v>71807</v>
      </c>
      <c r="D950" s="31" t="s">
        <v>482</v>
      </c>
      <c r="F950" s="57" t="s">
        <v>2274</v>
      </c>
      <c r="H950" s="31" t="s">
        <v>2335</v>
      </c>
      <c r="I950" s="31" t="s">
        <v>2399</v>
      </c>
      <c r="J950" s="31" t="s">
        <v>2248</v>
      </c>
      <c r="L950" s="38"/>
      <c r="M950">
        <v>30</v>
      </c>
      <c r="P950" s="31">
        <v>2</v>
      </c>
      <c r="Q950" s="539">
        <v>1</v>
      </c>
      <c r="R950" s="38">
        <v>0.85</v>
      </c>
      <c r="S950" s="280">
        <f t="shared" si="425"/>
        <v>0.85</v>
      </c>
      <c r="T950" s="31">
        <f>VLOOKUP(A950,'Ansvar kurs'!$A$1:$C$1123,2,FALSE)</f>
        <v>1620</v>
      </c>
      <c r="U950" s="31" t="str">
        <f>VLOOKUP(T950,Orgenheter!$A$1:$C$166,2,FALSE)</f>
        <v>Inst för språkstudier</v>
      </c>
      <c r="V950" s="31" t="str">
        <f>VLOOKUP(T950,Orgenheter!$A$1:$C$166,3,FALSE)</f>
        <v>Hum</v>
      </c>
      <c r="W950" s="35" t="str">
        <f>VLOOKUP(D950,Program!$A$1:$B$36,2,FALSE)</f>
        <v>Ämneslärarprogrammet - Gy</v>
      </c>
      <c r="X950" s="40">
        <f>VLOOKUP(A950,kurspris!$A$1:$Q$913,15,FALSE)</f>
        <v>20766</v>
      </c>
      <c r="Y950" s="40">
        <f>VLOOKUP(A950,kurspris!$A$1:$Q$913,16,FALSE)</f>
        <v>17442</v>
      </c>
      <c r="Z950" s="40">
        <f t="shared" si="426"/>
        <v>35591.699999999997</v>
      </c>
      <c r="AA950" s="40">
        <f>VLOOKUP(A950,kurspris!$A$1:$Q$913,17,FALSE)</f>
        <v>6000</v>
      </c>
      <c r="AB950" s="40">
        <f t="shared" si="427"/>
        <v>6000</v>
      </c>
      <c r="AC950" s="40">
        <f t="shared" si="428"/>
        <v>41591.699999999997</v>
      </c>
      <c r="AD950" s="31">
        <f>VLOOKUP($A950,kurspris!$A$1:$Q$950,3,FALSE)</f>
        <v>0</v>
      </c>
      <c r="AE950" s="31">
        <f>VLOOKUP($A950,kurspris!$A$1:$Q$950,4,FALSE)</f>
        <v>1</v>
      </c>
      <c r="AF950" s="31">
        <f>VLOOKUP($A950,kurspris!$A$1:$Q$950,5,FALSE)</f>
        <v>0</v>
      </c>
      <c r="AG950" s="31">
        <f>VLOOKUP($A950,kurspris!$A$1:$Q$950,6,FALSE)</f>
        <v>0</v>
      </c>
      <c r="AH950" s="31">
        <f>VLOOKUP($A950,kurspris!$A$1:$Q$950,7,FALSE)</f>
        <v>0</v>
      </c>
      <c r="AI950" s="31">
        <f>VLOOKUP($A950,kurspris!$A$1:$Q$950,8,FALSE)</f>
        <v>0</v>
      </c>
      <c r="AJ950" s="31">
        <f>VLOOKUP($A950,kurspris!$A$1:$Q$950,9,FALSE)</f>
        <v>0</v>
      </c>
      <c r="AK950" s="31">
        <f>VLOOKUP($A950,kurspris!$A$1:$Q$950,10,FALSE)</f>
        <v>0</v>
      </c>
      <c r="AL950" s="31">
        <f>VLOOKUP($A950,kurspris!$A$1:$Q$950,11,FALSE)</f>
        <v>0</v>
      </c>
      <c r="AM950" s="31">
        <f>VLOOKUP($A950,kurspris!$A$1:$Q$950,12,FALSE)</f>
        <v>0</v>
      </c>
      <c r="AN950" s="31">
        <f>VLOOKUP($A950,kurspris!$A$1:$Q$950,13,FALSE)</f>
        <v>0</v>
      </c>
      <c r="AO950" s="31">
        <f>VLOOKUP($A950,kurspris!$A$1:$Q$950,14,FALSE)</f>
        <v>0</v>
      </c>
      <c r="AP950" s="57" t="s">
        <v>2402</v>
      </c>
      <c r="AQ950" s="37"/>
      <c r="AR950" s="31">
        <f t="shared" si="429"/>
        <v>0</v>
      </c>
      <c r="AS950" s="219">
        <f t="shared" si="430"/>
        <v>0</v>
      </c>
      <c r="AT950" s="31">
        <f t="shared" si="431"/>
        <v>1</v>
      </c>
      <c r="AU950" s="219">
        <f t="shared" si="432"/>
        <v>0.85</v>
      </c>
      <c r="AV950" s="31">
        <f t="shared" si="433"/>
        <v>0</v>
      </c>
      <c r="AW950" s="31">
        <f t="shared" si="434"/>
        <v>0</v>
      </c>
      <c r="AX950" s="31">
        <f t="shared" si="435"/>
        <v>0</v>
      </c>
      <c r="AY950" s="219">
        <f t="shared" si="436"/>
        <v>0</v>
      </c>
      <c r="AZ950" s="196">
        <f t="shared" si="437"/>
        <v>0</v>
      </c>
      <c r="BA950" s="219">
        <f t="shared" si="438"/>
        <v>0</v>
      </c>
      <c r="BB950" s="31">
        <f t="shared" si="439"/>
        <v>0</v>
      </c>
      <c r="BC950" s="219">
        <f t="shared" si="440"/>
        <v>0</v>
      </c>
      <c r="BD950" s="31">
        <f t="shared" si="441"/>
        <v>0</v>
      </c>
      <c r="BE950" s="219">
        <f t="shared" si="442"/>
        <v>0</v>
      </c>
      <c r="BF950" s="31">
        <f t="shared" si="443"/>
        <v>0</v>
      </c>
      <c r="BG950" s="219">
        <f t="shared" si="444"/>
        <v>0</v>
      </c>
      <c r="BH950" s="31">
        <f t="shared" si="445"/>
        <v>0</v>
      </c>
      <c r="BI950" s="219">
        <f t="shared" si="446"/>
        <v>0</v>
      </c>
      <c r="BJ950" s="31">
        <f t="shared" si="447"/>
        <v>0</v>
      </c>
      <c r="BK950" s="219">
        <f t="shared" si="448"/>
        <v>0</v>
      </c>
      <c r="BL950" s="31">
        <f t="shared" si="449"/>
        <v>0</v>
      </c>
      <c r="BM950" s="219">
        <f t="shared" si="450"/>
        <v>0</v>
      </c>
      <c r="BN950" s="31">
        <f t="shared" si="451"/>
        <v>0</v>
      </c>
      <c r="BO950" s="219">
        <f t="shared" si="452"/>
        <v>0</v>
      </c>
    </row>
    <row r="951" spans="1:67" x14ac:dyDescent="0.25">
      <c r="A951" s="157" t="s">
        <v>1938</v>
      </c>
      <c r="B951" s="176" t="str">
        <f>VLOOKUP(A951,kurspris!$A$1:$B$992,2,FALSE)</f>
        <v>Svenska som andraspråk för ämneslärare, kurs 3</v>
      </c>
      <c r="C951" s="31">
        <v>71807</v>
      </c>
      <c r="D951" s="31" t="s">
        <v>482</v>
      </c>
      <c r="F951" s="57" t="s">
        <v>2274</v>
      </c>
      <c r="H951" s="31" t="s">
        <v>2335</v>
      </c>
      <c r="I951" s="31" t="s">
        <v>2399</v>
      </c>
      <c r="L951" s="38"/>
      <c r="M951">
        <v>30</v>
      </c>
      <c r="P951" s="31">
        <v>1</v>
      </c>
      <c r="Q951" s="539">
        <v>0.5</v>
      </c>
      <c r="R951" s="38">
        <v>0.85</v>
      </c>
      <c r="S951" s="280">
        <f t="shared" si="425"/>
        <v>0.42499999999999999</v>
      </c>
      <c r="T951" s="31">
        <f>VLOOKUP(A951,'Ansvar kurs'!$A$1:$C$1123,2,FALSE)</f>
        <v>1620</v>
      </c>
      <c r="U951" s="31" t="str">
        <f>VLOOKUP(T951,Orgenheter!$A$1:$C$166,2,FALSE)</f>
        <v>Inst för språkstudier</v>
      </c>
      <c r="V951" s="31" t="str">
        <f>VLOOKUP(T951,Orgenheter!$A$1:$C$166,3,FALSE)</f>
        <v>Hum</v>
      </c>
      <c r="W951" s="35" t="str">
        <f>VLOOKUP(D951,Program!$A$1:$B$36,2,FALSE)</f>
        <v>Ämneslärarprogrammet - Gy</v>
      </c>
      <c r="X951" s="40">
        <f>VLOOKUP(A951,kurspris!$A$1:$Q$913,15,FALSE)</f>
        <v>20766</v>
      </c>
      <c r="Y951" s="40">
        <f>VLOOKUP(A951,kurspris!$A$1:$Q$913,16,FALSE)</f>
        <v>17442</v>
      </c>
      <c r="Z951" s="40">
        <f t="shared" si="426"/>
        <v>17795.849999999999</v>
      </c>
      <c r="AA951" s="40">
        <f>VLOOKUP(A951,kurspris!$A$1:$Q$913,17,FALSE)</f>
        <v>6000</v>
      </c>
      <c r="AB951" s="40">
        <f t="shared" si="427"/>
        <v>3000</v>
      </c>
      <c r="AC951" s="40">
        <f t="shared" si="428"/>
        <v>20795.849999999999</v>
      </c>
      <c r="AD951" s="31">
        <f>VLOOKUP($A951,kurspris!$A$1:$Q$950,3,FALSE)</f>
        <v>0</v>
      </c>
      <c r="AE951" s="31">
        <f>VLOOKUP($A951,kurspris!$A$1:$Q$950,4,FALSE)</f>
        <v>1</v>
      </c>
      <c r="AF951" s="31">
        <f>VLOOKUP($A951,kurspris!$A$1:$Q$950,5,FALSE)</f>
        <v>0</v>
      </c>
      <c r="AG951" s="31">
        <f>VLOOKUP($A951,kurspris!$A$1:$Q$950,6,FALSE)</f>
        <v>0</v>
      </c>
      <c r="AH951" s="31">
        <f>VLOOKUP($A951,kurspris!$A$1:$Q$950,7,FALSE)</f>
        <v>0</v>
      </c>
      <c r="AI951" s="31">
        <f>VLOOKUP($A951,kurspris!$A$1:$Q$950,8,FALSE)</f>
        <v>0</v>
      </c>
      <c r="AJ951" s="31">
        <f>VLOOKUP($A951,kurspris!$A$1:$Q$950,9,FALSE)</f>
        <v>0</v>
      </c>
      <c r="AK951" s="31">
        <f>VLOOKUP($A951,kurspris!$A$1:$Q$950,10,FALSE)</f>
        <v>0</v>
      </c>
      <c r="AL951" s="31">
        <f>VLOOKUP($A951,kurspris!$A$1:$Q$950,11,FALSE)</f>
        <v>0</v>
      </c>
      <c r="AM951" s="31">
        <f>VLOOKUP($A951,kurspris!$A$1:$Q$950,12,FALSE)</f>
        <v>0</v>
      </c>
      <c r="AN951" s="31">
        <f>VLOOKUP($A951,kurspris!$A$1:$Q$950,13,FALSE)</f>
        <v>0</v>
      </c>
      <c r="AO951" s="31">
        <f>VLOOKUP($A951,kurspris!$A$1:$Q$950,14,FALSE)</f>
        <v>0</v>
      </c>
      <c r="AP951" s="57" t="s">
        <v>2402</v>
      </c>
      <c r="AQ951" s="37"/>
      <c r="AR951" s="31">
        <f t="shared" si="429"/>
        <v>0</v>
      </c>
      <c r="AS951" s="219">
        <f t="shared" si="430"/>
        <v>0</v>
      </c>
      <c r="AT951" s="31">
        <f t="shared" si="431"/>
        <v>0.5</v>
      </c>
      <c r="AU951" s="219">
        <f t="shared" si="432"/>
        <v>0.42499999999999999</v>
      </c>
      <c r="AV951" s="31">
        <f t="shared" si="433"/>
        <v>0</v>
      </c>
      <c r="AW951" s="31">
        <f t="shared" si="434"/>
        <v>0</v>
      </c>
      <c r="AX951" s="31">
        <f t="shared" si="435"/>
        <v>0</v>
      </c>
      <c r="AY951" s="219">
        <f t="shared" si="436"/>
        <v>0</v>
      </c>
      <c r="AZ951" s="196">
        <f t="shared" si="437"/>
        <v>0</v>
      </c>
      <c r="BA951" s="219">
        <f t="shared" si="438"/>
        <v>0</v>
      </c>
      <c r="BB951" s="31">
        <f t="shared" si="439"/>
        <v>0</v>
      </c>
      <c r="BC951" s="219">
        <f t="shared" si="440"/>
        <v>0</v>
      </c>
      <c r="BD951" s="31">
        <f t="shared" si="441"/>
        <v>0</v>
      </c>
      <c r="BE951" s="219">
        <f t="shared" si="442"/>
        <v>0</v>
      </c>
      <c r="BF951" s="31">
        <f t="shared" si="443"/>
        <v>0</v>
      </c>
      <c r="BG951" s="219">
        <f t="shared" si="444"/>
        <v>0</v>
      </c>
      <c r="BH951" s="31">
        <f t="shared" si="445"/>
        <v>0</v>
      </c>
      <c r="BI951" s="219">
        <f t="shared" si="446"/>
        <v>0</v>
      </c>
      <c r="BJ951" s="31">
        <f t="shared" si="447"/>
        <v>0</v>
      </c>
      <c r="BK951" s="219">
        <f t="shared" si="448"/>
        <v>0</v>
      </c>
      <c r="BL951" s="31">
        <f t="shared" si="449"/>
        <v>0</v>
      </c>
      <c r="BM951" s="219">
        <f t="shared" si="450"/>
        <v>0</v>
      </c>
      <c r="BN951" s="31">
        <f t="shared" si="451"/>
        <v>0</v>
      </c>
      <c r="BO951" s="219">
        <f t="shared" si="452"/>
        <v>0</v>
      </c>
    </row>
    <row r="952" spans="1:67" x14ac:dyDescent="0.25">
      <c r="A952" s="283" t="s">
        <v>2053</v>
      </c>
      <c r="B952" s="362" t="str">
        <f>VLOOKUP(A952,kurspris!$A$1:$B$992,2,FALSE)</f>
        <v>Att läsa och skriva i lärarutbildning och läraryrket - fokus grundlärare</v>
      </c>
      <c r="C952" s="537"/>
      <c r="D952" s="244" t="s">
        <v>117</v>
      </c>
      <c r="E952" s="244"/>
      <c r="F952" s="538" t="s">
        <v>2319</v>
      </c>
      <c r="G952" s="244"/>
      <c r="H952" s="244"/>
      <c r="I952" s="244" t="s">
        <v>2275</v>
      </c>
      <c r="J952" s="244"/>
      <c r="K952" s="244"/>
      <c r="L952" s="518">
        <v>0.5</v>
      </c>
      <c r="M952" s="511">
        <v>7.5</v>
      </c>
      <c r="N952" s="244"/>
      <c r="O952" s="244"/>
      <c r="P952" s="244">
        <v>20</v>
      </c>
      <c r="Q952" s="196">
        <f>(M952/60)*P952</f>
        <v>2.5</v>
      </c>
      <c r="R952" s="38">
        <v>0.8</v>
      </c>
      <c r="S952" s="280">
        <f t="shared" si="425"/>
        <v>2</v>
      </c>
      <c r="T952" s="31">
        <f>VLOOKUP(A952,'Ansvar kurs'!$A$1:$C$1123,2,FALSE)</f>
        <v>1620</v>
      </c>
      <c r="U952" s="31" t="str">
        <f>VLOOKUP(T952,Orgenheter!$A$1:$C$166,2,FALSE)</f>
        <v>Inst för språkstudier</v>
      </c>
      <c r="V952" s="31" t="str">
        <f>VLOOKUP(T952,Orgenheter!$A$1:$C$166,3,FALSE)</f>
        <v>Hum</v>
      </c>
      <c r="W952" s="35" t="str">
        <f>VLOOKUP(D952,Program!$A$1:$B$36,2,FALSE)</f>
        <v>Fristående och övriga kurser</v>
      </c>
      <c r="X952" s="40">
        <f>VLOOKUP(A952,kurspris!$A$1:$Q$913,15,FALSE)</f>
        <v>20766</v>
      </c>
      <c r="Y952" s="40">
        <f>VLOOKUP(A952,kurspris!$A$1:$Q$913,16,FALSE)</f>
        <v>17442</v>
      </c>
      <c r="Z952" s="40">
        <f t="shared" si="426"/>
        <v>86799</v>
      </c>
      <c r="AA952" s="40">
        <f>VLOOKUP(A952,kurspris!$A$1:$Q$913,17,FALSE)</f>
        <v>6000</v>
      </c>
      <c r="AB952" s="40">
        <f t="shared" si="427"/>
        <v>15000</v>
      </c>
      <c r="AC952" s="40">
        <f t="shared" si="428"/>
        <v>101799</v>
      </c>
      <c r="AD952" s="31">
        <f>VLOOKUP($A952,kurspris!$A$1:$Q$950,3,FALSE)</f>
        <v>0</v>
      </c>
      <c r="AE952" s="31">
        <f>VLOOKUP($A952,kurspris!$A$1:$Q$950,4,FALSE)</f>
        <v>1</v>
      </c>
      <c r="AF952" s="31">
        <f>VLOOKUP($A952,kurspris!$A$1:$Q$950,5,FALSE)</f>
        <v>0</v>
      </c>
      <c r="AG952" s="31">
        <f>VLOOKUP($A952,kurspris!$A$1:$Q$950,6,FALSE)</f>
        <v>0</v>
      </c>
      <c r="AH952" s="31">
        <f>VLOOKUP($A952,kurspris!$A$1:$Q$950,7,FALSE)</f>
        <v>0</v>
      </c>
      <c r="AI952" s="31">
        <f>VLOOKUP($A952,kurspris!$A$1:$Q$950,8,FALSE)</f>
        <v>0</v>
      </c>
      <c r="AJ952" s="31">
        <f>VLOOKUP($A952,kurspris!$A$1:$Q$950,9,FALSE)</f>
        <v>0</v>
      </c>
      <c r="AK952" s="31">
        <f>VLOOKUP($A952,kurspris!$A$1:$Q$950,10,FALSE)</f>
        <v>0</v>
      </c>
      <c r="AL952" s="31">
        <f>VLOOKUP($A952,kurspris!$A$1:$Q$950,11,FALSE)</f>
        <v>0</v>
      </c>
      <c r="AM952" s="31">
        <f>VLOOKUP($A952,kurspris!$A$1:$Q$950,12,FALSE)</f>
        <v>0</v>
      </c>
      <c r="AN952" s="31">
        <f>VLOOKUP($A952,kurspris!$A$1:$Q$950,13,FALSE)</f>
        <v>0</v>
      </c>
      <c r="AO952" s="31">
        <f>VLOOKUP($A952,kurspris!$A$1:$Q$950,14,FALSE)</f>
        <v>0</v>
      </c>
      <c r="AP952" s="57" t="s">
        <v>2267</v>
      </c>
      <c r="AQ952"/>
      <c r="AR952" s="31">
        <f t="shared" si="429"/>
        <v>0</v>
      </c>
      <c r="AS952" s="219">
        <f t="shared" si="430"/>
        <v>0</v>
      </c>
      <c r="AT952" s="31">
        <f t="shared" si="431"/>
        <v>2.5</v>
      </c>
      <c r="AU952" s="219">
        <f t="shared" si="432"/>
        <v>2</v>
      </c>
      <c r="AV952" s="31">
        <f t="shared" si="433"/>
        <v>0</v>
      </c>
      <c r="AW952" s="31">
        <f t="shared" si="434"/>
        <v>0</v>
      </c>
      <c r="AX952" s="31">
        <f t="shared" si="435"/>
        <v>0</v>
      </c>
      <c r="AY952" s="219">
        <f t="shared" si="436"/>
        <v>0</v>
      </c>
      <c r="AZ952" s="196">
        <f t="shared" si="437"/>
        <v>0</v>
      </c>
      <c r="BA952" s="219">
        <f t="shared" si="438"/>
        <v>0</v>
      </c>
      <c r="BB952" s="31">
        <f t="shared" si="439"/>
        <v>0</v>
      </c>
      <c r="BC952" s="219">
        <f t="shared" si="440"/>
        <v>0</v>
      </c>
      <c r="BD952" s="31">
        <f t="shared" si="441"/>
        <v>0</v>
      </c>
      <c r="BE952" s="219">
        <f t="shared" si="442"/>
        <v>0</v>
      </c>
      <c r="BF952" s="31">
        <f t="shared" si="443"/>
        <v>0</v>
      </c>
      <c r="BG952" s="219">
        <f t="shared" si="444"/>
        <v>0</v>
      </c>
      <c r="BH952" s="31">
        <f t="shared" si="445"/>
        <v>0</v>
      </c>
      <c r="BI952" s="219">
        <f t="shared" si="446"/>
        <v>0</v>
      </c>
      <c r="BJ952" s="31">
        <f t="shared" si="447"/>
        <v>0</v>
      </c>
      <c r="BK952" s="219">
        <f t="shared" si="448"/>
        <v>0</v>
      </c>
      <c r="BL952" s="31">
        <f t="shared" si="449"/>
        <v>0</v>
      </c>
      <c r="BM952" s="219">
        <f t="shared" si="450"/>
        <v>0</v>
      </c>
      <c r="BN952" s="31">
        <f t="shared" si="451"/>
        <v>0</v>
      </c>
      <c r="BO952" s="219">
        <f t="shared" si="452"/>
        <v>0</v>
      </c>
    </row>
    <row r="953" spans="1:67" x14ac:dyDescent="0.25">
      <c r="A953" s="283" t="s">
        <v>2054</v>
      </c>
      <c r="B953" s="362" t="str">
        <f>VLOOKUP(A953,kurspris!$A$1:$B$992,2,FALSE)</f>
        <v>Att läsa och skriva i lärarutbildning och läraryrket - fokus ämneslärare</v>
      </c>
      <c r="C953" s="537"/>
      <c r="D953" s="244" t="s">
        <v>117</v>
      </c>
      <c r="E953" s="244"/>
      <c r="F953" s="538" t="s">
        <v>2319</v>
      </c>
      <c r="G953" s="244"/>
      <c r="H953" s="244"/>
      <c r="I953" s="244" t="s">
        <v>2275</v>
      </c>
      <c r="J953" s="244"/>
      <c r="K953" s="244"/>
      <c r="L953" s="518">
        <v>0.5</v>
      </c>
      <c r="M953" s="511">
        <v>7.5</v>
      </c>
      <c r="N953" s="244"/>
      <c r="O953" s="244"/>
      <c r="P953" s="244">
        <v>20</v>
      </c>
      <c r="Q953" s="196">
        <f>(M953/60)*P953</f>
        <v>2.5</v>
      </c>
      <c r="R953" s="38">
        <v>0.8</v>
      </c>
      <c r="S953" s="280">
        <f t="shared" si="425"/>
        <v>2</v>
      </c>
      <c r="T953" s="31">
        <f>VLOOKUP(A953,'Ansvar kurs'!$A$1:$C$1123,2,FALSE)</f>
        <v>1620</v>
      </c>
      <c r="U953" s="31" t="str">
        <f>VLOOKUP(T953,Orgenheter!$A$1:$C$166,2,FALSE)</f>
        <v>Inst för språkstudier</v>
      </c>
      <c r="V953" s="31" t="str">
        <f>VLOOKUP(T953,Orgenheter!$A$1:$C$166,3,FALSE)</f>
        <v>Hum</v>
      </c>
      <c r="W953" s="35" t="str">
        <f>VLOOKUP(D953,Program!$A$1:$B$36,2,FALSE)</f>
        <v>Fristående och övriga kurser</v>
      </c>
      <c r="X953" s="40">
        <f>VLOOKUP(A953,kurspris!$A$1:$Q$913,15,FALSE)</f>
        <v>20766</v>
      </c>
      <c r="Y953" s="40">
        <f>VLOOKUP(A953,kurspris!$A$1:$Q$913,16,FALSE)</f>
        <v>17442</v>
      </c>
      <c r="Z953" s="40">
        <f t="shared" si="426"/>
        <v>86799</v>
      </c>
      <c r="AA953" s="40">
        <f>VLOOKUP(A953,kurspris!$A$1:$Q$913,17,FALSE)</f>
        <v>6000</v>
      </c>
      <c r="AB953" s="40">
        <f t="shared" si="427"/>
        <v>15000</v>
      </c>
      <c r="AC953" s="40">
        <f t="shared" si="428"/>
        <v>101799</v>
      </c>
      <c r="AD953" s="31">
        <f>VLOOKUP($A953,kurspris!$A$1:$Q$950,3,FALSE)</f>
        <v>0</v>
      </c>
      <c r="AE953" s="31">
        <f>VLOOKUP($A953,kurspris!$A$1:$Q$950,4,FALSE)</f>
        <v>1</v>
      </c>
      <c r="AF953" s="31">
        <f>VLOOKUP($A953,kurspris!$A$1:$Q$950,5,FALSE)</f>
        <v>0</v>
      </c>
      <c r="AG953" s="31">
        <f>VLOOKUP($A953,kurspris!$A$1:$Q$950,6,FALSE)</f>
        <v>0</v>
      </c>
      <c r="AH953" s="31">
        <f>VLOOKUP($A953,kurspris!$A$1:$Q$950,7,FALSE)</f>
        <v>0</v>
      </c>
      <c r="AI953" s="31">
        <f>VLOOKUP($A953,kurspris!$A$1:$Q$950,8,FALSE)</f>
        <v>0</v>
      </c>
      <c r="AJ953" s="31">
        <f>VLOOKUP($A953,kurspris!$A$1:$Q$950,9,FALSE)</f>
        <v>0</v>
      </c>
      <c r="AK953" s="31">
        <f>VLOOKUP($A953,kurspris!$A$1:$Q$950,10,FALSE)</f>
        <v>0</v>
      </c>
      <c r="AL953" s="31">
        <f>VLOOKUP($A953,kurspris!$A$1:$Q$950,11,FALSE)</f>
        <v>0</v>
      </c>
      <c r="AM953" s="31">
        <f>VLOOKUP($A953,kurspris!$A$1:$Q$950,12,FALSE)</f>
        <v>0</v>
      </c>
      <c r="AN953" s="31">
        <f>VLOOKUP($A953,kurspris!$A$1:$Q$950,13,FALSE)</f>
        <v>0</v>
      </c>
      <c r="AO953" s="31">
        <f>VLOOKUP($A953,kurspris!$A$1:$Q$950,14,FALSE)</f>
        <v>0</v>
      </c>
      <c r="AP953" s="57" t="s">
        <v>2267</v>
      </c>
      <c r="AQ953" s="37"/>
      <c r="AR953" s="31">
        <f t="shared" si="429"/>
        <v>0</v>
      </c>
      <c r="AS953" s="219">
        <f t="shared" si="430"/>
        <v>0</v>
      </c>
      <c r="AT953" s="31">
        <f t="shared" si="431"/>
        <v>2.5</v>
      </c>
      <c r="AU953" s="219">
        <f t="shared" si="432"/>
        <v>2</v>
      </c>
      <c r="AV953" s="31">
        <f t="shared" si="433"/>
        <v>0</v>
      </c>
      <c r="AW953" s="31">
        <f t="shared" si="434"/>
        <v>0</v>
      </c>
      <c r="AX953" s="31">
        <f t="shared" si="435"/>
        <v>0</v>
      </c>
      <c r="AY953" s="219">
        <f t="shared" si="436"/>
        <v>0</v>
      </c>
      <c r="AZ953" s="196">
        <f t="shared" si="437"/>
        <v>0</v>
      </c>
      <c r="BA953" s="219">
        <f t="shared" si="438"/>
        <v>0</v>
      </c>
      <c r="BB953" s="31">
        <f t="shared" si="439"/>
        <v>0</v>
      </c>
      <c r="BC953" s="219">
        <f t="shared" si="440"/>
        <v>0</v>
      </c>
      <c r="BD953" s="31">
        <f t="shared" si="441"/>
        <v>0</v>
      </c>
      <c r="BE953" s="219">
        <f t="shared" si="442"/>
        <v>0</v>
      </c>
      <c r="BF953" s="31">
        <f t="shared" si="443"/>
        <v>0</v>
      </c>
      <c r="BG953" s="219">
        <f t="shared" si="444"/>
        <v>0</v>
      </c>
      <c r="BH953" s="31">
        <f t="shared" si="445"/>
        <v>0</v>
      </c>
      <c r="BI953" s="219">
        <f t="shared" si="446"/>
        <v>0</v>
      </c>
      <c r="BJ953" s="31">
        <f t="shared" si="447"/>
        <v>0</v>
      </c>
      <c r="BK953" s="219">
        <f t="shared" si="448"/>
        <v>0</v>
      </c>
      <c r="BL953" s="31">
        <f t="shared" si="449"/>
        <v>0</v>
      </c>
      <c r="BM953" s="219">
        <f t="shared" si="450"/>
        <v>0</v>
      </c>
      <c r="BN953" s="31">
        <f t="shared" si="451"/>
        <v>0</v>
      </c>
      <c r="BO953" s="219">
        <f t="shared" si="452"/>
        <v>0</v>
      </c>
    </row>
    <row r="954" spans="1:67" x14ac:dyDescent="0.25">
      <c r="A954" s="283" t="s">
        <v>2117</v>
      </c>
      <c r="B954" s="362" t="str">
        <f>VLOOKUP(A954,kurspris!$A$1:$B$992,2,FALSE)</f>
        <v>Flerspråkighet i förskoleklassen och grundskolans tidiga år</v>
      </c>
      <c r="C954" s="537"/>
      <c r="D954" s="244" t="s">
        <v>117</v>
      </c>
      <c r="E954" s="244"/>
      <c r="F954" s="538" t="s">
        <v>2319</v>
      </c>
      <c r="G954" s="244"/>
      <c r="H954" s="244"/>
      <c r="I954" s="244" t="s">
        <v>2275</v>
      </c>
      <c r="J954" s="244"/>
      <c r="K954" s="244"/>
      <c r="L954" s="518">
        <v>0.5</v>
      </c>
      <c r="M954" s="511">
        <v>7.5</v>
      </c>
      <c r="N954" s="244"/>
      <c r="O954" s="244"/>
      <c r="P954" s="244">
        <v>30</v>
      </c>
      <c r="Q954" s="196">
        <f>(M954/60)*P954</f>
        <v>3.75</v>
      </c>
      <c r="R954" s="38">
        <v>0.8</v>
      </c>
      <c r="S954" s="280">
        <f t="shared" si="425"/>
        <v>3</v>
      </c>
      <c r="T954" s="31">
        <f>VLOOKUP(A954,'Ansvar kurs'!$A$1:$C$1123,2,FALSE)</f>
        <v>1620</v>
      </c>
      <c r="U954" s="31" t="str">
        <f>VLOOKUP(T954,Orgenheter!$A$1:$C$166,2,FALSE)</f>
        <v>Inst för språkstudier</v>
      </c>
      <c r="V954" s="31" t="str">
        <f>VLOOKUP(T954,Orgenheter!$A$1:$C$166,3,FALSE)</f>
        <v>Hum</v>
      </c>
      <c r="W954" s="35" t="str">
        <f>VLOOKUP(D954,Program!$A$1:$B$36,2,FALSE)</f>
        <v>Fristående och övriga kurser</v>
      </c>
      <c r="X954" s="40">
        <f>VLOOKUP(A954,kurspris!$A$1:$Q$913,15,FALSE)</f>
        <v>20766</v>
      </c>
      <c r="Y954" s="40">
        <f>VLOOKUP(A954,kurspris!$A$1:$Q$913,16,FALSE)</f>
        <v>17442</v>
      </c>
      <c r="Z954" s="40">
        <f t="shared" si="426"/>
        <v>130198.5</v>
      </c>
      <c r="AA954" s="40">
        <f>VLOOKUP(A954,kurspris!$A$1:$Q$913,17,FALSE)</f>
        <v>6000</v>
      </c>
      <c r="AB954" s="40">
        <f t="shared" si="427"/>
        <v>22500</v>
      </c>
      <c r="AC954" s="40">
        <f t="shared" si="428"/>
        <v>152698.5</v>
      </c>
      <c r="AD954" s="31">
        <f>VLOOKUP($A954,kurspris!$A$1:$Q$950,3,FALSE)</f>
        <v>0</v>
      </c>
      <c r="AE954" s="31">
        <f>VLOOKUP($A954,kurspris!$A$1:$Q$950,4,FALSE)</f>
        <v>1</v>
      </c>
      <c r="AF954" s="31">
        <f>VLOOKUP($A954,kurspris!$A$1:$Q$950,5,FALSE)</f>
        <v>0</v>
      </c>
      <c r="AG954" s="31">
        <f>VLOOKUP($A954,kurspris!$A$1:$Q$950,6,FALSE)</f>
        <v>0</v>
      </c>
      <c r="AH954" s="31">
        <f>VLOOKUP($A954,kurspris!$A$1:$Q$950,7,FALSE)</f>
        <v>0</v>
      </c>
      <c r="AI954" s="31">
        <f>VLOOKUP($A954,kurspris!$A$1:$Q$950,8,FALSE)</f>
        <v>0</v>
      </c>
      <c r="AJ954" s="31">
        <f>VLOOKUP($A954,kurspris!$A$1:$Q$950,9,FALSE)</f>
        <v>0</v>
      </c>
      <c r="AK954" s="31">
        <f>VLOOKUP($A954,kurspris!$A$1:$Q$950,10,FALSE)</f>
        <v>0</v>
      </c>
      <c r="AL954" s="31">
        <f>VLOOKUP($A954,kurspris!$A$1:$Q$950,11,FALSE)</f>
        <v>0</v>
      </c>
      <c r="AM954" s="31">
        <f>VLOOKUP($A954,kurspris!$A$1:$Q$950,12,FALSE)</f>
        <v>0</v>
      </c>
      <c r="AN954" s="31">
        <f>VLOOKUP($A954,kurspris!$A$1:$Q$950,13,FALSE)</f>
        <v>0</v>
      </c>
      <c r="AO954" s="31">
        <f>VLOOKUP($A954,kurspris!$A$1:$Q$950,14,FALSE)</f>
        <v>0</v>
      </c>
      <c r="AP954" s="57" t="s">
        <v>2267</v>
      </c>
      <c r="AQ954" s="37"/>
      <c r="AR954" s="31">
        <f t="shared" si="429"/>
        <v>0</v>
      </c>
      <c r="AS954" s="219">
        <f t="shared" si="430"/>
        <v>0</v>
      </c>
      <c r="AT954" s="31">
        <f t="shared" si="431"/>
        <v>3.75</v>
      </c>
      <c r="AU954" s="219">
        <f t="shared" si="432"/>
        <v>3</v>
      </c>
      <c r="AV954" s="31">
        <f t="shared" si="433"/>
        <v>0</v>
      </c>
      <c r="AW954" s="31">
        <f t="shared" si="434"/>
        <v>0</v>
      </c>
      <c r="AX954" s="31">
        <f t="shared" si="435"/>
        <v>0</v>
      </c>
      <c r="AY954" s="219">
        <f t="shared" si="436"/>
        <v>0</v>
      </c>
      <c r="AZ954" s="196">
        <f t="shared" si="437"/>
        <v>0</v>
      </c>
      <c r="BA954" s="219">
        <f t="shared" si="438"/>
        <v>0</v>
      </c>
      <c r="BB954" s="31">
        <f t="shared" si="439"/>
        <v>0</v>
      </c>
      <c r="BC954" s="219">
        <f t="shared" si="440"/>
        <v>0</v>
      </c>
      <c r="BD954" s="31">
        <f t="shared" si="441"/>
        <v>0</v>
      </c>
      <c r="BE954" s="219">
        <f t="shared" si="442"/>
        <v>0</v>
      </c>
      <c r="BF954" s="31">
        <f t="shared" si="443"/>
        <v>0</v>
      </c>
      <c r="BG954" s="219">
        <f t="shared" si="444"/>
        <v>0</v>
      </c>
      <c r="BH954" s="31">
        <f t="shared" si="445"/>
        <v>0</v>
      </c>
      <c r="BI954" s="219">
        <f t="shared" si="446"/>
        <v>0</v>
      </c>
      <c r="BJ954" s="31">
        <f t="shared" si="447"/>
        <v>0</v>
      </c>
      <c r="BK954" s="219">
        <f t="shared" si="448"/>
        <v>0</v>
      </c>
      <c r="BL954" s="31">
        <f t="shared" si="449"/>
        <v>0</v>
      </c>
      <c r="BM954" s="219">
        <f t="shared" si="450"/>
        <v>0</v>
      </c>
      <c r="BN954" s="31">
        <f t="shared" si="451"/>
        <v>0</v>
      </c>
      <c r="BO954" s="219">
        <f t="shared" si="452"/>
        <v>0</v>
      </c>
    </row>
    <row r="955" spans="1:67" x14ac:dyDescent="0.25">
      <c r="A955" s="31" t="s">
        <v>2131</v>
      </c>
      <c r="B955" s="176" t="str">
        <f>VLOOKUP(A955,kurspris!$A$1:$B$992,2,FALSE)</f>
        <v>Svenska för ämneslärare, kurs 1</v>
      </c>
      <c r="C955" s="31">
        <v>71800</v>
      </c>
      <c r="D955" s="60" t="s">
        <v>482</v>
      </c>
      <c r="E955" s="60"/>
      <c r="F955" s="57" t="s">
        <v>2274</v>
      </c>
      <c r="H955" s="31" t="s">
        <v>2335</v>
      </c>
      <c r="I955" s="31" t="s">
        <v>2399</v>
      </c>
      <c r="J955" s="31" t="s">
        <v>2237</v>
      </c>
      <c r="L955" s="38"/>
      <c r="M955">
        <v>30</v>
      </c>
      <c r="P955" s="31">
        <v>1</v>
      </c>
      <c r="Q955" s="539">
        <v>0.5</v>
      </c>
      <c r="R955" s="38">
        <v>0.85</v>
      </c>
      <c r="S955" s="280">
        <f t="shared" si="425"/>
        <v>0.42499999999999999</v>
      </c>
      <c r="T955" s="31">
        <f>VLOOKUP(A955,'Ansvar kurs'!$A$1:$C$1123,2,FALSE)</f>
        <v>1620</v>
      </c>
      <c r="U955" s="31" t="str">
        <f>VLOOKUP(T955,Orgenheter!$A$1:$C$166,2,FALSE)</f>
        <v>Inst för språkstudier</v>
      </c>
      <c r="V955" s="31" t="str">
        <f>VLOOKUP(T955,Orgenheter!$A$1:$C$166,3,FALSE)</f>
        <v>Hum</v>
      </c>
      <c r="W955" s="35" t="str">
        <f>VLOOKUP(D955,Program!$A$1:$B$36,2,FALSE)</f>
        <v>Ämneslärarprogrammet - Gy</v>
      </c>
      <c r="X955" s="40">
        <f>VLOOKUP(A955,kurspris!$A$1:$Q$913,15,FALSE)</f>
        <v>20766</v>
      </c>
      <c r="Y955" s="40">
        <f>VLOOKUP(A955,kurspris!$A$1:$Q$913,16,FALSE)</f>
        <v>17442</v>
      </c>
      <c r="Z955" s="40">
        <f t="shared" si="426"/>
        <v>17795.849999999999</v>
      </c>
      <c r="AA955" s="40">
        <f>VLOOKUP(A955,kurspris!$A$1:$Q$913,17,FALSE)</f>
        <v>6000</v>
      </c>
      <c r="AB955" s="40">
        <f t="shared" si="427"/>
        <v>3000</v>
      </c>
      <c r="AC955" s="40">
        <f t="shared" si="428"/>
        <v>20795.849999999999</v>
      </c>
      <c r="AD955" s="31">
        <f>VLOOKUP($A955,kurspris!$A$1:$Q$950,3,FALSE)</f>
        <v>0</v>
      </c>
      <c r="AE955" s="31">
        <f>VLOOKUP($A955,kurspris!$A$1:$Q$950,4,FALSE)</f>
        <v>1</v>
      </c>
      <c r="AF955" s="31">
        <f>VLOOKUP($A955,kurspris!$A$1:$Q$950,5,FALSE)</f>
        <v>0</v>
      </c>
      <c r="AG955" s="31">
        <f>VLOOKUP($A955,kurspris!$A$1:$Q$950,6,FALSE)</f>
        <v>0</v>
      </c>
      <c r="AH955" s="31">
        <f>VLOOKUP($A955,kurspris!$A$1:$Q$950,7,FALSE)</f>
        <v>0</v>
      </c>
      <c r="AI955" s="31">
        <f>VLOOKUP($A955,kurspris!$A$1:$Q$950,8,FALSE)</f>
        <v>0</v>
      </c>
      <c r="AJ955" s="31">
        <f>VLOOKUP($A955,kurspris!$A$1:$Q$950,9,FALSE)</f>
        <v>0</v>
      </c>
      <c r="AK955" s="31">
        <f>VLOOKUP($A955,kurspris!$A$1:$Q$950,10,FALSE)</f>
        <v>0</v>
      </c>
      <c r="AL955" s="31">
        <f>VLOOKUP($A955,kurspris!$A$1:$Q$950,11,FALSE)</f>
        <v>0</v>
      </c>
      <c r="AM955" s="31">
        <f>VLOOKUP($A955,kurspris!$A$1:$Q$950,12,FALSE)</f>
        <v>0</v>
      </c>
      <c r="AN955" s="31">
        <f>VLOOKUP($A955,kurspris!$A$1:$Q$950,13,FALSE)</f>
        <v>0</v>
      </c>
      <c r="AO955" s="31">
        <f>VLOOKUP($A955,kurspris!$A$1:$Q$950,14,FALSE)</f>
        <v>0</v>
      </c>
      <c r="AP955" s="57" t="s">
        <v>2402</v>
      </c>
      <c r="AQ955"/>
      <c r="AR955" s="31">
        <f t="shared" si="429"/>
        <v>0</v>
      </c>
      <c r="AS955" s="219">
        <f t="shared" si="430"/>
        <v>0</v>
      </c>
      <c r="AT955" s="31">
        <f t="shared" si="431"/>
        <v>0.5</v>
      </c>
      <c r="AU955" s="219">
        <f t="shared" si="432"/>
        <v>0.42499999999999999</v>
      </c>
      <c r="AV955" s="31">
        <f t="shared" si="433"/>
        <v>0</v>
      </c>
      <c r="AW955" s="31">
        <f t="shared" si="434"/>
        <v>0</v>
      </c>
      <c r="AX955" s="31">
        <f t="shared" si="435"/>
        <v>0</v>
      </c>
      <c r="AY955" s="219">
        <f t="shared" si="436"/>
        <v>0</v>
      </c>
      <c r="AZ955" s="196">
        <f t="shared" si="437"/>
        <v>0</v>
      </c>
      <c r="BA955" s="219">
        <f t="shared" si="438"/>
        <v>0</v>
      </c>
      <c r="BB955" s="31">
        <f t="shared" si="439"/>
        <v>0</v>
      </c>
      <c r="BC955" s="219">
        <f t="shared" si="440"/>
        <v>0</v>
      </c>
      <c r="BD955" s="31">
        <f t="shared" si="441"/>
        <v>0</v>
      </c>
      <c r="BE955" s="219">
        <f t="shared" si="442"/>
        <v>0</v>
      </c>
      <c r="BF955" s="31">
        <f t="shared" si="443"/>
        <v>0</v>
      </c>
      <c r="BG955" s="219">
        <f t="shared" si="444"/>
        <v>0</v>
      </c>
      <c r="BH955" s="31">
        <f t="shared" si="445"/>
        <v>0</v>
      </c>
      <c r="BI955" s="219">
        <f t="shared" si="446"/>
        <v>0</v>
      </c>
      <c r="BJ955" s="31">
        <f t="shared" si="447"/>
        <v>0</v>
      </c>
      <c r="BK955" s="219">
        <f t="shared" si="448"/>
        <v>0</v>
      </c>
      <c r="BL955" s="31">
        <f t="shared" si="449"/>
        <v>0</v>
      </c>
      <c r="BM955" s="219">
        <f t="shared" si="450"/>
        <v>0</v>
      </c>
      <c r="BN955" s="31">
        <f t="shared" si="451"/>
        <v>0</v>
      </c>
      <c r="BO955" s="219">
        <f t="shared" si="452"/>
        <v>0</v>
      </c>
    </row>
    <row r="956" spans="1:67" x14ac:dyDescent="0.25">
      <c r="A956" s="31" t="s">
        <v>2131</v>
      </c>
      <c r="B956" s="176" t="str">
        <f>VLOOKUP(A956,kurspris!$A$1:$B$992,2,FALSE)</f>
        <v>Svenska för ämneslärare, kurs 1</v>
      </c>
      <c r="C956" s="31">
        <v>71800</v>
      </c>
      <c r="D956" s="60" t="s">
        <v>482</v>
      </c>
      <c r="E956" s="60"/>
      <c r="F956" s="57" t="s">
        <v>2274</v>
      </c>
      <c r="H956" s="31" t="s">
        <v>2335</v>
      </c>
      <c r="I956" s="31" t="s">
        <v>2399</v>
      </c>
      <c r="J956" s="31" t="s">
        <v>2234</v>
      </c>
      <c r="L956" s="38"/>
      <c r="M956">
        <v>30</v>
      </c>
      <c r="P956" s="31">
        <v>1</v>
      </c>
      <c r="Q956" s="539">
        <v>0.5</v>
      </c>
      <c r="R956" s="38">
        <v>0.85</v>
      </c>
      <c r="S956" s="280">
        <f t="shared" si="425"/>
        <v>0.42499999999999999</v>
      </c>
      <c r="T956" s="31">
        <f>VLOOKUP(A956,'Ansvar kurs'!$A$1:$C$1123,2,FALSE)</f>
        <v>1620</v>
      </c>
      <c r="U956" s="31" t="str">
        <f>VLOOKUP(T956,Orgenheter!$A$1:$C$166,2,FALSE)</f>
        <v>Inst för språkstudier</v>
      </c>
      <c r="V956" s="31" t="str">
        <f>VLOOKUP(T956,Orgenheter!$A$1:$C$166,3,FALSE)</f>
        <v>Hum</v>
      </c>
      <c r="W956" s="35" t="str">
        <f>VLOOKUP(D956,Program!$A$1:$B$36,2,FALSE)</f>
        <v>Ämneslärarprogrammet - Gy</v>
      </c>
      <c r="X956" s="40">
        <f>VLOOKUP(A956,kurspris!$A$1:$Q$913,15,FALSE)</f>
        <v>20766</v>
      </c>
      <c r="Y956" s="40">
        <f>VLOOKUP(A956,kurspris!$A$1:$Q$913,16,FALSE)</f>
        <v>17442</v>
      </c>
      <c r="Z956" s="40">
        <f t="shared" si="426"/>
        <v>17795.849999999999</v>
      </c>
      <c r="AA956" s="40">
        <f>VLOOKUP(A956,kurspris!$A$1:$Q$913,17,FALSE)</f>
        <v>6000</v>
      </c>
      <c r="AB956" s="40">
        <f t="shared" si="427"/>
        <v>3000</v>
      </c>
      <c r="AC956" s="40">
        <f t="shared" si="428"/>
        <v>20795.849999999999</v>
      </c>
      <c r="AD956" s="31">
        <f>VLOOKUP($A956,kurspris!$A$1:$Q$950,3,FALSE)</f>
        <v>0</v>
      </c>
      <c r="AE956" s="31">
        <f>VLOOKUP($A956,kurspris!$A$1:$Q$950,4,FALSE)</f>
        <v>1</v>
      </c>
      <c r="AF956" s="31">
        <f>VLOOKUP($A956,kurspris!$A$1:$Q$950,5,FALSE)</f>
        <v>0</v>
      </c>
      <c r="AG956" s="31">
        <f>VLOOKUP($A956,kurspris!$A$1:$Q$950,6,FALSE)</f>
        <v>0</v>
      </c>
      <c r="AH956" s="31">
        <f>VLOOKUP($A956,kurspris!$A$1:$Q$950,7,FALSE)</f>
        <v>0</v>
      </c>
      <c r="AI956" s="31">
        <f>VLOOKUP($A956,kurspris!$A$1:$Q$950,8,FALSE)</f>
        <v>0</v>
      </c>
      <c r="AJ956" s="31">
        <f>VLOOKUP($A956,kurspris!$A$1:$Q$950,9,FALSE)</f>
        <v>0</v>
      </c>
      <c r="AK956" s="31">
        <f>VLOOKUP($A956,kurspris!$A$1:$Q$950,10,FALSE)</f>
        <v>0</v>
      </c>
      <c r="AL956" s="31">
        <f>VLOOKUP($A956,kurspris!$A$1:$Q$950,11,FALSE)</f>
        <v>0</v>
      </c>
      <c r="AM956" s="31">
        <f>VLOOKUP($A956,kurspris!$A$1:$Q$950,12,FALSE)</f>
        <v>0</v>
      </c>
      <c r="AN956" s="31">
        <f>VLOOKUP($A956,kurspris!$A$1:$Q$950,13,FALSE)</f>
        <v>0</v>
      </c>
      <c r="AO956" s="31">
        <f>VLOOKUP($A956,kurspris!$A$1:$Q$950,14,FALSE)</f>
        <v>0</v>
      </c>
      <c r="AP956" s="57" t="s">
        <v>2402</v>
      </c>
      <c r="AQ956"/>
      <c r="AR956" s="31">
        <f t="shared" si="429"/>
        <v>0</v>
      </c>
      <c r="AS956" s="219">
        <f t="shared" si="430"/>
        <v>0</v>
      </c>
      <c r="AT956" s="31">
        <f t="shared" si="431"/>
        <v>0.5</v>
      </c>
      <c r="AU956" s="219">
        <f t="shared" si="432"/>
        <v>0.42499999999999999</v>
      </c>
      <c r="AV956" s="31">
        <f t="shared" si="433"/>
        <v>0</v>
      </c>
      <c r="AW956" s="31">
        <f t="shared" si="434"/>
        <v>0</v>
      </c>
      <c r="AX956" s="31">
        <f t="shared" si="435"/>
        <v>0</v>
      </c>
      <c r="AY956" s="219">
        <f t="shared" si="436"/>
        <v>0</v>
      </c>
      <c r="AZ956" s="196">
        <f t="shared" si="437"/>
        <v>0</v>
      </c>
      <c r="BA956" s="219">
        <f t="shared" si="438"/>
        <v>0</v>
      </c>
      <c r="BB956" s="31">
        <f t="shared" si="439"/>
        <v>0</v>
      </c>
      <c r="BC956" s="219">
        <f t="shared" si="440"/>
        <v>0</v>
      </c>
      <c r="BD956" s="31">
        <f t="shared" si="441"/>
        <v>0</v>
      </c>
      <c r="BE956" s="219">
        <f t="shared" si="442"/>
        <v>0</v>
      </c>
      <c r="BF956" s="31">
        <f t="shared" si="443"/>
        <v>0</v>
      </c>
      <c r="BG956" s="219">
        <f t="shared" si="444"/>
        <v>0</v>
      </c>
      <c r="BH956" s="31">
        <f t="shared" si="445"/>
        <v>0</v>
      </c>
      <c r="BI956" s="219">
        <f t="shared" si="446"/>
        <v>0</v>
      </c>
      <c r="BJ956" s="31">
        <f t="shared" si="447"/>
        <v>0</v>
      </c>
      <c r="BK956" s="219">
        <f t="shared" si="448"/>
        <v>0</v>
      </c>
      <c r="BL956" s="31">
        <f t="shared" si="449"/>
        <v>0</v>
      </c>
      <c r="BM956" s="219">
        <f t="shared" si="450"/>
        <v>0</v>
      </c>
      <c r="BN956" s="31">
        <f t="shared" si="451"/>
        <v>0</v>
      </c>
      <c r="BO956" s="219">
        <f t="shared" si="452"/>
        <v>0</v>
      </c>
    </row>
    <row r="957" spans="1:67" x14ac:dyDescent="0.25">
      <c r="A957" s="31" t="s">
        <v>2131</v>
      </c>
      <c r="B957" s="176" t="str">
        <f>VLOOKUP(A957,kurspris!$A$1:$B$992,2,FALSE)</f>
        <v>Svenska för ämneslärare, kurs 1</v>
      </c>
      <c r="C957" s="31">
        <v>71800</v>
      </c>
      <c r="D957" s="60" t="s">
        <v>482</v>
      </c>
      <c r="E957" s="60"/>
      <c r="F957" s="57" t="s">
        <v>2274</v>
      </c>
      <c r="H957" s="31" t="s">
        <v>2335</v>
      </c>
      <c r="I957" s="31" t="s">
        <v>2399</v>
      </c>
      <c r="J957" s="31" t="s">
        <v>2231</v>
      </c>
      <c r="L957" s="38"/>
      <c r="M957">
        <v>30</v>
      </c>
      <c r="P957" s="31">
        <v>7</v>
      </c>
      <c r="Q957" s="539">
        <v>3.5</v>
      </c>
      <c r="R957" s="38">
        <v>0.85</v>
      </c>
      <c r="S957" s="280">
        <f t="shared" si="425"/>
        <v>2.9750000000000001</v>
      </c>
      <c r="T957" s="31">
        <f>VLOOKUP(A957,'Ansvar kurs'!$A$1:$C$1123,2,FALSE)</f>
        <v>1620</v>
      </c>
      <c r="U957" s="31" t="str">
        <f>VLOOKUP(T957,Orgenheter!$A$1:$C$166,2,FALSE)</f>
        <v>Inst för språkstudier</v>
      </c>
      <c r="V957" s="31" t="str">
        <f>VLOOKUP(T957,Orgenheter!$A$1:$C$166,3,FALSE)</f>
        <v>Hum</v>
      </c>
      <c r="W957" s="35" t="str">
        <f>VLOOKUP(D957,Program!$A$1:$B$36,2,FALSE)</f>
        <v>Ämneslärarprogrammet - Gy</v>
      </c>
      <c r="X957" s="40">
        <f>VLOOKUP(A957,kurspris!$A$1:$Q$913,15,FALSE)</f>
        <v>20766</v>
      </c>
      <c r="Y957" s="40">
        <f>VLOOKUP(A957,kurspris!$A$1:$Q$913,16,FALSE)</f>
        <v>17442</v>
      </c>
      <c r="Z957" s="40">
        <f t="shared" si="426"/>
        <v>124570.95000000001</v>
      </c>
      <c r="AA957" s="40">
        <f>VLOOKUP(A957,kurspris!$A$1:$Q$913,17,FALSE)</f>
        <v>6000</v>
      </c>
      <c r="AB957" s="40">
        <f t="shared" si="427"/>
        <v>21000</v>
      </c>
      <c r="AC957" s="40">
        <f t="shared" si="428"/>
        <v>145570.95000000001</v>
      </c>
      <c r="AD957" s="31">
        <f>VLOOKUP($A957,kurspris!$A$1:$Q$950,3,FALSE)</f>
        <v>0</v>
      </c>
      <c r="AE957" s="31">
        <f>VLOOKUP($A957,kurspris!$A$1:$Q$950,4,FALSE)</f>
        <v>1</v>
      </c>
      <c r="AF957" s="31">
        <f>VLOOKUP($A957,kurspris!$A$1:$Q$950,5,FALSE)</f>
        <v>0</v>
      </c>
      <c r="AG957" s="31">
        <f>VLOOKUP($A957,kurspris!$A$1:$Q$950,6,FALSE)</f>
        <v>0</v>
      </c>
      <c r="AH957" s="31">
        <f>VLOOKUP($A957,kurspris!$A$1:$Q$950,7,FALSE)</f>
        <v>0</v>
      </c>
      <c r="AI957" s="31">
        <f>VLOOKUP($A957,kurspris!$A$1:$Q$950,8,FALSE)</f>
        <v>0</v>
      </c>
      <c r="AJ957" s="31">
        <f>VLOOKUP($A957,kurspris!$A$1:$Q$950,9,FALSE)</f>
        <v>0</v>
      </c>
      <c r="AK957" s="31">
        <f>VLOOKUP($A957,kurspris!$A$1:$Q$950,10,FALSE)</f>
        <v>0</v>
      </c>
      <c r="AL957" s="31">
        <f>VLOOKUP($A957,kurspris!$A$1:$Q$950,11,FALSE)</f>
        <v>0</v>
      </c>
      <c r="AM957" s="31">
        <f>VLOOKUP($A957,kurspris!$A$1:$Q$950,12,FALSE)</f>
        <v>0</v>
      </c>
      <c r="AN957" s="31">
        <f>VLOOKUP($A957,kurspris!$A$1:$Q$950,13,FALSE)</f>
        <v>0</v>
      </c>
      <c r="AO957" s="31">
        <f>VLOOKUP($A957,kurspris!$A$1:$Q$950,14,FALSE)</f>
        <v>0</v>
      </c>
      <c r="AP957" s="57" t="s">
        <v>2402</v>
      </c>
      <c r="AQ957"/>
      <c r="AR957" s="31">
        <f t="shared" si="429"/>
        <v>0</v>
      </c>
      <c r="AS957" s="219">
        <f t="shared" si="430"/>
        <v>0</v>
      </c>
      <c r="AT957" s="31">
        <f t="shared" si="431"/>
        <v>3.5</v>
      </c>
      <c r="AU957" s="219">
        <f t="shared" si="432"/>
        <v>2.9750000000000001</v>
      </c>
      <c r="AV957" s="31">
        <f t="shared" si="433"/>
        <v>0</v>
      </c>
      <c r="AW957" s="31">
        <f t="shared" si="434"/>
        <v>0</v>
      </c>
      <c r="AX957" s="31">
        <f t="shared" si="435"/>
        <v>0</v>
      </c>
      <c r="AY957" s="219">
        <f t="shared" si="436"/>
        <v>0</v>
      </c>
      <c r="AZ957" s="196">
        <f t="shared" si="437"/>
        <v>0</v>
      </c>
      <c r="BA957" s="219">
        <f t="shared" si="438"/>
        <v>0</v>
      </c>
      <c r="BB957" s="31">
        <f t="shared" si="439"/>
        <v>0</v>
      </c>
      <c r="BC957" s="219">
        <f t="shared" si="440"/>
        <v>0</v>
      </c>
      <c r="BD957" s="31">
        <f t="shared" si="441"/>
        <v>0</v>
      </c>
      <c r="BE957" s="219">
        <f t="shared" si="442"/>
        <v>0</v>
      </c>
      <c r="BF957" s="31">
        <f t="shared" si="443"/>
        <v>0</v>
      </c>
      <c r="BG957" s="219">
        <f t="shared" si="444"/>
        <v>0</v>
      </c>
      <c r="BH957" s="31">
        <f t="shared" si="445"/>
        <v>0</v>
      </c>
      <c r="BI957" s="219">
        <f t="shared" si="446"/>
        <v>0</v>
      </c>
      <c r="BJ957" s="31">
        <f t="shared" si="447"/>
        <v>0</v>
      </c>
      <c r="BK957" s="219">
        <f t="shared" si="448"/>
        <v>0</v>
      </c>
      <c r="BL957" s="31">
        <f t="shared" si="449"/>
        <v>0</v>
      </c>
      <c r="BM957" s="219">
        <f t="shared" si="450"/>
        <v>0</v>
      </c>
      <c r="BN957" s="31">
        <f t="shared" si="451"/>
        <v>0</v>
      </c>
      <c r="BO957" s="219">
        <f t="shared" si="452"/>
        <v>0</v>
      </c>
    </row>
    <row r="958" spans="1:67" x14ac:dyDescent="0.25">
      <c r="A958" s="31" t="s">
        <v>2131</v>
      </c>
      <c r="B958" s="176" t="str">
        <f>VLOOKUP(A958,kurspris!$A$1:$B$992,2,FALSE)</f>
        <v>Svenska för ämneslärare, kurs 1</v>
      </c>
      <c r="C958" s="31">
        <v>71800</v>
      </c>
      <c r="D958" s="60" t="s">
        <v>482</v>
      </c>
      <c r="E958" s="60"/>
      <c r="F958" s="57" t="s">
        <v>2274</v>
      </c>
      <c r="H958" s="31" t="s">
        <v>2335</v>
      </c>
      <c r="I958" s="31" t="s">
        <v>2399</v>
      </c>
      <c r="J958" s="31" t="s">
        <v>2241</v>
      </c>
      <c r="L958" s="38"/>
      <c r="M958">
        <v>30</v>
      </c>
      <c r="P958" s="31">
        <v>4</v>
      </c>
      <c r="Q958" s="539">
        <v>2</v>
      </c>
      <c r="R958" s="38">
        <v>0.85</v>
      </c>
      <c r="S958" s="280">
        <f t="shared" si="425"/>
        <v>1.7</v>
      </c>
      <c r="T958" s="31">
        <f>VLOOKUP(A958,'Ansvar kurs'!$A$1:$C$1123,2,FALSE)</f>
        <v>1620</v>
      </c>
      <c r="U958" s="31" t="str">
        <f>VLOOKUP(T958,Orgenheter!$A$1:$C$166,2,FALSE)</f>
        <v>Inst för språkstudier</v>
      </c>
      <c r="V958" s="31" t="str">
        <f>VLOOKUP(T958,Orgenheter!$A$1:$C$166,3,FALSE)</f>
        <v>Hum</v>
      </c>
      <c r="W958" s="35" t="str">
        <f>VLOOKUP(D958,Program!$A$1:$B$36,2,FALSE)</f>
        <v>Ämneslärarprogrammet - Gy</v>
      </c>
      <c r="X958" s="40">
        <f>VLOOKUP(A958,kurspris!$A$1:$Q$913,15,FALSE)</f>
        <v>20766</v>
      </c>
      <c r="Y958" s="40">
        <f>VLOOKUP(A958,kurspris!$A$1:$Q$913,16,FALSE)</f>
        <v>17442</v>
      </c>
      <c r="Z958" s="40">
        <f t="shared" si="426"/>
        <v>71183.399999999994</v>
      </c>
      <c r="AA958" s="40">
        <f>VLOOKUP(A958,kurspris!$A$1:$Q$913,17,FALSE)</f>
        <v>6000</v>
      </c>
      <c r="AB958" s="40">
        <f t="shared" si="427"/>
        <v>12000</v>
      </c>
      <c r="AC958" s="40">
        <f t="shared" si="428"/>
        <v>83183.399999999994</v>
      </c>
      <c r="AD958" s="31">
        <f>VLOOKUP($A958,kurspris!$A$1:$Q$950,3,FALSE)</f>
        <v>0</v>
      </c>
      <c r="AE958" s="31">
        <f>VLOOKUP($A958,kurspris!$A$1:$Q$950,4,FALSE)</f>
        <v>1</v>
      </c>
      <c r="AF958" s="31">
        <f>VLOOKUP($A958,kurspris!$A$1:$Q$950,5,FALSE)</f>
        <v>0</v>
      </c>
      <c r="AG958" s="31">
        <f>VLOOKUP($A958,kurspris!$A$1:$Q$950,6,FALSE)</f>
        <v>0</v>
      </c>
      <c r="AH958" s="31">
        <f>VLOOKUP($A958,kurspris!$A$1:$Q$950,7,FALSE)</f>
        <v>0</v>
      </c>
      <c r="AI958" s="31">
        <f>VLOOKUP($A958,kurspris!$A$1:$Q$950,8,FALSE)</f>
        <v>0</v>
      </c>
      <c r="AJ958" s="31">
        <f>VLOOKUP($A958,kurspris!$A$1:$Q$950,9,FALSE)</f>
        <v>0</v>
      </c>
      <c r="AK958" s="31">
        <f>VLOOKUP($A958,kurspris!$A$1:$Q$950,10,FALSE)</f>
        <v>0</v>
      </c>
      <c r="AL958" s="31">
        <f>VLOOKUP($A958,kurspris!$A$1:$Q$950,11,FALSE)</f>
        <v>0</v>
      </c>
      <c r="AM958" s="31">
        <f>VLOOKUP($A958,kurspris!$A$1:$Q$950,12,FALSE)</f>
        <v>0</v>
      </c>
      <c r="AN958" s="31">
        <f>VLOOKUP($A958,kurspris!$A$1:$Q$950,13,FALSE)</f>
        <v>0</v>
      </c>
      <c r="AO958" s="31">
        <f>VLOOKUP($A958,kurspris!$A$1:$Q$950,14,FALSE)</f>
        <v>0</v>
      </c>
      <c r="AP958" s="57" t="s">
        <v>2402</v>
      </c>
      <c r="AQ958"/>
      <c r="AR958" s="31">
        <f t="shared" si="429"/>
        <v>0</v>
      </c>
      <c r="AS958" s="219">
        <f t="shared" si="430"/>
        <v>0</v>
      </c>
      <c r="AT958" s="31">
        <f t="shared" si="431"/>
        <v>2</v>
      </c>
      <c r="AU958" s="219">
        <f t="shared" si="432"/>
        <v>1.7</v>
      </c>
      <c r="AV958" s="31">
        <f t="shared" si="433"/>
        <v>0</v>
      </c>
      <c r="AW958" s="31">
        <f t="shared" si="434"/>
        <v>0</v>
      </c>
      <c r="AX958" s="31">
        <f t="shared" si="435"/>
        <v>0</v>
      </c>
      <c r="AY958" s="219">
        <f t="shared" si="436"/>
        <v>0</v>
      </c>
      <c r="AZ958" s="196">
        <f t="shared" si="437"/>
        <v>0</v>
      </c>
      <c r="BA958" s="219">
        <f t="shared" si="438"/>
        <v>0</v>
      </c>
      <c r="BB958" s="31">
        <f t="shared" si="439"/>
        <v>0</v>
      </c>
      <c r="BC958" s="219">
        <f t="shared" si="440"/>
        <v>0</v>
      </c>
      <c r="BD958" s="31">
        <f t="shared" si="441"/>
        <v>0</v>
      </c>
      <c r="BE958" s="219">
        <f t="shared" si="442"/>
        <v>0</v>
      </c>
      <c r="BF958" s="31">
        <f t="shared" si="443"/>
        <v>0</v>
      </c>
      <c r="BG958" s="219">
        <f t="shared" si="444"/>
        <v>0</v>
      </c>
      <c r="BH958" s="31">
        <f t="shared" si="445"/>
        <v>0</v>
      </c>
      <c r="BI958" s="219">
        <f t="shared" si="446"/>
        <v>0</v>
      </c>
      <c r="BJ958" s="31">
        <f t="shared" si="447"/>
        <v>0</v>
      </c>
      <c r="BK958" s="219">
        <f t="shared" si="448"/>
        <v>0</v>
      </c>
      <c r="BL958" s="31">
        <f t="shared" si="449"/>
        <v>0</v>
      </c>
      <c r="BM958" s="219">
        <f t="shared" si="450"/>
        <v>0</v>
      </c>
      <c r="BN958" s="31">
        <f t="shared" si="451"/>
        <v>0</v>
      </c>
      <c r="BO958" s="219">
        <f t="shared" si="452"/>
        <v>0</v>
      </c>
    </row>
    <row r="959" spans="1:67" x14ac:dyDescent="0.25">
      <c r="A959" s="31" t="s">
        <v>2131</v>
      </c>
      <c r="B959" s="176" t="str">
        <f>VLOOKUP(A959,kurspris!$A$1:$B$992,2,FALSE)</f>
        <v>Svenska för ämneslärare, kurs 1</v>
      </c>
      <c r="C959" s="31">
        <v>71800</v>
      </c>
      <c r="D959" s="60" t="s">
        <v>482</v>
      </c>
      <c r="E959" s="60"/>
      <c r="F959" s="57" t="s">
        <v>2274</v>
      </c>
      <c r="H959" s="31" t="s">
        <v>2335</v>
      </c>
      <c r="I959" s="31" t="s">
        <v>2399</v>
      </c>
      <c r="J959" s="31" t="s">
        <v>2242</v>
      </c>
      <c r="L959" s="38"/>
      <c r="M959">
        <v>30</v>
      </c>
      <c r="P959" s="31">
        <v>2</v>
      </c>
      <c r="Q959" s="539">
        <v>1</v>
      </c>
      <c r="R959" s="38">
        <v>0.85</v>
      </c>
      <c r="S959" s="280">
        <f t="shared" si="425"/>
        <v>0.85</v>
      </c>
      <c r="T959" s="31">
        <f>VLOOKUP(A959,'Ansvar kurs'!$A$1:$C$1123,2,FALSE)</f>
        <v>1620</v>
      </c>
      <c r="U959" s="31" t="str">
        <f>VLOOKUP(T959,Orgenheter!$A$1:$C$166,2,FALSE)</f>
        <v>Inst för språkstudier</v>
      </c>
      <c r="V959" s="31" t="str">
        <f>VLOOKUP(T959,Orgenheter!$A$1:$C$166,3,FALSE)</f>
        <v>Hum</v>
      </c>
      <c r="W959" s="35" t="str">
        <f>VLOOKUP(D959,Program!$A$1:$B$36,2,FALSE)</f>
        <v>Ämneslärarprogrammet - Gy</v>
      </c>
      <c r="X959" s="40">
        <f>VLOOKUP(A959,kurspris!$A$1:$Q$913,15,FALSE)</f>
        <v>20766</v>
      </c>
      <c r="Y959" s="40">
        <f>VLOOKUP(A959,kurspris!$A$1:$Q$913,16,FALSE)</f>
        <v>17442</v>
      </c>
      <c r="Z959" s="40">
        <f t="shared" si="426"/>
        <v>35591.699999999997</v>
      </c>
      <c r="AA959" s="40">
        <f>VLOOKUP(A959,kurspris!$A$1:$Q$913,17,FALSE)</f>
        <v>6000</v>
      </c>
      <c r="AB959" s="40">
        <f t="shared" si="427"/>
        <v>6000</v>
      </c>
      <c r="AC959" s="40">
        <f t="shared" si="428"/>
        <v>41591.699999999997</v>
      </c>
      <c r="AD959" s="31">
        <f>VLOOKUP($A959,kurspris!$A$1:$Q$950,3,FALSE)</f>
        <v>0</v>
      </c>
      <c r="AE959" s="31">
        <f>VLOOKUP($A959,kurspris!$A$1:$Q$950,4,FALSE)</f>
        <v>1</v>
      </c>
      <c r="AF959" s="31">
        <f>VLOOKUP($A959,kurspris!$A$1:$Q$950,5,FALSE)</f>
        <v>0</v>
      </c>
      <c r="AG959" s="31">
        <f>VLOOKUP($A959,kurspris!$A$1:$Q$950,6,FALSE)</f>
        <v>0</v>
      </c>
      <c r="AH959" s="31">
        <f>VLOOKUP($A959,kurspris!$A$1:$Q$950,7,FALSE)</f>
        <v>0</v>
      </c>
      <c r="AI959" s="31">
        <f>VLOOKUP($A959,kurspris!$A$1:$Q$950,8,FALSE)</f>
        <v>0</v>
      </c>
      <c r="AJ959" s="31">
        <f>VLOOKUP($A959,kurspris!$A$1:$Q$950,9,FALSE)</f>
        <v>0</v>
      </c>
      <c r="AK959" s="31">
        <f>VLOOKUP($A959,kurspris!$A$1:$Q$950,10,FALSE)</f>
        <v>0</v>
      </c>
      <c r="AL959" s="31">
        <f>VLOOKUP($A959,kurspris!$A$1:$Q$950,11,FALSE)</f>
        <v>0</v>
      </c>
      <c r="AM959" s="31">
        <f>VLOOKUP($A959,kurspris!$A$1:$Q$950,12,FALSE)</f>
        <v>0</v>
      </c>
      <c r="AN959" s="31">
        <f>VLOOKUP($A959,kurspris!$A$1:$Q$950,13,FALSE)</f>
        <v>0</v>
      </c>
      <c r="AO959" s="31">
        <f>VLOOKUP($A959,kurspris!$A$1:$Q$950,14,FALSE)</f>
        <v>0</v>
      </c>
      <c r="AP959" s="57" t="s">
        <v>2402</v>
      </c>
      <c r="AQ959"/>
      <c r="AR959" s="31">
        <f t="shared" si="429"/>
        <v>0</v>
      </c>
      <c r="AS959" s="219">
        <f t="shared" si="430"/>
        <v>0</v>
      </c>
      <c r="AT959" s="31">
        <f t="shared" si="431"/>
        <v>1</v>
      </c>
      <c r="AU959" s="219">
        <f t="shared" si="432"/>
        <v>0.85</v>
      </c>
      <c r="AV959" s="31">
        <f t="shared" si="433"/>
        <v>0</v>
      </c>
      <c r="AW959" s="31">
        <f t="shared" si="434"/>
        <v>0</v>
      </c>
      <c r="AX959" s="31">
        <f t="shared" si="435"/>
        <v>0</v>
      </c>
      <c r="AY959" s="219">
        <f t="shared" si="436"/>
        <v>0</v>
      </c>
      <c r="AZ959" s="196">
        <f t="shared" si="437"/>
        <v>0</v>
      </c>
      <c r="BA959" s="219">
        <f t="shared" si="438"/>
        <v>0</v>
      </c>
      <c r="BB959" s="31">
        <f t="shared" si="439"/>
        <v>0</v>
      </c>
      <c r="BC959" s="219">
        <f t="shared" si="440"/>
        <v>0</v>
      </c>
      <c r="BD959" s="31">
        <f t="shared" si="441"/>
        <v>0</v>
      </c>
      <c r="BE959" s="219">
        <f t="shared" si="442"/>
        <v>0</v>
      </c>
      <c r="BF959" s="31">
        <f t="shared" si="443"/>
        <v>0</v>
      </c>
      <c r="BG959" s="219">
        <f t="shared" si="444"/>
        <v>0</v>
      </c>
      <c r="BH959" s="31">
        <f t="shared" si="445"/>
        <v>0</v>
      </c>
      <c r="BI959" s="219">
        <f t="shared" si="446"/>
        <v>0</v>
      </c>
      <c r="BJ959" s="31">
        <f t="shared" si="447"/>
        <v>0</v>
      </c>
      <c r="BK959" s="219">
        <f t="shared" si="448"/>
        <v>0</v>
      </c>
      <c r="BL959" s="31">
        <f t="shared" si="449"/>
        <v>0</v>
      </c>
      <c r="BM959" s="219">
        <f t="shared" si="450"/>
        <v>0</v>
      </c>
      <c r="BN959" s="31">
        <f t="shared" si="451"/>
        <v>0</v>
      </c>
      <c r="BO959" s="219">
        <f t="shared" si="452"/>
        <v>0</v>
      </c>
    </row>
    <row r="960" spans="1:67" x14ac:dyDescent="0.25">
      <c r="A960" s="31" t="s">
        <v>2131</v>
      </c>
      <c r="B960" s="176" t="str">
        <f>VLOOKUP(A960,kurspris!$A$1:$B$992,2,FALSE)</f>
        <v>Svenska för ämneslärare, kurs 1</v>
      </c>
      <c r="C960" s="31">
        <v>71800</v>
      </c>
      <c r="D960" s="60" t="s">
        <v>482</v>
      </c>
      <c r="E960" s="60"/>
      <c r="F960" s="57" t="s">
        <v>2274</v>
      </c>
      <c r="H960" s="31" t="s">
        <v>2335</v>
      </c>
      <c r="I960" s="31" t="s">
        <v>2399</v>
      </c>
      <c r="J960" s="31" t="s">
        <v>2240</v>
      </c>
      <c r="L960" s="38"/>
      <c r="M960">
        <v>30</v>
      </c>
      <c r="P960" s="31">
        <v>25</v>
      </c>
      <c r="Q960" s="539">
        <v>12.5</v>
      </c>
      <c r="R960" s="38">
        <v>0.85</v>
      </c>
      <c r="S960" s="280">
        <f t="shared" si="425"/>
        <v>10.625</v>
      </c>
      <c r="T960" s="31">
        <f>VLOOKUP(A960,'Ansvar kurs'!$A$1:$C$1123,2,FALSE)</f>
        <v>1620</v>
      </c>
      <c r="U960" s="31" t="str">
        <f>VLOOKUP(T960,Orgenheter!$A$1:$C$166,2,FALSE)</f>
        <v>Inst för språkstudier</v>
      </c>
      <c r="V960" s="31" t="str">
        <f>VLOOKUP(T960,Orgenheter!$A$1:$C$166,3,FALSE)</f>
        <v>Hum</v>
      </c>
      <c r="W960" s="35" t="str">
        <f>VLOOKUP(D960,Program!$A$1:$B$36,2,FALSE)</f>
        <v>Ämneslärarprogrammet - Gy</v>
      </c>
      <c r="X960" s="40">
        <f>VLOOKUP(A960,kurspris!$A$1:$Q$913,15,FALSE)</f>
        <v>20766</v>
      </c>
      <c r="Y960" s="40">
        <f>VLOOKUP(A960,kurspris!$A$1:$Q$913,16,FALSE)</f>
        <v>17442</v>
      </c>
      <c r="Z960" s="40">
        <f t="shared" si="426"/>
        <v>444896.25</v>
      </c>
      <c r="AA960" s="40">
        <f>VLOOKUP(A960,kurspris!$A$1:$Q$913,17,FALSE)</f>
        <v>6000</v>
      </c>
      <c r="AB960" s="40">
        <f t="shared" si="427"/>
        <v>75000</v>
      </c>
      <c r="AC960" s="40">
        <f t="shared" si="428"/>
        <v>519896.25</v>
      </c>
      <c r="AD960" s="31">
        <f>VLOOKUP($A960,kurspris!$A$1:$Q$950,3,FALSE)</f>
        <v>0</v>
      </c>
      <c r="AE960" s="31">
        <f>VLOOKUP($A960,kurspris!$A$1:$Q$950,4,FALSE)</f>
        <v>1</v>
      </c>
      <c r="AF960" s="31">
        <f>VLOOKUP($A960,kurspris!$A$1:$Q$950,5,FALSE)</f>
        <v>0</v>
      </c>
      <c r="AG960" s="31">
        <f>VLOOKUP($A960,kurspris!$A$1:$Q$950,6,FALSE)</f>
        <v>0</v>
      </c>
      <c r="AH960" s="31">
        <f>VLOOKUP($A960,kurspris!$A$1:$Q$950,7,FALSE)</f>
        <v>0</v>
      </c>
      <c r="AI960" s="31">
        <f>VLOOKUP($A960,kurspris!$A$1:$Q$950,8,FALSE)</f>
        <v>0</v>
      </c>
      <c r="AJ960" s="31">
        <f>VLOOKUP($A960,kurspris!$A$1:$Q$950,9,FALSE)</f>
        <v>0</v>
      </c>
      <c r="AK960" s="31">
        <f>VLOOKUP($A960,kurspris!$A$1:$Q$950,10,FALSE)</f>
        <v>0</v>
      </c>
      <c r="AL960" s="31">
        <f>VLOOKUP($A960,kurspris!$A$1:$Q$950,11,FALSE)</f>
        <v>0</v>
      </c>
      <c r="AM960" s="31">
        <f>VLOOKUP($A960,kurspris!$A$1:$Q$950,12,FALSE)</f>
        <v>0</v>
      </c>
      <c r="AN960" s="31">
        <f>VLOOKUP($A960,kurspris!$A$1:$Q$950,13,FALSE)</f>
        <v>0</v>
      </c>
      <c r="AO960" s="31">
        <f>VLOOKUP($A960,kurspris!$A$1:$Q$950,14,FALSE)</f>
        <v>0</v>
      </c>
      <c r="AP960" s="57" t="s">
        <v>2402</v>
      </c>
      <c r="AQ960"/>
      <c r="AR960" s="31">
        <f t="shared" si="429"/>
        <v>0</v>
      </c>
      <c r="AS960" s="219">
        <f t="shared" si="430"/>
        <v>0</v>
      </c>
      <c r="AT960" s="31">
        <f t="shared" si="431"/>
        <v>12.5</v>
      </c>
      <c r="AU960" s="219">
        <f t="shared" si="432"/>
        <v>10.625</v>
      </c>
      <c r="AV960" s="31">
        <f t="shared" si="433"/>
        <v>0</v>
      </c>
      <c r="AW960" s="31">
        <f t="shared" si="434"/>
        <v>0</v>
      </c>
      <c r="AX960" s="31">
        <f t="shared" si="435"/>
        <v>0</v>
      </c>
      <c r="AY960" s="219">
        <f t="shared" si="436"/>
        <v>0</v>
      </c>
      <c r="AZ960" s="196">
        <f t="shared" si="437"/>
        <v>0</v>
      </c>
      <c r="BA960" s="219">
        <f t="shared" si="438"/>
        <v>0</v>
      </c>
      <c r="BB960" s="31">
        <f t="shared" si="439"/>
        <v>0</v>
      </c>
      <c r="BC960" s="219">
        <f t="shared" si="440"/>
        <v>0</v>
      </c>
      <c r="BD960" s="31">
        <f t="shared" si="441"/>
        <v>0</v>
      </c>
      <c r="BE960" s="219">
        <f t="shared" si="442"/>
        <v>0</v>
      </c>
      <c r="BF960" s="31">
        <f t="shared" si="443"/>
        <v>0</v>
      </c>
      <c r="BG960" s="219">
        <f t="shared" si="444"/>
        <v>0</v>
      </c>
      <c r="BH960" s="31">
        <f t="shared" si="445"/>
        <v>0</v>
      </c>
      <c r="BI960" s="219">
        <f t="shared" si="446"/>
        <v>0</v>
      </c>
      <c r="BJ960" s="31">
        <f t="shared" si="447"/>
        <v>0</v>
      </c>
      <c r="BK960" s="219">
        <f t="shared" si="448"/>
        <v>0</v>
      </c>
      <c r="BL960" s="31">
        <f t="shared" si="449"/>
        <v>0</v>
      </c>
      <c r="BM960" s="219">
        <f t="shared" si="450"/>
        <v>0</v>
      </c>
      <c r="BN960" s="31">
        <f t="shared" si="451"/>
        <v>0</v>
      </c>
      <c r="BO960" s="219">
        <f t="shared" si="452"/>
        <v>0</v>
      </c>
    </row>
    <row r="961" spans="1:67" x14ac:dyDescent="0.25">
      <c r="A961" s="31" t="s">
        <v>2175</v>
      </c>
      <c r="B961" s="176" t="str">
        <f>VLOOKUP(A961,kurspris!$A$1:$B$992,2,FALSE)</f>
        <v>Svenska för ämneslärare, kurs 2</v>
      </c>
      <c r="D961" s="60" t="s">
        <v>482</v>
      </c>
      <c r="E961" s="576" t="s">
        <v>2226</v>
      </c>
      <c r="F961" s="31" t="s">
        <v>2273</v>
      </c>
      <c r="G961" t="s">
        <v>2458</v>
      </c>
      <c r="H961" t="s">
        <v>2335</v>
      </c>
      <c r="J961" s="31" t="s">
        <v>2241</v>
      </c>
      <c r="L961" s="38">
        <v>1</v>
      </c>
      <c r="M961">
        <v>30</v>
      </c>
      <c r="P961" s="31">
        <v>2</v>
      </c>
      <c r="Q961" s="196">
        <f t="shared" ref="Q961:Q968" si="456">(M961/60)*P961</f>
        <v>1</v>
      </c>
      <c r="R961" s="38">
        <v>0.85</v>
      </c>
      <c r="S961" s="280">
        <f t="shared" si="425"/>
        <v>0.85</v>
      </c>
      <c r="T961" s="31">
        <f>VLOOKUP(A961,'Ansvar kurs'!$A$1:$C$1123,2,FALSE)</f>
        <v>1620</v>
      </c>
      <c r="U961" s="31" t="str">
        <f>VLOOKUP(T961,Orgenheter!$A$1:$C$166,2,FALSE)</f>
        <v>Inst för språkstudier</v>
      </c>
      <c r="V961" s="31" t="str">
        <f>VLOOKUP(T961,Orgenheter!$A$1:$C$166,3,FALSE)</f>
        <v>Hum</v>
      </c>
      <c r="W961" s="35" t="str">
        <f>VLOOKUP(D961,Program!$A$1:$B$36,2,FALSE)</f>
        <v>Ämneslärarprogrammet - Gy</v>
      </c>
      <c r="X961" s="40">
        <f>VLOOKUP(A961,kurspris!$A$1:$Q$913,15,FALSE)</f>
        <v>20766</v>
      </c>
      <c r="Y961" s="40">
        <f>VLOOKUP(A961,kurspris!$A$1:$Q$913,16,FALSE)</f>
        <v>17442</v>
      </c>
      <c r="Z961" s="40">
        <f t="shared" si="426"/>
        <v>35591.699999999997</v>
      </c>
      <c r="AA961" s="40">
        <f>VLOOKUP(A961,kurspris!$A$1:$Q$913,17,FALSE)</f>
        <v>6000</v>
      </c>
      <c r="AB961" s="40">
        <f t="shared" si="427"/>
        <v>6000</v>
      </c>
      <c r="AC961" s="40">
        <f t="shared" si="428"/>
        <v>41591.699999999997</v>
      </c>
      <c r="AD961" s="31">
        <f>VLOOKUP($A961,kurspris!$A$1:$Q$950,3,FALSE)</f>
        <v>0</v>
      </c>
      <c r="AE961" s="31">
        <f>VLOOKUP($A961,kurspris!$A$1:$Q$950,4,FALSE)</f>
        <v>1</v>
      </c>
      <c r="AF961" s="31">
        <f>VLOOKUP($A961,kurspris!$A$1:$Q$950,5,FALSE)</f>
        <v>0</v>
      </c>
      <c r="AG961" s="31">
        <f>VLOOKUP($A961,kurspris!$A$1:$Q$950,6,FALSE)</f>
        <v>0</v>
      </c>
      <c r="AH961" s="31">
        <f>VLOOKUP($A961,kurspris!$A$1:$Q$950,7,FALSE)</f>
        <v>0</v>
      </c>
      <c r="AI961" s="31">
        <f>VLOOKUP($A961,kurspris!$A$1:$Q$950,8,FALSE)</f>
        <v>0</v>
      </c>
      <c r="AJ961" s="31">
        <f>VLOOKUP($A961,kurspris!$A$1:$Q$950,9,FALSE)</f>
        <v>0</v>
      </c>
      <c r="AK961" s="31">
        <f>VLOOKUP($A961,kurspris!$A$1:$Q$950,10,FALSE)</f>
        <v>0</v>
      </c>
      <c r="AL961" s="31">
        <f>VLOOKUP($A961,kurspris!$A$1:$Q$950,11,FALSE)</f>
        <v>0</v>
      </c>
      <c r="AM961" s="31">
        <f>VLOOKUP($A961,kurspris!$A$1:$Q$950,12,FALSE)</f>
        <v>0</v>
      </c>
      <c r="AN961" s="31">
        <f>VLOOKUP($A961,kurspris!$A$1:$Q$950,13,FALSE)</f>
        <v>0</v>
      </c>
      <c r="AO961" s="31">
        <f>VLOOKUP($A961,kurspris!$A$1:$Q$950,14,FALSE)</f>
        <v>0</v>
      </c>
      <c r="AP961" s="57" t="s">
        <v>2506</v>
      </c>
      <c r="AQ961"/>
      <c r="AR961" s="31">
        <f t="shared" si="429"/>
        <v>0</v>
      </c>
      <c r="AS961" s="219">
        <f t="shared" si="430"/>
        <v>0</v>
      </c>
      <c r="AT961" s="31">
        <f t="shared" si="431"/>
        <v>1</v>
      </c>
      <c r="AU961" s="219">
        <f t="shared" si="432"/>
        <v>0.85</v>
      </c>
      <c r="AV961" s="31">
        <f t="shared" si="433"/>
        <v>0</v>
      </c>
      <c r="AW961" s="31">
        <f t="shared" si="434"/>
        <v>0</v>
      </c>
      <c r="AX961" s="31">
        <f t="shared" si="435"/>
        <v>0</v>
      </c>
      <c r="AY961" s="219">
        <f t="shared" si="436"/>
        <v>0</v>
      </c>
      <c r="AZ961" s="196">
        <f t="shared" si="437"/>
        <v>0</v>
      </c>
      <c r="BA961" s="219">
        <f t="shared" si="438"/>
        <v>0</v>
      </c>
      <c r="BB961" s="31">
        <f t="shared" si="439"/>
        <v>0</v>
      </c>
      <c r="BC961" s="219">
        <f t="shared" si="440"/>
        <v>0</v>
      </c>
      <c r="BD961" s="31">
        <f t="shared" si="441"/>
        <v>0</v>
      </c>
      <c r="BE961" s="219">
        <f t="shared" si="442"/>
        <v>0</v>
      </c>
      <c r="BF961" s="31">
        <f t="shared" si="443"/>
        <v>0</v>
      </c>
      <c r="BG961" s="219">
        <f t="shared" si="444"/>
        <v>0</v>
      </c>
      <c r="BH961" s="31">
        <f t="shared" si="445"/>
        <v>0</v>
      </c>
      <c r="BI961" s="219">
        <f t="shared" si="446"/>
        <v>0</v>
      </c>
      <c r="BJ961" s="31">
        <f t="shared" si="447"/>
        <v>0</v>
      </c>
      <c r="BK961" s="219">
        <f t="shared" si="448"/>
        <v>0</v>
      </c>
      <c r="BL961" s="31">
        <f t="shared" si="449"/>
        <v>0</v>
      </c>
      <c r="BM961" s="219">
        <f t="shared" si="450"/>
        <v>0</v>
      </c>
      <c r="BN961" s="31">
        <f t="shared" si="451"/>
        <v>0</v>
      </c>
      <c r="BO961" s="219">
        <f t="shared" si="452"/>
        <v>0</v>
      </c>
    </row>
    <row r="962" spans="1:67" x14ac:dyDescent="0.25">
      <c r="A962" s="31" t="s">
        <v>2175</v>
      </c>
      <c r="B962" s="176" t="str">
        <f>VLOOKUP(A962,kurspris!$A$1:$B$992,2,FALSE)</f>
        <v>Svenska för ämneslärare, kurs 2</v>
      </c>
      <c r="D962" s="60" t="s">
        <v>482</v>
      </c>
      <c r="E962" s="576" t="s">
        <v>2226</v>
      </c>
      <c r="F962" s="31" t="s">
        <v>2273</v>
      </c>
      <c r="G962" t="s">
        <v>2458</v>
      </c>
      <c r="H962" t="s">
        <v>2335</v>
      </c>
      <c r="J962" s="31" t="s">
        <v>2240</v>
      </c>
      <c r="L962" s="38">
        <v>1</v>
      </c>
      <c r="M962">
        <v>30</v>
      </c>
      <c r="P962" s="31">
        <v>1</v>
      </c>
      <c r="Q962" s="196">
        <f t="shared" si="456"/>
        <v>0.5</v>
      </c>
      <c r="R962" s="38">
        <v>0.85</v>
      </c>
      <c r="S962" s="280">
        <f t="shared" ref="S962:S1025" si="457">Q962*R962</f>
        <v>0.42499999999999999</v>
      </c>
      <c r="T962" s="31">
        <f>VLOOKUP(A962,'Ansvar kurs'!$A$1:$C$1123,2,FALSE)</f>
        <v>1620</v>
      </c>
      <c r="U962" s="31" t="str">
        <f>VLOOKUP(T962,Orgenheter!$A$1:$C$166,2,FALSE)</f>
        <v>Inst för språkstudier</v>
      </c>
      <c r="V962" s="31" t="str">
        <f>VLOOKUP(T962,Orgenheter!$A$1:$C$166,3,FALSE)</f>
        <v>Hum</v>
      </c>
      <c r="W962" s="35" t="str">
        <f>VLOOKUP(D962,Program!$A$1:$B$36,2,FALSE)</f>
        <v>Ämneslärarprogrammet - Gy</v>
      </c>
      <c r="X962" s="40">
        <f>VLOOKUP(A962,kurspris!$A$1:$Q$913,15,FALSE)</f>
        <v>20766</v>
      </c>
      <c r="Y962" s="40">
        <f>VLOOKUP(A962,kurspris!$A$1:$Q$913,16,FALSE)</f>
        <v>17442</v>
      </c>
      <c r="Z962" s="40">
        <f t="shared" ref="Z962:Z1025" si="458">X962*Q962+S962*Y962</f>
        <v>17795.849999999999</v>
      </c>
      <c r="AA962" s="40">
        <f>VLOOKUP(A962,kurspris!$A$1:$Q$913,17,FALSE)</f>
        <v>6000</v>
      </c>
      <c r="AB962" s="40">
        <f t="shared" ref="AB962:AB1025" si="459">AA962*Q962</f>
        <v>3000</v>
      </c>
      <c r="AC962" s="40">
        <f t="shared" ref="AC962:AC1025" si="460">Z962+AB962</f>
        <v>20795.849999999999</v>
      </c>
      <c r="AD962" s="31">
        <f>VLOOKUP($A962,kurspris!$A$1:$Q$950,3,FALSE)</f>
        <v>0</v>
      </c>
      <c r="AE962" s="31">
        <f>VLOOKUP($A962,kurspris!$A$1:$Q$950,4,FALSE)</f>
        <v>1</v>
      </c>
      <c r="AF962" s="31">
        <f>VLOOKUP($A962,kurspris!$A$1:$Q$950,5,FALSE)</f>
        <v>0</v>
      </c>
      <c r="AG962" s="31">
        <f>VLOOKUP($A962,kurspris!$A$1:$Q$950,6,FALSE)</f>
        <v>0</v>
      </c>
      <c r="AH962" s="31">
        <f>VLOOKUP($A962,kurspris!$A$1:$Q$950,7,FALSE)</f>
        <v>0</v>
      </c>
      <c r="AI962" s="31">
        <f>VLOOKUP($A962,kurspris!$A$1:$Q$950,8,FALSE)</f>
        <v>0</v>
      </c>
      <c r="AJ962" s="31">
        <f>VLOOKUP($A962,kurspris!$A$1:$Q$950,9,FALSE)</f>
        <v>0</v>
      </c>
      <c r="AK962" s="31">
        <f>VLOOKUP($A962,kurspris!$A$1:$Q$950,10,FALSE)</f>
        <v>0</v>
      </c>
      <c r="AL962" s="31">
        <f>VLOOKUP($A962,kurspris!$A$1:$Q$950,11,FALSE)</f>
        <v>0</v>
      </c>
      <c r="AM962" s="31">
        <f>VLOOKUP($A962,kurspris!$A$1:$Q$950,12,FALSE)</f>
        <v>0</v>
      </c>
      <c r="AN962" s="31">
        <f>VLOOKUP($A962,kurspris!$A$1:$Q$950,13,FALSE)</f>
        <v>0</v>
      </c>
      <c r="AO962" s="31">
        <f>VLOOKUP($A962,kurspris!$A$1:$Q$950,14,FALSE)</f>
        <v>0</v>
      </c>
      <c r="AP962" s="57" t="s">
        <v>2506</v>
      </c>
      <c r="AQ962"/>
      <c r="AR962" s="31">
        <f t="shared" ref="AR962:AR1025" si="461">$Q962*AD962</f>
        <v>0</v>
      </c>
      <c r="AS962" s="219">
        <f t="shared" ref="AS962:AS1025" si="462">$S962*AD962</f>
        <v>0</v>
      </c>
      <c r="AT962" s="31">
        <f t="shared" ref="AT962:AT1025" si="463">$Q962*AE962</f>
        <v>0.5</v>
      </c>
      <c r="AU962" s="219">
        <f t="shared" ref="AU962:AU1025" si="464">$S962*AE962</f>
        <v>0.42499999999999999</v>
      </c>
      <c r="AV962" s="31">
        <f t="shared" ref="AV962:AV1025" si="465">$Q962*AF962</f>
        <v>0</v>
      </c>
      <c r="AW962" s="31">
        <f t="shared" ref="AW962:AW1025" si="466">$S962*AF962</f>
        <v>0</v>
      </c>
      <c r="AX962" s="31">
        <f t="shared" ref="AX962:AX1025" si="467">$Q962*AG962</f>
        <v>0</v>
      </c>
      <c r="AY962" s="219">
        <f t="shared" ref="AY962:AY1025" si="468">$S962*AG962</f>
        <v>0</v>
      </c>
      <c r="AZ962" s="196">
        <f t="shared" ref="AZ962:AZ1025" si="469">$Q962*AH962</f>
        <v>0</v>
      </c>
      <c r="BA962" s="219">
        <f t="shared" ref="BA962:BA1025" si="470">$S962*AH962</f>
        <v>0</v>
      </c>
      <c r="BB962" s="31">
        <f t="shared" ref="BB962:BB1025" si="471">$Q962*AI962</f>
        <v>0</v>
      </c>
      <c r="BC962" s="219">
        <f t="shared" ref="BC962:BC1025" si="472">$S962*AI962</f>
        <v>0</v>
      </c>
      <c r="BD962" s="31">
        <f t="shared" ref="BD962:BD1025" si="473">$Q962*AJ962</f>
        <v>0</v>
      </c>
      <c r="BE962" s="219">
        <f t="shared" ref="BE962:BE1025" si="474">$S962*AJ962</f>
        <v>0</v>
      </c>
      <c r="BF962" s="31">
        <f t="shared" ref="BF962:BF1025" si="475">$Q962*AK962</f>
        <v>0</v>
      </c>
      <c r="BG962" s="219">
        <f t="shared" ref="BG962:BG1025" si="476">$S962*AK962</f>
        <v>0</v>
      </c>
      <c r="BH962" s="31">
        <f t="shared" ref="BH962:BH1025" si="477">$Q962*AL962</f>
        <v>0</v>
      </c>
      <c r="BI962" s="219">
        <f t="shared" ref="BI962:BI1025" si="478">$S962*AL962</f>
        <v>0</v>
      </c>
      <c r="BJ962" s="31">
        <f t="shared" ref="BJ962:BJ1025" si="479">$Q962*AM962</f>
        <v>0</v>
      </c>
      <c r="BK962" s="219">
        <f t="shared" ref="BK962:BK1025" si="480">$S962*AM962</f>
        <v>0</v>
      </c>
      <c r="BL962" s="31">
        <f t="shared" ref="BL962:BL1025" si="481">$Q962*AN962</f>
        <v>0</v>
      </c>
      <c r="BM962" s="219">
        <f t="shared" ref="BM962:BM1025" si="482">$S962*AN962</f>
        <v>0</v>
      </c>
      <c r="BN962" s="31">
        <f t="shared" ref="BN962:BN1025" si="483">$Q962*AO962</f>
        <v>0</v>
      </c>
      <c r="BO962" s="219">
        <f t="shared" ref="BO962:BO1025" si="484">$S962*AO962</f>
        <v>0</v>
      </c>
    </row>
    <row r="963" spans="1:67" x14ac:dyDescent="0.25">
      <c r="A963" s="31" t="s">
        <v>2175</v>
      </c>
      <c r="B963" s="176" t="str">
        <f>VLOOKUP(A963,kurspris!$A$1:$B$992,2,FALSE)</f>
        <v>Svenska för ämneslärare, kurs 2</v>
      </c>
      <c r="D963" s="31" t="s">
        <v>482</v>
      </c>
      <c r="E963" s="574" t="s">
        <v>2225</v>
      </c>
      <c r="F963" s="31" t="s">
        <v>2273</v>
      </c>
      <c r="G963" t="s">
        <v>2458</v>
      </c>
      <c r="H963" t="s">
        <v>2335</v>
      </c>
      <c r="J963" s="31" t="s">
        <v>2234</v>
      </c>
      <c r="L963" s="38">
        <v>1</v>
      </c>
      <c r="M963">
        <v>30</v>
      </c>
      <c r="P963" s="31">
        <v>1</v>
      </c>
      <c r="Q963" s="196">
        <f t="shared" si="456"/>
        <v>0.5</v>
      </c>
      <c r="R963" s="38">
        <v>0.85</v>
      </c>
      <c r="S963" s="280">
        <f t="shared" si="457"/>
        <v>0.42499999999999999</v>
      </c>
      <c r="T963" s="31">
        <f>VLOOKUP(A963,'Ansvar kurs'!$A$1:$C$1123,2,FALSE)</f>
        <v>1620</v>
      </c>
      <c r="U963" s="31" t="str">
        <f>VLOOKUP(T963,Orgenheter!$A$1:$C$166,2,FALSE)</f>
        <v>Inst för språkstudier</v>
      </c>
      <c r="V963" s="31" t="str">
        <f>VLOOKUP(T963,Orgenheter!$A$1:$C$166,3,FALSE)</f>
        <v>Hum</v>
      </c>
      <c r="W963" s="35" t="str">
        <f>VLOOKUP(D963,Program!$A$1:$B$36,2,FALSE)</f>
        <v>Ämneslärarprogrammet - Gy</v>
      </c>
      <c r="X963" s="40">
        <f>VLOOKUP(A963,kurspris!$A$1:$Q$913,15,FALSE)</f>
        <v>20766</v>
      </c>
      <c r="Y963" s="40">
        <f>VLOOKUP(A963,kurspris!$A$1:$Q$913,16,FALSE)</f>
        <v>17442</v>
      </c>
      <c r="Z963" s="40">
        <f t="shared" si="458"/>
        <v>17795.849999999999</v>
      </c>
      <c r="AA963" s="40">
        <f>VLOOKUP(A963,kurspris!$A$1:$Q$913,17,FALSE)</f>
        <v>6000</v>
      </c>
      <c r="AB963" s="40">
        <f t="shared" si="459"/>
        <v>3000</v>
      </c>
      <c r="AC963" s="40">
        <f t="shared" si="460"/>
        <v>20795.849999999999</v>
      </c>
      <c r="AD963" s="31">
        <f>VLOOKUP($A963,kurspris!$A$1:$Q$950,3,FALSE)</f>
        <v>0</v>
      </c>
      <c r="AE963" s="31">
        <f>VLOOKUP($A963,kurspris!$A$1:$Q$950,4,FALSE)</f>
        <v>1</v>
      </c>
      <c r="AF963" s="31">
        <f>VLOOKUP($A963,kurspris!$A$1:$Q$950,5,FALSE)</f>
        <v>0</v>
      </c>
      <c r="AG963" s="31">
        <f>VLOOKUP($A963,kurspris!$A$1:$Q$950,6,FALSE)</f>
        <v>0</v>
      </c>
      <c r="AH963" s="31">
        <f>VLOOKUP($A963,kurspris!$A$1:$Q$950,7,FALSE)</f>
        <v>0</v>
      </c>
      <c r="AI963" s="31">
        <f>VLOOKUP($A963,kurspris!$A$1:$Q$950,8,FALSE)</f>
        <v>0</v>
      </c>
      <c r="AJ963" s="31">
        <f>VLOOKUP($A963,kurspris!$A$1:$Q$950,9,FALSE)</f>
        <v>0</v>
      </c>
      <c r="AK963" s="31">
        <f>VLOOKUP($A963,kurspris!$A$1:$Q$950,10,FALSE)</f>
        <v>0</v>
      </c>
      <c r="AL963" s="31">
        <f>VLOOKUP($A963,kurspris!$A$1:$Q$950,11,FALSE)</f>
        <v>0</v>
      </c>
      <c r="AM963" s="31">
        <f>VLOOKUP($A963,kurspris!$A$1:$Q$950,12,FALSE)</f>
        <v>0</v>
      </c>
      <c r="AN963" s="31">
        <f>VLOOKUP($A963,kurspris!$A$1:$Q$950,13,FALSE)</f>
        <v>0</v>
      </c>
      <c r="AO963" s="31">
        <f>VLOOKUP($A963,kurspris!$A$1:$Q$950,14,FALSE)</f>
        <v>0</v>
      </c>
      <c r="AP963" s="57" t="s">
        <v>2506</v>
      </c>
      <c r="AQ963" s="37"/>
      <c r="AR963" s="31">
        <f t="shared" si="461"/>
        <v>0</v>
      </c>
      <c r="AS963" s="219">
        <f t="shared" si="462"/>
        <v>0</v>
      </c>
      <c r="AT963" s="31">
        <f t="shared" si="463"/>
        <v>0.5</v>
      </c>
      <c r="AU963" s="219">
        <f t="shared" si="464"/>
        <v>0.42499999999999999</v>
      </c>
      <c r="AV963" s="31">
        <f t="shared" si="465"/>
        <v>0</v>
      </c>
      <c r="AW963" s="31">
        <f t="shared" si="466"/>
        <v>0</v>
      </c>
      <c r="AX963" s="31">
        <f t="shared" si="467"/>
        <v>0</v>
      </c>
      <c r="AY963" s="219">
        <f t="shared" si="468"/>
        <v>0</v>
      </c>
      <c r="AZ963" s="196">
        <f t="shared" si="469"/>
        <v>0</v>
      </c>
      <c r="BA963" s="219">
        <f t="shared" si="470"/>
        <v>0</v>
      </c>
      <c r="BB963" s="31">
        <f t="shared" si="471"/>
        <v>0</v>
      </c>
      <c r="BC963" s="219">
        <f t="shared" si="472"/>
        <v>0</v>
      </c>
      <c r="BD963" s="31">
        <f t="shared" si="473"/>
        <v>0</v>
      </c>
      <c r="BE963" s="219">
        <f t="shared" si="474"/>
        <v>0</v>
      </c>
      <c r="BF963" s="31">
        <f t="shared" si="475"/>
        <v>0</v>
      </c>
      <c r="BG963" s="219">
        <f t="shared" si="476"/>
        <v>0</v>
      </c>
      <c r="BH963" s="31">
        <f t="shared" si="477"/>
        <v>0</v>
      </c>
      <c r="BI963" s="219">
        <f t="shared" si="478"/>
        <v>0</v>
      </c>
      <c r="BJ963" s="31">
        <f t="shared" si="479"/>
        <v>0</v>
      </c>
      <c r="BK963" s="219">
        <f t="shared" si="480"/>
        <v>0</v>
      </c>
      <c r="BL963" s="31">
        <f t="shared" si="481"/>
        <v>0</v>
      </c>
      <c r="BM963" s="219">
        <f t="shared" si="482"/>
        <v>0</v>
      </c>
      <c r="BN963" s="31">
        <f t="shared" si="483"/>
        <v>0</v>
      </c>
      <c r="BO963" s="219">
        <f t="shared" si="484"/>
        <v>0</v>
      </c>
    </row>
    <row r="964" spans="1:67" x14ac:dyDescent="0.25">
      <c r="A964" s="31" t="s">
        <v>2175</v>
      </c>
      <c r="B964" s="176" t="str">
        <f>VLOOKUP(A964,kurspris!$A$1:$B$992,2,FALSE)</f>
        <v>Svenska för ämneslärare, kurs 2</v>
      </c>
      <c r="D964" s="31" t="s">
        <v>482</v>
      </c>
      <c r="E964" s="574" t="s">
        <v>2225</v>
      </c>
      <c r="F964" s="31" t="s">
        <v>2273</v>
      </c>
      <c r="G964" t="s">
        <v>2458</v>
      </c>
      <c r="H964" t="s">
        <v>2335</v>
      </c>
      <c r="J964" s="31" t="s">
        <v>2231</v>
      </c>
      <c r="L964" s="38">
        <v>1</v>
      </c>
      <c r="M964">
        <v>30</v>
      </c>
      <c r="P964" s="31">
        <v>6</v>
      </c>
      <c r="Q964" s="196">
        <f t="shared" si="456"/>
        <v>3</v>
      </c>
      <c r="R964" s="38">
        <v>0.85</v>
      </c>
      <c r="S964" s="280">
        <f t="shared" si="457"/>
        <v>2.5499999999999998</v>
      </c>
      <c r="T964" s="31">
        <f>VLOOKUP(A964,'Ansvar kurs'!$A$1:$C$1123,2,FALSE)</f>
        <v>1620</v>
      </c>
      <c r="U964" s="31" t="str">
        <f>VLOOKUP(T964,Orgenheter!$A$1:$C$166,2,FALSE)</f>
        <v>Inst för språkstudier</v>
      </c>
      <c r="V964" s="31" t="str">
        <f>VLOOKUP(T964,Orgenheter!$A$1:$C$166,3,FALSE)</f>
        <v>Hum</v>
      </c>
      <c r="W964" s="35" t="str">
        <f>VLOOKUP(D964,Program!$A$1:$B$36,2,FALSE)</f>
        <v>Ämneslärarprogrammet - Gy</v>
      </c>
      <c r="X964" s="40">
        <f>VLOOKUP(A964,kurspris!$A$1:$Q$913,15,FALSE)</f>
        <v>20766</v>
      </c>
      <c r="Y964" s="40">
        <f>VLOOKUP(A964,kurspris!$A$1:$Q$913,16,FALSE)</f>
        <v>17442</v>
      </c>
      <c r="Z964" s="40">
        <f t="shared" si="458"/>
        <v>106775.1</v>
      </c>
      <c r="AA964" s="40">
        <f>VLOOKUP(A964,kurspris!$A$1:$Q$913,17,FALSE)</f>
        <v>6000</v>
      </c>
      <c r="AB964" s="40">
        <f t="shared" si="459"/>
        <v>18000</v>
      </c>
      <c r="AC964" s="40">
        <f t="shared" si="460"/>
        <v>124775.1</v>
      </c>
      <c r="AD964" s="31">
        <f>VLOOKUP($A964,kurspris!$A$1:$Q$950,3,FALSE)</f>
        <v>0</v>
      </c>
      <c r="AE964" s="31">
        <f>VLOOKUP($A964,kurspris!$A$1:$Q$950,4,FALSE)</f>
        <v>1</v>
      </c>
      <c r="AF964" s="31">
        <f>VLOOKUP($A964,kurspris!$A$1:$Q$950,5,FALSE)</f>
        <v>0</v>
      </c>
      <c r="AG964" s="31">
        <f>VLOOKUP($A964,kurspris!$A$1:$Q$950,6,FALSE)</f>
        <v>0</v>
      </c>
      <c r="AH964" s="31">
        <f>VLOOKUP($A964,kurspris!$A$1:$Q$950,7,FALSE)</f>
        <v>0</v>
      </c>
      <c r="AI964" s="31">
        <f>VLOOKUP($A964,kurspris!$A$1:$Q$950,8,FALSE)</f>
        <v>0</v>
      </c>
      <c r="AJ964" s="31">
        <f>VLOOKUP($A964,kurspris!$A$1:$Q$950,9,FALSE)</f>
        <v>0</v>
      </c>
      <c r="AK964" s="31">
        <f>VLOOKUP($A964,kurspris!$A$1:$Q$950,10,FALSE)</f>
        <v>0</v>
      </c>
      <c r="AL964" s="31">
        <f>VLOOKUP($A964,kurspris!$A$1:$Q$950,11,FALSE)</f>
        <v>0</v>
      </c>
      <c r="AM964" s="31">
        <f>VLOOKUP($A964,kurspris!$A$1:$Q$950,12,FALSE)</f>
        <v>0</v>
      </c>
      <c r="AN964" s="31">
        <f>VLOOKUP($A964,kurspris!$A$1:$Q$950,13,FALSE)</f>
        <v>0</v>
      </c>
      <c r="AO964" s="31">
        <f>VLOOKUP($A964,kurspris!$A$1:$Q$950,14,FALSE)</f>
        <v>0</v>
      </c>
      <c r="AP964" s="57" t="s">
        <v>2506</v>
      </c>
      <c r="AQ964" s="37"/>
      <c r="AR964" s="31">
        <f t="shared" si="461"/>
        <v>0</v>
      </c>
      <c r="AS964" s="219">
        <f t="shared" si="462"/>
        <v>0</v>
      </c>
      <c r="AT964" s="31">
        <f t="shared" si="463"/>
        <v>3</v>
      </c>
      <c r="AU964" s="219">
        <f t="shared" si="464"/>
        <v>2.5499999999999998</v>
      </c>
      <c r="AV964" s="31">
        <f t="shared" si="465"/>
        <v>0</v>
      </c>
      <c r="AW964" s="31">
        <f t="shared" si="466"/>
        <v>0</v>
      </c>
      <c r="AX964" s="31">
        <f t="shared" si="467"/>
        <v>0</v>
      </c>
      <c r="AY964" s="219">
        <f t="shared" si="468"/>
        <v>0</v>
      </c>
      <c r="AZ964" s="196">
        <f t="shared" si="469"/>
        <v>0</v>
      </c>
      <c r="BA964" s="219">
        <f t="shared" si="470"/>
        <v>0</v>
      </c>
      <c r="BB964" s="31">
        <f t="shared" si="471"/>
        <v>0</v>
      </c>
      <c r="BC964" s="219">
        <f t="shared" si="472"/>
        <v>0</v>
      </c>
      <c r="BD964" s="31">
        <f t="shared" si="473"/>
        <v>0</v>
      </c>
      <c r="BE964" s="219">
        <f t="shared" si="474"/>
        <v>0</v>
      </c>
      <c r="BF964" s="31">
        <f t="shared" si="475"/>
        <v>0</v>
      </c>
      <c r="BG964" s="219">
        <f t="shared" si="476"/>
        <v>0</v>
      </c>
      <c r="BH964" s="31">
        <f t="shared" si="477"/>
        <v>0</v>
      </c>
      <c r="BI964" s="219">
        <f t="shared" si="478"/>
        <v>0</v>
      </c>
      <c r="BJ964" s="31">
        <f t="shared" si="479"/>
        <v>0</v>
      </c>
      <c r="BK964" s="219">
        <f t="shared" si="480"/>
        <v>0</v>
      </c>
      <c r="BL964" s="31">
        <f t="shared" si="481"/>
        <v>0</v>
      </c>
      <c r="BM964" s="219">
        <f t="shared" si="482"/>
        <v>0</v>
      </c>
      <c r="BN964" s="31">
        <f t="shared" si="483"/>
        <v>0</v>
      </c>
      <c r="BO964" s="219">
        <f t="shared" si="484"/>
        <v>0</v>
      </c>
    </row>
    <row r="965" spans="1:67" x14ac:dyDescent="0.25">
      <c r="A965" s="31" t="s">
        <v>2175</v>
      </c>
      <c r="B965" s="176" t="str">
        <f>VLOOKUP(A965,kurspris!$A$1:$B$992,2,FALSE)</f>
        <v>Svenska för ämneslärare, kurs 2</v>
      </c>
      <c r="D965" s="31" t="s">
        <v>482</v>
      </c>
      <c r="E965" s="574" t="s">
        <v>2225</v>
      </c>
      <c r="F965" s="31" t="s">
        <v>2273</v>
      </c>
      <c r="G965" t="s">
        <v>2458</v>
      </c>
      <c r="H965" t="s">
        <v>2335</v>
      </c>
      <c r="J965" s="31" t="s">
        <v>2241</v>
      </c>
      <c r="L965" s="38">
        <v>1</v>
      </c>
      <c r="M965">
        <v>30</v>
      </c>
      <c r="P965" s="31">
        <v>2</v>
      </c>
      <c r="Q965" s="196">
        <f t="shared" si="456"/>
        <v>1</v>
      </c>
      <c r="R965" s="38">
        <v>0.85</v>
      </c>
      <c r="S965" s="280">
        <f t="shared" si="457"/>
        <v>0.85</v>
      </c>
      <c r="T965" s="31">
        <f>VLOOKUP(A965,'Ansvar kurs'!$A$1:$C$1123,2,FALSE)</f>
        <v>1620</v>
      </c>
      <c r="U965" s="31" t="str">
        <f>VLOOKUP(T965,Orgenheter!$A$1:$C$166,2,FALSE)</f>
        <v>Inst för språkstudier</v>
      </c>
      <c r="V965" s="31" t="str">
        <f>VLOOKUP(T965,Orgenheter!$A$1:$C$166,3,FALSE)</f>
        <v>Hum</v>
      </c>
      <c r="W965" s="35" t="str">
        <f>VLOOKUP(D965,Program!$A$1:$B$36,2,FALSE)</f>
        <v>Ämneslärarprogrammet - Gy</v>
      </c>
      <c r="X965" s="40">
        <f>VLOOKUP(A965,kurspris!$A$1:$Q$913,15,FALSE)</f>
        <v>20766</v>
      </c>
      <c r="Y965" s="40">
        <f>VLOOKUP(A965,kurspris!$A$1:$Q$913,16,FALSE)</f>
        <v>17442</v>
      </c>
      <c r="Z965" s="40">
        <f t="shared" si="458"/>
        <v>35591.699999999997</v>
      </c>
      <c r="AA965" s="40">
        <f>VLOOKUP(A965,kurspris!$A$1:$Q$913,17,FALSE)</f>
        <v>6000</v>
      </c>
      <c r="AB965" s="40">
        <f t="shared" si="459"/>
        <v>6000</v>
      </c>
      <c r="AC965" s="40">
        <f t="shared" si="460"/>
        <v>41591.699999999997</v>
      </c>
      <c r="AD965" s="31">
        <f>VLOOKUP($A965,kurspris!$A$1:$Q$950,3,FALSE)</f>
        <v>0</v>
      </c>
      <c r="AE965" s="31">
        <f>VLOOKUP($A965,kurspris!$A$1:$Q$950,4,FALSE)</f>
        <v>1</v>
      </c>
      <c r="AF965" s="31">
        <f>VLOOKUP($A965,kurspris!$A$1:$Q$950,5,FALSE)</f>
        <v>0</v>
      </c>
      <c r="AG965" s="31">
        <f>VLOOKUP($A965,kurspris!$A$1:$Q$950,6,FALSE)</f>
        <v>0</v>
      </c>
      <c r="AH965" s="31">
        <f>VLOOKUP($A965,kurspris!$A$1:$Q$950,7,FALSE)</f>
        <v>0</v>
      </c>
      <c r="AI965" s="31">
        <f>VLOOKUP($A965,kurspris!$A$1:$Q$950,8,FALSE)</f>
        <v>0</v>
      </c>
      <c r="AJ965" s="31">
        <f>VLOOKUP($A965,kurspris!$A$1:$Q$950,9,FALSE)</f>
        <v>0</v>
      </c>
      <c r="AK965" s="31">
        <f>VLOOKUP($A965,kurspris!$A$1:$Q$950,10,FALSE)</f>
        <v>0</v>
      </c>
      <c r="AL965" s="31">
        <f>VLOOKUP($A965,kurspris!$A$1:$Q$950,11,FALSE)</f>
        <v>0</v>
      </c>
      <c r="AM965" s="31">
        <f>VLOOKUP($A965,kurspris!$A$1:$Q$950,12,FALSE)</f>
        <v>0</v>
      </c>
      <c r="AN965" s="31">
        <f>VLOOKUP($A965,kurspris!$A$1:$Q$950,13,FALSE)</f>
        <v>0</v>
      </c>
      <c r="AO965" s="31">
        <f>VLOOKUP($A965,kurspris!$A$1:$Q$950,14,FALSE)</f>
        <v>0</v>
      </c>
      <c r="AP965" s="57" t="s">
        <v>2506</v>
      </c>
      <c r="AQ965" s="37"/>
      <c r="AR965" s="31">
        <f t="shared" si="461"/>
        <v>0</v>
      </c>
      <c r="AS965" s="219">
        <f t="shared" si="462"/>
        <v>0</v>
      </c>
      <c r="AT965" s="31">
        <f t="shared" si="463"/>
        <v>1</v>
      </c>
      <c r="AU965" s="219">
        <f t="shared" si="464"/>
        <v>0.85</v>
      </c>
      <c r="AV965" s="31">
        <f t="shared" si="465"/>
        <v>0</v>
      </c>
      <c r="AW965" s="31">
        <f t="shared" si="466"/>
        <v>0</v>
      </c>
      <c r="AX965" s="31">
        <f t="shared" si="467"/>
        <v>0</v>
      </c>
      <c r="AY965" s="219">
        <f t="shared" si="468"/>
        <v>0</v>
      </c>
      <c r="AZ965" s="196">
        <f t="shared" si="469"/>
        <v>0</v>
      </c>
      <c r="BA965" s="219">
        <f t="shared" si="470"/>
        <v>0</v>
      </c>
      <c r="BB965" s="31">
        <f t="shared" si="471"/>
        <v>0</v>
      </c>
      <c r="BC965" s="219">
        <f t="shared" si="472"/>
        <v>0</v>
      </c>
      <c r="BD965" s="31">
        <f t="shared" si="473"/>
        <v>0</v>
      </c>
      <c r="BE965" s="219">
        <f t="shared" si="474"/>
        <v>0</v>
      </c>
      <c r="BF965" s="31">
        <f t="shared" si="475"/>
        <v>0</v>
      </c>
      <c r="BG965" s="219">
        <f t="shared" si="476"/>
        <v>0</v>
      </c>
      <c r="BH965" s="31">
        <f t="shared" si="477"/>
        <v>0</v>
      </c>
      <c r="BI965" s="219">
        <f t="shared" si="478"/>
        <v>0</v>
      </c>
      <c r="BJ965" s="31">
        <f t="shared" si="479"/>
        <v>0</v>
      </c>
      <c r="BK965" s="219">
        <f t="shared" si="480"/>
        <v>0</v>
      </c>
      <c r="BL965" s="31">
        <f t="shared" si="481"/>
        <v>0</v>
      </c>
      <c r="BM965" s="219">
        <f t="shared" si="482"/>
        <v>0</v>
      </c>
      <c r="BN965" s="31">
        <f t="shared" si="483"/>
        <v>0</v>
      </c>
      <c r="BO965" s="219">
        <f t="shared" si="484"/>
        <v>0</v>
      </c>
    </row>
    <row r="966" spans="1:67" x14ac:dyDescent="0.25">
      <c r="A966" s="31" t="s">
        <v>2175</v>
      </c>
      <c r="B966" s="176" t="str">
        <f>VLOOKUP(A966,kurspris!$A$1:$B$992,2,FALSE)</f>
        <v>Svenska för ämneslärare, kurs 2</v>
      </c>
      <c r="D966" s="31" t="s">
        <v>482</v>
      </c>
      <c r="E966" s="574" t="s">
        <v>2225</v>
      </c>
      <c r="F966" s="31" t="s">
        <v>2273</v>
      </c>
      <c r="G966" t="s">
        <v>2458</v>
      </c>
      <c r="H966" t="s">
        <v>2335</v>
      </c>
      <c r="J966" s="31" t="s">
        <v>2242</v>
      </c>
      <c r="L966" s="38">
        <v>1</v>
      </c>
      <c r="M966">
        <v>30</v>
      </c>
      <c r="P966" s="31">
        <v>1</v>
      </c>
      <c r="Q966" s="196">
        <f t="shared" si="456"/>
        <v>0.5</v>
      </c>
      <c r="R966" s="38">
        <v>0.85</v>
      </c>
      <c r="S966" s="280">
        <f t="shared" si="457"/>
        <v>0.42499999999999999</v>
      </c>
      <c r="T966" s="31">
        <f>VLOOKUP(A966,'Ansvar kurs'!$A$1:$C$1123,2,FALSE)</f>
        <v>1620</v>
      </c>
      <c r="U966" s="31" t="str">
        <f>VLOOKUP(T966,Orgenheter!$A$1:$C$166,2,FALSE)</f>
        <v>Inst för språkstudier</v>
      </c>
      <c r="V966" s="31" t="str">
        <f>VLOOKUP(T966,Orgenheter!$A$1:$C$166,3,FALSE)</f>
        <v>Hum</v>
      </c>
      <c r="W966" s="35" t="str">
        <f>VLOOKUP(D966,Program!$A$1:$B$36,2,FALSE)</f>
        <v>Ämneslärarprogrammet - Gy</v>
      </c>
      <c r="X966" s="40">
        <f>VLOOKUP(A966,kurspris!$A$1:$Q$913,15,FALSE)</f>
        <v>20766</v>
      </c>
      <c r="Y966" s="40">
        <f>VLOOKUP(A966,kurspris!$A$1:$Q$913,16,FALSE)</f>
        <v>17442</v>
      </c>
      <c r="Z966" s="40">
        <f t="shared" si="458"/>
        <v>17795.849999999999</v>
      </c>
      <c r="AA966" s="40">
        <f>VLOOKUP(A966,kurspris!$A$1:$Q$913,17,FALSE)</f>
        <v>6000</v>
      </c>
      <c r="AB966" s="40">
        <f t="shared" si="459"/>
        <v>3000</v>
      </c>
      <c r="AC966" s="40">
        <f t="shared" si="460"/>
        <v>20795.849999999999</v>
      </c>
      <c r="AD966" s="31">
        <f>VLOOKUP($A966,kurspris!$A$1:$Q$950,3,FALSE)</f>
        <v>0</v>
      </c>
      <c r="AE966" s="31">
        <f>VLOOKUP($A966,kurspris!$A$1:$Q$950,4,FALSE)</f>
        <v>1</v>
      </c>
      <c r="AF966" s="31">
        <f>VLOOKUP($A966,kurspris!$A$1:$Q$950,5,FALSE)</f>
        <v>0</v>
      </c>
      <c r="AG966" s="31">
        <f>VLOOKUP($A966,kurspris!$A$1:$Q$950,6,FALSE)</f>
        <v>0</v>
      </c>
      <c r="AH966" s="31">
        <f>VLOOKUP($A966,kurspris!$A$1:$Q$950,7,FALSE)</f>
        <v>0</v>
      </c>
      <c r="AI966" s="31">
        <f>VLOOKUP($A966,kurspris!$A$1:$Q$950,8,FALSE)</f>
        <v>0</v>
      </c>
      <c r="AJ966" s="31">
        <f>VLOOKUP($A966,kurspris!$A$1:$Q$950,9,FALSE)</f>
        <v>0</v>
      </c>
      <c r="AK966" s="31">
        <f>VLOOKUP($A966,kurspris!$A$1:$Q$950,10,FALSE)</f>
        <v>0</v>
      </c>
      <c r="AL966" s="31">
        <f>VLOOKUP($A966,kurspris!$A$1:$Q$950,11,FALSE)</f>
        <v>0</v>
      </c>
      <c r="AM966" s="31">
        <f>VLOOKUP($A966,kurspris!$A$1:$Q$950,12,FALSE)</f>
        <v>0</v>
      </c>
      <c r="AN966" s="31">
        <f>VLOOKUP($A966,kurspris!$A$1:$Q$950,13,FALSE)</f>
        <v>0</v>
      </c>
      <c r="AO966" s="31">
        <f>VLOOKUP($A966,kurspris!$A$1:$Q$950,14,FALSE)</f>
        <v>0</v>
      </c>
      <c r="AP966" s="57" t="s">
        <v>2506</v>
      </c>
      <c r="AQ966" s="37"/>
      <c r="AR966" s="31">
        <f t="shared" si="461"/>
        <v>0</v>
      </c>
      <c r="AS966" s="219">
        <f t="shared" si="462"/>
        <v>0</v>
      </c>
      <c r="AT966" s="31">
        <f t="shared" si="463"/>
        <v>0.5</v>
      </c>
      <c r="AU966" s="219">
        <f t="shared" si="464"/>
        <v>0.42499999999999999</v>
      </c>
      <c r="AV966" s="31">
        <f t="shared" si="465"/>
        <v>0</v>
      </c>
      <c r="AW966" s="31">
        <f t="shared" si="466"/>
        <v>0</v>
      </c>
      <c r="AX966" s="31">
        <f t="shared" si="467"/>
        <v>0</v>
      </c>
      <c r="AY966" s="219">
        <f t="shared" si="468"/>
        <v>0</v>
      </c>
      <c r="AZ966" s="196">
        <f t="shared" si="469"/>
        <v>0</v>
      </c>
      <c r="BA966" s="219">
        <f t="shared" si="470"/>
        <v>0</v>
      </c>
      <c r="BB966" s="31">
        <f t="shared" si="471"/>
        <v>0</v>
      </c>
      <c r="BC966" s="219">
        <f t="shared" si="472"/>
        <v>0</v>
      </c>
      <c r="BD966" s="31">
        <f t="shared" si="473"/>
        <v>0</v>
      </c>
      <c r="BE966" s="219">
        <f t="shared" si="474"/>
        <v>0</v>
      </c>
      <c r="BF966" s="31">
        <f t="shared" si="475"/>
        <v>0</v>
      </c>
      <c r="BG966" s="219">
        <f t="shared" si="476"/>
        <v>0</v>
      </c>
      <c r="BH966" s="31">
        <f t="shared" si="477"/>
        <v>0</v>
      </c>
      <c r="BI966" s="219">
        <f t="shared" si="478"/>
        <v>0</v>
      </c>
      <c r="BJ966" s="31">
        <f t="shared" si="479"/>
        <v>0</v>
      </c>
      <c r="BK966" s="219">
        <f t="shared" si="480"/>
        <v>0</v>
      </c>
      <c r="BL966" s="31">
        <f t="shared" si="481"/>
        <v>0</v>
      </c>
      <c r="BM966" s="219">
        <f t="shared" si="482"/>
        <v>0</v>
      </c>
      <c r="BN966" s="31">
        <f t="shared" si="483"/>
        <v>0</v>
      </c>
      <c r="BO966" s="219">
        <f t="shared" si="484"/>
        <v>0</v>
      </c>
    </row>
    <row r="967" spans="1:67" x14ac:dyDescent="0.25">
      <c r="A967" s="157" t="s">
        <v>2175</v>
      </c>
      <c r="B967" s="176" t="str">
        <f>VLOOKUP(A967,kurspris!$A$1:$B$992,2,FALSE)</f>
        <v>Svenska för ämneslärare, kurs 2</v>
      </c>
      <c r="D967" s="31" t="s">
        <v>482</v>
      </c>
      <c r="E967" s="574" t="s">
        <v>2434</v>
      </c>
      <c r="F967" s="31" t="s">
        <v>2273</v>
      </c>
      <c r="G967" t="s">
        <v>2458</v>
      </c>
      <c r="H967" t="s">
        <v>2335</v>
      </c>
      <c r="J967" s="31" t="s">
        <v>2240</v>
      </c>
      <c r="L967" s="38">
        <v>1</v>
      </c>
      <c r="M967">
        <v>30</v>
      </c>
      <c r="P967" s="31">
        <v>2</v>
      </c>
      <c r="Q967" s="196">
        <f t="shared" si="456"/>
        <v>1</v>
      </c>
      <c r="R967" s="38">
        <v>0.85</v>
      </c>
      <c r="S967" s="280">
        <f t="shared" si="457"/>
        <v>0.85</v>
      </c>
      <c r="T967" s="31">
        <f>VLOOKUP(A967,'Ansvar kurs'!$A$1:$C$1123,2,FALSE)</f>
        <v>1620</v>
      </c>
      <c r="U967" s="31" t="str">
        <f>VLOOKUP(T967,Orgenheter!$A$1:$C$166,2,FALSE)</f>
        <v>Inst för språkstudier</v>
      </c>
      <c r="V967" s="31" t="str">
        <f>VLOOKUP(T967,Orgenheter!$A$1:$C$166,3,FALSE)</f>
        <v>Hum</v>
      </c>
      <c r="W967" s="35" t="str">
        <f>VLOOKUP(D967,Program!$A$1:$B$36,2,FALSE)</f>
        <v>Ämneslärarprogrammet - Gy</v>
      </c>
      <c r="X967" s="40">
        <f>VLOOKUP(A967,kurspris!$A$1:$Q$913,15,FALSE)</f>
        <v>20766</v>
      </c>
      <c r="Y967" s="40">
        <f>VLOOKUP(A967,kurspris!$A$1:$Q$913,16,FALSE)</f>
        <v>17442</v>
      </c>
      <c r="Z967" s="40">
        <f t="shared" si="458"/>
        <v>35591.699999999997</v>
      </c>
      <c r="AA967" s="40">
        <f>VLOOKUP(A967,kurspris!$A$1:$Q$913,17,FALSE)</f>
        <v>6000</v>
      </c>
      <c r="AB967" s="40">
        <f t="shared" si="459"/>
        <v>6000</v>
      </c>
      <c r="AC967" s="40">
        <f t="shared" si="460"/>
        <v>41591.699999999997</v>
      </c>
      <c r="AD967" s="31">
        <f>VLOOKUP($A967,kurspris!$A$1:$Q$950,3,FALSE)</f>
        <v>0</v>
      </c>
      <c r="AE967" s="31">
        <f>VLOOKUP($A967,kurspris!$A$1:$Q$950,4,FALSE)</f>
        <v>1</v>
      </c>
      <c r="AF967" s="31">
        <f>VLOOKUP($A967,kurspris!$A$1:$Q$950,5,FALSE)</f>
        <v>0</v>
      </c>
      <c r="AG967" s="31">
        <f>VLOOKUP($A967,kurspris!$A$1:$Q$950,6,FALSE)</f>
        <v>0</v>
      </c>
      <c r="AH967" s="31">
        <f>VLOOKUP($A967,kurspris!$A$1:$Q$950,7,FALSE)</f>
        <v>0</v>
      </c>
      <c r="AI967" s="31">
        <f>VLOOKUP($A967,kurspris!$A$1:$Q$950,8,FALSE)</f>
        <v>0</v>
      </c>
      <c r="AJ967" s="31">
        <f>VLOOKUP($A967,kurspris!$A$1:$Q$950,9,FALSE)</f>
        <v>0</v>
      </c>
      <c r="AK967" s="31">
        <f>VLOOKUP($A967,kurspris!$A$1:$Q$950,10,FALSE)</f>
        <v>0</v>
      </c>
      <c r="AL967" s="31">
        <f>VLOOKUP($A967,kurspris!$A$1:$Q$950,11,FALSE)</f>
        <v>0</v>
      </c>
      <c r="AM967" s="31">
        <f>VLOOKUP($A967,kurspris!$A$1:$Q$950,12,FALSE)</f>
        <v>0</v>
      </c>
      <c r="AN967" s="31">
        <f>VLOOKUP($A967,kurspris!$A$1:$Q$950,13,FALSE)</f>
        <v>0</v>
      </c>
      <c r="AO967" s="31">
        <f>VLOOKUP($A967,kurspris!$A$1:$Q$950,14,FALSE)</f>
        <v>0</v>
      </c>
      <c r="AP967" s="57" t="s">
        <v>2506</v>
      </c>
      <c r="AQ967" s="37"/>
      <c r="AR967" s="31">
        <f t="shared" si="461"/>
        <v>0</v>
      </c>
      <c r="AS967" s="219">
        <f t="shared" si="462"/>
        <v>0</v>
      </c>
      <c r="AT967" s="31">
        <f t="shared" si="463"/>
        <v>1</v>
      </c>
      <c r="AU967" s="219">
        <f t="shared" si="464"/>
        <v>0.85</v>
      </c>
      <c r="AV967" s="31">
        <f t="shared" si="465"/>
        <v>0</v>
      </c>
      <c r="AW967" s="31">
        <f t="shared" si="466"/>
        <v>0</v>
      </c>
      <c r="AX967" s="31">
        <f t="shared" si="467"/>
        <v>0</v>
      </c>
      <c r="AY967" s="219">
        <f t="shared" si="468"/>
        <v>0</v>
      </c>
      <c r="AZ967" s="196">
        <f t="shared" si="469"/>
        <v>0</v>
      </c>
      <c r="BA967" s="219">
        <f t="shared" si="470"/>
        <v>0</v>
      </c>
      <c r="BB967" s="31">
        <f t="shared" si="471"/>
        <v>0</v>
      </c>
      <c r="BC967" s="219">
        <f t="shared" si="472"/>
        <v>0</v>
      </c>
      <c r="BD967" s="31">
        <f t="shared" si="473"/>
        <v>0</v>
      </c>
      <c r="BE967" s="219">
        <f t="shared" si="474"/>
        <v>0</v>
      </c>
      <c r="BF967" s="31">
        <f t="shared" si="475"/>
        <v>0</v>
      </c>
      <c r="BG967" s="219">
        <f t="shared" si="476"/>
        <v>0</v>
      </c>
      <c r="BH967" s="31">
        <f t="shared" si="477"/>
        <v>0</v>
      </c>
      <c r="BI967" s="219">
        <f t="shared" si="478"/>
        <v>0</v>
      </c>
      <c r="BJ967" s="31">
        <f t="shared" si="479"/>
        <v>0</v>
      </c>
      <c r="BK967" s="219">
        <f t="shared" si="480"/>
        <v>0</v>
      </c>
      <c r="BL967" s="31">
        <f t="shared" si="481"/>
        <v>0</v>
      </c>
      <c r="BM967" s="219">
        <f t="shared" si="482"/>
        <v>0</v>
      </c>
      <c r="BN967" s="31">
        <f t="shared" si="483"/>
        <v>0</v>
      </c>
      <c r="BO967" s="219">
        <f t="shared" si="484"/>
        <v>0</v>
      </c>
    </row>
    <row r="968" spans="1:67" x14ac:dyDescent="0.25">
      <c r="A968" s="31" t="s">
        <v>2175</v>
      </c>
      <c r="B968" s="176" t="str">
        <f>VLOOKUP(A968,kurspris!$A$1:$B$992,2,FALSE)</f>
        <v>Svenska för ämneslärare, kurs 2</v>
      </c>
      <c r="D968" s="60" t="s">
        <v>482</v>
      </c>
      <c r="E968" s="576" t="s">
        <v>2432</v>
      </c>
      <c r="F968" s="31" t="s">
        <v>2273</v>
      </c>
      <c r="G968" t="s">
        <v>2458</v>
      </c>
      <c r="H968" t="s">
        <v>2335</v>
      </c>
      <c r="J968" s="31" t="s">
        <v>2240</v>
      </c>
      <c r="L968" s="38">
        <v>1</v>
      </c>
      <c r="M968">
        <v>30</v>
      </c>
      <c r="P968" s="31">
        <v>16</v>
      </c>
      <c r="Q968" s="196">
        <f t="shared" si="456"/>
        <v>8</v>
      </c>
      <c r="R968" s="38">
        <v>0.85</v>
      </c>
      <c r="S968" s="280">
        <f t="shared" si="457"/>
        <v>6.8</v>
      </c>
      <c r="T968" s="31">
        <f>VLOOKUP(A968,'Ansvar kurs'!$A$1:$C$1123,2,FALSE)</f>
        <v>1620</v>
      </c>
      <c r="U968" s="31" t="str">
        <f>VLOOKUP(T968,Orgenheter!$A$1:$C$166,2,FALSE)</f>
        <v>Inst för språkstudier</v>
      </c>
      <c r="V968" s="31" t="str">
        <f>VLOOKUP(T968,Orgenheter!$A$1:$C$166,3,FALSE)</f>
        <v>Hum</v>
      </c>
      <c r="W968" s="35" t="str">
        <f>VLOOKUP(D968,Program!$A$1:$B$36,2,FALSE)</f>
        <v>Ämneslärarprogrammet - Gy</v>
      </c>
      <c r="X968" s="40">
        <f>VLOOKUP(A968,kurspris!$A$1:$Q$913,15,FALSE)</f>
        <v>20766</v>
      </c>
      <c r="Y968" s="40">
        <f>VLOOKUP(A968,kurspris!$A$1:$Q$913,16,FALSE)</f>
        <v>17442</v>
      </c>
      <c r="Z968" s="40">
        <f t="shared" si="458"/>
        <v>284733.59999999998</v>
      </c>
      <c r="AA968" s="40">
        <f>VLOOKUP(A968,kurspris!$A$1:$Q$913,17,FALSE)</f>
        <v>6000</v>
      </c>
      <c r="AB968" s="40">
        <f t="shared" si="459"/>
        <v>48000</v>
      </c>
      <c r="AC968" s="40">
        <f t="shared" si="460"/>
        <v>332733.59999999998</v>
      </c>
      <c r="AD968" s="31">
        <f>VLOOKUP($A968,kurspris!$A$1:$Q$950,3,FALSE)</f>
        <v>0</v>
      </c>
      <c r="AE968" s="31">
        <f>VLOOKUP($A968,kurspris!$A$1:$Q$950,4,FALSE)</f>
        <v>1</v>
      </c>
      <c r="AF968" s="31">
        <f>VLOOKUP($A968,kurspris!$A$1:$Q$950,5,FALSE)</f>
        <v>0</v>
      </c>
      <c r="AG968" s="31">
        <f>VLOOKUP($A968,kurspris!$A$1:$Q$950,6,FALSE)</f>
        <v>0</v>
      </c>
      <c r="AH968" s="31">
        <f>VLOOKUP($A968,kurspris!$A$1:$Q$950,7,FALSE)</f>
        <v>0</v>
      </c>
      <c r="AI968" s="31">
        <f>VLOOKUP($A968,kurspris!$A$1:$Q$950,8,FALSE)</f>
        <v>0</v>
      </c>
      <c r="AJ968" s="31">
        <f>VLOOKUP($A968,kurspris!$A$1:$Q$950,9,FALSE)</f>
        <v>0</v>
      </c>
      <c r="AK968" s="31">
        <f>VLOOKUP($A968,kurspris!$A$1:$Q$950,10,FALSE)</f>
        <v>0</v>
      </c>
      <c r="AL968" s="31">
        <f>VLOOKUP($A968,kurspris!$A$1:$Q$950,11,FALSE)</f>
        <v>0</v>
      </c>
      <c r="AM968" s="31">
        <f>VLOOKUP($A968,kurspris!$A$1:$Q$950,12,FALSE)</f>
        <v>0</v>
      </c>
      <c r="AN968" s="31">
        <f>VLOOKUP($A968,kurspris!$A$1:$Q$950,13,FALSE)</f>
        <v>0</v>
      </c>
      <c r="AO968" s="31">
        <f>VLOOKUP($A968,kurspris!$A$1:$Q$950,14,FALSE)</f>
        <v>0</v>
      </c>
      <c r="AP968" s="57" t="s">
        <v>2506</v>
      </c>
      <c r="AQ968"/>
      <c r="AR968" s="31">
        <f t="shared" si="461"/>
        <v>0</v>
      </c>
      <c r="AS968" s="219">
        <f t="shared" si="462"/>
        <v>0</v>
      </c>
      <c r="AT968" s="31">
        <f t="shared" si="463"/>
        <v>8</v>
      </c>
      <c r="AU968" s="219">
        <f t="shared" si="464"/>
        <v>6.8</v>
      </c>
      <c r="AV968" s="31">
        <f t="shared" si="465"/>
        <v>0</v>
      </c>
      <c r="AW968" s="31">
        <f t="shared" si="466"/>
        <v>0</v>
      </c>
      <c r="AX968" s="31">
        <f t="shared" si="467"/>
        <v>0</v>
      </c>
      <c r="AY968" s="219">
        <f t="shared" si="468"/>
        <v>0</v>
      </c>
      <c r="AZ968" s="196">
        <f t="shared" si="469"/>
        <v>0</v>
      </c>
      <c r="BA968" s="219">
        <f t="shared" si="470"/>
        <v>0</v>
      </c>
      <c r="BB968" s="31">
        <f t="shared" si="471"/>
        <v>0</v>
      </c>
      <c r="BC968" s="219">
        <f t="shared" si="472"/>
        <v>0</v>
      </c>
      <c r="BD968" s="31">
        <f t="shared" si="473"/>
        <v>0</v>
      </c>
      <c r="BE968" s="219">
        <f t="shared" si="474"/>
        <v>0</v>
      </c>
      <c r="BF968" s="31">
        <f t="shared" si="475"/>
        <v>0</v>
      </c>
      <c r="BG968" s="219">
        <f t="shared" si="476"/>
        <v>0</v>
      </c>
      <c r="BH968" s="31">
        <f t="shared" si="477"/>
        <v>0</v>
      </c>
      <c r="BI968" s="219">
        <f t="shared" si="478"/>
        <v>0</v>
      </c>
      <c r="BJ968" s="31">
        <f t="shared" si="479"/>
        <v>0</v>
      </c>
      <c r="BK968" s="219">
        <f t="shared" si="480"/>
        <v>0</v>
      </c>
      <c r="BL968" s="31">
        <f t="shared" si="481"/>
        <v>0</v>
      </c>
      <c r="BM968" s="219">
        <f t="shared" si="482"/>
        <v>0</v>
      </c>
      <c r="BN968" s="31">
        <f t="shared" si="483"/>
        <v>0</v>
      </c>
      <c r="BO968" s="219">
        <f t="shared" si="484"/>
        <v>0</v>
      </c>
    </row>
    <row r="969" spans="1:67" x14ac:dyDescent="0.25">
      <c r="A969" s="31" t="s">
        <v>2202</v>
      </c>
      <c r="B969" s="176" t="str">
        <f>VLOOKUP(A969,kurspris!$A$1:$B$992,2,FALSE)</f>
        <v>Svenska för ämneslärare, kurs 3</v>
      </c>
      <c r="C969" s="31">
        <v>71813</v>
      </c>
      <c r="D969" s="60" t="s">
        <v>482</v>
      </c>
      <c r="E969" s="60"/>
      <c r="F969" s="57" t="s">
        <v>2274</v>
      </c>
      <c r="H969" s="31" t="s">
        <v>2335</v>
      </c>
      <c r="I969" s="31" t="s">
        <v>2399</v>
      </c>
      <c r="J969" s="31" t="s">
        <v>2231</v>
      </c>
      <c r="L969" s="38"/>
      <c r="M969">
        <v>30</v>
      </c>
      <c r="P969" s="31">
        <v>2</v>
      </c>
      <c r="Q969" s="539">
        <v>1</v>
      </c>
      <c r="R969" s="38">
        <v>0.85</v>
      </c>
      <c r="S969" s="280">
        <f t="shared" si="457"/>
        <v>0.85</v>
      </c>
      <c r="T969" s="31">
        <f>VLOOKUP(A969,'Ansvar kurs'!$A$1:$C$1123,2,FALSE)</f>
        <v>1620</v>
      </c>
      <c r="U969" s="31" t="str">
        <f>VLOOKUP(T969,Orgenheter!$A$1:$C$166,2,FALSE)</f>
        <v>Inst för språkstudier</v>
      </c>
      <c r="V969" s="31" t="str">
        <f>VLOOKUP(T969,Orgenheter!$A$1:$C$166,3,FALSE)</f>
        <v>Hum</v>
      </c>
      <c r="W969" s="35" t="str">
        <f>VLOOKUP(D969,Program!$A$1:$B$36,2,FALSE)</f>
        <v>Ämneslärarprogrammet - Gy</v>
      </c>
      <c r="X969" s="40">
        <f>VLOOKUP(A969,kurspris!$A$1:$Q$913,15,FALSE)</f>
        <v>20766</v>
      </c>
      <c r="Y969" s="40">
        <f>VLOOKUP(A969,kurspris!$A$1:$Q$913,16,FALSE)</f>
        <v>17442</v>
      </c>
      <c r="Z969" s="40">
        <f t="shared" si="458"/>
        <v>35591.699999999997</v>
      </c>
      <c r="AA969" s="40">
        <f>VLOOKUP(A969,kurspris!$A$1:$Q$913,17,FALSE)</f>
        <v>6000</v>
      </c>
      <c r="AB969" s="40">
        <f t="shared" si="459"/>
        <v>6000</v>
      </c>
      <c r="AC969" s="40">
        <f t="shared" si="460"/>
        <v>41591.699999999997</v>
      </c>
      <c r="AD969" s="31">
        <f>VLOOKUP($A969,kurspris!$A$1:$Q$950,3,FALSE)</f>
        <v>0</v>
      </c>
      <c r="AE969" s="31">
        <f>VLOOKUP($A969,kurspris!$A$1:$Q$950,4,FALSE)</f>
        <v>1</v>
      </c>
      <c r="AF969" s="31">
        <f>VLOOKUP($A969,kurspris!$A$1:$Q$950,5,FALSE)</f>
        <v>0</v>
      </c>
      <c r="AG969" s="31">
        <f>VLOOKUP($A969,kurspris!$A$1:$Q$950,6,FALSE)</f>
        <v>0</v>
      </c>
      <c r="AH969" s="31">
        <f>VLOOKUP($A969,kurspris!$A$1:$Q$950,7,FALSE)</f>
        <v>0</v>
      </c>
      <c r="AI969" s="31">
        <f>VLOOKUP($A969,kurspris!$A$1:$Q$950,8,FALSE)</f>
        <v>0</v>
      </c>
      <c r="AJ969" s="31">
        <f>VLOOKUP($A969,kurspris!$A$1:$Q$950,9,FALSE)</f>
        <v>0</v>
      </c>
      <c r="AK969" s="31">
        <f>VLOOKUP($A969,kurspris!$A$1:$Q$950,10,FALSE)</f>
        <v>0</v>
      </c>
      <c r="AL969" s="31">
        <f>VLOOKUP($A969,kurspris!$A$1:$Q$950,11,FALSE)</f>
        <v>0</v>
      </c>
      <c r="AM969" s="31">
        <f>VLOOKUP($A969,kurspris!$A$1:$Q$950,12,FALSE)</f>
        <v>0</v>
      </c>
      <c r="AN969" s="31">
        <f>VLOOKUP($A969,kurspris!$A$1:$Q$950,13,FALSE)</f>
        <v>0</v>
      </c>
      <c r="AO969" s="31">
        <f>VLOOKUP($A969,kurspris!$A$1:$Q$950,14,FALSE)</f>
        <v>0</v>
      </c>
      <c r="AP969" s="57" t="s">
        <v>2402</v>
      </c>
      <c r="AQ969"/>
      <c r="AR969" s="31">
        <f t="shared" si="461"/>
        <v>0</v>
      </c>
      <c r="AS969" s="219">
        <f t="shared" si="462"/>
        <v>0</v>
      </c>
      <c r="AT969" s="31">
        <f t="shared" si="463"/>
        <v>1</v>
      </c>
      <c r="AU969" s="219">
        <f t="shared" si="464"/>
        <v>0.85</v>
      </c>
      <c r="AV969" s="31">
        <f t="shared" si="465"/>
        <v>0</v>
      </c>
      <c r="AW969" s="31">
        <f t="shared" si="466"/>
        <v>0</v>
      </c>
      <c r="AX969" s="31">
        <f t="shared" si="467"/>
        <v>0</v>
      </c>
      <c r="AY969" s="219">
        <f t="shared" si="468"/>
        <v>0</v>
      </c>
      <c r="AZ969" s="196">
        <f t="shared" si="469"/>
        <v>0</v>
      </c>
      <c r="BA969" s="219">
        <f t="shared" si="470"/>
        <v>0</v>
      </c>
      <c r="BB969" s="31">
        <f t="shared" si="471"/>
        <v>0</v>
      </c>
      <c r="BC969" s="219">
        <f t="shared" si="472"/>
        <v>0</v>
      </c>
      <c r="BD969" s="31">
        <f t="shared" si="473"/>
        <v>0</v>
      </c>
      <c r="BE969" s="219">
        <f t="shared" si="474"/>
        <v>0</v>
      </c>
      <c r="BF969" s="31">
        <f t="shared" si="475"/>
        <v>0</v>
      </c>
      <c r="BG969" s="219">
        <f t="shared" si="476"/>
        <v>0</v>
      </c>
      <c r="BH969" s="31">
        <f t="shared" si="477"/>
        <v>0</v>
      </c>
      <c r="BI969" s="219">
        <f t="shared" si="478"/>
        <v>0</v>
      </c>
      <c r="BJ969" s="31">
        <f t="shared" si="479"/>
        <v>0</v>
      </c>
      <c r="BK969" s="219">
        <f t="shared" si="480"/>
        <v>0</v>
      </c>
      <c r="BL969" s="31">
        <f t="shared" si="481"/>
        <v>0</v>
      </c>
      <c r="BM969" s="219">
        <f t="shared" si="482"/>
        <v>0</v>
      </c>
      <c r="BN969" s="31">
        <f t="shared" si="483"/>
        <v>0</v>
      </c>
      <c r="BO969" s="219">
        <f t="shared" si="484"/>
        <v>0</v>
      </c>
    </row>
    <row r="970" spans="1:67" x14ac:dyDescent="0.25">
      <c r="A970" s="31" t="s">
        <v>2202</v>
      </c>
      <c r="B970" s="176" t="str">
        <f>VLOOKUP(A970,kurspris!$A$1:$B$992,2,FALSE)</f>
        <v>Svenska för ämneslärare, kurs 3</v>
      </c>
      <c r="C970" s="31">
        <v>71813</v>
      </c>
      <c r="D970" s="60" t="s">
        <v>482</v>
      </c>
      <c r="E970" s="60"/>
      <c r="F970" s="57" t="s">
        <v>2274</v>
      </c>
      <c r="H970" s="31" t="s">
        <v>2335</v>
      </c>
      <c r="I970" s="31" t="s">
        <v>2399</v>
      </c>
      <c r="J970" s="31" t="s">
        <v>2239</v>
      </c>
      <c r="L970" s="38"/>
      <c r="M970">
        <v>30</v>
      </c>
      <c r="P970" s="31">
        <v>1</v>
      </c>
      <c r="Q970" s="539">
        <v>0.5</v>
      </c>
      <c r="R970" s="38">
        <v>0.85</v>
      </c>
      <c r="S970" s="280">
        <f t="shared" si="457"/>
        <v>0.42499999999999999</v>
      </c>
      <c r="T970" s="31">
        <f>VLOOKUP(A970,'Ansvar kurs'!$A$1:$C$1123,2,FALSE)</f>
        <v>1620</v>
      </c>
      <c r="U970" s="31" t="str">
        <f>VLOOKUP(T970,Orgenheter!$A$1:$C$166,2,FALSE)</f>
        <v>Inst för språkstudier</v>
      </c>
      <c r="V970" s="31" t="str">
        <f>VLOOKUP(T970,Orgenheter!$A$1:$C$166,3,FALSE)</f>
        <v>Hum</v>
      </c>
      <c r="W970" s="35" t="str">
        <f>VLOOKUP(D970,Program!$A$1:$B$36,2,FALSE)</f>
        <v>Ämneslärarprogrammet - Gy</v>
      </c>
      <c r="X970" s="40">
        <f>VLOOKUP(A970,kurspris!$A$1:$Q$913,15,FALSE)</f>
        <v>20766</v>
      </c>
      <c r="Y970" s="40">
        <f>VLOOKUP(A970,kurspris!$A$1:$Q$913,16,FALSE)</f>
        <v>17442</v>
      </c>
      <c r="Z970" s="40">
        <f t="shared" si="458"/>
        <v>17795.849999999999</v>
      </c>
      <c r="AA970" s="40">
        <f>VLOOKUP(A970,kurspris!$A$1:$Q$913,17,FALSE)</f>
        <v>6000</v>
      </c>
      <c r="AB970" s="40">
        <f t="shared" si="459"/>
        <v>3000</v>
      </c>
      <c r="AC970" s="40">
        <f t="shared" si="460"/>
        <v>20795.849999999999</v>
      </c>
      <c r="AD970" s="31">
        <f>VLOOKUP($A970,kurspris!$A$1:$Q$950,3,FALSE)</f>
        <v>0</v>
      </c>
      <c r="AE970" s="31">
        <f>VLOOKUP($A970,kurspris!$A$1:$Q$950,4,FALSE)</f>
        <v>1</v>
      </c>
      <c r="AF970" s="31">
        <f>VLOOKUP($A970,kurspris!$A$1:$Q$950,5,FALSE)</f>
        <v>0</v>
      </c>
      <c r="AG970" s="31">
        <f>VLOOKUP($A970,kurspris!$A$1:$Q$950,6,FALSE)</f>
        <v>0</v>
      </c>
      <c r="AH970" s="31">
        <f>VLOOKUP($A970,kurspris!$A$1:$Q$950,7,FALSE)</f>
        <v>0</v>
      </c>
      <c r="AI970" s="31">
        <f>VLOOKUP($A970,kurspris!$A$1:$Q$950,8,FALSE)</f>
        <v>0</v>
      </c>
      <c r="AJ970" s="31">
        <f>VLOOKUP($A970,kurspris!$A$1:$Q$950,9,FALSE)</f>
        <v>0</v>
      </c>
      <c r="AK970" s="31">
        <f>VLOOKUP($A970,kurspris!$A$1:$Q$950,10,FALSE)</f>
        <v>0</v>
      </c>
      <c r="AL970" s="31">
        <f>VLOOKUP($A970,kurspris!$A$1:$Q$950,11,FALSE)</f>
        <v>0</v>
      </c>
      <c r="AM970" s="31">
        <f>VLOOKUP($A970,kurspris!$A$1:$Q$950,12,FALSE)</f>
        <v>0</v>
      </c>
      <c r="AN970" s="31">
        <f>VLOOKUP($A970,kurspris!$A$1:$Q$950,13,FALSE)</f>
        <v>0</v>
      </c>
      <c r="AO970" s="31">
        <f>VLOOKUP($A970,kurspris!$A$1:$Q$950,14,FALSE)</f>
        <v>0</v>
      </c>
      <c r="AP970" s="57" t="s">
        <v>2402</v>
      </c>
      <c r="AQ970"/>
      <c r="AR970" s="31">
        <f t="shared" si="461"/>
        <v>0</v>
      </c>
      <c r="AS970" s="219">
        <f t="shared" si="462"/>
        <v>0</v>
      </c>
      <c r="AT970" s="31">
        <f t="shared" si="463"/>
        <v>0.5</v>
      </c>
      <c r="AU970" s="219">
        <f t="shared" si="464"/>
        <v>0.42499999999999999</v>
      </c>
      <c r="AV970" s="31">
        <f t="shared" si="465"/>
        <v>0</v>
      </c>
      <c r="AW970" s="31">
        <f t="shared" si="466"/>
        <v>0</v>
      </c>
      <c r="AX970" s="31">
        <f t="shared" si="467"/>
        <v>0</v>
      </c>
      <c r="AY970" s="219">
        <f t="shared" si="468"/>
        <v>0</v>
      </c>
      <c r="AZ970" s="196">
        <f t="shared" si="469"/>
        <v>0</v>
      </c>
      <c r="BA970" s="219">
        <f t="shared" si="470"/>
        <v>0</v>
      </c>
      <c r="BB970" s="31">
        <f t="shared" si="471"/>
        <v>0</v>
      </c>
      <c r="BC970" s="219">
        <f t="shared" si="472"/>
        <v>0</v>
      </c>
      <c r="BD970" s="31">
        <f t="shared" si="473"/>
        <v>0</v>
      </c>
      <c r="BE970" s="219">
        <f t="shared" si="474"/>
        <v>0</v>
      </c>
      <c r="BF970" s="31">
        <f t="shared" si="475"/>
        <v>0</v>
      </c>
      <c r="BG970" s="219">
        <f t="shared" si="476"/>
        <v>0</v>
      </c>
      <c r="BH970" s="31">
        <f t="shared" si="477"/>
        <v>0</v>
      </c>
      <c r="BI970" s="219">
        <f t="shared" si="478"/>
        <v>0</v>
      </c>
      <c r="BJ970" s="31">
        <f t="shared" si="479"/>
        <v>0</v>
      </c>
      <c r="BK970" s="219">
        <f t="shared" si="480"/>
        <v>0</v>
      </c>
      <c r="BL970" s="31">
        <f t="shared" si="481"/>
        <v>0</v>
      </c>
      <c r="BM970" s="219">
        <f t="shared" si="482"/>
        <v>0</v>
      </c>
      <c r="BN970" s="31">
        <f t="shared" si="483"/>
        <v>0</v>
      </c>
      <c r="BO970" s="219">
        <f t="shared" si="484"/>
        <v>0</v>
      </c>
    </row>
    <row r="971" spans="1:67" x14ac:dyDescent="0.25">
      <c r="A971" s="31" t="s">
        <v>2202</v>
      </c>
      <c r="B971" s="176" t="str">
        <f>VLOOKUP(A971,kurspris!$A$1:$B$992,2,FALSE)</f>
        <v>Svenska för ämneslärare, kurs 3</v>
      </c>
      <c r="C971" s="31">
        <v>71813</v>
      </c>
      <c r="D971" s="60" t="s">
        <v>482</v>
      </c>
      <c r="E971" s="60"/>
      <c r="F971" s="57" t="s">
        <v>2274</v>
      </c>
      <c r="H971" s="31" t="s">
        <v>2335</v>
      </c>
      <c r="I971" s="31" t="s">
        <v>2399</v>
      </c>
      <c r="J971" s="31" t="s">
        <v>2242</v>
      </c>
      <c r="L971" s="38"/>
      <c r="M971">
        <v>30</v>
      </c>
      <c r="P971" s="31">
        <v>2</v>
      </c>
      <c r="Q971" s="539">
        <v>1</v>
      </c>
      <c r="R971" s="38">
        <v>0.85</v>
      </c>
      <c r="S971" s="280">
        <f t="shared" si="457"/>
        <v>0.85</v>
      </c>
      <c r="T971" s="31">
        <f>VLOOKUP(A971,'Ansvar kurs'!$A$1:$C$1123,2,FALSE)</f>
        <v>1620</v>
      </c>
      <c r="U971" s="31" t="str">
        <f>VLOOKUP(T971,Orgenheter!$A$1:$C$166,2,FALSE)</f>
        <v>Inst för språkstudier</v>
      </c>
      <c r="V971" s="31" t="str">
        <f>VLOOKUP(T971,Orgenheter!$A$1:$C$166,3,FALSE)</f>
        <v>Hum</v>
      </c>
      <c r="W971" s="35" t="str">
        <f>VLOOKUP(D971,Program!$A$1:$B$36,2,FALSE)</f>
        <v>Ämneslärarprogrammet - Gy</v>
      </c>
      <c r="X971" s="40">
        <f>VLOOKUP(A971,kurspris!$A$1:$Q$913,15,FALSE)</f>
        <v>20766</v>
      </c>
      <c r="Y971" s="40">
        <f>VLOOKUP(A971,kurspris!$A$1:$Q$913,16,FALSE)</f>
        <v>17442</v>
      </c>
      <c r="Z971" s="40">
        <f t="shared" si="458"/>
        <v>35591.699999999997</v>
      </c>
      <c r="AA971" s="40">
        <f>VLOOKUP(A971,kurspris!$A$1:$Q$913,17,FALSE)</f>
        <v>6000</v>
      </c>
      <c r="AB971" s="40">
        <f t="shared" si="459"/>
        <v>6000</v>
      </c>
      <c r="AC971" s="40">
        <f t="shared" si="460"/>
        <v>41591.699999999997</v>
      </c>
      <c r="AD971" s="31">
        <f>VLOOKUP($A971,kurspris!$A$1:$Q$950,3,FALSE)</f>
        <v>0</v>
      </c>
      <c r="AE971" s="31">
        <f>VLOOKUP($A971,kurspris!$A$1:$Q$950,4,FALSE)</f>
        <v>1</v>
      </c>
      <c r="AF971" s="31">
        <f>VLOOKUP($A971,kurspris!$A$1:$Q$950,5,FALSE)</f>
        <v>0</v>
      </c>
      <c r="AG971" s="31">
        <f>VLOOKUP($A971,kurspris!$A$1:$Q$950,6,FALSE)</f>
        <v>0</v>
      </c>
      <c r="AH971" s="31">
        <f>VLOOKUP($A971,kurspris!$A$1:$Q$950,7,FALSE)</f>
        <v>0</v>
      </c>
      <c r="AI971" s="31">
        <f>VLOOKUP($A971,kurspris!$A$1:$Q$950,8,FALSE)</f>
        <v>0</v>
      </c>
      <c r="AJ971" s="31">
        <f>VLOOKUP($A971,kurspris!$A$1:$Q$950,9,FALSE)</f>
        <v>0</v>
      </c>
      <c r="AK971" s="31">
        <f>VLOOKUP($A971,kurspris!$A$1:$Q$950,10,FALSE)</f>
        <v>0</v>
      </c>
      <c r="AL971" s="31">
        <f>VLOOKUP($A971,kurspris!$A$1:$Q$950,11,FALSE)</f>
        <v>0</v>
      </c>
      <c r="AM971" s="31">
        <f>VLOOKUP($A971,kurspris!$A$1:$Q$950,12,FALSE)</f>
        <v>0</v>
      </c>
      <c r="AN971" s="31">
        <f>VLOOKUP($A971,kurspris!$A$1:$Q$950,13,FALSE)</f>
        <v>0</v>
      </c>
      <c r="AO971" s="31">
        <f>VLOOKUP($A971,kurspris!$A$1:$Q$950,14,FALSE)</f>
        <v>0</v>
      </c>
      <c r="AP971" s="57" t="s">
        <v>2402</v>
      </c>
      <c r="AQ971"/>
      <c r="AR971" s="31">
        <f t="shared" si="461"/>
        <v>0</v>
      </c>
      <c r="AS971" s="219">
        <f t="shared" si="462"/>
        <v>0</v>
      </c>
      <c r="AT971" s="31">
        <f t="shared" si="463"/>
        <v>1</v>
      </c>
      <c r="AU971" s="219">
        <f t="shared" si="464"/>
        <v>0.85</v>
      </c>
      <c r="AV971" s="31">
        <f t="shared" si="465"/>
        <v>0</v>
      </c>
      <c r="AW971" s="31">
        <f t="shared" si="466"/>
        <v>0</v>
      </c>
      <c r="AX971" s="31">
        <f t="shared" si="467"/>
        <v>0</v>
      </c>
      <c r="AY971" s="219">
        <f t="shared" si="468"/>
        <v>0</v>
      </c>
      <c r="AZ971" s="196">
        <f t="shared" si="469"/>
        <v>0</v>
      </c>
      <c r="BA971" s="219">
        <f t="shared" si="470"/>
        <v>0</v>
      </c>
      <c r="BB971" s="31">
        <f t="shared" si="471"/>
        <v>0</v>
      </c>
      <c r="BC971" s="219">
        <f t="shared" si="472"/>
        <v>0</v>
      </c>
      <c r="BD971" s="31">
        <f t="shared" si="473"/>
        <v>0</v>
      </c>
      <c r="BE971" s="219">
        <f t="shared" si="474"/>
        <v>0</v>
      </c>
      <c r="BF971" s="31">
        <f t="shared" si="475"/>
        <v>0</v>
      </c>
      <c r="BG971" s="219">
        <f t="shared" si="476"/>
        <v>0</v>
      </c>
      <c r="BH971" s="31">
        <f t="shared" si="477"/>
        <v>0</v>
      </c>
      <c r="BI971" s="219">
        <f t="shared" si="478"/>
        <v>0</v>
      </c>
      <c r="BJ971" s="31">
        <f t="shared" si="479"/>
        <v>0</v>
      </c>
      <c r="BK971" s="219">
        <f t="shared" si="480"/>
        <v>0</v>
      </c>
      <c r="BL971" s="31">
        <f t="shared" si="481"/>
        <v>0</v>
      </c>
      <c r="BM971" s="219">
        <f t="shared" si="482"/>
        <v>0</v>
      </c>
      <c r="BN971" s="31">
        <f t="shared" si="483"/>
        <v>0</v>
      </c>
      <c r="BO971" s="219">
        <f t="shared" si="484"/>
        <v>0</v>
      </c>
    </row>
    <row r="972" spans="1:67" x14ac:dyDescent="0.25">
      <c r="A972" s="31" t="s">
        <v>2202</v>
      </c>
      <c r="B972" s="176" t="str">
        <f>VLOOKUP(A972,kurspris!$A$1:$B$992,2,FALSE)</f>
        <v>Svenska för ämneslärare, kurs 3</v>
      </c>
      <c r="C972" s="31">
        <v>71813</v>
      </c>
      <c r="D972" s="60" t="s">
        <v>482</v>
      </c>
      <c r="E972" s="60"/>
      <c r="F972" s="57" t="s">
        <v>2274</v>
      </c>
      <c r="H972" s="31" t="s">
        <v>2335</v>
      </c>
      <c r="I972" s="31" t="s">
        <v>2399</v>
      </c>
      <c r="J972" s="31" t="s">
        <v>2240</v>
      </c>
      <c r="L972" s="38"/>
      <c r="M972">
        <v>30</v>
      </c>
      <c r="P972" s="31">
        <v>8</v>
      </c>
      <c r="Q972" s="539">
        <v>4</v>
      </c>
      <c r="R972" s="38">
        <v>0.85</v>
      </c>
      <c r="S972" s="280">
        <f t="shared" si="457"/>
        <v>3.4</v>
      </c>
      <c r="T972" s="31">
        <f>VLOOKUP(A972,'Ansvar kurs'!$A$1:$C$1123,2,FALSE)</f>
        <v>1620</v>
      </c>
      <c r="U972" s="31" t="str">
        <f>VLOOKUP(T972,Orgenheter!$A$1:$C$166,2,FALSE)</f>
        <v>Inst för språkstudier</v>
      </c>
      <c r="V972" s="31" t="str">
        <f>VLOOKUP(T972,Orgenheter!$A$1:$C$166,3,FALSE)</f>
        <v>Hum</v>
      </c>
      <c r="W972" s="35" t="str">
        <f>VLOOKUP(D972,Program!$A$1:$B$36,2,FALSE)</f>
        <v>Ämneslärarprogrammet - Gy</v>
      </c>
      <c r="X972" s="40">
        <f>VLOOKUP(A972,kurspris!$A$1:$Q$913,15,FALSE)</f>
        <v>20766</v>
      </c>
      <c r="Y972" s="40">
        <f>VLOOKUP(A972,kurspris!$A$1:$Q$913,16,FALSE)</f>
        <v>17442</v>
      </c>
      <c r="Z972" s="40">
        <f t="shared" si="458"/>
        <v>142366.79999999999</v>
      </c>
      <c r="AA972" s="40">
        <f>VLOOKUP(A972,kurspris!$A$1:$Q$913,17,FALSE)</f>
        <v>6000</v>
      </c>
      <c r="AB972" s="40">
        <f t="shared" si="459"/>
        <v>24000</v>
      </c>
      <c r="AC972" s="40">
        <f t="shared" si="460"/>
        <v>166366.79999999999</v>
      </c>
      <c r="AD972" s="31">
        <f>VLOOKUP($A972,kurspris!$A$1:$Q$950,3,FALSE)</f>
        <v>0</v>
      </c>
      <c r="AE972" s="31">
        <f>VLOOKUP($A972,kurspris!$A$1:$Q$950,4,FALSE)</f>
        <v>1</v>
      </c>
      <c r="AF972" s="31">
        <f>VLOOKUP($A972,kurspris!$A$1:$Q$950,5,FALSE)</f>
        <v>0</v>
      </c>
      <c r="AG972" s="31">
        <f>VLOOKUP($A972,kurspris!$A$1:$Q$950,6,FALSE)</f>
        <v>0</v>
      </c>
      <c r="AH972" s="31">
        <f>VLOOKUP($A972,kurspris!$A$1:$Q$950,7,FALSE)</f>
        <v>0</v>
      </c>
      <c r="AI972" s="31">
        <f>VLOOKUP($A972,kurspris!$A$1:$Q$950,8,FALSE)</f>
        <v>0</v>
      </c>
      <c r="AJ972" s="31">
        <f>VLOOKUP($A972,kurspris!$A$1:$Q$950,9,FALSE)</f>
        <v>0</v>
      </c>
      <c r="AK972" s="31">
        <f>VLOOKUP($A972,kurspris!$A$1:$Q$950,10,FALSE)</f>
        <v>0</v>
      </c>
      <c r="AL972" s="31">
        <f>VLOOKUP($A972,kurspris!$A$1:$Q$950,11,FALSE)</f>
        <v>0</v>
      </c>
      <c r="AM972" s="31">
        <f>VLOOKUP($A972,kurspris!$A$1:$Q$950,12,FALSE)</f>
        <v>0</v>
      </c>
      <c r="AN972" s="31">
        <f>VLOOKUP($A972,kurspris!$A$1:$Q$950,13,FALSE)</f>
        <v>0</v>
      </c>
      <c r="AO972" s="31">
        <f>VLOOKUP($A972,kurspris!$A$1:$Q$950,14,FALSE)</f>
        <v>0</v>
      </c>
      <c r="AP972" s="57" t="s">
        <v>2402</v>
      </c>
      <c r="AQ972"/>
      <c r="AR972" s="31">
        <f t="shared" si="461"/>
        <v>0</v>
      </c>
      <c r="AS972" s="219">
        <f t="shared" si="462"/>
        <v>0</v>
      </c>
      <c r="AT972" s="31">
        <f t="shared" si="463"/>
        <v>4</v>
      </c>
      <c r="AU972" s="219">
        <f t="shared" si="464"/>
        <v>3.4</v>
      </c>
      <c r="AV972" s="31">
        <f t="shared" si="465"/>
        <v>0</v>
      </c>
      <c r="AW972" s="31">
        <f t="shared" si="466"/>
        <v>0</v>
      </c>
      <c r="AX972" s="31">
        <f t="shared" si="467"/>
        <v>0</v>
      </c>
      <c r="AY972" s="219">
        <f t="shared" si="468"/>
        <v>0</v>
      </c>
      <c r="AZ972" s="196">
        <f t="shared" si="469"/>
        <v>0</v>
      </c>
      <c r="BA972" s="219">
        <f t="shared" si="470"/>
        <v>0</v>
      </c>
      <c r="BB972" s="31">
        <f t="shared" si="471"/>
        <v>0</v>
      </c>
      <c r="BC972" s="219">
        <f t="shared" si="472"/>
        <v>0</v>
      </c>
      <c r="BD972" s="31">
        <f t="shared" si="473"/>
        <v>0</v>
      </c>
      <c r="BE972" s="219">
        <f t="shared" si="474"/>
        <v>0</v>
      </c>
      <c r="BF972" s="31">
        <f t="shared" si="475"/>
        <v>0</v>
      </c>
      <c r="BG972" s="219">
        <f t="shared" si="476"/>
        <v>0</v>
      </c>
      <c r="BH972" s="31">
        <f t="shared" si="477"/>
        <v>0</v>
      </c>
      <c r="BI972" s="219">
        <f t="shared" si="478"/>
        <v>0</v>
      </c>
      <c r="BJ972" s="31">
        <f t="shared" si="479"/>
        <v>0</v>
      </c>
      <c r="BK972" s="219">
        <f t="shared" si="480"/>
        <v>0</v>
      </c>
      <c r="BL972" s="31">
        <f t="shared" si="481"/>
        <v>0</v>
      </c>
      <c r="BM972" s="219">
        <f t="shared" si="482"/>
        <v>0</v>
      </c>
      <c r="BN972" s="31">
        <f t="shared" si="483"/>
        <v>0</v>
      </c>
      <c r="BO972" s="219">
        <f t="shared" si="484"/>
        <v>0</v>
      </c>
    </row>
    <row r="973" spans="1:67" x14ac:dyDescent="0.25">
      <c r="A973" s="31" t="s">
        <v>2202</v>
      </c>
      <c r="B973" s="176" t="str">
        <f>VLOOKUP(A973,kurspris!$A$1:$B$992,2,FALSE)</f>
        <v>Svenska för ämneslärare, kurs 3</v>
      </c>
      <c r="C973" s="31">
        <v>71813</v>
      </c>
      <c r="D973" s="60" t="s">
        <v>482</v>
      </c>
      <c r="E973" s="60"/>
      <c r="F973" s="57" t="s">
        <v>2274</v>
      </c>
      <c r="H973" s="31" t="s">
        <v>2335</v>
      </c>
      <c r="I973" s="31" t="s">
        <v>2399</v>
      </c>
      <c r="J973" s="31" t="s">
        <v>2246</v>
      </c>
      <c r="L973" s="38"/>
      <c r="M973">
        <v>30</v>
      </c>
      <c r="P973" s="31">
        <v>1</v>
      </c>
      <c r="Q973" s="539">
        <v>0.5</v>
      </c>
      <c r="R973" s="38">
        <v>0.85</v>
      </c>
      <c r="S973" s="280">
        <f t="shared" si="457"/>
        <v>0.42499999999999999</v>
      </c>
      <c r="T973" s="31">
        <f>VLOOKUP(A973,'Ansvar kurs'!$A$1:$C$1123,2,FALSE)</f>
        <v>1620</v>
      </c>
      <c r="U973" s="31" t="str">
        <f>VLOOKUP(T973,Orgenheter!$A$1:$C$166,2,FALSE)</f>
        <v>Inst för språkstudier</v>
      </c>
      <c r="V973" s="31" t="str">
        <f>VLOOKUP(T973,Orgenheter!$A$1:$C$166,3,FALSE)</f>
        <v>Hum</v>
      </c>
      <c r="W973" s="35" t="str">
        <f>VLOOKUP(D973,Program!$A$1:$B$36,2,FALSE)</f>
        <v>Ämneslärarprogrammet - Gy</v>
      </c>
      <c r="X973" s="40">
        <f>VLOOKUP(A973,kurspris!$A$1:$Q$913,15,FALSE)</f>
        <v>20766</v>
      </c>
      <c r="Y973" s="40">
        <f>VLOOKUP(A973,kurspris!$A$1:$Q$913,16,FALSE)</f>
        <v>17442</v>
      </c>
      <c r="Z973" s="40">
        <f t="shared" si="458"/>
        <v>17795.849999999999</v>
      </c>
      <c r="AA973" s="40">
        <f>VLOOKUP(A973,kurspris!$A$1:$Q$913,17,FALSE)</f>
        <v>6000</v>
      </c>
      <c r="AB973" s="40">
        <f t="shared" si="459"/>
        <v>3000</v>
      </c>
      <c r="AC973" s="40">
        <f t="shared" si="460"/>
        <v>20795.849999999999</v>
      </c>
      <c r="AD973" s="31">
        <f>VLOOKUP($A973,kurspris!$A$1:$Q$950,3,FALSE)</f>
        <v>0</v>
      </c>
      <c r="AE973" s="31">
        <f>VLOOKUP($A973,kurspris!$A$1:$Q$950,4,FALSE)</f>
        <v>1</v>
      </c>
      <c r="AF973" s="31">
        <f>VLOOKUP($A973,kurspris!$A$1:$Q$950,5,FALSE)</f>
        <v>0</v>
      </c>
      <c r="AG973" s="31">
        <f>VLOOKUP($A973,kurspris!$A$1:$Q$950,6,FALSE)</f>
        <v>0</v>
      </c>
      <c r="AH973" s="31">
        <f>VLOOKUP($A973,kurspris!$A$1:$Q$950,7,FALSE)</f>
        <v>0</v>
      </c>
      <c r="AI973" s="31">
        <f>VLOOKUP($A973,kurspris!$A$1:$Q$950,8,FALSE)</f>
        <v>0</v>
      </c>
      <c r="AJ973" s="31">
        <f>VLOOKUP($A973,kurspris!$A$1:$Q$950,9,FALSE)</f>
        <v>0</v>
      </c>
      <c r="AK973" s="31">
        <f>VLOOKUP($A973,kurspris!$A$1:$Q$950,10,FALSE)</f>
        <v>0</v>
      </c>
      <c r="AL973" s="31">
        <f>VLOOKUP($A973,kurspris!$A$1:$Q$950,11,FALSE)</f>
        <v>0</v>
      </c>
      <c r="AM973" s="31">
        <f>VLOOKUP($A973,kurspris!$A$1:$Q$950,12,FALSE)</f>
        <v>0</v>
      </c>
      <c r="AN973" s="31">
        <f>VLOOKUP($A973,kurspris!$A$1:$Q$950,13,FALSE)</f>
        <v>0</v>
      </c>
      <c r="AO973" s="31">
        <f>VLOOKUP($A973,kurspris!$A$1:$Q$950,14,FALSE)</f>
        <v>0</v>
      </c>
      <c r="AP973" s="57" t="s">
        <v>2402</v>
      </c>
      <c r="AQ973"/>
      <c r="AR973" s="31">
        <f t="shared" si="461"/>
        <v>0</v>
      </c>
      <c r="AS973" s="219">
        <f t="shared" si="462"/>
        <v>0</v>
      </c>
      <c r="AT973" s="31">
        <f t="shared" si="463"/>
        <v>0.5</v>
      </c>
      <c r="AU973" s="219">
        <f t="shared" si="464"/>
        <v>0.42499999999999999</v>
      </c>
      <c r="AV973" s="31">
        <f t="shared" si="465"/>
        <v>0</v>
      </c>
      <c r="AW973" s="31">
        <f t="shared" si="466"/>
        <v>0</v>
      </c>
      <c r="AX973" s="31">
        <f t="shared" si="467"/>
        <v>0</v>
      </c>
      <c r="AY973" s="219">
        <f t="shared" si="468"/>
        <v>0</v>
      </c>
      <c r="AZ973" s="196">
        <f t="shared" si="469"/>
        <v>0</v>
      </c>
      <c r="BA973" s="219">
        <f t="shared" si="470"/>
        <v>0</v>
      </c>
      <c r="BB973" s="31">
        <f t="shared" si="471"/>
        <v>0</v>
      </c>
      <c r="BC973" s="219">
        <f t="shared" si="472"/>
        <v>0</v>
      </c>
      <c r="BD973" s="31">
        <f t="shared" si="473"/>
        <v>0</v>
      </c>
      <c r="BE973" s="219">
        <f t="shared" si="474"/>
        <v>0</v>
      </c>
      <c r="BF973" s="31">
        <f t="shared" si="475"/>
        <v>0</v>
      </c>
      <c r="BG973" s="219">
        <f t="shared" si="476"/>
        <v>0</v>
      </c>
      <c r="BH973" s="31">
        <f t="shared" si="477"/>
        <v>0</v>
      </c>
      <c r="BI973" s="219">
        <f t="shared" si="478"/>
        <v>0</v>
      </c>
      <c r="BJ973" s="31">
        <f t="shared" si="479"/>
        <v>0</v>
      </c>
      <c r="BK973" s="219">
        <f t="shared" si="480"/>
        <v>0</v>
      </c>
      <c r="BL973" s="31">
        <f t="shared" si="481"/>
        <v>0</v>
      </c>
      <c r="BM973" s="219">
        <f t="shared" si="482"/>
        <v>0</v>
      </c>
      <c r="BN973" s="31">
        <f t="shared" si="483"/>
        <v>0</v>
      </c>
      <c r="BO973" s="219">
        <f t="shared" si="484"/>
        <v>0</v>
      </c>
    </row>
    <row r="974" spans="1:67" x14ac:dyDescent="0.25">
      <c r="A974" s="283" t="s">
        <v>2361</v>
      </c>
      <c r="B974" s="362" t="str">
        <f>VLOOKUP(A974,kurspris!$A$1:$B$992,2,FALSE)</f>
        <v>Ett flerspråkighetsperspektiv på berättande i F-3 och 4-6</v>
      </c>
      <c r="C974" s="537"/>
      <c r="D974" s="244" t="s">
        <v>117</v>
      </c>
      <c r="E974" s="244"/>
      <c r="F974" s="538" t="s">
        <v>2319</v>
      </c>
      <c r="G974" s="244"/>
      <c r="H974" s="244"/>
      <c r="I974" s="244" t="s">
        <v>2275</v>
      </c>
      <c r="J974" s="244"/>
      <c r="K974" s="244"/>
      <c r="L974" s="518"/>
      <c r="M974" s="511">
        <v>7.5</v>
      </c>
      <c r="N974" s="244"/>
      <c r="O974" s="244"/>
      <c r="P974" s="244">
        <v>30</v>
      </c>
      <c r="Q974" s="196">
        <f>(M974/60)*P974</f>
        <v>3.75</v>
      </c>
      <c r="R974" s="38">
        <v>0.8</v>
      </c>
      <c r="S974" s="280">
        <f t="shared" si="457"/>
        <v>3</v>
      </c>
      <c r="T974" s="31">
        <f>VLOOKUP(A974,'Ansvar kurs'!$A$1:$C$1123,2,FALSE)</f>
        <v>1620</v>
      </c>
      <c r="U974" s="31" t="str">
        <f>VLOOKUP(T974,Orgenheter!$A$1:$C$166,2,FALSE)</f>
        <v>Inst för språkstudier</v>
      </c>
      <c r="V974" s="31" t="str">
        <f>VLOOKUP(T974,Orgenheter!$A$1:$C$166,3,FALSE)</f>
        <v>Hum</v>
      </c>
      <c r="W974" s="35" t="str">
        <f>VLOOKUP(D974,Program!$A$1:$B$36,2,FALSE)</f>
        <v>Fristående och övriga kurser</v>
      </c>
      <c r="X974" s="40">
        <f>VLOOKUP(A974,kurspris!$A$1:$Q$913,15,FALSE)</f>
        <v>20766</v>
      </c>
      <c r="Y974" s="40">
        <f>VLOOKUP(A974,kurspris!$A$1:$Q$913,16,FALSE)</f>
        <v>17442</v>
      </c>
      <c r="Z974" s="40">
        <f t="shared" si="458"/>
        <v>130198.5</v>
      </c>
      <c r="AA974" s="40">
        <f>VLOOKUP(A974,kurspris!$A$1:$Q$913,17,FALSE)</f>
        <v>6000</v>
      </c>
      <c r="AB974" s="40">
        <f t="shared" si="459"/>
        <v>22500</v>
      </c>
      <c r="AC974" s="40">
        <f t="shared" si="460"/>
        <v>152698.5</v>
      </c>
      <c r="AD974" s="31">
        <f>VLOOKUP($A974,kurspris!$A$1:$Q$950,3,FALSE)</f>
        <v>0</v>
      </c>
      <c r="AE974" s="31">
        <f>VLOOKUP($A974,kurspris!$A$1:$Q$950,4,FALSE)</f>
        <v>1</v>
      </c>
      <c r="AF974" s="31">
        <f>VLOOKUP($A974,kurspris!$A$1:$Q$950,5,FALSE)</f>
        <v>0</v>
      </c>
      <c r="AG974" s="31">
        <f>VLOOKUP($A974,kurspris!$A$1:$Q$950,6,FALSE)</f>
        <v>0</v>
      </c>
      <c r="AH974" s="31">
        <f>VLOOKUP($A974,kurspris!$A$1:$Q$950,7,FALSE)</f>
        <v>0</v>
      </c>
      <c r="AI974" s="31">
        <f>VLOOKUP($A974,kurspris!$A$1:$Q$950,8,FALSE)</f>
        <v>0</v>
      </c>
      <c r="AJ974" s="31">
        <f>VLOOKUP($A974,kurspris!$A$1:$Q$950,9,FALSE)</f>
        <v>0</v>
      </c>
      <c r="AK974" s="31">
        <f>VLOOKUP($A974,kurspris!$A$1:$Q$950,10,FALSE)</f>
        <v>0</v>
      </c>
      <c r="AL974" s="31">
        <f>VLOOKUP($A974,kurspris!$A$1:$Q$950,11,FALSE)</f>
        <v>0</v>
      </c>
      <c r="AM974" s="31">
        <f>VLOOKUP($A974,kurspris!$A$1:$Q$950,12,FALSE)</f>
        <v>0</v>
      </c>
      <c r="AN974" s="31">
        <f>VLOOKUP($A974,kurspris!$A$1:$Q$950,13,FALSE)</f>
        <v>0</v>
      </c>
      <c r="AO974" s="31">
        <f>VLOOKUP($A974,kurspris!$A$1:$Q$950,14,FALSE)</f>
        <v>0</v>
      </c>
      <c r="AP974" s="57" t="s">
        <v>2267</v>
      </c>
      <c r="AQ974" s="37"/>
      <c r="AR974" s="31">
        <f t="shared" si="461"/>
        <v>0</v>
      </c>
      <c r="AS974" s="219">
        <f t="shared" si="462"/>
        <v>0</v>
      </c>
      <c r="AT974" s="31">
        <f t="shared" si="463"/>
        <v>3.75</v>
      </c>
      <c r="AU974" s="219">
        <f t="shared" si="464"/>
        <v>3</v>
      </c>
      <c r="AV974" s="31">
        <f t="shared" si="465"/>
        <v>0</v>
      </c>
      <c r="AW974" s="31">
        <f t="shared" si="466"/>
        <v>0</v>
      </c>
      <c r="AX974" s="31">
        <f t="shared" si="467"/>
        <v>0</v>
      </c>
      <c r="AY974" s="219">
        <f t="shared" si="468"/>
        <v>0</v>
      </c>
      <c r="AZ974" s="196">
        <f t="shared" si="469"/>
        <v>0</v>
      </c>
      <c r="BA974" s="219">
        <f t="shared" si="470"/>
        <v>0</v>
      </c>
      <c r="BB974" s="31">
        <f t="shared" si="471"/>
        <v>0</v>
      </c>
      <c r="BC974" s="219">
        <f t="shared" si="472"/>
        <v>0</v>
      </c>
      <c r="BD974" s="31">
        <f t="shared" si="473"/>
        <v>0</v>
      </c>
      <c r="BE974" s="219">
        <f t="shared" si="474"/>
        <v>0</v>
      </c>
      <c r="BF974" s="31">
        <f t="shared" si="475"/>
        <v>0</v>
      </c>
      <c r="BG974" s="219">
        <f t="shared" si="476"/>
        <v>0</v>
      </c>
      <c r="BH974" s="31">
        <f t="shared" si="477"/>
        <v>0</v>
      </c>
      <c r="BI974" s="219">
        <f t="shared" si="478"/>
        <v>0</v>
      </c>
      <c r="BJ974" s="31">
        <f t="shared" si="479"/>
        <v>0</v>
      </c>
      <c r="BK974" s="219">
        <f t="shared" si="480"/>
        <v>0</v>
      </c>
      <c r="BL974" s="31">
        <f t="shared" si="481"/>
        <v>0</v>
      </c>
      <c r="BM974" s="219">
        <f t="shared" si="482"/>
        <v>0</v>
      </c>
      <c r="BN974" s="31">
        <f t="shared" si="483"/>
        <v>0</v>
      </c>
      <c r="BO974" s="219">
        <f t="shared" si="484"/>
        <v>0</v>
      </c>
    </row>
    <row r="975" spans="1:67" x14ac:dyDescent="0.25">
      <c r="A975" s="283" t="s">
        <v>148</v>
      </c>
      <c r="B975" s="362" t="str">
        <f>VLOOKUP(A975,kurspris!$A$1:$B$992,2,FALSE)</f>
        <v>Studie- och yrkesvägledningens grunder</v>
      </c>
      <c r="C975" s="244"/>
      <c r="D975" s="538" t="s">
        <v>85</v>
      </c>
      <c r="E975" s="538" t="s">
        <v>2203</v>
      </c>
      <c r="F975" s="244" t="s">
        <v>2273</v>
      </c>
      <c r="G975" s="244"/>
      <c r="H975" s="244">
        <v>2480</v>
      </c>
      <c r="I975" s="538" t="s">
        <v>624</v>
      </c>
      <c r="J975" s="244"/>
      <c r="K975" s="244"/>
      <c r="L975" s="518"/>
      <c r="M975" s="325">
        <v>15</v>
      </c>
      <c r="P975" s="574">
        <v>38</v>
      </c>
      <c r="Q975" s="196">
        <f>(M975/60)*P975</f>
        <v>9.5</v>
      </c>
      <c r="R975" s="38">
        <v>0.85</v>
      </c>
      <c r="S975" s="280">
        <f t="shared" si="457"/>
        <v>8.0749999999999993</v>
      </c>
      <c r="T975" s="31">
        <f>VLOOKUP(A975,'Ansvar kurs'!$A$1:$C$1123,2,FALSE)</f>
        <v>2193</v>
      </c>
      <c r="U975" s="31" t="str">
        <f>VLOOKUP(T975,Orgenheter!$A$1:$C$166,2,FALSE)</f>
        <v xml:space="preserve">TUV </v>
      </c>
      <c r="V975" s="31" t="str">
        <f>VLOOKUP(T975,Orgenheter!$A$1:$C$166,3,FALSE)</f>
        <v>Sam</v>
      </c>
      <c r="W975" s="35" t="str">
        <f>VLOOKUP(D975,Program!$A$1:$B$36,2,FALSE)</f>
        <v>Studie- och yrkesvägledarprogram</v>
      </c>
      <c r="X975" s="40">
        <f>VLOOKUP(A975,kurspris!$A$1:$Q$913,15,FALSE)</f>
        <v>24631.8</v>
      </c>
      <c r="Y975" s="40">
        <f>VLOOKUP(A975,kurspris!$A$1:$Q$913,16,FALSE)</f>
        <v>21833.200000000001</v>
      </c>
      <c r="Z975" s="40">
        <f t="shared" si="458"/>
        <v>410305.19</v>
      </c>
      <c r="AA975" s="40">
        <f>VLOOKUP(A975,kurspris!$A$1:$Q$913,17,FALSE)</f>
        <v>6000</v>
      </c>
      <c r="AB975" s="40">
        <f t="shared" si="459"/>
        <v>57000</v>
      </c>
      <c r="AC975" s="40">
        <f t="shared" si="460"/>
        <v>467305.19</v>
      </c>
      <c r="AD975" s="31">
        <f>VLOOKUP($A975,kurspris!$A$1:$Q$950,3,FALSE)</f>
        <v>0</v>
      </c>
      <c r="AE975" s="31">
        <f>VLOOKUP($A975,kurspris!$A$1:$Q$950,4,FALSE)</f>
        <v>0</v>
      </c>
      <c r="AF975" s="31">
        <f>VLOOKUP($A975,kurspris!$A$1:$Q$950,5,FALSE)</f>
        <v>0</v>
      </c>
      <c r="AG975" s="31">
        <f>VLOOKUP($A975,kurspris!$A$1:$Q$950,6,FALSE)</f>
        <v>0</v>
      </c>
      <c r="AH975" s="31">
        <f>VLOOKUP($A975,kurspris!$A$1:$Q$950,7,FALSE)</f>
        <v>0</v>
      </c>
      <c r="AI975" s="31">
        <f>VLOOKUP($A975,kurspris!$A$1:$Q$950,8,FALSE)</f>
        <v>0</v>
      </c>
      <c r="AJ975" s="31">
        <f>VLOOKUP($A975,kurspris!$A$1:$Q$950,9,FALSE)</f>
        <v>0.8</v>
      </c>
      <c r="AK975" s="31">
        <f>VLOOKUP($A975,kurspris!$A$1:$Q$950,10,FALSE)</f>
        <v>0</v>
      </c>
      <c r="AL975" s="31">
        <f>VLOOKUP($A975,kurspris!$A$1:$Q$950,11,FALSE)</f>
        <v>0</v>
      </c>
      <c r="AM975" s="31">
        <f>VLOOKUP($A975,kurspris!$A$1:$Q$950,12,FALSE)</f>
        <v>0</v>
      </c>
      <c r="AN975" s="31">
        <f>VLOOKUP($A975,kurspris!$A$1:$Q$950,13,FALSE)</f>
        <v>0</v>
      </c>
      <c r="AO975" s="31">
        <f>VLOOKUP($A975,kurspris!$A$1:$Q$950,14,FALSE)</f>
        <v>0.2</v>
      </c>
      <c r="AP975" s="57" t="s">
        <v>2499</v>
      </c>
      <c r="AQ975"/>
      <c r="AR975" s="31">
        <f t="shared" si="461"/>
        <v>0</v>
      </c>
      <c r="AS975" s="219">
        <f t="shared" si="462"/>
        <v>0</v>
      </c>
      <c r="AT975" s="31">
        <f t="shared" si="463"/>
        <v>0</v>
      </c>
      <c r="AU975" s="219">
        <f t="shared" si="464"/>
        <v>0</v>
      </c>
      <c r="AV975" s="31">
        <f t="shared" si="465"/>
        <v>0</v>
      </c>
      <c r="AW975" s="31">
        <f t="shared" si="466"/>
        <v>0</v>
      </c>
      <c r="AX975" s="31">
        <f t="shared" si="467"/>
        <v>0</v>
      </c>
      <c r="AY975" s="219">
        <f t="shared" si="468"/>
        <v>0</v>
      </c>
      <c r="AZ975" s="196">
        <f t="shared" si="469"/>
        <v>0</v>
      </c>
      <c r="BA975" s="219">
        <f t="shared" si="470"/>
        <v>0</v>
      </c>
      <c r="BB975" s="31">
        <f t="shared" si="471"/>
        <v>0</v>
      </c>
      <c r="BC975" s="219">
        <f t="shared" si="472"/>
        <v>0</v>
      </c>
      <c r="BD975" s="31">
        <f t="shared" si="473"/>
        <v>7.6000000000000005</v>
      </c>
      <c r="BE975" s="219">
        <f t="shared" si="474"/>
        <v>6.46</v>
      </c>
      <c r="BF975" s="31">
        <f t="shared" si="475"/>
        <v>0</v>
      </c>
      <c r="BG975" s="219">
        <f t="shared" si="476"/>
        <v>0</v>
      </c>
      <c r="BH975" s="31">
        <f t="shared" si="477"/>
        <v>0</v>
      </c>
      <c r="BI975" s="219">
        <f t="shared" si="478"/>
        <v>0</v>
      </c>
      <c r="BJ975" s="31">
        <f t="shared" si="479"/>
        <v>0</v>
      </c>
      <c r="BK975" s="219">
        <f t="shared" si="480"/>
        <v>0</v>
      </c>
      <c r="BL975" s="31">
        <f t="shared" si="481"/>
        <v>0</v>
      </c>
      <c r="BM975" s="219">
        <f t="shared" si="482"/>
        <v>0</v>
      </c>
      <c r="BN975" s="31">
        <f t="shared" si="483"/>
        <v>1.9000000000000001</v>
      </c>
      <c r="BO975" s="219">
        <f t="shared" si="484"/>
        <v>1.615</v>
      </c>
    </row>
    <row r="976" spans="1:67" x14ac:dyDescent="0.25">
      <c r="A976" s="283" t="s">
        <v>148</v>
      </c>
      <c r="B976" s="362" t="str">
        <f>VLOOKUP(A976,kurspris!$A$1:$B$992,2,FALSE)</f>
        <v>Studie- och yrkesvägledningens grunder</v>
      </c>
      <c r="C976" s="244"/>
      <c r="D976" s="538" t="s">
        <v>85</v>
      </c>
      <c r="E976" s="538" t="s">
        <v>2203</v>
      </c>
      <c r="F976" s="244" t="s">
        <v>2273</v>
      </c>
      <c r="G976" s="244"/>
      <c r="H976" s="244">
        <v>2480</v>
      </c>
      <c r="I976" s="538" t="s">
        <v>1500</v>
      </c>
      <c r="J976" s="244"/>
      <c r="K976" s="244"/>
      <c r="L976" s="518"/>
      <c r="M976" s="325">
        <v>15</v>
      </c>
      <c r="P976" s="574">
        <v>34</v>
      </c>
      <c r="Q976" s="196">
        <f>(M976/60)*P976</f>
        <v>8.5</v>
      </c>
      <c r="R976" s="38">
        <v>0.85</v>
      </c>
      <c r="S976" s="280">
        <f t="shared" si="457"/>
        <v>7.2249999999999996</v>
      </c>
      <c r="T976" s="31">
        <f>VLOOKUP(A976,'Ansvar kurs'!$A$1:$C$1123,2,FALSE)</f>
        <v>2193</v>
      </c>
      <c r="U976" s="31" t="str">
        <f>VLOOKUP(T976,Orgenheter!$A$1:$C$166,2,FALSE)</f>
        <v xml:space="preserve">TUV </v>
      </c>
      <c r="V976" s="31" t="str">
        <f>VLOOKUP(T976,Orgenheter!$A$1:$C$166,3,FALSE)</f>
        <v>Sam</v>
      </c>
      <c r="W976" s="35" t="str">
        <f>VLOOKUP(D976,Program!$A$1:$B$36,2,FALSE)</f>
        <v>Studie- och yrkesvägledarprogram</v>
      </c>
      <c r="X976" s="40">
        <f>VLOOKUP(A976,kurspris!$A$1:$Q$913,15,FALSE)</f>
        <v>24631.8</v>
      </c>
      <c r="Y976" s="40">
        <f>VLOOKUP(A976,kurspris!$A$1:$Q$913,16,FALSE)</f>
        <v>21833.200000000001</v>
      </c>
      <c r="Z976" s="40">
        <f t="shared" si="458"/>
        <v>367115.17</v>
      </c>
      <c r="AA976" s="40">
        <f>VLOOKUP(A976,kurspris!$A$1:$Q$913,17,FALSE)</f>
        <v>6000</v>
      </c>
      <c r="AB976" s="40">
        <f t="shared" si="459"/>
        <v>51000</v>
      </c>
      <c r="AC976" s="40">
        <f t="shared" si="460"/>
        <v>418115.17</v>
      </c>
      <c r="AD976" s="31">
        <f>VLOOKUP($A976,kurspris!$A$1:$Q$950,3,FALSE)</f>
        <v>0</v>
      </c>
      <c r="AE976" s="31">
        <f>VLOOKUP($A976,kurspris!$A$1:$Q$950,4,FALSE)</f>
        <v>0</v>
      </c>
      <c r="AF976" s="31">
        <f>VLOOKUP($A976,kurspris!$A$1:$Q$950,5,FALSE)</f>
        <v>0</v>
      </c>
      <c r="AG976" s="31">
        <f>VLOOKUP($A976,kurspris!$A$1:$Q$950,6,FALSE)</f>
        <v>0</v>
      </c>
      <c r="AH976" s="31">
        <f>VLOOKUP($A976,kurspris!$A$1:$Q$950,7,FALSE)</f>
        <v>0</v>
      </c>
      <c r="AI976" s="31">
        <f>VLOOKUP($A976,kurspris!$A$1:$Q$950,8,FALSE)</f>
        <v>0</v>
      </c>
      <c r="AJ976" s="31">
        <f>VLOOKUP($A976,kurspris!$A$1:$Q$950,9,FALSE)</f>
        <v>0.8</v>
      </c>
      <c r="AK976" s="31">
        <f>VLOOKUP($A976,kurspris!$A$1:$Q$950,10,FALSE)</f>
        <v>0</v>
      </c>
      <c r="AL976" s="31">
        <f>VLOOKUP($A976,kurspris!$A$1:$Q$950,11,FALSE)</f>
        <v>0</v>
      </c>
      <c r="AM976" s="31">
        <f>VLOOKUP($A976,kurspris!$A$1:$Q$950,12,FALSE)</f>
        <v>0</v>
      </c>
      <c r="AN976" s="31">
        <f>VLOOKUP($A976,kurspris!$A$1:$Q$950,13,FALSE)</f>
        <v>0</v>
      </c>
      <c r="AO976" s="31">
        <f>VLOOKUP($A976,kurspris!$A$1:$Q$950,14,FALSE)</f>
        <v>0.2</v>
      </c>
      <c r="AP976" s="57" t="s">
        <v>2499</v>
      </c>
      <c r="AQ976"/>
      <c r="AR976" s="31">
        <f t="shared" si="461"/>
        <v>0</v>
      </c>
      <c r="AS976" s="219">
        <f t="shared" si="462"/>
        <v>0</v>
      </c>
      <c r="AT976" s="31">
        <f t="shared" si="463"/>
        <v>0</v>
      </c>
      <c r="AU976" s="219">
        <f t="shared" si="464"/>
        <v>0</v>
      </c>
      <c r="AV976" s="31">
        <f t="shared" si="465"/>
        <v>0</v>
      </c>
      <c r="AW976" s="31">
        <f t="shared" si="466"/>
        <v>0</v>
      </c>
      <c r="AX976" s="31">
        <f t="shared" si="467"/>
        <v>0</v>
      </c>
      <c r="AY976" s="219">
        <f t="shared" si="468"/>
        <v>0</v>
      </c>
      <c r="AZ976" s="196">
        <f t="shared" si="469"/>
        <v>0</v>
      </c>
      <c r="BA976" s="219">
        <f t="shared" si="470"/>
        <v>0</v>
      </c>
      <c r="BB976" s="31">
        <f t="shared" si="471"/>
        <v>0</v>
      </c>
      <c r="BC976" s="219">
        <f t="shared" si="472"/>
        <v>0</v>
      </c>
      <c r="BD976" s="31">
        <f t="shared" si="473"/>
        <v>6.8000000000000007</v>
      </c>
      <c r="BE976" s="219">
        <f t="shared" si="474"/>
        <v>5.78</v>
      </c>
      <c r="BF976" s="31">
        <f t="shared" si="475"/>
        <v>0</v>
      </c>
      <c r="BG976" s="219">
        <f t="shared" si="476"/>
        <v>0</v>
      </c>
      <c r="BH976" s="31">
        <f t="shared" si="477"/>
        <v>0</v>
      </c>
      <c r="BI976" s="219">
        <f t="shared" si="478"/>
        <v>0</v>
      </c>
      <c r="BJ976" s="31">
        <f t="shared" si="479"/>
        <v>0</v>
      </c>
      <c r="BK976" s="219">
        <f t="shared" si="480"/>
        <v>0</v>
      </c>
      <c r="BL976" s="31">
        <f t="shared" si="481"/>
        <v>0</v>
      </c>
      <c r="BM976" s="219">
        <f t="shared" si="482"/>
        <v>0</v>
      </c>
      <c r="BN976" s="31">
        <f t="shared" si="483"/>
        <v>1.7000000000000002</v>
      </c>
      <c r="BO976" s="219">
        <f t="shared" si="484"/>
        <v>1.4450000000000001</v>
      </c>
    </row>
    <row r="977" spans="1:67" x14ac:dyDescent="0.25">
      <c r="A977" s="31" t="s">
        <v>150</v>
      </c>
      <c r="B977" s="176" t="str">
        <f>VLOOKUP(A977,kurspris!$A$1:$B$992,2,FALSE)</f>
        <v>Vetenskapliga perspektiv på studie- och yrkesvägledning</v>
      </c>
      <c r="C977" s="31">
        <v>69102</v>
      </c>
      <c r="D977" s="60" t="s">
        <v>85</v>
      </c>
      <c r="E977" s="60"/>
      <c r="F977" s="57" t="s">
        <v>2274</v>
      </c>
      <c r="H977" s="31" t="s">
        <v>2335</v>
      </c>
      <c r="I977" s="31" t="s">
        <v>2275</v>
      </c>
      <c r="J977" s="31" t="s">
        <v>624</v>
      </c>
      <c r="L977" s="38"/>
      <c r="M977">
        <v>7.5</v>
      </c>
      <c r="P977" s="31">
        <v>21</v>
      </c>
      <c r="Q977" s="539">
        <v>2.625</v>
      </c>
      <c r="R977" s="38">
        <v>0.85</v>
      </c>
      <c r="S977" s="280">
        <f t="shared" si="457"/>
        <v>2.2312499999999997</v>
      </c>
      <c r="T977" s="31">
        <f>VLOOKUP(A977,'Ansvar kurs'!$A$1:$C$1123,2,FALSE)</f>
        <v>2193</v>
      </c>
      <c r="U977" s="31" t="str">
        <f>VLOOKUP(T977,Orgenheter!$A$1:$C$166,2,FALSE)</f>
        <v xml:space="preserve">TUV </v>
      </c>
      <c r="V977" s="31" t="str">
        <f>VLOOKUP(T977,Orgenheter!$A$1:$C$166,3,FALSE)</f>
        <v>Sam</v>
      </c>
      <c r="W977" s="35" t="str">
        <f>VLOOKUP(D977,Program!$A$1:$B$36,2,FALSE)</f>
        <v>Studie- och yrkesvägledarprogram</v>
      </c>
      <c r="X977" s="40">
        <f>VLOOKUP(A977,kurspris!$A$1:$Q$913,15,FALSE)</f>
        <v>20766</v>
      </c>
      <c r="Y977" s="40">
        <f>VLOOKUP(A977,kurspris!$A$1:$Q$913,16,FALSE)</f>
        <v>17442</v>
      </c>
      <c r="Z977" s="40">
        <f t="shared" si="458"/>
        <v>93428.212499999994</v>
      </c>
      <c r="AA977" s="40">
        <f>VLOOKUP(A977,kurspris!$A$1:$Q$913,17,FALSE)</f>
        <v>6000</v>
      </c>
      <c r="AB977" s="40">
        <f t="shared" si="459"/>
        <v>15750</v>
      </c>
      <c r="AC977" s="40">
        <f t="shared" si="460"/>
        <v>109178.21249999999</v>
      </c>
      <c r="AD977" s="31">
        <f>VLOOKUP($A977,kurspris!$A$1:$Q$950,3,FALSE)</f>
        <v>0</v>
      </c>
      <c r="AE977" s="31">
        <f>VLOOKUP($A977,kurspris!$A$1:$Q$950,4,FALSE)</f>
        <v>0</v>
      </c>
      <c r="AF977" s="31">
        <f>VLOOKUP($A977,kurspris!$A$1:$Q$950,5,FALSE)</f>
        <v>0</v>
      </c>
      <c r="AG977" s="31">
        <f>VLOOKUP($A977,kurspris!$A$1:$Q$950,6,FALSE)</f>
        <v>0</v>
      </c>
      <c r="AH977" s="31">
        <f>VLOOKUP($A977,kurspris!$A$1:$Q$950,7,FALSE)</f>
        <v>0</v>
      </c>
      <c r="AI977" s="31">
        <f>VLOOKUP($A977,kurspris!$A$1:$Q$950,8,FALSE)</f>
        <v>0</v>
      </c>
      <c r="AJ977" s="31">
        <f>VLOOKUP($A977,kurspris!$A$1:$Q$950,9,FALSE)</f>
        <v>1</v>
      </c>
      <c r="AK977" s="31">
        <f>VLOOKUP($A977,kurspris!$A$1:$Q$950,10,FALSE)</f>
        <v>0</v>
      </c>
      <c r="AL977" s="31">
        <f>VLOOKUP($A977,kurspris!$A$1:$Q$950,11,FALSE)</f>
        <v>0</v>
      </c>
      <c r="AM977" s="31">
        <f>VLOOKUP($A977,kurspris!$A$1:$Q$950,12,FALSE)</f>
        <v>0</v>
      </c>
      <c r="AN977" s="31">
        <f>VLOOKUP($A977,kurspris!$A$1:$Q$950,13,FALSE)</f>
        <v>0</v>
      </c>
      <c r="AO977" s="31">
        <f>VLOOKUP($A977,kurspris!$A$1:$Q$950,14,FALSE)</f>
        <v>0</v>
      </c>
      <c r="AP977" s="57" t="s">
        <v>2402</v>
      </c>
      <c r="AQ977"/>
      <c r="AR977" s="31">
        <f t="shared" si="461"/>
        <v>0</v>
      </c>
      <c r="AS977" s="219">
        <f t="shared" si="462"/>
        <v>0</v>
      </c>
      <c r="AT977" s="31">
        <f t="shared" si="463"/>
        <v>0</v>
      </c>
      <c r="AU977" s="219">
        <f t="shared" si="464"/>
        <v>0</v>
      </c>
      <c r="AV977" s="31">
        <f t="shared" si="465"/>
        <v>0</v>
      </c>
      <c r="AW977" s="31">
        <f t="shared" si="466"/>
        <v>0</v>
      </c>
      <c r="AX977" s="31">
        <f t="shared" si="467"/>
        <v>0</v>
      </c>
      <c r="AY977" s="219">
        <f t="shared" si="468"/>
        <v>0</v>
      </c>
      <c r="AZ977" s="196">
        <f t="shared" si="469"/>
        <v>0</v>
      </c>
      <c r="BA977" s="219">
        <f t="shared" si="470"/>
        <v>0</v>
      </c>
      <c r="BB977" s="31">
        <f t="shared" si="471"/>
        <v>0</v>
      </c>
      <c r="BC977" s="219">
        <f t="shared" si="472"/>
        <v>0</v>
      </c>
      <c r="BD977" s="31">
        <f t="shared" si="473"/>
        <v>2.625</v>
      </c>
      <c r="BE977" s="219">
        <f t="shared" si="474"/>
        <v>2.2312499999999997</v>
      </c>
      <c r="BF977" s="31">
        <f t="shared" si="475"/>
        <v>0</v>
      </c>
      <c r="BG977" s="219">
        <f t="shared" si="476"/>
        <v>0</v>
      </c>
      <c r="BH977" s="31">
        <f t="shared" si="477"/>
        <v>0</v>
      </c>
      <c r="BI977" s="219">
        <f t="shared" si="478"/>
        <v>0</v>
      </c>
      <c r="BJ977" s="31">
        <f t="shared" si="479"/>
        <v>0</v>
      </c>
      <c r="BK977" s="219">
        <f t="shared" si="480"/>
        <v>0</v>
      </c>
      <c r="BL977" s="31">
        <f t="shared" si="481"/>
        <v>0</v>
      </c>
      <c r="BM977" s="219">
        <f t="shared" si="482"/>
        <v>0</v>
      </c>
      <c r="BN977" s="31">
        <f t="shared" si="483"/>
        <v>0</v>
      </c>
      <c r="BO977" s="219">
        <f t="shared" si="484"/>
        <v>0</v>
      </c>
    </row>
    <row r="978" spans="1:67" x14ac:dyDescent="0.25">
      <c r="A978" s="31" t="s">
        <v>150</v>
      </c>
      <c r="B978" s="176" t="str">
        <f>VLOOKUP(A978,kurspris!$A$1:$B$992,2,FALSE)</f>
        <v>Vetenskapliga perspektiv på studie- och yrkesvägledning</v>
      </c>
      <c r="C978" s="31">
        <v>69102</v>
      </c>
      <c r="D978" s="60" t="s">
        <v>85</v>
      </c>
      <c r="E978" s="60"/>
      <c r="F978" s="57" t="s">
        <v>2274</v>
      </c>
      <c r="H978" s="31" t="s">
        <v>2335</v>
      </c>
      <c r="I978" s="31" t="s">
        <v>2275</v>
      </c>
      <c r="J978" s="31" t="s">
        <v>1500</v>
      </c>
      <c r="L978" s="38"/>
      <c r="M978">
        <v>7.5</v>
      </c>
      <c r="P978" s="31">
        <v>1</v>
      </c>
      <c r="Q978" s="539">
        <v>0.125</v>
      </c>
      <c r="R978" s="38">
        <v>0.85</v>
      </c>
      <c r="S978" s="280">
        <f t="shared" si="457"/>
        <v>0.10625</v>
      </c>
      <c r="T978" s="31">
        <f>VLOOKUP(A978,'Ansvar kurs'!$A$1:$C$1123,2,FALSE)</f>
        <v>2193</v>
      </c>
      <c r="U978" s="31" t="str">
        <f>VLOOKUP(T978,Orgenheter!$A$1:$C$166,2,FALSE)</f>
        <v xml:space="preserve">TUV </v>
      </c>
      <c r="V978" s="31" t="str">
        <f>VLOOKUP(T978,Orgenheter!$A$1:$C$166,3,FALSE)</f>
        <v>Sam</v>
      </c>
      <c r="W978" s="35" t="str">
        <f>VLOOKUP(D978,Program!$A$1:$B$36,2,FALSE)</f>
        <v>Studie- och yrkesvägledarprogram</v>
      </c>
      <c r="X978" s="40">
        <f>VLOOKUP(A978,kurspris!$A$1:$Q$913,15,FALSE)</f>
        <v>20766</v>
      </c>
      <c r="Y978" s="40">
        <f>VLOOKUP(A978,kurspris!$A$1:$Q$913,16,FALSE)</f>
        <v>17442</v>
      </c>
      <c r="Z978" s="40">
        <f t="shared" si="458"/>
        <v>4448.9624999999996</v>
      </c>
      <c r="AA978" s="40">
        <f>VLOOKUP(A978,kurspris!$A$1:$Q$913,17,FALSE)</f>
        <v>6000</v>
      </c>
      <c r="AB978" s="40">
        <f t="shared" si="459"/>
        <v>750</v>
      </c>
      <c r="AC978" s="40">
        <f t="shared" si="460"/>
        <v>5198.9624999999996</v>
      </c>
      <c r="AD978" s="31">
        <f>VLOOKUP($A978,kurspris!$A$1:$Q$950,3,FALSE)</f>
        <v>0</v>
      </c>
      <c r="AE978" s="31">
        <f>VLOOKUP($A978,kurspris!$A$1:$Q$950,4,FALSE)</f>
        <v>0</v>
      </c>
      <c r="AF978" s="31">
        <f>VLOOKUP($A978,kurspris!$A$1:$Q$950,5,FALSE)</f>
        <v>0</v>
      </c>
      <c r="AG978" s="31">
        <f>VLOOKUP($A978,kurspris!$A$1:$Q$950,6,FALSE)</f>
        <v>0</v>
      </c>
      <c r="AH978" s="31">
        <f>VLOOKUP($A978,kurspris!$A$1:$Q$950,7,FALSE)</f>
        <v>0</v>
      </c>
      <c r="AI978" s="31">
        <f>VLOOKUP($A978,kurspris!$A$1:$Q$950,8,FALSE)</f>
        <v>0</v>
      </c>
      <c r="AJ978" s="31">
        <f>VLOOKUP($A978,kurspris!$A$1:$Q$950,9,FALSE)</f>
        <v>1</v>
      </c>
      <c r="AK978" s="31">
        <f>VLOOKUP($A978,kurspris!$A$1:$Q$950,10,FALSE)</f>
        <v>0</v>
      </c>
      <c r="AL978" s="31">
        <f>VLOOKUP($A978,kurspris!$A$1:$Q$950,11,FALSE)</f>
        <v>0</v>
      </c>
      <c r="AM978" s="31">
        <f>VLOOKUP($A978,kurspris!$A$1:$Q$950,12,FALSE)</f>
        <v>0</v>
      </c>
      <c r="AN978" s="31">
        <f>VLOOKUP($A978,kurspris!$A$1:$Q$950,13,FALSE)</f>
        <v>0</v>
      </c>
      <c r="AO978" s="31">
        <f>VLOOKUP($A978,kurspris!$A$1:$Q$950,14,FALSE)</f>
        <v>0</v>
      </c>
      <c r="AP978" s="57" t="s">
        <v>2402</v>
      </c>
      <c r="AQ978"/>
      <c r="AR978" s="31">
        <f t="shared" si="461"/>
        <v>0</v>
      </c>
      <c r="AS978" s="219">
        <f t="shared" si="462"/>
        <v>0</v>
      </c>
      <c r="AT978" s="31">
        <f t="shared" si="463"/>
        <v>0</v>
      </c>
      <c r="AU978" s="219">
        <f t="shared" si="464"/>
        <v>0</v>
      </c>
      <c r="AV978" s="31">
        <f t="shared" si="465"/>
        <v>0</v>
      </c>
      <c r="AW978" s="31">
        <f t="shared" si="466"/>
        <v>0</v>
      </c>
      <c r="AX978" s="31">
        <f t="shared" si="467"/>
        <v>0</v>
      </c>
      <c r="AY978" s="219">
        <f t="shared" si="468"/>
        <v>0</v>
      </c>
      <c r="AZ978" s="196">
        <f t="shared" si="469"/>
        <v>0</v>
      </c>
      <c r="BA978" s="219">
        <f t="shared" si="470"/>
        <v>0</v>
      </c>
      <c r="BB978" s="31">
        <f t="shared" si="471"/>
        <v>0</v>
      </c>
      <c r="BC978" s="219">
        <f t="shared" si="472"/>
        <v>0</v>
      </c>
      <c r="BD978" s="31">
        <f t="shared" si="473"/>
        <v>0.125</v>
      </c>
      <c r="BE978" s="219">
        <f t="shared" si="474"/>
        <v>0.10625</v>
      </c>
      <c r="BF978" s="31">
        <f t="shared" si="475"/>
        <v>0</v>
      </c>
      <c r="BG978" s="219">
        <f t="shared" si="476"/>
        <v>0</v>
      </c>
      <c r="BH978" s="31">
        <f t="shared" si="477"/>
        <v>0</v>
      </c>
      <c r="BI978" s="219">
        <f t="shared" si="478"/>
        <v>0</v>
      </c>
      <c r="BJ978" s="31">
        <f t="shared" si="479"/>
        <v>0</v>
      </c>
      <c r="BK978" s="219">
        <f t="shared" si="480"/>
        <v>0</v>
      </c>
      <c r="BL978" s="31">
        <f t="shared" si="481"/>
        <v>0</v>
      </c>
      <c r="BM978" s="219">
        <f t="shared" si="482"/>
        <v>0</v>
      </c>
      <c r="BN978" s="31">
        <f t="shared" si="483"/>
        <v>0</v>
      </c>
      <c r="BO978" s="219">
        <f t="shared" si="484"/>
        <v>0</v>
      </c>
    </row>
    <row r="979" spans="1:67" x14ac:dyDescent="0.25">
      <c r="A979" s="31" t="s">
        <v>150</v>
      </c>
      <c r="B979" s="176" t="str">
        <f>VLOOKUP(A979,kurspris!$A$1:$B$992,2,FALSE)</f>
        <v>Vetenskapliga perspektiv på studie- och yrkesvägledning</v>
      </c>
      <c r="C979" s="31">
        <v>69103</v>
      </c>
      <c r="D979" s="60" t="s">
        <v>85</v>
      </c>
      <c r="E979" s="60"/>
      <c r="F979" s="57" t="s">
        <v>2274</v>
      </c>
      <c r="H979" s="31" t="s">
        <v>2335</v>
      </c>
      <c r="I979" s="31" t="s">
        <v>2399</v>
      </c>
      <c r="J979" s="31" t="s">
        <v>1500</v>
      </c>
      <c r="L979" s="38"/>
      <c r="M979">
        <v>7.5</v>
      </c>
      <c r="P979" s="31">
        <v>26</v>
      </c>
      <c r="Q979" s="539">
        <v>3.25</v>
      </c>
      <c r="R979" s="38">
        <v>0.85</v>
      </c>
      <c r="S979" s="280">
        <f t="shared" si="457"/>
        <v>2.7624999999999997</v>
      </c>
      <c r="T979" s="31">
        <f>VLOOKUP(A979,'Ansvar kurs'!$A$1:$C$1123,2,FALSE)</f>
        <v>2193</v>
      </c>
      <c r="U979" s="31" t="str">
        <f>VLOOKUP(T979,Orgenheter!$A$1:$C$166,2,FALSE)</f>
        <v xml:space="preserve">TUV </v>
      </c>
      <c r="V979" s="31" t="str">
        <f>VLOOKUP(T979,Orgenheter!$A$1:$C$166,3,FALSE)</f>
        <v>Sam</v>
      </c>
      <c r="W979" s="35" t="str">
        <f>VLOOKUP(D979,Program!$A$1:$B$36,2,FALSE)</f>
        <v>Studie- och yrkesvägledarprogram</v>
      </c>
      <c r="X979" s="40">
        <f>VLOOKUP(A979,kurspris!$A$1:$Q$913,15,FALSE)</f>
        <v>20766</v>
      </c>
      <c r="Y979" s="40">
        <f>VLOOKUP(A979,kurspris!$A$1:$Q$913,16,FALSE)</f>
        <v>17442</v>
      </c>
      <c r="Z979" s="40">
        <f t="shared" si="458"/>
        <v>115673.02499999999</v>
      </c>
      <c r="AA979" s="40">
        <f>VLOOKUP(A979,kurspris!$A$1:$Q$913,17,FALSE)</f>
        <v>6000</v>
      </c>
      <c r="AB979" s="40">
        <f t="shared" si="459"/>
        <v>19500</v>
      </c>
      <c r="AC979" s="40">
        <f t="shared" si="460"/>
        <v>135173.02499999999</v>
      </c>
      <c r="AD979" s="31">
        <f>VLOOKUP($A979,kurspris!$A$1:$Q$950,3,FALSE)</f>
        <v>0</v>
      </c>
      <c r="AE979" s="31">
        <f>VLOOKUP($A979,kurspris!$A$1:$Q$950,4,FALSE)</f>
        <v>0</v>
      </c>
      <c r="AF979" s="31">
        <f>VLOOKUP($A979,kurspris!$A$1:$Q$950,5,FALSE)</f>
        <v>0</v>
      </c>
      <c r="AG979" s="31">
        <f>VLOOKUP($A979,kurspris!$A$1:$Q$950,6,FALSE)</f>
        <v>0</v>
      </c>
      <c r="AH979" s="31">
        <f>VLOOKUP($A979,kurspris!$A$1:$Q$950,7,FALSE)</f>
        <v>0</v>
      </c>
      <c r="AI979" s="31">
        <f>VLOOKUP($A979,kurspris!$A$1:$Q$950,8,FALSE)</f>
        <v>0</v>
      </c>
      <c r="AJ979" s="31">
        <f>VLOOKUP($A979,kurspris!$A$1:$Q$950,9,FALSE)</f>
        <v>1</v>
      </c>
      <c r="AK979" s="31">
        <f>VLOOKUP($A979,kurspris!$A$1:$Q$950,10,FALSE)</f>
        <v>0</v>
      </c>
      <c r="AL979" s="31">
        <f>VLOOKUP($A979,kurspris!$A$1:$Q$950,11,FALSE)</f>
        <v>0</v>
      </c>
      <c r="AM979" s="31">
        <f>VLOOKUP($A979,kurspris!$A$1:$Q$950,12,FALSE)</f>
        <v>0</v>
      </c>
      <c r="AN979" s="31">
        <f>VLOOKUP($A979,kurspris!$A$1:$Q$950,13,FALSE)</f>
        <v>0</v>
      </c>
      <c r="AO979" s="31">
        <f>VLOOKUP($A979,kurspris!$A$1:$Q$950,14,FALSE)</f>
        <v>0</v>
      </c>
      <c r="AP979" s="57" t="s">
        <v>2402</v>
      </c>
      <c r="AQ979"/>
      <c r="AR979" s="31">
        <f t="shared" si="461"/>
        <v>0</v>
      </c>
      <c r="AS979" s="219">
        <f t="shared" si="462"/>
        <v>0</v>
      </c>
      <c r="AT979" s="31">
        <f t="shared" si="463"/>
        <v>0</v>
      </c>
      <c r="AU979" s="219">
        <f t="shared" si="464"/>
        <v>0</v>
      </c>
      <c r="AV979" s="31">
        <f t="shared" si="465"/>
        <v>0</v>
      </c>
      <c r="AW979" s="31">
        <f t="shared" si="466"/>
        <v>0</v>
      </c>
      <c r="AX979" s="31">
        <f t="shared" si="467"/>
        <v>0</v>
      </c>
      <c r="AY979" s="219">
        <f t="shared" si="468"/>
        <v>0</v>
      </c>
      <c r="AZ979" s="196">
        <f t="shared" si="469"/>
        <v>0</v>
      </c>
      <c r="BA979" s="219">
        <f t="shared" si="470"/>
        <v>0</v>
      </c>
      <c r="BB979" s="31">
        <f t="shared" si="471"/>
        <v>0</v>
      </c>
      <c r="BC979" s="219">
        <f t="shared" si="472"/>
        <v>0</v>
      </c>
      <c r="BD979" s="31">
        <f t="shared" si="473"/>
        <v>3.25</v>
      </c>
      <c r="BE979" s="219">
        <f t="shared" si="474"/>
        <v>2.7624999999999997</v>
      </c>
      <c r="BF979" s="31">
        <f t="shared" si="475"/>
        <v>0</v>
      </c>
      <c r="BG979" s="219">
        <f t="shared" si="476"/>
        <v>0</v>
      </c>
      <c r="BH979" s="31">
        <f t="shared" si="477"/>
        <v>0</v>
      </c>
      <c r="BI979" s="219">
        <f t="shared" si="478"/>
        <v>0</v>
      </c>
      <c r="BJ979" s="31">
        <f t="shared" si="479"/>
        <v>0</v>
      </c>
      <c r="BK979" s="219">
        <f t="shared" si="480"/>
        <v>0</v>
      </c>
      <c r="BL979" s="31">
        <f t="shared" si="481"/>
        <v>0</v>
      </c>
      <c r="BM979" s="219">
        <f t="shared" si="482"/>
        <v>0</v>
      </c>
      <c r="BN979" s="31">
        <f t="shared" si="483"/>
        <v>0</v>
      </c>
      <c r="BO979" s="219">
        <f t="shared" si="484"/>
        <v>0</v>
      </c>
    </row>
    <row r="980" spans="1:67" x14ac:dyDescent="0.25">
      <c r="A980" s="31" t="s">
        <v>396</v>
      </c>
      <c r="B980" s="176" t="str">
        <f>VLOOKUP(A980,kurspris!$A$1:$B$992,2,FALSE)</f>
        <v>Studie- och yrkesvägledningens praktik</v>
      </c>
      <c r="C980" s="31">
        <v>69107</v>
      </c>
      <c r="D980" s="31" t="s">
        <v>85</v>
      </c>
      <c r="F980" s="57" t="s">
        <v>2274</v>
      </c>
      <c r="H980" s="31" t="s">
        <v>2335</v>
      </c>
      <c r="I980" s="31" t="s">
        <v>2275</v>
      </c>
      <c r="J980" s="31" t="s">
        <v>1501</v>
      </c>
      <c r="L980" s="38"/>
      <c r="M980">
        <v>15</v>
      </c>
      <c r="P980" s="31">
        <v>27</v>
      </c>
      <c r="Q980" s="539">
        <v>6.75</v>
      </c>
      <c r="R980" s="38">
        <v>0.85</v>
      </c>
      <c r="S980" s="280">
        <f t="shared" si="457"/>
        <v>5.7374999999999998</v>
      </c>
      <c r="T980" s="31">
        <f>VLOOKUP(A980,'Ansvar kurs'!$A$1:$C$1123,2,FALSE)</f>
        <v>2193</v>
      </c>
      <c r="U980" s="31" t="str">
        <f>VLOOKUP(T980,Orgenheter!$A$1:$C$166,2,FALSE)</f>
        <v xml:space="preserve">TUV </v>
      </c>
      <c r="V980" s="31" t="str">
        <f>VLOOKUP(T980,Orgenheter!$A$1:$C$166,3,FALSE)</f>
        <v>Sam</v>
      </c>
      <c r="W980" s="35" t="str">
        <f>VLOOKUP(D980,Program!$A$1:$B$36,2,FALSE)</f>
        <v>Studie- och yrkesvägledarprogram</v>
      </c>
      <c r="X980" s="40">
        <f>VLOOKUP(A980,kurspris!$A$1:$Q$913,15,FALSE)</f>
        <v>26564.699999999997</v>
      </c>
      <c r="Y980" s="40">
        <f>VLOOKUP(A980,kurspris!$A$1:$Q$913,16,FALSE)</f>
        <v>24028.799999999999</v>
      </c>
      <c r="Z980" s="40">
        <f t="shared" si="458"/>
        <v>317176.96499999997</v>
      </c>
      <c r="AA980" s="40">
        <f>VLOOKUP(A980,kurspris!$A$1:$Q$913,17,FALSE)</f>
        <v>6000</v>
      </c>
      <c r="AB980" s="40">
        <f t="shared" si="459"/>
        <v>40500</v>
      </c>
      <c r="AC980" s="40">
        <f t="shared" si="460"/>
        <v>357676.96499999997</v>
      </c>
      <c r="AD980" s="31">
        <f>VLOOKUP($A980,kurspris!$A$1:$Q$950,3,FALSE)</f>
        <v>0</v>
      </c>
      <c r="AE980" s="31">
        <f>VLOOKUP($A980,kurspris!$A$1:$Q$950,4,FALSE)</f>
        <v>0</v>
      </c>
      <c r="AF980" s="31">
        <f>VLOOKUP($A980,kurspris!$A$1:$Q$950,5,FALSE)</f>
        <v>0</v>
      </c>
      <c r="AG980" s="31">
        <f>VLOOKUP($A980,kurspris!$A$1:$Q$950,6,FALSE)</f>
        <v>0</v>
      </c>
      <c r="AH980" s="31">
        <f>VLOOKUP($A980,kurspris!$A$1:$Q$950,7,FALSE)</f>
        <v>0</v>
      </c>
      <c r="AI980" s="31">
        <f>VLOOKUP($A980,kurspris!$A$1:$Q$950,8,FALSE)</f>
        <v>0</v>
      </c>
      <c r="AJ980" s="31">
        <f>VLOOKUP($A980,kurspris!$A$1:$Q$950,9,FALSE)</f>
        <v>0.7</v>
      </c>
      <c r="AK980" s="31">
        <f>VLOOKUP($A980,kurspris!$A$1:$Q$950,10,FALSE)</f>
        <v>0</v>
      </c>
      <c r="AL980" s="31">
        <f>VLOOKUP($A980,kurspris!$A$1:$Q$950,11,FALSE)</f>
        <v>0</v>
      </c>
      <c r="AM980" s="31">
        <f>VLOOKUP($A980,kurspris!$A$1:$Q$950,12,FALSE)</f>
        <v>0</v>
      </c>
      <c r="AN980" s="31">
        <f>VLOOKUP($A980,kurspris!$A$1:$Q$950,13,FALSE)</f>
        <v>0</v>
      </c>
      <c r="AO980" s="31">
        <f>VLOOKUP($A980,kurspris!$A$1:$Q$950,14,FALSE)</f>
        <v>0.3</v>
      </c>
      <c r="AP980" s="57" t="s">
        <v>2402</v>
      </c>
      <c r="AQ980" s="37"/>
      <c r="AR980" s="31">
        <f t="shared" si="461"/>
        <v>0</v>
      </c>
      <c r="AS980" s="219">
        <f t="shared" si="462"/>
        <v>0</v>
      </c>
      <c r="AT980" s="31">
        <f t="shared" si="463"/>
        <v>0</v>
      </c>
      <c r="AU980" s="219">
        <f t="shared" si="464"/>
        <v>0</v>
      </c>
      <c r="AV980" s="31">
        <f t="shared" si="465"/>
        <v>0</v>
      </c>
      <c r="AW980" s="31">
        <f t="shared" si="466"/>
        <v>0</v>
      </c>
      <c r="AX980" s="31">
        <f t="shared" si="467"/>
        <v>0</v>
      </c>
      <c r="AY980" s="219">
        <f t="shared" si="468"/>
        <v>0</v>
      </c>
      <c r="AZ980" s="196">
        <f t="shared" si="469"/>
        <v>0</v>
      </c>
      <c r="BA980" s="219">
        <f t="shared" si="470"/>
        <v>0</v>
      </c>
      <c r="BB980" s="31">
        <f t="shared" si="471"/>
        <v>0</v>
      </c>
      <c r="BC980" s="219">
        <f t="shared" si="472"/>
        <v>0</v>
      </c>
      <c r="BD980" s="31">
        <f t="shared" si="473"/>
        <v>4.7249999999999996</v>
      </c>
      <c r="BE980" s="219">
        <f t="shared" si="474"/>
        <v>4.0162499999999994</v>
      </c>
      <c r="BF980" s="31">
        <f t="shared" si="475"/>
        <v>0</v>
      </c>
      <c r="BG980" s="219">
        <f t="shared" si="476"/>
        <v>0</v>
      </c>
      <c r="BH980" s="31">
        <f t="shared" si="477"/>
        <v>0</v>
      </c>
      <c r="BI980" s="219">
        <f t="shared" si="478"/>
        <v>0</v>
      </c>
      <c r="BJ980" s="31">
        <f t="shared" si="479"/>
        <v>0</v>
      </c>
      <c r="BK980" s="219">
        <f t="shared" si="480"/>
        <v>0</v>
      </c>
      <c r="BL980" s="31">
        <f t="shared" si="481"/>
        <v>0</v>
      </c>
      <c r="BM980" s="219">
        <f t="shared" si="482"/>
        <v>0</v>
      </c>
      <c r="BN980" s="31">
        <f t="shared" si="483"/>
        <v>2.0249999999999999</v>
      </c>
      <c r="BO980" s="219">
        <f t="shared" si="484"/>
        <v>1.7212499999999999</v>
      </c>
    </row>
    <row r="981" spans="1:67" x14ac:dyDescent="0.25">
      <c r="A981" s="31" t="s">
        <v>396</v>
      </c>
      <c r="B981" s="176" t="str">
        <f>VLOOKUP(A981,kurspris!$A$1:$B$992,2,FALSE)</f>
        <v>Studie- och yrkesvägledningens praktik</v>
      </c>
      <c r="C981" s="31" t="s">
        <v>2392</v>
      </c>
      <c r="D981" s="60" t="s">
        <v>85</v>
      </c>
      <c r="E981" s="60"/>
      <c r="F981" s="57" t="s">
        <v>2274</v>
      </c>
      <c r="H981" s="31" t="s">
        <v>2335</v>
      </c>
      <c r="I981" s="31" t="s">
        <v>2275</v>
      </c>
      <c r="J981" s="31" t="s">
        <v>1501</v>
      </c>
      <c r="L981" s="38"/>
      <c r="M981">
        <v>15</v>
      </c>
      <c r="P981" s="31">
        <v>1</v>
      </c>
      <c r="Q981" s="539">
        <v>0.25</v>
      </c>
      <c r="R981" s="38">
        <v>0.85</v>
      </c>
      <c r="S981" s="280">
        <f t="shared" si="457"/>
        <v>0.21249999999999999</v>
      </c>
      <c r="T981" s="31">
        <f>VLOOKUP(A981,'Ansvar kurs'!$A$1:$C$1123,2,FALSE)</f>
        <v>2193</v>
      </c>
      <c r="U981" s="31" t="str">
        <f>VLOOKUP(T981,Orgenheter!$A$1:$C$166,2,FALSE)</f>
        <v xml:space="preserve">TUV </v>
      </c>
      <c r="V981" s="31" t="str">
        <f>VLOOKUP(T981,Orgenheter!$A$1:$C$166,3,FALSE)</f>
        <v>Sam</v>
      </c>
      <c r="W981" s="35" t="str">
        <f>VLOOKUP(D981,Program!$A$1:$B$36,2,FALSE)</f>
        <v>Studie- och yrkesvägledarprogram</v>
      </c>
      <c r="X981" s="40">
        <f>VLOOKUP(A981,kurspris!$A$1:$Q$913,15,FALSE)</f>
        <v>26564.699999999997</v>
      </c>
      <c r="Y981" s="40">
        <f>VLOOKUP(A981,kurspris!$A$1:$Q$913,16,FALSE)</f>
        <v>24028.799999999999</v>
      </c>
      <c r="Z981" s="40">
        <f t="shared" si="458"/>
        <v>11747.294999999998</v>
      </c>
      <c r="AA981" s="40">
        <f>VLOOKUP(A981,kurspris!$A$1:$Q$913,17,FALSE)</f>
        <v>6000</v>
      </c>
      <c r="AB981" s="40">
        <f t="shared" si="459"/>
        <v>1500</v>
      </c>
      <c r="AC981" s="40">
        <f t="shared" si="460"/>
        <v>13247.294999999998</v>
      </c>
      <c r="AD981" s="31">
        <f>VLOOKUP($A981,kurspris!$A$1:$Q$950,3,FALSE)</f>
        <v>0</v>
      </c>
      <c r="AE981" s="31">
        <f>VLOOKUP($A981,kurspris!$A$1:$Q$950,4,FALSE)</f>
        <v>0</v>
      </c>
      <c r="AF981" s="31">
        <f>VLOOKUP($A981,kurspris!$A$1:$Q$950,5,FALSE)</f>
        <v>0</v>
      </c>
      <c r="AG981" s="31">
        <f>VLOOKUP($A981,kurspris!$A$1:$Q$950,6,FALSE)</f>
        <v>0</v>
      </c>
      <c r="AH981" s="31">
        <f>VLOOKUP($A981,kurspris!$A$1:$Q$950,7,FALSE)</f>
        <v>0</v>
      </c>
      <c r="AI981" s="31">
        <f>VLOOKUP($A981,kurspris!$A$1:$Q$950,8,FALSE)</f>
        <v>0</v>
      </c>
      <c r="AJ981" s="31">
        <f>VLOOKUP($A981,kurspris!$A$1:$Q$950,9,FALSE)</f>
        <v>0.7</v>
      </c>
      <c r="AK981" s="31">
        <f>VLOOKUP($A981,kurspris!$A$1:$Q$950,10,FALSE)</f>
        <v>0</v>
      </c>
      <c r="AL981" s="31">
        <f>VLOOKUP($A981,kurspris!$A$1:$Q$950,11,FALSE)</f>
        <v>0</v>
      </c>
      <c r="AM981" s="31">
        <f>VLOOKUP($A981,kurspris!$A$1:$Q$950,12,FALSE)</f>
        <v>0</v>
      </c>
      <c r="AN981" s="31">
        <f>VLOOKUP($A981,kurspris!$A$1:$Q$950,13,FALSE)</f>
        <v>0</v>
      </c>
      <c r="AO981" s="31">
        <f>VLOOKUP($A981,kurspris!$A$1:$Q$950,14,FALSE)</f>
        <v>0.3</v>
      </c>
      <c r="AP981" s="57" t="s">
        <v>2402</v>
      </c>
      <c r="AQ981"/>
      <c r="AR981" s="31">
        <f t="shared" si="461"/>
        <v>0</v>
      </c>
      <c r="AS981" s="219">
        <f t="shared" si="462"/>
        <v>0</v>
      </c>
      <c r="AT981" s="31">
        <f t="shared" si="463"/>
        <v>0</v>
      </c>
      <c r="AU981" s="219">
        <f t="shared" si="464"/>
        <v>0</v>
      </c>
      <c r="AV981" s="31">
        <f t="shared" si="465"/>
        <v>0</v>
      </c>
      <c r="AW981" s="31">
        <f t="shared" si="466"/>
        <v>0</v>
      </c>
      <c r="AX981" s="31">
        <f t="shared" si="467"/>
        <v>0</v>
      </c>
      <c r="AY981" s="219">
        <f t="shared" si="468"/>
        <v>0</v>
      </c>
      <c r="AZ981" s="196">
        <f t="shared" si="469"/>
        <v>0</v>
      </c>
      <c r="BA981" s="219">
        <f t="shared" si="470"/>
        <v>0</v>
      </c>
      <c r="BB981" s="31">
        <f t="shared" si="471"/>
        <v>0</v>
      </c>
      <c r="BC981" s="219">
        <f t="shared" si="472"/>
        <v>0</v>
      </c>
      <c r="BD981" s="31">
        <f t="shared" si="473"/>
        <v>0.17499999999999999</v>
      </c>
      <c r="BE981" s="219">
        <f t="shared" si="474"/>
        <v>0.14874999999999999</v>
      </c>
      <c r="BF981" s="31">
        <f t="shared" si="475"/>
        <v>0</v>
      </c>
      <c r="BG981" s="219">
        <f t="shared" si="476"/>
        <v>0</v>
      </c>
      <c r="BH981" s="31">
        <f t="shared" si="477"/>
        <v>0</v>
      </c>
      <c r="BI981" s="219">
        <f t="shared" si="478"/>
        <v>0</v>
      </c>
      <c r="BJ981" s="31">
        <f t="shared" si="479"/>
        <v>0</v>
      </c>
      <c r="BK981" s="219">
        <f t="shared" si="480"/>
        <v>0</v>
      </c>
      <c r="BL981" s="31">
        <f t="shared" si="481"/>
        <v>0</v>
      </c>
      <c r="BM981" s="219">
        <f t="shared" si="482"/>
        <v>0</v>
      </c>
      <c r="BN981" s="31">
        <f t="shared" si="483"/>
        <v>7.4999999999999997E-2</v>
      </c>
      <c r="BO981" s="219">
        <f t="shared" si="484"/>
        <v>6.3750000000000001E-2</v>
      </c>
    </row>
    <row r="982" spans="1:67" x14ac:dyDescent="0.25">
      <c r="A982" s="31" t="s">
        <v>396</v>
      </c>
      <c r="B982" s="176" t="str">
        <f>VLOOKUP(A982,kurspris!$A$1:$B$992,2,FALSE)</f>
        <v>Studie- och yrkesvägledningens praktik</v>
      </c>
      <c r="C982" s="31">
        <v>69107</v>
      </c>
      <c r="D982" s="60" t="s">
        <v>85</v>
      </c>
      <c r="E982" s="60"/>
      <c r="F982" s="57" t="s">
        <v>2274</v>
      </c>
      <c r="H982" s="31" t="s">
        <v>2335</v>
      </c>
      <c r="I982" s="31" t="s">
        <v>2275</v>
      </c>
      <c r="J982" s="31" t="s">
        <v>624</v>
      </c>
      <c r="L982" s="38"/>
      <c r="M982">
        <v>15</v>
      </c>
      <c r="P982" s="31">
        <v>20</v>
      </c>
      <c r="Q982" s="539">
        <v>5</v>
      </c>
      <c r="R982" s="38">
        <v>0.85</v>
      </c>
      <c r="S982" s="280">
        <f t="shared" si="457"/>
        <v>4.25</v>
      </c>
      <c r="T982" s="31">
        <f>VLOOKUP(A982,'Ansvar kurs'!$A$1:$C$1123,2,FALSE)</f>
        <v>2193</v>
      </c>
      <c r="U982" s="31" t="str">
        <f>VLOOKUP(T982,Orgenheter!$A$1:$C$166,2,FALSE)</f>
        <v xml:space="preserve">TUV </v>
      </c>
      <c r="V982" s="31" t="str">
        <f>VLOOKUP(T982,Orgenheter!$A$1:$C$166,3,FALSE)</f>
        <v>Sam</v>
      </c>
      <c r="W982" s="35" t="str">
        <f>VLOOKUP(D982,Program!$A$1:$B$36,2,FALSE)</f>
        <v>Studie- och yrkesvägledarprogram</v>
      </c>
      <c r="X982" s="40">
        <f>VLOOKUP(A982,kurspris!$A$1:$Q$913,15,FALSE)</f>
        <v>26564.699999999997</v>
      </c>
      <c r="Y982" s="40">
        <f>VLOOKUP(A982,kurspris!$A$1:$Q$913,16,FALSE)</f>
        <v>24028.799999999999</v>
      </c>
      <c r="Z982" s="40">
        <f t="shared" si="458"/>
        <v>234945.9</v>
      </c>
      <c r="AA982" s="40">
        <f>VLOOKUP(A982,kurspris!$A$1:$Q$913,17,FALSE)</f>
        <v>6000</v>
      </c>
      <c r="AB982" s="40">
        <f t="shared" si="459"/>
        <v>30000</v>
      </c>
      <c r="AC982" s="40">
        <f t="shared" si="460"/>
        <v>264945.90000000002</v>
      </c>
      <c r="AD982" s="31">
        <f>VLOOKUP($A982,kurspris!$A$1:$Q$950,3,FALSE)</f>
        <v>0</v>
      </c>
      <c r="AE982" s="31">
        <f>VLOOKUP($A982,kurspris!$A$1:$Q$950,4,FALSE)</f>
        <v>0</v>
      </c>
      <c r="AF982" s="31">
        <f>VLOOKUP($A982,kurspris!$A$1:$Q$950,5,FALSE)</f>
        <v>0</v>
      </c>
      <c r="AG982" s="31">
        <f>VLOOKUP($A982,kurspris!$A$1:$Q$950,6,FALSE)</f>
        <v>0</v>
      </c>
      <c r="AH982" s="31">
        <f>VLOOKUP($A982,kurspris!$A$1:$Q$950,7,FALSE)</f>
        <v>0</v>
      </c>
      <c r="AI982" s="31">
        <f>VLOOKUP($A982,kurspris!$A$1:$Q$950,8,FALSE)</f>
        <v>0</v>
      </c>
      <c r="AJ982" s="31">
        <f>VLOOKUP($A982,kurspris!$A$1:$Q$950,9,FALSE)</f>
        <v>0.7</v>
      </c>
      <c r="AK982" s="31">
        <f>VLOOKUP($A982,kurspris!$A$1:$Q$950,10,FALSE)</f>
        <v>0</v>
      </c>
      <c r="AL982" s="31">
        <f>VLOOKUP($A982,kurspris!$A$1:$Q$950,11,FALSE)</f>
        <v>0</v>
      </c>
      <c r="AM982" s="31">
        <f>VLOOKUP($A982,kurspris!$A$1:$Q$950,12,FALSE)</f>
        <v>0</v>
      </c>
      <c r="AN982" s="31">
        <f>VLOOKUP($A982,kurspris!$A$1:$Q$950,13,FALSE)</f>
        <v>0</v>
      </c>
      <c r="AO982" s="31">
        <f>VLOOKUP($A982,kurspris!$A$1:$Q$950,14,FALSE)</f>
        <v>0.3</v>
      </c>
      <c r="AP982" s="57" t="s">
        <v>2402</v>
      </c>
      <c r="AQ982"/>
      <c r="AR982" s="31">
        <f t="shared" si="461"/>
        <v>0</v>
      </c>
      <c r="AS982" s="219">
        <f t="shared" si="462"/>
        <v>0</v>
      </c>
      <c r="AT982" s="31">
        <f t="shared" si="463"/>
        <v>0</v>
      </c>
      <c r="AU982" s="219">
        <f t="shared" si="464"/>
        <v>0</v>
      </c>
      <c r="AV982" s="31">
        <f t="shared" si="465"/>
        <v>0</v>
      </c>
      <c r="AW982" s="31">
        <f t="shared" si="466"/>
        <v>0</v>
      </c>
      <c r="AX982" s="31">
        <f t="shared" si="467"/>
        <v>0</v>
      </c>
      <c r="AY982" s="219">
        <f t="shared" si="468"/>
        <v>0</v>
      </c>
      <c r="AZ982" s="196">
        <f t="shared" si="469"/>
        <v>0</v>
      </c>
      <c r="BA982" s="219">
        <f t="shared" si="470"/>
        <v>0</v>
      </c>
      <c r="BB982" s="31">
        <f t="shared" si="471"/>
        <v>0</v>
      </c>
      <c r="BC982" s="219">
        <f t="shared" si="472"/>
        <v>0</v>
      </c>
      <c r="BD982" s="31">
        <f t="shared" si="473"/>
        <v>3.5</v>
      </c>
      <c r="BE982" s="219">
        <f t="shared" si="474"/>
        <v>2.9749999999999996</v>
      </c>
      <c r="BF982" s="31">
        <f t="shared" si="475"/>
        <v>0</v>
      </c>
      <c r="BG982" s="219">
        <f t="shared" si="476"/>
        <v>0</v>
      </c>
      <c r="BH982" s="31">
        <f t="shared" si="477"/>
        <v>0</v>
      </c>
      <c r="BI982" s="219">
        <f t="shared" si="478"/>
        <v>0</v>
      </c>
      <c r="BJ982" s="31">
        <f t="shared" si="479"/>
        <v>0</v>
      </c>
      <c r="BK982" s="219">
        <f t="shared" si="480"/>
        <v>0</v>
      </c>
      <c r="BL982" s="31">
        <f t="shared" si="481"/>
        <v>0</v>
      </c>
      <c r="BM982" s="219">
        <f t="shared" si="482"/>
        <v>0</v>
      </c>
      <c r="BN982" s="31">
        <f t="shared" si="483"/>
        <v>1.5</v>
      </c>
      <c r="BO982" s="219">
        <f t="shared" si="484"/>
        <v>1.2749999999999999</v>
      </c>
    </row>
    <row r="983" spans="1:67" x14ac:dyDescent="0.25">
      <c r="A983" s="31" t="s">
        <v>396</v>
      </c>
      <c r="B983" s="176" t="str">
        <f>VLOOKUP(A983,kurspris!$A$1:$B$992,2,FALSE)</f>
        <v>Studie- och yrkesvägledningens praktik</v>
      </c>
      <c r="C983" s="31" t="s">
        <v>2391</v>
      </c>
      <c r="D983" s="60" t="s">
        <v>85</v>
      </c>
      <c r="E983" s="60"/>
      <c r="F983" s="57" t="s">
        <v>2274</v>
      </c>
      <c r="H983" s="31" t="s">
        <v>2335</v>
      </c>
      <c r="I983" s="31" t="s">
        <v>2275</v>
      </c>
      <c r="J983" s="31" t="s">
        <v>624</v>
      </c>
      <c r="L983" s="38"/>
      <c r="M983">
        <v>15</v>
      </c>
      <c r="P983" s="31">
        <v>1</v>
      </c>
      <c r="Q983" s="539">
        <v>0.25</v>
      </c>
      <c r="R983" s="38">
        <v>0.85</v>
      </c>
      <c r="S983" s="280">
        <f t="shared" si="457"/>
        <v>0.21249999999999999</v>
      </c>
      <c r="T983" s="31">
        <f>VLOOKUP(A983,'Ansvar kurs'!$A$1:$C$1123,2,FALSE)</f>
        <v>2193</v>
      </c>
      <c r="U983" s="31" t="str">
        <f>VLOOKUP(T983,Orgenheter!$A$1:$C$166,2,FALSE)</f>
        <v xml:space="preserve">TUV </v>
      </c>
      <c r="V983" s="31" t="str">
        <f>VLOOKUP(T983,Orgenheter!$A$1:$C$166,3,FALSE)</f>
        <v>Sam</v>
      </c>
      <c r="W983" s="35" t="str">
        <f>VLOOKUP(D983,Program!$A$1:$B$36,2,FALSE)</f>
        <v>Studie- och yrkesvägledarprogram</v>
      </c>
      <c r="X983" s="40">
        <f>VLOOKUP(A983,kurspris!$A$1:$Q$913,15,FALSE)</f>
        <v>26564.699999999997</v>
      </c>
      <c r="Y983" s="40">
        <f>VLOOKUP(A983,kurspris!$A$1:$Q$913,16,FALSE)</f>
        <v>24028.799999999999</v>
      </c>
      <c r="Z983" s="40">
        <f t="shared" si="458"/>
        <v>11747.294999999998</v>
      </c>
      <c r="AA983" s="40">
        <f>VLOOKUP(A983,kurspris!$A$1:$Q$913,17,FALSE)</f>
        <v>6000</v>
      </c>
      <c r="AB983" s="40">
        <f t="shared" si="459"/>
        <v>1500</v>
      </c>
      <c r="AC983" s="40">
        <f t="shared" si="460"/>
        <v>13247.294999999998</v>
      </c>
      <c r="AD983" s="31">
        <f>VLOOKUP($A983,kurspris!$A$1:$Q$950,3,FALSE)</f>
        <v>0</v>
      </c>
      <c r="AE983" s="31">
        <f>VLOOKUP($A983,kurspris!$A$1:$Q$950,4,FALSE)</f>
        <v>0</v>
      </c>
      <c r="AF983" s="31">
        <f>VLOOKUP($A983,kurspris!$A$1:$Q$950,5,FALSE)</f>
        <v>0</v>
      </c>
      <c r="AG983" s="31">
        <f>VLOOKUP($A983,kurspris!$A$1:$Q$950,6,FALSE)</f>
        <v>0</v>
      </c>
      <c r="AH983" s="31">
        <f>VLOOKUP($A983,kurspris!$A$1:$Q$950,7,FALSE)</f>
        <v>0</v>
      </c>
      <c r="AI983" s="31">
        <f>VLOOKUP($A983,kurspris!$A$1:$Q$950,8,FALSE)</f>
        <v>0</v>
      </c>
      <c r="AJ983" s="31">
        <f>VLOOKUP($A983,kurspris!$A$1:$Q$950,9,FALSE)</f>
        <v>0.7</v>
      </c>
      <c r="AK983" s="31">
        <f>VLOOKUP($A983,kurspris!$A$1:$Q$950,10,FALSE)</f>
        <v>0</v>
      </c>
      <c r="AL983" s="31">
        <f>VLOOKUP($A983,kurspris!$A$1:$Q$950,11,FALSE)</f>
        <v>0</v>
      </c>
      <c r="AM983" s="31">
        <f>VLOOKUP($A983,kurspris!$A$1:$Q$950,12,FALSE)</f>
        <v>0</v>
      </c>
      <c r="AN983" s="31">
        <f>VLOOKUP($A983,kurspris!$A$1:$Q$950,13,FALSE)</f>
        <v>0</v>
      </c>
      <c r="AO983" s="31">
        <f>VLOOKUP($A983,kurspris!$A$1:$Q$950,14,FALSE)</f>
        <v>0.3</v>
      </c>
      <c r="AP983" s="57" t="s">
        <v>2402</v>
      </c>
      <c r="AQ983"/>
      <c r="AR983" s="31">
        <f t="shared" si="461"/>
        <v>0</v>
      </c>
      <c r="AS983" s="219">
        <f t="shared" si="462"/>
        <v>0</v>
      </c>
      <c r="AT983" s="31">
        <f t="shared" si="463"/>
        <v>0</v>
      </c>
      <c r="AU983" s="219">
        <f t="shared" si="464"/>
        <v>0</v>
      </c>
      <c r="AV983" s="31">
        <f t="shared" si="465"/>
        <v>0</v>
      </c>
      <c r="AW983" s="31">
        <f t="shared" si="466"/>
        <v>0</v>
      </c>
      <c r="AX983" s="31">
        <f t="shared" si="467"/>
        <v>0</v>
      </c>
      <c r="AY983" s="219">
        <f t="shared" si="468"/>
        <v>0</v>
      </c>
      <c r="AZ983" s="196">
        <f t="shared" si="469"/>
        <v>0</v>
      </c>
      <c r="BA983" s="219">
        <f t="shared" si="470"/>
        <v>0</v>
      </c>
      <c r="BB983" s="31">
        <f t="shared" si="471"/>
        <v>0</v>
      </c>
      <c r="BC983" s="219">
        <f t="shared" si="472"/>
        <v>0</v>
      </c>
      <c r="BD983" s="31">
        <f t="shared" si="473"/>
        <v>0.17499999999999999</v>
      </c>
      <c r="BE983" s="219">
        <f t="shared" si="474"/>
        <v>0.14874999999999999</v>
      </c>
      <c r="BF983" s="31">
        <f t="shared" si="475"/>
        <v>0</v>
      </c>
      <c r="BG983" s="219">
        <f t="shared" si="476"/>
        <v>0</v>
      </c>
      <c r="BH983" s="31">
        <f t="shared" si="477"/>
        <v>0</v>
      </c>
      <c r="BI983" s="219">
        <f t="shared" si="478"/>
        <v>0</v>
      </c>
      <c r="BJ983" s="31">
        <f t="shared" si="479"/>
        <v>0</v>
      </c>
      <c r="BK983" s="219">
        <f t="shared" si="480"/>
        <v>0</v>
      </c>
      <c r="BL983" s="31">
        <f t="shared" si="481"/>
        <v>0</v>
      </c>
      <c r="BM983" s="219">
        <f t="shared" si="482"/>
        <v>0</v>
      </c>
      <c r="BN983" s="31">
        <f t="shared" si="483"/>
        <v>7.4999999999999997E-2</v>
      </c>
      <c r="BO983" s="219">
        <f t="shared" si="484"/>
        <v>6.3750000000000001E-2</v>
      </c>
    </row>
    <row r="984" spans="1:67" x14ac:dyDescent="0.25">
      <c r="A984" s="31" t="s">
        <v>396</v>
      </c>
      <c r="B984" s="176" t="str">
        <f>VLOOKUP(A984,kurspris!$A$1:$B$992,2,FALSE)</f>
        <v>Studie- och yrkesvägledningens praktik</v>
      </c>
      <c r="C984" s="31">
        <v>69108</v>
      </c>
      <c r="D984" s="60" t="s">
        <v>85</v>
      </c>
      <c r="E984" s="60"/>
      <c r="F984" s="57" t="s">
        <v>2274</v>
      </c>
      <c r="H984" s="31" t="s">
        <v>2335</v>
      </c>
      <c r="I984" s="31" t="s">
        <v>2399</v>
      </c>
      <c r="J984" s="31" t="s">
        <v>1500</v>
      </c>
      <c r="L984" s="38"/>
      <c r="M984">
        <v>15</v>
      </c>
      <c r="P984" s="31">
        <v>19</v>
      </c>
      <c r="Q984" s="539">
        <v>4.75</v>
      </c>
      <c r="R984" s="38">
        <v>0.85</v>
      </c>
      <c r="S984" s="280">
        <f t="shared" si="457"/>
        <v>4.0374999999999996</v>
      </c>
      <c r="T984" s="31">
        <f>VLOOKUP(A984,'Ansvar kurs'!$A$1:$C$1123,2,FALSE)</f>
        <v>2193</v>
      </c>
      <c r="U984" s="31" t="str">
        <f>VLOOKUP(T984,Orgenheter!$A$1:$C$166,2,FALSE)</f>
        <v xml:space="preserve">TUV </v>
      </c>
      <c r="V984" s="31" t="str">
        <f>VLOOKUP(T984,Orgenheter!$A$1:$C$166,3,FALSE)</f>
        <v>Sam</v>
      </c>
      <c r="W984" s="35" t="str">
        <f>VLOOKUP(D984,Program!$A$1:$B$36,2,FALSE)</f>
        <v>Studie- och yrkesvägledarprogram</v>
      </c>
      <c r="X984" s="40">
        <f>VLOOKUP(A984,kurspris!$A$1:$Q$913,15,FALSE)</f>
        <v>26564.699999999997</v>
      </c>
      <c r="Y984" s="40">
        <f>VLOOKUP(A984,kurspris!$A$1:$Q$913,16,FALSE)</f>
        <v>24028.799999999999</v>
      </c>
      <c r="Z984" s="40">
        <f t="shared" si="458"/>
        <v>223198.60499999998</v>
      </c>
      <c r="AA984" s="40">
        <f>VLOOKUP(A984,kurspris!$A$1:$Q$913,17,FALSE)</f>
        <v>6000</v>
      </c>
      <c r="AB984" s="40">
        <f t="shared" si="459"/>
        <v>28500</v>
      </c>
      <c r="AC984" s="40">
        <f t="shared" si="460"/>
        <v>251698.60499999998</v>
      </c>
      <c r="AD984" s="31">
        <f>VLOOKUP($A984,kurspris!$A$1:$Q$950,3,FALSE)</f>
        <v>0</v>
      </c>
      <c r="AE984" s="31">
        <f>VLOOKUP($A984,kurspris!$A$1:$Q$950,4,FALSE)</f>
        <v>0</v>
      </c>
      <c r="AF984" s="31">
        <f>VLOOKUP($A984,kurspris!$A$1:$Q$950,5,FALSE)</f>
        <v>0</v>
      </c>
      <c r="AG984" s="31">
        <f>VLOOKUP($A984,kurspris!$A$1:$Q$950,6,FALSE)</f>
        <v>0</v>
      </c>
      <c r="AH984" s="31">
        <f>VLOOKUP($A984,kurspris!$A$1:$Q$950,7,FALSE)</f>
        <v>0</v>
      </c>
      <c r="AI984" s="31">
        <f>VLOOKUP($A984,kurspris!$A$1:$Q$950,8,FALSE)</f>
        <v>0</v>
      </c>
      <c r="AJ984" s="31">
        <f>VLOOKUP($A984,kurspris!$A$1:$Q$950,9,FALSE)</f>
        <v>0.7</v>
      </c>
      <c r="AK984" s="31">
        <f>VLOOKUP($A984,kurspris!$A$1:$Q$950,10,FALSE)</f>
        <v>0</v>
      </c>
      <c r="AL984" s="31">
        <f>VLOOKUP($A984,kurspris!$A$1:$Q$950,11,FALSE)</f>
        <v>0</v>
      </c>
      <c r="AM984" s="31">
        <f>VLOOKUP($A984,kurspris!$A$1:$Q$950,12,FALSE)</f>
        <v>0</v>
      </c>
      <c r="AN984" s="31">
        <f>VLOOKUP($A984,kurspris!$A$1:$Q$950,13,FALSE)</f>
        <v>0</v>
      </c>
      <c r="AO984" s="31">
        <f>VLOOKUP($A984,kurspris!$A$1:$Q$950,14,FALSE)</f>
        <v>0.3</v>
      </c>
      <c r="AP984" s="57" t="s">
        <v>2402</v>
      </c>
      <c r="AQ984"/>
      <c r="AR984" s="31">
        <f t="shared" si="461"/>
        <v>0</v>
      </c>
      <c r="AS984" s="219">
        <f t="shared" si="462"/>
        <v>0</v>
      </c>
      <c r="AT984" s="31">
        <f t="shared" si="463"/>
        <v>0</v>
      </c>
      <c r="AU984" s="219">
        <f t="shared" si="464"/>
        <v>0</v>
      </c>
      <c r="AV984" s="31">
        <f t="shared" si="465"/>
        <v>0</v>
      </c>
      <c r="AW984" s="31">
        <f t="shared" si="466"/>
        <v>0</v>
      </c>
      <c r="AX984" s="31">
        <f t="shared" si="467"/>
        <v>0</v>
      </c>
      <c r="AY984" s="219">
        <f t="shared" si="468"/>
        <v>0</v>
      </c>
      <c r="AZ984" s="196">
        <f t="shared" si="469"/>
        <v>0</v>
      </c>
      <c r="BA984" s="219">
        <f t="shared" si="470"/>
        <v>0</v>
      </c>
      <c r="BB984" s="31">
        <f t="shared" si="471"/>
        <v>0</v>
      </c>
      <c r="BC984" s="219">
        <f t="shared" si="472"/>
        <v>0</v>
      </c>
      <c r="BD984" s="31">
        <f t="shared" si="473"/>
        <v>3.3249999999999997</v>
      </c>
      <c r="BE984" s="219">
        <f t="shared" si="474"/>
        <v>2.8262499999999995</v>
      </c>
      <c r="BF984" s="31">
        <f t="shared" si="475"/>
        <v>0</v>
      </c>
      <c r="BG984" s="219">
        <f t="shared" si="476"/>
        <v>0</v>
      </c>
      <c r="BH984" s="31">
        <f t="shared" si="477"/>
        <v>0</v>
      </c>
      <c r="BI984" s="219">
        <f t="shared" si="478"/>
        <v>0</v>
      </c>
      <c r="BJ984" s="31">
        <f t="shared" si="479"/>
        <v>0</v>
      </c>
      <c r="BK984" s="219">
        <f t="shared" si="480"/>
        <v>0</v>
      </c>
      <c r="BL984" s="31">
        <f t="shared" si="481"/>
        <v>0</v>
      </c>
      <c r="BM984" s="219">
        <f t="shared" si="482"/>
        <v>0</v>
      </c>
      <c r="BN984" s="31">
        <f t="shared" si="483"/>
        <v>1.425</v>
      </c>
      <c r="BO984" s="219">
        <f t="shared" si="484"/>
        <v>1.2112499999999999</v>
      </c>
    </row>
    <row r="985" spans="1:67" x14ac:dyDescent="0.25">
      <c r="A985" s="31" t="s">
        <v>396</v>
      </c>
      <c r="B985" s="176" t="str">
        <f>VLOOKUP(A985,kurspris!$A$1:$B$992,2,FALSE)</f>
        <v>Studie- och yrkesvägledningens praktik</v>
      </c>
      <c r="C985" s="31">
        <v>69107</v>
      </c>
      <c r="D985" s="60" t="s">
        <v>85</v>
      </c>
      <c r="E985" s="60"/>
      <c r="F985" s="57" t="s">
        <v>2274</v>
      </c>
      <c r="H985" s="31" t="s">
        <v>2335</v>
      </c>
      <c r="I985" s="31" t="s">
        <v>2275</v>
      </c>
      <c r="L985" s="38"/>
      <c r="M985">
        <v>15</v>
      </c>
      <c r="P985" s="31">
        <v>1</v>
      </c>
      <c r="Q985" s="539">
        <v>0.25</v>
      </c>
      <c r="R985" s="38">
        <v>0.85</v>
      </c>
      <c r="S985" s="280">
        <f t="shared" si="457"/>
        <v>0.21249999999999999</v>
      </c>
      <c r="T985" s="31">
        <f>VLOOKUP(A985,'Ansvar kurs'!$A$1:$C$1123,2,FALSE)</f>
        <v>2193</v>
      </c>
      <c r="U985" s="31" t="str">
        <f>VLOOKUP(T985,Orgenheter!$A$1:$C$166,2,FALSE)</f>
        <v xml:space="preserve">TUV </v>
      </c>
      <c r="V985" s="31" t="str">
        <f>VLOOKUP(T985,Orgenheter!$A$1:$C$166,3,FALSE)</f>
        <v>Sam</v>
      </c>
      <c r="W985" s="35" t="str">
        <f>VLOOKUP(D985,Program!$A$1:$B$36,2,FALSE)</f>
        <v>Studie- och yrkesvägledarprogram</v>
      </c>
      <c r="X985" s="40">
        <f>VLOOKUP(A985,kurspris!$A$1:$Q$913,15,FALSE)</f>
        <v>26564.699999999997</v>
      </c>
      <c r="Y985" s="40">
        <f>VLOOKUP(A985,kurspris!$A$1:$Q$913,16,FALSE)</f>
        <v>24028.799999999999</v>
      </c>
      <c r="Z985" s="40">
        <f t="shared" si="458"/>
        <v>11747.294999999998</v>
      </c>
      <c r="AA985" s="40">
        <f>VLOOKUP(A985,kurspris!$A$1:$Q$913,17,FALSE)</f>
        <v>6000</v>
      </c>
      <c r="AB985" s="40">
        <f t="shared" si="459"/>
        <v>1500</v>
      </c>
      <c r="AC985" s="40">
        <f t="shared" si="460"/>
        <v>13247.294999999998</v>
      </c>
      <c r="AD985" s="31">
        <f>VLOOKUP($A985,kurspris!$A$1:$Q$950,3,FALSE)</f>
        <v>0</v>
      </c>
      <c r="AE985" s="31">
        <f>VLOOKUP($A985,kurspris!$A$1:$Q$950,4,FALSE)</f>
        <v>0</v>
      </c>
      <c r="AF985" s="31">
        <f>VLOOKUP($A985,kurspris!$A$1:$Q$950,5,FALSE)</f>
        <v>0</v>
      </c>
      <c r="AG985" s="31">
        <f>VLOOKUP($A985,kurspris!$A$1:$Q$950,6,FALSE)</f>
        <v>0</v>
      </c>
      <c r="AH985" s="31">
        <f>VLOOKUP($A985,kurspris!$A$1:$Q$950,7,FALSE)</f>
        <v>0</v>
      </c>
      <c r="AI985" s="31">
        <f>VLOOKUP($A985,kurspris!$A$1:$Q$950,8,FALSE)</f>
        <v>0</v>
      </c>
      <c r="AJ985" s="31">
        <f>VLOOKUP($A985,kurspris!$A$1:$Q$950,9,FALSE)</f>
        <v>0.7</v>
      </c>
      <c r="AK985" s="31">
        <f>VLOOKUP($A985,kurspris!$A$1:$Q$950,10,FALSE)</f>
        <v>0</v>
      </c>
      <c r="AL985" s="31">
        <f>VLOOKUP($A985,kurspris!$A$1:$Q$950,11,FALSE)</f>
        <v>0</v>
      </c>
      <c r="AM985" s="31">
        <f>VLOOKUP($A985,kurspris!$A$1:$Q$950,12,FALSE)</f>
        <v>0</v>
      </c>
      <c r="AN985" s="31">
        <f>VLOOKUP($A985,kurspris!$A$1:$Q$950,13,FALSE)</f>
        <v>0</v>
      </c>
      <c r="AO985" s="31">
        <f>VLOOKUP($A985,kurspris!$A$1:$Q$950,14,FALSE)</f>
        <v>0.3</v>
      </c>
      <c r="AP985" s="57" t="s">
        <v>2402</v>
      </c>
      <c r="AQ985"/>
      <c r="AR985" s="31">
        <f t="shared" si="461"/>
        <v>0</v>
      </c>
      <c r="AS985" s="219">
        <f t="shared" si="462"/>
        <v>0</v>
      </c>
      <c r="AT985" s="31">
        <f t="shared" si="463"/>
        <v>0</v>
      </c>
      <c r="AU985" s="219">
        <f t="shared" si="464"/>
        <v>0</v>
      </c>
      <c r="AV985" s="31">
        <f t="shared" si="465"/>
        <v>0</v>
      </c>
      <c r="AW985" s="31">
        <f t="shared" si="466"/>
        <v>0</v>
      </c>
      <c r="AX985" s="31">
        <f t="shared" si="467"/>
        <v>0</v>
      </c>
      <c r="AY985" s="219">
        <f t="shared" si="468"/>
        <v>0</v>
      </c>
      <c r="AZ985" s="196">
        <f t="shared" si="469"/>
        <v>0</v>
      </c>
      <c r="BA985" s="219">
        <f t="shared" si="470"/>
        <v>0</v>
      </c>
      <c r="BB985" s="31">
        <f t="shared" si="471"/>
        <v>0</v>
      </c>
      <c r="BC985" s="219">
        <f t="shared" si="472"/>
        <v>0</v>
      </c>
      <c r="BD985" s="31">
        <f t="shared" si="473"/>
        <v>0.17499999999999999</v>
      </c>
      <c r="BE985" s="219">
        <f t="shared" si="474"/>
        <v>0.14874999999999999</v>
      </c>
      <c r="BF985" s="31">
        <f t="shared" si="475"/>
        <v>0</v>
      </c>
      <c r="BG985" s="219">
        <f t="shared" si="476"/>
        <v>0</v>
      </c>
      <c r="BH985" s="31">
        <f t="shared" si="477"/>
        <v>0</v>
      </c>
      <c r="BI985" s="219">
        <f t="shared" si="478"/>
        <v>0</v>
      </c>
      <c r="BJ985" s="31">
        <f t="shared" si="479"/>
        <v>0</v>
      </c>
      <c r="BK985" s="219">
        <f t="shared" si="480"/>
        <v>0</v>
      </c>
      <c r="BL985" s="31">
        <f t="shared" si="481"/>
        <v>0</v>
      </c>
      <c r="BM985" s="219">
        <f t="shared" si="482"/>
        <v>0</v>
      </c>
      <c r="BN985" s="31">
        <f t="shared" si="483"/>
        <v>7.4999999999999997E-2</v>
      </c>
      <c r="BO985" s="219">
        <f t="shared" si="484"/>
        <v>6.3750000000000001E-2</v>
      </c>
    </row>
    <row r="986" spans="1:67" x14ac:dyDescent="0.25">
      <c r="A986" s="31" t="s">
        <v>877</v>
      </c>
      <c r="B986" s="176" t="str">
        <f>VLOOKUP(A986,kurspris!$A$1:$B$992,2,FALSE)</f>
        <v>Karriärutveckling i socialt och kulturellt perspektiv</v>
      </c>
      <c r="C986" s="31">
        <v>69104</v>
      </c>
      <c r="D986" s="60" t="s">
        <v>85</v>
      </c>
      <c r="E986" s="60"/>
      <c r="F986" s="57" t="s">
        <v>2274</v>
      </c>
      <c r="H986" s="31" t="s">
        <v>2335</v>
      </c>
      <c r="I986" s="31" t="s">
        <v>2275</v>
      </c>
      <c r="J986" s="31" t="s">
        <v>624</v>
      </c>
      <c r="L986" s="38"/>
      <c r="M986">
        <v>15</v>
      </c>
      <c r="P986" s="31">
        <v>18</v>
      </c>
      <c r="Q986" s="539">
        <v>4.5</v>
      </c>
      <c r="R986" s="38">
        <v>0.85</v>
      </c>
      <c r="S986" s="280">
        <f t="shared" si="457"/>
        <v>3.8249999999999997</v>
      </c>
      <c r="T986" s="31">
        <f>VLOOKUP(A986,'Ansvar kurs'!$A$1:$C$1123,2,FALSE)</f>
        <v>2193</v>
      </c>
      <c r="U986" s="31" t="str">
        <f>VLOOKUP(T986,Orgenheter!$A$1:$C$166,2,FALSE)</f>
        <v xml:space="preserve">TUV </v>
      </c>
      <c r="V986" s="31" t="str">
        <f>VLOOKUP(T986,Orgenheter!$A$1:$C$166,3,FALSE)</f>
        <v>Sam</v>
      </c>
      <c r="W986" s="35" t="str">
        <f>VLOOKUP(D986,Program!$A$1:$B$36,2,FALSE)</f>
        <v>Studie- och yrkesvägledarprogram</v>
      </c>
      <c r="X986" s="40">
        <f>VLOOKUP(A986,kurspris!$A$1:$Q$913,15,FALSE)</f>
        <v>20766</v>
      </c>
      <c r="Y986" s="40">
        <f>VLOOKUP(A986,kurspris!$A$1:$Q$913,16,FALSE)</f>
        <v>17442</v>
      </c>
      <c r="Z986" s="40">
        <f t="shared" si="458"/>
        <v>160162.65</v>
      </c>
      <c r="AA986" s="40">
        <f>VLOOKUP(A986,kurspris!$A$1:$Q$913,17,FALSE)</f>
        <v>6000</v>
      </c>
      <c r="AB986" s="40">
        <f t="shared" si="459"/>
        <v>27000</v>
      </c>
      <c r="AC986" s="40">
        <f t="shared" si="460"/>
        <v>187162.65</v>
      </c>
      <c r="AD986" s="31">
        <f>VLOOKUP($A986,kurspris!$A$1:$Q$950,3,FALSE)</f>
        <v>0</v>
      </c>
      <c r="AE986" s="31">
        <f>VLOOKUP($A986,kurspris!$A$1:$Q$950,4,FALSE)</f>
        <v>0</v>
      </c>
      <c r="AF986" s="31">
        <f>VLOOKUP($A986,kurspris!$A$1:$Q$950,5,FALSE)</f>
        <v>0</v>
      </c>
      <c r="AG986" s="31">
        <f>VLOOKUP($A986,kurspris!$A$1:$Q$950,6,FALSE)</f>
        <v>0</v>
      </c>
      <c r="AH986" s="31">
        <f>VLOOKUP($A986,kurspris!$A$1:$Q$950,7,FALSE)</f>
        <v>0</v>
      </c>
      <c r="AI986" s="31">
        <f>VLOOKUP($A986,kurspris!$A$1:$Q$950,8,FALSE)</f>
        <v>0</v>
      </c>
      <c r="AJ986" s="31">
        <f>VLOOKUP($A986,kurspris!$A$1:$Q$950,9,FALSE)</f>
        <v>1</v>
      </c>
      <c r="AK986" s="31">
        <f>VLOOKUP($A986,kurspris!$A$1:$Q$950,10,FALSE)</f>
        <v>0</v>
      </c>
      <c r="AL986" s="31">
        <f>VLOOKUP($A986,kurspris!$A$1:$Q$950,11,FALSE)</f>
        <v>0</v>
      </c>
      <c r="AM986" s="31">
        <f>VLOOKUP($A986,kurspris!$A$1:$Q$950,12,FALSE)</f>
        <v>0</v>
      </c>
      <c r="AN986" s="31">
        <f>VLOOKUP($A986,kurspris!$A$1:$Q$950,13,FALSE)</f>
        <v>0</v>
      </c>
      <c r="AO986" s="31">
        <f>VLOOKUP($A986,kurspris!$A$1:$Q$950,14,FALSE)</f>
        <v>0</v>
      </c>
      <c r="AP986" s="57" t="s">
        <v>2402</v>
      </c>
      <c r="AQ986"/>
      <c r="AR986" s="31">
        <f t="shared" si="461"/>
        <v>0</v>
      </c>
      <c r="AS986" s="219">
        <f t="shared" si="462"/>
        <v>0</v>
      </c>
      <c r="AT986" s="31">
        <f t="shared" si="463"/>
        <v>0</v>
      </c>
      <c r="AU986" s="219">
        <f t="shared" si="464"/>
        <v>0</v>
      </c>
      <c r="AV986" s="31">
        <f t="shared" si="465"/>
        <v>0</v>
      </c>
      <c r="AW986" s="31">
        <f t="shared" si="466"/>
        <v>0</v>
      </c>
      <c r="AX986" s="31">
        <f t="shared" si="467"/>
        <v>0</v>
      </c>
      <c r="AY986" s="219">
        <f t="shared" si="468"/>
        <v>0</v>
      </c>
      <c r="AZ986" s="196">
        <f t="shared" si="469"/>
        <v>0</v>
      </c>
      <c r="BA986" s="219">
        <f t="shared" si="470"/>
        <v>0</v>
      </c>
      <c r="BB986" s="31">
        <f t="shared" si="471"/>
        <v>0</v>
      </c>
      <c r="BC986" s="219">
        <f t="shared" si="472"/>
        <v>0</v>
      </c>
      <c r="BD986" s="31">
        <f t="shared" si="473"/>
        <v>4.5</v>
      </c>
      <c r="BE986" s="219">
        <f t="shared" si="474"/>
        <v>3.8249999999999997</v>
      </c>
      <c r="BF986" s="31">
        <f t="shared" si="475"/>
        <v>0</v>
      </c>
      <c r="BG986" s="219">
        <f t="shared" si="476"/>
        <v>0</v>
      </c>
      <c r="BH986" s="31">
        <f t="shared" si="477"/>
        <v>0</v>
      </c>
      <c r="BI986" s="219">
        <f t="shared" si="478"/>
        <v>0</v>
      </c>
      <c r="BJ986" s="31">
        <f t="shared" si="479"/>
        <v>0</v>
      </c>
      <c r="BK986" s="219">
        <f t="shared" si="480"/>
        <v>0</v>
      </c>
      <c r="BL986" s="31">
        <f t="shared" si="481"/>
        <v>0</v>
      </c>
      <c r="BM986" s="219">
        <f t="shared" si="482"/>
        <v>0</v>
      </c>
      <c r="BN986" s="31">
        <f t="shared" si="483"/>
        <v>0</v>
      </c>
      <c r="BO986" s="219">
        <f t="shared" si="484"/>
        <v>0</v>
      </c>
    </row>
    <row r="987" spans="1:67" x14ac:dyDescent="0.25">
      <c r="A987" s="31" t="s">
        <v>877</v>
      </c>
      <c r="B987" s="176" t="str">
        <f>VLOOKUP(A987,kurspris!$A$1:$B$992,2,FALSE)</f>
        <v>Karriärutveckling i socialt och kulturellt perspektiv</v>
      </c>
      <c r="C987" s="31">
        <v>69106</v>
      </c>
      <c r="D987" s="60" t="s">
        <v>85</v>
      </c>
      <c r="E987" s="60"/>
      <c r="F987" s="57" t="s">
        <v>2274</v>
      </c>
      <c r="H987" s="31" t="s">
        <v>2335</v>
      </c>
      <c r="I987" s="31" t="s">
        <v>2399</v>
      </c>
      <c r="J987" s="31" t="s">
        <v>1500</v>
      </c>
      <c r="L987" s="38"/>
      <c r="M987">
        <v>15</v>
      </c>
      <c r="P987" s="31">
        <v>30</v>
      </c>
      <c r="Q987" s="539">
        <v>7.5</v>
      </c>
      <c r="R987" s="38">
        <v>0.85</v>
      </c>
      <c r="S987" s="280">
        <f t="shared" si="457"/>
        <v>6.375</v>
      </c>
      <c r="T987" s="31">
        <f>VLOOKUP(A987,'Ansvar kurs'!$A$1:$C$1123,2,FALSE)</f>
        <v>2193</v>
      </c>
      <c r="U987" s="31" t="str">
        <f>VLOOKUP(T987,Orgenheter!$A$1:$C$166,2,FALSE)</f>
        <v xml:space="preserve">TUV </v>
      </c>
      <c r="V987" s="31" t="str">
        <f>VLOOKUP(T987,Orgenheter!$A$1:$C$166,3,FALSE)</f>
        <v>Sam</v>
      </c>
      <c r="W987" s="35" t="str">
        <f>VLOOKUP(D987,Program!$A$1:$B$36,2,FALSE)</f>
        <v>Studie- och yrkesvägledarprogram</v>
      </c>
      <c r="X987" s="40">
        <f>VLOOKUP(A987,kurspris!$A$1:$Q$913,15,FALSE)</f>
        <v>20766</v>
      </c>
      <c r="Y987" s="40">
        <f>VLOOKUP(A987,kurspris!$A$1:$Q$913,16,FALSE)</f>
        <v>17442</v>
      </c>
      <c r="Z987" s="40">
        <f t="shared" si="458"/>
        <v>266937.75</v>
      </c>
      <c r="AA987" s="40">
        <f>VLOOKUP(A987,kurspris!$A$1:$Q$913,17,FALSE)</f>
        <v>6000</v>
      </c>
      <c r="AB987" s="40">
        <f t="shared" si="459"/>
        <v>45000</v>
      </c>
      <c r="AC987" s="40">
        <f t="shared" si="460"/>
        <v>311937.75</v>
      </c>
      <c r="AD987" s="31">
        <f>VLOOKUP($A987,kurspris!$A$1:$Q$950,3,FALSE)</f>
        <v>0</v>
      </c>
      <c r="AE987" s="31">
        <f>VLOOKUP($A987,kurspris!$A$1:$Q$950,4,FALSE)</f>
        <v>0</v>
      </c>
      <c r="AF987" s="31">
        <f>VLOOKUP($A987,kurspris!$A$1:$Q$950,5,FALSE)</f>
        <v>0</v>
      </c>
      <c r="AG987" s="31">
        <f>VLOOKUP($A987,kurspris!$A$1:$Q$950,6,FALSE)</f>
        <v>0</v>
      </c>
      <c r="AH987" s="31">
        <f>VLOOKUP($A987,kurspris!$A$1:$Q$950,7,FALSE)</f>
        <v>0</v>
      </c>
      <c r="AI987" s="31">
        <f>VLOOKUP($A987,kurspris!$A$1:$Q$950,8,FALSE)</f>
        <v>0</v>
      </c>
      <c r="AJ987" s="31">
        <f>VLOOKUP($A987,kurspris!$A$1:$Q$950,9,FALSE)</f>
        <v>1</v>
      </c>
      <c r="AK987" s="31">
        <f>VLOOKUP($A987,kurspris!$A$1:$Q$950,10,FALSE)</f>
        <v>0</v>
      </c>
      <c r="AL987" s="31">
        <f>VLOOKUP($A987,kurspris!$A$1:$Q$950,11,FALSE)</f>
        <v>0</v>
      </c>
      <c r="AM987" s="31">
        <f>VLOOKUP($A987,kurspris!$A$1:$Q$950,12,FALSE)</f>
        <v>0</v>
      </c>
      <c r="AN987" s="31">
        <f>VLOOKUP($A987,kurspris!$A$1:$Q$950,13,FALSE)</f>
        <v>0</v>
      </c>
      <c r="AO987" s="31">
        <f>VLOOKUP($A987,kurspris!$A$1:$Q$950,14,FALSE)</f>
        <v>0</v>
      </c>
      <c r="AP987" s="57" t="s">
        <v>2402</v>
      </c>
      <c r="AQ987"/>
      <c r="AR987" s="31">
        <f t="shared" si="461"/>
        <v>0</v>
      </c>
      <c r="AS987" s="219">
        <f t="shared" si="462"/>
        <v>0</v>
      </c>
      <c r="AT987" s="31">
        <f t="shared" si="463"/>
        <v>0</v>
      </c>
      <c r="AU987" s="219">
        <f t="shared" si="464"/>
        <v>0</v>
      </c>
      <c r="AV987" s="31">
        <f t="shared" si="465"/>
        <v>0</v>
      </c>
      <c r="AW987" s="31">
        <f t="shared" si="466"/>
        <v>0</v>
      </c>
      <c r="AX987" s="31">
        <f t="shared" si="467"/>
        <v>0</v>
      </c>
      <c r="AY987" s="219">
        <f t="shared" si="468"/>
        <v>0</v>
      </c>
      <c r="AZ987" s="196">
        <f t="shared" si="469"/>
        <v>0</v>
      </c>
      <c r="BA987" s="219">
        <f t="shared" si="470"/>
        <v>0</v>
      </c>
      <c r="BB987" s="31">
        <f t="shared" si="471"/>
        <v>0</v>
      </c>
      <c r="BC987" s="219">
        <f t="shared" si="472"/>
        <v>0</v>
      </c>
      <c r="BD987" s="31">
        <f t="shared" si="473"/>
        <v>7.5</v>
      </c>
      <c r="BE987" s="219">
        <f t="shared" si="474"/>
        <v>6.375</v>
      </c>
      <c r="BF987" s="31">
        <f t="shared" si="475"/>
        <v>0</v>
      </c>
      <c r="BG987" s="219">
        <f t="shared" si="476"/>
        <v>0</v>
      </c>
      <c r="BH987" s="31">
        <f t="shared" si="477"/>
        <v>0</v>
      </c>
      <c r="BI987" s="219">
        <f t="shared" si="478"/>
        <v>0</v>
      </c>
      <c r="BJ987" s="31">
        <f t="shared" si="479"/>
        <v>0</v>
      </c>
      <c r="BK987" s="219">
        <f t="shared" si="480"/>
        <v>0</v>
      </c>
      <c r="BL987" s="31">
        <f t="shared" si="481"/>
        <v>0</v>
      </c>
      <c r="BM987" s="219">
        <f t="shared" si="482"/>
        <v>0</v>
      </c>
      <c r="BN987" s="31">
        <f t="shared" si="483"/>
        <v>0</v>
      </c>
      <c r="BO987" s="219">
        <f t="shared" si="484"/>
        <v>0</v>
      </c>
    </row>
    <row r="988" spans="1:67" x14ac:dyDescent="0.25">
      <c r="A988" s="31" t="s">
        <v>879</v>
      </c>
      <c r="B988" s="176" t="str">
        <f>VLOOKUP(A988,kurspris!$A$1:$B$992,2,FALSE)</f>
        <v>Karriärvägledning och andra insatser för människor i behov av särskilt stöd</v>
      </c>
      <c r="D988" s="60" t="s">
        <v>85</v>
      </c>
      <c r="E988" s="576" t="s">
        <v>2227</v>
      </c>
      <c r="F988" s="31" t="s">
        <v>2273</v>
      </c>
      <c r="G988" s="31" t="s">
        <v>2440</v>
      </c>
      <c r="H988" s="31" t="s">
        <v>2335</v>
      </c>
      <c r="I988" s="31" t="s">
        <v>1500</v>
      </c>
      <c r="L988" s="38">
        <v>1</v>
      </c>
      <c r="M988" s="325">
        <v>10</v>
      </c>
      <c r="P988" s="31">
        <v>1</v>
      </c>
      <c r="Q988" s="196">
        <f t="shared" ref="Q988:Q1003" si="485">(M988/60)*P988</f>
        <v>0.16666666666666666</v>
      </c>
      <c r="R988" s="38">
        <v>0.85</v>
      </c>
      <c r="S988" s="280">
        <f t="shared" si="457"/>
        <v>0.14166666666666666</v>
      </c>
      <c r="T988" s="31">
        <f>VLOOKUP(A988,'Ansvar kurs'!$A$1:$C$1123,2,FALSE)</f>
        <v>2193</v>
      </c>
      <c r="U988" s="31" t="str">
        <f>VLOOKUP(T988,Orgenheter!$A$1:$C$166,2,FALSE)</f>
        <v xml:space="preserve">TUV </v>
      </c>
      <c r="V988" s="31" t="str">
        <f>VLOOKUP(T988,Orgenheter!$A$1:$C$166,3,FALSE)</f>
        <v>Sam</v>
      </c>
      <c r="W988" s="35" t="str">
        <f>VLOOKUP(D988,Program!$A$1:$B$36,2,FALSE)</f>
        <v>Studie- och yrkesvägledarprogram</v>
      </c>
      <c r="X988" s="40">
        <f>VLOOKUP(A988,kurspris!$A$1:$Q$913,15,FALSE)</f>
        <v>24631.8</v>
      </c>
      <c r="Y988" s="40">
        <f>VLOOKUP(A988,kurspris!$A$1:$Q$913,16,FALSE)</f>
        <v>21833.200000000001</v>
      </c>
      <c r="Z988" s="40">
        <f t="shared" si="458"/>
        <v>7198.3366666666661</v>
      </c>
      <c r="AA988" s="40">
        <f>VLOOKUP(A988,kurspris!$A$1:$Q$913,17,FALSE)</f>
        <v>6000</v>
      </c>
      <c r="AB988" s="40">
        <f t="shared" si="459"/>
        <v>1000</v>
      </c>
      <c r="AC988" s="40">
        <f t="shared" si="460"/>
        <v>8198.3366666666661</v>
      </c>
      <c r="AD988" s="31">
        <f>VLOOKUP($A988,kurspris!$A$1:$Q$950,3,FALSE)</f>
        <v>0</v>
      </c>
      <c r="AE988" s="31">
        <f>VLOOKUP($A988,kurspris!$A$1:$Q$950,4,FALSE)</f>
        <v>0</v>
      </c>
      <c r="AF988" s="31">
        <f>VLOOKUP($A988,kurspris!$A$1:$Q$950,5,FALSE)</f>
        <v>0</v>
      </c>
      <c r="AG988" s="31">
        <f>VLOOKUP($A988,kurspris!$A$1:$Q$950,6,FALSE)</f>
        <v>0</v>
      </c>
      <c r="AH988" s="31">
        <f>VLOOKUP($A988,kurspris!$A$1:$Q$950,7,FALSE)</f>
        <v>0</v>
      </c>
      <c r="AI988" s="31">
        <f>VLOOKUP($A988,kurspris!$A$1:$Q$950,8,FALSE)</f>
        <v>0</v>
      </c>
      <c r="AJ988" s="31">
        <f>VLOOKUP($A988,kurspris!$A$1:$Q$950,9,FALSE)</f>
        <v>0.8</v>
      </c>
      <c r="AK988" s="31">
        <f>VLOOKUP($A988,kurspris!$A$1:$Q$950,10,FALSE)</f>
        <v>0</v>
      </c>
      <c r="AL988" s="31">
        <f>VLOOKUP($A988,kurspris!$A$1:$Q$950,11,FALSE)</f>
        <v>0</v>
      </c>
      <c r="AM988" s="31">
        <f>VLOOKUP($A988,kurspris!$A$1:$Q$950,12,FALSE)</f>
        <v>0</v>
      </c>
      <c r="AN988" s="31">
        <f>VLOOKUP($A988,kurspris!$A$1:$Q$950,13,FALSE)</f>
        <v>0</v>
      </c>
      <c r="AO988" s="31">
        <f>VLOOKUP($A988,kurspris!$A$1:$Q$950,14,FALSE)</f>
        <v>0.2</v>
      </c>
      <c r="AP988" s="57" t="s">
        <v>2506</v>
      </c>
      <c r="AQ988"/>
      <c r="AR988" s="31">
        <f t="shared" si="461"/>
        <v>0</v>
      </c>
      <c r="AS988" s="219">
        <f t="shared" si="462"/>
        <v>0</v>
      </c>
      <c r="AT988" s="31">
        <f t="shared" si="463"/>
        <v>0</v>
      </c>
      <c r="AU988" s="219">
        <f t="shared" si="464"/>
        <v>0</v>
      </c>
      <c r="AV988" s="31">
        <f t="shared" si="465"/>
        <v>0</v>
      </c>
      <c r="AW988" s="31">
        <f t="shared" si="466"/>
        <v>0</v>
      </c>
      <c r="AX988" s="31">
        <f t="shared" si="467"/>
        <v>0</v>
      </c>
      <c r="AY988" s="219">
        <f t="shared" si="468"/>
        <v>0</v>
      </c>
      <c r="AZ988" s="196">
        <f t="shared" si="469"/>
        <v>0</v>
      </c>
      <c r="BA988" s="219">
        <f t="shared" si="470"/>
        <v>0</v>
      </c>
      <c r="BB988" s="31">
        <f t="shared" si="471"/>
        <v>0</v>
      </c>
      <c r="BC988" s="219">
        <f t="shared" si="472"/>
        <v>0</v>
      </c>
      <c r="BD988" s="31">
        <f t="shared" si="473"/>
        <v>0.13333333333333333</v>
      </c>
      <c r="BE988" s="219">
        <f t="shared" si="474"/>
        <v>0.11333333333333334</v>
      </c>
      <c r="BF988" s="31">
        <f t="shared" si="475"/>
        <v>0</v>
      </c>
      <c r="BG988" s="219">
        <f t="shared" si="476"/>
        <v>0</v>
      </c>
      <c r="BH988" s="31">
        <f t="shared" si="477"/>
        <v>0</v>
      </c>
      <c r="BI988" s="219">
        <f t="shared" si="478"/>
        <v>0</v>
      </c>
      <c r="BJ988" s="31">
        <f t="shared" si="479"/>
        <v>0</v>
      </c>
      <c r="BK988" s="219">
        <f t="shared" si="480"/>
        <v>0</v>
      </c>
      <c r="BL988" s="31">
        <f t="shared" si="481"/>
        <v>0</v>
      </c>
      <c r="BM988" s="219">
        <f t="shared" si="482"/>
        <v>0</v>
      </c>
      <c r="BN988" s="31">
        <f t="shared" si="483"/>
        <v>3.3333333333333333E-2</v>
      </c>
      <c r="BO988" s="219">
        <f t="shared" si="484"/>
        <v>2.8333333333333335E-2</v>
      </c>
    </row>
    <row r="989" spans="1:67" x14ac:dyDescent="0.25">
      <c r="A989" s="31" t="s">
        <v>879</v>
      </c>
      <c r="B989" s="176" t="str">
        <f>VLOOKUP(A989,kurspris!$A$1:$B$992,2,FALSE)</f>
        <v>Karriärvägledning och andra insatser för människor i behov av särskilt stöd</v>
      </c>
      <c r="D989" s="60" t="s">
        <v>85</v>
      </c>
      <c r="E989" s="576" t="s">
        <v>2225</v>
      </c>
      <c r="F989" s="31" t="s">
        <v>2273</v>
      </c>
      <c r="G989" s="31" t="s">
        <v>2440</v>
      </c>
      <c r="H989" s="31" t="s">
        <v>2335</v>
      </c>
      <c r="I989" s="31" t="s">
        <v>1500</v>
      </c>
      <c r="L989" s="38">
        <v>1</v>
      </c>
      <c r="M989" s="325">
        <v>10</v>
      </c>
      <c r="P989" s="31">
        <v>1</v>
      </c>
      <c r="Q989" s="196">
        <f t="shared" si="485"/>
        <v>0.16666666666666666</v>
      </c>
      <c r="R989" s="38">
        <v>0.85</v>
      </c>
      <c r="S989" s="280">
        <f t="shared" si="457"/>
        <v>0.14166666666666666</v>
      </c>
      <c r="T989" s="31">
        <f>VLOOKUP(A989,'Ansvar kurs'!$A$1:$C$1123,2,FALSE)</f>
        <v>2193</v>
      </c>
      <c r="U989" s="31" t="str">
        <f>VLOOKUP(T989,Orgenheter!$A$1:$C$166,2,FALSE)</f>
        <v xml:space="preserve">TUV </v>
      </c>
      <c r="V989" s="31" t="str">
        <f>VLOOKUP(T989,Orgenheter!$A$1:$C$166,3,FALSE)</f>
        <v>Sam</v>
      </c>
      <c r="W989" s="35" t="str">
        <f>VLOOKUP(D989,Program!$A$1:$B$36,2,FALSE)</f>
        <v>Studie- och yrkesvägledarprogram</v>
      </c>
      <c r="X989" s="40">
        <f>VLOOKUP(A989,kurspris!$A$1:$Q$913,15,FALSE)</f>
        <v>24631.8</v>
      </c>
      <c r="Y989" s="40">
        <f>VLOOKUP(A989,kurspris!$A$1:$Q$913,16,FALSE)</f>
        <v>21833.200000000001</v>
      </c>
      <c r="Z989" s="40">
        <f t="shared" si="458"/>
        <v>7198.3366666666661</v>
      </c>
      <c r="AA989" s="40">
        <f>VLOOKUP(A989,kurspris!$A$1:$Q$913,17,FALSE)</f>
        <v>6000</v>
      </c>
      <c r="AB989" s="40">
        <f t="shared" si="459"/>
        <v>1000</v>
      </c>
      <c r="AC989" s="40">
        <f t="shared" si="460"/>
        <v>8198.3366666666661</v>
      </c>
      <c r="AD989" s="31">
        <f>VLOOKUP($A989,kurspris!$A$1:$Q$950,3,FALSE)</f>
        <v>0</v>
      </c>
      <c r="AE989" s="31">
        <f>VLOOKUP($A989,kurspris!$A$1:$Q$950,4,FALSE)</f>
        <v>0</v>
      </c>
      <c r="AF989" s="31">
        <f>VLOOKUP($A989,kurspris!$A$1:$Q$950,5,FALSE)</f>
        <v>0</v>
      </c>
      <c r="AG989" s="31">
        <f>VLOOKUP($A989,kurspris!$A$1:$Q$950,6,FALSE)</f>
        <v>0</v>
      </c>
      <c r="AH989" s="31">
        <f>VLOOKUP($A989,kurspris!$A$1:$Q$950,7,FALSE)</f>
        <v>0</v>
      </c>
      <c r="AI989" s="31">
        <f>VLOOKUP($A989,kurspris!$A$1:$Q$950,8,FALSE)</f>
        <v>0</v>
      </c>
      <c r="AJ989" s="31">
        <f>VLOOKUP($A989,kurspris!$A$1:$Q$950,9,FALSE)</f>
        <v>0.8</v>
      </c>
      <c r="AK989" s="31">
        <f>VLOOKUP($A989,kurspris!$A$1:$Q$950,10,FALSE)</f>
        <v>0</v>
      </c>
      <c r="AL989" s="31">
        <f>VLOOKUP($A989,kurspris!$A$1:$Q$950,11,FALSE)</f>
        <v>0</v>
      </c>
      <c r="AM989" s="31">
        <f>VLOOKUP($A989,kurspris!$A$1:$Q$950,12,FALSE)</f>
        <v>0</v>
      </c>
      <c r="AN989" s="31">
        <f>VLOOKUP($A989,kurspris!$A$1:$Q$950,13,FALSE)</f>
        <v>0</v>
      </c>
      <c r="AO989" s="31">
        <f>VLOOKUP($A989,kurspris!$A$1:$Q$950,14,FALSE)</f>
        <v>0.2</v>
      </c>
      <c r="AP989" s="57" t="s">
        <v>2506</v>
      </c>
      <c r="AQ989"/>
      <c r="AR989" s="31">
        <f t="shared" si="461"/>
        <v>0</v>
      </c>
      <c r="AS989" s="219">
        <f t="shared" si="462"/>
        <v>0</v>
      </c>
      <c r="AT989" s="31">
        <f t="shared" si="463"/>
        <v>0</v>
      </c>
      <c r="AU989" s="219">
        <f t="shared" si="464"/>
        <v>0</v>
      </c>
      <c r="AV989" s="31">
        <f t="shared" si="465"/>
        <v>0</v>
      </c>
      <c r="AW989" s="31">
        <f t="shared" si="466"/>
        <v>0</v>
      </c>
      <c r="AX989" s="31">
        <f t="shared" si="467"/>
        <v>0</v>
      </c>
      <c r="AY989" s="219">
        <f t="shared" si="468"/>
        <v>0</v>
      </c>
      <c r="AZ989" s="196">
        <f t="shared" si="469"/>
        <v>0</v>
      </c>
      <c r="BA989" s="219">
        <f t="shared" si="470"/>
        <v>0</v>
      </c>
      <c r="BB989" s="31">
        <f t="shared" si="471"/>
        <v>0</v>
      </c>
      <c r="BC989" s="219">
        <f t="shared" si="472"/>
        <v>0</v>
      </c>
      <c r="BD989" s="31">
        <f t="shared" si="473"/>
        <v>0.13333333333333333</v>
      </c>
      <c r="BE989" s="219">
        <f t="shared" si="474"/>
        <v>0.11333333333333334</v>
      </c>
      <c r="BF989" s="31">
        <f t="shared" si="475"/>
        <v>0</v>
      </c>
      <c r="BG989" s="219">
        <f t="shared" si="476"/>
        <v>0</v>
      </c>
      <c r="BH989" s="31">
        <f t="shared" si="477"/>
        <v>0</v>
      </c>
      <c r="BI989" s="219">
        <f t="shared" si="478"/>
        <v>0</v>
      </c>
      <c r="BJ989" s="31">
        <f t="shared" si="479"/>
        <v>0</v>
      </c>
      <c r="BK989" s="219">
        <f t="shared" si="480"/>
        <v>0</v>
      </c>
      <c r="BL989" s="31">
        <f t="shared" si="481"/>
        <v>0</v>
      </c>
      <c r="BM989" s="219">
        <f t="shared" si="482"/>
        <v>0</v>
      </c>
      <c r="BN989" s="31">
        <f t="shared" si="483"/>
        <v>3.3333333333333333E-2</v>
      </c>
      <c r="BO989" s="219">
        <f t="shared" si="484"/>
        <v>2.8333333333333335E-2</v>
      </c>
    </row>
    <row r="990" spans="1:67" x14ac:dyDescent="0.25">
      <c r="A990" s="31" t="s">
        <v>879</v>
      </c>
      <c r="B990" s="176" t="str">
        <f>VLOOKUP(A990,kurspris!$A$1:$B$992,2,FALSE)</f>
        <v>Karriärvägledning och andra insatser för människor i behov av särskilt stöd</v>
      </c>
      <c r="D990" s="60" t="s">
        <v>85</v>
      </c>
      <c r="E990" s="576" t="s">
        <v>2434</v>
      </c>
      <c r="F990" s="31" t="s">
        <v>2273</v>
      </c>
      <c r="G990" s="31" t="s">
        <v>2440</v>
      </c>
      <c r="H990" s="31" t="s">
        <v>2335</v>
      </c>
      <c r="I990" s="31" t="s">
        <v>624</v>
      </c>
      <c r="L990" s="38">
        <v>1</v>
      </c>
      <c r="M990" s="325">
        <v>10</v>
      </c>
      <c r="P990" s="31">
        <v>19</v>
      </c>
      <c r="Q990" s="196">
        <f t="shared" si="485"/>
        <v>3.1666666666666665</v>
      </c>
      <c r="R990" s="38">
        <v>0.85</v>
      </c>
      <c r="S990" s="280">
        <f t="shared" si="457"/>
        <v>2.6916666666666664</v>
      </c>
      <c r="T990" s="31">
        <f>VLOOKUP(A990,'Ansvar kurs'!$A$1:$C$1123,2,FALSE)</f>
        <v>2193</v>
      </c>
      <c r="U990" s="31" t="str">
        <f>VLOOKUP(T990,Orgenheter!$A$1:$C$166,2,FALSE)</f>
        <v xml:space="preserve">TUV </v>
      </c>
      <c r="V990" s="31" t="str">
        <f>VLOOKUP(T990,Orgenheter!$A$1:$C$166,3,FALSE)</f>
        <v>Sam</v>
      </c>
      <c r="W990" s="35" t="str">
        <f>VLOOKUP(D990,Program!$A$1:$B$36,2,FALSE)</f>
        <v>Studie- och yrkesvägledarprogram</v>
      </c>
      <c r="X990" s="40">
        <f>VLOOKUP(A990,kurspris!$A$1:$Q$913,15,FALSE)</f>
        <v>24631.8</v>
      </c>
      <c r="Y990" s="40">
        <f>VLOOKUP(A990,kurspris!$A$1:$Q$913,16,FALSE)</f>
        <v>21833.200000000001</v>
      </c>
      <c r="Z990" s="40">
        <f t="shared" si="458"/>
        <v>136768.39666666667</v>
      </c>
      <c r="AA990" s="40">
        <f>VLOOKUP(A990,kurspris!$A$1:$Q$913,17,FALSE)</f>
        <v>6000</v>
      </c>
      <c r="AB990" s="40">
        <f t="shared" si="459"/>
        <v>19000</v>
      </c>
      <c r="AC990" s="40">
        <f t="shared" si="460"/>
        <v>155768.39666666667</v>
      </c>
      <c r="AD990" s="31">
        <f>VLOOKUP($A990,kurspris!$A$1:$Q$950,3,FALSE)</f>
        <v>0</v>
      </c>
      <c r="AE990" s="31">
        <f>VLOOKUP($A990,kurspris!$A$1:$Q$950,4,FALSE)</f>
        <v>0</v>
      </c>
      <c r="AF990" s="31">
        <f>VLOOKUP($A990,kurspris!$A$1:$Q$950,5,FALSE)</f>
        <v>0</v>
      </c>
      <c r="AG990" s="31">
        <f>VLOOKUP($A990,kurspris!$A$1:$Q$950,6,FALSE)</f>
        <v>0</v>
      </c>
      <c r="AH990" s="31">
        <f>VLOOKUP($A990,kurspris!$A$1:$Q$950,7,FALSE)</f>
        <v>0</v>
      </c>
      <c r="AI990" s="31">
        <f>VLOOKUP($A990,kurspris!$A$1:$Q$950,8,FALSE)</f>
        <v>0</v>
      </c>
      <c r="AJ990" s="31">
        <f>VLOOKUP($A990,kurspris!$A$1:$Q$950,9,FALSE)</f>
        <v>0.8</v>
      </c>
      <c r="AK990" s="31">
        <f>VLOOKUP($A990,kurspris!$A$1:$Q$950,10,FALSE)</f>
        <v>0</v>
      </c>
      <c r="AL990" s="31">
        <f>VLOOKUP($A990,kurspris!$A$1:$Q$950,11,FALSE)</f>
        <v>0</v>
      </c>
      <c r="AM990" s="31">
        <f>VLOOKUP($A990,kurspris!$A$1:$Q$950,12,FALSE)</f>
        <v>0</v>
      </c>
      <c r="AN990" s="31">
        <f>VLOOKUP($A990,kurspris!$A$1:$Q$950,13,FALSE)</f>
        <v>0</v>
      </c>
      <c r="AO990" s="31">
        <f>VLOOKUP($A990,kurspris!$A$1:$Q$950,14,FALSE)</f>
        <v>0.2</v>
      </c>
      <c r="AP990" s="57" t="s">
        <v>2506</v>
      </c>
      <c r="AQ990"/>
      <c r="AR990" s="31">
        <f t="shared" si="461"/>
        <v>0</v>
      </c>
      <c r="AS990" s="219">
        <f t="shared" si="462"/>
        <v>0</v>
      </c>
      <c r="AT990" s="31">
        <f t="shared" si="463"/>
        <v>0</v>
      </c>
      <c r="AU990" s="219">
        <f t="shared" si="464"/>
        <v>0</v>
      </c>
      <c r="AV990" s="31">
        <f t="shared" si="465"/>
        <v>0</v>
      </c>
      <c r="AW990" s="31">
        <f t="shared" si="466"/>
        <v>0</v>
      </c>
      <c r="AX990" s="31">
        <f t="shared" si="467"/>
        <v>0</v>
      </c>
      <c r="AY990" s="219">
        <f t="shared" si="468"/>
        <v>0</v>
      </c>
      <c r="AZ990" s="196">
        <f t="shared" si="469"/>
        <v>0</v>
      </c>
      <c r="BA990" s="219">
        <f t="shared" si="470"/>
        <v>0</v>
      </c>
      <c r="BB990" s="31">
        <f t="shared" si="471"/>
        <v>0</v>
      </c>
      <c r="BC990" s="219">
        <f t="shared" si="472"/>
        <v>0</v>
      </c>
      <c r="BD990" s="31">
        <f t="shared" si="473"/>
        <v>2.5333333333333332</v>
      </c>
      <c r="BE990" s="219">
        <f t="shared" si="474"/>
        <v>2.1533333333333333</v>
      </c>
      <c r="BF990" s="31">
        <f t="shared" si="475"/>
        <v>0</v>
      </c>
      <c r="BG990" s="219">
        <f t="shared" si="476"/>
        <v>0</v>
      </c>
      <c r="BH990" s="31">
        <f t="shared" si="477"/>
        <v>0</v>
      </c>
      <c r="BI990" s="219">
        <f t="shared" si="478"/>
        <v>0</v>
      </c>
      <c r="BJ990" s="31">
        <f t="shared" si="479"/>
        <v>0</v>
      </c>
      <c r="BK990" s="219">
        <f t="shared" si="480"/>
        <v>0</v>
      </c>
      <c r="BL990" s="31">
        <f t="shared" si="481"/>
        <v>0</v>
      </c>
      <c r="BM990" s="219">
        <f t="shared" si="482"/>
        <v>0</v>
      </c>
      <c r="BN990" s="31">
        <f t="shared" si="483"/>
        <v>0.6333333333333333</v>
      </c>
      <c r="BO990" s="219">
        <f t="shared" si="484"/>
        <v>0.53833333333333333</v>
      </c>
    </row>
    <row r="991" spans="1:67" x14ac:dyDescent="0.25">
      <c r="A991" s="31" t="s">
        <v>879</v>
      </c>
      <c r="B991" s="176" t="str">
        <f>VLOOKUP(A991,kurspris!$A$1:$B$992,2,FALSE)</f>
        <v>Karriärvägledning och andra insatser för människor i behov av särskilt stöd</v>
      </c>
      <c r="D991" s="60" t="s">
        <v>85</v>
      </c>
      <c r="E991" s="576" t="s">
        <v>2434</v>
      </c>
      <c r="F991" s="31" t="s">
        <v>2273</v>
      </c>
      <c r="G991" s="31" t="s">
        <v>2440</v>
      </c>
      <c r="H991" s="31" t="s">
        <v>2335</v>
      </c>
      <c r="I991" s="31" t="s">
        <v>1500</v>
      </c>
      <c r="L991" s="38">
        <v>1</v>
      </c>
      <c r="M991" s="325">
        <v>10</v>
      </c>
      <c r="P991" s="31">
        <v>29</v>
      </c>
      <c r="Q991" s="196">
        <f t="shared" si="485"/>
        <v>4.833333333333333</v>
      </c>
      <c r="R991" s="38">
        <v>0.85</v>
      </c>
      <c r="S991" s="280">
        <f t="shared" si="457"/>
        <v>4.1083333333333334</v>
      </c>
      <c r="T991" s="31">
        <f>VLOOKUP(A991,'Ansvar kurs'!$A$1:$C$1123,2,FALSE)</f>
        <v>2193</v>
      </c>
      <c r="U991" s="31" t="str">
        <f>VLOOKUP(T991,Orgenheter!$A$1:$C$166,2,FALSE)</f>
        <v xml:space="preserve">TUV </v>
      </c>
      <c r="V991" s="31" t="str">
        <f>VLOOKUP(T991,Orgenheter!$A$1:$C$166,3,FALSE)</f>
        <v>Sam</v>
      </c>
      <c r="W991" s="35" t="str">
        <f>VLOOKUP(D991,Program!$A$1:$B$36,2,FALSE)</f>
        <v>Studie- och yrkesvägledarprogram</v>
      </c>
      <c r="X991" s="40">
        <f>VLOOKUP(A991,kurspris!$A$1:$Q$913,15,FALSE)</f>
        <v>24631.8</v>
      </c>
      <c r="Y991" s="40">
        <f>VLOOKUP(A991,kurspris!$A$1:$Q$913,16,FALSE)</f>
        <v>21833.200000000001</v>
      </c>
      <c r="Z991" s="40">
        <f t="shared" si="458"/>
        <v>208751.76333333331</v>
      </c>
      <c r="AA991" s="40">
        <f>VLOOKUP(A991,kurspris!$A$1:$Q$913,17,FALSE)</f>
        <v>6000</v>
      </c>
      <c r="AB991" s="40">
        <f t="shared" si="459"/>
        <v>29000</v>
      </c>
      <c r="AC991" s="40">
        <f t="shared" si="460"/>
        <v>237751.76333333331</v>
      </c>
      <c r="AD991" s="31">
        <f>VLOOKUP($A991,kurspris!$A$1:$Q$950,3,FALSE)</f>
        <v>0</v>
      </c>
      <c r="AE991" s="31">
        <f>VLOOKUP($A991,kurspris!$A$1:$Q$950,4,FALSE)</f>
        <v>0</v>
      </c>
      <c r="AF991" s="31">
        <f>VLOOKUP($A991,kurspris!$A$1:$Q$950,5,FALSE)</f>
        <v>0</v>
      </c>
      <c r="AG991" s="31">
        <f>VLOOKUP($A991,kurspris!$A$1:$Q$950,6,FALSE)</f>
        <v>0</v>
      </c>
      <c r="AH991" s="31">
        <f>VLOOKUP($A991,kurspris!$A$1:$Q$950,7,FALSE)</f>
        <v>0</v>
      </c>
      <c r="AI991" s="31">
        <f>VLOOKUP($A991,kurspris!$A$1:$Q$950,8,FALSE)</f>
        <v>0</v>
      </c>
      <c r="AJ991" s="31">
        <f>VLOOKUP($A991,kurspris!$A$1:$Q$950,9,FALSE)</f>
        <v>0.8</v>
      </c>
      <c r="AK991" s="31">
        <f>VLOOKUP($A991,kurspris!$A$1:$Q$950,10,FALSE)</f>
        <v>0</v>
      </c>
      <c r="AL991" s="31">
        <f>VLOOKUP($A991,kurspris!$A$1:$Q$950,11,FALSE)</f>
        <v>0</v>
      </c>
      <c r="AM991" s="31">
        <f>VLOOKUP($A991,kurspris!$A$1:$Q$950,12,FALSE)</f>
        <v>0</v>
      </c>
      <c r="AN991" s="31">
        <f>VLOOKUP($A991,kurspris!$A$1:$Q$950,13,FALSE)</f>
        <v>0</v>
      </c>
      <c r="AO991" s="31">
        <f>VLOOKUP($A991,kurspris!$A$1:$Q$950,14,FALSE)</f>
        <v>0.2</v>
      </c>
      <c r="AP991" s="57" t="s">
        <v>2506</v>
      </c>
      <c r="AQ991"/>
      <c r="AR991" s="31">
        <f t="shared" si="461"/>
        <v>0</v>
      </c>
      <c r="AS991" s="219">
        <f t="shared" si="462"/>
        <v>0</v>
      </c>
      <c r="AT991" s="31">
        <f t="shared" si="463"/>
        <v>0</v>
      </c>
      <c r="AU991" s="219">
        <f t="shared" si="464"/>
        <v>0</v>
      </c>
      <c r="AV991" s="31">
        <f t="shared" si="465"/>
        <v>0</v>
      </c>
      <c r="AW991" s="31">
        <f t="shared" si="466"/>
        <v>0</v>
      </c>
      <c r="AX991" s="31">
        <f t="shared" si="467"/>
        <v>0</v>
      </c>
      <c r="AY991" s="219">
        <f t="shared" si="468"/>
        <v>0</v>
      </c>
      <c r="AZ991" s="196">
        <f t="shared" si="469"/>
        <v>0</v>
      </c>
      <c r="BA991" s="219">
        <f t="shared" si="470"/>
        <v>0</v>
      </c>
      <c r="BB991" s="31">
        <f t="shared" si="471"/>
        <v>0</v>
      </c>
      <c r="BC991" s="219">
        <f t="shared" si="472"/>
        <v>0</v>
      </c>
      <c r="BD991" s="31">
        <f t="shared" si="473"/>
        <v>3.8666666666666667</v>
      </c>
      <c r="BE991" s="219">
        <f t="shared" si="474"/>
        <v>3.2866666666666671</v>
      </c>
      <c r="BF991" s="31">
        <f t="shared" si="475"/>
        <v>0</v>
      </c>
      <c r="BG991" s="219">
        <f t="shared" si="476"/>
        <v>0</v>
      </c>
      <c r="BH991" s="31">
        <f t="shared" si="477"/>
        <v>0</v>
      </c>
      <c r="BI991" s="219">
        <f t="shared" si="478"/>
        <v>0</v>
      </c>
      <c r="BJ991" s="31">
        <f t="shared" si="479"/>
        <v>0</v>
      </c>
      <c r="BK991" s="219">
        <f t="shared" si="480"/>
        <v>0</v>
      </c>
      <c r="BL991" s="31">
        <f t="shared" si="481"/>
        <v>0</v>
      </c>
      <c r="BM991" s="219">
        <f t="shared" si="482"/>
        <v>0</v>
      </c>
      <c r="BN991" s="31">
        <f t="shared" si="483"/>
        <v>0.96666666666666667</v>
      </c>
      <c r="BO991" s="219">
        <f t="shared" si="484"/>
        <v>0.82166666666666677</v>
      </c>
    </row>
    <row r="992" spans="1:67" x14ac:dyDescent="0.25">
      <c r="A992" s="362" t="s">
        <v>879</v>
      </c>
      <c r="B992" s="362" t="str">
        <f>VLOOKUP(A992,kurspris!$A$1:$B$992,2,FALSE)</f>
        <v>Karriärvägledning och andra insatser för människor i behov av särskilt stöd</v>
      </c>
      <c r="C992" s="244"/>
      <c r="D992" s="538" t="s">
        <v>85</v>
      </c>
      <c r="E992" s="538" t="s">
        <v>2203</v>
      </c>
      <c r="F992" s="244" t="s">
        <v>2273</v>
      </c>
      <c r="G992" s="244"/>
      <c r="H992" s="244">
        <v>2480</v>
      </c>
      <c r="I992" s="538" t="s">
        <v>624</v>
      </c>
      <c r="J992" s="540" t="s">
        <v>1501</v>
      </c>
      <c r="K992" s="283"/>
      <c r="L992" s="518"/>
      <c r="M992" s="325">
        <v>10</v>
      </c>
      <c r="P992" s="574">
        <v>27</v>
      </c>
      <c r="Q992" s="196">
        <f t="shared" si="485"/>
        <v>4.5</v>
      </c>
      <c r="R992" s="38">
        <v>0.85</v>
      </c>
      <c r="S992" s="280">
        <f t="shared" si="457"/>
        <v>3.8249999999999997</v>
      </c>
      <c r="T992" s="31">
        <f>VLOOKUP(A992,'Ansvar kurs'!$A$1:$C$1123,2,FALSE)</f>
        <v>2193</v>
      </c>
      <c r="U992" s="31" t="str">
        <f>VLOOKUP(T992,Orgenheter!$A$1:$C$166,2,FALSE)</f>
        <v xml:space="preserve">TUV </v>
      </c>
      <c r="V992" s="31" t="str">
        <f>VLOOKUP(T992,Orgenheter!$A$1:$C$166,3,FALSE)</f>
        <v>Sam</v>
      </c>
      <c r="W992" s="35" t="str">
        <f>VLOOKUP(D992,Program!$A$1:$B$36,2,FALSE)</f>
        <v>Studie- och yrkesvägledarprogram</v>
      </c>
      <c r="X992" s="40">
        <f>VLOOKUP(A992,kurspris!$A$1:$Q$913,15,FALSE)</f>
        <v>24631.8</v>
      </c>
      <c r="Y992" s="40">
        <f>VLOOKUP(A992,kurspris!$A$1:$Q$913,16,FALSE)</f>
        <v>21833.200000000001</v>
      </c>
      <c r="Z992" s="40">
        <f t="shared" si="458"/>
        <v>194355.08999999997</v>
      </c>
      <c r="AA992" s="40">
        <f>VLOOKUP(A992,kurspris!$A$1:$Q$913,17,FALSE)</f>
        <v>6000</v>
      </c>
      <c r="AB992" s="40">
        <f t="shared" si="459"/>
        <v>27000</v>
      </c>
      <c r="AC992" s="40">
        <f t="shared" si="460"/>
        <v>221355.08999999997</v>
      </c>
      <c r="AD992" s="31">
        <f>VLOOKUP($A992,kurspris!$A$1:$Q$950,3,FALSE)</f>
        <v>0</v>
      </c>
      <c r="AE992" s="31">
        <f>VLOOKUP($A992,kurspris!$A$1:$Q$950,4,FALSE)</f>
        <v>0</v>
      </c>
      <c r="AF992" s="31">
        <f>VLOOKUP($A992,kurspris!$A$1:$Q$950,5,FALSE)</f>
        <v>0</v>
      </c>
      <c r="AG992" s="31">
        <f>VLOOKUP($A992,kurspris!$A$1:$Q$950,6,FALSE)</f>
        <v>0</v>
      </c>
      <c r="AH992" s="31">
        <f>VLOOKUP($A992,kurspris!$A$1:$Q$950,7,FALSE)</f>
        <v>0</v>
      </c>
      <c r="AI992" s="31">
        <f>VLOOKUP($A992,kurspris!$A$1:$Q$950,8,FALSE)</f>
        <v>0</v>
      </c>
      <c r="AJ992" s="31">
        <f>VLOOKUP($A992,kurspris!$A$1:$Q$950,9,FALSE)</f>
        <v>0.8</v>
      </c>
      <c r="AK992" s="31">
        <f>VLOOKUP($A992,kurspris!$A$1:$Q$950,10,FALSE)</f>
        <v>0</v>
      </c>
      <c r="AL992" s="31">
        <f>VLOOKUP($A992,kurspris!$A$1:$Q$950,11,FALSE)</f>
        <v>0</v>
      </c>
      <c r="AM992" s="31">
        <f>VLOOKUP($A992,kurspris!$A$1:$Q$950,12,FALSE)</f>
        <v>0</v>
      </c>
      <c r="AN992" s="31">
        <f>VLOOKUP($A992,kurspris!$A$1:$Q$950,13,FALSE)</f>
        <v>0</v>
      </c>
      <c r="AO992" s="31">
        <f>VLOOKUP($A992,kurspris!$A$1:$Q$950,14,FALSE)</f>
        <v>0.2</v>
      </c>
      <c r="AP992" s="57" t="s">
        <v>2499</v>
      </c>
      <c r="AQ992"/>
      <c r="AR992" s="31">
        <f t="shared" si="461"/>
        <v>0</v>
      </c>
      <c r="AS992" s="219">
        <f t="shared" si="462"/>
        <v>0</v>
      </c>
      <c r="AT992" s="31">
        <f t="shared" si="463"/>
        <v>0</v>
      </c>
      <c r="AU992" s="219">
        <f t="shared" si="464"/>
        <v>0</v>
      </c>
      <c r="AV992" s="31">
        <f t="shared" si="465"/>
        <v>0</v>
      </c>
      <c r="AW992" s="31">
        <f t="shared" si="466"/>
        <v>0</v>
      </c>
      <c r="AX992" s="31">
        <f t="shared" si="467"/>
        <v>0</v>
      </c>
      <c r="AY992" s="219">
        <f t="shared" si="468"/>
        <v>0</v>
      </c>
      <c r="AZ992" s="196">
        <f t="shared" si="469"/>
        <v>0</v>
      </c>
      <c r="BA992" s="219">
        <f t="shared" si="470"/>
        <v>0</v>
      </c>
      <c r="BB992" s="31">
        <f t="shared" si="471"/>
        <v>0</v>
      </c>
      <c r="BC992" s="219">
        <f t="shared" si="472"/>
        <v>0</v>
      </c>
      <c r="BD992" s="31">
        <f t="shared" si="473"/>
        <v>3.6</v>
      </c>
      <c r="BE992" s="219">
        <f t="shared" si="474"/>
        <v>3.06</v>
      </c>
      <c r="BF992" s="31">
        <f t="shared" si="475"/>
        <v>0</v>
      </c>
      <c r="BG992" s="219">
        <f t="shared" si="476"/>
        <v>0</v>
      </c>
      <c r="BH992" s="31">
        <f t="shared" si="477"/>
        <v>0</v>
      </c>
      <c r="BI992" s="219">
        <f t="shared" si="478"/>
        <v>0</v>
      </c>
      <c r="BJ992" s="31">
        <f t="shared" si="479"/>
        <v>0</v>
      </c>
      <c r="BK992" s="219">
        <f t="shared" si="480"/>
        <v>0</v>
      </c>
      <c r="BL992" s="31">
        <f t="shared" si="481"/>
        <v>0</v>
      </c>
      <c r="BM992" s="219">
        <f t="shared" si="482"/>
        <v>0</v>
      </c>
      <c r="BN992" s="31">
        <f t="shared" si="483"/>
        <v>0.9</v>
      </c>
      <c r="BO992" s="219">
        <f t="shared" si="484"/>
        <v>0.76500000000000001</v>
      </c>
    </row>
    <row r="993" spans="1:67" x14ac:dyDescent="0.25">
      <c r="A993" s="31" t="s">
        <v>880</v>
      </c>
      <c r="B993" s="176" t="str">
        <f>VLOOKUP(A993,kurspris!$A$1:$B$992,2,FALSE)</f>
        <v>Karriärteori och vägledning</v>
      </c>
      <c r="D993" s="60" t="s">
        <v>85</v>
      </c>
      <c r="E993" s="576" t="s">
        <v>2227</v>
      </c>
      <c r="F993" s="31" t="s">
        <v>2273</v>
      </c>
      <c r="G993" s="31" t="s">
        <v>2438</v>
      </c>
      <c r="H993" s="31" t="s">
        <v>2335</v>
      </c>
      <c r="I993" s="31" t="s">
        <v>1500</v>
      </c>
      <c r="L993" s="38">
        <v>1</v>
      </c>
      <c r="M993" s="325">
        <v>12.5</v>
      </c>
      <c r="P993" s="31">
        <v>1</v>
      </c>
      <c r="Q993" s="196">
        <f t="shared" si="485"/>
        <v>0.20833333333333334</v>
      </c>
      <c r="R993" s="38">
        <v>0.85</v>
      </c>
      <c r="S993" s="280">
        <f t="shared" si="457"/>
        <v>0.17708333333333334</v>
      </c>
      <c r="T993" s="31">
        <f>VLOOKUP(A993,'Ansvar kurs'!$A$1:$C$1123,2,FALSE)</f>
        <v>2193</v>
      </c>
      <c r="U993" s="31" t="str">
        <f>VLOOKUP(T993,Orgenheter!$A$1:$C$166,2,FALSE)</f>
        <v xml:space="preserve">TUV </v>
      </c>
      <c r="V993" s="31" t="str">
        <f>VLOOKUP(T993,Orgenheter!$A$1:$C$166,3,FALSE)</f>
        <v>Sam</v>
      </c>
      <c r="W993" s="35" t="str">
        <f>VLOOKUP(D993,Program!$A$1:$B$36,2,FALSE)</f>
        <v>Studie- och yrkesvägledarprogram</v>
      </c>
      <c r="X993" s="40">
        <f>VLOOKUP(A993,kurspris!$A$1:$Q$913,15,FALSE)</f>
        <v>20766</v>
      </c>
      <c r="Y993" s="40">
        <f>VLOOKUP(A993,kurspris!$A$1:$Q$913,16,FALSE)</f>
        <v>17442</v>
      </c>
      <c r="Z993" s="40">
        <f t="shared" si="458"/>
        <v>7414.9375</v>
      </c>
      <c r="AA993" s="40">
        <f>VLOOKUP(A993,kurspris!$A$1:$Q$913,17,FALSE)</f>
        <v>6000</v>
      </c>
      <c r="AB993" s="40">
        <f t="shared" si="459"/>
        <v>1250</v>
      </c>
      <c r="AC993" s="40">
        <f t="shared" si="460"/>
        <v>8664.9375</v>
      </c>
      <c r="AD993" s="31">
        <f>VLOOKUP($A993,kurspris!$A$1:$Q$950,3,FALSE)</f>
        <v>0</v>
      </c>
      <c r="AE993" s="31">
        <f>VLOOKUP($A993,kurspris!$A$1:$Q$950,4,FALSE)</f>
        <v>0</v>
      </c>
      <c r="AF993" s="31">
        <f>VLOOKUP($A993,kurspris!$A$1:$Q$950,5,FALSE)</f>
        <v>0</v>
      </c>
      <c r="AG993" s="31">
        <f>VLOOKUP($A993,kurspris!$A$1:$Q$950,6,FALSE)</f>
        <v>0</v>
      </c>
      <c r="AH993" s="31">
        <f>VLOOKUP($A993,kurspris!$A$1:$Q$950,7,FALSE)</f>
        <v>0</v>
      </c>
      <c r="AI993" s="31">
        <f>VLOOKUP($A993,kurspris!$A$1:$Q$950,8,FALSE)</f>
        <v>0</v>
      </c>
      <c r="AJ993" s="31">
        <f>VLOOKUP($A993,kurspris!$A$1:$Q$950,9,FALSE)</f>
        <v>1</v>
      </c>
      <c r="AK993" s="31">
        <f>VLOOKUP($A993,kurspris!$A$1:$Q$950,10,FALSE)</f>
        <v>0</v>
      </c>
      <c r="AL993" s="31">
        <f>VLOOKUP($A993,kurspris!$A$1:$Q$950,11,FALSE)</f>
        <v>0</v>
      </c>
      <c r="AM993" s="31">
        <f>VLOOKUP($A993,kurspris!$A$1:$Q$950,12,FALSE)</f>
        <v>0</v>
      </c>
      <c r="AN993" s="31">
        <f>VLOOKUP($A993,kurspris!$A$1:$Q$950,13,FALSE)</f>
        <v>0</v>
      </c>
      <c r="AO993" s="31">
        <f>VLOOKUP($A993,kurspris!$A$1:$Q$950,14,FALSE)</f>
        <v>0</v>
      </c>
      <c r="AP993" s="57" t="s">
        <v>2506</v>
      </c>
      <c r="AQ993"/>
      <c r="AR993" s="31">
        <f t="shared" si="461"/>
        <v>0</v>
      </c>
      <c r="AS993" s="219">
        <f t="shared" si="462"/>
        <v>0</v>
      </c>
      <c r="AT993" s="31">
        <f t="shared" si="463"/>
        <v>0</v>
      </c>
      <c r="AU993" s="219">
        <f t="shared" si="464"/>
        <v>0</v>
      </c>
      <c r="AV993" s="31">
        <f t="shared" si="465"/>
        <v>0</v>
      </c>
      <c r="AW993" s="31">
        <f t="shared" si="466"/>
        <v>0</v>
      </c>
      <c r="AX993" s="31">
        <f t="shared" si="467"/>
        <v>0</v>
      </c>
      <c r="AY993" s="219">
        <f t="shared" si="468"/>
        <v>0</v>
      </c>
      <c r="AZ993" s="196">
        <f t="shared" si="469"/>
        <v>0</v>
      </c>
      <c r="BA993" s="219">
        <f t="shared" si="470"/>
        <v>0</v>
      </c>
      <c r="BB993" s="31">
        <f t="shared" si="471"/>
        <v>0</v>
      </c>
      <c r="BC993" s="219">
        <f t="shared" si="472"/>
        <v>0</v>
      </c>
      <c r="BD993" s="31">
        <f t="shared" si="473"/>
        <v>0.20833333333333334</v>
      </c>
      <c r="BE993" s="219">
        <f t="shared" si="474"/>
        <v>0.17708333333333334</v>
      </c>
      <c r="BF993" s="31">
        <f t="shared" si="475"/>
        <v>0</v>
      </c>
      <c r="BG993" s="219">
        <f t="shared" si="476"/>
        <v>0</v>
      </c>
      <c r="BH993" s="31">
        <f t="shared" si="477"/>
        <v>0</v>
      </c>
      <c r="BI993" s="219">
        <f t="shared" si="478"/>
        <v>0</v>
      </c>
      <c r="BJ993" s="31">
        <f t="shared" si="479"/>
        <v>0</v>
      </c>
      <c r="BK993" s="219">
        <f t="shared" si="480"/>
        <v>0</v>
      </c>
      <c r="BL993" s="31">
        <f t="shared" si="481"/>
        <v>0</v>
      </c>
      <c r="BM993" s="219">
        <f t="shared" si="482"/>
        <v>0</v>
      </c>
      <c r="BN993" s="31">
        <f t="shared" si="483"/>
        <v>0</v>
      </c>
      <c r="BO993" s="219">
        <f t="shared" si="484"/>
        <v>0</v>
      </c>
    </row>
    <row r="994" spans="1:67" x14ac:dyDescent="0.25">
      <c r="A994" s="31" t="s">
        <v>880</v>
      </c>
      <c r="B994" s="176" t="str">
        <f>VLOOKUP(A994,kurspris!$A$1:$B$992,2,FALSE)</f>
        <v>Karriärteori och vägledning</v>
      </c>
      <c r="D994" s="60" t="s">
        <v>85</v>
      </c>
      <c r="E994" s="576" t="s">
        <v>2225</v>
      </c>
      <c r="F994" s="31" t="s">
        <v>2273</v>
      </c>
      <c r="G994" s="31" t="s">
        <v>2438</v>
      </c>
      <c r="H994" s="31" t="s">
        <v>2335</v>
      </c>
      <c r="I994" s="31" t="s">
        <v>1500</v>
      </c>
      <c r="L994" s="38">
        <v>1</v>
      </c>
      <c r="M994" s="325">
        <v>12.5</v>
      </c>
      <c r="P994" s="31">
        <v>1</v>
      </c>
      <c r="Q994" s="196">
        <f t="shared" si="485"/>
        <v>0.20833333333333334</v>
      </c>
      <c r="R994" s="38">
        <v>0.85</v>
      </c>
      <c r="S994" s="280">
        <f t="shared" si="457"/>
        <v>0.17708333333333334</v>
      </c>
      <c r="T994" s="31">
        <f>VLOOKUP(A994,'Ansvar kurs'!$A$1:$C$1123,2,FALSE)</f>
        <v>2193</v>
      </c>
      <c r="U994" s="31" t="str">
        <f>VLOOKUP(T994,Orgenheter!$A$1:$C$166,2,FALSE)</f>
        <v xml:space="preserve">TUV </v>
      </c>
      <c r="V994" s="31" t="str">
        <f>VLOOKUP(T994,Orgenheter!$A$1:$C$166,3,FALSE)</f>
        <v>Sam</v>
      </c>
      <c r="W994" s="35" t="str">
        <f>VLOOKUP(D994,Program!$A$1:$B$36,2,FALSE)</f>
        <v>Studie- och yrkesvägledarprogram</v>
      </c>
      <c r="X994" s="40">
        <f>VLOOKUP(A994,kurspris!$A$1:$Q$913,15,FALSE)</f>
        <v>20766</v>
      </c>
      <c r="Y994" s="40">
        <f>VLOOKUP(A994,kurspris!$A$1:$Q$913,16,FALSE)</f>
        <v>17442</v>
      </c>
      <c r="Z994" s="40">
        <f t="shared" si="458"/>
        <v>7414.9375</v>
      </c>
      <c r="AA994" s="40">
        <f>VLOOKUP(A994,kurspris!$A$1:$Q$913,17,FALSE)</f>
        <v>6000</v>
      </c>
      <c r="AB994" s="40">
        <f t="shared" si="459"/>
        <v>1250</v>
      </c>
      <c r="AC994" s="40">
        <f t="shared" si="460"/>
        <v>8664.9375</v>
      </c>
      <c r="AD994" s="31">
        <f>VLOOKUP($A994,kurspris!$A$1:$Q$950,3,FALSE)</f>
        <v>0</v>
      </c>
      <c r="AE994" s="31">
        <f>VLOOKUP($A994,kurspris!$A$1:$Q$950,4,FALSE)</f>
        <v>0</v>
      </c>
      <c r="AF994" s="31">
        <f>VLOOKUP($A994,kurspris!$A$1:$Q$950,5,FALSE)</f>
        <v>0</v>
      </c>
      <c r="AG994" s="31">
        <f>VLOOKUP($A994,kurspris!$A$1:$Q$950,6,FALSE)</f>
        <v>0</v>
      </c>
      <c r="AH994" s="31">
        <f>VLOOKUP($A994,kurspris!$A$1:$Q$950,7,FALSE)</f>
        <v>0</v>
      </c>
      <c r="AI994" s="31">
        <f>VLOOKUP($A994,kurspris!$A$1:$Q$950,8,FALSE)</f>
        <v>0</v>
      </c>
      <c r="AJ994" s="31">
        <f>VLOOKUP($A994,kurspris!$A$1:$Q$950,9,FALSE)</f>
        <v>1</v>
      </c>
      <c r="AK994" s="31">
        <f>VLOOKUP($A994,kurspris!$A$1:$Q$950,10,FALSE)</f>
        <v>0</v>
      </c>
      <c r="AL994" s="31">
        <f>VLOOKUP($A994,kurspris!$A$1:$Q$950,11,FALSE)</f>
        <v>0</v>
      </c>
      <c r="AM994" s="31">
        <f>VLOOKUP($A994,kurspris!$A$1:$Q$950,12,FALSE)</f>
        <v>0</v>
      </c>
      <c r="AN994" s="31">
        <f>VLOOKUP($A994,kurspris!$A$1:$Q$950,13,FALSE)</f>
        <v>0</v>
      </c>
      <c r="AO994" s="31">
        <f>VLOOKUP($A994,kurspris!$A$1:$Q$950,14,FALSE)</f>
        <v>0</v>
      </c>
      <c r="AP994" s="57" t="s">
        <v>2506</v>
      </c>
      <c r="AQ994"/>
      <c r="AR994" s="31">
        <f t="shared" si="461"/>
        <v>0</v>
      </c>
      <c r="AS994" s="219">
        <f t="shared" si="462"/>
        <v>0</v>
      </c>
      <c r="AT994" s="31">
        <f t="shared" si="463"/>
        <v>0</v>
      </c>
      <c r="AU994" s="219">
        <f t="shared" si="464"/>
        <v>0</v>
      </c>
      <c r="AV994" s="31">
        <f t="shared" si="465"/>
        <v>0</v>
      </c>
      <c r="AW994" s="31">
        <f t="shared" si="466"/>
        <v>0</v>
      </c>
      <c r="AX994" s="31">
        <f t="shared" si="467"/>
        <v>0</v>
      </c>
      <c r="AY994" s="219">
        <f t="shared" si="468"/>
        <v>0</v>
      </c>
      <c r="AZ994" s="196">
        <f t="shared" si="469"/>
        <v>0</v>
      </c>
      <c r="BA994" s="219">
        <f t="shared" si="470"/>
        <v>0</v>
      </c>
      <c r="BB994" s="31">
        <f t="shared" si="471"/>
        <v>0</v>
      </c>
      <c r="BC994" s="219">
        <f t="shared" si="472"/>
        <v>0</v>
      </c>
      <c r="BD994" s="31">
        <f t="shared" si="473"/>
        <v>0.20833333333333334</v>
      </c>
      <c r="BE994" s="219">
        <f t="shared" si="474"/>
        <v>0.17708333333333334</v>
      </c>
      <c r="BF994" s="31">
        <f t="shared" si="475"/>
        <v>0</v>
      </c>
      <c r="BG994" s="219">
        <f t="shared" si="476"/>
        <v>0</v>
      </c>
      <c r="BH994" s="31">
        <f t="shared" si="477"/>
        <v>0</v>
      </c>
      <c r="BI994" s="219">
        <f t="shared" si="478"/>
        <v>0</v>
      </c>
      <c r="BJ994" s="31">
        <f t="shared" si="479"/>
        <v>0</v>
      </c>
      <c r="BK994" s="219">
        <f t="shared" si="480"/>
        <v>0</v>
      </c>
      <c r="BL994" s="31">
        <f t="shared" si="481"/>
        <v>0</v>
      </c>
      <c r="BM994" s="219">
        <f t="shared" si="482"/>
        <v>0</v>
      </c>
      <c r="BN994" s="31">
        <f t="shared" si="483"/>
        <v>0</v>
      </c>
      <c r="BO994" s="219">
        <f t="shared" si="484"/>
        <v>0</v>
      </c>
    </row>
    <row r="995" spans="1:67" x14ac:dyDescent="0.25">
      <c r="A995" s="31" t="s">
        <v>880</v>
      </c>
      <c r="B995" s="176" t="str">
        <f>VLOOKUP(A995,kurspris!$A$1:$B$992,2,FALSE)</f>
        <v>Karriärteori och vägledning</v>
      </c>
      <c r="D995" s="60" t="s">
        <v>85</v>
      </c>
      <c r="E995" s="576" t="s">
        <v>2434</v>
      </c>
      <c r="F995" s="31" t="s">
        <v>2273</v>
      </c>
      <c r="G995" s="31" t="s">
        <v>2438</v>
      </c>
      <c r="H995" s="31" t="s">
        <v>2335</v>
      </c>
      <c r="I995" s="31" t="s">
        <v>624</v>
      </c>
      <c r="L995" s="38">
        <v>1</v>
      </c>
      <c r="M995" s="325">
        <v>12.5</v>
      </c>
      <c r="P995" s="31">
        <v>19</v>
      </c>
      <c r="Q995" s="196">
        <f t="shared" si="485"/>
        <v>3.9583333333333335</v>
      </c>
      <c r="R995" s="38">
        <v>0.85</v>
      </c>
      <c r="S995" s="280">
        <f t="shared" si="457"/>
        <v>3.3645833333333335</v>
      </c>
      <c r="T995" s="31">
        <f>VLOOKUP(A995,'Ansvar kurs'!$A$1:$C$1123,2,FALSE)</f>
        <v>2193</v>
      </c>
      <c r="U995" s="31" t="str">
        <f>VLOOKUP(T995,Orgenheter!$A$1:$C$166,2,FALSE)</f>
        <v xml:space="preserve">TUV </v>
      </c>
      <c r="V995" s="31" t="str">
        <f>VLOOKUP(T995,Orgenheter!$A$1:$C$166,3,FALSE)</f>
        <v>Sam</v>
      </c>
      <c r="W995" s="35" t="str">
        <f>VLOOKUP(D995,Program!$A$1:$B$36,2,FALSE)</f>
        <v>Studie- och yrkesvägledarprogram</v>
      </c>
      <c r="X995" s="40">
        <f>VLOOKUP(A995,kurspris!$A$1:$Q$913,15,FALSE)</f>
        <v>20766</v>
      </c>
      <c r="Y995" s="40">
        <f>VLOOKUP(A995,kurspris!$A$1:$Q$913,16,FALSE)</f>
        <v>17442</v>
      </c>
      <c r="Z995" s="40">
        <f t="shared" si="458"/>
        <v>140883.8125</v>
      </c>
      <c r="AA995" s="40">
        <f>VLOOKUP(A995,kurspris!$A$1:$Q$913,17,FALSE)</f>
        <v>6000</v>
      </c>
      <c r="AB995" s="40">
        <f t="shared" si="459"/>
        <v>23750</v>
      </c>
      <c r="AC995" s="40">
        <f t="shared" si="460"/>
        <v>164633.8125</v>
      </c>
      <c r="AD995" s="31">
        <f>VLOOKUP($A995,kurspris!$A$1:$Q$950,3,FALSE)</f>
        <v>0</v>
      </c>
      <c r="AE995" s="31">
        <f>VLOOKUP($A995,kurspris!$A$1:$Q$950,4,FALSE)</f>
        <v>0</v>
      </c>
      <c r="AF995" s="31">
        <f>VLOOKUP($A995,kurspris!$A$1:$Q$950,5,FALSE)</f>
        <v>0</v>
      </c>
      <c r="AG995" s="31">
        <f>VLOOKUP($A995,kurspris!$A$1:$Q$950,6,FALSE)</f>
        <v>0</v>
      </c>
      <c r="AH995" s="31">
        <f>VLOOKUP($A995,kurspris!$A$1:$Q$950,7,FALSE)</f>
        <v>0</v>
      </c>
      <c r="AI995" s="31">
        <f>VLOOKUP($A995,kurspris!$A$1:$Q$950,8,FALSE)</f>
        <v>0</v>
      </c>
      <c r="AJ995" s="31">
        <f>VLOOKUP($A995,kurspris!$A$1:$Q$950,9,FALSE)</f>
        <v>1</v>
      </c>
      <c r="AK995" s="31">
        <f>VLOOKUP($A995,kurspris!$A$1:$Q$950,10,FALSE)</f>
        <v>0</v>
      </c>
      <c r="AL995" s="31">
        <f>VLOOKUP($A995,kurspris!$A$1:$Q$950,11,FALSE)</f>
        <v>0</v>
      </c>
      <c r="AM995" s="31">
        <f>VLOOKUP($A995,kurspris!$A$1:$Q$950,12,FALSE)</f>
        <v>0</v>
      </c>
      <c r="AN995" s="31">
        <f>VLOOKUP($A995,kurspris!$A$1:$Q$950,13,FALSE)</f>
        <v>0</v>
      </c>
      <c r="AO995" s="31">
        <f>VLOOKUP($A995,kurspris!$A$1:$Q$950,14,FALSE)</f>
        <v>0</v>
      </c>
      <c r="AP995" s="57" t="s">
        <v>2506</v>
      </c>
      <c r="AQ995"/>
      <c r="AR995" s="31">
        <f t="shared" si="461"/>
        <v>0</v>
      </c>
      <c r="AS995" s="219">
        <f t="shared" si="462"/>
        <v>0</v>
      </c>
      <c r="AT995" s="31">
        <f t="shared" si="463"/>
        <v>0</v>
      </c>
      <c r="AU995" s="219">
        <f t="shared" si="464"/>
        <v>0</v>
      </c>
      <c r="AV995" s="31">
        <f t="shared" si="465"/>
        <v>0</v>
      </c>
      <c r="AW995" s="31">
        <f t="shared" si="466"/>
        <v>0</v>
      </c>
      <c r="AX995" s="31">
        <f t="shared" si="467"/>
        <v>0</v>
      </c>
      <c r="AY995" s="219">
        <f t="shared" si="468"/>
        <v>0</v>
      </c>
      <c r="AZ995" s="196">
        <f t="shared" si="469"/>
        <v>0</v>
      </c>
      <c r="BA995" s="219">
        <f t="shared" si="470"/>
        <v>0</v>
      </c>
      <c r="BB995" s="31">
        <f t="shared" si="471"/>
        <v>0</v>
      </c>
      <c r="BC995" s="219">
        <f t="shared" si="472"/>
        <v>0</v>
      </c>
      <c r="BD995" s="31">
        <f t="shared" si="473"/>
        <v>3.9583333333333335</v>
      </c>
      <c r="BE995" s="219">
        <f t="shared" si="474"/>
        <v>3.3645833333333335</v>
      </c>
      <c r="BF995" s="31">
        <f t="shared" si="475"/>
        <v>0</v>
      </c>
      <c r="BG995" s="219">
        <f t="shared" si="476"/>
        <v>0</v>
      </c>
      <c r="BH995" s="31">
        <f t="shared" si="477"/>
        <v>0</v>
      </c>
      <c r="BI995" s="219">
        <f t="shared" si="478"/>
        <v>0</v>
      </c>
      <c r="BJ995" s="31">
        <f t="shared" si="479"/>
        <v>0</v>
      </c>
      <c r="BK995" s="219">
        <f t="shared" si="480"/>
        <v>0</v>
      </c>
      <c r="BL995" s="31">
        <f t="shared" si="481"/>
        <v>0</v>
      </c>
      <c r="BM995" s="219">
        <f t="shared" si="482"/>
        <v>0</v>
      </c>
      <c r="BN995" s="31">
        <f t="shared" si="483"/>
        <v>0</v>
      </c>
      <c r="BO995" s="219">
        <f t="shared" si="484"/>
        <v>0</v>
      </c>
    </row>
    <row r="996" spans="1:67" x14ac:dyDescent="0.25">
      <c r="A996" s="31" t="s">
        <v>880</v>
      </c>
      <c r="B996" s="176" t="str">
        <f>VLOOKUP(A996,kurspris!$A$1:$B$992,2,FALSE)</f>
        <v>Karriärteori och vägledning</v>
      </c>
      <c r="D996" s="60" t="s">
        <v>85</v>
      </c>
      <c r="E996" s="576" t="s">
        <v>2434</v>
      </c>
      <c r="F996" s="31" t="s">
        <v>2273</v>
      </c>
      <c r="G996" s="31" t="s">
        <v>2438</v>
      </c>
      <c r="H996" s="31" t="s">
        <v>2335</v>
      </c>
      <c r="I996" s="31" t="s">
        <v>1500</v>
      </c>
      <c r="L996" s="38">
        <v>1</v>
      </c>
      <c r="M996" s="325">
        <v>12.5</v>
      </c>
      <c r="P996" s="31">
        <v>29</v>
      </c>
      <c r="Q996" s="196">
        <f t="shared" si="485"/>
        <v>6.041666666666667</v>
      </c>
      <c r="R996" s="38">
        <v>0.85</v>
      </c>
      <c r="S996" s="280">
        <f t="shared" si="457"/>
        <v>5.135416666666667</v>
      </c>
      <c r="T996" s="31">
        <f>VLOOKUP(A996,'Ansvar kurs'!$A$1:$C$1123,2,FALSE)</f>
        <v>2193</v>
      </c>
      <c r="U996" s="31" t="str">
        <f>VLOOKUP(T996,Orgenheter!$A$1:$C$166,2,FALSE)</f>
        <v xml:space="preserve">TUV </v>
      </c>
      <c r="V996" s="31" t="str">
        <f>VLOOKUP(T996,Orgenheter!$A$1:$C$166,3,FALSE)</f>
        <v>Sam</v>
      </c>
      <c r="W996" s="35" t="str">
        <f>VLOOKUP(D996,Program!$A$1:$B$36,2,FALSE)</f>
        <v>Studie- och yrkesvägledarprogram</v>
      </c>
      <c r="X996" s="40">
        <f>VLOOKUP(A996,kurspris!$A$1:$Q$913,15,FALSE)</f>
        <v>20766</v>
      </c>
      <c r="Y996" s="40">
        <f>VLOOKUP(A996,kurspris!$A$1:$Q$913,16,FALSE)</f>
        <v>17442</v>
      </c>
      <c r="Z996" s="40">
        <f t="shared" si="458"/>
        <v>215033.1875</v>
      </c>
      <c r="AA996" s="40">
        <f>VLOOKUP(A996,kurspris!$A$1:$Q$913,17,FALSE)</f>
        <v>6000</v>
      </c>
      <c r="AB996" s="40">
        <f t="shared" si="459"/>
        <v>36250</v>
      </c>
      <c r="AC996" s="40">
        <f t="shared" si="460"/>
        <v>251283.1875</v>
      </c>
      <c r="AD996" s="31">
        <f>VLOOKUP($A996,kurspris!$A$1:$Q$950,3,FALSE)</f>
        <v>0</v>
      </c>
      <c r="AE996" s="31">
        <f>VLOOKUP($A996,kurspris!$A$1:$Q$950,4,FALSE)</f>
        <v>0</v>
      </c>
      <c r="AF996" s="31">
        <f>VLOOKUP($A996,kurspris!$A$1:$Q$950,5,FALSE)</f>
        <v>0</v>
      </c>
      <c r="AG996" s="31">
        <f>VLOOKUP($A996,kurspris!$A$1:$Q$950,6,FALSE)</f>
        <v>0</v>
      </c>
      <c r="AH996" s="31">
        <f>VLOOKUP($A996,kurspris!$A$1:$Q$950,7,FALSE)</f>
        <v>0</v>
      </c>
      <c r="AI996" s="31">
        <f>VLOOKUP($A996,kurspris!$A$1:$Q$950,8,FALSE)</f>
        <v>0</v>
      </c>
      <c r="AJ996" s="31">
        <f>VLOOKUP($A996,kurspris!$A$1:$Q$950,9,FALSE)</f>
        <v>1</v>
      </c>
      <c r="AK996" s="31">
        <f>VLOOKUP($A996,kurspris!$A$1:$Q$950,10,FALSE)</f>
        <v>0</v>
      </c>
      <c r="AL996" s="31">
        <f>VLOOKUP($A996,kurspris!$A$1:$Q$950,11,FALSE)</f>
        <v>0</v>
      </c>
      <c r="AM996" s="31">
        <f>VLOOKUP($A996,kurspris!$A$1:$Q$950,12,FALSE)</f>
        <v>0</v>
      </c>
      <c r="AN996" s="31">
        <f>VLOOKUP($A996,kurspris!$A$1:$Q$950,13,FALSE)</f>
        <v>0</v>
      </c>
      <c r="AO996" s="31">
        <f>VLOOKUP($A996,kurspris!$A$1:$Q$950,14,FALSE)</f>
        <v>0</v>
      </c>
      <c r="AP996" s="57" t="s">
        <v>2506</v>
      </c>
      <c r="AQ996"/>
      <c r="AR996" s="31">
        <f t="shared" si="461"/>
        <v>0</v>
      </c>
      <c r="AS996" s="219">
        <f t="shared" si="462"/>
        <v>0</v>
      </c>
      <c r="AT996" s="31">
        <f t="shared" si="463"/>
        <v>0</v>
      </c>
      <c r="AU996" s="219">
        <f t="shared" si="464"/>
        <v>0</v>
      </c>
      <c r="AV996" s="31">
        <f t="shared" si="465"/>
        <v>0</v>
      </c>
      <c r="AW996" s="31">
        <f t="shared" si="466"/>
        <v>0</v>
      </c>
      <c r="AX996" s="31">
        <f t="shared" si="467"/>
        <v>0</v>
      </c>
      <c r="AY996" s="219">
        <f t="shared" si="468"/>
        <v>0</v>
      </c>
      <c r="AZ996" s="196">
        <f t="shared" si="469"/>
        <v>0</v>
      </c>
      <c r="BA996" s="219">
        <f t="shared" si="470"/>
        <v>0</v>
      </c>
      <c r="BB996" s="31">
        <f t="shared" si="471"/>
        <v>0</v>
      </c>
      <c r="BC996" s="219">
        <f t="shared" si="472"/>
        <v>0</v>
      </c>
      <c r="BD996" s="31">
        <f t="shared" si="473"/>
        <v>6.041666666666667</v>
      </c>
      <c r="BE996" s="219">
        <f t="shared" si="474"/>
        <v>5.135416666666667</v>
      </c>
      <c r="BF996" s="31">
        <f t="shared" si="475"/>
        <v>0</v>
      </c>
      <c r="BG996" s="219">
        <f t="shared" si="476"/>
        <v>0</v>
      </c>
      <c r="BH996" s="31">
        <f t="shared" si="477"/>
        <v>0</v>
      </c>
      <c r="BI996" s="219">
        <f t="shared" si="478"/>
        <v>0</v>
      </c>
      <c r="BJ996" s="31">
        <f t="shared" si="479"/>
        <v>0</v>
      </c>
      <c r="BK996" s="219">
        <f t="shared" si="480"/>
        <v>0</v>
      </c>
      <c r="BL996" s="31">
        <f t="shared" si="481"/>
        <v>0</v>
      </c>
      <c r="BM996" s="219">
        <f t="shared" si="482"/>
        <v>0</v>
      </c>
      <c r="BN996" s="31">
        <f t="shared" si="483"/>
        <v>0</v>
      </c>
      <c r="BO996" s="219">
        <f t="shared" si="484"/>
        <v>0</v>
      </c>
    </row>
    <row r="997" spans="1:67" x14ac:dyDescent="0.25">
      <c r="A997" s="362" t="s">
        <v>880</v>
      </c>
      <c r="B997" s="362" t="str">
        <f>VLOOKUP(A997,kurspris!$A$1:$B$992,2,FALSE)</f>
        <v>Karriärteori och vägledning</v>
      </c>
      <c r="C997" s="244"/>
      <c r="D997" s="538" t="s">
        <v>85</v>
      </c>
      <c r="E997" s="538" t="s">
        <v>2203</v>
      </c>
      <c r="F997" s="244" t="s">
        <v>2273</v>
      </c>
      <c r="G997" s="244"/>
      <c r="H997" s="244">
        <v>2480</v>
      </c>
      <c r="I997" s="538" t="s">
        <v>624</v>
      </c>
      <c r="J997" s="540" t="s">
        <v>1501</v>
      </c>
      <c r="K997" s="283"/>
      <c r="L997" s="518"/>
      <c r="M997" s="325">
        <v>12.5</v>
      </c>
      <c r="N997" s="38">
        <v>-0.05</v>
      </c>
      <c r="O997" s="31">
        <v>27</v>
      </c>
      <c r="P997" s="31">
        <f>O997+(O997*N997)</f>
        <v>25.65</v>
      </c>
      <c r="Q997" s="196">
        <f t="shared" si="485"/>
        <v>5.34375</v>
      </c>
      <c r="R997" s="38">
        <v>0.85</v>
      </c>
      <c r="S997" s="280">
        <f t="shared" si="457"/>
        <v>4.5421874999999998</v>
      </c>
      <c r="T997" s="31">
        <f>VLOOKUP(A997,'Ansvar kurs'!$A$1:$C$1123,2,FALSE)</f>
        <v>2193</v>
      </c>
      <c r="U997" s="31" t="str">
        <f>VLOOKUP(T997,Orgenheter!$A$1:$C$166,2,FALSE)</f>
        <v xml:space="preserve">TUV </v>
      </c>
      <c r="V997" s="31" t="str">
        <f>VLOOKUP(T997,Orgenheter!$A$1:$C$166,3,FALSE)</f>
        <v>Sam</v>
      </c>
      <c r="W997" s="35" t="str">
        <f>VLOOKUP(D997,Program!$A$1:$B$36,2,FALSE)</f>
        <v>Studie- och yrkesvägledarprogram</v>
      </c>
      <c r="X997" s="40">
        <f>VLOOKUP(A997,kurspris!$A$1:$Q$913,15,FALSE)</f>
        <v>20766</v>
      </c>
      <c r="Y997" s="40">
        <f>VLOOKUP(A997,kurspris!$A$1:$Q$913,16,FALSE)</f>
        <v>17442</v>
      </c>
      <c r="Z997" s="40">
        <f t="shared" si="458"/>
        <v>190193.14687499998</v>
      </c>
      <c r="AA997" s="40">
        <f>VLOOKUP(A997,kurspris!$A$1:$Q$913,17,FALSE)</f>
        <v>6000</v>
      </c>
      <c r="AB997" s="40">
        <f t="shared" si="459"/>
        <v>32062.5</v>
      </c>
      <c r="AC997" s="40">
        <f t="shared" si="460"/>
        <v>222255.64687499998</v>
      </c>
      <c r="AD997" s="31">
        <f>VLOOKUP($A997,kurspris!$A$1:$Q$950,3,FALSE)</f>
        <v>0</v>
      </c>
      <c r="AE997" s="31">
        <f>VLOOKUP($A997,kurspris!$A$1:$Q$950,4,FALSE)</f>
        <v>0</v>
      </c>
      <c r="AF997" s="31">
        <f>VLOOKUP($A997,kurspris!$A$1:$Q$950,5,FALSE)</f>
        <v>0</v>
      </c>
      <c r="AG997" s="31">
        <f>VLOOKUP($A997,kurspris!$A$1:$Q$950,6,FALSE)</f>
        <v>0</v>
      </c>
      <c r="AH997" s="31">
        <f>VLOOKUP($A997,kurspris!$A$1:$Q$950,7,FALSE)</f>
        <v>0</v>
      </c>
      <c r="AI997" s="31">
        <f>VLOOKUP($A997,kurspris!$A$1:$Q$950,8,FALSE)</f>
        <v>0</v>
      </c>
      <c r="AJ997" s="31">
        <f>VLOOKUP($A997,kurspris!$A$1:$Q$950,9,FALSE)</f>
        <v>1</v>
      </c>
      <c r="AK997" s="31">
        <f>VLOOKUP($A997,kurspris!$A$1:$Q$950,10,FALSE)</f>
        <v>0</v>
      </c>
      <c r="AL997" s="31">
        <f>VLOOKUP($A997,kurspris!$A$1:$Q$950,11,FALSE)</f>
        <v>0</v>
      </c>
      <c r="AM997" s="31">
        <f>VLOOKUP($A997,kurspris!$A$1:$Q$950,12,FALSE)</f>
        <v>0</v>
      </c>
      <c r="AN997" s="31">
        <f>VLOOKUP($A997,kurspris!$A$1:$Q$950,13,FALSE)</f>
        <v>0</v>
      </c>
      <c r="AO997" s="31">
        <f>VLOOKUP($A997,kurspris!$A$1:$Q$950,14,FALSE)</f>
        <v>0</v>
      </c>
      <c r="AP997" s="57" t="s">
        <v>2222</v>
      </c>
      <c r="AQ997"/>
      <c r="AR997" s="31">
        <f t="shared" si="461"/>
        <v>0</v>
      </c>
      <c r="AS997" s="219">
        <f t="shared" si="462"/>
        <v>0</v>
      </c>
      <c r="AT997" s="31">
        <f t="shared" si="463"/>
        <v>0</v>
      </c>
      <c r="AU997" s="219">
        <f t="shared" si="464"/>
        <v>0</v>
      </c>
      <c r="AV997" s="31">
        <f t="shared" si="465"/>
        <v>0</v>
      </c>
      <c r="AW997" s="31">
        <f t="shared" si="466"/>
        <v>0</v>
      </c>
      <c r="AX997" s="31">
        <f t="shared" si="467"/>
        <v>0</v>
      </c>
      <c r="AY997" s="219">
        <f t="shared" si="468"/>
        <v>0</v>
      </c>
      <c r="AZ997" s="196">
        <f t="shared" si="469"/>
        <v>0</v>
      </c>
      <c r="BA997" s="219">
        <f t="shared" si="470"/>
        <v>0</v>
      </c>
      <c r="BB997" s="31">
        <f t="shared" si="471"/>
        <v>0</v>
      </c>
      <c r="BC997" s="219">
        <f t="shared" si="472"/>
        <v>0</v>
      </c>
      <c r="BD997" s="31">
        <f t="shared" si="473"/>
        <v>5.34375</v>
      </c>
      <c r="BE997" s="219">
        <f t="shared" si="474"/>
        <v>4.5421874999999998</v>
      </c>
      <c r="BF997" s="31">
        <f t="shared" si="475"/>
        <v>0</v>
      </c>
      <c r="BG997" s="219">
        <f t="shared" si="476"/>
        <v>0</v>
      </c>
      <c r="BH997" s="31">
        <f t="shared" si="477"/>
        <v>0</v>
      </c>
      <c r="BI997" s="219">
        <f t="shared" si="478"/>
        <v>0</v>
      </c>
      <c r="BJ997" s="31">
        <f t="shared" si="479"/>
        <v>0</v>
      </c>
      <c r="BK997" s="219">
        <f t="shared" si="480"/>
        <v>0</v>
      </c>
      <c r="BL997" s="31">
        <f t="shared" si="481"/>
        <v>0</v>
      </c>
      <c r="BM997" s="219">
        <f t="shared" si="482"/>
        <v>0</v>
      </c>
      <c r="BN997" s="31">
        <f t="shared" si="483"/>
        <v>0</v>
      </c>
      <c r="BO997" s="219">
        <f t="shared" si="484"/>
        <v>0</v>
      </c>
    </row>
    <row r="998" spans="1:67" x14ac:dyDescent="0.25">
      <c r="A998" s="31" t="s">
        <v>878</v>
      </c>
      <c r="B998" s="176" t="str">
        <f>VLOOKUP(A998,kurspris!$A$1:$B$992,2,FALSE)</f>
        <v>Gruppvägledning med inriktning mot karriärutveckling</v>
      </c>
      <c r="D998" s="60" t="s">
        <v>85</v>
      </c>
      <c r="E998" s="576" t="s">
        <v>2227</v>
      </c>
      <c r="F998" s="31" t="s">
        <v>2273</v>
      </c>
      <c r="G998" s="31" t="s">
        <v>2439</v>
      </c>
      <c r="H998" s="31" t="s">
        <v>2335</v>
      </c>
      <c r="I998" s="31" t="s">
        <v>1500</v>
      </c>
      <c r="L998" s="38">
        <v>1</v>
      </c>
      <c r="M998" s="325">
        <v>7.5</v>
      </c>
      <c r="P998" s="31">
        <v>1</v>
      </c>
      <c r="Q998" s="196">
        <f t="shared" si="485"/>
        <v>0.125</v>
      </c>
      <c r="R998" s="38">
        <v>0.85</v>
      </c>
      <c r="S998" s="280">
        <f t="shared" si="457"/>
        <v>0.10625</v>
      </c>
      <c r="T998" s="31">
        <f>VLOOKUP(A998,'Ansvar kurs'!$A$1:$C$1123,2,FALSE)</f>
        <v>2193</v>
      </c>
      <c r="U998" s="31" t="str">
        <f>VLOOKUP(T998,Orgenheter!$A$1:$C$166,2,FALSE)</f>
        <v xml:space="preserve">TUV </v>
      </c>
      <c r="V998" s="31" t="str">
        <f>VLOOKUP(T998,Orgenheter!$A$1:$C$166,3,FALSE)</f>
        <v>Sam</v>
      </c>
      <c r="W998" s="35" t="str">
        <f>VLOOKUP(D998,Program!$A$1:$B$36,2,FALSE)</f>
        <v>Studie- och yrkesvägledarprogram</v>
      </c>
      <c r="X998" s="40">
        <f>VLOOKUP(A998,kurspris!$A$1:$Q$913,15,FALSE)</f>
        <v>36229.199999999997</v>
      </c>
      <c r="Y998" s="40">
        <f>VLOOKUP(A998,kurspris!$A$1:$Q$913,16,FALSE)</f>
        <v>35006.800000000003</v>
      </c>
      <c r="Z998" s="40">
        <f t="shared" si="458"/>
        <v>8248.1224999999995</v>
      </c>
      <c r="AA998" s="40">
        <f>VLOOKUP(A998,kurspris!$A$1:$Q$913,17,FALSE)</f>
        <v>6000</v>
      </c>
      <c r="AB998" s="40">
        <f t="shared" si="459"/>
        <v>750</v>
      </c>
      <c r="AC998" s="40">
        <f t="shared" si="460"/>
        <v>8998.1224999999995</v>
      </c>
      <c r="AD998" s="31">
        <f>VLOOKUP($A998,kurspris!$A$1:$Q$950,3,FALSE)</f>
        <v>0</v>
      </c>
      <c r="AE998" s="31">
        <f>VLOOKUP($A998,kurspris!$A$1:$Q$950,4,FALSE)</f>
        <v>0</v>
      </c>
      <c r="AF998" s="31">
        <f>VLOOKUP($A998,kurspris!$A$1:$Q$950,5,FALSE)</f>
        <v>0</v>
      </c>
      <c r="AG998" s="31">
        <f>VLOOKUP($A998,kurspris!$A$1:$Q$950,6,FALSE)</f>
        <v>0</v>
      </c>
      <c r="AH998" s="31">
        <f>VLOOKUP($A998,kurspris!$A$1:$Q$950,7,FALSE)</f>
        <v>0</v>
      </c>
      <c r="AI998" s="31">
        <f>VLOOKUP($A998,kurspris!$A$1:$Q$950,8,FALSE)</f>
        <v>0</v>
      </c>
      <c r="AJ998" s="31">
        <f>VLOOKUP($A998,kurspris!$A$1:$Q$950,9,FALSE)</f>
        <v>0.2</v>
      </c>
      <c r="AK998" s="31">
        <f>VLOOKUP($A998,kurspris!$A$1:$Q$950,10,FALSE)</f>
        <v>0</v>
      </c>
      <c r="AL998" s="31">
        <f>VLOOKUP($A998,kurspris!$A$1:$Q$950,11,FALSE)</f>
        <v>0</v>
      </c>
      <c r="AM998" s="31">
        <f>VLOOKUP($A998,kurspris!$A$1:$Q$950,12,FALSE)</f>
        <v>0</v>
      </c>
      <c r="AN998" s="31">
        <f>VLOOKUP($A998,kurspris!$A$1:$Q$950,13,FALSE)</f>
        <v>0</v>
      </c>
      <c r="AO998" s="31">
        <f>VLOOKUP($A998,kurspris!$A$1:$Q$950,14,FALSE)</f>
        <v>0.8</v>
      </c>
      <c r="AP998" s="57" t="s">
        <v>2506</v>
      </c>
      <c r="AQ998"/>
      <c r="AR998" s="31">
        <f t="shared" si="461"/>
        <v>0</v>
      </c>
      <c r="AS998" s="219">
        <f t="shared" si="462"/>
        <v>0</v>
      </c>
      <c r="AT998" s="31">
        <f t="shared" si="463"/>
        <v>0</v>
      </c>
      <c r="AU998" s="219">
        <f t="shared" si="464"/>
        <v>0</v>
      </c>
      <c r="AV998" s="31">
        <f t="shared" si="465"/>
        <v>0</v>
      </c>
      <c r="AW998" s="31">
        <f t="shared" si="466"/>
        <v>0</v>
      </c>
      <c r="AX998" s="31">
        <f t="shared" si="467"/>
        <v>0</v>
      </c>
      <c r="AY998" s="219">
        <f t="shared" si="468"/>
        <v>0</v>
      </c>
      <c r="AZ998" s="196">
        <f t="shared" si="469"/>
        <v>0</v>
      </c>
      <c r="BA998" s="219">
        <f t="shared" si="470"/>
        <v>0</v>
      </c>
      <c r="BB998" s="31">
        <f t="shared" si="471"/>
        <v>0</v>
      </c>
      <c r="BC998" s="219">
        <f t="shared" si="472"/>
        <v>0</v>
      </c>
      <c r="BD998" s="31">
        <f t="shared" si="473"/>
        <v>2.5000000000000001E-2</v>
      </c>
      <c r="BE998" s="219">
        <f t="shared" si="474"/>
        <v>2.1250000000000002E-2</v>
      </c>
      <c r="BF998" s="31">
        <f t="shared" si="475"/>
        <v>0</v>
      </c>
      <c r="BG998" s="219">
        <f t="shared" si="476"/>
        <v>0</v>
      </c>
      <c r="BH998" s="31">
        <f t="shared" si="477"/>
        <v>0</v>
      </c>
      <c r="BI998" s="219">
        <f t="shared" si="478"/>
        <v>0</v>
      </c>
      <c r="BJ998" s="31">
        <f t="shared" si="479"/>
        <v>0</v>
      </c>
      <c r="BK998" s="219">
        <f t="shared" si="480"/>
        <v>0</v>
      </c>
      <c r="BL998" s="31">
        <f t="shared" si="481"/>
        <v>0</v>
      </c>
      <c r="BM998" s="219">
        <f t="shared" si="482"/>
        <v>0</v>
      </c>
      <c r="BN998" s="31">
        <f t="shared" si="483"/>
        <v>0.1</v>
      </c>
      <c r="BO998" s="219">
        <f t="shared" si="484"/>
        <v>8.5000000000000006E-2</v>
      </c>
    </row>
    <row r="999" spans="1:67" x14ac:dyDescent="0.25">
      <c r="A999" s="31" t="s">
        <v>878</v>
      </c>
      <c r="B999" s="176" t="str">
        <f>VLOOKUP(A999,kurspris!$A$1:$B$992,2,FALSE)</f>
        <v>Gruppvägledning med inriktning mot karriärutveckling</v>
      </c>
      <c r="D999" s="60" t="s">
        <v>85</v>
      </c>
      <c r="E999" s="576" t="s">
        <v>2225</v>
      </c>
      <c r="F999" s="31" t="s">
        <v>2273</v>
      </c>
      <c r="G999" s="31" t="s">
        <v>2439</v>
      </c>
      <c r="H999" s="31" t="s">
        <v>2335</v>
      </c>
      <c r="I999" s="31" t="s">
        <v>1500</v>
      </c>
      <c r="L999" s="38">
        <v>1</v>
      </c>
      <c r="M999" s="325">
        <v>7.5</v>
      </c>
      <c r="P999" s="31">
        <v>1</v>
      </c>
      <c r="Q999" s="196">
        <f t="shared" si="485"/>
        <v>0.125</v>
      </c>
      <c r="R999" s="38">
        <v>0.85</v>
      </c>
      <c r="S999" s="280">
        <f t="shared" si="457"/>
        <v>0.10625</v>
      </c>
      <c r="T999" s="31">
        <f>VLOOKUP(A999,'Ansvar kurs'!$A$1:$C$1123,2,FALSE)</f>
        <v>2193</v>
      </c>
      <c r="U999" s="31" t="str">
        <f>VLOOKUP(T999,Orgenheter!$A$1:$C$166,2,FALSE)</f>
        <v xml:space="preserve">TUV </v>
      </c>
      <c r="V999" s="31" t="str">
        <f>VLOOKUP(T999,Orgenheter!$A$1:$C$166,3,FALSE)</f>
        <v>Sam</v>
      </c>
      <c r="W999" s="35" t="str">
        <f>VLOOKUP(D999,Program!$A$1:$B$36,2,FALSE)</f>
        <v>Studie- och yrkesvägledarprogram</v>
      </c>
      <c r="X999" s="40">
        <f>VLOOKUP(A999,kurspris!$A$1:$Q$913,15,FALSE)</f>
        <v>36229.199999999997</v>
      </c>
      <c r="Y999" s="40">
        <f>VLOOKUP(A999,kurspris!$A$1:$Q$913,16,FALSE)</f>
        <v>35006.800000000003</v>
      </c>
      <c r="Z999" s="40">
        <f t="shared" si="458"/>
        <v>8248.1224999999995</v>
      </c>
      <c r="AA999" s="40">
        <f>VLOOKUP(A999,kurspris!$A$1:$Q$913,17,FALSE)</f>
        <v>6000</v>
      </c>
      <c r="AB999" s="40">
        <f t="shared" si="459"/>
        <v>750</v>
      </c>
      <c r="AC999" s="40">
        <f t="shared" si="460"/>
        <v>8998.1224999999995</v>
      </c>
      <c r="AD999" s="31">
        <f>VLOOKUP($A999,kurspris!$A$1:$Q$950,3,FALSE)</f>
        <v>0</v>
      </c>
      <c r="AE999" s="31">
        <f>VLOOKUP($A999,kurspris!$A$1:$Q$950,4,FALSE)</f>
        <v>0</v>
      </c>
      <c r="AF999" s="31">
        <f>VLOOKUP($A999,kurspris!$A$1:$Q$950,5,FALSE)</f>
        <v>0</v>
      </c>
      <c r="AG999" s="31">
        <f>VLOOKUP($A999,kurspris!$A$1:$Q$950,6,FALSE)</f>
        <v>0</v>
      </c>
      <c r="AH999" s="31">
        <f>VLOOKUP($A999,kurspris!$A$1:$Q$950,7,FALSE)</f>
        <v>0</v>
      </c>
      <c r="AI999" s="31">
        <f>VLOOKUP($A999,kurspris!$A$1:$Q$950,8,FALSE)</f>
        <v>0</v>
      </c>
      <c r="AJ999" s="31">
        <f>VLOOKUP($A999,kurspris!$A$1:$Q$950,9,FALSE)</f>
        <v>0.2</v>
      </c>
      <c r="AK999" s="31">
        <f>VLOOKUP($A999,kurspris!$A$1:$Q$950,10,FALSE)</f>
        <v>0</v>
      </c>
      <c r="AL999" s="31">
        <f>VLOOKUP($A999,kurspris!$A$1:$Q$950,11,FALSE)</f>
        <v>0</v>
      </c>
      <c r="AM999" s="31">
        <f>VLOOKUP($A999,kurspris!$A$1:$Q$950,12,FALSE)</f>
        <v>0</v>
      </c>
      <c r="AN999" s="31">
        <f>VLOOKUP($A999,kurspris!$A$1:$Q$950,13,FALSE)</f>
        <v>0</v>
      </c>
      <c r="AO999" s="31">
        <f>VLOOKUP($A999,kurspris!$A$1:$Q$950,14,FALSE)</f>
        <v>0.8</v>
      </c>
      <c r="AP999" s="57" t="s">
        <v>2506</v>
      </c>
      <c r="AQ999"/>
      <c r="AR999" s="31">
        <f t="shared" si="461"/>
        <v>0</v>
      </c>
      <c r="AS999" s="219">
        <f t="shared" si="462"/>
        <v>0</v>
      </c>
      <c r="AT999" s="31">
        <f t="shared" si="463"/>
        <v>0</v>
      </c>
      <c r="AU999" s="219">
        <f t="shared" si="464"/>
        <v>0</v>
      </c>
      <c r="AV999" s="31">
        <f t="shared" si="465"/>
        <v>0</v>
      </c>
      <c r="AW999" s="31">
        <f t="shared" si="466"/>
        <v>0</v>
      </c>
      <c r="AX999" s="31">
        <f t="shared" si="467"/>
        <v>0</v>
      </c>
      <c r="AY999" s="219">
        <f t="shared" si="468"/>
        <v>0</v>
      </c>
      <c r="AZ999" s="196">
        <f t="shared" si="469"/>
        <v>0</v>
      </c>
      <c r="BA999" s="219">
        <f t="shared" si="470"/>
        <v>0</v>
      </c>
      <c r="BB999" s="31">
        <f t="shared" si="471"/>
        <v>0</v>
      </c>
      <c r="BC999" s="219">
        <f t="shared" si="472"/>
        <v>0</v>
      </c>
      <c r="BD999" s="31">
        <f t="shared" si="473"/>
        <v>2.5000000000000001E-2</v>
      </c>
      <c r="BE999" s="219">
        <f t="shared" si="474"/>
        <v>2.1250000000000002E-2</v>
      </c>
      <c r="BF999" s="31">
        <f t="shared" si="475"/>
        <v>0</v>
      </c>
      <c r="BG999" s="219">
        <f t="shared" si="476"/>
        <v>0</v>
      </c>
      <c r="BH999" s="31">
        <f t="shared" si="477"/>
        <v>0</v>
      </c>
      <c r="BI999" s="219">
        <f t="shared" si="478"/>
        <v>0</v>
      </c>
      <c r="BJ999" s="31">
        <f t="shared" si="479"/>
        <v>0</v>
      </c>
      <c r="BK999" s="219">
        <f t="shared" si="480"/>
        <v>0</v>
      </c>
      <c r="BL999" s="31">
        <f t="shared" si="481"/>
        <v>0</v>
      </c>
      <c r="BM999" s="219">
        <f t="shared" si="482"/>
        <v>0</v>
      </c>
      <c r="BN999" s="31">
        <f t="shared" si="483"/>
        <v>0.1</v>
      </c>
      <c r="BO999" s="219">
        <f t="shared" si="484"/>
        <v>8.5000000000000006E-2</v>
      </c>
    </row>
    <row r="1000" spans="1:67" x14ac:dyDescent="0.25">
      <c r="A1000" s="60" t="s">
        <v>878</v>
      </c>
      <c r="B1000" s="176" t="str">
        <f>VLOOKUP(A1000,kurspris!$A$1:$B$992,2,FALSE)</f>
        <v>Gruppvägledning med inriktning mot karriärutveckling</v>
      </c>
      <c r="D1000" s="60" t="s">
        <v>85</v>
      </c>
      <c r="E1000" s="577" t="s">
        <v>2434</v>
      </c>
      <c r="F1000" s="57" t="s">
        <v>2273</v>
      </c>
      <c r="G1000" s="31" t="s">
        <v>2439</v>
      </c>
      <c r="H1000" s="60" t="s">
        <v>2335</v>
      </c>
      <c r="I1000" s="60" t="s">
        <v>624</v>
      </c>
      <c r="J1000" s="60" t="s">
        <v>1501</v>
      </c>
      <c r="L1000" s="38">
        <v>1</v>
      </c>
      <c r="M1000" s="325">
        <v>7.5</v>
      </c>
      <c r="P1000" s="31">
        <v>1</v>
      </c>
      <c r="Q1000" s="196">
        <f t="shared" si="485"/>
        <v>0.125</v>
      </c>
      <c r="R1000" s="38">
        <v>0.85</v>
      </c>
      <c r="S1000" s="280">
        <f t="shared" si="457"/>
        <v>0.10625</v>
      </c>
      <c r="T1000" s="31">
        <f>VLOOKUP(A1000,'Ansvar kurs'!$A$1:$C$1123,2,FALSE)</f>
        <v>2193</v>
      </c>
      <c r="U1000" s="31" t="str">
        <f>VLOOKUP(T1000,Orgenheter!$A$1:$C$166,2,FALSE)</f>
        <v xml:space="preserve">TUV </v>
      </c>
      <c r="V1000" s="31" t="str">
        <f>VLOOKUP(T1000,Orgenheter!$A$1:$C$166,3,FALSE)</f>
        <v>Sam</v>
      </c>
      <c r="W1000" s="35" t="str">
        <f>VLOOKUP(D1000,Program!$A$1:$B$36,2,FALSE)</f>
        <v>Studie- och yrkesvägledarprogram</v>
      </c>
      <c r="X1000" s="40">
        <f>VLOOKUP(A1000,kurspris!$A$1:$Q$913,15,FALSE)</f>
        <v>36229.199999999997</v>
      </c>
      <c r="Y1000" s="40">
        <f>VLOOKUP(A1000,kurspris!$A$1:$Q$913,16,FALSE)</f>
        <v>35006.800000000003</v>
      </c>
      <c r="Z1000" s="40">
        <f t="shared" si="458"/>
        <v>8248.1224999999995</v>
      </c>
      <c r="AA1000" s="40">
        <f>VLOOKUP(A1000,kurspris!$A$1:$Q$913,17,FALSE)</f>
        <v>6000</v>
      </c>
      <c r="AB1000" s="40">
        <f t="shared" si="459"/>
        <v>750</v>
      </c>
      <c r="AC1000" s="40">
        <f t="shared" si="460"/>
        <v>8998.1224999999995</v>
      </c>
      <c r="AD1000" s="31">
        <f>VLOOKUP($A1000,kurspris!$A$1:$Q$950,3,FALSE)</f>
        <v>0</v>
      </c>
      <c r="AE1000" s="31">
        <f>VLOOKUP($A1000,kurspris!$A$1:$Q$950,4,FALSE)</f>
        <v>0</v>
      </c>
      <c r="AF1000" s="31">
        <f>VLOOKUP($A1000,kurspris!$A$1:$Q$950,5,FALSE)</f>
        <v>0</v>
      </c>
      <c r="AG1000" s="31">
        <f>VLOOKUP($A1000,kurspris!$A$1:$Q$950,6,FALSE)</f>
        <v>0</v>
      </c>
      <c r="AH1000" s="31">
        <f>VLOOKUP($A1000,kurspris!$A$1:$Q$950,7,FALSE)</f>
        <v>0</v>
      </c>
      <c r="AI1000" s="31">
        <f>VLOOKUP($A1000,kurspris!$A$1:$Q$950,8,FALSE)</f>
        <v>0</v>
      </c>
      <c r="AJ1000" s="31">
        <f>VLOOKUP($A1000,kurspris!$A$1:$Q$950,9,FALSE)</f>
        <v>0.2</v>
      </c>
      <c r="AK1000" s="31">
        <f>VLOOKUP($A1000,kurspris!$A$1:$Q$950,10,FALSE)</f>
        <v>0</v>
      </c>
      <c r="AL1000" s="31">
        <f>VLOOKUP($A1000,kurspris!$A$1:$Q$950,11,FALSE)</f>
        <v>0</v>
      </c>
      <c r="AM1000" s="31">
        <f>VLOOKUP($A1000,kurspris!$A$1:$Q$950,12,FALSE)</f>
        <v>0</v>
      </c>
      <c r="AN1000" s="31">
        <f>VLOOKUP($A1000,kurspris!$A$1:$Q$950,13,FALSE)</f>
        <v>0</v>
      </c>
      <c r="AO1000" s="31">
        <f>VLOOKUP($A1000,kurspris!$A$1:$Q$950,14,FALSE)</f>
        <v>0.8</v>
      </c>
      <c r="AP1000" s="57" t="s">
        <v>2506</v>
      </c>
      <c r="AQ1000"/>
      <c r="AR1000" s="31">
        <f t="shared" si="461"/>
        <v>0</v>
      </c>
      <c r="AS1000" s="219">
        <f t="shared" si="462"/>
        <v>0</v>
      </c>
      <c r="AT1000" s="31">
        <f t="shared" si="463"/>
        <v>0</v>
      </c>
      <c r="AU1000" s="219">
        <f t="shared" si="464"/>
        <v>0</v>
      </c>
      <c r="AV1000" s="31">
        <f t="shared" si="465"/>
        <v>0</v>
      </c>
      <c r="AW1000" s="31">
        <f t="shared" si="466"/>
        <v>0</v>
      </c>
      <c r="AX1000" s="31">
        <f t="shared" si="467"/>
        <v>0</v>
      </c>
      <c r="AY1000" s="219">
        <f t="shared" si="468"/>
        <v>0</v>
      </c>
      <c r="AZ1000" s="196">
        <f t="shared" si="469"/>
        <v>0</v>
      </c>
      <c r="BA1000" s="219">
        <f t="shared" si="470"/>
        <v>0</v>
      </c>
      <c r="BB1000" s="31">
        <f t="shared" si="471"/>
        <v>0</v>
      </c>
      <c r="BC1000" s="219">
        <f t="shared" si="472"/>
        <v>0</v>
      </c>
      <c r="BD1000" s="31">
        <f t="shared" si="473"/>
        <v>2.5000000000000001E-2</v>
      </c>
      <c r="BE1000" s="219">
        <f t="shared" si="474"/>
        <v>2.1250000000000002E-2</v>
      </c>
      <c r="BF1000" s="31">
        <f t="shared" si="475"/>
        <v>0</v>
      </c>
      <c r="BG1000" s="219">
        <f t="shared" si="476"/>
        <v>0</v>
      </c>
      <c r="BH1000" s="31">
        <f t="shared" si="477"/>
        <v>0</v>
      </c>
      <c r="BI1000" s="219">
        <f t="shared" si="478"/>
        <v>0</v>
      </c>
      <c r="BJ1000" s="31">
        <f t="shared" si="479"/>
        <v>0</v>
      </c>
      <c r="BK1000" s="219">
        <f t="shared" si="480"/>
        <v>0</v>
      </c>
      <c r="BL1000" s="31">
        <f t="shared" si="481"/>
        <v>0</v>
      </c>
      <c r="BM1000" s="219">
        <f t="shared" si="482"/>
        <v>0</v>
      </c>
      <c r="BN1000" s="31">
        <f t="shared" si="483"/>
        <v>0.1</v>
      </c>
      <c r="BO1000" s="219">
        <f t="shared" si="484"/>
        <v>8.5000000000000006E-2</v>
      </c>
    </row>
    <row r="1001" spans="1:67" x14ac:dyDescent="0.25">
      <c r="A1001" s="31" t="s">
        <v>878</v>
      </c>
      <c r="B1001" s="176" t="str">
        <f>VLOOKUP(A1001,kurspris!$A$1:$B$992,2,FALSE)</f>
        <v>Gruppvägledning med inriktning mot karriärutveckling</v>
      </c>
      <c r="D1001" s="60" t="s">
        <v>85</v>
      </c>
      <c r="E1001" s="576" t="s">
        <v>2434</v>
      </c>
      <c r="F1001" s="31" t="s">
        <v>2273</v>
      </c>
      <c r="G1001" s="31" t="s">
        <v>2439</v>
      </c>
      <c r="H1001" s="31" t="s">
        <v>2335</v>
      </c>
      <c r="I1001" s="31" t="s">
        <v>624</v>
      </c>
      <c r="L1001" s="38">
        <v>1</v>
      </c>
      <c r="M1001" s="325">
        <v>7.5</v>
      </c>
      <c r="P1001" s="31">
        <v>19</v>
      </c>
      <c r="Q1001" s="196">
        <f t="shared" si="485"/>
        <v>2.375</v>
      </c>
      <c r="R1001" s="38">
        <v>0.85</v>
      </c>
      <c r="S1001" s="280">
        <f t="shared" si="457"/>
        <v>2.0187499999999998</v>
      </c>
      <c r="T1001" s="31">
        <f>VLOOKUP(A1001,'Ansvar kurs'!$A$1:$C$1123,2,FALSE)</f>
        <v>2193</v>
      </c>
      <c r="U1001" s="31" t="str">
        <f>VLOOKUP(T1001,Orgenheter!$A$1:$C$166,2,FALSE)</f>
        <v xml:space="preserve">TUV </v>
      </c>
      <c r="V1001" s="31" t="str">
        <f>VLOOKUP(T1001,Orgenheter!$A$1:$C$166,3,FALSE)</f>
        <v>Sam</v>
      </c>
      <c r="W1001" s="35" t="str">
        <f>VLOOKUP(D1001,Program!$A$1:$B$36,2,FALSE)</f>
        <v>Studie- och yrkesvägledarprogram</v>
      </c>
      <c r="X1001" s="40">
        <f>VLOOKUP(A1001,kurspris!$A$1:$Q$913,15,FALSE)</f>
        <v>36229.199999999997</v>
      </c>
      <c r="Y1001" s="40">
        <f>VLOOKUP(A1001,kurspris!$A$1:$Q$913,16,FALSE)</f>
        <v>35006.800000000003</v>
      </c>
      <c r="Z1001" s="40">
        <f t="shared" si="458"/>
        <v>156714.32749999998</v>
      </c>
      <c r="AA1001" s="40">
        <f>VLOOKUP(A1001,kurspris!$A$1:$Q$913,17,FALSE)</f>
        <v>6000</v>
      </c>
      <c r="AB1001" s="40">
        <f t="shared" si="459"/>
        <v>14250</v>
      </c>
      <c r="AC1001" s="40">
        <f t="shared" si="460"/>
        <v>170964.32749999998</v>
      </c>
      <c r="AD1001" s="31">
        <f>VLOOKUP($A1001,kurspris!$A$1:$Q$950,3,FALSE)</f>
        <v>0</v>
      </c>
      <c r="AE1001" s="31">
        <f>VLOOKUP($A1001,kurspris!$A$1:$Q$950,4,FALSE)</f>
        <v>0</v>
      </c>
      <c r="AF1001" s="31">
        <f>VLOOKUP($A1001,kurspris!$A$1:$Q$950,5,FALSE)</f>
        <v>0</v>
      </c>
      <c r="AG1001" s="31">
        <f>VLOOKUP($A1001,kurspris!$A$1:$Q$950,6,FALSE)</f>
        <v>0</v>
      </c>
      <c r="AH1001" s="31">
        <f>VLOOKUP($A1001,kurspris!$A$1:$Q$950,7,FALSE)</f>
        <v>0</v>
      </c>
      <c r="AI1001" s="31">
        <f>VLOOKUP($A1001,kurspris!$A$1:$Q$950,8,FALSE)</f>
        <v>0</v>
      </c>
      <c r="AJ1001" s="31">
        <f>VLOOKUP($A1001,kurspris!$A$1:$Q$950,9,FALSE)</f>
        <v>0.2</v>
      </c>
      <c r="AK1001" s="31">
        <f>VLOOKUP($A1001,kurspris!$A$1:$Q$950,10,FALSE)</f>
        <v>0</v>
      </c>
      <c r="AL1001" s="31">
        <f>VLOOKUP($A1001,kurspris!$A$1:$Q$950,11,FALSE)</f>
        <v>0</v>
      </c>
      <c r="AM1001" s="31">
        <f>VLOOKUP($A1001,kurspris!$A$1:$Q$950,12,FALSE)</f>
        <v>0</v>
      </c>
      <c r="AN1001" s="31">
        <f>VLOOKUP($A1001,kurspris!$A$1:$Q$950,13,FALSE)</f>
        <v>0</v>
      </c>
      <c r="AO1001" s="31">
        <f>VLOOKUP($A1001,kurspris!$A$1:$Q$950,14,FALSE)</f>
        <v>0.8</v>
      </c>
      <c r="AP1001" s="57" t="s">
        <v>2506</v>
      </c>
      <c r="AQ1001"/>
      <c r="AR1001" s="31">
        <f t="shared" si="461"/>
        <v>0</v>
      </c>
      <c r="AS1001" s="219">
        <f t="shared" si="462"/>
        <v>0</v>
      </c>
      <c r="AT1001" s="31">
        <f t="shared" si="463"/>
        <v>0</v>
      </c>
      <c r="AU1001" s="219">
        <f t="shared" si="464"/>
        <v>0</v>
      </c>
      <c r="AV1001" s="31">
        <f t="shared" si="465"/>
        <v>0</v>
      </c>
      <c r="AW1001" s="31">
        <f t="shared" si="466"/>
        <v>0</v>
      </c>
      <c r="AX1001" s="31">
        <f t="shared" si="467"/>
        <v>0</v>
      </c>
      <c r="AY1001" s="219">
        <f t="shared" si="468"/>
        <v>0</v>
      </c>
      <c r="AZ1001" s="196">
        <f t="shared" si="469"/>
        <v>0</v>
      </c>
      <c r="BA1001" s="219">
        <f t="shared" si="470"/>
        <v>0</v>
      </c>
      <c r="BB1001" s="31">
        <f t="shared" si="471"/>
        <v>0</v>
      </c>
      <c r="BC1001" s="219">
        <f t="shared" si="472"/>
        <v>0</v>
      </c>
      <c r="BD1001" s="31">
        <f t="shared" si="473"/>
        <v>0.47500000000000003</v>
      </c>
      <c r="BE1001" s="219">
        <f t="shared" si="474"/>
        <v>0.40375</v>
      </c>
      <c r="BF1001" s="31">
        <f t="shared" si="475"/>
        <v>0</v>
      </c>
      <c r="BG1001" s="219">
        <f t="shared" si="476"/>
        <v>0</v>
      </c>
      <c r="BH1001" s="31">
        <f t="shared" si="477"/>
        <v>0</v>
      </c>
      <c r="BI1001" s="219">
        <f t="shared" si="478"/>
        <v>0</v>
      </c>
      <c r="BJ1001" s="31">
        <f t="shared" si="479"/>
        <v>0</v>
      </c>
      <c r="BK1001" s="219">
        <f t="shared" si="480"/>
        <v>0</v>
      </c>
      <c r="BL1001" s="31">
        <f t="shared" si="481"/>
        <v>0</v>
      </c>
      <c r="BM1001" s="219">
        <f t="shared" si="482"/>
        <v>0</v>
      </c>
      <c r="BN1001" s="31">
        <f t="shared" si="483"/>
        <v>1.9000000000000001</v>
      </c>
      <c r="BO1001" s="219">
        <f t="shared" si="484"/>
        <v>1.615</v>
      </c>
    </row>
    <row r="1002" spans="1:67" x14ac:dyDescent="0.25">
      <c r="A1002" s="31" t="s">
        <v>878</v>
      </c>
      <c r="B1002" s="176" t="str">
        <f>VLOOKUP(A1002,kurspris!$A$1:$B$992,2,FALSE)</f>
        <v>Gruppvägledning med inriktning mot karriärutveckling</v>
      </c>
      <c r="D1002" s="60" t="s">
        <v>85</v>
      </c>
      <c r="E1002" s="576" t="s">
        <v>2434</v>
      </c>
      <c r="F1002" s="31" t="s">
        <v>2273</v>
      </c>
      <c r="G1002" s="31" t="s">
        <v>2439</v>
      </c>
      <c r="H1002" s="31" t="s">
        <v>2335</v>
      </c>
      <c r="I1002" s="31" t="s">
        <v>1500</v>
      </c>
      <c r="L1002" s="38">
        <v>1</v>
      </c>
      <c r="M1002" s="325">
        <v>7.5</v>
      </c>
      <c r="P1002" s="31">
        <v>28</v>
      </c>
      <c r="Q1002" s="196">
        <f t="shared" si="485"/>
        <v>3.5</v>
      </c>
      <c r="R1002" s="38">
        <v>0.85</v>
      </c>
      <c r="S1002" s="280">
        <f t="shared" si="457"/>
        <v>2.9750000000000001</v>
      </c>
      <c r="T1002" s="31">
        <f>VLOOKUP(A1002,'Ansvar kurs'!$A$1:$C$1123,2,FALSE)</f>
        <v>2193</v>
      </c>
      <c r="U1002" s="31" t="str">
        <f>VLOOKUP(T1002,Orgenheter!$A$1:$C$166,2,FALSE)</f>
        <v xml:space="preserve">TUV </v>
      </c>
      <c r="V1002" s="31" t="str">
        <f>VLOOKUP(T1002,Orgenheter!$A$1:$C$166,3,FALSE)</f>
        <v>Sam</v>
      </c>
      <c r="W1002" s="35" t="str">
        <f>VLOOKUP(D1002,Program!$A$1:$B$36,2,FALSE)</f>
        <v>Studie- och yrkesvägledarprogram</v>
      </c>
      <c r="X1002" s="40">
        <f>VLOOKUP(A1002,kurspris!$A$1:$Q$913,15,FALSE)</f>
        <v>36229.199999999997</v>
      </c>
      <c r="Y1002" s="40">
        <f>VLOOKUP(A1002,kurspris!$A$1:$Q$913,16,FALSE)</f>
        <v>35006.800000000003</v>
      </c>
      <c r="Z1002" s="40">
        <f t="shared" si="458"/>
        <v>230947.43</v>
      </c>
      <c r="AA1002" s="40">
        <f>VLOOKUP(A1002,kurspris!$A$1:$Q$913,17,FALSE)</f>
        <v>6000</v>
      </c>
      <c r="AB1002" s="40">
        <f t="shared" si="459"/>
        <v>21000</v>
      </c>
      <c r="AC1002" s="40">
        <f t="shared" si="460"/>
        <v>251947.43</v>
      </c>
      <c r="AD1002" s="31">
        <f>VLOOKUP($A1002,kurspris!$A$1:$Q$950,3,FALSE)</f>
        <v>0</v>
      </c>
      <c r="AE1002" s="31">
        <f>VLOOKUP($A1002,kurspris!$A$1:$Q$950,4,FALSE)</f>
        <v>0</v>
      </c>
      <c r="AF1002" s="31">
        <f>VLOOKUP($A1002,kurspris!$A$1:$Q$950,5,FALSE)</f>
        <v>0</v>
      </c>
      <c r="AG1002" s="31">
        <f>VLOOKUP($A1002,kurspris!$A$1:$Q$950,6,FALSE)</f>
        <v>0</v>
      </c>
      <c r="AH1002" s="31">
        <f>VLOOKUP($A1002,kurspris!$A$1:$Q$950,7,FALSE)</f>
        <v>0</v>
      </c>
      <c r="AI1002" s="31">
        <f>VLOOKUP($A1002,kurspris!$A$1:$Q$950,8,FALSE)</f>
        <v>0</v>
      </c>
      <c r="AJ1002" s="31">
        <f>VLOOKUP($A1002,kurspris!$A$1:$Q$950,9,FALSE)</f>
        <v>0.2</v>
      </c>
      <c r="AK1002" s="31">
        <f>VLOOKUP($A1002,kurspris!$A$1:$Q$950,10,FALSE)</f>
        <v>0</v>
      </c>
      <c r="AL1002" s="31">
        <f>VLOOKUP($A1002,kurspris!$A$1:$Q$950,11,FALSE)</f>
        <v>0</v>
      </c>
      <c r="AM1002" s="31">
        <f>VLOOKUP($A1002,kurspris!$A$1:$Q$950,12,FALSE)</f>
        <v>0</v>
      </c>
      <c r="AN1002" s="31">
        <f>VLOOKUP($A1002,kurspris!$A$1:$Q$950,13,FALSE)</f>
        <v>0</v>
      </c>
      <c r="AO1002" s="31">
        <f>VLOOKUP($A1002,kurspris!$A$1:$Q$950,14,FALSE)</f>
        <v>0.8</v>
      </c>
      <c r="AP1002" s="57" t="s">
        <v>2506</v>
      </c>
      <c r="AQ1002"/>
      <c r="AR1002" s="31">
        <f t="shared" si="461"/>
        <v>0</v>
      </c>
      <c r="AS1002" s="219">
        <f t="shared" si="462"/>
        <v>0</v>
      </c>
      <c r="AT1002" s="31">
        <f t="shared" si="463"/>
        <v>0</v>
      </c>
      <c r="AU1002" s="219">
        <f t="shared" si="464"/>
        <v>0</v>
      </c>
      <c r="AV1002" s="31">
        <f t="shared" si="465"/>
        <v>0</v>
      </c>
      <c r="AW1002" s="31">
        <f t="shared" si="466"/>
        <v>0</v>
      </c>
      <c r="AX1002" s="31">
        <f t="shared" si="467"/>
        <v>0</v>
      </c>
      <c r="AY1002" s="219">
        <f t="shared" si="468"/>
        <v>0</v>
      </c>
      <c r="AZ1002" s="196">
        <f t="shared" si="469"/>
        <v>0</v>
      </c>
      <c r="BA1002" s="219">
        <f t="shared" si="470"/>
        <v>0</v>
      </c>
      <c r="BB1002" s="31">
        <f t="shared" si="471"/>
        <v>0</v>
      </c>
      <c r="BC1002" s="219">
        <f t="shared" si="472"/>
        <v>0</v>
      </c>
      <c r="BD1002" s="31">
        <f t="shared" si="473"/>
        <v>0.70000000000000007</v>
      </c>
      <c r="BE1002" s="219">
        <f t="shared" si="474"/>
        <v>0.59500000000000008</v>
      </c>
      <c r="BF1002" s="31">
        <f t="shared" si="475"/>
        <v>0</v>
      </c>
      <c r="BG1002" s="219">
        <f t="shared" si="476"/>
        <v>0</v>
      </c>
      <c r="BH1002" s="31">
        <f t="shared" si="477"/>
        <v>0</v>
      </c>
      <c r="BI1002" s="219">
        <f t="shared" si="478"/>
        <v>0</v>
      </c>
      <c r="BJ1002" s="31">
        <f t="shared" si="479"/>
        <v>0</v>
      </c>
      <c r="BK1002" s="219">
        <f t="shared" si="480"/>
        <v>0</v>
      </c>
      <c r="BL1002" s="31">
        <f t="shared" si="481"/>
        <v>0</v>
      </c>
      <c r="BM1002" s="219">
        <f t="shared" si="482"/>
        <v>0</v>
      </c>
      <c r="BN1002" s="31">
        <f t="shared" si="483"/>
        <v>2.8000000000000003</v>
      </c>
      <c r="BO1002" s="219">
        <f t="shared" si="484"/>
        <v>2.3800000000000003</v>
      </c>
    </row>
    <row r="1003" spans="1:67" x14ac:dyDescent="0.25">
      <c r="A1003" s="362" t="s">
        <v>878</v>
      </c>
      <c r="B1003" s="362" t="str">
        <f>VLOOKUP(A1003,kurspris!$A$1:$B$992,2,FALSE)</f>
        <v>Gruppvägledning med inriktning mot karriärutveckling</v>
      </c>
      <c r="C1003" s="244"/>
      <c r="D1003" s="538" t="s">
        <v>85</v>
      </c>
      <c r="E1003" s="538" t="s">
        <v>2203</v>
      </c>
      <c r="F1003" s="244" t="s">
        <v>2273</v>
      </c>
      <c r="G1003" s="244"/>
      <c r="H1003" s="244">
        <v>2480</v>
      </c>
      <c r="I1003" s="538" t="s">
        <v>624</v>
      </c>
      <c r="J1003" s="540" t="s">
        <v>1501</v>
      </c>
      <c r="K1003" s="283"/>
      <c r="L1003" s="518"/>
      <c r="M1003" s="325">
        <v>7.5</v>
      </c>
      <c r="N1003" s="38">
        <v>-0.05</v>
      </c>
      <c r="O1003" s="31">
        <v>27</v>
      </c>
      <c r="P1003" s="31">
        <f>O1003+(O1003*N1003)</f>
        <v>25.65</v>
      </c>
      <c r="Q1003" s="196">
        <f t="shared" si="485"/>
        <v>3.2062499999999998</v>
      </c>
      <c r="R1003" s="38">
        <v>0.85</v>
      </c>
      <c r="S1003" s="280">
        <f t="shared" si="457"/>
        <v>2.7253124999999998</v>
      </c>
      <c r="T1003" s="31">
        <f>VLOOKUP(A1003,'Ansvar kurs'!$A$1:$C$1123,2,FALSE)</f>
        <v>2193</v>
      </c>
      <c r="U1003" s="31" t="str">
        <f>VLOOKUP(T1003,Orgenheter!$A$1:$C$166,2,FALSE)</f>
        <v xml:space="preserve">TUV </v>
      </c>
      <c r="V1003" s="31" t="str">
        <f>VLOOKUP(T1003,Orgenheter!$A$1:$C$166,3,FALSE)</f>
        <v>Sam</v>
      </c>
      <c r="W1003" s="35" t="str">
        <f>VLOOKUP(D1003,Program!$A$1:$B$36,2,FALSE)</f>
        <v>Studie- och yrkesvägledarprogram</v>
      </c>
      <c r="X1003" s="40">
        <f>VLOOKUP(A1003,kurspris!$A$1:$Q$913,15,FALSE)</f>
        <v>36229.199999999997</v>
      </c>
      <c r="Y1003" s="40">
        <f>VLOOKUP(A1003,kurspris!$A$1:$Q$913,16,FALSE)</f>
        <v>35006.800000000003</v>
      </c>
      <c r="Z1003" s="40">
        <f t="shared" si="458"/>
        <v>211564.34212499997</v>
      </c>
      <c r="AA1003" s="40">
        <f>VLOOKUP(A1003,kurspris!$A$1:$Q$913,17,FALSE)</f>
        <v>6000</v>
      </c>
      <c r="AB1003" s="40">
        <f t="shared" si="459"/>
        <v>19237.5</v>
      </c>
      <c r="AC1003" s="40">
        <f t="shared" si="460"/>
        <v>230801.84212499997</v>
      </c>
      <c r="AD1003" s="31">
        <f>VLOOKUP($A1003,kurspris!$A$1:$Q$950,3,FALSE)</f>
        <v>0</v>
      </c>
      <c r="AE1003" s="31">
        <f>VLOOKUP($A1003,kurspris!$A$1:$Q$950,4,FALSE)</f>
        <v>0</v>
      </c>
      <c r="AF1003" s="31">
        <f>VLOOKUP($A1003,kurspris!$A$1:$Q$950,5,FALSE)</f>
        <v>0</v>
      </c>
      <c r="AG1003" s="31">
        <f>VLOOKUP($A1003,kurspris!$A$1:$Q$950,6,FALSE)</f>
        <v>0</v>
      </c>
      <c r="AH1003" s="31">
        <f>VLOOKUP($A1003,kurspris!$A$1:$Q$950,7,FALSE)</f>
        <v>0</v>
      </c>
      <c r="AI1003" s="31">
        <f>VLOOKUP($A1003,kurspris!$A$1:$Q$950,8,FALSE)</f>
        <v>0</v>
      </c>
      <c r="AJ1003" s="31">
        <f>VLOOKUP($A1003,kurspris!$A$1:$Q$950,9,FALSE)</f>
        <v>0.2</v>
      </c>
      <c r="AK1003" s="31">
        <f>VLOOKUP($A1003,kurspris!$A$1:$Q$950,10,FALSE)</f>
        <v>0</v>
      </c>
      <c r="AL1003" s="31">
        <f>VLOOKUP($A1003,kurspris!$A$1:$Q$950,11,FALSE)</f>
        <v>0</v>
      </c>
      <c r="AM1003" s="31">
        <f>VLOOKUP($A1003,kurspris!$A$1:$Q$950,12,FALSE)</f>
        <v>0</v>
      </c>
      <c r="AN1003" s="31">
        <f>VLOOKUP($A1003,kurspris!$A$1:$Q$950,13,FALSE)</f>
        <v>0</v>
      </c>
      <c r="AO1003" s="31">
        <f>VLOOKUP($A1003,kurspris!$A$1:$Q$950,14,FALSE)</f>
        <v>0.8</v>
      </c>
      <c r="AP1003" s="57" t="s">
        <v>2222</v>
      </c>
      <c r="AQ1003"/>
      <c r="AR1003" s="31">
        <f t="shared" si="461"/>
        <v>0</v>
      </c>
      <c r="AS1003" s="219">
        <f t="shared" si="462"/>
        <v>0</v>
      </c>
      <c r="AT1003" s="31">
        <f t="shared" si="463"/>
        <v>0</v>
      </c>
      <c r="AU1003" s="219">
        <f t="shared" si="464"/>
        <v>0</v>
      </c>
      <c r="AV1003" s="31">
        <f t="shared" si="465"/>
        <v>0</v>
      </c>
      <c r="AW1003" s="31">
        <f t="shared" si="466"/>
        <v>0</v>
      </c>
      <c r="AX1003" s="31">
        <f t="shared" si="467"/>
        <v>0</v>
      </c>
      <c r="AY1003" s="219">
        <f t="shared" si="468"/>
        <v>0</v>
      </c>
      <c r="AZ1003" s="196">
        <f t="shared" si="469"/>
        <v>0</v>
      </c>
      <c r="BA1003" s="219">
        <f t="shared" si="470"/>
        <v>0</v>
      </c>
      <c r="BB1003" s="31">
        <f t="shared" si="471"/>
        <v>0</v>
      </c>
      <c r="BC1003" s="219">
        <f t="shared" si="472"/>
        <v>0</v>
      </c>
      <c r="BD1003" s="31">
        <f t="shared" si="473"/>
        <v>0.64124999999999999</v>
      </c>
      <c r="BE1003" s="219">
        <f t="shared" si="474"/>
        <v>0.54506250000000001</v>
      </c>
      <c r="BF1003" s="31">
        <f t="shared" si="475"/>
        <v>0</v>
      </c>
      <c r="BG1003" s="219">
        <f t="shared" si="476"/>
        <v>0</v>
      </c>
      <c r="BH1003" s="31">
        <f t="shared" si="477"/>
        <v>0</v>
      </c>
      <c r="BI1003" s="219">
        <f t="shared" si="478"/>
        <v>0</v>
      </c>
      <c r="BJ1003" s="31">
        <f t="shared" si="479"/>
        <v>0</v>
      </c>
      <c r="BK1003" s="219">
        <f t="shared" si="480"/>
        <v>0</v>
      </c>
      <c r="BL1003" s="31">
        <f t="shared" si="481"/>
        <v>0</v>
      </c>
      <c r="BM1003" s="219">
        <f t="shared" si="482"/>
        <v>0</v>
      </c>
      <c r="BN1003" s="31">
        <f t="shared" si="483"/>
        <v>2.5649999999999999</v>
      </c>
      <c r="BO1003" s="219">
        <f t="shared" si="484"/>
        <v>2.18025</v>
      </c>
    </row>
    <row r="1004" spans="1:67" x14ac:dyDescent="0.25">
      <c r="A1004" s="31" t="s">
        <v>876</v>
      </c>
      <c r="B1004" s="176" t="str">
        <f>VLOOKUP(A1004,kurspris!$A$1:$B$992,2,FALSE)</f>
        <v>Kommunikation och undervisning</v>
      </c>
      <c r="C1004" s="31">
        <v>64703</v>
      </c>
      <c r="D1004" s="60" t="s">
        <v>85</v>
      </c>
      <c r="E1004" s="60"/>
      <c r="F1004" s="57" t="s">
        <v>2274</v>
      </c>
      <c r="H1004" s="31" t="s">
        <v>2335</v>
      </c>
      <c r="I1004" s="31" t="s">
        <v>2275</v>
      </c>
      <c r="J1004" s="31" t="s">
        <v>624</v>
      </c>
      <c r="L1004" s="38"/>
      <c r="M1004">
        <v>7.5</v>
      </c>
      <c r="P1004" s="31">
        <v>22</v>
      </c>
      <c r="Q1004" s="539">
        <v>2.75</v>
      </c>
      <c r="R1004" s="38">
        <v>0.85</v>
      </c>
      <c r="S1004" s="280">
        <f t="shared" si="457"/>
        <v>2.3374999999999999</v>
      </c>
      <c r="T1004" s="31">
        <f>VLOOKUP(A1004,'Ansvar kurs'!$A$1:$C$1123,2,FALSE)</f>
        <v>2180</v>
      </c>
      <c r="U1004" s="31" t="str">
        <f>VLOOKUP(T1004,Orgenheter!$A$1:$C$166,2,FALSE)</f>
        <v xml:space="preserve">Pedagogik                     </v>
      </c>
      <c r="V1004" s="31" t="str">
        <f>VLOOKUP(T1004,Orgenheter!$A$1:$C$166,3,FALSE)</f>
        <v>Sam</v>
      </c>
      <c r="W1004" s="35" t="str">
        <f>VLOOKUP(D1004,Program!$A$1:$B$36,2,FALSE)</f>
        <v>Studie- och yrkesvägledarprogram</v>
      </c>
      <c r="X1004" s="40">
        <f>VLOOKUP(A1004,kurspris!$A$1:$Q$913,15,FALSE)</f>
        <v>20766</v>
      </c>
      <c r="Y1004" s="40">
        <f>VLOOKUP(A1004,kurspris!$A$1:$Q$913,16,FALSE)</f>
        <v>17442</v>
      </c>
      <c r="Z1004" s="40">
        <f t="shared" si="458"/>
        <v>97877.174999999988</v>
      </c>
      <c r="AA1004" s="40">
        <f>VLOOKUP(A1004,kurspris!$A$1:$Q$913,17,FALSE)</f>
        <v>6000</v>
      </c>
      <c r="AB1004" s="40">
        <f t="shared" si="459"/>
        <v>16500</v>
      </c>
      <c r="AC1004" s="40">
        <f t="shared" si="460"/>
        <v>114377.17499999999</v>
      </c>
      <c r="AD1004" s="31">
        <f>VLOOKUP($A1004,kurspris!$A$1:$Q$950,3,FALSE)</f>
        <v>0</v>
      </c>
      <c r="AE1004" s="31">
        <f>VLOOKUP($A1004,kurspris!$A$1:$Q$950,4,FALSE)</f>
        <v>0</v>
      </c>
      <c r="AF1004" s="31">
        <f>VLOOKUP($A1004,kurspris!$A$1:$Q$950,5,FALSE)</f>
        <v>0</v>
      </c>
      <c r="AG1004" s="31">
        <f>VLOOKUP($A1004,kurspris!$A$1:$Q$950,6,FALSE)</f>
        <v>0</v>
      </c>
      <c r="AH1004" s="31">
        <f>VLOOKUP($A1004,kurspris!$A$1:$Q$950,7,FALSE)</f>
        <v>0</v>
      </c>
      <c r="AI1004" s="31">
        <f>VLOOKUP($A1004,kurspris!$A$1:$Q$950,8,FALSE)</f>
        <v>0</v>
      </c>
      <c r="AJ1004" s="31">
        <f>VLOOKUP($A1004,kurspris!$A$1:$Q$950,9,FALSE)</f>
        <v>1</v>
      </c>
      <c r="AK1004" s="31">
        <f>VLOOKUP($A1004,kurspris!$A$1:$Q$950,10,FALSE)</f>
        <v>0</v>
      </c>
      <c r="AL1004" s="31">
        <f>VLOOKUP($A1004,kurspris!$A$1:$Q$950,11,FALSE)</f>
        <v>0</v>
      </c>
      <c r="AM1004" s="31">
        <f>VLOOKUP($A1004,kurspris!$A$1:$Q$950,12,FALSE)</f>
        <v>0</v>
      </c>
      <c r="AN1004" s="31">
        <f>VLOOKUP($A1004,kurspris!$A$1:$Q$950,13,FALSE)</f>
        <v>0</v>
      </c>
      <c r="AO1004" s="31">
        <f>VLOOKUP($A1004,kurspris!$A$1:$Q$950,14,FALSE)</f>
        <v>0</v>
      </c>
      <c r="AP1004" s="57" t="s">
        <v>2402</v>
      </c>
      <c r="AQ1004"/>
      <c r="AR1004" s="31">
        <f t="shared" si="461"/>
        <v>0</v>
      </c>
      <c r="AS1004" s="219">
        <f t="shared" si="462"/>
        <v>0</v>
      </c>
      <c r="AT1004" s="31">
        <f t="shared" si="463"/>
        <v>0</v>
      </c>
      <c r="AU1004" s="219">
        <f t="shared" si="464"/>
        <v>0</v>
      </c>
      <c r="AV1004" s="31">
        <f t="shared" si="465"/>
        <v>0</v>
      </c>
      <c r="AW1004" s="31">
        <f t="shared" si="466"/>
        <v>0</v>
      </c>
      <c r="AX1004" s="31">
        <f t="shared" si="467"/>
        <v>0</v>
      </c>
      <c r="AY1004" s="219">
        <f t="shared" si="468"/>
        <v>0</v>
      </c>
      <c r="AZ1004" s="196">
        <f t="shared" si="469"/>
        <v>0</v>
      </c>
      <c r="BA1004" s="219">
        <f t="shared" si="470"/>
        <v>0</v>
      </c>
      <c r="BB1004" s="31">
        <f t="shared" si="471"/>
        <v>0</v>
      </c>
      <c r="BC1004" s="219">
        <f t="shared" si="472"/>
        <v>0</v>
      </c>
      <c r="BD1004" s="31">
        <f t="shared" si="473"/>
        <v>2.75</v>
      </c>
      <c r="BE1004" s="219">
        <f t="shared" si="474"/>
        <v>2.3374999999999999</v>
      </c>
      <c r="BF1004" s="31">
        <f t="shared" si="475"/>
        <v>0</v>
      </c>
      <c r="BG1004" s="219">
        <f t="shared" si="476"/>
        <v>0</v>
      </c>
      <c r="BH1004" s="31">
        <f t="shared" si="477"/>
        <v>0</v>
      </c>
      <c r="BI1004" s="219">
        <f t="shared" si="478"/>
        <v>0</v>
      </c>
      <c r="BJ1004" s="31">
        <f t="shared" si="479"/>
        <v>0</v>
      </c>
      <c r="BK1004" s="219">
        <f t="shared" si="480"/>
        <v>0</v>
      </c>
      <c r="BL1004" s="31">
        <f t="shared" si="481"/>
        <v>0</v>
      </c>
      <c r="BM1004" s="219">
        <f t="shared" si="482"/>
        <v>0</v>
      </c>
      <c r="BN1004" s="31">
        <f t="shared" si="483"/>
        <v>0</v>
      </c>
      <c r="BO1004" s="219">
        <f t="shared" si="484"/>
        <v>0</v>
      </c>
    </row>
    <row r="1005" spans="1:67" x14ac:dyDescent="0.25">
      <c r="A1005" s="31" t="s">
        <v>876</v>
      </c>
      <c r="B1005" s="176" t="str">
        <f>VLOOKUP(A1005,kurspris!$A$1:$B$992,2,FALSE)</f>
        <v>Kommunikation och undervisning</v>
      </c>
      <c r="C1005" s="31">
        <v>64700</v>
      </c>
      <c r="D1005" s="60" t="s">
        <v>85</v>
      </c>
      <c r="E1005" s="60"/>
      <c r="F1005" s="57" t="s">
        <v>2274</v>
      </c>
      <c r="H1005" s="31" t="s">
        <v>2335</v>
      </c>
      <c r="I1005" s="31" t="s">
        <v>2399</v>
      </c>
      <c r="J1005" s="31" t="s">
        <v>1500</v>
      </c>
      <c r="L1005" s="38"/>
      <c r="M1005">
        <v>7.5</v>
      </c>
      <c r="P1005" s="31">
        <v>26</v>
      </c>
      <c r="Q1005" s="539">
        <v>3.25</v>
      </c>
      <c r="R1005" s="38">
        <v>0.85</v>
      </c>
      <c r="S1005" s="280">
        <f t="shared" si="457"/>
        <v>2.7624999999999997</v>
      </c>
      <c r="T1005" s="31">
        <f>VLOOKUP(A1005,'Ansvar kurs'!$A$1:$C$1123,2,FALSE)</f>
        <v>2180</v>
      </c>
      <c r="U1005" s="31" t="str">
        <f>VLOOKUP(T1005,Orgenheter!$A$1:$C$166,2,FALSE)</f>
        <v xml:space="preserve">Pedagogik                     </v>
      </c>
      <c r="V1005" s="31" t="str">
        <f>VLOOKUP(T1005,Orgenheter!$A$1:$C$166,3,FALSE)</f>
        <v>Sam</v>
      </c>
      <c r="W1005" s="35" t="str">
        <f>VLOOKUP(D1005,Program!$A$1:$B$36,2,FALSE)</f>
        <v>Studie- och yrkesvägledarprogram</v>
      </c>
      <c r="X1005" s="40">
        <f>VLOOKUP(A1005,kurspris!$A$1:$Q$913,15,FALSE)</f>
        <v>20766</v>
      </c>
      <c r="Y1005" s="40">
        <f>VLOOKUP(A1005,kurspris!$A$1:$Q$913,16,FALSE)</f>
        <v>17442</v>
      </c>
      <c r="Z1005" s="40">
        <f t="shared" si="458"/>
        <v>115673.02499999999</v>
      </c>
      <c r="AA1005" s="40">
        <f>VLOOKUP(A1005,kurspris!$A$1:$Q$913,17,FALSE)</f>
        <v>6000</v>
      </c>
      <c r="AB1005" s="40">
        <f t="shared" si="459"/>
        <v>19500</v>
      </c>
      <c r="AC1005" s="40">
        <f t="shared" si="460"/>
        <v>135173.02499999999</v>
      </c>
      <c r="AD1005" s="31">
        <f>VLOOKUP($A1005,kurspris!$A$1:$Q$950,3,FALSE)</f>
        <v>0</v>
      </c>
      <c r="AE1005" s="31">
        <f>VLOOKUP($A1005,kurspris!$A$1:$Q$950,4,FALSE)</f>
        <v>0</v>
      </c>
      <c r="AF1005" s="31">
        <f>VLOOKUP($A1005,kurspris!$A$1:$Q$950,5,FALSE)</f>
        <v>0</v>
      </c>
      <c r="AG1005" s="31">
        <f>VLOOKUP($A1005,kurspris!$A$1:$Q$950,6,FALSE)</f>
        <v>0</v>
      </c>
      <c r="AH1005" s="31">
        <f>VLOOKUP($A1005,kurspris!$A$1:$Q$950,7,FALSE)</f>
        <v>0</v>
      </c>
      <c r="AI1005" s="31">
        <f>VLOOKUP($A1005,kurspris!$A$1:$Q$950,8,FALSE)</f>
        <v>0</v>
      </c>
      <c r="AJ1005" s="31">
        <f>VLOOKUP($A1005,kurspris!$A$1:$Q$950,9,FALSE)</f>
        <v>1</v>
      </c>
      <c r="AK1005" s="31">
        <f>VLOOKUP($A1005,kurspris!$A$1:$Q$950,10,FALSE)</f>
        <v>0</v>
      </c>
      <c r="AL1005" s="31">
        <f>VLOOKUP($A1005,kurspris!$A$1:$Q$950,11,FALSE)</f>
        <v>0</v>
      </c>
      <c r="AM1005" s="31">
        <f>VLOOKUP($A1005,kurspris!$A$1:$Q$950,12,FALSE)</f>
        <v>0</v>
      </c>
      <c r="AN1005" s="31">
        <f>VLOOKUP($A1005,kurspris!$A$1:$Q$950,13,FALSE)</f>
        <v>0</v>
      </c>
      <c r="AO1005" s="31">
        <f>VLOOKUP($A1005,kurspris!$A$1:$Q$950,14,FALSE)</f>
        <v>0</v>
      </c>
      <c r="AP1005" s="57" t="s">
        <v>2402</v>
      </c>
      <c r="AQ1005"/>
      <c r="AR1005" s="31">
        <f t="shared" si="461"/>
        <v>0</v>
      </c>
      <c r="AS1005" s="219">
        <f t="shared" si="462"/>
        <v>0</v>
      </c>
      <c r="AT1005" s="31">
        <f t="shared" si="463"/>
        <v>0</v>
      </c>
      <c r="AU1005" s="219">
        <f t="shared" si="464"/>
        <v>0</v>
      </c>
      <c r="AV1005" s="31">
        <f t="shared" si="465"/>
        <v>0</v>
      </c>
      <c r="AW1005" s="31">
        <f t="shared" si="466"/>
        <v>0</v>
      </c>
      <c r="AX1005" s="31">
        <f t="shared" si="467"/>
        <v>0</v>
      </c>
      <c r="AY1005" s="219">
        <f t="shared" si="468"/>
        <v>0</v>
      </c>
      <c r="AZ1005" s="196">
        <f t="shared" si="469"/>
        <v>0</v>
      </c>
      <c r="BA1005" s="219">
        <f t="shared" si="470"/>
        <v>0</v>
      </c>
      <c r="BB1005" s="31">
        <f t="shared" si="471"/>
        <v>0</v>
      </c>
      <c r="BC1005" s="219">
        <f t="shared" si="472"/>
        <v>0</v>
      </c>
      <c r="BD1005" s="31">
        <f t="shared" si="473"/>
        <v>3.25</v>
      </c>
      <c r="BE1005" s="219">
        <f t="shared" si="474"/>
        <v>2.7624999999999997</v>
      </c>
      <c r="BF1005" s="31">
        <f t="shared" si="475"/>
        <v>0</v>
      </c>
      <c r="BG1005" s="219">
        <f t="shared" si="476"/>
        <v>0</v>
      </c>
      <c r="BH1005" s="31">
        <f t="shared" si="477"/>
        <v>0</v>
      </c>
      <c r="BI1005" s="219">
        <f t="shared" si="478"/>
        <v>0</v>
      </c>
      <c r="BJ1005" s="31">
        <f t="shared" si="479"/>
        <v>0</v>
      </c>
      <c r="BK1005" s="219">
        <f t="shared" si="480"/>
        <v>0</v>
      </c>
      <c r="BL1005" s="31">
        <f t="shared" si="481"/>
        <v>0</v>
      </c>
      <c r="BM1005" s="219">
        <f t="shared" si="482"/>
        <v>0</v>
      </c>
      <c r="BN1005" s="31">
        <f t="shared" si="483"/>
        <v>0</v>
      </c>
      <c r="BO1005" s="219">
        <f t="shared" si="484"/>
        <v>0</v>
      </c>
    </row>
    <row r="1006" spans="1:67" x14ac:dyDescent="0.25">
      <c r="A1006" s="31" t="s">
        <v>917</v>
      </c>
      <c r="B1006" s="176" t="str">
        <f>VLOOKUP(A1006,kurspris!$A$1:$B$992,2,FALSE)</f>
        <v>Introduktion till studie- och yrkesvägledning</v>
      </c>
      <c r="C1006" s="31">
        <v>69100</v>
      </c>
      <c r="D1006" s="60" t="s">
        <v>117</v>
      </c>
      <c r="E1006" s="60"/>
      <c r="F1006" s="57" t="s">
        <v>2274</v>
      </c>
      <c r="H1006" s="31" t="s">
        <v>2335</v>
      </c>
      <c r="I1006" s="31" t="s">
        <v>2275</v>
      </c>
      <c r="J1006" s="375" t="s">
        <v>1501</v>
      </c>
      <c r="L1006" s="38"/>
      <c r="M1006">
        <v>12.5</v>
      </c>
      <c r="P1006" s="31">
        <v>34</v>
      </c>
      <c r="Q1006" s="539">
        <v>7.0830000000000002</v>
      </c>
      <c r="R1006" s="38">
        <v>0.85</v>
      </c>
      <c r="S1006" s="280">
        <f t="shared" si="457"/>
        <v>6.0205500000000001</v>
      </c>
      <c r="T1006" s="31">
        <f>VLOOKUP(A1006,'Ansvar kurs'!$A$1:$C$1123,2,FALSE)</f>
        <v>2193</v>
      </c>
      <c r="U1006" s="31" t="str">
        <f>VLOOKUP(T1006,Orgenheter!$A$1:$C$166,2,FALSE)</f>
        <v xml:space="preserve">TUV </v>
      </c>
      <c r="V1006" s="31" t="str">
        <f>VLOOKUP(T1006,Orgenheter!$A$1:$C$166,3,FALSE)</f>
        <v>Sam</v>
      </c>
      <c r="W1006" s="35" t="str">
        <f>VLOOKUP(D1006,Program!$A$1:$B$36,2,FALSE)</f>
        <v>Fristående och övriga kurser</v>
      </c>
      <c r="X1006" s="40">
        <f>VLOOKUP(A1006,kurspris!$A$1:$Q$913,15,FALSE)</f>
        <v>20766</v>
      </c>
      <c r="Y1006" s="40">
        <f>VLOOKUP(A1006,kurspris!$A$1:$Q$913,16,FALSE)</f>
        <v>17442</v>
      </c>
      <c r="Z1006" s="40">
        <f t="shared" si="458"/>
        <v>252096.0111</v>
      </c>
      <c r="AA1006" s="40">
        <f>VLOOKUP(A1006,kurspris!$A$1:$Q$913,17,FALSE)</f>
        <v>6000</v>
      </c>
      <c r="AB1006" s="40">
        <f t="shared" si="459"/>
        <v>42498</v>
      </c>
      <c r="AC1006" s="40">
        <f t="shared" si="460"/>
        <v>294594.0111</v>
      </c>
      <c r="AD1006" s="31">
        <f>VLOOKUP($A1006,kurspris!$A$1:$Q$950,3,FALSE)</f>
        <v>0</v>
      </c>
      <c r="AE1006" s="31">
        <f>VLOOKUP($A1006,kurspris!$A$1:$Q$950,4,FALSE)</f>
        <v>0</v>
      </c>
      <c r="AF1006" s="31">
        <f>VLOOKUP($A1006,kurspris!$A$1:$Q$950,5,FALSE)</f>
        <v>0</v>
      </c>
      <c r="AG1006" s="31">
        <f>VLOOKUP($A1006,kurspris!$A$1:$Q$950,6,FALSE)</f>
        <v>0</v>
      </c>
      <c r="AH1006" s="31">
        <f>VLOOKUP($A1006,kurspris!$A$1:$Q$950,7,FALSE)</f>
        <v>0</v>
      </c>
      <c r="AI1006" s="31">
        <f>VLOOKUP($A1006,kurspris!$A$1:$Q$950,8,FALSE)</f>
        <v>0</v>
      </c>
      <c r="AJ1006" s="31">
        <f>VLOOKUP($A1006,kurspris!$A$1:$Q$950,9,FALSE)</f>
        <v>1</v>
      </c>
      <c r="AK1006" s="31">
        <f>VLOOKUP($A1006,kurspris!$A$1:$Q$950,10,FALSE)</f>
        <v>0</v>
      </c>
      <c r="AL1006" s="31">
        <f>VLOOKUP($A1006,kurspris!$A$1:$Q$950,11,FALSE)</f>
        <v>0</v>
      </c>
      <c r="AM1006" s="31">
        <f>VLOOKUP($A1006,kurspris!$A$1:$Q$950,12,FALSE)</f>
        <v>0</v>
      </c>
      <c r="AN1006" s="31">
        <f>VLOOKUP($A1006,kurspris!$A$1:$Q$950,13,FALSE)</f>
        <v>0</v>
      </c>
      <c r="AO1006" s="31">
        <f>VLOOKUP($A1006,kurspris!$A$1:$Q$950,14,FALSE)</f>
        <v>0</v>
      </c>
      <c r="AP1006" s="57" t="s">
        <v>2402</v>
      </c>
      <c r="AQ1006"/>
      <c r="AR1006" s="31">
        <f t="shared" si="461"/>
        <v>0</v>
      </c>
      <c r="AS1006" s="219">
        <f t="shared" si="462"/>
        <v>0</v>
      </c>
      <c r="AT1006" s="31">
        <f t="shared" si="463"/>
        <v>0</v>
      </c>
      <c r="AU1006" s="219">
        <f t="shared" si="464"/>
        <v>0</v>
      </c>
      <c r="AV1006" s="31">
        <f t="shared" si="465"/>
        <v>0</v>
      </c>
      <c r="AW1006" s="31">
        <f t="shared" si="466"/>
        <v>0</v>
      </c>
      <c r="AX1006" s="31">
        <f t="shared" si="467"/>
        <v>0</v>
      </c>
      <c r="AY1006" s="219">
        <f t="shared" si="468"/>
        <v>0</v>
      </c>
      <c r="AZ1006" s="196">
        <f t="shared" si="469"/>
        <v>0</v>
      </c>
      <c r="BA1006" s="219">
        <f t="shared" si="470"/>
        <v>0</v>
      </c>
      <c r="BB1006" s="31">
        <f t="shared" si="471"/>
        <v>0</v>
      </c>
      <c r="BC1006" s="219">
        <f t="shared" si="472"/>
        <v>0</v>
      </c>
      <c r="BD1006" s="31">
        <f t="shared" si="473"/>
        <v>7.0830000000000002</v>
      </c>
      <c r="BE1006" s="219">
        <f t="shared" si="474"/>
        <v>6.0205500000000001</v>
      </c>
      <c r="BF1006" s="31">
        <f t="shared" si="475"/>
        <v>0</v>
      </c>
      <c r="BG1006" s="219">
        <f t="shared" si="476"/>
        <v>0</v>
      </c>
      <c r="BH1006" s="31">
        <f t="shared" si="477"/>
        <v>0</v>
      </c>
      <c r="BI1006" s="219">
        <f t="shared" si="478"/>
        <v>0</v>
      </c>
      <c r="BJ1006" s="31">
        <f t="shared" si="479"/>
        <v>0</v>
      </c>
      <c r="BK1006" s="219">
        <f t="shared" si="480"/>
        <v>0</v>
      </c>
      <c r="BL1006" s="31">
        <f t="shared" si="481"/>
        <v>0</v>
      </c>
      <c r="BM1006" s="219">
        <f t="shared" si="482"/>
        <v>0</v>
      </c>
      <c r="BN1006" s="31">
        <f t="shared" si="483"/>
        <v>0</v>
      </c>
      <c r="BO1006" s="219">
        <f t="shared" si="484"/>
        <v>0</v>
      </c>
    </row>
    <row r="1007" spans="1:67" x14ac:dyDescent="0.25">
      <c r="A1007" s="31" t="s">
        <v>918</v>
      </c>
      <c r="B1007" s="176" t="str">
        <f>VLOOKUP(A1007,kurspris!$A$1:$B$992,2,FALSE)</f>
        <v>Teorier, modeller och metoder för karriärvägledning</v>
      </c>
      <c r="C1007" s="31">
        <v>69101</v>
      </c>
      <c r="D1007" s="60" t="s">
        <v>117</v>
      </c>
      <c r="E1007" s="60"/>
      <c r="F1007" s="57" t="s">
        <v>2274</v>
      </c>
      <c r="H1007" s="31" t="s">
        <v>2335</v>
      </c>
      <c r="I1007" s="31" t="s">
        <v>2275</v>
      </c>
      <c r="J1007" s="375" t="s">
        <v>1501</v>
      </c>
      <c r="L1007" s="38"/>
      <c r="M1007">
        <v>7.5</v>
      </c>
      <c r="P1007" s="31">
        <v>32</v>
      </c>
      <c r="Q1007" s="539">
        <v>4</v>
      </c>
      <c r="R1007" s="38">
        <v>0.85</v>
      </c>
      <c r="S1007" s="280">
        <f t="shared" si="457"/>
        <v>3.4</v>
      </c>
      <c r="T1007" s="31">
        <f>VLOOKUP(A1007,'Ansvar kurs'!$A$1:$C$1123,2,FALSE)</f>
        <v>2193</v>
      </c>
      <c r="U1007" s="31" t="str">
        <f>VLOOKUP(T1007,Orgenheter!$A$1:$C$166,2,FALSE)</f>
        <v xml:space="preserve">TUV </v>
      </c>
      <c r="V1007" s="31" t="str">
        <f>VLOOKUP(T1007,Orgenheter!$A$1:$C$166,3,FALSE)</f>
        <v>Sam</v>
      </c>
      <c r="W1007" s="35" t="str">
        <f>VLOOKUP(D1007,Program!$A$1:$B$36,2,FALSE)</f>
        <v>Fristående och övriga kurser</v>
      </c>
      <c r="X1007" s="40">
        <f>VLOOKUP(A1007,kurspris!$A$1:$Q$913,15,FALSE)</f>
        <v>20766</v>
      </c>
      <c r="Y1007" s="40">
        <f>VLOOKUP(A1007,kurspris!$A$1:$Q$913,16,FALSE)</f>
        <v>17442</v>
      </c>
      <c r="Z1007" s="40">
        <f t="shared" si="458"/>
        <v>142366.79999999999</v>
      </c>
      <c r="AA1007" s="40">
        <f>VLOOKUP(A1007,kurspris!$A$1:$Q$913,17,FALSE)</f>
        <v>6000</v>
      </c>
      <c r="AB1007" s="40">
        <f t="shared" si="459"/>
        <v>24000</v>
      </c>
      <c r="AC1007" s="40">
        <f t="shared" si="460"/>
        <v>166366.79999999999</v>
      </c>
      <c r="AD1007" s="31">
        <f>VLOOKUP($A1007,kurspris!$A$1:$Q$950,3,FALSE)</f>
        <v>0</v>
      </c>
      <c r="AE1007" s="31">
        <f>VLOOKUP($A1007,kurspris!$A$1:$Q$950,4,FALSE)</f>
        <v>0</v>
      </c>
      <c r="AF1007" s="31">
        <f>VLOOKUP($A1007,kurspris!$A$1:$Q$950,5,FALSE)</f>
        <v>0</v>
      </c>
      <c r="AG1007" s="31">
        <f>VLOOKUP($A1007,kurspris!$A$1:$Q$950,6,FALSE)</f>
        <v>0</v>
      </c>
      <c r="AH1007" s="31">
        <f>VLOOKUP($A1007,kurspris!$A$1:$Q$950,7,FALSE)</f>
        <v>0</v>
      </c>
      <c r="AI1007" s="31">
        <f>VLOOKUP($A1007,kurspris!$A$1:$Q$950,8,FALSE)</f>
        <v>0</v>
      </c>
      <c r="AJ1007" s="31">
        <f>VLOOKUP($A1007,kurspris!$A$1:$Q$950,9,FALSE)</f>
        <v>1</v>
      </c>
      <c r="AK1007" s="31">
        <f>VLOOKUP($A1007,kurspris!$A$1:$Q$950,10,FALSE)</f>
        <v>0</v>
      </c>
      <c r="AL1007" s="31">
        <f>VLOOKUP($A1007,kurspris!$A$1:$Q$950,11,FALSE)</f>
        <v>0</v>
      </c>
      <c r="AM1007" s="31">
        <f>VLOOKUP($A1007,kurspris!$A$1:$Q$950,12,FALSE)</f>
        <v>0</v>
      </c>
      <c r="AN1007" s="31">
        <f>VLOOKUP($A1007,kurspris!$A$1:$Q$950,13,FALSE)</f>
        <v>0</v>
      </c>
      <c r="AO1007" s="31">
        <f>VLOOKUP($A1007,kurspris!$A$1:$Q$950,14,FALSE)</f>
        <v>0</v>
      </c>
      <c r="AP1007" s="57" t="s">
        <v>2402</v>
      </c>
      <c r="AQ1007"/>
      <c r="AR1007" s="31">
        <f t="shared" si="461"/>
        <v>0</v>
      </c>
      <c r="AS1007" s="219">
        <f t="shared" si="462"/>
        <v>0</v>
      </c>
      <c r="AT1007" s="31">
        <f t="shared" si="463"/>
        <v>0</v>
      </c>
      <c r="AU1007" s="219">
        <f t="shared" si="464"/>
        <v>0</v>
      </c>
      <c r="AV1007" s="31">
        <f t="shared" si="465"/>
        <v>0</v>
      </c>
      <c r="AW1007" s="31">
        <f t="shared" si="466"/>
        <v>0</v>
      </c>
      <c r="AX1007" s="31">
        <f t="shared" si="467"/>
        <v>0</v>
      </c>
      <c r="AY1007" s="219">
        <f t="shared" si="468"/>
        <v>0</v>
      </c>
      <c r="AZ1007" s="196">
        <f t="shared" si="469"/>
        <v>0</v>
      </c>
      <c r="BA1007" s="219">
        <f t="shared" si="470"/>
        <v>0</v>
      </c>
      <c r="BB1007" s="31">
        <f t="shared" si="471"/>
        <v>0</v>
      </c>
      <c r="BC1007" s="219">
        <f t="shared" si="472"/>
        <v>0</v>
      </c>
      <c r="BD1007" s="31">
        <f t="shared" si="473"/>
        <v>4</v>
      </c>
      <c r="BE1007" s="219">
        <f t="shared" si="474"/>
        <v>3.4</v>
      </c>
      <c r="BF1007" s="31">
        <f t="shared" si="475"/>
        <v>0</v>
      </c>
      <c r="BG1007" s="219">
        <f t="shared" si="476"/>
        <v>0</v>
      </c>
      <c r="BH1007" s="31">
        <f t="shared" si="477"/>
        <v>0</v>
      </c>
      <c r="BI1007" s="219">
        <f t="shared" si="478"/>
        <v>0</v>
      </c>
      <c r="BJ1007" s="31">
        <f t="shared" si="479"/>
        <v>0</v>
      </c>
      <c r="BK1007" s="219">
        <f t="shared" si="480"/>
        <v>0</v>
      </c>
      <c r="BL1007" s="31">
        <f t="shared" si="481"/>
        <v>0</v>
      </c>
      <c r="BM1007" s="219">
        <f t="shared" si="482"/>
        <v>0</v>
      </c>
      <c r="BN1007" s="31">
        <f t="shared" si="483"/>
        <v>0</v>
      </c>
      <c r="BO1007" s="219">
        <f t="shared" si="484"/>
        <v>0</v>
      </c>
    </row>
    <row r="1008" spans="1:67" x14ac:dyDescent="0.25">
      <c r="A1008" s="31" t="s">
        <v>919</v>
      </c>
      <c r="B1008" s="176" t="str">
        <f>VLOOKUP(A1008,kurspris!$A$1:$B$992,2,FALSE)</f>
        <v>Samhällsvetenskap</v>
      </c>
      <c r="C1008" s="31">
        <v>69105</v>
      </c>
      <c r="D1008" s="60" t="s">
        <v>117</v>
      </c>
      <c r="E1008" s="60"/>
      <c r="F1008" s="57" t="s">
        <v>2274</v>
      </c>
      <c r="H1008" s="31" t="s">
        <v>2335</v>
      </c>
      <c r="I1008" s="31" t="s">
        <v>2275</v>
      </c>
      <c r="J1008" s="375" t="s">
        <v>1501</v>
      </c>
      <c r="L1008" s="38"/>
      <c r="M1008">
        <v>10</v>
      </c>
      <c r="P1008" s="31">
        <v>31</v>
      </c>
      <c r="Q1008" s="539">
        <v>5.1669999999999998</v>
      </c>
      <c r="R1008" s="38">
        <v>0.85</v>
      </c>
      <c r="S1008" s="280">
        <f t="shared" si="457"/>
        <v>4.3919499999999996</v>
      </c>
      <c r="T1008" s="31">
        <f>VLOOKUP(A1008,'Ansvar kurs'!$A$1:$C$1123,2,FALSE)</f>
        <v>2193</v>
      </c>
      <c r="U1008" s="31" t="str">
        <f>VLOOKUP(T1008,Orgenheter!$A$1:$C$166,2,FALSE)</f>
        <v xml:space="preserve">TUV </v>
      </c>
      <c r="V1008" s="31" t="str">
        <f>VLOOKUP(T1008,Orgenheter!$A$1:$C$166,3,FALSE)</f>
        <v>Sam</v>
      </c>
      <c r="W1008" s="35" t="str">
        <f>VLOOKUP(D1008,Program!$A$1:$B$36,2,FALSE)</f>
        <v>Fristående och övriga kurser</v>
      </c>
      <c r="X1008" s="40">
        <f>VLOOKUP(A1008,kurspris!$A$1:$Q$913,15,FALSE)</f>
        <v>20766</v>
      </c>
      <c r="Y1008" s="40">
        <f>VLOOKUP(A1008,kurspris!$A$1:$Q$913,16,FALSE)</f>
        <v>17442</v>
      </c>
      <c r="Z1008" s="40">
        <f t="shared" si="458"/>
        <v>183902.31389999998</v>
      </c>
      <c r="AA1008" s="40">
        <f>VLOOKUP(A1008,kurspris!$A$1:$Q$913,17,FALSE)</f>
        <v>6000</v>
      </c>
      <c r="AB1008" s="40">
        <f t="shared" si="459"/>
        <v>31002</v>
      </c>
      <c r="AC1008" s="40">
        <f t="shared" si="460"/>
        <v>214904.31389999998</v>
      </c>
      <c r="AD1008" s="31">
        <f>VLOOKUP($A1008,kurspris!$A$1:$Q$950,3,FALSE)</f>
        <v>0</v>
      </c>
      <c r="AE1008" s="31">
        <f>VLOOKUP($A1008,kurspris!$A$1:$Q$950,4,FALSE)</f>
        <v>0</v>
      </c>
      <c r="AF1008" s="31">
        <f>VLOOKUP($A1008,kurspris!$A$1:$Q$950,5,FALSE)</f>
        <v>0</v>
      </c>
      <c r="AG1008" s="31">
        <f>VLOOKUP($A1008,kurspris!$A$1:$Q$950,6,FALSE)</f>
        <v>0</v>
      </c>
      <c r="AH1008" s="31">
        <f>VLOOKUP($A1008,kurspris!$A$1:$Q$950,7,FALSE)</f>
        <v>0</v>
      </c>
      <c r="AI1008" s="31">
        <f>VLOOKUP($A1008,kurspris!$A$1:$Q$950,8,FALSE)</f>
        <v>0</v>
      </c>
      <c r="AJ1008" s="31">
        <f>VLOOKUP($A1008,kurspris!$A$1:$Q$950,9,FALSE)</f>
        <v>1</v>
      </c>
      <c r="AK1008" s="31">
        <f>VLOOKUP($A1008,kurspris!$A$1:$Q$950,10,FALSE)</f>
        <v>0</v>
      </c>
      <c r="AL1008" s="31">
        <f>VLOOKUP($A1008,kurspris!$A$1:$Q$950,11,FALSE)</f>
        <v>0</v>
      </c>
      <c r="AM1008" s="31">
        <f>VLOOKUP($A1008,kurspris!$A$1:$Q$950,12,FALSE)</f>
        <v>0</v>
      </c>
      <c r="AN1008" s="31">
        <f>VLOOKUP($A1008,kurspris!$A$1:$Q$950,13,FALSE)</f>
        <v>0</v>
      </c>
      <c r="AO1008" s="31">
        <f>VLOOKUP($A1008,kurspris!$A$1:$Q$950,14,FALSE)</f>
        <v>0</v>
      </c>
      <c r="AP1008" s="57" t="s">
        <v>2402</v>
      </c>
      <c r="AQ1008"/>
      <c r="AR1008" s="31">
        <f t="shared" si="461"/>
        <v>0</v>
      </c>
      <c r="AS1008" s="219">
        <f t="shared" si="462"/>
        <v>0</v>
      </c>
      <c r="AT1008" s="31">
        <f t="shared" si="463"/>
        <v>0</v>
      </c>
      <c r="AU1008" s="219">
        <f t="shared" si="464"/>
        <v>0</v>
      </c>
      <c r="AV1008" s="31">
        <f t="shared" si="465"/>
        <v>0</v>
      </c>
      <c r="AW1008" s="31">
        <f t="shared" si="466"/>
        <v>0</v>
      </c>
      <c r="AX1008" s="31">
        <f t="shared" si="467"/>
        <v>0</v>
      </c>
      <c r="AY1008" s="219">
        <f t="shared" si="468"/>
        <v>0</v>
      </c>
      <c r="AZ1008" s="196">
        <f t="shared" si="469"/>
        <v>0</v>
      </c>
      <c r="BA1008" s="219">
        <f t="shared" si="470"/>
        <v>0</v>
      </c>
      <c r="BB1008" s="31">
        <f t="shared" si="471"/>
        <v>0</v>
      </c>
      <c r="BC1008" s="219">
        <f t="shared" si="472"/>
        <v>0</v>
      </c>
      <c r="BD1008" s="31">
        <f t="shared" si="473"/>
        <v>5.1669999999999998</v>
      </c>
      <c r="BE1008" s="219">
        <f t="shared" si="474"/>
        <v>4.3919499999999996</v>
      </c>
      <c r="BF1008" s="31">
        <f t="shared" si="475"/>
        <v>0</v>
      </c>
      <c r="BG1008" s="219">
        <f t="shared" si="476"/>
        <v>0</v>
      </c>
      <c r="BH1008" s="31">
        <f t="shared" si="477"/>
        <v>0</v>
      </c>
      <c r="BI1008" s="219">
        <f t="shared" si="478"/>
        <v>0</v>
      </c>
      <c r="BJ1008" s="31">
        <f t="shared" si="479"/>
        <v>0</v>
      </c>
      <c r="BK1008" s="219">
        <f t="shared" si="480"/>
        <v>0</v>
      </c>
      <c r="BL1008" s="31">
        <f t="shared" si="481"/>
        <v>0</v>
      </c>
      <c r="BM1008" s="219">
        <f t="shared" si="482"/>
        <v>0</v>
      </c>
      <c r="BN1008" s="31">
        <f t="shared" si="483"/>
        <v>0</v>
      </c>
      <c r="BO1008" s="219">
        <f t="shared" si="484"/>
        <v>0</v>
      </c>
    </row>
    <row r="1009" spans="1:67" x14ac:dyDescent="0.25">
      <c r="A1009" s="31" t="s">
        <v>962</v>
      </c>
      <c r="B1009" s="176" t="str">
        <f>VLOOKUP(A1009,kurspris!$A$1:$B$992,2,FALSE)</f>
        <v>Arbetsliv och lärande</v>
      </c>
      <c r="C1009" s="31">
        <v>64705</v>
      </c>
      <c r="D1009" s="60" t="s">
        <v>85</v>
      </c>
      <c r="E1009" s="60"/>
      <c r="F1009" s="57" t="s">
        <v>2274</v>
      </c>
      <c r="H1009" s="31" t="s">
        <v>2335</v>
      </c>
      <c r="I1009" s="31" t="s">
        <v>2275</v>
      </c>
      <c r="J1009" s="31" t="s">
        <v>624</v>
      </c>
      <c r="L1009" s="38"/>
      <c r="M1009">
        <v>7.5</v>
      </c>
      <c r="P1009" s="31">
        <v>18</v>
      </c>
      <c r="Q1009" s="539">
        <v>2.25</v>
      </c>
      <c r="R1009" s="38">
        <v>0.85</v>
      </c>
      <c r="S1009" s="280">
        <f t="shared" si="457"/>
        <v>1.9124999999999999</v>
      </c>
      <c r="T1009" s="31">
        <f>VLOOKUP(A1009,'Ansvar kurs'!$A$1:$C$1123,2,FALSE)</f>
        <v>2180</v>
      </c>
      <c r="U1009" s="31" t="str">
        <f>VLOOKUP(T1009,Orgenheter!$A$1:$C$166,2,FALSE)</f>
        <v xml:space="preserve">Pedagogik                     </v>
      </c>
      <c r="V1009" s="31" t="str">
        <f>VLOOKUP(T1009,Orgenheter!$A$1:$C$166,3,FALSE)</f>
        <v>Sam</v>
      </c>
      <c r="W1009" s="35" t="str">
        <f>VLOOKUP(D1009,Program!$A$1:$B$36,2,FALSE)</f>
        <v>Studie- och yrkesvägledarprogram</v>
      </c>
      <c r="X1009" s="40">
        <f>VLOOKUP(A1009,kurspris!$A$1:$Q$913,15,FALSE)</f>
        <v>20766</v>
      </c>
      <c r="Y1009" s="40">
        <f>VLOOKUP(A1009,kurspris!$A$1:$Q$913,16,FALSE)</f>
        <v>17442</v>
      </c>
      <c r="Z1009" s="40">
        <f t="shared" si="458"/>
        <v>80081.324999999997</v>
      </c>
      <c r="AA1009" s="40">
        <f>VLOOKUP(A1009,kurspris!$A$1:$Q$913,17,FALSE)</f>
        <v>6000</v>
      </c>
      <c r="AB1009" s="40">
        <f t="shared" si="459"/>
        <v>13500</v>
      </c>
      <c r="AC1009" s="40">
        <f t="shared" si="460"/>
        <v>93581.324999999997</v>
      </c>
      <c r="AD1009" s="31">
        <f>VLOOKUP($A1009,kurspris!$A$1:$Q$950,3,FALSE)</f>
        <v>0</v>
      </c>
      <c r="AE1009" s="31">
        <f>VLOOKUP($A1009,kurspris!$A$1:$Q$950,4,FALSE)</f>
        <v>0</v>
      </c>
      <c r="AF1009" s="31">
        <f>VLOOKUP($A1009,kurspris!$A$1:$Q$950,5,FALSE)</f>
        <v>0</v>
      </c>
      <c r="AG1009" s="31">
        <f>VLOOKUP($A1009,kurspris!$A$1:$Q$950,6,FALSE)</f>
        <v>0</v>
      </c>
      <c r="AH1009" s="31">
        <f>VLOOKUP($A1009,kurspris!$A$1:$Q$950,7,FALSE)</f>
        <v>0</v>
      </c>
      <c r="AI1009" s="31">
        <f>VLOOKUP($A1009,kurspris!$A$1:$Q$950,8,FALSE)</f>
        <v>0</v>
      </c>
      <c r="AJ1009" s="31">
        <f>VLOOKUP($A1009,kurspris!$A$1:$Q$950,9,FALSE)</f>
        <v>1</v>
      </c>
      <c r="AK1009" s="31">
        <f>VLOOKUP($A1009,kurspris!$A$1:$Q$950,10,FALSE)</f>
        <v>0</v>
      </c>
      <c r="AL1009" s="31">
        <f>VLOOKUP($A1009,kurspris!$A$1:$Q$950,11,FALSE)</f>
        <v>0</v>
      </c>
      <c r="AM1009" s="31">
        <f>VLOOKUP($A1009,kurspris!$A$1:$Q$950,12,FALSE)</f>
        <v>0</v>
      </c>
      <c r="AN1009" s="31">
        <f>VLOOKUP($A1009,kurspris!$A$1:$Q$950,13,FALSE)</f>
        <v>0</v>
      </c>
      <c r="AO1009" s="31">
        <f>VLOOKUP($A1009,kurspris!$A$1:$Q$950,14,FALSE)</f>
        <v>0</v>
      </c>
      <c r="AP1009" s="57" t="s">
        <v>2402</v>
      </c>
      <c r="AQ1009"/>
      <c r="AR1009" s="31">
        <f t="shared" si="461"/>
        <v>0</v>
      </c>
      <c r="AS1009" s="219">
        <f t="shared" si="462"/>
        <v>0</v>
      </c>
      <c r="AT1009" s="31">
        <f t="shared" si="463"/>
        <v>0</v>
      </c>
      <c r="AU1009" s="219">
        <f t="shared" si="464"/>
        <v>0</v>
      </c>
      <c r="AV1009" s="31">
        <f t="shared" si="465"/>
        <v>0</v>
      </c>
      <c r="AW1009" s="31">
        <f t="shared" si="466"/>
        <v>0</v>
      </c>
      <c r="AX1009" s="31">
        <f t="shared" si="467"/>
        <v>0</v>
      </c>
      <c r="AY1009" s="219">
        <f t="shared" si="468"/>
        <v>0</v>
      </c>
      <c r="AZ1009" s="196">
        <f t="shared" si="469"/>
        <v>0</v>
      </c>
      <c r="BA1009" s="219">
        <f t="shared" si="470"/>
        <v>0</v>
      </c>
      <c r="BB1009" s="31">
        <f t="shared" si="471"/>
        <v>0</v>
      </c>
      <c r="BC1009" s="219">
        <f t="shared" si="472"/>
        <v>0</v>
      </c>
      <c r="BD1009" s="31">
        <f t="shared" si="473"/>
        <v>2.25</v>
      </c>
      <c r="BE1009" s="219">
        <f t="shared" si="474"/>
        <v>1.9124999999999999</v>
      </c>
      <c r="BF1009" s="31">
        <f t="shared" si="475"/>
        <v>0</v>
      </c>
      <c r="BG1009" s="219">
        <f t="shared" si="476"/>
        <v>0</v>
      </c>
      <c r="BH1009" s="31">
        <f t="shared" si="477"/>
        <v>0</v>
      </c>
      <c r="BI1009" s="219">
        <f t="shared" si="478"/>
        <v>0</v>
      </c>
      <c r="BJ1009" s="31">
        <f t="shared" si="479"/>
        <v>0</v>
      </c>
      <c r="BK1009" s="219">
        <f t="shared" si="480"/>
        <v>0</v>
      </c>
      <c r="BL1009" s="31">
        <f t="shared" si="481"/>
        <v>0</v>
      </c>
      <c r="BM1009" s="219">
        <f t="shared" si="482"/>
        <v>0</v>
      </c>
      <c r="BN1009" s="31">
        <f t="shared" si="483"/>
        <v>0</v>
      </c>
      <c r="BO1009" s="219">
        <f t="shared" si="484"/>
        <v>0</v>
      </c>
    </row>
    <row r="1010" spans="1:67" x14ac:dyDescent="0.25">
      <c r="A1010" s="31" t="s">
        <v>962</v>
      </c>
      <c r="B1010" s="176" t="str">
        <f>VLOOKUP(A1010,kurspris!$A$1:$B$992,2,FALSE)</f>
        <v>Arbetsliv och lärande</v>
      </c>
      <c r="C1010" s="31">
        <v>64701</v>
      </c>
      <c r="D1010" s="60" t="s">
        <v>85</v>
      </c>
      <c r="E1010" s="60"/>
      <c r="F1010" s="57" t="s">
        <v>2274</v>
      </c>
      <c r="H1010" s="31" t="s">
        <v>2335</v>
      </c>
      <c r="I1010" s="31" t="s">
        <v>2399</v>
      </c>
      <c r="J1010" s="31" t="s">
        <v>1500</v>
      </c>
      <c r="L1010" s="38"/>
      <c r="M1010">
        <v>7.5</v>
      </c>
      <c r="P1010" s="31">
        <v>30</v>
      </c>
      <c r="Q1010" s="539">
        <v>3.75</v>
      </c>
      <c r="R1010" s="38">
        <v>0.85</v>
      </c>
      <c r="S1010" s="280">
        <f t="shared" si="457"/>
        <v>3.1875</v>
      </c>
      <c r="T1010" s="31">
        <f>VLOOKUP(A1010,'Ansvar kurs'!$A$1:$C$1123,2,FALSE)</f>
        <v>2180</v>
      </c>
      <c r="U1010" s="31" t="str">
        <f>VLOOKUP(T1010,Orgenheter!$A$1:$C$166,2,FALSE)</f>
        <v xml:space="preserve">Pedagogik                     </v>
      </c>
      <c r="V1010" s="31" t="str">
        <f>VLOOKUP(T1010,Orgenheter!$A$1:$C$166,3,FALSE)</f>
        <v>Sam</v>
      </c>
      <c r="W1010" s="35" t="str">
        <f>VLOOKUP(D1010,Program!$A$1:$B$36,2,FALSE)</f>
        <v>Studie- och yrkesvägledarprogram</v>
      </c>
      <c r="X1010" s="40">
        <f>VLOOKUP(A1010,kurspris!$A$1:$Q$913,15,FALSE)</f>
        <v>20766</v>
      </c>
      <c r="Y1010" s="40">
        <f>VLOOKUP(A1010,kurspris!$A$1:$Q$913,16,FALSE)</f>
        <v>17442</v>
      </c>
      <c r="Z1010" s="40">
        <f t="shared" si="458"/>
        <v>133468.875</v>
      </c>
      <c r="AA1010" s="40">
        <f>VLOOKUP(A1010,kurspris!$A$1:$Q$913,17,FALSE)</f>
        <v>6000</v>
      </c>
      <c r="AB1010" s="40">
        <f t="shared" si="459"/>
        <v>22500</v>
      </c>
      <c r="AC1010" s="40">
        <f t="shared" si="460"/>
        <v>155968.875</v>
      </c>
      <c r="AD1010" s="31">
        <f>VLOOKUP($A1010,kurspris!$A$1:$Q$950,3,FALSE)</f>
        <v>0</v>
      </c>
      <c r="AE1010" s="31">
        <f>VLOOKUP($A1010,kurspris!$A$1:$Q$950,4,FALSE)</f>
        <v>0</v>
      </c>
      <c r="AF1010" s="31">
        <f>VLOOKUP($A1010,kurspris!$A$1:$Q$950,5,FALSE)</f>
        <v>0</v>
      </c>
      <c r="AG1010" s="31">
        <f>VLOOKUP($A1010,kurspris!$A$1:$Q$950,6,FALSE)</f>
        <v>0</v>
      </c>
      <c r="AH1010" s="31">
        <f>VLOOKUP($A1010,kurspris!$A$1:$Q$950,7,FALSE)</f>
        <v>0</v>
      </c>
      <c r="AI1010" s="31">
        <f>VLOOKUP($A1010,kurspris!$A$1:$Q$950,8,FALSE)</f>
        <v>0</v>
      </c>
      <c r="AJ1010" s="31">
        <f>VLOOKUP($A1010,kurspris!$A$1:$Q$950,9,FALSE)</f>
        <v>1</v>
      </c>
      <c r="AK1010" s="31">
        <f>VLOOKUP($A1010,kurspris!$A$1:$Q$950,10,FALSE)</f>
        <v>0</v>
      </c>
      <c r="AL1010" s="31">
        <f>VLOOKUP($A1010,kurspris!$A$1:$Q$950,11,FALSE)</f>
        <v>0</v>
      </c>
      <c r="AM1010" s="31">
        <f>VLOOKUP($A1010,kurspris!$A$1:$Q$950,12,FALSE)</f>
        <v>0</v>
      </c>
      <c r="AN1010" s="31">
        <f>VLOOKUP($A1010,kurspris!$A$1:$Q$950,13,FALSE)</f>
        <v>0</v>
      </c>
      <c r="AO1010" s="31">
        <f>VLOOKUP($A1010,kurspris!$A$1:$Q$950,14,FALSE)</f>
        <v>0</v>
      </c>
      <c r="AP1010" s="57" t="s">
        <v>2402</v>
      </c>
      <c r="AQ1010"/>
      <c r="AR1010" s="31">
        <f t="shared" si="461"/>
        <v>0</v>
      </c>
      <c r="AS1010" s="219">
        <f t="shared" si="462"/>
        <v>0</v>
      </c>
      <c r="AT1010" s="31">
        <f t="shared" si="463"/>
        <v>0</v>
      </c>
      <c r="AU1010" s="219">
        <f t="shared" si="464"/>
        <v>0</v>
      </c>
      <c r="AV1010" s="31">
        <f t="shared" si="465"/>
        <v>0</v>
      </c>
      <c r="AW1010" s="31">
        <f t="shared" si="466"/>
        <v>0</v>
      </c>
      <c r="AX1010" s="31">
        <f t="shared" si="467"/>
        <v>0</v>
      </c>
      <c r="AY1010" s="219">
        <f t="shared" si="468"/>
        <v>0</v>
      </c>
      <c r="AZ1010" s="196">
        <f t="shared" si="469"/>
        <v>0</v>
      </c>
      <c r="BA1010" s="219">
        <f t="shared" si="470"/>
        <v>0</v>
      </c>
      <c r="BB1010" s="31">
        <f t="shared" si="471"/>
        <v>0</v>
      </c>
      <c r="BC1010" s="219">
        <f t="shared" si="472"/>
        <v>0</v>
      </c>
      <c r="BD1010" s="31">
        <f t="shared" si="473"/>
        <v>3.75</v>
      </c>
      <c r="BE1010" s="219">
        <f t="shared" si="474"/>
        <v>3.1875</v>
      </c>
      <c r="BF1010" s="31">
        <f t="shared" si="475"/>
        <v>0</v>
      </c>
      <c r="BG1010" s="219">
        <f t="shared" si="476"/>
        <v>0</v>
      </c>
      <c r="BH1010" s="31">
        <f t="shared" si="477"/>
        <v>0</v>
      </c>
      <c r="BI1010" s="219">
        <f t="shared" si="478"/>
        <v>0</v>
      </c>
      <c r="BJ1010" s="31">
        <f t="shared" si="479"/>
        <v>0</v>
      </c>
      <c r="BK1010" s="219">
        <f t="shared" si="480"/>
        <v>0</v>
      </c>
      <c r="BL1010" s="31">
        <f t="shared" si="481"/>
        <v>0</v>
      </c>
      <c r="BM1010" s="219">
        <f t="shared" si="482"/>
        <v>0</v>
      </c>
      <c r="BN1010" s="31">
        <f t="shared" si="483"/>
        <v>0</v>
      </c>
      <c r="BO1010" s="219">
        <f t="shared" si="484"/>
        <v>0</v>
      </c>
    </row>
    <row r="1011" spans="1:67" x14ac:dyDescent="0.25">
      <c r="A1011" s="31" t="s">
        <v>1315</v>
      </c>
      <c r="B1011" s="176" t="str">
        <f>VLOOKUP(A1011,kurspris!$A$1:$B$992,2,FALSE)</f>
        <v>Teorier, modeller och metoder för vägledning och dess praktik</v>
      </c>
      <c r="D1011" s="60" t="s">
        <v>85</v>
      </c>
      <c r="E1011" s="576" t="s">
        <v>2434</v>
      </c>
      <c r="F1011" s="31" t="s">
        <v>2273</v>
      </c>
      <c r="G1011" s="31" t="s">
        <v>2460</v>
      </c>
      <c r="H1011" s="31" t="s">
        <v>2335</v>
      </c>
      <c r="I1011" s="31" t="s">
        <v>624</v>
      </c>
      <c r="L1011" s="38">
        <v>1</v>
      </c>
      <c r="M1011" s="325">
        <v>20</v>
      </c>
      <c r="P1011" s="31">
        <v>1</v>
      </c>
      <c r="Q1011" s="196">
        <f t="shared" ref="Q1011:Q1021" si="486">(M1011/60)*P1011</f>
        <v>0.33333333333333331</v>
      </c>
      <c r="R1011" s="38">
        <v>0.85</v>
      </c>
      <c r="S1011" s="280">
        <f t="shared" si="457"/>
        <v>0.28333333333333333</v>
      </c>
      <c r="T1011" s="31">
        <f>VLOOKUP(A1011,'Ansvar kurs'!$A$1:$C$1123,2,FALSE)</f>
        <v>2193</v>
      </c>
      <c r="U1011" s="31" t="str">
        <f>VLOOKUP(T1011,Orgenheter!$A$1:$C$166,2,FALSE)</f>
        <v xml:space="preserve">TUV </v>
      </c>
      <c r="V1011" s="31" t="str">
        <f>VLOOKUP(T1011,Orgenheter!$A$1:$C$166,3,FALSE)</f>
        <v>Sam</v>
      </c>
      <c r="W1011" s="35" t="str">
        <f>VLOOKUP(D1011,Program!$A$1:$B$36,2,FALSE)</f>
        <v>Studie- och yrkesvägledarprogram</v>
      </c>
      <c r="X1011" s="40">
        <f>VLOOKUP(A1011,kurspris!$A$1:$Q$913,15,FALSE)</f>
        <v>29464.050000000003</v>
      </c>
      <c r="Y1011" s="40">
        <f>VLOOKUP(A1011,kurspris!$A$1:$Q$913,16,FALSE)</f>
        <v>27322.200000000004</v>
      </c>
      <c r="Z1011" s="40">
        <f t="shared" si="458"/>
        <v>17562.64</v>
      </c>
      <c r="AA1011" s="40">
        <f>VLOOKUP(A1011,kurspris!$A$1:$Q$913,17,FALSE)</f>
        <v>6000</v>
      </c>
      <c r="AB1011" s="40">
        <f t="shared" si="459"/>
        <v>2000</v>
      </c>
      <c r="AC1011" s="40">
        <f t="shared" si="460"/>
        <v>19562.64</v>
      </c>
      <c r="AD1011" s="31">
        <f>VLOOKUP($A1011,kurspris!$A$1:$Q$950,3,FALSE)</f>
        <v>0</v>
      </c>
      <c r="AE1011" s="31">
        <f>VLOOKUP($A1011,kurspris!$A$1:$Q$950,4,FALSE)</f>
        <v>0</v>
      </c>
      <c r="AF1011" s="31">
        <f>VLOOKUP($A1011,kurspris!$A$1:$Q$950,5,FALSE)</f>
        <v>0</v>
      </c>
      <c r="AG1011" s="31">
        <f>VLOOKUP($A1011,kurspris!$A$1:$Q$950,6,FALSE)</f>
        <v>0</v>
      </c>
      <c r="AH1011" s="31">
        <f>VLOOKUP($A1011,kurspris!$A$1:$Q$950,7,FALSE)</f>
        <v>0</v>
      </c>
      <c r="AI1011" s="31">
        <f>VLOOKUP($A1011,kurspris!$A$1:$Q$950,8,FALSE)</f>
        <v>0</v>
      </c>
      <c r="AJ1011" s="31">
        <f>VLOOKUP($A1011,kurspris!$A$1:$Q$950,9,FALSE)</f>
        <v>0.55000000000000004</v>
      </c>
      <c r="AK1011" s="31">
        <f>VLOOKUP($A1011,kurspris!$A$1:$Q$950,10,FALSE)</f>
        <v>0</v>
      </c>
      <c r="AL1011" s="31">
        <f>VLOOKUP($A1011,kurspris!$A$1:$Q$950,11,FALSE)</f>
        <v>0</v>
      </c>
      <c r="AM1011" s="31">
        <f>VLOOKUP($A1011,kurspris!$A$1:$Q$950,12,FALSE)</f>
        <v>0</v>
      </c>
      <c r="AN1011" s="31">
        <f>VLOOKUP($A1011,kurspris!$A$1:$Q$950,13,FALSE)</f>
        <v>0</v>
      </c>
      <c r="AO1011" s="31">
        <f>VLOOKUP($A1011,kurspris!$A$1:$Q$950,14,FALSE)</f>
        <v>0.45</v>
      </c>
      <c r="AP1011" s="57" t="s">
        <v>2506</v>
      </c>
      <c r="AQ1011"/>
      <c r="AR1011" s="31">
        <f t="shared" si="461"/>
        <v>0</v>
      </c>
      <c r="AS1011" s="219">
        <f t="shared" si="462"/>
        <v>0</v>
      </c>
      <c r="AT1011" s="31">
        <f t="shared" si="463"/>
        <v>0</v>
      </c>
      <c r="AU1011" s="219">
        <f t="shared" si="464"/>
        <v>0</v>
      </c>
      <c r="AV1011" s="31">
        <f t="shared" si="465"/>
        <v>0</v>
      </c>
      <c r="AW1011" s="31">
        <f t="shared" si="466"/>
        <v>0</v>
      </c>
      <c r="AX1011" s="31">
        <f t="shared" si="467"/>
        <v>0</v>
      </c>
      <c r="AY1011" s="219">
        <f t="shared" si="468"/>
        <v>0</v>
      </c>
      <c r="AZ1011" s="196">
        <f t="shared" si="469"/>
        <v>0</v>
      </c>
      <c r="BA1011" s="219">
        <f t="shared" si="470"/>
        <v>0</v>
      </c>
      <c r="BB1011" s="31">
        <f t="shared" si="471"/>
        <v>0</v>
      </c>
      <c r="BC1011" s="219">
        <f t="shared" si="472"/>
        <v>0</v>
      </c>
      <c r="BD1011" s="31">
        <f t="shared" si="473"/>
        <v>0.18333333333333335</v>
      </c>
      <c r="BE1011" s="219">
        <f t="shared" si="474"/>
        <v>0.15583333333333335</v>
      </c>
      <c r="BF1011" s="31">
        <f t="shared" si="475"/>
        <v>0</v>
      </c>
      <c r="BG1011" s="219">
        <f t="shared" si="476"/>
        <v>0</v>
      </c>
      <c r="BH1011" s="31">
        <f t="shared" si="477"/>
        <v>0</v>
      </c>
      <c r="BI1011" s="219">
        <f t="shared" si="478"/>
        <v>0</v>
      </c>
      <c r="BJ1011" s="31">
        <f t="shared" si="479"/>
        <v>0</v>
      </c>
      <c r="BK1011" s="219">
        <f t="shared" si="480"/>
        <v>0</v>
      </c>
      <c r="BL1011" s="31">
        <f t="shared" si="481"/>
        <v>0</v>
      </c>
      <c r="BM1011" s="219">
        <f t="shared" si="482"/>
        <v>0</v>
      </c>
      <c r="BN1011" s="31">
        <f t="shared" si="483"/>
        <v>0.15</v>
      </c>
      <c r="BO1011" s="219">
        <f t="shared" si="484"/>
        <v>0.1275</v>
      </c>
    </row>
    <row r="1012" spans="1:67" x14ac:dyDescent="0.25">
      <c r="A1012" s="31" t="s">
        <v>1315</v>
      </c>
      <c r="B1012" s="176" t="str">
        <f>VLOOKUP(A1012,kurspris!$A$1:$B$992,2,FALSE)</f>
        <v>Teorier, modeller och metoder för vägledning och dess praktik</v>
      </c>
      <c r="D1012" s="60" t="s">
        <v>85</v>
      </c>
      <c r="E1012" s="576" t="s">
        <v>2432</v>
      </c>
      <c r="F1012" s="31" t="s">
        <v>2273</v>
      </c>
      <c r="G1012" s="31" t="s">
        <v>2460</v>
      </c>
      <c r="H1012" s="31" t="s">
        <v>2335</v>
      </c>
      <c r="I1012" s="31" t="s">
        <v>624</v>
      </c>
      <c r="L1012" s="38">
        <v>1</v>
      </c>
      <c r="M1012" s="325">
        <v>20</v>
      </c>
      <c r="P1012" s="31">
        <v>21</v>
      </c>
      <c r="Q1012" s="196">
        <f t="shared" si="486"/>
        <v>7</v>
      </c>
      <c r="R1012" s="38">
        <v>0.85</v>
      </c>
      <c r="S1012" s="280">
        <f t="shared" si="457"/>
        <v>5.95</v>
      </c>
      <c r="T1012" s="31">
        <f>VLOOKUP(A1012,'Ansvar kurs'!$A$1:$C$1123,2,FALSE)</f>
        <v>2193</v>
      </c>
      <c r="U1012" s="31" t="str">
        <f>VLOOKUP(T1012,Orgenheter!$A$1:$C$166,2,FALSE)</f>
        <v xml:space="preserve">TUV </v>
      </c>
      <c r="V1012" s="31" t="str">
        <f>VLOOKUP(T1012,Orgenheter!$A$1:$C$166,3,FALSE)</f>
        <v>Sam</v>
      </c>
      <c r="W1012" s="35" t="str">
        <f>VLOOKUP(D1012,Program!$A$1:$B$36,2,FALSE)</f>
        <v>Studie- och yrkesvägledarprogram</v>
      </c>
      <c r="X1012" s="40">
        <f>VLOOKUP(A1012,kurspris!$A$1:$Q$913,15,FALSE)</f>
        <v>29464.050000000003</v>
      </c>
      <c r="Y1012" s="40">
        <f>VLOOKUP(A1012,kurspris!$A$1:$Q$913,16,FALSE)</f>
        <v>27322.200000000004</v>
      </c>
      <c r="Z1012" s="40">
        <f t="shared" si="458"/>
        <v>368815.44000000006</v>
      </c>
      <c r="AA1012" s="40">
        <f>VLOOKUP(A1012,kurspris!$A$1:$Q$913,17,FALSE)</f>
        <v>6000</v>
      </c>
      <c r="AB1012" s="40">
        <f t="shared" si="459"/>
        <v>42000</v>
      </c>
      <c r="AC1012" s="40">
        <f t="shared" si="460"/>
        <v>410815.44000000006</v>
      </c>
      <c r="AD1012" s="31">
        <f>VLOOKUP($A1012,kurspris!$A$1:$Q$950,3,FALSE)</f>
        <v>0</v>
      </c>
      <c r="AE1012" s="31">
        <f>VLOOKUP($A1012,kurspris!$A$1:$Q$950,4,FALSE)</f>
        <v>0</v>
      </c>
      <c r="AF1012" s="31">
        <f>VLOOKUP($A1012,kurspris!$A$1:$Q$950,5,FALSE)</f>
        <v>0</v>
      </c>
      <c r="AG1012" s="31">
        <f>VLOOKUP($A1012,kurspris!$A$1:$Q$950,6,FALSE)</f>
        <v>0</v>
      </c>
      <c r="AH1012" s="31">
        <f>VLOOKUP($A1012,kurspris!$A$1:$Q$950,7,FALSE)</f>
        <v>0</v>
      </c>
      <c r="AI1012" s="31">
        <f>VLOOKUP($A1012,kurspris!$A$1:$Q$950,8,FALSE)</f>
        <v>0</v>
      </c>
      <c r="AJ1012" s="31">
        <f>VLOOKUP($A1012,kurspris!$A$1:$Q$950,9,FALSE)</f>
        <v>0.55000000000000004</v>
      </c>
      <c r="AK1012" s="31">
        <f>VLOOKUP($A1012,kurspris!$A$1:$Q$950,10,FALSE)</f>
        <v>0</v>
      </c>
      <c r="AL1012" s="31">
        <f>VLOOKUP($A1012,kurspris!$A$1:$Q$950,11,FALSE)</f>
        <v>0</v>
      </c>
      <c r="AM1012" s="31">
        <f>VLOOKUP($A1012,kurspris!$A$1:$Q$950,12,FALSE)</f>
        <v>0</v>
      </c>
      <c r="AN1012" s="31">
        <f>VLOOKUP($A1012,kurspris!$A$1:$Q$950,13,FALSE)</f>
        <v>0</v>
      </c>
      <c r="AO1012" s="31">
        <f>VLOOKUP($A1012,kurspris!$A$1:$Q$950,14,FALSE)</f>
        <v>0.45</v>
      </c>
      <c r="AP1012" s="57" t="s">
        <v>2506</v>
      </c>
      <c r="AQ1012"/>
      <c r="AR1012" s="31">
        <f t="shared" si="461"/>
        <v>0</v>
      </c>
      <c r="AS1012" s="219">
        <f t="shared" si="462"/>
        <v>0</v>
      </c>
      <c r="AT1012" s="31">
        <f t="shared" si="463"/>
        <v>0</v>
      </c>
      <c r="AU1012" s="219">
        <f t="shared" si="464"/>
        <v>0</v>
      </c>
      <c r="AV1012" s="31">
        <f t="shared" si="465"/>
        <v>0</v>
      </c>
      <c r="AW1012" s="31">
        <f t="shared" si="466"/>
        <v>0</v>
      </c>
      <c r="AX1012" s="31">
        <f t="shared" si="467"/>
        <v>0</v>
      </c>
      <c r="AY1012" s="219">
        <f t="shared" si="468"/>
        <v>0</v>
      </c>
      <c r="AZ1012" s="196">
        <f t="shared" si="469"/>
        <v>0</v>
      </c>
      <c r="BA1012" s="219">
        <f t="shared" si="470"/>
        <v>0</v>
      </c>
      <c r="BB1012" s="31">
        <f t="shared" si="471"/>
        <v>0</v>
      </c>
      <c r="BC1012" s="219">
        <f t="shared" si="472"/>
        <v>0</v>
      </c>
      <c r="BD1012" s="31">
        <f t="shared" si="473"/>
        <v>3.8500000000000005</v>
      </c>
      <c r="BE1012" s="219">
        <f t="shared" si="474"/>
        <v>3.2725000000000004</v>
      </c>
      <c r="BF1012" s="31">
        <f t="shared" si="475"/>
        <v>0</v>
      </c>
      <c r="BG1012" s="219">
        <f t="shared" si="476"/>
        <v>0</v>
      </c>
      <c r="BH1012" s="31">
        <f t="shared" si="477"/>
        <v>0</v>
      </c>
      <c r="BI1012" s="219">
        <f t="shared" si="478"/>
        <v>0</v>
      </c>
      <c r="BJ1012" s="31">
        <f t="shared" si="479"/>
        <v>0</v>
      </c>
      <c r="BK1012" s="219">
        <f t="shared" si="480"/>
        <v>0</v>
      </c>
      <c r="BL1012" s="31">
        <f t="shared" si="481"/>
        <v>0</v>
      </c>
      <c r="BM1012" s="219">
        <f t="shared" si="482"/>
        <v>0</v>
      </c>
      <c r="BN1012" s="31">
        <f t="shared" si="483"/>
        <v>3.15</v>
      </c>
      <c r="BO1012" s="219">
        <f t="shared" si="484"/>
        <v>2.6775000000000002</v>
      </c>
    </row>
    <row r="1013" spans="1:67" x14ac:dyDescent="0.25">
      <c r="A1013" s="31" t="s">
        <v>1315</v>
      </c>
      <c r="B1013" s="176" t="str">
        <f>VLOOKUP(A1013,kurspris!$A$1:$B$992,2,FALSE)</f>
        <v>Teorier, modeller och metoder för vägledning och dess praktik</v>
      </c>
      <c r="D1013" s="60" t="s">
        <v>85</v>
      </c>
      <c r="E1013" s="576" t="s">
        <v>2432</v>
      </c>
      <c r="F1013" s="31" t="s">
        <v>2273</v>
      </c>
      <c r="G1013" s="31" t="s">
        <v>2460</v>
      </c>
      <c r="H1013" s="31" t="s">
        <v>2335</v>
      </c>
      <c r="I1013" s="31" t="s">
        <v>1500</v>
      </c>
      <c r="L1013" s="38">
        <v>1</v>
      </c>
      <c r="M1013" s="325">
        <v>20</v>
      </c>
      <c r="P1013" s="31">
        <v>21</v>
      </c>
      <c r="Q1013" s="196">
        <f t="shared" si="486"/>
        <v>7</v>
      </c>
      <c r="R1013" s="38">
        <v>0.85</v>
      </c>
      <c r="S1013" s="280">
        <f t="shared" si="457"/>
        <v>5.95</v>
      </c>
      <c r="T1013" s="31">
        <f>VLOOKUP(A1013,'Ansvar kurs'!$A$1:$C$1123,2,FALSE)</f>
        <v>2193</v>
      </c>
      <c r="U1013" s="31" t="str">
        <f>VLOOKUP(T1013,Orgenheter!$A$1:$C$166,2,FALSE)</f>
        <v xml:space="preserve">TUV </v>
      </c>
      <c r="V1013" s="31" t="str">
        <f>VLOOKUP(T1013,Orgenheter!$A$1:$C$166,3,FALSE)</f>
        <v>Sam</v>
      </c>
      <c r="W1013" s="35" t="str">
        <f>VLOOKUP(D1013,Program!$A$1:$B$36,2,FALSE)</f>
        <v>Studie- och yrkesvägledarprogram</v>
      </c>
      <c r="X1013" s="40">
        <f>VLOOKUP(A1013,kurspris!$A$1:$Q$913,15,FALSE)</f>
        <v>29464.050000000003</v>
      </c>
      <c r="Y1013" s="40">
        <f>VLOOKUP(A1013,kurspris!$A$1:$Q$913,16,FALSE)</f>
        <v>27322.200000000004</v>
      </c>
      <c r="Z1013" s="40">
        <f t="shared" si="458"/>
        <v>368815.44000000006</v>
      </c>
      <c r="AA1013" s="40">
        <f>VLOOKUP(A1013,kurspris!$A$1:$Q$913,17,FALSE)</f>
        <v>6000</v>
      </c>
      <c r="AB1013" s="40">
        <f t="shared" si="459"/>
        <v>42000</v>
      </c>
      <c r="AC1013" s="40">
        <f t="shared" si="460"/>
        <v>410815.44000000006</v>
      </c>
      <c r="AD1013" s="31">
        <f>VLOOKUP($A1013,kurspris!$A$1:$Q$950,3,FALSE)</f>
        <v>0</v>
      </c>
      <c r="AE1013" s="31">
        <f>VLOOKUP($A1013,kurspris!$A$1:$Q$950,4,FALSE)</f>
        <v>0</v>
      </c>
      <c r="AF1013" s="31">
        <f>VLOOKUP($A1013,kurspris!$A$1:$Q$950,5,FALSE)</f>
        <v>0</v>
      </c>
      <c r="AG1013" s="31">
        <f>VLOOKUP($A1013,kurspris!$A$1:$Q$950,6,FALSE)</f>
        <v>0</v>
      </c>
      <c r="AH1013" s="31">
        <f>VLOOKUP($A1013,kurspris!$A$1:$Q$950,7,FALSE)</f>
        <v>0</v>
      </c>
      <c r="AI1013" s="31">
        <f>VLOOKUP($A1013,kurspris!$A$1:$Q$950,8,FALSE)</f>
        <v>0</v>
      </c>
      <c r="AJ1013" s="31">
        <f>VLOOKUP($A1013,kurspris!$A$1:$Q$950,9,FALSE)</f>
        <v>0.55000000000000004</v>
      </c>
      <c r="AK1013" s="31">
        <f>VLOOKUP($A1013,kurspris!$A$1:$Q$950,10,FALSE)</f>
        <v>0</v>
      </c>
      <c r="AL1013" s="31">
        <f>VLOOKUP($A1013,kurspris!$A$1:$Q$950,11,FALSE)</f>
        <v>0</v>
      </c>
      <c r="AM1013" s="31">
        <f>VLOOKUP($A1013,kurspris!$A$1:$Q$950,12,FALSE)</f>
        <v>0</v>
      </c>
      <c r="AN1013" s="31">
        <f>VLOOKUP($A1013,kurspris!$A$1:$Q$950,13,FALSE)</f>
        <v>0</v>
      </c>
      <c r="AO1013" s="31">
        <f>VLOOKUP($A1013,kurspris!$A$1:$Q$950,14,FALSE)</f>
        <v>0.45</v>
      </c>
      <c r="AP1013" s="57" t="s">
        <v>2506</v>
      </c>
      <c r="AQ1013"/>
      <c r="AR1013" s="31">
        <f t="shared" si="461"/>
        <v>0</v>
      </c>
      <c r="AS1013" s="219">
        <f t="shared" si="462"/>
        <v>0</v>
      </c>
      <c r="AT1013" s="31">
        <f t="shared" si="463"/>
        <v>0</v>
      </c>
      <c r="AU1013" s="219">
        <f t="shared" si="464"/>
        <v>0</v>
      </c>
      <c r="AV1013" s="31">
        <f t="shared" si="465"/>
        <v>0</v>
      </c>
      <c r="AW1013" s="31">
        <f t="shared" si="466"/>
        <v>0</v>
      </c>
      <c r="AX1013" s="31">
        <f t="shared" si="467"/>
        <v>0</v>
      </c>
      <c r="AY1013" s="219">
        <f t="shared" si="468"/>
        <v>0</v>
      </c>
      <c r="AZ1013" s="196">
        <f t="shared" si="469"/>
        <v>0</v>
      </c>
      <c r="BA1013" s="219">
        <f t="shared" si="470"/>
        <v>0</v>
      </c>
      <c r="BB1013" s="31">
        <f t="shared" si="471"/>
        <v>0</v>
      </c>
      <c r="BC1013" s="219">
        <f t="shared" si="472"/>
        <v>0</v>
      </c>
      <c r="BD1013" s="31">
        <f t="shared" si="473"/>
        <v>3.8500000000000005</v>
      </c>
      <c r="BE1013" s="219">
        <f t="shared" si="474"/>
        <v>3.2725000000000004</v>
      </c>
      <c r="BF1013" s="31">
        <f t="shared" si="475"/>
        <v>0</v>
      </c>
      <c r="BG1013" s="219">
        <f t="shared" si="476"/>
        <v>0</v>
      </c>
      <c r="BH1013" s="31">
        <f t="shared" si="477"/>
        <v>0</v>
      </c>
      <c r="BI1013" s="219">
        <f t="shared" si="478"/>
        <v>0</v>
      </c>
      <c r="BJ1013" s="31">
        <f t="shared" si="479"/>
        <v>0</v>
      </c>
      <c r="BK1013" s="219">
        <f t="shared" si="480"/>
        <v>0</v>
      </c>
      <c r="BL1013" s="31">
        <f t="shared" si="481"/>
        <v>0</v>
      </c>
      <c r="BM1013" s="219">
        <f t="shared" si="482"/>
        <v>0</v>
      </c>
      <c r="BN1013" s="31">
        <f t="shared" si="483"/>
        <v>3.15</v>
      </c>
      <c r="BO1013" s="219">
        <f t="shared" si="484"/>
        <v>2.6775000000000002</v>
      </c>
    </row>
    <row r="1014" spans="1:67" x14ac:dyDescent="0.25">
      <c r="A1014" s="31" t="s">
        <v>1315</v>
      </c>
      <c r="B1014" s="176" t="str">
        <f>VLOOKUP(A1014,kurspris!$A$1:$B$992,2,FALSE)</f>
        <v>Teorier, modeller och metoder för vägledning och dess praktik</v>
      </c>
      <c r="D1014" s="60" t="s">
        <v>85</v>
      </c>
      <c r="E1014" s="576" t="s">
        <v>2436</v>
      </c>
      <c r="F1014" s="31" t="s">
        <v>2273</v>
      </c>
      <c r="G1014" s="31" t="s">
        <v>2460</v>
      </c>
      <c r="H1014" s="31" t="s">
        <v>2335</v>
      </c>
      <c r="I1014" s="31" t="s">
        <v>1500</v>
      </c>
      <c r="L1014" s="38">
        <v>1</v>
      </c>
      <c r="M1014" s="325">
        <v>20</v>
      </c>
      <c r="P1014" s="31">
        <v>1</v>
      </c>
      <c r="Q1014" s="196">
        <f t="shared" si="486"/>
        <v>0.33333333333333331</v>
      </c>
      <c r="R1014" s="38">
        <v>0.85</v>
      </c>
      <c r="S1014" s="280">
        <f t="shared" si="457"/>
        <v>0.28333333333333333</v>
      </c>
      <c r="T1014" s="31">
        <f>VLOOKUP(A1014,'Ansvar kurs'!$A$1:$C$1123,2,FALSE)</f>
        <v>2193</v>
      </c>
      <c r="U1014" s="31" t="str">
        <f>VLOOKUP(T1014,Orgenheter!$A$1:$C$166,2,FALSE)</f>
        <v xml:space="preserve">TUV </v>
      </c>
      <c r="V1014" s="31" t="str">
        <f>VLOOKUP(T1014,Orgenheter!$A$1:$C$166,3,FALSE)</f>
        <v>Sam</v>
      </c>
      <c r="W1014" s="35" t="str">
        <f>VLOOKUP(D1014,Program!$A$1:$B$36,2,FALSE)</f>
        <v>Studie- och yrkesvägledarprogram</v>
      </c>
      <c r="X1014" s="40">
        <f>VLOOKUP(A1014,kurspris!$A$1:$Q$913,15,FALSE)</f>
        <v>29464.050000000003</v>
      </c>
      <c r="Y1014" s="40">
        <f>VLOOKUP(A1014,kurspris!$A$1:$Q$913,16,FALSE)</f>
        <v>27322.200000000004</v>
      </c>
      <c r="Z1014" s="40">
        <f t="shared" si="458"/>
        <v>17562.64</v>
      </c>
      <c r="AA1014" s="40">
        <f>VLOOKUP(A1014,kurspris!$A$1:$Q$913,17,FALSE)</f>
        <v>6000</v>
      </c>
      <c r="AB1014" s="40">
        <f t="shared" si="459"/>
        <v>2000</v>
      </c>
      <c r="AC1014" s="40">
        <f t="shared" si="460"/>
        <v>19562.64</v>
      </c>
      <c r="AD1014" s="31">
        <f>VLOOKUP($A1014,kurspris!$A$1:$Q$950,3,FALSE)</f>
        <v>0</v>
      </c>
      <c r="AE1014" s="31">
        <f>VLOOKUP($A1014,kurspris!$A$1:$Q$950,4,FALSE)</f>
        <v>0</v>
      </c>
      <c r="AF1014" s="31">
        <f>VLOOKUP($A1014,kurspris!$A$1:$Q$950,5,FALSE)</f>
        <v>0</v>
      </c>
      <c r="AG1014" s="31">
        <f>VLOOKUP($A1014,kurspris!$A$1:$Q$950,6,FALSE)</f>
        <v>0</v>
      </c>
      <c r="AH1014" s="31">
        <f>VLOOKUP($A1014,kurspris!$A$1:$Q$950,7,FALSE)</f>
        <v>0</v>
      </c>
      <c r="AI1014" s="31">
        <f>VLOOKUP($A1014,kurspris!$A$1:$Q$950,8,FALSE)</f>
        <v>0</v>
      </c>
      <c r="AJ1014" s="31">
        <f>VLOOKUP($A1014,kurspris!$A$1:$Q$950,9,FALSE)</f>
        <v>0.55000000000000004</v>
      </c>
      <c r="AK1014" s="31">
        <f>VLOOKUP($A1014,kurspris!$A$1:$Q$950,10,FALSE)</f>
        <v>0</v>
      </c>
      <c r="AL1014" s="31">
        <f>VLOOKUP($A1014,kurspris!$A$1:$Q$950,11,FALSE)</f>
        <v>0</v>
      </c>
      <c r="AM1014" s="31">
        <f>VLOOKUP($A1014,kurspris!$A$1:$Q$950,12,FALSE)</f>
        <v>0</v>
      </c>
      <c r="AN1014" s="31">
        <f>VLOOKUP($A1014,kurspris!$A$1:$Q$950,13,FALSE)</f>
        <v>0</v>
      </c>
      <c r="AO1014" s="31">
        <f>VLOOKUP($A1014,kurspris!$A$1:$Q$950,14,FALSE)</f>
        <v>0.45</v>
      </c>
      <c r="AP1014" s="57" t="s">
        <v>2506</v>
      </c>
      <c r="AQ1014"/>
      <c r="AR1014" s="31">
        <f t="shared" si="461"/>
        <v>0</v>
      </c>
      <c r="AS1014" s="219">
        <f t="shared" si="462"/>
        <v>0</v>
      </c>
      <c r="AT1014" s="31">
        <f t="shared" si="463"/>
        <v>0</v>
      </c>
      <c r="AU1014" s="219">
        <f t="shared" si="464"/>
        <v>0</v>
      </c>
      <c r="AV1014" s="31">
        <f t="shared" si="465"/>
        <v>0</v>
      </c>
      <c r="AW1014" s="31">
        <f t="shared" si="466"/>
        <v>0</v>
      </c>
      <c r="AX1014" s="31">
        <f t="shared" si="467"/>
        <v>0</v>
      </c>
      <c r="AY1014" s="219">
        <f t="shared" si="468"/>
        <v>0</v>
      </c>
      <c r="AZ1014" s="196">
        <f t="shared" si="469"/>
        <v>0</v>
      </c>
      <c r="BA1014" s="219">
        <f t="shared" si="470"/>
        <v>0</v>
      </c>
      <c r="BB1014" s="31">
        <f t="shared" si="471"/>
        <v>0</v>
      </c>
      <c r="BC1014" s="219">
        <f t="shared" si="472"/>
        <v>0</v>
      </c>
      <c r="BD1014" s="31">
        <f t="shared" si="473"/>
        <v>0.18333333333333335</v>
      </c>
      <c r="BE1014" s="219">
        <f t="shared" si="474"/>
        <v>0.15583333333333335</v>
      </c>
      <c r="BF1014" s="31">
        <f t="shared" si="475"/>
        <v>0</v>
      </c>
      <c r="BG1014" s="219">
        <f t="shared" si="476"/>
        <v>0</v>
      </c>
      <c r="BH1014" s="31">
        <f t="shared" si="477"/>
        <v>0</v>
      </c>
      <c r="BI1014" s="219">
        <f t="shared" si="478"/>
        <v>0</v>
      </c>
      <c r="BJ1014" s="31">
        <f t="shared" si="479"/>
        <v>0</v>
      </c>
      <c r="BK1014" s="219">
        <f t="shared" si="480"/>
        <v>0</v>
      </c>
      <c r="BL1014" s="31">
        <f t="shared" si="481"/>
        <v>0</v>
      </c>
      <c r="BM1014" s="219">
        <f t="shared" si="482"/>
        <v>0</v>
      </c>
      <c r="BN1014" s="31">
        <f t="shared" si="483"/>
        <v>0.15</v>
      </c>
      <c r="BO1014" s="219">
        <f t="shared" si="484"/>
        <v>0.1275</v>
      </c>
    </row>
    <row r="1015" spans="1:67" x14ac:dyDescent="0.25">
      <c r="A1015" s="31" t="s">
        <v>2343</v>
      </c>
      <c r="B1015" s="176" t="str">
        <f>VLOOKUP(A1015,kurspris!$A$1:$B$992,2,FALSE)</f>
        <v>Beteendevetenskapliga grunder för karriärvägledning</v>
      </c>
      <c r="D1015" s="60" t="s">
        <v>85</v>
      </c>
      <c r="E1015" s="576" t="s">
        <v>2432</v>
      </c>
      <c r="F1015" s="31" t="s">
        <v>2273</v>
      </c>
      <c r="G1015" s="31" t="s">
        <v>2448</v>
      </c>
      <c r="H1015" s="31" t="s">
        <v>2335</v>
      </c>
      <c r="I1015" s="31" t="s">
        <v>624</v>
      </c>
      <c r="L1015" s="38">
        <v>1</v>
      </c>
      <c r="M1015" s="325">
        <v>5</v>
      </c>
      <c r="P1015" s="31">
        <v>21</v>
      </c>
      <c r="Q1015" s="196">
        <f t="shared" si="486"/>
        <v>1.75</v>
      </c>
      <c r="R1015" s="38">
        <v>0.85</v>
      </c>
      <c r="S1015" s="280">
        <f t="shared" si="457"/>
        <v>1.4875</v>
      </c>
      <c r="T1015" s="31">
        <f>VLOOKUP(A1015,'Ansvar kurs'!$A$1:$C$1123,2,FALSE)</f>
        <v>2193</v>
      </c>
      <c r="U1015" s="31" t="str">
        <f>VLOOKUP(T1015,Orgenheter!$A$1:$C$166,2,FALSE)</f>
        <v xml:space="preserve">TUV </v>
      </c>
      <c r="V1015" s="31" t="str">
        <f>VLOOKUP(T1015,Orgenheter!$A$1:$C$166,3,FALSE)</f>
        <v>Sam</v>
      </c>
      <c r="W1015" s="35" t="str">
        <f>VLOOKUP(D1015,Program!$A$1:$B$36,2,FALSE)</f>
        <v>Studie- och yrkesvägledarprogram</v>
      </c>
      <c r="X1015" s="40">
        <f>VLOOKUP(A1015,kurspris!$A$1:$Q$913,15,FALSE)</f>
        <v>20766</v>
      </c>
      <c r="Y1015" s="40">
        <f>VLOOKUP(A1015,kurspris!$A$1:$Q$913,16,FALSE)</f>
        <v>17442</v>
      </c>
      <c r="Z1015" s="40">
        <f t="shared" si="458"/>
        <v>62285.475000000006</v>
      </c>
      <c r="AA1015" s="40">
        <f>VLOOKUP(A1015,kurspris!$A$1:$Q$913,17,FALSE)</f>
        <v>6000</v>
      </c>
      <c r="AB1015" s="40">
        <f t="shared" si="459"/>
        <v>10500</v>
      </c>
      <c r="AC1015" s="40">
        <f t="shared" si="460"/>
        <v>72785.475000000006</v>
      </c>
      <c r="AD1015" s="31">
        <f>VLOOKUP($A1015,kurspris!$A$1:$Q$950,3,FALSE)</f>
        <v>0</v>
      </c>
      <c r="AE1015" s="31">
        <f>VLOOKUP($A1015,kurspris!$A$1:$Q$950,4,FALSE)</f>
        <v>0</v>
      </c>
      <c r="AF1015" s="31">
        <f>VLOOKUP($A1015,kurspris!$A$1:$Q$950,5,FALSE)</f>
        <v>0</v>
      </c>
      <c r="AG1015" s="31">
        <f>VLOOKUP($A1015,kurspris!$A$1:$Q$950,6,FALSE)</f>
        <v>0</v>
      </c>
      <c r="AH1015" s="31">
        <f>VLOOKUP($A1015,kurspris!$A$1:$Q$950,7,FALSE)</f>
        <v>0</v>
      </c>
      <c r="AI1015" s="31">
        <f>VLOOKUP($A1015,kurspris!$A$1:$Q$950,8,FALSE)</f>
        <v>0</v>
      </c>
      <c r="AJ1015" s="31">
        <f>VLOOKUP($A1015,kurspris!$A$1:$Q$950,9,FALSE)</f>
        <v>1</v>
      </c>
      <c r="AK1015" s="31">
        <f>VLOOKUP($A1015,kurspris!$A$1:$Q$950,10,FALSE)</f>
        <v>0</v>
      </c>
      <c r="AL1015" s="31">
        <f>VLOOKUP($A1015,kurspris!$A$1:$Q$950,11,FALSE)</f>
        <v>0</v>
      </c>
      <c r="AM1015" s="31">
        <f>VLOOKUP($A1015,kurspris!$A$1:$Q$950,12,FALSE)</f>
        <v>0</v>
      </c>
      <c r="AN1015" s="31">
        <f>VLOOKUP($A1015,kurspris!$A$1:$Q$950,13,FALSE)</f>
        <v>0</v>
      </c>
      <c r="AO1015" s="31">
        <f>VLOOKUP($A1015,kurspris!$A$1:$Q$950,14,FALSE)</f>
        <v>0</v>
      </c>
      <c r="AP1015" s="57" t="s">
        <v>2506</v>
      </c>
      <c r="AQ1015"/>
      <c r="AR1015" s="31">
        <f t="shared" si="461"/>
        <v>0</v>
      </c>
      <c r="AS1015" s="219">
        <f t="shared" si="462"/>
        <v>0</v>
      </c>
      <c r="AT1015" s="31">
        <f t="shared" si="463"/>
        <v>0</v>
      </c>
      <c r="AU1015" s="219">
        <f t="shared" si="464"/>
        <v>0</v>
      </c>
      <c r="AV1015" s="31">
        <f t="shared" si="465"/>
        <v>0</v>
      </c>
      <c r="AW1015" s="31">
        <f t="shared" si="466"/>
        <v>0</v>
      </c>
      <c r="AX1015" s="31">
        <f t="shared" si="467"/>
        <v>0</v>
      </c>
      <c r="AY1015" s="219">
        <f t="shared" si="468"/>
        <v>0</v>
      </c>
      <c r="AZ1015" s="196">
        <f t="shared" si="469"/>
        <v>0</v>
      </c>
      <c r="BA1015" s="219">
        <f t="shared" si="470"/>
        <v>0</v>
      </c>
      <c r="BB1015" s="31">
        <f t="shared" si="471"/>
        <v>0</v>
      </c>
      <c r="BC1015" s="219">
        <f t="shared" si="472"/>
        <v>0</v>
      </c>
      <c r="BD1015" s="31">
        <f t="shared" si="473"/>
        <v>1.75</v>
      </c>
      <c r="BE1015" s="219">
        <f t="shared" si="474"/>
        <v>1.4875</v>
      </c>
      <c r="BF1015" s="31">
        <f t="shared" si="475"/>
        <v>0</v>
      </c>
      <c r="BG1015" s="219">
        <f t="shared" si="476"/>
        <v>0</v>
      </c>
      <c r="BH1015" s="31">
        <f t="shared" si="477"/>
        <v>0</v>
      </c>
      <c r="BI1015" s="219">
        <f t="shared" si="478"/>
        <v>0</v>
      </c>
      <c r="BJ1015" s="31">
        <f t="shared" si="479"/>
        <v>0</v>
      </c>
      <c r="BK1015" s="219">
        <f t="shared" si="480"/>
        <v>0</v>
      </c>
      <c r="BL1015" s="31">
        <f t="shared" si="481"/>
        <v>0</v>
      </c>
      <c r="BM1015" s="219">
        <f t="shared" si="482"/>
        <v>0</v>
      </c>
      <c r="BN1015" s="31">
        <f t="shared" si="483"/>
        <v>0</v>
      </c>
      <c r="BO1015" s="219">
        <f t="shared" si="484"/>
        <v>0</v>
      </c>
    </row>
    <row r="1016" spans="1:67" x14ac:dyDescent="0.25">
      <c r="A1016" s="31" t="s">
        <v>2343</v>
      </c>
      <c r="B1016" s="176" t="str">
        <f>VLOOKUP(A1016,kurspris!$A$1:$B$992,2,FALSE)</f>
        <v>Beteendevetenskapliga grunder för karriärvägledning</v>
      </c>
      <c r="D1016" s="60" t="s">
        <v>85</v>
      </c>
      <c r="E1016" s="576" t="s">
        <v>2432</v>
      </c>
      <c r="F1016" s="31" t="s">
        <v>2273</v>
      </c>
      <c r="G1016" s="31" t="s">
        <v>2448</v>
      </c>
      <c r="H1016" s="31" t="s">
        <v>2335</v>
      </c>
      <c r="I1016" s="31" t="s">
        <v>1500</v>
      </c>
      <c r="L1016" s="38">
        <v>1</v>
      </c>
      <c r="M1016" s="325">
        <v>5</v>
      </c>
      <c r="P1016" s="31">
        <v>21</v>
      </c>
      <c r="Q1016" s="196">
        <f t="shared" si="486"/>
        <v>1.75</v>
      </c>
      <c r="R1016" s="38">
        <v>0.85</v>
      </c>
      <c r="S1016" s="280">
        <f t="shared" si="457"/>
        <v>1.4875</v>
      </c>
      <c r="T1016" s="31">
        <f>VLOOKUP(A1016,'Ansvar kurs'!$A$1:$C$1123,2,FALSE)</f>
        <v>2193</v>
      </c>
      <c r="U1016" s="31" t="str">
        <f>VLOOKUP(T1016,Orgenheter!$A$1:$C$166,2,FALSE)</f>
        <v xml:space="preserve">TUV </v>
      </c>
      <c r="V1016" s="31" t="str">
        <f>VLOOKUP(T1016,Orgenheter!$A$1:$C$166,3,FALSE)</f>
        <v>Sam</v>
      </c>
      <c r="W1016" s="35" t="str">
        <f>VLOOKUP(D1016,Program!$A$1:$B$36,2,FALSE)</f>
        <v>Studie- och yrkesvägledarprogram</v>
      </c>
      <c r="X1016" s="40">
        <f>VLOOKUP(A1016,kurspris!$A$1:$Q$913,15,FALSE)</f>
        <v>20766</v>
      </c>
      <c r="Y1016" s="40">
        <f>VLOOKUP(A1016,kurspris!$A$1:$Q$913,16,FALSE)</f>
        <v>17442</v>
      </c>
      <c r="Z1016" s="40">
        <f t="shared" si="458"/>
        <v>62285.475000000006</v>
      </c>
      <c r="AA1016" s="40">
        <f>VLOOKUP(A1016,kurspris!$A$1:$Q$913,17,FALSE)</f>
        <v>6000</v>
      </c>
      <c r="AB1016" s="40">
        <f t="shared" si="459"/>
        <v>10500</v>
      </c>
      <c r="AC1016" s="40">
        <f t="shared" si="460"/>
        <v>72785.475000000006</v>
      </c>
      <c r="AD1016" s="31">
        <f>VLOOKUP($A1016,kurspris!$A$1:$Q$950,3,FALSE)</f>
        <v>0</v>
      </c>
      <c r="AE1016" s="31">
        <f>VLOOKUP($A1016,kurspris!$A$1:$Q$950,4,FALSE)</f>
        <v>0</v>
      </c>
      <c r="AF1016" s="31">
        <f>VLOOKUP($A1016,kurspris!$A$1:$Q$950,5,FALSE)</f>
        <v>0</v>
      </c>
      <c r="AG1016" s="31">
        <f>VLOOKUP($A1016,kurspris!$A$1:$Q$950,6,FALSE)</f>
        <v>0</v>
      </c>
      <c r="AH1016" s="31">
        <f>VLOOKUP($A1016,kurspris!$A$1:$Q$950,7,FALSE)</f>
        <v>0</v>
      </c>
      <c r="AI1016" s="31">
        <f>VLOOKUP($A1016,kurspris!$A$1:$Q$950,8,FALSE)</f>
        <v>0</v>
      </c>
      <c r="AJ1016" s="31">
        <f>VLOOKUP($A1016,kurspris!$A$1:$Q$950,9,FALSE)</f>
        <v>1</v>
      </c>
      <c r="AK1016" s="31">
        <f>VLOOKUP($A1016,kurspris!$A$1:$Q$950,10,FALSE)</f>
        <v>0</v>
      </c>
      <c r="AL1016" s="31">
        <f>VLOOKUP($A1016,kurspris!$A$1:$Q$950,11,FALSE)</f>
        <v>0</v>
      </c>
      <c r="AM1016" s="31">
        <f>VLOOKUP($A1016,kurspris!$A$1:$Q$950,12,FALSE)</f>
        <v>0</v>
      </c>
      <c r="AN1016" s="31">
        <f>VLOOKUP($A1016,kurspris!$A$1:$Q$950,13,FALSE)</f>
        <v>0</v>
      </c>
      <c r="AO1016" s="31">
        <f>VLOOKUP($A1016,kurspris!$A$1:$Q$950,14,FALSE)</f>
        <v>0</v>
      </c>
      <c r="AP1016" s="57" t="s">
        <v>2506</v>
      </c>
      <c r="AQ1016"/>
      <c r="AR1016" s="31">
        <f t="shared" si="461"/>
        <v>0</v>
      </c>
      <c r="AS1016" s="219">
        <f t="shared" si="462"/>
        <v>0</v>
      </c>
      <c r="AT1016" s="31">
        <f t="shared" si="463"/>
        <v>0</v>
      </c>
      <c r="AU1016" s="219">
        <f t="shared" si="464"/>
        <v>0</v>
      </c>
      <c r="AV1016" s="31">
        <f t="shared" si="465"/>
        <v>0</v>
      </c>
      <c r="AW1016" s="31">
        <f t="shared" si="466"/>
        <v>0</v>
      </c>
      <c r="AX1016" s="31">
        <f t="shared" si="467"/>
        <v>0</v>
      </c>
      <c r="AY1016" s="219">
        <f t="shared" si="468"/>
        <v>0</v>
      </c>
      <c r="AZ1016" s="196">
        <f t="shared" si="469"/>
        <v>0</v>
      </c>
      <c r="BA1016" s="219">
        <f t="shared" si="470"/>
        <v>0</v>
      </c>
      <c r="BB1016" s="31">
        <f t="shared" si="471"/>
        <v>0</v>
      </c>
      <c r="BC1016" s="219">
        <f t="shared" si="472"/>
        <v>0</v>
      </c>
      <c r="BD1016" s="31">
        <f t="shared" si="473"/>
        <v>1.75</v>
      </c>
      <c r="BE1016" s="219">
        <f t="shared" si="474"/>
        <v>1.4875</v>
      </c>
      <c r="BF1016" s="31">
        <f t="shared" si="475"/>
        <v>0</v>
      </c>
      <c r="BG1016" s="219">
        <f t="shared" si="476"/>
        <v>0</v>
      </c>
      <c r="BH1016" s="31">
        <f t="shared" si="477"/>
        <v>0</v>
      </c>
      <c r="BI1016" s="219">
        <f t="shared" si="478"/>
        <v>0</v>
      </c>
      <c r="BJ1016" s="31">
        <f t="shared" si="479"/>
        <v>0</v>
      </c>
      <c r="BK1016" s="219">
        <f t="shared" si="480"/>
        <v>0</v>
      </c>
      <c r="BL1016" s="31">
        <f t="shared" si="481"/>
        <v>0</v>
      </c>
      <c r="BM1016" s="219">
        <f t="shared" si="482"/>
        <v>0</v>
      </c>
      <c r="BN1016" s="31">
        <f t="shared" si="483"/>
        <v>0</v>
      </c>
      <c r="BO1016" s="219">
        <f t="shared" si="484"/>
        <v>0</v>
      </c>
    </row>
    <row r="1017" spans="1:67" x14ac:dyDescent="0.25">
      <c r="A1017" s="31" t="s">
        <v>2343</v>
      </c>
      <c r="B1017" s="176" t="str">
        <f>VLOOKUP(A1017,kurspris!$A$1:$B$992,2,FALSE)</f>
        <v>Beteendevetenskapliga grunder för karriärvägledning</v>
      </c>
      <c r="D1017" s="60" t="s">
        <v>85</v>
      </c>
      <c r="E1017" s="576" t="s">
        <v>2436</v>
      </c>
      <c r="F1017" s="31" t="s">
        <v>2273</v>
      </c>
      <c r="G1017" s="31" t="s">
        <v>2448</v>
      </c>
      <c r="H1017" s="31" t="s">
        <v>2335</v>
      </c>
      <c r="I1017" s="31" t="s">
        <v>1500</v>
      </c>
      <c r="L1017" s="38">
        <v>1</v>
      </c>
      <c r="M1017" s="325">
        <v>5</v>
      </c>
      <c r="P1017" s="31">
        <v>1</v>
      </c>
      <c r="Q1017" s="196">
        <f t="shared" si="486"/>
        <v>8.3333333333333329E-2</v>
      </c>
      <c r="R1017" s="38">
        <v>0.85</v>
      </c>
      <c r="S1017" s="280">
        <f t="shared" si="457"/>
        <v>7.0833333333333331E-2</v>
      </c>
      <c r="T1017" s="31">
        <f>VLOOKUP(A1017,'Ansvar kurs'!$A$1:$C$1123,2,FALSE)</f>
        <v>2193</v>
      </c>
      <c r="U1017" s="31" t="str">
        <f>VLOOKUP(T1017,Orgenheter!$A$1:$C$166,2,FALSE)</f>
        <v xml:space="preserve">TUV </v>
      </c>
      <c r="V1017" s="31" t="str">
        <f>VLOOKUP(T1017,Orgenheter!$A$1:$C$166,3,FALSE)</f>
        <v>Sam</v>
      </c>
      <c r="W1017" s="35" t="str">
        <f>VLOOKUP(D1017,Program!$A$1:$B$36,2,FALSE)</f>
        <v>Studie- och yrkesvägledarprogram</v>
      </c>
      <c r="X1017" s="40">
        <f>VLOOKUP(A1017,kurspris!$A$1:$Q$913,15,FALSE)</f>
        <v>20766</v>
      </c>
      <c r="Y1017" s="40">
        <f>VLOOKUP(A1017,kurspris!$A$1:$Q$913,16,FALSE)</f>
        <v>17442</v>
      </c>
      <c r="Z1017" s="40">
        <f t="shared" si="458"/>
        <v>2965.9749999999999</v>
      </c>
      <c r="AA1017" s="40">
        <f>VLOOKUP(A1017,kurspris!$A$1:$Q$913,17,FALSE)</f>
        <v>6000</v>
      </c>
      <c r="AB1017" s="40">
        <f t="shared" si="459"/>
        <v>500</v>
      </c>
      <c r="AC1017" s="40">
        <f t="shared" si="460"/>
        <v>3465.9749999999999</v>
      </c>
      <c r="AD1017" s="31">
        <f>VLOOKUP($A1017,kurspris!$A$1:$Q$950,3,FALSE)</f>
        <v>0</v>
      </c>
      <c r="AE1017" s="31">
        <f>VLOOKUP($A1017,kurspris!$A$1:$Q$950,4,FALSE)</f>
        <v>0</v>
      </c>
      <c r="AF1017" s="31">
        <f>VLOOKUP($A1017,kurspris!$A$1:$Q$950,5,FALSE)</f>
        <v>0</v>
      </c>
      <c r="AG1017" s="31">
        <f>VLOOKUP($A1017,kurspris!$A$1:$Q$950,6,FALSE)</f>
        <v>0</v>
      </c>
      <c r="AH1017" s="31">
        <f>VLOOKUP($A1017,kurspris!$A$1:$Q$950,7,FALSE)</f>
        <v>0</v>
      </c>
      <c r="AI1017" s="31">
        <f>VLOOKUP($A1017,kurspris!$A$1:$Q$950,8,FALSE)</f>
        <v>0</v>
      </c>
      <c r="AJ1017" s="31">
        <f>VLOOKUP($A1017,kurspris!$A$1:$Q$950,9,FALSE)</f>
        <v>1</v>
      </c>
      <c r="AK1017" s="31">
        <f>VLOOKUP($A1017,kurspris!$A$1:$Q$950,10,FALSE)</f>
        <v>0</v>
      </c>
      <c r="AL1017" s="31">
        <f>VLOOKUP($A1017,kurspris!$A$1:$Q$950,11,FALSE)</f>
        <v>0</v>
      </c>
      <c r="AM1017" s="31">
        <f>VLOOKUP($A1017,kurspris!$A$1:$Q$950,12,FALSE)</f>
        <v>0</v>
      </c>
      <c r="AN1017" s="31">
        <f>VLOOKUP($A1017,kurspris!$A$1:$Q$950,13,FALSE)</f>
        <v>0</v>
      </c>
      <c r="AO1017" s="31">
        <f>VLOOKUP($A1017,kurspris!$A$1:$Q$950,14,FALSE)</f>
        <v>0</v>
      </c>
      <c r="AP1017" s="57" t="s">
        <v>2506</v>
      </c>
      <c r="AQ1017"/>
      <c r="AR1017" s="31">
        <f t="shared" si="461"/>
        <v>0</v>
      </c>
      <c r="AS1017" s="219">
        <f t="shared" si="462"/>
        <v>0</v>
      </c>
      <c r="AT1017" s="31">
        <f t="shared" si="463"/>
        <v>0</v>
      </c>
      <c r="AU1017" s="219">
        <f t="shared" si="464"/>
        <v>0</v>
      </c>
      <c r="AV1017" s="31">
        <f t="shared" si="465"/>
        <v>0</v>
      </c>
      <c r="AW1017" s="31">
        <f t="shared" si="466"/>
        <v>0</v>
      </c>
      <c r="AX1017" s="31">
        <f t="shared" si="467"/>
        <v>0</v>
      </c>
      <c r="AY1017" s="219">
        <f t="shared" si="468"/>
        <v>0</v>
      </c>
      <c r="AZ1017" s="196">
        <f t="shared" si="469"/>
        <v>0</v>
      </c>
      <c r="BA1017" s="219">
        <f t="shared" si="470"/>
        <v>0</v>
      </c>
      <c r="BB1017" s="31">
        <f t="shared" si="471"/>
        <v>0</v>
      </c>
      <c r="BC1017" s="219">
        <f t="shared" si="472"/>
        <v>0</v>
      </c>
      <c r="BD1017" s="31">
        <f t="shared" si="473"/>
        <v>8.3333333333333329E-2</v>
      </c>
      <c r="BE1017" s="219">
        <f t="shared" si="474"/>
        <v>7.0833333333333331E-2</v>
      </c>
      <c r="BF1017" s="31">
        <f t="shared" si="475"/>
        <v>0</v>
      </c>
      <c r="BG1017" s="219">
        <f t="shared" si="476"/>
        <v>0</v>
      </c>
      <c r="BH1017" s="31">
        <f t="shared" si="477"/>
        <v>0</v>
      </c>
      <c r="BI1017" s="219">
        <f t="shared" si="478"/>
        <v>0</v>
      </c>
      <c r="BJ1017" s="31">
        <f t="shared" si="479"/>
        <v>0</v>
      </c>
      <c r="BK1017" s="219">
        <f t="shared" si="480"/>
        <v>0</v>
      </c>
      <c r="BL1017" s="31">
        <f t="shared" si="481"/>
        <v>0</v>
      </c>
      <c r="BM1017" s="219">
        <f t="shared" si="482"/>
        <v>0</v>
      </c>
      <c r="BN1017" s="31">
        <f t="shared" si="483"/>
        <v>0</v>
      </c>
      <c r="BO1017" s="219">
        <f t="shared" si="484"/>
        <v>0</v>
      </c>
    </row>
    <row r="1018" spans="1:67" x14ac:dyDescent="0.25">
      <c r="A1018" s="31" t="s">
        <v>2344</v>
      </c>
      <c r="B1018" s="176" t="str">
        <f>VLOOKUP(A1018,kurspris!$A$1:$B$992,2,FALSE)</f>
        <v>Utbildningssystem</v>
      </c>
      <c r="D1018" s="60" t="s">
        <v>85</v>
      </c>
      <c r="E1018" s="576" t="s">
        <v>2432</v>
      </c>
      <c r="F1018" s="31" t="s">
        <v>2273</v>
      </c>
      <c r="G1018" s="31" t="s">
        <v>2441</v>
      </c>
      <c r="H1018" s="31" t="s">
        <v>2335</v>
      </c>
      <c r="I1018" s="31" t="s">
        <v>624</v>
      </c>
      <c r="L1018" s="38">
        <v>1</v>
      </c>
      <c r="M1018" s="325">
        <v>5</v>
      </c>
      <c r="P1018" s="31">
        <v>20</v>
      </c>
      <c r="Q1018" s="196">
        <f t="shared" si="486"/>
        <v>1.6666666666666665</v>
      </c>
      <c r="R1018" s="38">
        <v>0.85</v>
      </c>
      <c r="S1018" s="280">
        <f t="shared" si="457"/>
        <v>1.4166666666666665</v>
      </c>
      <c r="T1018" s="31">
        <f>VLOOKUP(A1018,'Ansvar kurs'!$A$1:$C$1123,2,FALSE)</f>
        <v>2193</v>
      </c>
      <c r="U1018" s="31" t="str">
        <f>VLOOKUP(T1018,Orgenheter!$A$1:$C$166,2,FALSE)</f>
        <v xml:space="preserve">TUV </v>
      </c>
      <c r="V1018" s="31" t="str">
        <f>VLOOKUP(T1018,Orgenheter!$A$1:$C$166,3,FALSE)</f>
        <v>Sam</v>
      </c>
      <c r="W1018" s="35" t="str">
        <f>VLOOKUP(D1018,Program!$A$1:$B$36,2,FALSE)</f>
        <v>Studie- och yrkesvägledarprogram</v>
      </c>
      <c r="X1018" s="40">
        <f>VLOOKUP(A1018,kurspris!$A$1:$Q$913,15,FALSE)</f>
        <v>20766</v>
      </c>
      <c r="Y1018" s="40">
        <f>VLOOKUP(A1018,kurspris!$A$1:$Q$913,16,FALSE)</f>
        <v>17442</v>
      </c>
      <c r="Z1018" s="40">
        <f t="shared" si="458"/>
        <v>59319.5</v>
      </c>
      <c r="AA1018" s="40">
        <f>VLOOKUP(A1018,kurspris!$A$1:$Q$913,17,FALSE)</f>
        <v>6000</v>
      </c>
      <c r="AB1018" s="40">
        <f t="shared" si="459"/>
        <v>10000</v>
      </c>
      <c r="AC1018" s="40">
        <f t="shared" si="460"/>
        <v>69319.5</v>
      </c>
      <c r="AD1018" s="31">
        <f>VLOOKUP($A1018,kurspris!$A$1:$Q$950,3,FALSE)</f>
        <v>0</v>
      </c>
      <c r="AE1018" s="31">
        <f>VLOOKUP($A1018,kurspris!$A$1:$Q$950,4,FALSE)</f>
        <v>0</v>
      </c>
      <c r="AF1018" s="31">
        <f>VLOOKUP($A1018,kurspris!$A$1:$Q$950,5,FALSE)</f>
        <v>0</v>
      </c>
      <c r="AG1018" s="31">
        <f>VLOOKUP($A1018,kurspris!$A$1:$Q$950,6,FALSE)</f>
        <v>0</v>
      </c>
      <c r="AH1018" s="31">
        <f>VLOOKUP($A1018,kurspris!$A$1:$Q$950,7,FALSE)</f>
        <v>0</v>
      </c>
      <c r="AI1018" s="31">
        <f>VLOOKUP($A1018,kurspris!$A$1:$Q$950,8,FALSE)</f>
        <v>0</v>
      </c>
      <c r="AJ1018" s="31">
        <f>VLOOKUP($A1018,kurspris!$A$1:$Q$950,9,FALSE)</f>
        <v>1</v>
      </c>
      <c r="AK1018" s="31">
        <f>VLOOKUP($A1018,kurspris!$A$1:$Q$950,10,FALSE)</f>
        <v>0</v>
      </c>
      <c r="AL1018" s="31">
        <f>VLOOKUP($A1018,kurspris!$A$1:$Q$950,11,FALSE)</f>
        <v>0</v>
      </c>
      <c r="AM1018" s="31">
        <f>VLOOKUP($A1018,kurspris!$A$1:$Q$950,12,FALSE)</f>
        <v>0</v>
      </c>
      <c r="AN1018" s="31">
        <f>VLOOKUP($A1018,kurspris!$A$1:$Q$950,13,FALSE)</f>
        <v>0</v>
      </c>
      <c r="AO1018" s="31">
        <f>VLOOKUP($A1018,kurspris!$A$1:$Q$950,14,FALSE)</f>
        <v>0</v>
      </c>
      <c r="AP1018" s="57" t="s">
        <v>2506</v>
      </c>
      <c r="AQ1018"/>
      <c r="AR1018" s="31">
        <f t="shared" si="461"/>
        <v>0</v>
      </c>
      <c r="AS1018" s="219">
        <f t="shared" si="462"/>
        <v>0</v>
      </c>
      <c r="AT1018" s="31">
        <f t="shared" si="463"/>
        <v>0</v>
      </c>
      <c r="AU1018" s="219">
        <f t="shared" si="464"/>
        <v>0</v>
      </c>
      <c r="AV1018" s="31">
        <f t="shared" si="465"/>
        <v>0</v>
      </c>
      <c r="AW1018" s="31">
        <f t="shared" si="466"/>
        <v>0</v>
      </c>
      <c r="AX1018" s="31">
        <f t="shared" si="467"/>
        <v>0</v>
      </c>
      <c r="AY1018" s="219">
        <f t="shared" si="468"/>
        <v>0</v>
      </c>
      <c r="AZ1018" s="196">
        <f t="shared" si="469"/>
        <v>0</v>
      </c>
      <c r="BA1018" s="219">
        <f t="shared" si="470"/>
        <v>0</v>
      </c>
      <c r="BB1018" s="31">
        <f t="shared" si="471"/>
        <v>0</v>
      </c>
      <c r="BC1018" s="219">
        <f t="shared" si="472"/>
        <v>0</v>
      </c>
      <c r="BD1018" s="31">
        <f t="shared" si="473"/>
        <v>1.6666666666666665</v>
      </c>
      <c r="BE1018" s="219">
        <f t="shared" si="474"/>
        <v>1.4166666666666665</v>
      </c>
      <c r="BF1018" s="31">
        <f t="shared" si="475"/>
        <v>0</v>
      </c>
      <c r="BG1018" s="219">
        <f t="shared" si="476"/>
        <v>0</v>
      </c>
      <c r="BH1018" s="31">
        <f t="shared" si="477"/>
        <v>0</v>
      </c>
      <c r="BI1018" s="219">
        <f t="shared" si="478"/>
        <v>0</v>
      </c>
      <c r="BJ1018" s="31">
        <f t="shared" si="479"/>
        <v>0</v>
      </c>
      <c r="BK1018" s="219">
        <f t="shared" si="480"/>
        <v>0</v>
      </c>
      <c r="BL1018" s="31">
        <f t="shared" si="481"/>
        <v>0</v>
      </c>
      <c r="BM1018" s="219">
        <f t="shared" si="482"/>
        <v>0</v>
      </c>
      <c r="BN1018" s="31">
        <f t="shared" si="483"/>
        <v>0</v>
      </c>
      <c r="BO1018" s="219">
        <f t="shared" si="484"/>
        <v>0</v>
      </c>
    </row>
    <row r="1019" spans="1:67" x14ac:dyDescent="0.25">
      <c r="A1019" s="31" t="s">
        <v>2344</v>
      </c>
      <c r="B1019" s="176" t="str">
        <f>VLOOKUP(A1019,kurspris!$A$1:$B$992,2,FALSE)</f>
        <v>Utbildningssystem</v>
      </c>
      <c r="D1019" s="60" t="s">
        <v>85</v>
      </c>
      <c r="E1019" s="576" t="s">
        <v>2432</v>
      </c>
      <c r="F1019" s="31" t="s">
        <v>2273</v>
      </c>
      <c r="G1019" s="31" t="s">
        <v>2441</v>
      </c>
      <c r="H1019" s="31" t="s">
        <v>2335</v>
      </c>
      <c r="I1019" s="31" t="s">
        <v>1500</v>
      </c>
      <c r="L1019" s="38">
        <v>1</v>
      </c>
      <c r="M1019" s="325">
        <v>5</v>
      </c>
      <c r="P1019" s="31">
        <v>21</v>
      </c>
      <c r="Q1019" s="196">
        <f t="shared" si="486"/>
        <v>1.75</v>
      </c>
      <c r="R1019" s="38">
        <v>0.85</v>
      </c>
      <c r="S1019" s="280">
        <f t="shared" si="457"/>
        <v>1.4875</v>
      </c>
      <c r="T1019" s="31">
        <f>VLOOKUP(A1019,'Ansvar kurs'!$A$1:$C$1123,2,FALSE)</f>
        <v>2193</v>
      </c>
      <c r="U1019" s="31" t="str">
        <f>VLOOKUP(T1019,Orgenheter!$A$1:$C$166,2,FALSE)</f>
        <v xml:space="preserve">TUV </v>
      </c>
      <c r="V1019" s="31" t="str">
        <f>VLOOKUP(T1019,Orgenheter!$A$1:$C$166,3,FALSE)</f>
        <v>Sam</v>
      </c>
      <c r="W1019" s="35" t="str">
        <f>VLOOKUP(D1019,Program!$A$1:$B$36,2,FALSE)</f>
        <v>Studie- och yrkesvägledarprogram</v>
      </c>
      <c r="X1019" s="40">
        <f>VLOOKUP(A1019,kurspris!$A$1:$Q$913,15,FALSE)</f>
        <v>20766</v>
      </c>
      <c r="Y1019" s="40">
        <f>VLOOKUP(A1019,kurspris!$A$1:$Q$913,16,FALSE)</f>
        <v>17442</v>
      </c>
      <c r="Z1019" s="40">
        <f t="shared" si="458"/>
        <v>62285.475000000006</v>
      </c>
      <c r="AA1019" s="40">
        <f>VLOOKUP(A1019,kurspris!$A$1:$Q$913,17,FALSE)</f>
        <v>6000</v>
      </c>
      <c r="AB1019" s="40">
        <f t="shared" si="459"/>
        <v>10500</v>
      </c>
      <c r="AC1019" s="40">
        <f t="shared" si="460"/>
        <v>72785.475000000006</v>
      </c>
      <c r="AD1019" s="31">
        <f>VLOOKUP($A1019,kurspris!$A$1:$Q$950,3,FALSE)</f>
        <v>0</v>
      </c>
      <c r="AE1019" s="31">
        <f>VLOOKUP($A1019,kurspris!$A$1:$Q$950,4,FALSE)</f>
        <v>0</v>
      </c>
      <c r="AF1019" s="31">
        <f>VLOOKUP($A1019,kurspris!$A$1:$Q$950,5,FALSE)</f>
        <v>0</v>
      </c>
      <c r="AG1019" s="31">
        <f>VLOOKUP($A1019,kurspris!$A$1:$Q$950,6,FALSE)</f>
        <v>0</v>
      </c>
      <c r="AH1019" s="31">
        <f>VLOOKUP($A1019,kurspris!$A$1:$Q$950,7,FALSE)</f>
        <v>0</v>
      </c>
      <c r="AI1019" s="31">
        <f>VLOOKUP($A1019,kurspris!$A$1:$Q$950,8,FALSE)</f>
        <v>0</v>
      </c>
      <c r="AJ1019" s="31">
        <f>VLOOKUP($A1019,kurspris!$A$1:$Q$950,9,FALSE)</f>
        <v>1</v>
      </c>
      <c r="AK1019" s="31">
        <f>VLOOKUP($A1019,kurspris!$A$1:$Q$950,10,FALSE)</f>
        <v>0</v>
      </c>
      <c r="AL1019" s="31">
        <f>VLOOKUP($A1019,kurspris!$A$1:$Q$950,11,FALSE)</f>
        <v>0</v>
      </c>
      <c r="AM1019" s="31">
        <f>VLOOKUP($A1019,kurspris!$A$1:$Q$950,12,FALSE)</f>
        <v>0</v>
      </c>
      <c r="AN1019" s="31">
        <f>VLOOKUP($A1019,kurspris!$A$1:$Q$950,13,FALSE)</f>
        <v>0</v>
      </c>
      <c r="AO1019" s="31">
        <f>VLOOKUP($A1019,kurspris!$A$1:$Q$950,14,FALSE)</f>
        <v>0</v>
      </c>
      <c r="AP1019" s="57" t="s">
        <v>2506</v>
      </c>
      <c r="AQ1019"/>
      <c r="AR1019" s="31">
        <f t="shared" si="461"/>
        <v>0</v>
      </c>
      <c r="AS1019" s="219">
        <f t="shared" si="462"/>
        <v>0</v>
      </c>
      <c r="AT1019" s="31">
        <f t="shared" si="463"/>
        <v>0</v>
      </c>
      <c r="AU1019" s="219">
        <f t="shared" si="464"/>
        <v>0</v>
      </c>
      <c r="AV1019" s="31">
        <f t="shared" si="465"/>
        <v>0</v>
      </c>
      <c r="AW1019" s="31">
        <f t="shared" si="466"/>
        <v>0</v>
      </c>
      <c r="AX1019" s="31">
        <f t="shared" si="467"/>
        <v>0</v>
      </c>
      <c r="AY1019" s="219">
        <f t="shared" si="468"/>
        <v>0</v>
      </c>
      <c r="AZ1019" s="196">
        <f t="shared" si="469"/>
        <v>0</v>
      </c>
      <c r="BA1019" s="219">
        <f t="shared" si="470"/>
        <v>0</v>
      </c>
      <c r="BB1019" s="31">
        <f t="shared" si="471"/>
        <v>0</v>
      </c>
      <c r="BC1019" s="219">
        <f t="shared" si="472"/>
        <v>0</v>
      </c>
      <c r="BD1019" s="31">
        <f t="shared" si="473"/>
        <v>1.75</v>
      </c>
      <c r="BE1019" s="219">
        <f t="shared" si="474"/>
        <v>1.4875</v>
      </c>
      <c r="BF1019" s="31">
        <f t="shared" si="475"/>
        <v>0</v>
      </c>
      <c r="BG1019" s="219">
        <f t="shared" si="476"/>
        <v>0</v>
      </c>
      <c r="BH1019" s="31">
        <f t="shared" si="477"/>
        <v>0</v>
      </c>
      <c r="BI1019" s="219">
        <f t="shared" si="478"/>
        <v>0</v>
      </c>
      <c r="BJ1019" s="31">
        <f t="shared" si="479"/>
        <v>0</v>
      </c>
      <c r="BK1019" s="219">
        <f t="shared" si="480"/>
        <v>0</v>
      </c>
      <c r="BL1019" s="31">
        <f t="shared" si="481"/>
        <v>0</v>
      </c>
      <c r="BM1019" s="219">
        <f t="shared" si="482"/>
        <v>0</v>
      </c>
      <c r="BN1019" s="31">
        <f t="shared" si="483"/>
        <v>0</v>
      </c>
      <c r="BO1019" s="219">
        <f t="shared" si="484"/>
        <v>0</v>
      </c>
    </row>
    <row r="1020" spans="1:67" x14ac:dyDescent="0.25">
      <c r="A1020" s="31" t="s">
        <v>2344</v>
      </c>
      <c r="B1020" s="176" t="str">
        <f>VLOOKUP(A1020,kurspris!$A$1:$B$992,2,FALSE)</f>
        <v>Utbildningssystem</v>
      </c>
      <c r="D1020" s="60" t="s">
        <v>85</v>
      </c>
      <c r="E1020" s="576" t="s">
        <v>2436</v>
      </c>
      <c r="F1020" s="31" t="s">
        <v>2273</v>
      </c>
      <c r="G1020" s="31" t="s">
        <v>2441</v>
      </c>
      <c r="H1020" s="31" t="s">
        <v>2335</v>
      </c>
      <c r="I1020" s="31" t="s">
        <v>1500</v>
      </c>
      <c r="L1020" s="38">
        <v>1</v>
      </c>
      <c r="M1020" s="325">
        <v>5</v>
      </c>
      <c r="P1020" s="31">
        <v>1</v>
      </c>
      <c r="Q1020" s="196">
        <f t="shared" si="486"/>
        <v>8.3333333333333329E-2</v>
      </c>
      <c r="R1020" s="38">
        <v>0.85</v>
      </c>
      <c r="S1020" s="280">
        <f t="shared" si="457"/>
        <v>7.0833333333333331E-2</v>
      </c>
      <c r="T1020" s="31">
        <f>VLOOKUP(A1020,'Ansvar kurs'!$A$1:$C$1123,2,FALSE)</f>
        <v>2193</v>
      </c>
      <c r="U1020" s="31" t="str">
        <f>VLOOKUP(T1020,Orgenheter!$A$1:$C$166,2,FALSE)</f>
        <v xml:space="preserve">TUV </v>
      </c>
      <c r="V1020" s="31" t="str">
        <f>VLOOKUP(T1020,Orgenheter!$A$1:$C$166,3,FALSE)</f>
        <v>Sam</v>
      </c>
      <c r="W1020" s="35" t="str">
        <f>VLOOKUP(D1020,Program!$A$1:$B$36,2,FALSE)</f>
        <v>Studie- och yrkesvägledarprogram</v>
      </c>
      <c r="X1020" s="40">
        <f>VLOOKUP(A1020,kurspris!$A$1:$Q$913,15,FALSE)</f>
        <v>20766</v>
      </c>
      <c r="Y1020" s="40">
        <f>VLOOKUP(A1020,kurspris!$A$1:$Q$913,16,FALSE)</f>
        <v>17442</v>
      </c>
      <c r="Z1020" s="40">
        <f t="shared" si="458"/>
        <v>2965.9749999999999</v>
      </c>
      <c r="AA1020" s="40">
        <f>VLOOKUP(A1020,kurspris!$A$1:$Q$913,17,FALSE)</f>
        <v>6000</v>
      </c>
      <c r="AB1020" s="40">
        <f t="shared" si="459"/>
        <v>500</v>
      </c>
      <c r="AC1020" s="40">
        <f t="shared" si="460"/>
        <v>3465.9749999999999</v>
      </c>
      <c r="AD1020" s="31">
        <f>VLOOKUP($A1020,kurspris!$A$1:$Q$950,3,FALSE)</f>
        <v>0</v>
      </c>
      <c r="AE1020" s="31">
        <f>VLOOKUP($A1020,kurspris!$A$1:$Q$950,4,FALSE)</f>
        <v>0</v>
      </c>
      <c r="AF1020" s="31">
        <f>VLOOKUP($A1020,kurspris!$A$1:$Q$950,5,FALSE)</f>
        <v>0</v>
      </c>
      <c r="AG1020" s="31">
        <f>VLOOKUP($A1020,kurspris!$A$1:$Q$950,6,FALSE)</f>
        <v>0</v>
      </c>
      <c r="AH1020" s="31">
        <f>VLOOKUP($A1020,kurspris!$A$1:$Q$950,7,FALSE)</f>
        <v>0</v>
      </c>
      <c r="AI1020" s="31">
        <f>VLOOKUP($A1020,kurspris!$A$1:$Q$950,8,FALSE)</f>
        <v>0</v>
      </c>
      <c r="AJ1020" s="31">
        <f>VLOOKUP($A1020,kurspris!$A$1:$Q$950,9,FALSE)</f>
        <v>1</v>
      </c>
      <c r="AK1020" s="31">
        <f>VLOOKUP($A1020,kurspris!$A$1:$Q$950,10,FALSE)</f>
        <v>0</v>
      </c>
      <c r="AL1020" s="31">
        <f>VLOOKUP($A1020,kurspris!$A$1:$Q$950,11,FALSE)</f>
        <v>0</v>
      </c>
      <c r="AM1020" s="31">
        <f>VLOOKUP($A1020,kurspris!$A$1:$Q$950,12,FALSE)</f>
        <v>0</v>
      </c>
      <c r="AN1020" s="31">
        <f>VLOOKUP($A1020,kurspris!$A$1:$Q$950,13,FALSE)</f>
        <v>0</v>
      </c>
      <c r="AO1020" s="31">
        <f>VLOOKUP($A1020,kurspris!$A$1:$Q$950,14,FALSE)</f>
        <v>0</v>
      </c>
      <c r="AP1020" s="57" t="s">
        <v>2506</v>
      </c>
      <c r="AQ1020"/>
      <c r="AR1020" s="31">
        <f t="shared" si="461"/>
        <v>0</v>
      </c>
      <c r="AS1020" s="219">
        <f t="shared" si="462"/>
        <v>0</v>
      </c>
      <c r="AT1020" s="31">
        <f t="shared" si="463"/>
        <v>0</v>
      </c>
      <c r="AU1020" s="219">
        <f t="shared" si="464"/>
        <v>0</v>
      </c>
      <c r="AV1020" s="31">
        <f t="shared" si="465"/>
        <v>0</v>
      </c>
      <c r="AW1020" s="31">
        <f t="shared" si="466"/>
        <v>0</v>
      </c>
      <c r="AX1020" s="31">
        <f t="shared" si="467"/>
        <v>0</v>
      </c>
      <c r="AY1020" s="219">
        <f t="shared" si="468"/>
        <v>0</v>
      </c>
      <c r="AZ1020" s="196">
        <f t="shared" si="469"/>
        <v>0</v>
      </c>
      <c r="BA1020" s="219">
        <f t="shared" si="470"/>
        <v>0</v>
      </c>
      <c r="BB1020" s="31">
        <f t="shared" si="471"/>
        <v>0</v>
      </c>
      <c r="BC1020" s="219">
        <f t="shared" si="472"/>
        <v>0</v>
      </c>
      <c r="BD1020" s="31">
        <f t="shared" si="473"/>
        <v>8.3333333333333329E-2</v>
      </c>
      <c r="BE1020" s="219">
        <f t="shared" si="474"/>
        <v>7.0833333333333331E-2</v>
      </c>
      <c r="BF1020" s="31">
        <f t="shared" si="475"/>
        <v>0</v>
      </c>
      <c r="BG1020" s="219">
        <f t="shared" si="476"/>
        <v>0</v>
      </c>
      <c r="BH1020" s="31">
        <f t="shared" si="477"/>
        <v>0</v>
      </c>
      <c r="BI1020" s="219">
        <f t="shared" si="478"/>
        <v>0</v>
      </c>
      <c r="BJ1020" s="31">
        <f t="shared" si="479"/>
        <v>0</v>
      </c>
      <c r="BK1020" s="219">
        <f t="shared" si="480"/>
        <v>0</v>
      </c>
      <c r="BL1020" s="31">
        <f t="shared" si="481"/>
        <v>0</v>
      </c>
      <c r="BM1020" s="219">
        <f t="shared" si="482"/>
        <v>0</v>
      </c>
      <c r="BN1020" s="31">
        <f t="shared" si="483"/>
        <v>0</v>
      </c>
      <c r="BO1020" s="219">
        <f t="shared" si="484"/>
        <v>0</v>
      </c>
    </row>
    <row r="1021" spans="1:67" x14ac:dyDescent="0.25">
      <c r="A1021" s="31" t="s">
        <v>565</v>
      </c>
      <c r="B1021" s="176" t="str">
        <f>VLOOKUP(A1021,kurspris!$A$1:$B$992,2,FALSE)</f>
        <v>Slöjd, textil 2a, distans</v>
      </c>
      <c r="D1021" s="31" t="s">
        <v>117</v>
      </c>
      <c r="F1021" s="31" t="s">
        <v>2273</v>
      </c>
      <c r="I1021" s="31" t="s">
        <v>2275</v>
      </c>
      <c r="L1021" s="38">
        <v>0.5</v>
      </c>
      <c r="M1021" s="325">
        <v>15</v>
      </c>
      <c r="P1021" s="31">
        <v>32</v>
      </c>
      <c r="Q1021" s="196">
        <f t="shared" si="486"/>
        <v>8</v>
      </c>
      <c r="R1021" s="38">
        <v>0.8</v>
      </c>
      <c r="S1021" s="280">
        <f t="shared" si="457"/>
        <v>6.4</v>
      </c>
      <c r="T1021" s="31">
        <f>VLOOKUP(A1021,'Ansvar kurs'!$A$1:$C$1123,2,FALSE)</f>
        <v>1650</v>
      </c>
      <c r="U1021" s="31" t="str">
        <f>VLOOKUP(T1021,Orgenheter!$A$1:$C$166,2,FALSE)</f>
        <v xml:space="preserve">Estetiska ämnen               </v>
      </c>
      <c r="V1021" s="31" t="str">
        <f>VLOOKUP(T1021,Orgenheter!$A$1:$C$166,3,FALSE)</f>
        <v>Hum</v>
      </c>
      <c r="W1021" s="35" t="str">
        <f>VLOOKUP(D1021,Program!$A$1:$B$36,2,FALSE)</f>
        <v>Fristående och övriga kurser</v>
      </c>
      <c r="X1021" s="40">
        <f>VLOOKUP(A1021,kurspris!$A$1:$Q$913,15,FALSE)</f>
        <v>20757</v>
      </c>
      <c r="Y1021" s="40">
        <f>VLOOKUP(A1021,kurspris!$A$1:$Q$913,16,FALSE)</f>
        <v>36082</v>
      </c>
      <c r="Z1021" s="40">
        <f t="shared" si="458"/>
        <v>396980.80000000005</v>
      </c>
      <c r="AA1021" s="40">
        <f>VLOOKUP(A1021,kurspris!$A$1:$Q$913,17,FALSE)</f>
        <v>22600</v>
      </c>
      <c r="AB1021" s="40">
        <f t="shared" si="459"/>
        <v>180800</v>
      </c>
      <c r="AC1021" s="40">
        <f t="shared" si="460"/>
        <v>577780.80000000005</v>
      </c>
      <c r="AD1021" s="31">
        <f>VLOOKUP($A1021,kurspris!$A$1:$Q$950,3,FALSE)</f>
        <v>0</v>
      </c>
      <c r="AE1021" s="31">
        <f>VLOOKUP($A1021,kurspris!$A$1:$Q$950,4,FALSE)</f>
        <v>0</v>
      </c>
      <c r="AF1021" s="31">
        <f>VLOOKUP($A1021,kurspris!$A$1:$Q$950,5,FALSE)</f>
        <v>0</v>
      </c>
      <c r="AG1021" s="31">
        <f>VLOOKUP($A1021,kurspris!$A$1:$Q$950,6,FALSE)</f>
        <v>0</v>
      </c>
      <c r="AH1021" s="31">
        <f>VLOOKUP($A1021,kurspris!$A$1:$Q$950,7,FALSE)</f>
        <v>0</v>
      </c>
      <c r="AI1021" s="31">
        <f>VLOOKUP($A1021,kurspris!$A$1:$Q$950,8,FALSE)</f>
        <v>0</v>
      </c>
      <c r="AJ1021" s="31">
        <f>VLOOKUP($A1021,kurspris!$A$1:$Q$950,9,FALSE)</f>
        <v>0</v>
      </c>
      <c r="AK1021" s="31">
        <f>VLOOKUP($A1021,kurspris!$A$1:$Q$950,10,FALSE)</f>
        <v>1</v>
      </c>
      <c r="AL1021" s="31">
        <f>VLOOKUP($A1021,kurspris!$A$1:$Q$950,11,FALSE)</f>
        <v>0</v>
      </c>
      <c r="AM1021" s="31">
        <f>VLOOKUP($A1021,kurspris!$A$1:$Q$950,12,FALSE)</f>
        <v>0</v>
      </c>
      <c r="AN1021" s="31">
        <f>VLOOKUP($A1021,kurspris!$A$1:$Q$950,13,FALSE)</f>
        <v>0</v>
      </c>
      <c r="AO1021" s="31">
        <f>VLOOKUP($A1021,kurspris!$A$1:$Q$950,14,FALSE)</f>
        <v>0</v>
      </c>
      <c r="AP1021" s="57" t="s">
        <v>2267</v>
      </c>
      <c r="AQ1021" s="37"/>
      <c r="AR1021" s="31">
        <f t="shared" si="461"/>
        <v>0</v>
      </c>
      <c r="AS1021" s="219">
        <f t="shared" si="462"/>
        <v>0</v>
      </c>
      <c r="AT1021" s="31">
        <f t="shared" si="463"/>
        <v>0</v>
      </c>
      <c r="AU1021" s="219">
        <f t="shared" si="464"/>
        <v>0</v>
      </c>
      <c r="AV1021" s="31">
        <f t="shared" si="465"/>
        <v>0</v>
      </c>
      <c r="AW1021" s="31">
        <f t="shared" si="466"/>
        <v>0</v>
      </c>
      <c r="AX1021" s="31">
        <f t="shared" si="467"/>
        <v>0</v>
      </c>
      <c r="AY1021" s="219">
        <f t="shared" si="468"/>
        <v>0</v>
      </c>
      <c r="AZ1021" s="196">
        <f t="shared" si="469"/>
        <v>0</v>
      </c>
      <c r="BA1021" s="219">
        <f t="shared" si="470"/>
        <v>0</v>
      </c>
      <c r="BB1021" s="31">
        <f t="shared" si="471"/>
        <v>0</v>
      </c>
      <c r="BC1021" s="219">
        <f t="shared" si="472"/>
        <v>0</v>
      </c>
      <c r="BD1021" s="31">
        <f t="shared" si="473"/>
        <v>0</v>
      </c>
      <c r="BE1021" s="219">
        <f t="shared" si="474"/>
        <v>0</v>
      </c>
      <c r="BF1021" s="31">
        <f t="shared" si="475"/>
        <v>8</v>
      </c>
      <c r="BG1021" s="219">
        <f t="shared" si="476"/>
        <v>6.4</v>
      </c>
      <c r="BH1021" s="31">
        <f t="shared" si="477"/>
        <v>0</v>
      </c>
      <c r="BI1021" s="219">
        <f t="shared" si="478"/>
        <v>0</v>
      </c>
      <c r="BJ1021" s="31">
        <f t="shared" si="479"/>
        <v>0</v>
      </c>
      <c r="BK1021" s="219">
        <f t="shared" si="480"/>
        <v>0</v>
      </c>
      <c r="BL1021" s="31">
        <f t="shared" si="481"/>
        <v>0</v>
      </c>
      <c r="BM1021" s="219">
        <f t="shared" si="482"/>
        <v>0</v>
      </c>
      <c r="BN1021" s="31">
        <f t="shared" si="483"/>
        <v>0</v>
      </c>
      <c r="BO1021" s="219">
        <f t="shared" si="484"/>
        <v>0</v>
      </c>
    </row>
    <row r="1022" spans="1:67" x14ac:dyDescent="0.25">
      <c r="A1022" s="31" t="s">
        <v>646</v>
      </c>
      <c r="B1022" s="176" t="str">
        <f>VLOOKUP(A1022,kurspris!$A$1:$B$992,2,FALSE)</f>
        <v>Slöjd, textil 2b, distans</v>
      </c>
      <c r="C1022" s="31">
        <v>67304</v>
      </c>
      <c r="D1022" s="60" t="s">
        <v>117</v>
      </c>
      <c r="E1022" s="60"/>
      <c r="F1022" s="57" t="s">
        <v>2274</v>
      </c>
      <c r="H1022" s="31" t="s">
        <v>2335</v>
      </c>
      <c r="I1022" s="31" t="s">
        <v>2275</v>
      </c>
      <c r="L1022" s="38"/>
      <c r="M1022">
        <v>15</v>
      </c>
      <c r="P1022" s="31">
        <v>15</v>
      </c>
      <c r="Q1022" s="539">
        <v>3.75</v>
      </c>
      <c r="R1022" s="38">
        <v>0.8</v>
      </c>
      <c r="S1022" s="280">
        <f t="shared" si="457"/>
        <v>3</v>
      </c>
      <c r="T1022" s="31">
        <f>VLOOKUP(A1022,'Ansvar kurs'!$A$1:$C$1123,2,FALSE)</f>
        <v>1650</v>
      </c>
      <c r="U1022" s="31" t="str">
        <f>VLOOKUP(T1022,Orgenheter!$A$1:$C$166,2,FALSE)</f>
        <v xml:space="preserve">Estetiska ämnen               </v>
      </c>
      <c r="V1022" s="31" t="str">
        <f>VLOOKUP(T1022,Orgenheter!$A$1:$C$166,3,FALSE)</f>
        <v>Hum</v>
      </c>
      <c r="W1022" s="35" t="str">
        <f>VLOOKUP(D1022,Program!$A$1:$B$36,2,FALSE)</f>
        <v>Fristående och övriga kurser</v>
      </c>
      <c r="X1022" s="40">
        <f>VLOOKUP(A1022,kurspris!$A$1:$Q$913,15,FALSE)</f>
        <v>20757</v>
      </c>
      <c r="Y1022" s="40">
        <f>VLOOKUP(A1022,kurspris!$A$1:$Q$913,16,FALSE)</f>
        <v>36082</v>
      </c>
      <c r="Z1022" s="40">
        <f t="shared" si="458"/>
        <v>186084.75</v>
      </c>
      <c r="AA1022" s="40">
        <f>VLOOKUP(A1022,kurspris!$A$1:$Q$913,17,FALSE)</f>
        <v>22600</v>
      </c>
      <c r="AB1022" s="40">
        <f t="shared" si="459"/>
        <v>84750</v>
      </c>
      <c r="AC1022" s="40">
        <f t="shared" si="460"/>
        <v>270834.75</v>
      </c>
      <c r="AD1022" s="31">
        <f>VLOOKUP($A1022,kurspris!$A$1:$Q$950,3,FALSE)</f>
        <v>0</v>
      </c>
      <c r="AE1022" s="31">
        <f>VLOOKUP($A1022,kurspris!$A$1:$Q$950,4,FALSE)</f>
        <v>0</v>
      </c>
      <c r="AF1022" s="31">
        <f>VLOOKUP($A1022,kurspris!$A$1:$Q$950,5,FALSE)</f>
        <v>0</v>
      </c>
      <c r="AG1022" s="31">
        <f>VLOOKUP($A1022,kurspris!$A$1:$Q$950,6,FALSE)</f>
        <v>0</v>
      </c>
      <c r="AH1022" s="31">
        <f>VLOOKUP($A1022,kurspris!$A$1:$Q$950,7,FALSE)</f>
        <v>0</v>
      </c>
      <c r="AI1022" s="31">
        <f>VLOOKUP($A1022,kurspris!$A$1:$Q$950,8,FALSE)</f>
        <v>0</v>
      </c>
      <c r="AJ1022" s="31">
        <f>VLOOKUP($A1022,kurspris!$A$1:$Q$950,9,FALSE)</f>
        <v>0</v>
      </c>
      <c r="AK1022" s="31">
        <f>VLOOKUP($A1022,kurspris!$A$1:$Q$950,10,FALSE)</f>
        <v>1</v>
      </c>
      <c r="AL1022" s="31">
        <f>VLOOKUP($A1022,kurspris!$A$1:$Q$950,11,FALSE)</f>
        <v>0</v>
      </c>
      <c r="AM1022" s="31">
        <f>VLOOKUP($A1022,kurspris!$A$1:$Q$950,12,FALSE)</f>
        <v>0</v>
      </c>
      <c r="AN1022" s="31">
        <f>VLOOKUP($A1022,kurspris!$A$1:$Q$950,13,FALSE)</f>
        <v>0</v>
      </c>
      <c r="AO1022" s="31">
        <f>VLOOKUP($A1022,kurspris!$A$1:$Q$950,14,FALSE)</f>
        <v>0</v>
      </c>
      <c r="AP1022" s="57" t="s">
        <v>2402</v>
      </c>
      <c r="AQ1022"/>
      <c r="AR1022" s="31">
        <f t="shared" si="461"/>
        <v>0</v>
      </c>
      <c r="AS1022" s="219">
        <f t="shared" si="462"/>
        <v>0</v>
      </c>
      <c r="AT1022" s="31">
        <f t="shared" si="463"/>
        <v>0</v>
      </c>
      <c r="AU1022" s="219">
        <f t="shared" si="464"/>
        <v>0</v>
      </c>
      <c r="AV1022" s="31">
        <f t="shared" si="465"/>
        <v>0</v>
      </c>
      <c r="AW1022" s="31">
        <f t="shared" si="466"/>
        <v>0</v>
      </c>
      <c r="AX1022" s="31">
        <f t="shared" si="467"/>
        <v>0</v>
      </c>
      <c r="AY1022" s="219">
        <f t="shared" si="468"/>
        <v>0</v>
      </c>
      <c r="AZ1022" s="196">
        <f t="shared" si="469"/>
        <v>0</v>
      </c>
      <c r="BA1022" s="219">
        <f t="shared" si="470"/>
        <v>0</v>
      </c>
      <c r="BB1022" s="31">
        <f t="shared" si="471"/>
        <v>0</v>
      </c>
      <c r="BC1022" s="219">
        <f t="shared" si="472"/>
        <v>0</v>
      </c>
      <c r="BD1022" s="31">
        <f t="shared" si="473"/>
        <v>0</v>
      </c>
      <c r="BE1022" s="219">
        <f t="shared" si="474"/>
        <v>0</v>
      </c>
      <c r="BF1022" s="31">
        <f t="shared" si="475"/>
        <v>3.75</v>
      </c>
      <c r="BG1022" s="219">
        <f t="shared" si="476"/>
        <v>3</v>
      </c>
      <c r="BH1022" s="31">
        <f t="shared" si="477"/>
        <v>0</v>
      </c>
      <c r="BI1022" s="219">
        <f t="shared" si="478"/>
        <v>0</v>
      </c>
      <c r="BJ1022" s="31">
        <f t="shared" si="479"/>
        <v>0</v>
      </c>
      <c r="BK1022" s="219">
        <f t="shared" si="480"/>
        <v>0</v>
      </c>
      <c r="BL1022" s="31">
        <f t="shared" si="481"/>
        <v>0</v>
      </c>
      <c r="BM1022" s="219">
        <f t="shared" si="482"/>
        <v>0</v>
      </c>
      <c r="BN1022" s="31">
        <f t="shared" si="483"/>
        <v>0</v>
      </c>
      <c r="BO1022" s="219">
        <f t="shared" si="484"/>
        <v>0</v>
      </c>
    </row>
    <row r="1023" spans="1:67" x14ac:dyDescent="0.25">
      <c r="A1023" s="31" t="s">
        <v>2049</v>
      </c>
      <c r="B1023" s="176" t="str">
        <f>VLOOKUP(A1023,kurspris!$A$1:$B$992,2,FALSE)</f>
        <v>Textila uttryck</v>
      </c>
      <c r="C1023" s="31">
        <v>67201</v>
      </c>
      <c r="D1023" s="60" t="s">
        <v>117</v>
      </c>
      <c r="E1023" s="60"/>
      <c r="F1023" s="57" t="s">
        <v>2274</v>
      </c>
      <c r="H1023" s="31" t="s">
        <v>2335</v>
      </c>
      <c r="I1023" s="31" t="s">
        <v>2275</v>
      </c>
      <c r="L1023" s="38"/>
      <c r="M1023" s="244">
        <v>15</v>
      </c>
      <c r="P1023" s="31">
        <v>16</v>
      </c>
      <c r="Q1023" s="539">
        <v>4</v>
      </c>
      <c r="R1023" s="38">
        <v>0.8</v>
      </c>
      <c r="S1023" s="280">
        <f t="shared" si="457"/>
        <v>3.2</v>
      </c>
      <c r="T1023" s="31">
        <f>VLOOKUP(A1023,'Ansvar kurs'!$A$1:$C$1123,2,FALSE)</f>
        <v>1650</v>
      </c>
      <c r="U1023" s="31" t="str">
        <f>VLOOKUP(T1023,Orgenheter!$A$1:$C$166,2,FALSE)</f>
        <v xml:space="preserve">Estetiska ämnen               </v>
      </c>
      <c r="V1023" s="31" t="str">
        <f>VLOOKUP(T1023,Orgenheter!$A$1:$C$166,3,FALSE)</f>
        <v>Hum</v>
      </c>
      <c r="W1023" s="35" t="str">
        <f>VLOOKUP(D1023,Program!$A$1:$B$36,2,FALSE)</f>
        <v>Fristående och övriga kurser</v>
      </c>
      <c r="X1023" s="40">
        <f>VLOOKUP(A1023,kurspris!$A$1:$Q$913,15,FALSE)</f>
        <v>20757</v>
      </c>
      <c r="Y1023" s="40">
        <f>VLOOKUP(A1023,kurspris!$A$1:$Q$913,16,FALSE)</f>
        <v>36082</v>
      </c>
      <c r="Z1023" s="40">
        <f t="shared" si="458"/>
        <v>198490.40000000002</v>
      </c>
      <c r="AA1023" s="40">
        <f>VLOOKUP(A1023,kurspris!$A$1:$Q$913,17,FALSE)</f>
        <v>22600</v>
      </c>
      <c r="AB1023" s="40">
        <f t="shared" si="459"/>
        <v>90400</v>
      </c>
      <c r="AC1023" s="40">
        <f t="shared" si="460"/>
        <v>288890.40000000002</v>
      </c>
      <c r="AD1023" s="31">
        <f>VLOOKUP($A1023,kurspris!$A$1:$Q$950,3,FALSE)</f>
        <v>0</v>
      </c>
      <c r="AE1023" s="31">
        <f>VLOOKUP($A1023,kurspris!$A$1:$Q$950,4,FALSE)</f>
        <v>0</v>
      </c>
      <c r="AF1023" s="31">
        <f>VLOOKUP($A1023,kurspris!$A$1:$Q$950,5,FALSE)</f>
        <v>0</v>
      </c>
      <c r="AG1023" s="31">
        <f>VLOOKUP($A1023,kurspris!$A$1:$Q$950,6,FALSE)</f>
        <v>0</v>
      </c>
      <c r="AH1023" s="31">
        <f>VLOOKUP($A1023,kurspris!$A$1:$Q$950,7,FALSE)</f>
        <v>0</v>
      </c>
      <c r="AI1023" s="31">
        <f>VLOOKUP($A1023,kurspris!$A$1:$Q$950,8,FALSE)</f>
        <v>0</v>
      </c>
      <c r="AJ1023" s="31">
        <f>VLOOKUP($A1023,kurspris!$A$1:$Q$950,9,FALSE)</f>
        <v>0</v>
      </c>
      <c r="AK1023" s="31">
        <f>VLOOKUP($A1023,kurspris!$A$1:$Q$950,10,FALSE)</f>
        <v>1</v>
      </c>
      <c r="AL1023" s="31">
        <f>VLOOKUP($A1023,kurspris!$A$1:$Q$950,11,FALSE)</f>
        <v>0</v>
      </c>
      <c r="AM1023" s="31">
        <f>VLOOKUP($A1023,kurspris!$A$1:$Q$950,12,FALSE)</f>
        <v>0</v>
      </c>
      <c r="AN1023" s="31">
        <f>VLOOKUP($A1023,kurspris!$A$1:$Q$950,13,FALSE)</f>
        <v>0</v>
      </c>
      <c r="AO1023" s="31">
        <f>VLOOKUP($A1023,kurspris!$A$1:$Q$950,14,FALSE)</f>
        <v>0</v>
      </c>
      <c r="AP1023" s="57" t="s">
        <v>2402</v>
      </c>
      <c r="AQ1023" t="s">
        <v>2308</v>
      </c>
      <c r="AR1023" s="31">
        <f t="shared" si="461"/>
        <v>0</v>
      </c>
      <c r="AS1023" s="219">
        <f t="shared" si="462"/>
        <v>0</v>
      </c>
      <c r="AT1023" s="31">
        <f t="shared" si="463"/>
        <v>0</v>
      </c>
      <c r="AU1023" s="219">
        <f t="shared" si="464"/>
        <v>0</v>
      </c>
      <c r="AV1023" s="31">
        <f t="shared" si="465"/>
        <v>0</v>
      </c>
      <c r="AW1023" s="31">
        <f t="shared" si="466"/>
        <v>0</v>
      </c>
      <c r="AX1023" s="31">
        <f t="shared" si="467"/>
        <v>0</v>
      </c>
      <c r="AY1023" s="219">
        <f t="shared" si="468"/>
        <v>0</v>
      </c>
      <c r="AZ1023" s="196">
        <f t="shared" si="469"/>
        <v>0</v>
      </c>
      <c r="BA1023" s="219">
        <f t="shared" si="470"/>
        <v>0</v>
      </c>
      <c r="BB1023" s="31">
        <f t="shared" si="471"/>
        <v>0</v>
      </c>
      <c r="BC1023" s="219">
        <f t="shared" si="472"/>
        <v>0</v>
      </c>
      <c r="BD1023" s="31">
        <f t="shared" si="473"/>
        <v>0</v>
      </c>
      <c r="BE1023" s="219">
        <f t="shared" si="474"/>
        <v>0</v>
      </c>
      <c r="BF1023" s="31">
        <f t="shared" si="475"/>
        <v>4</v>
      </c>
      <c r="BG1023" s="219">
        <f t="shared" si="476"/>
        <v>3.2</v>
      </c>
      <c r="BH1023" s="31">
        <f t="shared" si="477"/>
        <v>0</v>
      </c>
      <c r="BI1023" s="219">
        <f t="shared" si="478"/>
        <v>0</v>
      </c>
      <c r="BJ1023" s="31">
        <f t="shared" si="479"/>
        <v>0</v>
      </c>
      <c r="BK1023" s="219">
        <f t="shared" si="480"/>
        <v>0</v>
      </c>
      <c r="BL1023" s="31">
        <f t="shared" si="481"/>
        <v>0</v>
      </c>
      <c r="BM1023" s="219">
        <f t="shared" si="482"/>
        <v>0</v>
      </c>
      <c r="BN1023" s="31">
        <f t="shared" si="483"/>
        <v>0</v>
      </c>
      <c r="BO1023" s="219">
        <f t="shared" si="484"/>
        <v>0</v>
      </c>
    </row>
    <row r="1024" spans="1:67" x14ac:dyDescent="0.25">
      <c r="A1024" s="31" t="s">
        <v>2049</v>
      </c>
      <c r="B1024" s="176" t="str">
        <f>VLOOKUP(A1024,kurspris!$A$1:$B$992,2,FALSE)</f>
        <v>Textila uttryck</v>
      </c>
      <c r="D1024" s="31" t="s">
        <v>117</v>
      </c>
      <c r="F1024" s="31" t="s">
        <v>2273</v>
      </c>
      <c r="I1024" s="31" t="s">
        <v>2275</v>
      </c>
      <c r="L1024" s="38">
        <v>0.5</v>
      </c>
      <c r="M1024" s="511">
        <v>15</v>
      </c>
      <c r="P1024" s="31">
        <v>16</v>
      </c>
      <c r="Q1024" s="196">
        <f>(M1024/60)*P1024</f>
        <v>4</v>
      </c>
      <c r="R1024" s="38">
        <v>0.8</v>
      </c>
      <c r="S1024" s="280">
        <f t="shared" si="457"/>
        <v>3.2</v>
      </c>
      <c r="T1024" s="31">
        <f>VLOOKUP(A1024,'Ansvar kurs'!$A$1:$C$1123,2,FALSE)</f>
        <v>1650</v>
      </c>
      <c r="U1024" s="31" t="str">
        <f>VLOOKUP(T1024,Orgenheter!$A$1:$C$166,2,FALSE)</f>
        <v xml:space="preserve">Estetiska ämnen               </v>
      </c>
      <c r="V1024" s="31" t="str">
        <f>VLOOKUP(T1024,Orgenheter!$A$1:$C$166,3,FALSE)</f>
        <v>Hum</v>
      </c>
      <c r="W1024" s="35" t="str">
        <f>VLOOKUP(D1024,Program!$A$1:$B$36,2,FALSE)</f>
        <v>Fristående och övriga kurser</v>
      </c>
      <c r="X1024" s="40">
        <f>VLOOKUP(A1024,kurspris!$A$1:$Q$913,15,FALSE)</f>
        <v>20757</v>
      </c>
      <c r="Y1024" s="40">
        <f>VLOOKUP(A1024,kurspris!$A$1:$Q$913,16,FALSE)</f>
        <v>36082</v>
      </c>
      <c r="Z1024" s="40">
        <f t="shared" si="458"/>
        <v>198490.40000000002</v>
      </c>
      <c r="AA1024" s="40">
        <f>VLOOKUP(A1024,kurspris!$A$1:$Q$913,17,FALSE)</f>
        <v>22600</v>
      </c>
      <c r="AB1024" s="40">
        <f t="shared" si="459"/>
        <v>90400</v>
      </c>
      <c r="AC1024" s="40">
        <f t="shared" si="460"/>
        <v>288890.40000000002</v>
      </c>
      <c r="AD1024" s="31">
        <f>VLOOKUP($A1024,kurspris!$A$1:$Q$950,3,FALSE)</f>
        <v>0</v>
      </c>
      <c r="AE1024" s="31">
        <f>VLOOKUP($A1024,kurspris!$A$1:$Q$950,4,FALSE)</f>
        <v>0</v>
      </c>
      <c r="AF1024" s="31">
        <f>VLOOKUP($A1024,kurspris!$A$1:$Q$950,5,FALSE)</f>
        <v>0</v>
      </c>
      <c r="AG1024" s="31">
        <f>VLOOKUP($A1024,kurspris!$A$1:$Q$950,6,FALSE)</f>
        <v>0</v>
      </c>
      <c r="AH1024" s="31">
        <f>VLOOKUP($A1024,kurspris!$A$1:$Q$950,7,FALSE)</f>
        <v>0</v>
      </c>
      <c r="AI1024" s="31">
        <f>VLOOKUP($A1024,kurspris!$A$1:$Q$950,8,FALSE)</f>
        <v>0</v>
      </c>
      <c r="AJ1024" s="31">
        <f>VLOOKUP($A1024,kurspris!$A$1:$Q$950,9,FALSE)</f>
        <v>0</v>
      </c>
      <c r="AK1024" s="31">
        <f>VLOOKUP($A1024,kurspris!$A$1:$Q$950,10,FALSE)</f>
        <v>1</v>
      </c>
      <c r="AL1024" s="31">
        <f>VLOOKUP($A1024,kurspris!$A$1:$Q$950,11,FALSE)</f>
        <v>0</v>
      </c>
      <c r="AM1024" s="31">
        <f>VLOOKUP($A1024,kurspris!$A$1:$Q$950,12,FALSE)</f>
        <v>0</v>
      </c>
      <c r="AN1024" s="31">
        <f>VLOOKUP($A1024,kurspris!$A$1:$Q$950,13,FALSE)</f>
        <v>0</v>
      </c>
      <c r="AO1024" s="31">
        <f>VLOOKUP($A1024,kurspris!$A$1:$Q$950,14,FALSE)</f>
        <v>0</v>
      </c>
      <c r="AP1024" s="57" t="s">
        <v>2267</v>
      </c>
      <c r="AQ1024" s="37" t="s">
        <v>2308</v>
      </c>
      <c r="AR1024" s="31">
        <f t="shared" si="461"/>
        <v>0</v>
      </c>
      <c r="AS1024" s="219">
        <f t="shared" si="462"/>
        <v>0</v>
      </c>
      <c r="AT1024" s="31">
        <f t="shared" si="463"/>
        <v>0</v>
      </c>
      <c r="AU1024" s="219">
        <f t="shared" si="464"/>
        <v>0</v>
      </c>
      <c r="AV1024" s="31">
        <f t="shared" si="465"/>
        <v>0</v>
      </c>
      <c r="AW1024" s="31">
        <f t="shared" si="466"/>
        <v>0</v>
      </c>
      <c r="AX1024" s="31">
        <f t="shared" si="467"/>
        <v>0</v>
      </c>
      <c r="AY1024" s="219">
        <f t="shared" si="468"/>
        <v>0</v>
      </c>
      <c r="AZ1024" s="196">
        <f t="shared" si="469"/>
        <v>0</v>
      </c>
      <c r="BA1024" s="219">
        <f t="shared" si="470"/>
        <v>0</v>
      </c>
      <c r="BB1024" s="31">
        <f t="shared" si="471"/>
        <v>0</v>
      </c>
      <c r="BC1024" s="219">
        <f t="shared" si="472"/>
        <v>0</v>
      </c>
      <c r="BD1024" s="31">
        <f t="shared" si="473"/>
        <v>0</v>
      </c>
      <c r="BE1024" s="219">
        <f t="shared" si="474"/>
        <v>0</v>
      </c>
      <c r="BF1024" s="31">
        <f t="shared" si="475"/>
        <v>4</v>
      </c>
      <c r="BG1024" s="219">
        <f t="shared" si="476"/>
        <v>3.2</v>
      </c>
      <c r="BH1024" s="31">
        <f t="shared" si="477"/>
        <v>0</v>
      </c>
      <c r="BI1024" s="219">
        <f t="shared" si="478"/>
        <v>0</v>
      </c>
      <c r="BJ1024" s="31">
        <f t="shared" si="479"/>
        <v>0</v>
      </c>
      <c r="BK1024" s="219">
        <f t="shared" si="480"/>
        <v>0</v>
      </c>
      <c r="BL1024" s="31">
        <f t="shared" si="481"/>
        <v>0</v>
      </c>
      <c r="BM1024" s="219">
        <f t="shared" si="482"/>
        <v>0</v>
      </c>
      <c r="BN1024" s="31">
        <f t="shared" si="483"/>
        <v>0</v>
      </c>
      <c r="BO1024" s="219">
        <f t="shared" si="484"/>
        <v>0</v>
      </c>
    </row>
    <row r="1025" spans="1:67" x14ac:dyDescent="0.25">
      <c r="A1025" s="31" t="s">
        <v>1720</v>
      </c>
      <c r="B1025" s="176" t="str">
        <f>VLOOKUP(A1025,kurspris!$A$1:$B$992,2,FALSE)</f>
        <v>Slöjd 1, textil</v>
      </c>
      <c r="C1025" s="31">
        <v>67204</v>
      </c>
      <c r="D1025" s="60" t="s">
        <v>117</v>
      </c>
      <c r="E1025" s="60"/>
      <c r="F1025" s="57" t="s">
        <v>2274</v>
      </c>
      <c r="H1025" s="31" t="s">
        <v>2335</v>
      </c>
      <c r="I1025" s="31" t="s">
        <v>2275</v>
      </c>
      <c r="L1025" s="38"/>
      <c r="M1025" s="244">
        <v>15</v>
      </c>
      <c r="P1025" s="31">
        <v>31</v>
      </c>
      <c r="Q1025" s="539">
        <v>7.75</v>
      </c>
      <c r="R1025" s="38">
        <v>0.8</v>
      </c>
      <c r="S1025" s="280">
        <f t="shared" si="457"/>
        <v>6.2</v>
      </c>
      <c r="T1025" s="31">
        <f>VLOOKUP(A1025,'Ansvar kurs'!$A$1:$C$1123,2,FALSE)</f>
        <v>1650</v>
      </c>
      <c r="U1025" s="31" t="str">
        <f>VLOOKUP(T1025,Orgenheter!$A$1:$C$166,2,FALSE)</f>
        <v xml:space="preserve">Estetiska ämnen               </v>
      </c>
      <c r="V1025" s="31" t="str">
        <f>VLOOKUP(T1025,Orgenheter!$A$1:$C$166,3,FALSE)</f>
        <v>Hum</v>
      </c>
      <c r="W1025" s="35" t="str">
        <f>VLOOKUP(D1025,Program!$A$1:$B$36,2,FALSE)</f>
        <v>Fristående och övriga kurser</v>
      </c>
      <c r="X1025" s="40">
        <f>VLOOKUP(A1025,kurspris!$A$1:$Q$913,15,FALSE)</f>
        <v>20757</v>
      </c>
      <c r="Y1025" s="40">
        <f>VLOOKUP(A1025,kurspris!$A$1:$Q$913,16,FALSE)</f>
        <v>36082</v>
      </c>
      <c r="Z1025" s="40">
        <f t="shared" si="458"/>
        <v>384575.15</v>
      </c>
      <c r="AA1025" s="40">
        <f>VLOOKUP(A1025,kurspris!$A$1:$Q$913,17,FALSE)</f>
        <v>22600</v>
      </c>
      <c r="AB1025" s="40">
        <f t="shared" si="459"/>
        <v>175150</v>
      </c>
      <c r="AC1025" s="40">
        <f t="shared" si="460"/>
        <v>559725.15</v>
      </c>
      <c r="AD1025" s="31">
        <f>VLOOKUP($A1025,kurspris!$A$1:$Q$950,3,FALSE)</f>
        <v>0</v>
      </c>
      <c r="AE1025" s="31">
        <f>VLOOKUP($A1025,kurspris!$A$1:$Q$950,4,FALSE)</f>
        <v>0</v>
      </c>
      <c r="AF1025" s="31">
        <f>VLOOKUP($A1025,kurspris!$A$1:$Q$950,5,FALSE)</f>
        <v>0</v>
      </c>
      <c r="AG1025" s="31">
        <f>VLOOKUP($A1025,kurspris!$A$1:$Q$950,6,FALSE)</f>
        <v>0</v>
      </c>
      <c r="AH1025" s="31">
        <f>VLOOKUP($A1025,kurspris!$A$1:$Q$950,7,FALSE)</f>
        <v>0</v>
      </c>
      <c r="AI1025" s="31">
        <f>VLOOKUP($A1025,kurspris!$A$1:$Q$950,8,FALSE)</f>
        <v>0</v>
      </c>
      <c r="AJ1025" s="31">
        <f>VLOOKUP($A1025,kurspris!$A$1:$Q$950,9,FALSE)</f>
        <v>0</v>
      </c>
      <c r="AK1025" s="31">
        <f>VLOOKUP($A1025,kurspris!$A$1:$Q$950,10,FALSE)</f>
        <v>1</v>
      </c>
      <c r="AL1025" s="31">
        <f>VLOOKUP($A1025,kurspris!$A$1:$Q$950,11,FALSE)</f>
        <v>0</v>
      </c>
      <c r="AM1025" s="31">
        <f>VLOOKUP($A1025,kurspris!$A$1:$Q$950,12,FALSE)</f>
        <v>0</v>
      </c>
      <c r="AN1025" s="31">
        <f>VLOOKUP($A1025,kurspris!$A$1:$Q$950,13,FALSE)</f>
        <v>0</v>
      </c>
      <c r="AO1025" s="31">
        <f>VLOOKUP($A1025,kurspris!$A$1:$Q$950,14,FALSE)</f>
        <v>0</v>
      </c>
      <c r="AP1025" s="57" t="s">
        <v>2402</v>
      </c>
      <c r="AQ1025" t="s">
        <v>2308</v>
      </c>
      <c r="AR1025" s="31">
        <f t="shared" si="461"/>
        <v>0</v>
      </c>
      <c r="AS1025" s="219">
        <f t="shared" si="462"/>
        <v>0</v>
      </c>
      <c r="AT1025" s="31">
        <f t="shared" si="463"/>
        <v>0</v>
      </c>
      <c r="AU1025" s="219">
        <f t="shared" si="464"/>
        <v>0</v>
      </c>
      <c r="AV1025" s="31">
        <f t="shared" si="465"/>
        <v>0</v>
      </c>
      <c r="AW1025" s="31">
        <f t="shared" si="466"/>
        <v>0</v>
      </c>
      <c r="AX1025" s="31">
        <f t="shared" si="467"/>
        <v>0</v>
      </c>
      <c r="AY1025" s="219">
        <f t="shared" si="468"/>
        <v>0</v>
      </c>
      <c r="AZ1025" s="196">
        <f t="shared" si="469"/>
        <v>0</v>
      </c>
      <c r="BA1025" s="219">
        <f t="shared" si="470"/>
        <v>0</v>
      </c>
      <c r="BB1025" s="31">
        <f t="shared" si="471"/>
        <v>0</v>
      </c>
      <c r="BC1025" s="219">
        <f t="shared" si="472"/>
        <v>0</v>
      </c>
      <c r="BD1025" s="31">
        <f t="shared" si="473"/>
        <v>0</v>
      </c>
      <c r="BE1025" s="219">
        <f t="shared" si="474"/>
        <v>0</v>
      </c>
      <c r="BF1025" s="31">
        <f t="shared" si="475"/>
        <v>7.75</v>
      </c>
      <c r="BG1025" s="219">
        <f t="shared" si="476"/>
        <v>6.2</v>
      </c>
      <c r="BH1025" s="31">
        <f t="shared" si="477"/>
        <v>0</v>
      </c>
      <c r="BI1025" s="219">
        <f t="shared" si="478"/>
        <v>0</v>
      </c>
      <c r="BJ1025" s="31">
        <f t="shared" si="479"/>
        <v>0</v>
      </c>
      <c r="BK1025" s="219">
        <f t="shared" si="480"/>
        <v>0</v>
      </c>
      <c r="BL1025" s="31">
        <f t="shared" si="481"/>
        <v>0</v>
      </c>
      <c r="BM1025" s="219">
        <f t="shared" si="482"/>
        <v>0</v>
      </c>
      <c r="BN1025" s="31">
        <f t="shared" si="483"/>
        <v>0</v>
      </c>
      <c r="BO1025" s="219">
        <f t="shared" si="484"/>
        <v>0</v>
      </c>
    </row>
    <row r="1026" spans="1:67" x14ac:dyDescent="0.25">
      <c r="A1026" s="31" t="s">
        <v>1720</v>
      </c>
      <c r="B1026" s="176" t="str">
        <f>VLOOKUP(A1026,kurspris!$A$1:$B$992,2,FALSE)</f>
        <v>Slöjd 1, textil</v>
      </c>
      <c r="C1026" s="31">
        <v>67301</v>
      </c>
      <c r="D1026" s="60" t="s">
        <v>117</v>
      </c>
      <c r="E1026" s="60"/>
      <c r="F1026" s="57" t="s">
        <v>2274</v>
      </c>
      <c r="H1026" s="31" t="s">
        <v>2335</v>
      </c>
      <c r="I1026" s="31" t="s">
        <v>2275</v>
      </c>
      <c r="L1026" s="38"/>
      <c r="M1026">
        <v>30</v>
      </c>
      <c r="P1026" s="31">
        <v>17</v>
      </c>
      <c r="Q1026" s="539">
        <v>8.5</v>
      </c>
      <c r="R1026" s="38">
        <v>0.8</v>
      </c>
      <c r="S1026" s="280">
        <f t="shared" ref="S1026:S1042" si="487">Q1026*R1026</f>
        <v>6.8000000000000007</v>
      </c>
      <c r="T1026" s="31">
        <f>VLOOKUP(A1026,'Ansvar kurs'!$A$1:$C$1123,2,FALSE)</f>
        <v>1650</v>
      </c>
      <c r="U1026" s="31" t="str">
        <f>VLOOKUP(T1026,Orgenheter!$A$1:$C$166,2,FALSE)</f>
        <v xml:space="preserve">Estetiska ämnen               </v>
      </c>
      <c r="V1026" s="31" t="str">
        <f>VLOOKUP(T1026,Orgenheter!$A$1:$C$166,3,FALSE)</f>
        <v>Hum</v>
      </c>
      <c r="W1026" s="35" t="str">
        <f>VLOOKUP(D1026,Program!$A$1:$B$36,2,FALSE)</f>
        <v>Fristående och övriga kurser</v>
      </c>
      <c r="X1026" s="40">
        <f>VLOOKUP(A1026,kurspris!$A$1:$Q$913,15,FALSE)</f>
        <v>20757</v>
      </c>
      <c r="Y1026" s="40">
        <f>VLOOKUP(A1026,kurspris!$A$1:$Q$913,16,FALSE)</f>
        <v>36082</v>
      </c>
      <c r="Z1026" s="40">
        <f t="shared" ref="Z1026:Z1042" si="488">X1026*Q1026+S1026*Y1026</f>
        <v>421792.10000000003</v>
      </c>
      <c r="AA1026" s="40">
        <f>VLOOKUP(A1026,kurspris!$A$1:$Q$913,17,FALSE)</f>
        <v>22600</v>
      </c>
      <c r="AB1026" s="40">
        <f t="shared" ref="AB1026:AB1042" si="489">AA1026*Q1026</f>
        <v>192100</v>
      </c>
      <c r="AC1026" s="40">
        <f t="shared" ref="AC1026:AC1042" si="490">Z1026+AB1026</f>
        <v>613892.10000000009</v>
      </c>
      <c r="AD1026" s="31">
        <f>VLOOKUP($A1026,kurspris!$A$1:$Q$950,3,FALSE)</f>
        <v>0</v>
      </c>
      <c r="AE1026" s="31">
        <f>VLOOKUP($A1026,kurspris!$A$1:$Q$950,4,FALSE)</f>
        <v>0</v>
      </c>
      <c r="AF1026" s="31">
        <f>VLOOKUP($A1026,kurspris!$A$1:$Q$950,5,FALSE)</f>
        <v>0</v>
      </c>
      <c r="AG1026" s="31">
        <f>VLOOKUP($A1026,kurspris!$A$1:$Q$950,6,FALSE)</f>
        <v>0</v>
      </c>
      <c r="AH1026" s="31">
        <f>VLOOKUP($A1026,kurspris!$A$1:$Q$950,7,FALSE)</f>
        <v>0</v>
      </c>
      <c r="AI1026" s="31">
        <f>VLOOKUP($A1026,kurspris!$A$1:$Q$950,8,FALSE)</f>
        <v>0</v>
      </c>
      <c r="AJ1026" s="31">
        <f>VLOOKUP($A1026,kurspris!$A$1:$Q$950,9,FALSE)</f>
        <v>0</v>
      </c>
      <c r="AK1026" s="31">
        <f>VLOOKUP($A1026,kurspris!$A$1:$Q$950,10,FALSE)</f>
        <v>1</v>
      </c>
      <c r="AL1026" s="31">
        <f>VLOOKUP($A1026,kurspris!$A$1:$Q$950,11,FALSE)</f>
        <v>0</v>
      </c>
      <c r="AM1026" s="31">
        <f>VLOOKUP($A1026,kurspris!$A$1:$Q$950,12,FALSE)</f>
        <v>0</v>
      </c>
      <c r="AN1026" s="31">
        <f>VLOOKUP($A1026,kurspris!$A$1:$Q$950,13,FALSE)</f>
        <v>0</v>
      </c>
      <c r="AO1026" s="31">
        <f>VLOOKUP($A1026,kurspris!$A$1:$Q$950,14,FALSE)</f>
        <v>0</v>
      </c>
      <c r="AP1026" s="57" t="s">
        <v>2402</v>
      </c>
      <c r="AQ1026"/>
      <c r="AR1026" s="31">
        <f t="shared" ref="AR1026:AR1042" si="491">$Q1026*AD1026</f>
        <v>0</v>
      </c>
      <c r="AS1026" s="219">
        <f t="shared" ref="AS1026:AS1042" si="492">$S1026*AD1026</f>
        <v>0</v>
      </c>
      <c r="AT1026" s="31">
        <f t="shared" ref="AT1026:AT1042" si="493">$Q1026*AE1026</f>
        <v>0</v>
      </c>
      <c r="AU1026" s="219">
        <f t="shared" ref="AU1026:AU1042" si="494">$S1026*AE1026</f>
        <v>0</v>
      </c>
      <c r="AV1026" s="31">
        <f t="shared" ref="AV1026:AV1042" si="495">$Q1026*AF1026</f>
        <v>0</v>
      </c>
      <c r="AW1026" s="31">
        <f t="shared" ref="AW1026:AW1042" si="496">$S1026*AF1026</f>
        <v>0</v>
      </c>
      <c r="AX1026" s="31">
        <f t="shared" ref="AX1026:AX1042" si="497">$Q1026*AG1026</f>
        <v>0</v>
      </c>
      <c r="AY1026" s="219">
        <f t="shared" ref="AY1026:AY1042" si="498">$S1026*AG1026</f>
        <v>0</v>
      </c>
      <c r="AZ1026" s="196">
        <f t="shared" ref="AZ1026:AZ1042" si="499">$Q1026*AH1026</f>
        <v>0</v>
      </c>
      <c r="BA1026" s="219">
        <f t="shared" ref="BA1026:BA1042" si="500">$S1026*AH1026</f>
        <v>0</v>
      </c>
      <c r="BB1026" s="31">
        <f t="shared" ref="BB1026:BB1042" si="501">$Q1026*AI1026</f>
        <v>0</v>
      </c>
      <c r="BC1026" s="219">
        <f t="shared" ref="BC1026:BC1042" si="502">$S1026*AI1026</f>
        <v>0</v>
      </c>
      <c r="BD1026" s="31">
        <f t="shared" ref="BD1026:BD1042" si="503">$Q1026*AJ1026</f>
        <v>0</v>
      </c>
      <c r="BE1026" s="219">
        <f t="shared" ref="BE1026:BE1042" si="504">$S1026*AJ1026</f>
        <v>0</v>
      </c>
      <c r="BF1026" s="31">
        <f t="shared" ref="BF1026:BF1042" si="505">$Q1026*AK1026</f>
        <v>8.5</v>
      </c>
      <c r="BG1026" s="219">
        <f t="shared" ref="BG1026:BG1042" si="506">$S1026*AK1026</f>
        <v>6.8000000000000007</v>
      </c>
      <c r="BH1026" s="31">
        <f t="shared" ref="BH1026:BH1042" si="507">$Q1026*AL1026</f>
        <v>0</v>
      </c>
      <c r="BI1026" s="219">
        <f t="shared" ref="BI1026:BI1042" si="508">$S1026*AL1026</f>
        <v>0</v>
      </c>
      <c r="BJ1026" s="31">
        <f t="shared" ref="BJ1026:BJ1042" si="509">$Q1026*AM1026</f>
        <v>0</v>
      </c>
      <c r="BK1026" s="219">
        <f t="shared" ref="BK1026:BK1042" si="510">$S1026*AM1026</f>
        <v>0</v>
      </c>
      <c r="BL1026" s="31">
        <f t="shared" ref="BL1026:BL1042" si="511">$Q1026*AN1026</f>
        <v>0</v>
      </c>
      <c r="BM1026" s="219">
        <f t="shared" ref="BM1026:BM1042" si="512">$S1026*AN1026</f>
        <v>0</v>
      </c>
      <c r="BN1026" s="31">
        <f t="shared" ref="BN1026:BN1042" si="513">$Q1026*AO1026</f>
        <v>0</v>
      </c>
      <c r="BO1026" s="219">
        <f t="shared" ref="BO1026:BO1042" si="514">$S1026*AO1026</f>
        <v>0</v>
      </c>
    </row>
    <row r="1027" spans="1:67" x14ac:dyDescent="0.25">
      <c r="A1027" s="31" t="s">
        <v>1720</v>
      </c>
      <c r="B1027" s="176" t="str">
        <f>VLOOKUP(A1027,kurspris!$A$1:$B$992,2,FALSE)</f>
        <v>Slöjd 1, textil</v>
      </c>
      <c r="D1027" s="31" t="s">
        <v>117</v>
      </c>
      <c r="F1027" s="31" t="s">
        <v>2273</v>
      </c>
      <c r="I1027" s="31" t="s">
        <v>2275</v>
      </c>
      <c r="L1027" s="38">
        <v>0.5</v>
      </c>
      <c r="M1027" s="511">
        <v>15</v>
      </c>
      <c r="P1027" s="31">
        <v>34</v>
      </c>
      <c r="Q1027" s="196">
        <f>(M1027/60)*P1027</f>
        <v>8.5</v>
      </c>
      <c r="R1027" s="38">
        <v>0.8</v>
      </c>
      <c r="S1027" s="280">
        <f t="shared" si="487"/>
        <v>6.8000000000000007</v>
      </c>
      <c r="T1027" s="31">
        <f>VLOOKUP(A1027,'Ansvar kurs'!$A$1:$C$1123,2,FALSE)</f>
        <v>1650</v>
      </c>
      <c r="U1027" s="31" t="str">
        <f>VLOOKUP(T1027,Orgenheter!$A$1:$C$166,2,FALSE)</f>
        <v xml:space="preserve">Estetiska ämnen               </v>
      </c>
      <c r="V1027" s="31" t="str">
        <f>VLOOKUP(T1027,Orgenheter!$A$1:$C$166,3,FALSE)</f>
        <v>Hum</v>
      </c>
      <c r="W1027" s="35" t="str">
        <f>VLOOKUP(D1027,Program!$A$1:$B$36,2,FALSE)</f>
        <v>Fristående och övriga kurser</v>
      </c>
      <c r="X1027" s="40">
        <f>VLOOKUP(A1027,kurspris!$A$1:$Q$913,15,FALSE)</f>
        <v>20757</v>
      </c>
      <c r="Y1027" s="40">
        <f>VLOOKUP(A1027,kurspris!$A$1:$Q$913,16,FALSE)</f>
        <v>36082</v>
      </c>
      <c r="Z1027" s="40">
        <f t="shared" si="488"/>
        <v>421792.10000000003</v>
      </c>
      <c r="AA1027" s="40">
        <f>VLOOKUP(A1027,kurspris!$A$1:$Q$913,17,FALSE)</f>
        <v>22600</v>
      </c>
      <c r="AB1027" s="40">
        <f t="shared" si="489"/>
        <v>192100</v>
      </c>
      <c r="AC1027" s="40">
        <f t="shared" si="490"/>
        <v>613892.10000000009</v>
      </c>
      <c r="AD1027" s="31">
        <f>VLOOKUP($A1027,kurspris!$A$1:$Q$950,3,FALSE)</f>
        <v>0</v>
      </c>
      <c r="AE1027" s="31">
        <f>VLOOKUP($A1027,kurspris!$A$1:$Q$950,4,FALSE)</f>
        <v>0</v>
      </c>
      <c r="AF1027" s="31">
        <f>VLOOKUP($A1027,kurspris!$A$1:$Q$950,5,FALSE)</f>
        <v>0</v>
      </c>
      <c r="AG1027" s="31">
        <f>VLOOKUP($A1027,kurspris!$A$1:$Q$950,6,FALSE)</f>
        <v>0</v>
      </c>
      <c r="AH1027" s="31">
        <f>VLOOKUP($A1027,kurspris!$A$1:$Q$950,7,FALSE)</f>
        <v>0</v>
      </c>
      <c r="AI1027" s="31">
        <f>VLOOKUP($A1027,kurspris!$A$1:$Q$950,8,FALSE)</f>
        <v>0</v>
      </c>
      <c r="AJ1027" s="31">
        <f>VLOOKUP($A1027,kurspris!$A$1:$Q$950,9,FALSE)</f>
        <v>0</v>
      </c>
      <c r="AK1027" s="31">
        <f>VLOOKUP($A1027,kurspris!$A$1:$Q$950,10,FALSE)</f>
        <v>1</v>
      </c>
      <c r="AL1027" s="31">
        <f>VLOOKUP($A1027,kurspris!$A$1:$Q$950,11,FALSE)</f>
        <v>0</v>
      </c>
      <c r="AM1027" s="31">
        <f>VLOOKUP($A1027,kurspris!$A$1:$Q$950,12,FALSE)</f>
        <v>0</v>
      </c>
      <c r="AN1027" s="31">
        <f>VLOOKUP($A1027,kurspris!$A$1:$Q$950,13,FALSE)</f>
        <v>0</v>
      </c>
      <c r="AO1027" s="31">
        <f>VLOOKUP($A1027,kurspris!$A$1:$Q$950,14,FALSE)</f>
        <v>0</v>
      </c>
      <c r="AP1027" s="57" t="s">
        <v>2267</v>
      </c>
      <c r="AQ1027" s="37" t="s">
        <v>2308</v>
      </c>
      <c r="AR1027" s="31">
        <f t="shared" si="491"/>
        <v>0</v>
      </c>
      <c r="AS1027" s="219">
        <f t="shared" si="492"/>
        <v>0</v>
      </c>
      <c r="AT1027" s="31">
        <f t="shared" si="493"/>
        <v>0</v>
      </c>
      <c r="AU1027" s="219">
        <f t="shared" si="494"/>
        <v>0</v>
      </c>
      <c r="AV1027" s="31">
        <f t="shared" si="495"/>
        <v>0</v>
      </c>
      <c r="AW1027" s="31">
        <f t="shared" si="496"/>
        <v>0</v>
      </c>
      <c r="AX1027" s="31">
        <f t="shared" si="497"/>
        <v>0</v>
      </c>
      <c r="AY1027" s="219">
        <f t="shared" si="498"/>
        <v>0</v>
      </c>
      <c r="AZ1027" s="196">
        <f t="shared" si="499"/>
        <v>0</v>
      </c>
      <c r="BA1027" s="219">
        <f t="shared" si="500"/>
        <v>0</v>
      </c>
      <c r="BB1027" s="31">
        <f t="shared" si="501"/>
        <v>0</v>
      </c>
      <c r="BC1027" s="219">
        <f t="shared" si="502"/>
        <v>0</v>
      </c>
      <c r="BD1027" s="31">
        <f t="shared" si="503"/>
        <v>0</v>
      </c>
      <c r="BE1027" s="219">
        <f t="shared" si="504"/>
        <v>0</v>
      </c>
      <c r="BF1027" s="31">
        <f t="shared" si="505"/>
        <v>8.5</v>
      </c>
      <c r="BG1027" s="219">
        <f t="shared" si="506"/>
        <v>6.8000000000000007</v>
      </c>
      <c r="BH1027" s="31">
        <f t="shared" si="507"/>
        <v>0</v>
      </c>
      <c r="BI1027" s="219">
        <f t="shared" si="508"/>
        <v>0</v>
      </c>
      <c r="BJ1027" s="31">
        <f t="shared" si="509"/>
        <v>0</v>
      </c>
      <c r="BK1027" s="219">
        <f t="shared" si="510"/>
        <v>0</v>
      </c>
      <c r="BL1027" s="31">
        <f t="shared" si="511"/>
        <v>0</v>
      </c>
      <c r="BM1027" s="219">
        <f t="shared" si="512"/>
        <v>0</v>
      </c>
      <c r="BN1027" s="31">
        <f t="shared" si="513"/>
        <v>0</v>
      </c>
      <c r="BO1027" s="219">
        <f t="shared" si="514"/>
        <v>0</v>
      </c>
    </row>
    <row r="1028" spans="1:67" x14ac:dyDescent="0.25">
      <c r="A1028" s="31" t="s">
        <v>1720</v>
      </c>
      <c r="B1028" s="176" t="str">
        <f>VLOOKUP(A1028,kurspris!$A$1:$B$992,2,FALSE)</f>
        <v>Slöjd 1, textil</v>
      </c>
      <c r="C1028" s="31">
        <v>67204</v>
      </c>
      <c r="D1028" s="60" t="s">
        <v>84</v>
      </c>
      <c r="E1028" s="60"/>
      <c r="F1028" s="57" t="s">
        <v>2274</v>
      </c>
      <c r="H1028" s="31" t="s">
        <v>2335</v>
      </c>
      <c r="I1028" s="31" t="s">
        <v>2275</v>
      </c>
      <c r="J1028" s="31" t="s">
        <v>2396</v>
      </c>
      <c r="L1028" s="38"/>
      <c r="M1028" s="244">
        <v>15</v>
      </c>
      <c r="P1028" s="31">
        <v>1</v>
      </c>
      <c r="Q1028" s="539">
        <v>0.25</v>
      </c>
      <c r="R1028" s="38">
        <v>0.85</v>
      </c>
      <c r="S1028" s="280">
        <f t="shared" si="487"/>
        <v>0.21249999999999999</v>
      </c>
      <c r="T1028" s="31">
        <f>VLOOKUP(A1028,'Ansvar kurs'!$A$1:$C$1123,2,FALSE)</f>
        <v>1650</v>
      </c>
      <c r="U1028" s="31" t="str">
        <f>VLOOKUP(T1028,Orgenheter!$A$1:$C$166,2,FALSE)</f>
        <v xml:space="preserve">Estetiska ämnen               </v>
      </c>
      <c r="V1028" s="31" t="str">
        <f>VLOOKUP(T1028,Orgenheter!$A$1:$C$166,3,FALSE)</f>
        <v>Hum</v>
      </c>
      <c r="W1028" s="35" t="str">
        <f>VLOOKUP(D1028,Program!$A$1:$B$36,2,FALSE)</f>
        <v>VAL-projektet</v>
      </c>
      <c r="X1028" s="40">
        <f>VLOOKUP(A1028,kurspris!$A$1:$Q$913,15,FALSE)</f>
        <v>20757</v>
      </c>
      <c r="Y1028" s="40">
        <f>VLOOKUP(A1028,kurspris!$A$1:$Q$913,16,FALSE)</f>
        <v>36082</v>
      </c>
      <c r="Z1028" s="40">
        <f t="shared" si="488"/>
        <v>12856.674999999999</v>
      </c>
      <c r="AA1028" s="40">
        <f>VLOOKUP(A1028,kurspris!$A$1:$Q$913,17,FALSE)</f>
        <v>22600</v>
      </c>
      <c r="AB1028" s="40">
        <f t="shared" si="489"/>
        <v>5650</v>
      </c>
      <c r="AC1028" s="40">
        <f t="shared" si="490"/>
        <v>18506.674999999999</v>
      </c>
      <c r="AD1028" s="31">
        <f>VLOOKUP($A1028,kurspris!$A$1:$Q$950,3,FALSE)</f>
        <v>0</v>
      </c>
      <c r="AE1028" s="31">
        <f>VLOOKUP($A1028,kurspris!$A$1:$Q$950,4,FALSE)</f>
        <v>0</v>
      </c>
      <c r="AF1028" s="31">
        <f>VLOOKUP($A1028,kurspris!$A$1:$Q$950,5,FALSE)</f>
        <v>0</v>
      </c>
      <c r="AG1028" s="31">
        <f>VLOOKUP($A1028,kurspris!$A$1:$Q$950,6,FALSE)</f>
        <v>0</v>
      </c>
      <c r="AH1028" s="31">
        <f>VLOOKUP($A1028,kurspris!$A$1:$Q$950,7,FALSE)</f>
        <v>0</v>
      </c>
      <c r="AI1028" s="31">
        <f>VLOOKUP($A1028,kurspris!$A$1:$Q$950,8,FALSE)</f>
        <v>0</v>
      </c>
      <c r="AJ1028" s="31">
        <f>VLOOKUP($A1028,kurspris!$A$1:$Q$950,9,FALSE)</f>
        <v>0</v>
      </c>
      <c r="AK1028" s="31">
        <f>VLOOKUP($A1028,kurspris!$A$1:$Q$950,10,FALSE)</f>
        <v>1</v>
      </c>
      <c r="AL1028" s="31">
        <f>VLOOKUP($A1028,kurspris!$A$1:$Q$950,11,FALSE)</f>
        <v>0</v>
      </c>
      <c r="AM1028" s="31">
        <f>VLOOKUP($A1028,kurspris!$A$1:$Q$950,12,FALSE)</f>
        <v>0</v>
      </c>
      <c r="AN1028" s="31">
        <f>VLOOKUP($A1028,kurspris!$A$1:$Q$950,13,FALSE)</f>
        <v>0</v>
      </c>
      <c r="AO1028" s="31">
        <f>VLOOKUP($A1028,kurspris!$A$1:$Q$950,14,FALSE)</f>
        <v>0</v>
      </c>
      <c r="AP1028" s="57" t="s">
        <v>2402</v>
      </c>
      <c r="AQ1028" t="s">
        <v>2308</v>
      </c>
      <c r="AR1028" s="31">
        <f t="shared" si="491"/>
        <v>0</v>
      </c>
      <c r="AS1028" s="219">
        <f t="shared" si="492"/>
        <v>0</v>
      </c>
      <c r="AT1028" s="31">
        <f t="shared" si="493"/>
        <v>0</v>
      </c>
      <c r="AU1028" s="219">
        <f t="shared" si="494"/>
        <v>0</v>
      </c>
      <c r="AV1028" s="31">
        <f t="shared" si="495"/>
        <v>0</v>
      </c>
      <c r="AW1028" s="31">
        <f t="shared" si="496"/>
        <v>0</v>
      </c>
      <c r="AX1028" s="31">
        <f t="shared" si="497"/>
        <v>0</v>
      </c>
      <c r="AY1028" s="219">
        <f t="shared" si="498"/>
        <v>0</v>
      </c>
      <c r="AZ1028" s="196">
        <f t="shared" si="499"/>
        <v>0</v>
      </c>
      <c r="BA1028" s="219">
        <f t="shared" si="500"/>
        <v>0</v>
      </c>
      <c r="BB1028" s="31">
        <f t="shared" si="501"/>
        <v>0</v>
      </c>
      <c r="BC1028" s="219">
        <f t="shared" si="502"/>
        <v>0</v>
      </c>
      <c r="BD1028" s="31">
        <f t="shared" si="503"/>
        <v>0</v>
      </c>
      <c r="BE1028" s="219">
        <f t="shared" si="504"/>
        <v>0</v>
      </c>
      <c r="BF1028" s="31">
        <f t="shared" si="505"/>
        <v>0.25</v>
      </c>
      <c r="BG1028" s="219">
        <f t="shared" si="506"/>
        <v>0.21249999999999999</v>
      </c>
      <c r="BH1028" s="31">
        <f t="shared" si="507"/>
        <v>0</v>
      </c>
      <c r="BI1028" s="219">
        <f t="shared" si="508"/>
        <v>0</v>
      </c>
      <c r="BJ1028" s="31">
        <f t="shared" si="509"/>
        <v>0</v>
      </c>
      <c r="BK1028" s="219">
        <f t="shared" si="510"/>
        <v>0</v>
      </c>
      <c r="BL1028" s="31">
        <f t="shared" si="511"/>
        <v>0</v>
      </c>
      <c r="BM1028" s="219">
        <f t="shared" si="512"/>
        <v>0</v>
      </c>
      <c r="BN1028" s="31">
        <f t="shared" si="513"/>
        <v>0</v>
      </c>
      <c r="BO1028" s="219">
        <f t="shared" si="514"/>
        <v>0</v>
      </c>
    </row>
    <row r="1029" spans="1:67" x14ac:dyDescent="0.25">
      <c r="A1029" s="31" t="s">
        <v>2051</v>
      </c>
      <c r="B1029" s="176" t="str">
        <f>VLOOKUP(A1029,kurspris!$A$1:$B$992,2,FALSE)</f>
        <v>Väv- och kläddesign fördjupning</v>
      </c>
      <c r="C1029" s="31">
        <v>67300</v>
      </c>
      <c r="D1029" s="60" t="s">
        <v>117</v>
      </c>
      <c r="E1029" s="60"/>
      <c r="F1029" s="57" t="s">
        <v>2274</v>
      </c>
      <c r="H1029" s="31" t="s">
        <v>2335</v>
      </c>
      <c r="I1029" s="31" t="s">
        <v>2275</v>
      </c>
      <c r="L1029" s="38"/>
      <c r="M1029">
        <v>15</v>
      </c>
      <c r="P1029" s="31">
        <v>10</v>
      </c>
      <c r="Q1029" s="539">
        <v>2.5</v>
      </c>
      <c r="R1029" s="38">
        <v>0.8</v>
      </c>
      <c r="S1029" s="280">
        <f t="shared" si="487"/>
        <v>2</v>
      </c>
      <c r="T1029" s="31">
        <f>VLOOKUP(A1029,'Ansvar kurs'!$A$1:$C$1123,2,FALSE)</f>
        <v>1650</v>
      </c>
      <c r="U1029" s="31" t="str">
        <f>VLOOKUP(T1029,Orgenheter!$A$1:$C$166,2,FALSE)</f>
        <v xml:space="preserve">Estetiska ämnen               </v>
      </c>
      <c r="V1029" s="31" t="str">
        <f>VLOOKUP(T1029,Orgenheter!$A$1:$C$166,3,FALSE)</f>
        <v>Hum</v>
      </c>
      <c r="W1029" s="35" t="str">
        <f>VLOOKUP(D1029,Program!$A$1:$B$36,2,FALSE)</f>
        <v>Fristående och övriga kurser</v>
      </c>
      <c r="X1029" s="40">
        <f>VLOOKUP(A1029,kurspris!$A$1:$Q$913,15,FALSE)</f>
        <v>20766</v>
      </c>
      <c r="Y1029" s="40">
        <f>VLOOKUP(A1029,kurspris!$A$1:$Q$913,16,FALSE)</f>
        <v>17442</v>
      </c>
      <c r="Z1029" s="40">
        <f t="shared" si="488"/>
        <v>86799</v>
      </c>
      <c r="AA1029" s="40">
        <f>VLOOKUP(A1029,kurspris!$A$1:$Q$913,17,FALSE)</f>
        <v>6000</v>
      </c>
      <c r="AB1029" s="40">
        <f t="shared" si="489"/>
        <v>15000</v>
      </c>
      <c r="AC1029" s="40">
        <f t="shared" si="490"/>
        <v>101799</v>
      </c>
      <c r="AD1029" s="31">
        <f>VLOOKUP($A1029,kurspris!$A$1:$Q$950,3,FALSE)</f>
        <v>0</v>
      </c>
      <c r="AE1029" s="31">
        <f>VLOOKUP($A1029,kurspris!$A$1:$Q$950,4,FALSE)</f>
        <v>1</v>
      </c>
      <c r="AF1029" s="31">
        <f>VLOOKUP($A1029,kurspris!$A$1:$Q$950,5,FALSE)</f>
        <v>0</v>
      </c>
      <c r="AG1029" s="31">
        <f>VLOOKUP($A1029,kurspris!$A$1:$Q$950,6,FALSE)</f>
        <v>0</v>
      </c>
      <c r="AH1029" s="31">
        <f>VLOOKUP($A1029,kurspris!$A$1:$Q$950,7,FALSE)</f>
        <v>0</v>
      </c>
      <c r="AI1029" s="31">
        <f>VLOOKUP($A1029,kurspris!$A$1:$Q$950,8,FALSE)</f>
        <v>0</v>
      </c>
      <c r="AJ1029" s="31">
        <f>VLOOKUP($A1029,kurspris!$A$1:$Q$950,9,FALSE)</f>
        <v>0</v>
      </c>
      <c r="AK1029" s="31">
        <f>VLOOKUP($A1029,kurspris!$A$1:$Q$950,10,FALSE)</f>
        <v>0</v>
      </c>
      <c r="AL1029" s="31">
        <f>VLOOKUP($A1029,kurspris!$A$1:$Q$950,11,FALSE)</f>
        <v>0</v>
      </c>
      <c r="AM1029" s="31">
        <f>VLOOKUP($A1029,kurspris!$A$1:$Q$950,12,FALSE)</f>
        <v>0</v>
      </c>
      <c r="AN1029" s="31">
        <f>VLOOKUP($A1029,kurspris!$A$1:$Q$950,13,FALSE)</f>
        <v>0</v>
      </c>
      <c r="AO1029" s="31">
        <f>VLOOKUP($A1029,kurspris!$A$1:$Q$950,14,FALSE)</f>
        <v>0</v>
      </c>
      <c r="AP1029" s="57" t="s">
        <v>2402</v>
      </c>
      <c r="AQ1029"/>
      <c r="AR1029" s="31">
        <f t="shared" si="491"/>
        <v>0</v>
      </c>
      <c r="AS1029" s="219">
        <f t="shared" si="492"/>
        <v>0</v>
      </c>
      <c r="AT1029" s="31">
        <f t="shared" si="493"/>
        <v>2.5</v>
      </c>
      <c r="AU1029" s="219">
        <f t="shared" si="494"/>
        <v>2</v>
      </c>
      <c r="AV1029" s="31">
        <f t="shared" si="495"/>
        <v>0</v>
      </c>
      <c r="AW1029" s="31">
        <f t="shared" si="496"/>
        <v>0</v>
      </c>
      <c r="AX1029" s="31">
        <f t="shared" si="497"/>
        <v>0</v>
      </c>
      <c r="AY1029" s="219">
        <f t="shared" si="498"/>
        <v>0</v>
      </c>
      <c r="AZ1029" s="196">
        <f t="shared" si="499"/>
        <v>0</v>
      </c>
      <c r="BA1029" s="219">
        <f t="shared" si="500"/>
        <v>0</v>
      </c>
      <c r="BB1029" s="31">
        <f t="shared" si="501"/>
        <v>0</v>
      </c>
      <c r="BC1029" s="219">
        <f t="shared" si="502"/>
        <v>0</v>
      </c>
      <c r="BD1029" s="31">
        <f t="shared" si="503"/>
        <v>0</v>
      </c>
      <c r="BE1029" s="219">
        <f t="shared" si="504"/>
        <v>0</v>
      </c>
      <c r="BF1029" s="31">
        <f t="shared" si="505"/>
        <v>0</v>
      </c>
      <c r="BG1029" s="219">
        <f t="shared" si="506"/>
        <v>0</v>
      </c>
      <c r="BH1029" s="31">
        <f t="shared" si="507"/>
        <v>0</v>
      </c>
      <c r="BI1029" s="219">
        <f t="shared" si="508"/>
        <v>0</v>
      </c>
      <c r="BJ1029" s="31">
        <f t="shared" si="509"/>
        <v>0</v>
      </c>
      <c r="BK1029" s="219">
        <f t="shared" si="510"/>
        <v>0</v>
      </c>
      <c r="BL1029" s="31">
        <f t="shared" si="511"/>
        <v>0</v>
      </c>
      <c r="BM1029" s="219">
        <f t="shared" si="512"/>
        <v>0</v>
      </c>
      <c r="BN1029" s="31">
        <f t="shared" si="513"/>
        <v>0</v>
      </c>
      <c r="BO1029" s="219">
        <f t="shared" si="514"/>
        <v>0</v>
      </c>
    </row>
    <row r="1030" spans="1:67" x14ac:dyDescent="0.25">
      <c r="A1030" s="31" t="s">
        <v>2270</v>
      </c>
      <c r="B1030" s="176" t="str">
        <f>VLOOKUP(A1030,kurspris!$A$1:$B$992,2,FALSE)</f>
        <v>Kläddesign</v>
      </c>
      <c r="D1030" s="31" t="s">
        <v>117</v>
      </c>
      <c r="F1030" s="31" t="s">
        <v>2273</v>
      </c>
      <c r="I1030" s="31" t="s">
        <v>2275</v>
      </c>
      <c r="L1030" s="38">
        <v>0.5</v>
      </c>
      <c r="M1030" s="325">
        <v>15</v>
      </c>
      <c r="P1030" s="31">
        <v>16</v>
      </c>
      <c r="Q1030" s="196">
        <f>(M1030/60)*P1030</f>
        <v>4</v>
      </c>
      <c r="R1030" s="38">
        <v>0.8</v>
      </c>
      <c r="S1030" s="280">
        <f t="shared" si="487"/>
        <v>3.2</v>
      </c>
      <c r="T1030" s="31">
        <f>VLOOKUP(A1030,'Ansvar kurs'!$A$1:$C$1123,2,FALSE)</f>
        <v>1650</v>
      </c>
      <c r="U1030" s="31" t="str">
        <f>VLOOKUP(T1030,Orgenheter!$A$1:$C$166,2,FALSE)</f>
        <v xml:space="preserve">Estetiska ämnen               </v>
      </c>
      <c r="V1030" s="31" t="str">
        <f>VLOOKUP(T1030,Orgenheter!$A$1:$C$166,3,FALSE)</f>
        <v>Hum</v>
      </c>
      <c r="W1030" s="35" t="str">
        <f>VLOOKUP(D1030,Program!$A$1:$B$36,2,FALSE)</f>
        <v>Fristående och övriga kurser</v>
      </c>
      <c r="X1030" s="40">
        <f>VLOOKUP(A1030,kurspris!$A$1:$Q$913,15,FALSE)</f>
        <v>20757</v>
      </c>
      <c r="Y1030" s="40">
        <f>VLOOKUP(A1030,kurspris!$A$1:$Q$913,16,FALSE)</f>
        <v>36082</v>
      </c>
      <c r="Z1030" s="40">
        <f t="shared" si="488"/>
        <v>198490.40000000002</v>
      </c>
      <c r="AA1030" s="40">
        <f>VLOOKUP(A1030,kurspris!$A$1:$Q$913,17,FALSE)</f>
        <v>22600</v>
      </c>
      <c r="AB1030" s="40">
        <f t="shared" si="489"/>
        <v>90400</v>
      </c>
      <c r="AC1030" s="40">
        <f t="shared" si="490"/>
        <v>288890.40000000002</v>
      </c>
      <c r="AD1030" s="31">
        <f>VLOOKUP($A1030,kurspris!$A$1:$Q$950,3,FALSE)</f>
        <v>0</v>
      </c>
      <c r="AE1030" s="31">
        <f>VLOOKUP($A1030,kurspris!$A$1:$Q$950,4,FALSE)</f>
        <v>0</v>
      </c>
      <c r="AF1030" s="31">
        <f>VLOOKUP($A1030,kurspris!$A$1:$Q$950,5,FALSE)</f>
        <v>0</v>
      </c>
      <c r="AG1030" s="31">
        <f>VLOOKUP($A1030,kurspris!$A$1:$Q$950,6,FALSE)</f>
        <v>0</v>
      </c>
      <c r="AH1030" s="31">
        <f>VLOOKUP($A1030,kurspris!$A$1:$Q$950,7,FALSE)</f>
        <v>0</v>
      </c>
      <c r="AI1030" s="31">
        <f>VLOOKUP($A1030,kurspris!$A$1:$Q$950,8,FALSE)</f>
        <v>0</v>
      </c>
      <c r="AJ1030" s="31">
        <f>VLOOKUP($A1030,kurspris!$A$1:$Q$950,9,FALSE)</f>
        <v>0</v>
      </c>
      <c r="AK1030" s="31">
        <f>VLOOKUP($A1030,kurspris!$A$1:$Q$950,10,FALSE)</f>
        <v>1</v>
      </c>
      <c r="AL1030" s="31">
        <f>VLOOKUP($A1030,kurspris!$A$1:$Q$950,11,FALSE)</f>
        <v>0</v>
      </c>
      <c r="AM1030" s="31">
        <f>VLOOKUP($A1030,kurspris!$A$1:$Q$950,12,FALSE)</f>
        <v>0</v>
      </c>
      <c r="AN1030" s="31">
        <f>VLOOKUP($A1030,kurspris!$A$1:$Q$950,13,FALSE)</f>
        <v>0</v>
      </c>
      <c r="AO1030" s="31">
        <f>VLOOKUP($A1030,kurspris!$A$1:$Q$950,14,FALSE)</f>
        <v>0</v>
      </c>
      <c r="AP1030" s="57" t="s">
        <v>2267</v>
      </c>
      <c r="AQ1030" s="37"/>
      <c r="AR1030" s="31">
        <f t="shared" si="491"/>
        <v>0</v>
      </c>
      <c r="AS1030" s="219">
        <f t="shared" si="492"/>
        <v>0</v>
      </c>
      <c r="AT1030" s="31">
        <f t="shared" si="493"/>
        <v>0</v>
      </c>
      <c r="AU1030" s="219">
        <f t="shared" si="494"/>
        <v>0</v>
      </c>
      <c r="AV1030" s="31">
        <f t="shared" si="495"/>
        <v>0</v>
      </c>
      <c r="AW1030" s="31">
        <f t="shared" si="496"/>
        <v>0</v>
      </c>
      <c r="AX1030" s="31">
        <f t="shared" si="497"/>
        <v>0</v>
      </c>
      <c r="AY1030" s="219">
        <f t="shared" si="498"/>
        <v>0</v>
      </c>
      <c r="AZ1030" s="196">
        <f t="shared" si="499"/>
        <v>0</v>
      </c>
      <c r="BA1030" s="219">
        <f t="shared" si="500"/>
        <v>0</v>
      </c>
      <c r="BB1030" s="31">
        <f t="shared" si="501"/>
        <v>0</v>
      </c>
      <c r="BC1030" s="219">
        <f t="shared" si="502"/>
        <v>0</v>
      </c>
      <c r="BD1030" s="31">
        <f t="shared" si="503"/>
        <v>0</v>
      </c>
      <c r="BE1030" s="219">
        <f t="shared" si="504"/>
        <v>0</v>
      </c>
      <c r="BF1030" s="31">
        <f t="shared" si="505"/>
        <v>4</v>
      </c>
      <c r="BG1030" s="219">
        <f t="shared" si="506"/>
        <v>3.2</v>
      </c>
      <c r="BH1030" s="31">
        <f t="shared" si="507"/>
        <v>0</v>
      </c>
      <c r="BI1030" s="219">
        <f t="shared" si="508"/>
        <v>0</v>
      </c>
      <c r="BJ1030" s="31">
        <f t="shared" si="509"/>
        <v>0</v>
      </c>
      <c r="BK1030" s="219">
        <f t="shared" si="510"/>
        <v>0</v>
      </c>
      <c r="BL1030" s="31">
        <f t="shared" si="511"/>
        <v>0</v>
      </c>
      <c r="BM1030" s="219">
        <f t="shared" si="512"/>
        <v>0</v>
      </c>
      <c r="BN1030" s="31">
        <f t="shared" si="513"/>
        <v>0</v>
      </c>
      <c r="BO1030" s="219">
        <f t="shared" si="514"/>
        <v>0</v>
      </c>
    </row>
    <row r="1031" spans="1:67" x14ac:dyDescent="0.25">
      <c r="A1031" s="31" t="s">
        <v>2271</v>
      </c>
      <c r="B1031" s="176" t="str">
        <f>VLOOKUP(A1031,kurspris!$A$1:$B$992,2,FALSE)</f>
        <v>Vävdesign</v>
      </c>
      <c r="D1031" s="31" t="s">
        <v>117</v>
      </c>
      <c r="F1031" s="31" t="s">
        <v>2273</v>
      </c>
      <c r="I1031" s="31" t="s">
        <v>2275</v>
      </c>
      <c r="L1031" s="38">
        <v>0.5</v>
      </c>
      <c r="M1031" s="325">
        <v>15</v>
      </c>
      <c r="P1031" s="31">
        <v>8</v>
      </c>
      <c r="Q1031" s="196">
        <f>(M1031/60)*P1031</f>
        <v>2</v>
      </c>
      <c r="R1031" s="38">
        <v>0.8</v>
      </c>
      <c r="S1031" s="280">
        <f t="shared" si="487"/>
        <v>1.6</v>
      </c>
      <c r="T1031" s="31">
        <f>VLOOKUP(A1031,'Ansvar kurs'!$A$1:$C$1123,2,FALSE)</f>
        <v>1650</v>
      </c>
      <c r="U1031" s="31" t="str">
        <f>VLOOKUP(T1031,Orgenheter!$A$1:$C$166,2,FALSE)</f>
        <v xml:space="preserve">Estetiska ämnen               </v>
      </c>
      <c r="V1031" s="31" t="str">
        <f>VLOOKUP(T1031,Orgenheter!$A$1:$C$166,3,FALSE)</f>
        <v>Hum</v>
      </c>
      <c r="W1031" s="35" t="str">
        <f>VLOOKUP(D1031,Program!$A$1:$B$36,2,FALSE)</f>
        <v>Fristående och övriga kurser</v>
      </c>
      <c r="X1031" s="40">
        <f>VLOOKUP(A1031,kurspris!$A$1:$Q$913,15,FALSE)</f>
        <v>20757</v>
      </c>
      <c r="Y1031" s="40">
        <f>VLOOKUP(A1031,kurspris!$A$1:$Q$913,16,FALSE)</f>
        <v>36082</v>
      </c>
      <c r="Z1031" s="40">
        <f t="shared" si="488"/>
        <v>99245.200000000012</v>
      </c>
      <c r="AA1031" s="40">
        <f>VLOOKUP(A1031,kurspris!$A$1:$Q$913,17,FALSE)</f>
        <v>22600</v>
      </c>
      <c r="AB1031" s="40">
        <f t="shared" si="489"/>
        <v>45200</v>
      </c>
      <c r="AC1031" s="40">
        <f t="shared" si="490"/>
        <v>144445.20000000001</v>
      </c>
      <c r="AD1031" s="31">
        <f>VLOOKUP($A1031,kurspris!$A$1:$Q$950,3,FALSE)</f>
        <v>0</v>
      </c>
      <c r="AE1031" s="31">
        <f>VLOOKUP($A1031,kurspris!$A$1:$Q$950,4,FALSE)</f>
        <v>0</v>
      </c>
      <c r="AF1031" s="31">
        <f>VLOOKUP($A1031,kurspris!$A$1:$Q$950,5,FALSE)</f>
        <v>0</v>
      </c>
      <c r="AG1031" s="31">
        <f>VLOOKUP($A1031,kurspris!$A$1:$Q$950,6,FALSE)</f>
        <v>0</v>
      </c>
      <c r="AH1031" s="31">
        <f>VLOOKUP($A1031,kurspris!$A$1:$Q$950,7,FALSE)</f>
        <v>0</v>
      </c>
      <c r="AI1031" s="31">
        <f>VLOOKUP($A1031,kurspris!$A$1:$Q$950,8,FALSE)</f>
        <v>0</v>
      </c>
      <c r="AJ1031" s="31">
        <f>VLOOKUP($A1031,kurspris!$A$1:$Q$950,9,FALSE)</f>
        <v>0</v>
      </c>
      <c r="AK1031" s="31">
        <f>VLOOKUP($A1031,kurspris!$A$1:$Q$950,10,FALSE)</f>
        <v>1</v>
      </c>
      <c r="AL1031" s="31">
        <f>VLOOKUP($A1031,kurspris!$A$1:$Q$950,11,FALSE)</f>
        <v>0</v>
      </c>
      <c r="AM1031" s="31">
        <f>VLOOKUP($A1031,kurspris!$A$1:$Q$950,12,FALSE)</f>
        <v>0</v>
      </c>
      <c r="AN1031" s="31">
        <f>VLOOKUP($A1031,kurspris!$A$1:$Q$950,13,FALSE)</f>
        <v>0</v>
      </c>
      <c r="AO1031" s="31">
        <f>VLOOKUP($A1031,kurspris!$A$1:$Q$950,14,FALSE)</f>
        <v>0</v>
      </c>
      <c r="AP1031" s="57" t="s">
        <v>2267</v>
      </c>
      <c r="AQ1031" s="37"/>
      <c r="AR1031" s="31">
        <f t="shared" si="491"/>
        <v>0</v>
      </c>
      <c r="AS1031" s="219">
        <f t="shared" si="492"/>
        <v>0</v>
      </c>
      <c r="AT1031" s="31">
        <f t="shared" si="493"/>
        <v>0</v>
      </c>
      <c r="AU1031" s="219">
        <f t="shared" si="494"/>
        <v>0</v>
      </c>
      <c r="AV1031" s="31">
        <f t="shared" si="495"/>
        <v>0</v>
      </c>
      <c r="AW1031" s="31">
        <f t="shared" si="496"/>
        <v>0</v>
      </c>
      <c r="AX1031" s="31">
        <f t="shared" si="497"/>
        <v>0</v>
      </c>
      <c r="AY1031" s="219">
        <f t="shared" si="498"/>
        <v>0</v>
      </c>
      <c r="AZ1031" s="196">
        <f t="shared" si="499"/>
        <v>0</v>
      </c>
      <c r="BA1031" s="219">
        <f t="shared" si="500"/>
        <v>0</v>
      </c>
      <c r="BB1031" s="31">
        <f t="shared" si="501"/>
        <v>0</v>
      </c>
      <c r="BC1031" s="219">
        <f t="shared" si="502"/>
        <v>0</v>
      </c>
      <c r="BD1031" s="31">
        <f t="shared" si="503"/>
        <v>0</v>
      </c>
      <c r="BE1031" s="219">
        <f t="shared" si="504"/>
        <v>0</v>
      </c>
      <c r="BF1031" s="31">
        <f t="shared" si="505"/>
        <v>2</v>
      </c>
      <c r="BG1031" s="219">
        <f t="shared" si="506"/>
        <v>1.6</v>
      </c>
      <c r="BH1031" s="31">
        <f t="shared" si="507"/>
        <v>0</v>
      </c>
      <c r="BI1031" s="219">
        <f t="shared" si="508"/>
        <v>0</v>
      </c>
      <c r="BJ1031" s="31">
        <f t="shared" si="509"/>
        <v>0</v>
      </c>
      <c r="BK1031" s="219">
        <f t="shared" si="510"/>
        <v>0</v>
      </c>
      <c r="BL1031" s="31">
        <f t="shared" si="511"/>
        <v>0</v>
      </c>
      <c r="BM1031" s="219">
        <f t="shared" si="512"/>
        <v>0</v>
      </c>
      <c r="BN1031" s="31">
        <f t="shared" si="513"/>
        <v>0</v>
      </c>
      <c r="BO1031" s="219">
        <f t="shared" si="514"/>
        <v>0</v>
      </c>
    </row>
    <row r="1032" spans="1:67" x14ac:dyDescent="0.25">
      <c r="A1032" s="31" t="s">
        <v>2272</v>
      </c>
      <c r="B1032" s="176" t="str">
        <f>VLOOKUP(A1032,kurspris!$A$1:$B$992,2,FALSE)</f>
        <v>Virk- och stickdesign</v>
      </c>
      <c r="D1032" s="31" t="s">
        <v>117</v>
      </c>
      <c r="F1032" s="31" t="s">
        <v>2273</v>
      </c>
      <c r="I1032" s="31" t="s">
        <v>2275</v>
      </c>
      <c r="L1032" s="38">
        <v>0.5</v>
      </c>
      <c r="M1032" s="325">
        <v>15</v>
      </c>
      <c r="P1032" s="31">
        <v>16</v>
      </c>
      <c r="Q1032" s="196">
        <f>(M1032/60)*P1032</f>
        <v>4</v>
      </c>
      <c r="R1032" s="38">
        <v>0.8</v>
      </c>
      <c r="S1032" s="280">
        <f t="shared" si="487"/>
        <v>3.2</v>
      </c>
      <c r="T1032" s="31">
        <f>VLOOKUP(A1032,'Ansvar kurs'!$A$1:$C$1123,2,FALSE)</f>
        <v>1650</v>
      </c>
      <c r="U1032" s="31" t="str">
        <f>VLOOKUP(T1032,Orgenheter!$A$1:$C$166,2,FALSE)</f>
        <v xml:space="preserve">Estetiska ämnen               </v>
      </c>
      <c r="V1032" s="31" t="str">
        <f>VLOOKUP(T1032,Orgenheter!$A$1:$C$166,3,FALSE)</f>
        <v>Hum</v>
      </c>
      <c r="W1032" s="35" t="str">
        <f>VLOOKUP(D1032,Program!$A$1:$B$36,2,FALSE)</f>
        <v>Fristående och övriga kurser</v>
      </c>
      <c r="X1032" s="40">
        <f>VLOOKUP(A1032,kurspris!$A$1:$Q$913,15,FALSE)</f>
        <v>20757</v>
      </c>
      <c r="Y1032" s="40">
        <f>VLOOKUP(A1032,kurspris!$A$1:$Q$913,16,FALSE)</f>
        <v>36082</v>
      </c>
      <c r="Z1032" s="40">
        <f t="shared" si="488"/>
        <v>198490.40000000002</v>
      </c>
      <c r="AA1032" s="40">
        <f>VLOOKUP(A1032,kurspris!$A$1:$Q$913,17,FALSE)</f>
        <v>22600</v>
      </c>
      <c r="AB1032" s="40">
        <f t="shared" si="489"/>
        <v>90400</v>
      </c>
      <c r="AC1032" s="40">
        <f t="shared" si="490"/>
        <v>288890.40000000002</v>
      </c>
      <c r="AD1032" s="31">
        <f>VLOOKUP($A1032,kurspris!$A$1:$Q$950,3,FALSE)</f>
        <v>0</v>
      </c>
      <c r="AE1032" s="31">
        <f>VLOOKUP($A1032,kurspris!$A$1:$Q$950,4,FALSE)</f>
        <v>0</v>
      </c>
      <c r="AF1032" s="31">
        <f>VLOOKUP($A1032,kurspris!$A$1:$Q$950,5,FALSE)</f>
        <v>0</v>
      </c>
      <c r="AG1032" s="31">
        <f>VLOOKUP($A1032,kurspris!$A$1:$Q$950,6,FALSE)</f>
        <v>0</v>
      </c>
      <c r="AH1032" s="31">
        <f>VLOOKUP($A1032,kurspris!$A$1:$Q$950,7,FALSE)</f>
        <v>0</v>
      </c>
      <c r="AI1032" s="31">
        <f>VLOOKUP($A1032,kurspris!$A$1:$Q$950,8,FALSE)</f>
        <v>0</v>
      </c>
      <c r="AJ1032" s="31">
        <f>VLOOKUP($A1032,kurspris!$A$1:$Q$950,9,FALSE)</f>
        <v>0</v>
      </c>
      <c r="AK1032" s="31">
        <f>VLOOKUP($A1032,kurspris!$A$1:$Q$950,10,FALSE)</f>
        <v>1</v>
      </c>
      <c r="AL1032" s="31">
        <f>VLOOKUP($A1032,kurspris!$A$1:$Q$950,11,FALSE)</f>
        <v>0</v>
      </c>
      <c r="AM1032" s="31">
        <f>VLOOKUP($A1032,kurspris!$A$1:$Q$950,12,FALSE)</f>
        <v>0</v>
      </c>
      <c r="AN1032" s="31">
        <f>VLOOKUP($A1032,kurspris!$A$1:$Q$950,13,FALSE)</f>
        <v>0</v>
      </c>
      <c r="AO1032" s="31">
        <f>VLOOKUP($A1032,kurspris!$A$1:$Q$950,14,FALSE)</f>
        <v>0</v>
      </c>
      <c r="AP1032" s="57" t="s">
        <v>2267</v>
      </c>
      <c r="AQ1032" s="37"/>
      <c r="AR1032" s="31">
        <f t="shared" si="491"/>
        <v>0</v>
      </c>
      <c r="AS1032" s="219">
        <f t="shared" si="492"/>
        <v>0</v>
      </c>
      <c r="AT1032" s="31">
        <f t="shared" si="493"/>
        <v>0</v>
      </c>
      <c r="AU1032" s="219">
        <f t="shared" si="494"/>
        <v>0</v>
      </c>
      <c r="AV1032" s="31">
        <f t="shared" si="495"/>
        <v>0</v>
      </c>
      <c r="AW1032" s="31">
        <f t="shared" si="496"/>
        <v>0</v>
      </c>
      <c r="AX1032" s="31">
        <f t="shared" si="497"/>
        <v>0</v>
      </c>
      <c r="AY1032" s="219">
        <f t="shared" si="498"/>
        <v>0</v>
      </c>
      <c r="AZ1032" s="196">
        <f t="shared" si="499"/>
        <v>0</v>
      </c>
      <c r="BA1032" s="219">
        <f t="shared" si="500"/>
        <v>0</v>
      </c>
      <c r="BB1032" s="31">
        <f t="shared" si="501"/>
        <v>0</v>
      </c>
      <c r="BC1032" s="219">
        <f t="shared" si="502"/>
        <v>0</v>
      </c>
      <c r="BD1032" s="31">
        <f t="shared" si="503"/>
        <v>0</v>
      </c>
      <c r="BE1032" s="219">
        <f t="shared" si="504"/>
        <v>0</v>
      </c>
      <c r="BF1032" s="31">
        <f t="shared" si="505"/>
        <v>4</v>
      </c>
      <c r="BG1032" s="219">
        <f t="shared" si="506"/>
        <v>3.2</v>
      </c>
      <c r="BH1032" s="31">
        <f t="shared" si="507"/>
        <v>0</v>
      </c>
      <c r="BI1032" s="219">
        <f t="shared" si="508"/>
        <v>0</v>
      </c>
      <c r="BJ1032" s="31">
        <f t="shared" si="509"/>
        <v>0</v>
      </c>
      <c r="BK1032" s="219">
        <f t="shared" si="510"/>
        <v>0</v>
      </c>
      <c r="BL1032" s="31">
        <f t="shared" si="511"/>
        <v>0</v>
      </c>
      <c r="BM1032" s="219">
        <f t="shared" si="512"/>
        <v>0</v>
      </c>
      <c r="BN1032" s="31">
        <f t="shared" si="513"/>
        <v>0</v>
      </c>
      <c r="BO1032" s="219">
        <f t="shared" si="514"/>
        <v>0</v>
      </c>
    </row>
    <row r="1033" spans="1:67" x14ac:dyDescent="0.25">
      <c r="A1033" s="31" t="s">
        <v>1029</v>
      </c>
      <c r="B1033" s="176" t="str">
        <f>VLOOKUP(A1033,kurspris!$A$1:$B$992,2,FALSE)</f>
        <v>Tyska III för ämneslärare med inriktning mot gymnasiet</v>
      </c>
      <c r="C1033" s="31">
        <v>71404</v>
      </c>
      <c r="D1033" s="60" t="s">
        <v>117</v>
      </c>
      <c r="E1033" s="60"/>
      <c r="F1033" s="57" t="s">
        <v>2274</v>
      </c>
      <c r="H1033" s="31" t="s">
        <v>2335</v>
      </c>
      <c r="I1033" s="31" t="s">
        <v>2399</v>
      </c>
      <c r="L1033" s="38"/>
      <c r="M1033">
        <v>30</v>
      </c>
      <c r="P1033" s="31">
        <v>3</v>
      </c>
      <c r="Q1033" s="539">
        <v>1.5</v>
      </c>
      <c r="R1033" s="38">
        <v>0.8</v>
      </c>
      <c r="S1033" s="280">
        <f t="shared" si="487"/>
        <v>1.2000000000000002</v>
      </c>
      <c r="T1033" s="31">
        <f>VLOOKUP(A1033,'Ansvar kurs'!$A$1:$C$1123,2,FALSE)</f>
        <v>1620</v>
      </c>
      <c r="U1033" s="31" t="str">
        <f>VLOOKUP(T1033,Orgenheter!$A$1:$C$166,2,FALSE)</f>
        <v>Inst för språkstudier</v>
      </c>
      <c r="V1033" s="31" t="str">
        <f>VLOOKUP(T1033,Orgenheter!$A$1:$C$166,3,FALSE)</f>
        <v>Hum</v>
      </c>
      <c r="W1033" s="35" t="str">
        <f>VLOOKUP(D1033,Program!$A$1:$B$36,2,FALSE)</f>
        <v>Fristående och övriga kurser</v>
      </c>
      <c r="X1033" s="40">
        <f>VLOOKUP(A1033,kurspris!$A$1:$Q$913,15,FALSE)</f>
        <v>20766</v>
      </c>
      <c r="Y1033" s="40">
        <f>VLOOKUP(A1033,kurspris!$A$1:$Q$913,16,FALSE)</f>
        <v>17442</v>
      </c>
      <c r="Z1033" s="40">
        <f t="shared" si="488"/>
        <v>52079.4</v>
      </c>
      <c r="AA1033" s="40">
        <f>VLOOKUP(A1033,kurspris!$A$1:$Q$913,17,FALSE)</f>
        <v>6000</v>
      </c>
      <c r="AB1033" s="40">
        <f t="shared" si="489"/>
        <v>9000</v>
      </c>
      <c r="AC1033" s="40">
        <f t="shared" si="490"/>
        <v>61079.4</v>
      </c>
      <c r="AD1033" s="31">
        <f>VLOOKUP($A1033,kurspris!$A$1:$Q$950,3,FALSE)</f>
        <v>0</v>
      </c>
      <c r="AE1033" s="31">
        <f>VLOOKUP($A1033,kurspris!$A$1:$Q$950,4,FALSE)</f>
        <v>1</v>
      </c>
      <c r="AF1033" s="31">
        <f>VLOOKUP($A1033,kurspris!$A$1:$Q$950,5,FALSE)</f>
        <v>0</v>
      </c>
      <c r="AG1033" s="31">
        <f>VLOOKUP($A1033,kurspris!$A$1:$Q$950,6,FALSE)</f>
        <v>0</v>
      </c>
      <c r="AH1033" s="31">
        <f>VLOOKUP($A1033,kurspris!$A$1:$Q$950,7,FALSE)</f>
        <v>0</v>
      </c>
      <c r="AI1033" s="31">
        <f>VLOOKUP($A1033,kurspris!$A$1:$Q$950,8,FALSE)</f>
        <v>0</v>
      </c>
      <c r="AJ1033" s="31">
        <f>VLOOKUP($A1033,kurspris!$A$1:$Q$950,9,FALSE)</f>
        <v>0</v>
      </c>
      <c r="AK1033" s="31">
        <f>VLOOKUP($A1033,kurspris!$A$1:$Q$950,10,FALSE)</f>
        <v>0</v>
      </c>
      <c r="AL1033" s="31">
        <f>VLOOKUP($A1033,kurspris!$A$1:$Q$950,11,FALSE)</f>
        <v>0</v>
      </c>
      <c r="AM1033" s="31">
        <f>VLOOKUP($A1033,kurspris!$A$1:$Q$950,12,FALSE)</f>
        <v>0</v>
      </c>
      <c r="AN1033" s="31">
        <f>VLOOKUP($A1033,kurspris!$A$1:$Q$950,13,FALSE)</f>
        <v>0</v>
      </c>
      <c r="AO1033" s="31">
        <f>VLOOKUP($A1033,kurspris!$A$1:$Q$950,14,FALSE)</f>
        <v>0</v>
      </c>
      <c r="AP1033" s="57" t="s">
        <v>2402</v>
      </c>
      <c r="AQ1033"/>
      <c r="AR1033" s="31">
        <f t="shared" si="491"/>
        <v>0</v>
      </c>
      <c r="AS1033" s="219">
        <f t="shared" si="492"/>
        <v>0</v>
      </c>
      <c r="AT1033" s="31">
        <f t="shared" si="493"/>
        <v>1.5</v>
      </c>
      <c r="AU1033" s="219">
        <f t="shared" si="494"/>
        <v>1.2000000000000002</v>
      </c>
      <c r="AV1033" s="31">
        <f t="shared" si="495"/>
        <v>0</v>
      </c>
      <c r="AW1033" s="31">
        <f t="shared" si="496"/>
        <v>0</v>
      </c>
      <c r="AX1033" s="31">
        <f t="shared" si="497"/>
        <v>0</v>
      </c>
      <c r="AY1033" s="219">
        <f t="shared" si="498"/>
        <v>0</v>
      </c>
      <c r="AZ1033" s="196">
        <f t="shared" si="499"/>
        <v>0</v>
      </c>
      <c r="BA1033" s="219">
        <f t="shared" si="500"/>
        <v>0</v>
      </c>
      <c r="BB1033" s="31">
        <f t="shared" si="501"/>
        <v>0</v>
      </c>
      <c r="BC1033" s="219">
        <f t="shared" si="502"/>
        <v>0</v>
      </c>
      <c r="BD1033" s="31">
        <f t="shared" si="503"/>
        <v>0</v>
      </c>
      <c r="BE1033" s="219">
        <f t="shared" si="504"/>
        <v>0</v>
      </c>
      <c r="BF1033" s="31">
        <f t="shared" si="505"/>
        <v>0</v>
      </c>
      <c r="BG1033" s="219">
        <f t="shared" si="506"/>
        <v>0</v>
      </c>
      <c r="BH1033" s="31">
        <f t="shared" si="507"/>
        <v>0</v>
      </c>
      <c r="BI1033" s="219">
        <f t="shared" si="508"/>
        <v>0</v>
      </c>
      <c r="BJ1033" s="31">
        <f t="shared" si="509"/>
        <v>0</v>
      </c>
      <c r="BK1033" s="219">
        <f t="shared" si="510"/>
        <v>0</v>
      </c>
      <c r="BL1033" s="31">
        <f t="shared" si="511"/>
        <v>0</v>
      </c>
      <c r="BM1033" s="219">
        <f t="shared" si="512"/>
        <v>0</v>
      </c>
      <c r="BN1033" s="31">
        <f t="shared" si="513"/>
        <v>0</v>
      </c>
      <c r="BO1033" s="219">
        <f t="shared" si="514"/>
        <v>0</v>
      </c>
    </row>
    <row r="1034" spans="1:67" x14ac:dyDescent="0.25">
      <c r="A1034" s="157" t="s">
        <v>1029</v>
      </c>
      <c r="B1034" s="176" t="str">
        <f>VLOOKUP(A1034,kurspris!$A$1:$B$992,2,FALSE)</f>
        <v>Tyska III för ämneslärare med inriktning mot gymnasiet</v>
      </c>
      <c r="C1034" s="31">
        <v>71404</v>
      </c>
      <c r="D1034" s="31" t="s">
        <v>482</v>
      </c>
      <c r="F1034" s="57" t="s">
        <v>2274</v>
      </c>
      <c r="H1034" s="31" t="s">
        <v>2335</v>
      </c>
      <c r="I1034" s="31" t="s">
        <v>2399</v>
      </c>
      <c r="J1034" s="31" t="s">
        <v>2231</v>
      </c>
      <c r="L1034" s="38"/>
      <c r="M1034">
        <v>30</v>
      </c>
      <c r="P1034" s="31">
        <v>1</v>
      </c>
      <c r="Q1034" s="539">
        <v>0.5</v>
      </c>
      <c r="R1034" s="38">
        <v>0.85</v>
      </c>
      <c r="S1034" s="280">
        <f t="shared" si="487"/>
        <v>0.42499999999999999</v>
      </c>
      <c r="T1034" s="31">
        <f>VLOOKUP(A1034,'Ansvar kurs'!$A$1:$C$1123,2,FALSE)</f>
        <v>1620</v>
      </c>
      <c r="U1034" s="31" t="str">
        <f>VLOOKUP(T1034,Orgenheter!$A$1:$C$166,2,FALSE)</f>
        <v>Inst för språkstudier</v>
      </c>
      <c r="V1034" s="31" t="str">
        <f>VLOOKUP(T1034,Orgenheter!$A$1:$C$166,3,FALSE)</f>
        <v>Hum</v>
      </c>
      <c r="W1034" s="35" t="str">
        <f>VLOOKUP(D1034,Program!$A$1:$B$36,2,FALSE)</f>
        <v>Ämneslärarprogrammet - Gy</v>
      </c>
      <c r="X1034" s="40">
        <f>VLOOKUP(A1034,kurspris!$A$1:$Q$913,15,FALSE)</f>
        <v>20766</v>
      </c>
      <c r="Y1034" s="40">
        <f>VLOOKUP(A1034,kurspris!$A$1:$Q$913,16,FALSE)</f>
        <v>17442</v>
      </c>
      <c r="Z1034" s="40">
        <f t="shared" si="488"/>
        <v>17795.849999999999</v>
      </c>
      <c r="AA1034" s="40">
        <f>VLOOKUP(A1034,kurspris!$A$1:$Q$913,17,FALSE)</f>
        <v>6000</v>
      </c>
      <c r="AB1034" s="40">
        <f t="shared" si="489"/>
        <v>3000</v>
      </c>
      <c r="AC1034" s="40">
        <f t="shared" si="490"/>
        <v>20795.849999999999</v>
      </c>
      <c r="AD1034" s="31">
        <f>VLOOKUP($A1034,kurspris!$A$1:$Q$950,3,FALSE)</f>
        <v>0</v>
      </c>
      <c r="AE1034" s="31">
        <f>VLOOKUP($A1034,kurspris!$A$1:$Q$950,4,FALSE)</f>
        <v>1</v>
      </c>
      <c r="AF1034" s="31">
        <f>VLOOKUP($A1034,kurspris!$A$1:$Q$950,5,FALSE)</f>
        <v>0</v>
      </c>
      <c r="AG1034" s="31">
        <f>VLOOKUP($A1034,kurspris!$A$1:$Q$950,6,FALSE)</f>
        <v>0</v>
      </c>
      <c r="AH1034" s="31">
        <f>VLOOKUP($A1034,kurspris!$A$1:$Q$950,7,FALSE)</f>
        <v>0</v>
      </c>
      <c r="AI1034" s="31">
        <f>VLOOKUP($A1034,kurspris!$A$1:$Q$950,8,FALSE)</f>
        <v>0</v>
      </c>
      <c r="AJ1034" s="31">
        <f>VLOOKUP($A1034,kurspris!$A$1:$Q$950,9,FALSE)</f>
        <v>0</v>
      </c>
      <c r="AK1034" s="31">
        <f>VLOOKUP($A1034,kurspris!$A$1:$Q$950,10,FALSE)</f>
        <v>0</v>
      </c>
      <c r="AL1034" s="31">
        <f>VLOOKUP($A1034,kurspris!$A$1:$Q$950,11,FALSE)</f>
        <v>0</v>
      </c>
      <c r="AM1034" s="31">
        <f>VLOOKUP($A1034,kurspris!$A$1:$Q$950,12,FALSE)</f>
        <v>0</v>
      </c>
      <c r="AN1034" s="31">
        <f>VLOOKUP($A1034,kurspris!$A$1:$Q$950,13,FALSE)</f>
        <v>0</v>
      </c>
      <c r="AO1034" s="31">
        <f>VLOOKUP($A1034,kurspris!$A$1:$Q$950,14,FALSE)</f>
        <v>0</v>
      </c>
      <c r="AP1034" s="57" t="s">
        <v>2402</v>
      </c>
      <c r="AQ1034"/>
      <c r="AR1034" s="31">
        <f t="shared" si="491"/>
        <v>0</v>
      </c>
      <c r="AS1034" s="219">
        <f t="shared" si="492"/>
        <v>0</v>
      </c>
      <c r="AT1034" s="31">
        <f t="shared" si="493"/>
        <v>0.5</v>
      </c>
      <c r="AU1034" s="219">
        <f t="shared" si="494"/>
        <v>0.42499999999999999</v>
      </c>
      <c r="AV1034" s="31">
        <f t="shared" si="495"/>
        <v>0</v>
      </c>
      <c r="AW1034" s="31">
        <f t="shared" si="496"/>
        <v>0</v>
      </c>
      <c r="AX1034" s="31">
        <f t="shared" si="497"/>
        <v>0</v>
      </c>
      <c r="AY1034" s="219">
        <f t="shared" si="498"/>
        <v>0</v>
      </c>
      <c r="AZ1034" s="196">
        <f t="shared" si="499"/>
        <v>0</v>
      </c>
      <c r="BA1034" s="219">
        <f t="shared" si="500"/>
        <v>0</v>
      </c>
      <c r="BB1034" s="31">
        <f t="shared" si="501"/>
        <v>0</v>
      </c>
      <c r="BC1034" s="219">
        <f t="shared" si="502"/>
        <v>0</v>
      </c>
      <c r="BD1034" s="31">
        <f t="shared" si="503"/>
        <v>0</v>
      </c>
      <c r="BE1034" s="219">
        <f t="shared" si="504"/>
        <v>0</v>
      </c>
      <c r="BF1034" s="31">
        <f t="shared" si="505"/>
        <v>0</v>
      </c>
      <c r="BG1034" s="219">
        <f t="shared" si="506"/>
        <v>0</v>
      </c>
      <c r="BH1034" s="31">
        <f t="shared" si="507"/>
        <v>0</v>
      </c>
      <c r="BI1034" s="219">
        <f t="shared" si="508"/>
        <v>0</v>
      </c>
      <c r="BJ1034" s="31">
        <f t="shared" si="509"/>
        <v>0</v>
      </c>
      <c r="BK1034" s="219">
        <f t="shared" si="510"/>
        <v>0</v>
      </c>
      <c r="BL1034" s="31">
        <f t="shared" si="511"/>
        <v>0</v>
      </c>
      <c r="BM1034" s="219">
        <f t="shared" si="512"/>
        <v>0</v>
      </c>
      <c r="BN1034" s="31">
        <f t="shared" si="513"/>
        <v>0</v>
      </c>
      <c r="BO1034" s="219">
        <f t="shared" si="514"/>
        <v>0</v>
      </c>
    </row>
    <row r="1035" spans="1:67" x14ac:dyDescent="0.25">
      <c r="A1035" s="31" t="s">
        <v>1841</v>
      </c>
      <c r="B1035" s="176" t="str">
        <f>VLOOKUP(A1035,kurspris!$A$1:$B$992,2,FALSE)</f>
        <v>Att undervisa i tyska (VFU)</v>
      </c>
      <c r="D1035" s="60" t="s">
        <v>482</v>
      </c>
      <c r="E1035" s="576" t="s">
        <v>2434</v>
      </c>
      <c r="F1035" s="31" t="s">
        <v>2273</v>
      </c>
      <c r="G1035" t="s">
        <v>2444</v>
      </c>
      <c r="H1035" t="s">
        <v>2335</v>
      </c>
      <c r="J1035" s="31" t="s">
        <v>2246</v>
      </c>
      <c r="L1035" s="38">
        <v>1</v>
      </c>
      <c r="M1035">
        <v>6</v>
      </c>
      <c r="P1035" s="31">
        <v>1</v>
      </c>
      <c r="Q1035" s="196">
        <f>(M1035/60)*P1035</f>
        <v>0.1</v>
      </c>
      <c r="R1035" s="38">
        <v>0.85</v>
      </c>
      <c r="S1035" s="280">
        <f t="shared" si="487"/>
        <v>8.5000000000000006E-2</v>
      </c>
      <c r="T1035" s="31">
        <f>VLOOKUP(A1035,'Ansvar kurs'!$A$1:$C$1123,2,FALSE)</f>
        <v>1620</v>
      </c>
      <c r="U1035" s="31" t="str">
        <f>VLOOKUP(T1035,Orgenheter!$A$1:$C$166,2,FALSE)</f>
        <v>Inst för språkstudier</v>
      </c>
      <c r="V1035" s="31" t="str">
        <f>VLOOKUP(T1035,Orgenheter!$A$1:$C$166,3,FALSE)</f>
        <v>Hum</v>
      </c>
      <c r="W1035" s="35" t="str">
        <f>VLOOKUP(D1035,Program!$A$1:$B$36,2,FALSE)</f>
        <v>Ämneslärarprogrammet - Gy</v>
      </c>
      <c r="X1035" s="40">
        <f>VLOOKUP(A1035,kurspris!$A$1:$Q$913,15,FALSE)</f>
        <v>25235</v>
      </c>
      <c r="Y1035" s="40">
        <f>VLOOKUP(A1035,kurspris!$A$1:$Q$913,16,FALSE)</f>
        <v>27976</v>
      </c>
      <c r="Z1035" s="40">
        <f t="shared" si="488"/>
        <v>4901.46</v>
      </c>
      <c r="AA1035" s="40">
        <f>VLOOKUP(A1035,kurspris!$A$1:$Q$913,17,FALSE)</f>
        <v>3600</v>
      </c>
      <c r="AB1035" s="40">
        <f t="shared" si="489"/>
        <v>360</v>
      </c>
      <c r="AC1035" s="40">
        <f t="shared" si="490"/>
        <v>5261.46</v>
      </c>
      <c r="AD1035" s="31">
        <f>VLOOKUP($A1035,kurspris!$A$1:$Q$950,3,FALSE)</f>
        <v>0</v>
      </c>
      <c r="AE1035" s="31">
        <f>VLOOKUP($A1035,kurspris!$A$1:$Q$950,4,FALSE)</f>
        <v>0</v>
      </c>
      <c r="AF1035" s="31">
        <f>VLOOKUP($A1035,kurspris!$A$1:$Q$950,5,FALSE)</f>
        <v>0</v>
      </c>
      <c r="AG1035" s="31">
        <f>VLOOKUP($A1035,kurspris!$A$1:$Q$950,6,FALSE)</f>
        <v>0</v>
      </c>
      <c r="AH1035" s="31">
        <f>VLOOKUP($A1035,kurspris!$A$1:$Q$950,7,FALSE)</f>
        <v>0</v>
      </c>
      <c r="AI1035" s="31">
        <f>VLOOKUP($A1035,kurspris!$A$1:$Q$950,8,FALSE)</f>
        <v>0</v>
      </c>
      <c r="AJ1035" s="31">
        <f>VLOOKUP($A1035,kurspris!$A$1:$Q$950,9,FALSE)</f>
        <v>0</v>
      </c>
      <c r="AK1035" s="31">
        <f>VLOOKUP($A1035,kurspris!$A$1:$Q$950,10,FALSE)</f>
        <v>0</v>
      </c>
      <c r="AL1035" s="31">
        <f>VLOOKUP($A1035,kurspris!$A$1:$Q$950,11,FALSE)</f>
        <v>1</v>
      </c>
      <c r="AM1035" s="31">
        <f>VLOOKUP($A1035,kurspris!$A$1:$Q$950,12,FALSE)</f>
        <v>0</v>
      </c>
      <c r="AN1035" s="31">
        <f>VLOOKUP($A1035,kurspris!$A$1:$Q$950,13,FALSE)</f>
        <v>0</v>
      </c>
      <c r="AO1035" s="31">
        <f>VLOOKUP($A1035,kurspris!$A$1:$Q$950,14,FALSE)</f>
        <v>0</v>
      </c>
      <c r="AP1035" s="57" t="s">
        <v>2506</v>
      </c>
      <c r="AQ1035"/>
      <c r="AR1035" s="31">
        <f t="shared" si="491"/>
        <v>0</v>
      </c>
      <c r="AS1035" s="219">
        <f t="shared" si="492"/>
        <v>0</v>
      </c>
      <c r="AT1035" s="31">
        <f t="shared" si="493"/>
        <v>0</v>
      </c>
      <c r="AU1035" s="219">
        <f t="shared" si="494"/>
        <v>0</v>
      </c>
      <c r="AV1035" s="31">
        <f t="shared" si="495"/>
        <v>0</v>
      </c>
      <c r="AW1035" s="31">
        <f t="shared" si="496"/>
        <v>0</v>
      </c>
      <c r="AX1035" s="31">
        <f t="shared" si="497"/>
        <v>0</v>
      </c>
      <c r="AY1035" s="219">
        <f t="shared" si="498"/>
        <v>0</v>
      </c>
      <c r="AZ1035" s="196">
        <f t="shared" si="499"/>
        <v>0</v>
      </c>
      <c r="BA1035" s="219">
        <f t="shared" si="500"/>
        <v>0</v>
      </c>
      <c r="BB1035" s="31">
        <f t="shared" si="501"/>
        <v>0</v>
      </c>
      <c r="BC1035" s="219">
        <f t="shared" si="502"/>
        <v>0</v>
      </c>
      <c r="BD1035" s="31">
        <f t="shared" si="503"/>
        <v>0</v>
      </c>
      <c r="BE1035" s="219">
        <f t="shared" si="504"/>
        <v>0</v>
      </c>
      <c r="BF1035" s="31">
        <f t="shared" si="505"/>
        <v>0</v>
      </c>
      <c r="BG1035" s="219">
        <f t="shared" si="506"/>
        <v>0</v>
      </c>
      <c r="BH1035" s="31">
        <f t="shared" si="507"/>
        <v>0.1</v>
      </c>
      <c r="BI1035" s="219">
        <f t="shared" si="508"/>
        <v>8.5000000000000006E-2</v>
      </c>
      <c r="BJ1035" s="31">
        <f t="shared" si="509"/>
        <v>0</v>
      </c>
      <c r="BK1035" s="219">
        <f t="shared" si="510"/>
        <v>0</v>
      </c>
      <c r="BL1035" s="31">
        <f t="shared" si="511"/>
        <v>0</v>
      </c>
      <c r="BM1035" s="219">
        <f t="shared" si="512"/>
        <v>0</v>
      </c>
      <c r="BN1035" s="31">
        <f t="shared" si="513"/>
        <v>0</v>
      </c>
      <c r="BO1035" s="219">
        <f t="shared" si="514"/>
        <v>0</v>
      </c>
    </row>
    <row r="1036" spans="1:67" x14ac:dyDescent="0.25">
      <c r="A1036" s="31" t="s">
        <v>2075</v>
      </c>
      <c r="B1036" s="176" t="str">
        <f>VLOOKUP(A1036,kurspris!$A$1:$B$992,2,FALSE)</f>
        <v>Tyska för ämneslärare, kurs 1</v>
      </c>
      <c r="C1036" s="31">
        <v>71414</v>
      </c>
      <c r="D1036" s="60" t="s">
        <v>117</v>
      </c>
      <c r="E1036" s="60"/>
      <c r="F1036" s="57" t="s">
        <v>2274</v>
      </c>
      <c r="H1036" s="31" t="s">
        <v>2335</v>
      </c>
      <c r="I1036" s="31" t="s">
        <v>2399</v>
      </c>
      <c r="L1036" s="38"/>
      <c r="M1036">
        <v>30</v>
      </c>
      <c r="P1036" s="31">
        <v>2</v>
      </c>
      <c r="Q1036" s="539">
        <v>1</v>
      </c>
      <c r="R1036" s="38">
        <v>0.8</v>
      </c>
      <c r="S1036" s="280">
        <f t="shared" si="487"/>
        <v>0.8</v>
      </c>
      <c r="T1036" s="31">
        <f>VLOOKUP(A1036,'Ansvar kurs'!$A$1:$C$1123,2,FALSE)</f>
        <v>1620</v>
      </c>
      <c r="U1036" s="31" t="str">
        <f>VLOOKUP(T1036,Orgenheter!$A$1:$C$166,2,FALSE)</f>
        <v>Inst för språkstudier</v>
      </c>
      <c r="V1036" s="31" t="str">
        <f>VLOOKUP(T1036,Orgenheter!$A$1:$C$166,3,FALSE)</f>
        <v>Hum</v>
      </c>
      <c r="W1036" s="35" t="str">
        <f>VLOOKUP(D1036,Program!$A$1:$B$36,2,FALSE)</f>
        <v>Fristående och övriga kurser</v>
      </c>
      <c r="X1036" s="40">
        <f>VLOOKUP(A1036,kurspris!$A$1:$Q$913,15,FALSE)</f>
        <v>20766</v>
      </c>
      <c r="Y1036" s="40">
        <f>VLOOKUP(A1036,kurspris!$A$1:$Q$913,16,FALSE)</f>
        <v>17442</v>
      </c>
      <c r="Z1036" s="40">
        <f t="shared" si="488"/>
        <v>34719.599999999999</v>
      </c>
      <c r="AA1036" s="40">
        <f>VLOOKUP(A1036,kurspris!$A$1:$Q$913,17,FALSE)</f>
        <v>6000</v>
      </c>
      <c r="AB1036" s="40">
        <f t="shared" si="489"/>
        <v>6000</v>
      </c>
      <c r="AC1036" s="40">
        <f t="shared" si="490"/>
        <v>40719.599999999999</v>
      </c>
      <c r="AD1036" s="31">
        <f>VLOOKUP($A1036,kurspris!$A$1:$Q$950,3,FALSE)</f>
        <v>0</v>
      </c>
      <c r="AE1036" s="31">
        <f>VLOOKUP($A1036,kurspris!$A$1:$Q$950,4,FALSE)</f>
        <v>1</v>
      </c>
      <c r="AF1036" s="31">
        <f>VLOOKUP($A1036,kurspris!$A$1:$Q$950,5,FALSE)</f>
        <v>0</v>
      </c>
      <c r="AG1036" s="31">
        <f>VLOOKUP($A1036,kurspris!$A$1:$Q$950,6,FALSE)</f>
        <v>0</v>
      </c>
      <c r="AH1036" s="31">
        <f>VLOOKUP($A1036,kurspris!$A$1:$Q$950,7,FALSE)</f>
        <v>0</v>
      </c>
      <c r="AI1036" s="31">
        <f>VLOOKUP($A1036,kurspris!$A$1:$Q$950,8,FALSE)</f>
        <v>0</v>
      </c>
      <c r="AJ1036" s="31">
        <f>VLOOKUP($A1036,kurspris!$A$1:$Q$950,9,FALSE)</f>
        <v>0</v>
      </c>
      <c r="AK1036" s="31">
        <f>VLOOKUP($A1036,kurspris!$A$1:$Q$950,10,FALSE)</f>
        <v>0</v>
      </c>
      <c r="AL1036" s="31">
        <f>VLOOKUP($A1036,kurspris!$A$1:$Q$950,11,FALSE)</f>
        <v>0</v>
      </c>
      <c r="AM1036" s="31">
        <f>VLOOKUP($A1036,kurspris!$A$1:$Q$950,12,FALSE)</f>
        <v>0</v>
      </c>
      <c r="AN1036" s="31">
        <f>VLOOKUP($A1036,kurspris!$A$1:$Q$950,13,FALSE)</f>
        <v>0</v>
      </c>
      <c r="AO1036" s="31">
        <f>VLOOKUP($A1036,kurspris!$A$1:$Q$950,14,FALSE)</f>
        <v>0</v>
      </c>
      <c r="AP1036" s="57" t="s">
        <v>2402</v>
      </c>
      <c r="AQ1036"/>
      <c r="AR1036" s="31">
        <f t="shared" si="491"/>
        <v>0</v>
      </c>
      <c r="AS1036" s="219">
        <f t="shared" si="492"/>
        <v>0</v>
      </c>
      <c r="AT1036" s="31">
        <f t="shared" si="493"/>
        <v>1</v>
      </c>
      <c r="AU1036" s="219">
        <f t="shared" si="494"/>
        <v>0.8</v>
      </c>
      <c r="AV1036" s="31">
        <f t="shared" si="495"/>
        <v>0</v>
      </c>
      <c r="AW1036" s="31">
        <f t="shared" si="496"/>
        <v>0</v>
      </c>
      <c r="AX1036" s="31">
        <f t="shared" si="497"/>
        <v>0</v>
      </c>
      <c r="AY1036" s="219">
        <f t="shared" si="498"/>
        <v>0</v>
      </c>
      <c r="AZ1036" s="196">
        <f t="shared" si="499"/>
        <v>0</v>
      </c>
      <c r="BA1036" s="219">
        <f t="shared" si="500"/>
        <v>0</v>
      </c>
      <c r="BB1036" s="31">
        <f t="shared" si="501"/>
        <v>0</v>
      </c>
      <c r="BC1036" s="219">
        <f t="shared" si="502"/>
        <v>0</v>
      </c>
      <c r="BD1036" s="31">
        <f t="shared" si="503"/>
        <v>0</v>
      </c>
      <c r="BE1036" s="219">
        <f t="shared" si="504"/>
        <v>0</v>
      </c>
      <c r="BF1036" s="31">
        <f t="shared" si="505"/>
        <v>0</v>
      </c>
      <c r="BG1036" s="219">
        <f t="shared" si="506"/>
        <v>0</v>
      </c>
      <c r="BH1036" s="31">
        <f t="shared" si="507"/>
        <v>0</v>
      </c>
      <c r="BI1036" s="219">
        <f t="shared" si="508"/>
        <v>0</v>
      </c>
      <c r="BJ1036" s="31">
        <f t="shared" si="509"/>
        <v>0</v>
      </c>
      <c r="BK1036" s="219">
        <f t="shared" si="510"/>
        <v>0</v>
      </c>
      <c r="BL1036" s="31">
        <f t="shared" si="511"/>
        <v>0</v>
      </c>
      <c r="BM1036" s="219">
        <f t="shared" si="512"/>
        <v>0</v>
      </c>
      <c r="BN1036" s="31">
        <f t="shared" si="513"/>
        <v>0</v>
      </c>
      <c r="BO1036" s="219">
        <f t="shared" si="514"/>
        <v>0</v>
      </c>
    </row>
    <row r="1037" spans="1:67" x14ac:dyDescent="0.25">
      <c r="A1037" s="31" t="s">
        <v>2075</v>
      </c>
      <c r="B1037" s="176" t="str">
        <f>VLOOKUP(A1037,kurspris!$A$1:$B$992,2,FALSE)</f>
        <v>Tyska för ämneslärare, kurs 1</v>
      </c>
      <c r="C1037" s="31">
        <v>71414</v>
      </c>
      <c r="D1037" s="60" t="s">
        <v>482</v>
      </c>
      <c r="E1037" s="60"/>
      <c r="F1037" s="57" t="s">
        <v>2274</v>
      </c>
      <c r="H1037" s="31" t="s">
        <v>2335</v>
      </c>
      <c r="I1037" s="31" t="s">
        <v>2399</v>
      </c>
      <c r="J1037" s="31" t="s">
        <v>2240</v>
      </c>
      <c r="L1037" s="38"/>
      <c r="M1037">
        <v>30</v>
      </c>
      <c r="P1037" s="31">
        <v>1</v>
      </c>
      <c r="Q1037" s="539">
        <v>0.5</v>
      </c>
      <c r="R1037" s="38">
        <v>0.85</v>
      </c>
      <c r="S1037" s="280">
        <f t="shared" si="487"/>
        <v>0.42499999999999999</v>
      </c>
      <c r="T1037" s="31">
        <f>VLOOKUP(A1037,'Ansvar kurs'!$A$1:$C$1123,2,FALSE)</f>
        <v>1620</v>
      </c>
      <c r="U1037" s="31" t="str">
        <f>VLOOKUP(T1037,Orgenheter!$A$1:$C$166,2,FALSE)</f>
        <v>Inst för språkstudier</v>
      </c>
      <c r="V1037" s="31" t="str">
        <f>VLOOKUP(T1037,Orgenheter!$A$1:$C$166,3,FALSE)</f>
        <v>Hum</v>
      </c>
      <c r="W1037" s="35" t="str">
        <f>VLOOKUP(D1037,Program!$A$1:$B$36,2,FALSE)</f>
        <v>Ämneslärarprogrammet - Gy</v>
      </c>
      <c r="X1037" s="40">
        <f>VLOOKUP(A1037,kurspris!$A$1:$Q$913,15,FALSE)</f>
        <v>20766</v>
      </c>
      <c r="Y1037" s="40">
        <f>VLOOKUP(A1037,kurspris!$A$1:$Q$913,16,FALSE)</f>
        <v>17442</v>
      </c>
      <c r="Z1037" s="40">
        <f t="shared" si="488"/>
        <v>17795.849999999999</v>
      </c>
      <c r="AA1037" s="40">
        <f>VLOOKUP(A1037,kurspris!$A$1:$Q$913,17,FALSE)</f>
        <v>6000</v>
      </c>
      <c r="AB1037" s="40">
        <f t="shared" si="489"/>
        <v>3000</v>
      </c>
      <c r="AC1037" s="40">
        <f t="shared" si="490"/>
        <v>20795.849999999999</v>
      </c>
      <c r="AD1037" s="31">
        <f>VLOOKUP($A1037,kurspris!$A$1:$Q$950,3,FALSE)</f>
        <v>0</v>
      </c>
      <c r="AE1037" s="31">
        <f>VLOOKUP($A1037,kurspris!$A$1:$Q$950,4,FALSE)</f>
        <v>1</v>
      </c>
      <c r="AF1037" s="31">
        <f>VLOOKUP($A1037,kurspris!$A$1:$Q$950,5,FALSE)</f>
        <v>0</v>
      </c>
      <c r="AG1037" s="31">
        <f>VLOOKUP($A1037,kurspris!$A$1:$Q$950,6,FALSE)</f>
        <v>0</v>
      </c>
      <c r="AH1037" s="31">
        <f>VLOOKUP($A1037,kurspris!$A$1:$Q$950,7,FALSE)</f>
        <v>0</v>
      </c>
      <c r="AI1037" s="31">
        <f>VLOOKUP($A1037,kurspris!$A$1:$Q$950,8,FALSE)</f>
        <v>0</v>
      </c>
      <c r="AJ1037" s="31">
        <f>VLOOKUP($A1037,kurspris!$A$1:$Q$950,9,FALSE)</f>
        <v>0</v>
      </c>
      <c r="AK1037" s="31">
        <f>VLOOKUP($A1037,kurspris!$A$1:$Q$950,10,FALSE)</f>
        <v>0</v>
      </c>
      <c r="AL1037" s="31">
        <f>VLOOKUP($A1037,kurspris!$A$1:$Q$950,11,FALSE)</f>
        <v>0</v>
      </c>
      <c r="AM1037" s="31">
        <f>VLOOKUP($A1037,kurspris!$A$1:$Q$950,12,FALSE)</f>
        <v>0</v>
      </c>
      <c r="AN1037" s="31">
        <f>VLOOKUP($A1037,kurspris!$A$1:$Q$950,13,FALSE)</f>
        <v>0</v>
      </c>
      <c r="AO1037" s="31">
        <f>VLOOKUP($A1037,kurspris!$A$1:$Q$950,14,FALSE)</f>
        <v>0</v>
      </c>
      <c r="AP1037" s="57" t="s">
        <v>2402</v>
      </c>
      <c r="AQ1037"/>
      <c r="AR1037" s="31">
        <f t="shared" si="491"/>
        <v>0</v>
      </c>
      <c r="AS1037" s="219">
        <f t="shared" si="492"/>
        <v>0</v>
      </c>
      <c r="AT1037" s="31">
        <f t="shared" si="493"/>
        <v>0.5</v>
      </c>
      <c r="AU1037" s="219">
        <f t="shared" si="494"/>
        <v>0.42499999999999999</v>
      </c>
      <c r="AV1037" s="31">
        <f t="shared" si="495"/>
        <v>0</v>
      </c>
      <c r="AW1037" s="31">
        <f t="shared" si="496"/>
        <v>0</v>
      </c>
      <c r="AX1037" s="31">
        <f t="shared" si="497"/>
        <v>0</v>
      </c>
      <c r="AY1037" s="219">
        <f t="shared" si="498"/>
        <v>0</v>
      </c>
      <c r="AZ1037" s="196">
        <f t="shared" si="499"/>
        <v>0</v>
      </c>
      <c r="BA1037" s="219">
        <f t="shared" si="500"/>
        <v>0</v>
      </c>
      <c r="BB1037" s="31">
        <f t="shared" si="501"/>
        <v>0</v>
      </c>
      <c r="BC1037" s="219">
        <f t="shared" si="502"/>
        <v>0</v>
      </c>
      <c r="BD1037" s="31">
        <f t="shared" si="503"/>
        <v>0</v>
      </c>
      <c r="BE1037" s="219">
        <f t="shared" si="504"/>
        <v>0</v>
      </c>
      <c r="BF1037" s="31">
        <f t="shared" si="505"/>
        <v>0</v>
      </c>
      <c r="BG1037" s="219">
        <f t="shared" si="506"/>
        <v>0</v>
      </c>
      <c r="BH1037" s="31">
        <f t="shared" si="507"/>
        <v>0</v>
      </c>
      <c r="BI1037" s="219">
        <f t="shared" si="508"/>
        <v>0</v>
      </c>
      <c r="BJ1037" s="31">
        <f t="shared" si="509"/>
        <v>0</v>
      </c>
      <c r="BK1037" s="219">
        <f t="shared" si="510"/>
        <v>0</v>
      </c>
      <c r="BL1037" s="31">
        <f t="shared" si="511"/>
        <v>0</v>
      </c>
      <c r="BM1037" s="219">
        <f t="shared" si="512"/>
        <v>0</v>
      </c>
      <c r="BN1037" s="31">
        <f t="shared" si="513"/>
        <v>0</v>
      </c>
      <c r="BO1037" s="219">
        <f t="shared" si="514"/>
        <v>0</v>
      </c>
    </row>
    <row r="1038" spans="1:67" x14ac:dyDescent="0.25">
      <c r="A1038" s="157" t="s">
        <v>2064</v>
      </c>
      <c r="B1038" s="176" t="str">
        <f>VLOOKUP(A1038,kurspris!$A$1:$B$992,2,FALSE)</f>
        <v>Tyska för ämneslärare, kurs 2</v>
      </c>
      <c r="C1038" s="35"/>
      <c r="D1038" s="31" t="s">
        <v>117</v>
      </c>
      <c r="F1038" s="31" t="s">
        <v>2273</v>
      </c>
      <c r="I1038" s="31" t="s">
        <v>2276</v>
      </c>
      <c r="L1038" s="38">
        <v>1</v>
      </c>
      <c r="M1038" s="325">
        <v>30</v>
      </c>
      <c r="P1038" s="31">
        <v>1</v>
      </c>
      <c r="Q1038" s="196">
        <f>(M1038/60)*P1038</f>
        <v>0.5</v>
      </c>
      <c r="R1038" s="38">
        <v>0.8</v>
      </c>
      <c r="S1038" s="280">
        <f t="shared" si="487"/>
        <v>0.4</v>
      </c>
      <c r="T1038" s="31">
        <f>VLOOKUP(A1038,'Ansvar kurs'!$A$1:$C$1123,2,FALSE)</f>
        <v>1620</v>
      </c>
      <c r="U1038" s="31" t="str">
        <f>VLOOKUP(T1038,Orgenheter!$A$1:$C$166,2,FALSE)</f>
        <v>Inst för språkstudier</v>
      </c>
      <c r="V1038" s="31" t="str">
        <f>VLOOKUP(T1038,Orgenheter!$A$1:$C$166,3,FALSE)</f>
        <v>Hum</v>
      </c>
      <c r="W1038" s="35" t="str">
        <f>VLOOKUP(D1038,Program!$A$1:$B$36,2,FALSE)</f>
        <v>Fristående och övriga kurser</v>
      </c>
      <c r="X1038" s="40">
        <f>VLOOKUP(A1038,kurspris!$A$1:$Q$913,15,FALSE)</f>
        <v>20766</v>
      </c>
      <c r="Y1038" s="40">
        <f>VLOOKUP(A1038,kurspris!$A$1:$Q$913,16,FALSE)</f>
        <v>17442</v>
      </c>
      <c r="Z1038" s="40">
        <f t="shared" si="488"/>
        <v>17359.8</v>
      </c>
      <c r="AA1038" s="40">
        <f>VLOOKUP(A1038,kurspris!$A$1:$Q$913,17,FALSE)</f>
        <v>6000</v>
      </c>
      <c r="AB1038" s="40">
        <f t="shared" si="489"/>
        <v>3000</v>
      </c>
      <c r="AC1038" s="40">
        <f t="shared" si="490"/>
        <v>20359.8</v>
      </c>
      <c r="AD1038" s="31">
        <f>VLOOKUP($A1038,kurspris!$A$1:$Q$950,3,FALSE)</f>
        <v>0</v>
      </c>
      <c r="AE1038" s="31">
        <f>VLOOKUP($A1038,kurspris!$A$1:$Q$950,4,FALSE)</f>
        <v>1</v>
      </c>
      <c r="AF1038" s="31">
        <f>VLOOKUP($A1038,kurspris!$A$1:$Q$950,5,FALSE)</f>
        <v>0</v>
      </c>
      <c r="AG1038" s="31">
        <f>VLOOKUP($A1038,kurspris!$A$1:$Q$950,6,FALSE)</f>
        <v>0</v>
      </c>
      <c r="AH1038" s="31">
        <f>VLOOKUP($A1038,kurspris!$A$1:$Q$950,7,FALSE)</f>
        <v>0</v>
      </c>
      <c r="AI1038" s="31">
        <f>VLOOKUP($A1038,kurspris!$A$1:$Q$950,8,FALSE)</f>
        <v>0</v>
      </c>
      <c r="AJ1038" s="31">
        <f>VLOOKUP($A1038,kurspris!$A$1:$Q$950,9,FALSE)</f>
        <v>0</v>
      </c>
      <c r="AK1038" s="31">
        <f>VLOOKUP($A1038,kurspris!$A$1:$Q$950,10,FALSE)</f>
        <v>0</v>
      </c>
      <c r="AL1038" s="31">
        <f>VLOOKUP($A1038,kurspris!$A$1:$Q$950,11,FALSE)</f>
        <v>0</v>
      </c>
      <c r="AM1038" s="31">
        <f>VLOOKUP($A1038,kurspris!$A$1:$Q$950,12,FALSE)</f>
        <v>0</v>
      </c>
      <c r="AN1038" s="31">
        <f>VLOOKUP($A1038,kurspris!$A$1:$Q$950,13,FALSE)</f>
        <v>0</v>
      </c>
      <c r="AO1038" s="31">
        <f>VLOOKUP($A1038,kurspris!$A$1:$Q$950,14,FALSE)</f>
        <v>0</v>
      </c>
      <c r="AP1038" s="57" t="s">
        <v>2267</v>
      </c>
      <c r="AQ1038" s="37"/>
      <c r="AR1038" s="31">
        <f t="shared" si="491"/>
        <v>0</v>
      </c>
      <c r="AS1038" s="219">
        <f t="shared" si="492"/>
        <v>0</v>
      </c>
      <c r="AT1038" s="31">
        <f t="shared" si="493"/>
        <v>0.5</v>
      </c>
      <c r="AU1038" s="219">
        <f t="shared" si="494"/>
        <v>0.4</v>
      </c>
      <c r="AV1038" s="31">
        <f t="shared" si="495"/>
        <v>0</v>
      </c>
      <c r="AW1038" s="31">
        <f t="shared" si="496"/>
        <v>0</v>
      </c>
      <c r="AX1038" s="31">
        <f t="shared" si="497"/>
        <v>0</v>
      </c>
      <c r="AY1038" s="219">
        <f t="shared" si="498"/>
        <v>0</v>
      </c>
      <c r="AZ1038" s="196">
        <f t="shared" si="499"/>
        <v>0</v>
      </c>
      <c r="BA1038" s="219">
        <f t="shared" si="500"/>
        <v>0</v>
      </c>
      <c r="BB1038" s="31">
        <f t="shared" si="501"/>
        <v>0</v>
      </c>
      <c r="BC1038" s="219">
        <f t="shared" si="502"/>
        <v>0</v>
      </c>
      <c r="BD1038" s="31">
        <f t="shared" si="503"/>
        <v>0</v>
      </c>
      <c r="BE1038" s="219">
        <f t="shared" si="504"/>
        <v>0</v>
      </c>
      <c r="BF1038" s="31">
        <f t="shared" si="505"/>
        <v>0</v>
      </c>
      <c r="BG1038" s="219">
        <f t="shared" si="506"/>
        <v>0</v>
      </c>
      <c r="BH1038" s="31">
        <f t="shared" si="507"/>
        <v>0</v>
      </c>
      <c r="BI1038" s="219">
        <f t="shared" si="508"/>
        <v>0</v>
      </c>
      <c r="BJ1038" s="31">
        <f t="shared" si="509"/>
        <v>0</v>
      </c>
      <c r="BK1038" s="219">
        <f t="shared" si="510"/>
        <v>0</v>
      </c>
      <c r="BL1038" s="31">
        <f t="shared" si="511"/>
        <v>0</v>
      </c>
      <c r="BM1038" s="219">
        <f t="shared" si="512"/>
        <v>0</v>
      </c>
      <c r="BN1038" s="31">
        <f t="shared" si="513"/>
        <v>0</v>
      </c>
      <c r="BO1038" s="219">
        <f t="shared" si="514"/>
        <v>0</v>
      </c>
    </row>
    <row r="1039" spans="1:67" x14ac:dyDescent="0.25">
      <c r="A1039" s="31" t="s">
        <v>2064</v>
      </c>
      <c r="B1039" s="176" t="str">
        <f>VLOOKUP(A1039,kurspris!$A$1:$B$992,2,FALSE)</f>
        <v>Tyska för ämneslärare, kurs 2</v>
      </c>
      <c r="D1039" s="60" t="s">
        <v>482</v>
      </c>
      <c r="E1039" s="576" t="s">
        <v>2225</v>
      </c>
      <c r="F1039" s="31" t="s">
        <v>2273</v>
      </c>
      <c r="G1039" t="s">
        <v>2458</v>
      </c>
      <c r="H1039" t="s">
        <v>2335</v>
      </c>
      <c r="J1039" s="31" t="s">
        <v>2240</v>
      </c>
      <c r="L1039" s="38">
        <v>1</v>
      </c>
      <c r="M1039">
        <v>30</v>
      </c>
      <c r="P1039" s="31">
        <v>1</v>
      </c>
      <c r="Q1039" s="196">
        <f>(M1039/60)*P1039</f>
        <v>0.5</v>
      </c>
      <c r="R1039" s="38">
        <v>0.85</v>
      </c>
      <c r="S1039" s="280">
        <f t="shared" si="487"/>
        <v>0.42499999999999999</v>
      </c>
      <c r="T1039" s="31">
        <f>VLOOKUP(A1039,'Ansvar kurs'!$A$1:$C$1123,2,FALSE)</f>
        <v>1620</v>
      </c>
      <c r="U1039" s="31" t="str">
        <f>VLOOKUP(T1039,Orgenheter!$A$1:$C$166,2,FALSE)</f>
        <v>Inst för språkstudier</v>
      </c>
      <c r="V1039" s="31" t="str">
        <f>VLOOKUP(T1039,Orgenheter!$A$1:$C$166,3,FALSE)</f>
        <v>Hum</v>
      </c>
      <c r="W1039" s="35" t="str">
        <f>VLOOKUP(D1039,Program!$A$1:$B$36,2,FALSE)</f>
        <v>Ämneslärarprogrammet - Gy</v>
      </c>
      <c r="X1039" s="40">
        <f>VLOOKUP(A1039,kurspris!$A$1:$Q$913,15,FALSE)</f>
        <v>20766</v>
      </c>
      <c r="Y1039" s="40">
        <f>VLOOKUP(A1039,kurspris!$A$1:$Q$913,16,FALSE)</f>
        <v>17442</v>
      </c>
      <c r="Z1039" s="40">
        <f t="shared" si="488"/>
        <v>17795.849999999999</v>
      </c>
      <c r="AA1039" s="40">
        <f>VLOOKUP(A1039,kurspris!$A$1:$Q$913,17,FALSE)</f>
        <v>6000</v>
      </c>
      <c r="AB1039" s="40">
        <f t="shared" si="489"/>
        <v>3000</v>
      </c>
      <c r="AC1039" s="40">
        <f t="shared" si="490"/>
        <v>20795.849999999999</v>
      </c>
      <c r="AD1039" s="31">
        <f>VLOOKUP($A1039,kurspris!$A$1:$Q$950,3,FALSE)</f>
        <v>0</v>
      </c>
      <c r="AE1039" s="31">
        <f>VLOOKUP($A1039,kurspris!$A$1:$Q$950,4,FALSE)</f>
        <v>1</v>
      </c>
      <c r="AF1039" s="31">
        <f>VLOOKUP($A1039,kurspris!$A$1:$Q$950,5,FALSE)</f>
        <v>0</v>
      </c>
      <c r="AG1039" s="31">
        <f>VLOOKUP($A1039,kurspris!$A$1:$Q$950,6,FALSE)</f>
        <v>0</v>
      </c>
      <c r="AH1039" s="31">
        <f>VLOOKUP($A1039,kurspris!$A$1:$Q$950,7,FALSE)</f>
        <v>0</v>
      </c>
      <c r="AI1039" s="31">
        <f>VLOOKUP($A1039,kurspris!$A$1:$Q$950,8,FALSE)</f>
        <v>0</v>
      </c>
      <c r="AJ1039" s="31">
        <f>VLOOKUP($A1039,kurspris!$A$1:$Q$950,9,FALSE)</f>
        <v>0</v>
      </c>
      <c r="AK1039" s="31">
        <f>VLOOKUP($A1039,kurspris!$A$1:$Q$950,10,FALSE)</f>
        <v>0</v>
      </c>
      <c r="AL1039" s="31">
        <f>VLOOKUP($A1039,kurspris!$A$1:$Q$950,11,FALSE)</f>
        <v>0</v>
      </c>
      <c r="AM1039" s="31">
        <f>VLOOKUP($A1039,kurspris!$A$1:$Q$950,12,FALSE)</f>
        <v>0</v>
      </c>
      <c r="AN1039" s="31">
        <f>VLOOKUP($A1039,kurspris!$A$1:$Q$950,13,FALSE)</f>
        <v>0</v>
      </c>
      <c r="AO1039" s="31">
        <f>VLOOKUP($A1039,kurspris!$A$1:$Q$950,14,FALSE)</f>
        <v>0</v>
      </c>
      <c r="AP1039" s="57" t="s">
        <v>2506</v>
      </c>
      <c r="AQ1039"/>
      <c r="AR1039" s="31">
        <f t="shared" si="491"/>
        <v>0</v>
      </c>
      <c r="AS1039" s="219">
        <f t="shared" si="492"/>
        <v>0</v>
      </c>
      <c r="AT1039" s="31">
        <f t="shared" si="493"/>
        <v>0.5</v>
      </c>
      <c r="AU1039" s="219">
        <f t="shared" si="494"/>
        <v>0.42499999999999999</v>
      </c>
      <c r="AV1039" s="31">
        <f t="shared" si="495"/>
        <v>0</v>
      </c>
      <c r="AW1039" s="31">
        <f t="shared" si="496"/>
        <v>0</v>
      </c>
      <c r="AX1039" s="31">
        <f t="shared" si="497"/>
        <v>0</v>
      </c>
      <c r="AY1039" s="219">
        <f t="shared" si="498"/>
        <v>0</v>
      </c>
      <c r="AZ1039" s="196">
        <f t="shared" si="499"/>
        <v>0</v>
      </c>
      <c r="BA1039" s="219">
        <f t="shared" si="500"/>
        <v>0</v>
      </c>
      <c r="BB1039" s="31">
        <f t="shared" si="501"/>
        <v>0</v>
      </c>
      <c r="BC1039" s="219">
        <f t="shared" si="502"/>
        <v>0</v>
      </c>
      <c r="BD1039" s="31">
        <f t="shared" si="503"/>
        <v>0</v>
      </c>
      <c r="BE1039" s="219">
        <f t="shared" si="504"/>
        <v>0</v>
      </c>
      <c r="BF1039" s="31">
        <f t="shared" si="505"/>
        <v>0</v>
      </c>
      <c r="BG1039" s="219">
        <f t="shared" si="506"/>
        <v>0</v>
      </c>
      <c r="BH1039" s="31">
        <f t="shared" si="507"/>
        <v>0</v>
      </c>
      <c r="BI1039" s="219">
        <f t="shared" si="508"/>
        <v>0</v>
      </c>
      <c r="BJ1039" s="31">
        <f t="shared" si="509"/>
        <v>0</v>
      </c>
      <c r="BK1039" s="219">
        <f t="shared" si="510"/>
        <v>0</v>
      </c>
      <c r="BL1039" s="31">
        <f t="shared" si="511"/>
        <v>0</v>
      </c>
      <c r="BM1039" s="219">
        <f t="shared" si="512"/>
        <v>0</v>
      </c>
      <c r="BN1039" s="31">
        <f t="shared" si="513"/>
        <v>0</v>
      </c>
      <c r="BO1039" s="219">
        <f t="shared" si="514"/>
        <v>0</v>
      </c>
    </row>
    <row r="1040" spans="1:67" x14ac:dyDescent="0.25">
      <c r="A1040" s="31" t="s">
        <v>2064</v>
      </c>
      <c r="B1040" s="176" t="str">
        <f>VLOOKUP(A1040,kurspris!$A$1:$B$992,2,FALSE)</f>
        <v>Tyska för ämneslärare, kurs 2</v>
      </c>
      <c r="D1040" s="60" t="s">
        <v>482</v>
      </c>
      <c r="E1040" s="576" t="s">
        <v>2432</v>
      </c>
      <c r="F1040" s="31" t="s">
        <v>2273</v>
      </c>
      <c r="G1040" t="s">
        <v>2458</v>
      </c>
      <c r="H1040" t="s">
        <v>2335</v>
      </c>
      <c r="J1040" s="31" t="s">
        <v>2246</v>
      </c>
      <c r="L1040" s="38">
        <v>1</v>
      </c>
      <c r="M1040">
        <v>30</v>
      </c>
      <c r="P1040" s="31">
        <v>1</v>
      </c>
      <c r="Q1040" s="196">
        <f>(M1040/60)*P1040</f>
        <v>0.5</v>
      </c>
      <c r="R1040" s="38">
        <v>0.85</v>
      </c>
      <c r="S1040" s="280">
        <f t="shared" si="487"/>
        <v>0.42499999999999999</v>
      </c>
      <c r="T1040" s="31">
        <f>VLOOKUP(A1040,'Ansvar kurs'!$A$1:$C$1123,2,FALSE)</f>
        <v>1620</v>
      </c>
      <c r="U1040" s="31" t="str">
        <f>VLOOKUP(T1040,Orgenheter!$A$1:$C$166,2,FALSE)</f>
        <v>Inst för språkstudier</v>
      </c>
      <c r="V1040" s="31" t="str">
        <f>VLOOKUP(T1040,Orgenheter!$A$1:$C$166,3,FALSE)</f>
        <v>Hum</v>
      </c>
      <c r="W1040" s="35" t="str">
        <f>VLOOKUP(D1040,Program!$A$1:$B$36,2,FALSE)</f>
        <v>Ämneslärarprogrammet - Gy</v>
      </c>
      <c r="X1040" s="40">
        <f>VLOOKUP(A1040,kurspris!$A$1:$Q$913,15,FALSE)</f>
        <v>20766</v>
      </c>
      <c r="Y1040" s="40">
        <f>VLOOKUP(A1040,kurspris!$A$1:$Q$913,16,FALSE)</f>
        <v>17442</v>
      </c>
      <c r="Z1040" s="40">
        <f t="shared" si="488"/>
        <v>17795.849999999999</v>
      </c>
      <c r="AA1040" s="40">
        <f>VLOOKUP(A1040,kurspris!$A$1:$Q$913,17,FALSE)</f>
        <v>6000</v>
      </c>
      <c r="AB1040" s="40">
        <f t="shared" si="489"/>
        <v>3000</v>
      </c>
      <c r="AC1040" s="40">
        <f t="shared" si="490"/>
        <v>20795.849999999999</v>
      </c>
      <c r="AD1040" s="31">
        <f>VLOOKUP($A1040,kurspris!$A$1:$Q$950,3,FALSE)</f>
        <v>0</v>
      </c>
      <c r="AE1040" s="31">
        <f>VLOOKUP($A1040,kurspris!$A$1:$Q$950,4,FALSE)</f>
        <v>1</v>
      </c>
      <c r="AF1040" s="31">
        <f>VLOOKUP($A1040,kurspris!$A$1:$Q$950,5,FALSE)</f>
        <v>0</v>
      </c>
      <c r="AG1040" s="31">
        <f>VLOOKUP($A1040,kurspris!$A$1:$Q$950,6,FALSE)</f>
        <v>0</v>
      </c>
      <c r="AH1040" s="31">
        <f>VLOOKUP($A1040,kurspris!$A$1:$Q$950,7,FALSE)</f>
        <v>0</v>
      </c>
      <c r="AI1040" s="31">
        <f>VLOOKUP($A1040,kurspris!$A$1:$Q$950,8,FALSE)</f>
        <v>0</v>
      </c>
      <c r="AJ1040" s="31">
        <f>VLOOKUP($A1040,kurspris!$A$1:$Q$950,9,FALSE)</f>
        <v>0</v>
      </c>
      <c r="AK1040" s="31">
        <f>VLOOKUP($A1040,kurspris!$A$1:$Q$950,10,FALSE)</f>
        <v>0</v>
      </c>
      <c r="AL1040" s="31">
        <f>VLOOKUP($A1040,kurspris!$A$1:$Q$950,11,FALSE)</f>
        <v>0</v>
      </c>
      <c r="AM1040" s="31">
        <f>VLOOKUP($A1040,kurspris!$A$1:$Q$950,12,FALSE)</f>
        <v>0</v>
      </c>
      <c r="AN1040" s="31">
        <f>VLOOKUP($A1040,kurspris!$A$1:$Q$950,13,FALSE)</f>
        <v>0</v>
      </c>
      <c r="AO1040" s="31">
        <f>VLOOKUP($A1040,kurspris!$A$1:$Q$950,14,FALSE)</f>
        <v>0</v>
      </c>
      <c r="AP1040" s="57" t="s">
        <v>2506</v>
      </c>
      <c r="AQ1040"/>
      <c r="AR1040" s="31">
        <f t="shared" si="491"/>
        <v>0</v>
      </c>
      <c r="AS1040" s="219">
        <f t="shared" si="492"/>
        <v>0</v>
      </c>
      <c r="AT1040" s="31">
        <f t="shared" si="493"/>
        <v>0.5</v>
      </c>
      <c r="AU1040" s="219">
        <f t="shared" si="494"/>
        <v>0.42499999999999999</v>
      </c>
      <c r="AV1040" s="31">
        <f t="shared" si="495"/>
        <v>0</v>
      </c>
      <c r="AW1040" s="31">
        <f t="shared" si="496"/>
        <v>0</v>
      </c>
      <c r="AX1040" s="31">
        <f t="shared" si="497"/>
        <v>0</v>
      </c>
      <c r="AY1040" s="219">
        <f t="shared" si="498"/>
        <v>0</v>
      </c>
      <c r="AZ1040" s="196">
        <f t="shared" si="499"/>
        <v>0</v>
      </c>
      <c r="BA1040" s="219">
        <f t="shared" si="500"/>
        <v>0</v>
      </c>
      <c r="BB1040" s="31">
        <f t="shared" si="501"/>
        <v>0</v>
      </c>
      <c r="BC1040" s="219">
        <f t="shared" si="502"/>
        <v>0</v>
      </c>
      <c r="BD1040" s="31">
        <f t="shared" si="503"/>
        <v>0</v>
      </c>
      <c r="BE1040" s="219">
        <f t="shared" si="504"/>
        <v>0</v>
      </c>
      <c r="BF1040" s="31">
        <f t="shared" si="505"/>
        <v>0</v>
      </c>
      <c r="BG1040" s="219">
        <f t="shared" si="506"/>
        <v>0</v>
      </c>
      <c r="BH1040" s="31">
        <f t="shared" si="507"/>
        <v>0</v>
      </c>
      <c r="BI1040" s="219">
        <f t="shared" si="508"/>
        <v>0</v>
      </c>
      <c r="BJ1040" s="31">
        <f t="shared" si="509"/>
        <v>0</v>
      </c>
      <c r="BK1040" s="219">
        <f t="shared" si="510"/>
        <v>0</v>
      </c>
      <c r="BL1040" s="31">
        <f t="shared" si="511"/>
        <v>0</v>
      </c>
      <c r="BM1040" s="219">
        <f t="shared" si="512"/>
        <v>0</v>
      </c>
      <c r="BN1040" s="31">
        <f t="shared" si="513"/>
        <v>0</v>
      </c>
      <c r="BO1040" s="219">
        <f t="shared" si="514"/>
        <v>0</v>
      </c>
    </row>
    <row r="1041" spans="1:69" x14ac:dyDescent="0.25">
      <c r="A1041" s="31" t="s">
        <v>63</v>
      </c>
      <c r="B1041" s="176" t="str">
        <f>VLOOKUP(A1041,kurspris!$A$1:$B$992,2,FALSE)</f>
        <v>Examensarbete</v>
      </c>
      <c r="C1041" s="31" t="s">
        <v>2393</v>
      </c>
      <c r="D1041" s="31" t="s">
        <v>358</v>
      </c>
      <c r="F1041" s="57" t="s">
        <v>2274</v>
      </c>
      <c r="H1041" s="31" t="s">
        <v>2335</v>
      </c>
      <c r="I1041" s="31" t="s">
        <v>2275</v>
      </c>
      <c r="J1041" s="31" t="s">
        <v>2397</v>
      </c>
      <c r="L1041" s="38"/>
      <c r="M1041">
        <v>15</v>
      </c>
      <c r="P1041" s="31">
        <v>1</v>
      </c>
      <c r="Q1041" s="539">
        <v>0.25</v>
      </c>
      <c r="R1041" s="38">
        <v>0.85</v>
      </c>
      <c r="S1041" s="280">
        <f t="shared" si="487"/>
        <v>0.21249999999999999</v>
      </c>
      <c r="T1041" s="31">
        <f>VLOOKUP(A1041,'Ansvar kurs'!$A$1:$C$1123,2,FALSE)</f>
        <v>2193</v>
      </c>
      <c r="U1041" s="31" t="str">
        <f>VLOOKUP(T1041,Orgenheter!$A$1:$C$166,2,FALSE)</f>
        <v xml:space="preserve">TUV </v>
      </c>
      <c r="V1041" s="31" t="str">
        <f>VLOOKUP(T1041,Orgenheter!$A$1:$C$166,3,FALSE)</f>
        <v>Sam</v>
      </c>
      <c r="W1041" s="35" t="str">
        <f>VLOOKUP(D1041,Program!$A$1:$B$36,2,FALSE)</f>
        <v>Fristående och övriga kurser</v>
      </c>
      <c r="X1041" s="40">
        <f>VLOOKUP(A1041,kurspris!$A$1:$Q$913,15,FALSE)</f>
        <v>26554</v>
      </c>
      <c r="Y1041" s="40">
        <f>VLOOKUP(A1041,kurspris!$A$1:$Q$913,16,FALSE)</f>
        <v>33465</v>
      </c>
      <c r="Z1041" s="40">
        <f t="shared" si="488"/>
        <v>13749.8125</v>
      </c>
      <c r="AA1041" s="40">
        <f>VLOOKUP(A1041,kurspris!$A$1:$Q$913,17,FALSE)</f>
        <v>6000</v>
      </c>
      <c r="AB1041" s="40">
        <f t="shared" si="489"/>
        <v>1500</v>
      </c>
      <c r="AC1041" s="40">
        <f t="shared" si="490"/>
        <v>15249.8125</v>
      </c>
      <c r="AD1041" s="31">
        <f>VLOOKUP($A1041,kurspris!$A$1:$Q$950,3,FALSE)</f>
        <v>0</v>
      </c>
      <c r="AE1041" s="31">
        <f>VLOOKUP($A1041,kurspris!$A$1:$Q$950,4,FALSE)</f>
        <v>0</v>
      </c>
      <c r="AF1041" s="31">
        <f>VLOOKUP($A1041,kurspris!$A$1:$Q$950,5,FALSE)</f>
        <v>0</v>
      </c>
      <c r="AG1041" s="31">
        <f>VLOOKUP($A1041,kurspris!$A$1:$Q$950,6,FALSE)</f>
        <v>1</v>
      </c>
      <c r="AH1041" s="31">
        <f>VLOOKUP($A1041,kurspris!$A$1:$Q$950,7,FALSE)</f>
        <v>0</v>
      </c>
      <c r="AI1041" s="31">
        <f>VLOOKUP($A1041,kurspris!$A$1:$Q$950,8,FALSE)</f>
        <v>0</v>
      </c>
      <c r="AJ1041" s="31">
        <f>VLOOKUP($A1041,kurspris!$A$1:$Q$950,9,FALSE)</f>
        <v>0</v>
      </c>
      <c r="AK1041" s="31">
        <f>VLOOKUP($A1041,kurspris!$A$1:$Q$950,10,FALSE)</f>
        <v>0</v>
      </c>
      <c r="AL1041" s="31">
        <f>VLOOKUP($A1041,kurspris!$A$1:$Q$950,11,FALSE)</f>
        <v>0</v>
      </c>
      <c r="AM1041" s="31">
        <f>VLOOKUP($A1041,kurspris!$A$1:$Q$950,12,FALSE)</f>
        <v>0</v>
      </c>
      <c r="AN1041" s="31">
        <f>VLOOKUP($A1041,kurspris!$A$1:$Q$950,13,FALSE)</f>
        <v>0</v>
      </c>
      <c r="AO1041" s="31">
        <f>VLOOKUP($A1041,kurspris!$A$1:$Q$950,14,FALSE)</f>
        <v>0</v>
      </c>
      <c r="AP1041" s="57" t="s">
        <v>2402</v>
      </c>
      <c r="AQ1041"/>
      <c r="AR1041" s="31">
        <f t="shared" si="491"/>
        <v>0</v>
      </c>
      <c r="AS1041" s="219">
        <f t="shared" si="492"/>
        <v>0</v>
      </c>
      <c r="AT1041" s="31">
        <f t="shared" si="493"/>
        <v>0</v>
      </c>
      <c r="AU1041" s="219">
        <f t="shared" si="494"/>
        <v>0</v>
      </c>
      <c r="AV1041" s="31">
        <f t="shared" si="495"/>
        <v>0</v>
      </c>
      <c r="AW1041" s="31">
        <f t="shared" si="496"/>
        <v>0</v>
      </c>
      <c r="AX1041" s="31">
        <f t="shared" si="497"/>
        <v>0.25</v>
      </c>
      <c r="AY1041" s="219">
        <f t="shared" si="498"/>
        <v>0.21249999999999999</v>
      </c>
      <c r="AZ1041" s="196">
        <f t="shared" si="499"/>
        <v>0</v>
      </c>
      <c r="BA1041" s="219">
        <f t="shared" si="500"/>
        <v>0</v>
      </c>
      <c r="BB1041" s="31">
        <f t="shared" si="501"/>
        <v>0</v>
      </c>
      <c r="BC1041" s="219">
        <f t="shared" si="502"/>
        <v>0</v>
      </c>
      <c r="BD1041" s="31">
        <f t="shared" si="503"/>
        <v>0</v>
      </c>
      <c r="BE1041" s="219">
        <f t="shared" si="504"/>
        <v>0</v>
      </c>
      <c r="BF1041" s="31">
        <f t="shared" si="505"/>
        <v>0</v>
      </c>
      <c r="BG1041" s="219">
        <f t="shared" si="506"/>
        <v>0</v>
      </c>
      <c r="BH1041" s="31">
        <f t="shared" si="507"/>
        <v>0</v>
      </c>
      <c r="BI1041" s="219">
        <f t="shared" si="508"/>
        <v>0</v>
      </c>
      <c r="BJ1041" s="31">
        <f t="shared" si="509"/>
        <v>0</v>
      </c>
      <c r="BK1041" s="219">
        <f t="shared" si="510"/>
        <v>0</v>
      </c>
      <c r="BL1041" s="31">
        <f t="shared" si="511"/>
        <v>0</v>
      </c>
      <c r="BM1041" s="219">
        <f t="shared" si="512"/>
        <v>0</v>
      </c>
      <c r="BN1041" s="31">
        <f t="shared" si="513"/>
        <v>0</v>
      </c>
      <c r="BO1041" s="219">
        <f t="shared" si="514"/>
        <v>0</v>
      </c>
    </row>
    <row r="1042" spans="1:69" x14ac:dyDescent="0.25">
      <c r="A1042" s="31" t="s">
        <v>63</v>
      </c>
      <c r="B1042" s="176" t="str">
        <f>VLOOKUP(A1042,kurspris!$A$1:$B$992,2,FALSE)</f>
        <v>Examensarbete</v>
      </c>
      <c r="C1042" s="31" t="s">
        <v>2393</v>
      </c>
      <c r="D1042" s="60" t="s">
        <v>116</v>
      </c>
      <c r="E1042" s="60"/>
      <c r="F1042" s="57" t="s">
        <v>2274</v>
      </c>
      <c r="H1042" s="31" t="s">
        <v>2335</v>
      </c>
      <c r="I1042" s="31" t="s">
        <v>2275</v>
      </c>
      <c r="J1042" s="31" t="s">
        <v>2398</v>
      </c>
      <c r="L1042" s="38"/>
      <c r="M1042">
        <v>15</v>
      </c>
      <c r="P1042" s="31">
        <v>1</v>
      </c>
      <c r="Q1042" s="539">
        <v>0.25</v>
      </c>
      <c r="R1042" s="38">
        <v>0.85</v>
      </c>
      <c r="S1042" s="280">
        <f t="shared" si="487"/>
        <v>0.21249999999999999</v>
      </c>
      <c r="T1042" s="31">
        <f>VLOOKUP(A1042,'Ansvar kurs'!$A$1:$C$1123,2,FALSE)</f>
        <v>2193</v>
      </c>
      <c r="U1042" s="31" t="str">
        <f>VLOOKUP(T1042,Orgenheter!$A$1:$C$166,2,FALSE)</f>
        <v xml:space="preserve">TUV </v>
      </c>
      <c r="V1042" s="31" t="str">
        <f>VLOOKUP(T1042,Orgenheter!$A$1:$C$166,3,FALSE)</f>
        <v>Sam</v>
      </c>
      <c r="W1042" s="35" t="str">
        <f>VLOOKUP(D1042,Program!$A$1:$B$36,2,FALSE)</f>
        <v>Lärarprogram långa - före ht11</v>
      </c>
      <c r="X1042" s="40">
        <f>VLOOKUP(A1042,kurspris!$A$1:$Q$913,15,FALSE)</f>
        <v>26554</v>
      </c>
      <c r="Y1042" s="40">
        <f>VLOOKUP(A1042,kurspris!$A$1:$Q$913,16,FALSE)</f>
        <v>33465</v>
      </c>
      <c r="Z1042" s="40">
        <f t="shared" si="488"/>
        <v>13749.8125</v>
      </c>
      <c r="AA1042" s="40">
        <f>VLOOKUP(A1042,kurspris!$A$1:$Q$913,17,FALSE)</f>
        <v>6000</v>
      </c>
      <c r="AB1042" s="40">
        <f t="shared" si="489"/>
        <v>1500</v>
      </c>
      <c r="AC1042" s="40">
        <f t="shared" si="490"/>
        <v>15249.8125</v>
      </c>
      <c r="AD1042" s="31">
        <f>VLOOKUP($A1042,kurspris!$A$1:$Q$950,3,FALSE)</f>
        <v>0</v>
      </c>
      <c r="AE1042" s="31">
        <f>VLOOKUP($A1042,kurspris!$A$1:$Q$950,4,FALSE)</f>
        <v>0</v>
      </c>
      <c r="AF1042" s="31">
        <f>VLOOKUP($A1042,kurspris!$A$1:$Q$950,5,FALSE)</f>
        <v>0</v>
      </c>
      <c r="AG1042" s="31">
        <f>VLOOKUP($A1042,kurspris!$A$1:$Q$950,6,FALSE)</f>
        <v>1</v>
      </c>
      <c r="AH1042" s="31">
        <f>VLOOKUP($A1042,kurspris!$A$1:$Q$950,7,FALSE)</f>
        <v>0</v>
      </c>
      <c r="AI1042" s="31">
        <f>VLOOKUP($A1042,kurspris!$A$1:$Q$950,8,FALSE)</f>
        <v>0</v>
      </c>
      <c r="AJ1042" s="31">
        <f>VLOOKUP($A1042,kurspris!$A$1:$Q$950,9,FALSE)</f>
        <v>0</v>
      </c>
      <c r="AK1042" s="31">
        <f>VLOOKUP($A1042,kurspris!$A$1:$Q$950,10,FALSE)</f>
        <v>0</v>
      </c>
      <c r="AL1042" s="31">
        <f>VLOOKUP($A1042,kurspris!$A$1:$Q$950,11,FALSE)</f>
        <v>0</v>
      </c>
      <c r="AM1042" s="31">
        <f>VLOOKUP($A1042,kurspris!$A$1:$Q$950,12,FALSE)</f>
        <v>0</v>
      </c>
      <c r="AN1042" s="31">
        <f>VLOOKUP($A1042,kurspris!$A$1:$Q$950,13,FALSE)</f>
        <v>0</v>
      </c>
      <c r="AO1042" s="31">
        <f>VLOOKUP($A1042,kurspris!$A$1:$Q$950,14,FALSE)</f>
        <v>0</v>
      </c>
      <c r="AP1042" s="57" t="s">
        <v>2402</v>
      </c>
      <c r="AQ1042"/>
      <c r="AR1042" s="31">
        <f t="shared" si="491"/>
        <v>0</v>
      </c>
      <c r="AS1042" s="219">
        <f t="shared" si="492"/>
        <v>0</v>
      </c>
      <c r="AT1042" s="31">
        <f t="shared" si="493"/>
        <v>0</v>
      </c>
      <c r="AU1042" s="219">
        <f t="shared" si="494"/>
        <v>0</v>
      </c>
      <c r="AV1042" s="31">
        <f t="shared" si="495"/>
        <v>0</v>
      </c>
      <c r="AW1042" s="31">
        <f t="shared" si="496"/>
        <v>0</v>
      </c>
      <c r="AX1042" s="31">
        <f t="shared" si="497"/>
        <v>0.25</v>
      </c>
      <c r="AY1042" s="219">
        <f t="shared" si="498"/>
        <v>0.21249999999999999</v>
      </c>
      <c r="AZ1042" s="196">
        <f t="shared" si="499"/>
        <v>0</v>
      </c>
      <c r="BA1042" s="219">
        <f t="shared" si="500"/>
        <v>0</v>
      </c>
      <c r="BB1042" s="31">
        <f t="shared" si="501"/>
        <v>0</v>
      </c>
      <c r="BC1042" s="219">
        <f t="shared" si="502"/>
        <v>0</v>
      </c>
      <c r="BD1042" s="31">
        <f t="shared" si="503"/>
        <v>0</v>
      </c>
      <c r="BE1042" s="219">
        <f t="shared" si="504"/>
        <v>0</v>
      </c>
      <c r="BF1042" s="31">
        <f t="shared" si="505"/>
        <v>0</v>
      </c>
      <c r="BG1042" s="219">
        <f t="shared" si="506"/>
        <v>0</v>
      </c>
      <c r="BH1042" s="31">
        <f t="shared" si="507"/>
        <v>0</v>
      </c>
      <c r="BI1042" s="219">
        <f t="shared" si="508"/>
        <v>0</v>
      </c>
      <c r="BJ1042" s="31">
        <f t="shared" si="509"/>
        <v>0</v>
      </c>
      <c r="BK1042" s="219">
        <f t="shared" si="510"/>
        <v>0</v>
      </c>
      <c r="BL1042" s="31">
        <f t="shared" si="511"/>
        <v>0</v>
      </c>
      <c r="BM1042" s="219">
        <f t="shared" si="512"/>
        <v>0</v>
      </c>
      <c r="BN1042" s="31">
        <f t="shared" si="513"/>
        <v>0</v>
      </c>
      <c r="BO1042" s="219">
        <f t="shared" si="514"/>
        <v>0</v>
      </c>
    </row>
    <row r="1043" spans="1:69" x14ac:dyDescent="0.25">
      <c r="A1043" s="157"/>
      <c r="B1043" s="176"/>
      <c r="D1043" s="37"/>
      <c r="E1043"/>
      <c r="G1043"/>
      <c r="H1043"/>
      <c r="J1043"/>
      <c r="K1043"/>
      <c r="L1043" s="19"/>
      <c r="M1043" s="192"/>
      <c r="N1043" s="192"/>
      <c r="O1043" s="192"/>
      <c r="P1043" s="36"/>
      <c r="Q1043" s="196"/>
      <c r="R1043" s="38"/>
      <c r="S1043" s="42"/>
      <c r="W1043" s="35"/>
      <c r="AP1043" s="37"/>
      <c r="AQ1043"/>
      <c r="AY1043" s="219"/>
      <c r="AZ1043" s="196"/>
      <c r="BA1043" s="219"/>
      <c r="BC1043" s="219"/>
      <c r="BE1043" s="219"/>
      <c r="BG1043" s="219"/>
      <c r="BI1043" s="219"/>
      <c r="BM1043" s="219"/>
      <c r="BO1043" s="219"/>
    </row>
    <row r="1044" spans="1:69" x14ac:dyDescent="0.25">
      <c r="A1044" s="201"/>
      <c r="B1044" s="327"/>
      <c r="D1044" s="204"/>
      <c r="E1044" s="201"/>
      <c r="F1044" s="204"/>
      <c r="G1044" s="201"/>
      <c r="H1044" s="201"/>
      <c r="I1044" s="201"/>
      <c r="J1044" s="201"/>
      <c r="K1044" s="201"/>
      <c r="L1044" s="205"/>
      <c r="M1044" s="202"/>
      <c r="N1044" s="202"/>
      <c r="O1044" s="202"/>
      <c r="P1044" s="206"/>
      <c r="Q1044" s="207"/>
      <c r="R1044" s="205"/>
      <c r="S1044" s="208"/>
      <c r="T1044" s="201"/>
      <c r="U1044" s="201"/>
      <c r="V1044" s="201"/>
      <c r="W1044" s="203"/>
      <c r="X1044" s="209"/>
      <c r="Y1044" s="209"/>
      <c r="Z1044" s="209"/>
      <c r="AA1044" s="209"/>
      <c r="AB1044" s="209"/>
      <c r="AC1044" s="209"/>
      <c r="AD1044" s="201"/>
      <c r="AE1044" s="201"/>
      <c r="AF1044" s="201"/>
      <c r="AG1044" s="201"/>
      <c r="AH1044" s="201"/>
      <c r="AI1044" s="201"/>
      <c r="AJ1044" s="201"/>
      <c r="AK1044" s="201"/>
      <c r="AL1044" s="201"/>
      <c r="AM1044" s="201"/>
      <c r="AN1044" s="201"/>
      <c r="AO1044" s="201"/>
      <c r="AP1044" s="204"/>
      <c r="AQ1044" s="204" t="s">
        <v>154</v>
      </c>
      <c r="AR1044" s="210">
        <f t="shared" ref="AR1044:BJ1044" si="515">SUM(AR1:AR1043)</f>
        <v>38.125</v>
      </c>
      <c r="AS1044" s="210">
        <f t="shared" si="515"/>
        <v>31.075000000000006</v>
      </c>
      <c r="AT1044" s="210">
        <f t="shared" si="515"/>
        <v>429</v>
      </c>
      <c r="AU1044" s="210">
        <f t="shared" si="515"/>
        <v>360.2437500000006</v>
      </c>
      <c r="AV1044" s="210">
        <f t="shared" si="515"/>
        <v>60</v>
      </c>
      <c r="AW1044" s="210">
        <f t="shared" si="515"/>
        <v>50.574999999999982</v>
      </c>
      <c r="AX1044" s="210">
        <f t="shared" si="515"/>
        <v>416.62516666666664</v>
      </c>
      <c r="AY1044" s="210">
        <f t="shared" si="515"/>
        <v>354.03764166666627</v>
      </c>
      <c r="AZ1044" s="210">
        <f t="shared" si="515"/>
        <v>25</v>
      </c>
      <c r="BA1044" s="210">
        <f t="shared" si="515"/>
        <v>20.375000000000004</v>
      </c>
      <c r="BB1044" s="210">
        <f t="shared" si="515"/>
        <v>251.63333333333335</v>
      </c>
      <c r="BC1044" s="210">
        <f t="shared" si="515"/>
        <v>209.7004166666666</v>
      </c>
      <c r="BD1044" s="210">
        <f t="shared" si="515"/>
        <v>532.55799999999999</v>
      </c>
      <c r="BE1044" s="210">
        <f t="shared" si="515"/>
        <v>443.97181666666665</v>
      </c>
      <c r="BF1044" s="210">
        <f t="shared" si="515"/>
        <v>107.625</v>
      </c>
      <c r="BG1044" s="210">
        <f t="shared" si="515"/>
        <v>86.674999999999997</v>
      </c>
      <c r="BH1044" s="210">
        <f t="shared" si="515"/>
        <v>213.8033333333332</v>
      </c>
      <c r="BI1044" s="210">
        <f t="shared" si="515"/>
        <v>181.60783333333325</v>
      </c>
      <c r="BJ1044" s="210">
        <f t="shared" si="515"/>
        <v>0.25</v>
      </c>
      <c r="BK1044" s="210"/>
      <c r="BL1044" s="210">
        <f>SUM(BL1:BL1043)</f>
        <v>31.125</v>
      </c>
      <c r="BM1044" s="210">
        <f>SUM(BM1:BM1043)</f>
        <v>26.331249999999997</v>
      </c>
      <c r="BN1044" s="210">
        <f>SUM(BN1:BN1043)</f>
        <v>43.566666666666656</v>
      </c>
      <c r="BO1044" s="210">
        <f>SUM(BO1:BO1043)</f>
        <v>37.031666666666666</v>
      </c>
      <c r="BQ1044" s="220"/>
    </row>
    <row r="1045" spans="1:69" x14ac:dyDescent="0.25">
      <c r="B1045" s="176"/>
      <c r="N1045" s="192"/>
      <c r="O1045" s="192"/>
      <c r="P1045" s="36"/>
      <c r="Q1045" s="196">
        <f>SUM(Q2:Q1044)</f>
        <v>2149.3115000000007</v>
      </c>
      <c r="R1045" s="38"/>
      <c r="S1045" s="196">
        <f>SUM(S2:S1044)</f>
        <v>1801.8368750000006</v>
      </c>
      <c r="W1045" s="35"/>
      <c r="AP1045" s="37"/>
      <c r="AQ1045" s="31" t="s">
        <v>800</v>
      </c>
      <c r="AR1045" s="31">
        <v>37</v>
      </c>
      <c r="AS1045" s="31">
        <v>37</v>
      </c>
      <c r="AZ1045" s="196">
        <v>10</v>
      </c>
      <c r="BA1045" s="196">
        <v>10</v>
      </c>
    </row>
    <row r="1046" spans="1:69" x14ac:dyDescent="0.25">
      <c r="R1046" s="38"/>
      <c r="S1046" s="31"/>
      <c r="X1046" s="31"/>
      <c r="Y1046" s="31"/>
      <c r="AA1046" s="31"/>
      <c r="AB1046" s="31"/>
      <c r="AC1046" s="31"/>
      <c r="AQ1046" s="31" t="s">
        <v>801</v>
      </c>
      <c r="AR1046" s="31">
        <f>IF(AR1044&gt;AR1045,AR1044-AR1045,0)</f>
        <v>1.125</v>
      </c>
      <c r="AS1046" s="31">
        <f>IF(AS1044&gt;AS1045,AS1044-AS1045,0)</f>
        <v>0</v>
      </c>
      <c r="AZ1046" s="31">
        <f>IF(AZ1044&gt;AZ1045,AZ1044-AZ1045,0)</f>
        <v>15</v>
      </c>
      <c r="BA1046" s="31">
        <f>IF(BA1044&gt;BA1045,BA1044-BA1045,0)</f>
        <v>10.375000000000004</v>
      </c>
    </row>
    <row r="1047" spans="1:69" x14ac:dyDescent="0.25">
      <c r="S1047" s="31"/>
      <c r="X1047" s="31"/>
      <c r="Y1047" s="31"/>
      <c r="Z1047" s="31"/>
      <c r="AA1047" s="31"/>
      <c r="AB1047" s="31"/>
      <c r="AC1047" s="31"/>
      <c r="AQ1047" s="31" t="s">
        <v>802</v>
      </c>
      <c r="AR1047" s="40">
        <f>(AR1046*Prislapp!$H$2)-(AR1046*Prislapp!$C$2)</f>
        <v>-34430.625</v>
      </c>
      <c r="AS1047" s="40">
        <f>(AS1046*Prislapp!$H$3)-(AS1046*Prislapp!$C$3)</f>
        <v>0</v>
      </c>
      <c r="AZ1047" s="40">
        <f>(AZ1046*Prislapp!$H$2)-(AZ1046*Prislapp!$G$2)</f>
        <v>-189585</v>
      </c>
      <c r="BA1047" s="40">
        <f>(BA1046*Prislapp!$H$3)-(BA1046*Prislapp!$G$3)</f>
        <v>-311820.62500000012</v>
      </c>
    </row>
    <row r="1048" spans="1:69" x14ac:dyDescent="0.25">
      <c r="S1048" s="31"/>
      <c r="X1048" s="31"/>
      <c r="Y1048" s="31"/>
      <c r="Z1048" s="31"/>
      <c r="AA1048" s="31"/>
      <c r="AB1048" s="31"/>
      <c r="AC1048" s="31"/>
      <c r="AQ1048" s="31" t="s">
        <v>838</v>
      </c>
      <c r="AR1048" s="40">
        <f>(AR1046*Prislapp!$H$5)-(AR1046*Prislapp!$C$5)</f>
        <v>-55012.5</v>
      </c>
      <c r="AS1048" s="40"/>
      <c r="AZ1048" s="40">
        <f>(AZ1046*Prislapp!$H$5)-(AZ1046*Prislapp!$G$5)</f>
        <v>-750000</v>
      </c>
      <c r="BA1048" s="40"/>
    </row>
    <row r="1049" spans="1:69" x14ac:dyDescent="0.25">
      <c r="S1049" s="31"/>
      <c r="X1049" s="31"/>
      <c r="Y1049" s="31"/>
      <c r="Z1049" s="31"/>
      <c r="AA1049" s="31"/>
      <c r="AB1049" s="31"/>
      <c r="AC1049" s="31"/>
      <c r="AQ1049" s="57" t="s">
        <v>803</v>
      </c>
      <c r="AR1049" s="40">
        <f>SUM(AR1047:AR1048)</f>
        <v>-89443.125</v>
      </c>
      <c r="AS1049" s="40">
        <f>SUM(AS1047:AS1048)</f>
        <v>0</v>
      </c>
      <c r="AZ1049" s="40">
        <f>SUM(AZ1047:AZ1048)</f>
        <v>-939585</v>
      </c>
      <c r="BA1049" s="40">
        <f>SUM(BA1047:BA1048)</f>
        <v>-311820.62500000012</v>
      </c>
    </row>
    <row r="1050" spans="1:69" x14ac:dyDescent="0.25">
      <c r="S1050" s="31"/>
      <c r="X1050" s="31"/>
      <c r="Y1050" s="31"/>
      <c r="Z1050" s="31"/>
      <c r="AA1050" s="31"/>
      <c r="AB1050" s="31"/>
      <c r="AC1050" s="31"/>
    </row>
    <row r="1051" spans="1:69" x14ac:dyDescent="0.25">
      <c r="S1051" s="31"/>
      <c r="X1051" s="31"/>
      <c r="Y1051" s="31"/>
      <c r="Z1051" s="31"/>
      <c r="AA1051" s="31"/>
      <c r="AB1051" s="31"/>
      <c r="AC1051" s="31"/>
    </row>
    <row r="1052" spans="1:69" x14ac:dyDescent="0.25">
      <c r="S1052" s="31"/>
      <c r="X1052" s="31"/>
      <c r="Y1052" s="31"/>
      <c r="Z1052" s="31"/>
      <c r="AA1052" s="31"/>
      <c r="AB1052" s="31"/>
      <c r="AC1052" s="31"/>
    </row>
    <row r="1053" spans="1:69" x14ac:dyDescent="0.25">
      <c r="S1053" s="31"/>
      <c r="X1053" s="31"/>
      <c r="Y1053" s="31"/>
      <c r="Z1053" s="31"/>
      <c r="AA1053" s="31"/>
      <c r="AB1053" s="31"/>
      <c r="AC1053" s="31"/>
    </row>
    <row r="1054" spans="1:69" x14ac:dyDescent="0.25">
      <c r="S1054" s="31"/>
      <c r="X1054" s="31"/>
      <c r="Y1054" s="31"/>
      <c r="Z1054" s="31"/>
      <c r="AA1054" s="31"/>
      <c r="AB1054" s="31"/>
      <c r="AC1054" s="31"/>
    </row>
    <row r="1055" spans="1:69" x14ac:dyDescent="0.25">
      <c r="S1055" s="31"/>
      <c r="X1055" s="31"/>
      <c r="Y1055" s="31"/>
      <c r="Z1055" s="31"/>
      <c r="AA1055" s="31"/>
      <c r="AB1055" s="31"/>
      <c r="AC1055" s="31"/>
    </row>
    <row r="1056" spans="1:69" x14ac:dyDescent="0.25">
      <c r="S1056" s="31"/>
      <c r="X1056" s="31"/>
      <c r="Y1056" s="31"/>
      <c r="Z1056" s="31"/>
      <c r="AA1056" s="31"/>
      <c r="AB1056" s="31"/>
      <c r="AC1056" s="31"/>
    </row>
    <row r="1057" spans="19:29" x14ac:dyDescent="0.25">
      <c r="S1057" s="31"/>
      <c r="X1057" s="31"/>
      <c r="Y1057" s="31"/>
      <c r="Z1057" s="31"/>
      <c r="AA1057" s="31"/>
      <c r="AB1057" s="31"/>
      <c r="AC1057" s="31"/>
    </row>
    <row r="1058" spans="19:29" x14ac:dyDescent="0.25">
      <c r="S1058" s="31"/>
      <c r="X1058" s="31"/>
      <c r="Y1058" s="31"/>
      <c r="Z1058" s="31"/>
      <c r="AA1058" s="31"/>
      <c r="AB1058" s="31"/>
      <c r="AC1058" s="31"/>
    </row>
    <row r="1059" spans="19:29" x14ac:dyDescent="0.25">
      <c r="S1059" s="31"/>
      <c r="X1059" s="31"/>
      <c r="Y1059" s="31"/>
      <c r="Z1059" s="31"/>
      <c r="AA1059" s="31"/>
      <c r="AB1059" s="31"/>
      <c r="AC1059" s="31"/>
    </row>
    <row r="1060" spans="19:29" x14ac:dyDescent="0.25">
      <c r="S1060" s="31"/>
      <c r="X1060" s="31"/>
      <c r="Y1060" s="31"/>
      <c r="Z1060" s="31"/>
      <c r="AA1060" s="31"/>
      <c r="AB1060" s="31"/>
      <c r="AC1060" s="31"/>
    </row>
    <row r="1061" spans="19:29" x14ac:dyDescent="0.25">
      <c r="S1061" s="31"/>
      <c r="X1061" s="31"/>
      <c r="Y1061" s="31"/>
      <c r="Z1061" s="31"/>
      <c r="AA1061" s="31"/>
      <c r="AB1061" s="31"/>
      <c r="AC1061" s="31"/>
    </row>
    <row r="1062" spans="19:29" x14ac:dyDescent="0.25">
      <c r="S1062" s="31"/>
      <c r="X1062" s="31"/>
      <c r="Y1062" s="31"/>
      <c r="Z1062" s="31"/>
      <c r="AA1062" s="31"/>
      <c r="AB1062" s="31"/>
      <c r="AC1062" s="31"/>
    </row>
    <row r="1063" spans="19:29" x14ac:dyDescent="0.25">
      <c r="S1063" s="31"/>
      <c r="X1063" s="31"/>
      <c r="Y1063" s="31"/>
      <c r="Z1063" s="31"/>
      <c r="AA1063" s="31"/>
      <c r="AB1063" s="31"/>
      <c r="AC1063" s="31"/>
    </row>
    <row r="1064" spans="19:29" x14ac:dyDescent="0.25">
      <c r="S1064" s="31"/>
      <c r="X1064" s="31"/>
      <c r="Y1064" s="31"/>
      <c r="Z1064" s="31"/>
      <c r="AA1064" s="31"/>
      <c r="AB1064" s="31"/>
      <c r="AC1064" s="31"/>
    </row>
    <row r="1065" spans="19:29" x14ac:dyDescent="0.25">
      <c r="S1065" s="31"/>
      <c r="X1065" s="31"/>
      <c r="Y1065" s="31"/>
      <c r="Z1065" s="31"/>
      <c r="AA1065" s="31"/>
      <c r="AB1065" s="31"/>
      <c r="AC1065" s="31"/>
    </row>
    <row r="1066" spans="19:29" x14ac:dyDescent="0.25">
      <c r="S1066" s="31"/>
      <c r="X1066" s="31"/>
      <c r="Y1066" s="31"/>
      <c r="Z1066" s="31"/>
      <c r="AA1066" s="31"/>
      <c r="AB1066" s="31"/>
      <c r="AC1066" s="31"/>
    </row>
    <row r="1067" spans="19:29" x14ac:dyDescent="0.25">
      <c r="S1067" s="31"/>
      <c r="X1067" s="31"/>
      <c r="Y1067" s="31"/>
      <c r="Z1067" s="31"/>
      <c r="AA1067" s="31"/>
      <c r="AB1067" s="31"/>
      <c r="AC1067" s="31"/>
    </row>
    <row r="1068" spans="19:29" x14ac:dyDescent="0.25">
      <c r="S1068" s="31"/>
      <c r="X1068" s="31"/>
      <c r="Y1068" s="31"/>
      <c r="Z1068" s="31"/>
      <c r="AA1068" s="31"/>
      <c r="AB1068" s="31"/>
      <c r="AC1068" s="31"/>
    </row>
    <row r="1069" spans="19:29" x14ac:dyDescent="0.25">
      <c r="S1069" s="31"/>
      <c r="X1069" s="31"/>
      <c r="Y1069" s="31"/>
      <c r="Z1069" s="31"/>
      <c r="AA1069" s="31"/>
      <c r="AB1069" s="31"/>
      <c r="AC1069" s="31"/>
    </row>
    <row r="1070" spans="19:29" x14ac:dyDescent="0.25">
      <c r="S1070" s="31"/>
      <c r="X1070" s="31"/>
      <c r="Y1070" s="31"/>
      <c r="Z1070" s="31"/>
      <c r="AA1070" s="31"/>
      <c r="AB1070" s="31"/>
      <c r="AC1070" s="31"/>
    </row>
    <row r="1071" spans="19:29" x14ac:dyDescent="0.25">
      <c r="S1071" s="31"/>
      <c r="X1071" s="31"/>
      <c r="Y1071" s="31"/>
      <c r="Z1071" s="31"/>
      <c r="AA1071" s="31"/>
      <c r="AB1071" s="31"/>
      <c r="AC1071" s="31"/>
    </row>
    <row r="1072" spans="19:29" x14ac:dyDescent="0.25">
      <c r="S1072" s="31"/>
      <c r="X1072" s="31"/>
      <c r="Y1072" s="31"/>
      <c r="Z1072" s="31"/>
      <c r="AA1072" s="31"/>
      <c r="AB1072" s="31"/>
      <c r="AC1072" s="31"/>
    </row>
    <row r="1073" spans="19:29" x14ac:dyDescent="0.25">
      <c r="S1073" s="31"/>
      <c r="X1073" s="31"/>
      <c r="Y1073" s="31"/>
      <c r="Z1073" s="31"/>
      <c r="AA1073" s="31"/>
      <c r="AB1073" s="31"/>
      <c r="AC1073" s="31"/>
    </row>
    <row r="1074" spans="19:29" x14ac:dyDescent="0.25">
      <c r="S1074" s="31"/>
      <c r="X1074" s="31"/>
      <c r="Y1074" s="31"/>
      <c r="Z1074" s="31"/>
      <c r="AA1074" s="31"/>
      <c r="AB1074" s="31"/>
      <c r="AC1074" s="31"/>
    </row>
    <row r="1075" spans="19:29" x14ac:dyDescent="0.25">
      <c r="S1075" s="31"/>
      <c r="X1075" s="31"/>
      <c r="Y1075" s="31"/>
      <c r="Z1075" s="31"/>
      <c r="AA1075" s="31"/>
      <c r="AB1075" s="31"/>
      <c r="AC1075" s="31"/>
    </row>
    <row r="1076" spans="19:29" x14ac:dyDescent="0.25">
      <c r="S1076" s="31"/>
      <c r="X1076" s="31"/>
      <c r="Y1076" s="31"/>
      <c r="Z1076" s="31"/>
      <c r="AA1076" s="31"/>
      <c r="AB1076" s="31"/>
      <c r="AC1076" s="31"/>
    </row>
    <row r="1077" spans="19:29" x14ac:dyDescent="0.25">
      <c r="S1077" s="31"/>
      <c r="X1077" s="31"/>
      <c r="Y1077" s="31"/>
      <c r="Z1077" s="31"/>
      <c r="AA1077" s="31"/>
      <c r="AB1077" s="31"/>
      <c r="AC1077" s="31"/>
    </row>
    <row r="1078" spans="19:29" x14ac:dyDescent="0.25">
      <c r="S1078" s="31"/>
      <c r="X1078" s="31"/>
      <c r="Y1078" s="31"/>
      <c r="Z1078" s="31"/>
      <c r="AA1078" s="31"/>
      <c r="AB1078" s="31"/>
      <c r="AC1078" s="31"/>
    </row>
    <row r="1079" spans="19:29" x14ac:dyDescent="0.25">
      <c r="S1079" s="31"/>
      <c r="X1079" s="31"/>
      <c r="Y1079" s="31"/>
      <c r="Z1079" s="31"/>
      <c r="AA1079" s="31"/>
      <c r="AB1079" s="31"/>
      <c r="AC1079" s="31"/>
    </row>
    <row r="1080" spans="19:29" x14ac:dyDescent="0.25">
      <c r="S1080" s="31"/>
      <c r="X1080" s="31"/>
      <c r="Y1080" s="31"/>
      <c r="Z1080" s="31"/>
      <c r="AA1080" s="31"/>
      <c r="AB1080" s="31"/>
      <c r="AC1080" s="31"/>
    </row>
    <row r="1081" spans="19:29" x14ac:dyDescent="0.25">
      <c r="S1081" s="31"/>
      <c r="X1081" s="31"/>
      <c r="Y1081" s="31"/>
      <c r="Z1081" s="31"/>
      <c r="AA1081" s="31"/>
      <c r="AB1081" s="31"/>
      <c r="AC1081" s="31"/>
    </row>
    <row r="1082" spans="19:29" x14ac:dyDescent="0.25">
      <c r="S1082" s="31"/>
      <c r="X1082" s="31"/>
      <c r="Y1082" s="31"/>
      <c r="Z1082" s="31"/>
      <c r="AA1082" s="31"/>
      <c r="AB1082" s="31"/>
      <c r="AC1082" s="31"/>
    </row>
    <row r="1083" spans="19:29" x14ac:dyDescent="0.25">
      <c r="S1083" s="31"/>
      <c r="X1083" s="31"/>
      <c r="Y1083" s="31"/>
      <c r="Z1083" s="31"/>
      <c r="AA1083" s="31"/>
      <c r="AB1083" s="31"/>
      <c r="AC1083" s="31"/>
    </row>
    <row r="1084" spans="19:29" x14ac:dyDescent="0.25">
      <c r="S1084" s="31"/>
      <c r="X1084" s="31"/>
      <c r="Y1084" s="31"/>
      <c r="Z1084" s="31"/>
      <c r="AA1084" s="31"/>
      <c r="AB1084" s="31"/>
      <c r="AC1084" s="31"/>
    </row>
    <row r="1085" spans="19:29" x14ac:dyDescent="0.25">
      <c r="S1085" s="31"/>
      <c r="X1085" s="31"/>
      <c r="Y1085" s="31"/>
      <c r="Z1085" s="31"/>
      <c r="AA1085" s="31"/>
      <c r="AB1085" s="31"/>
      <c r="AC1085" s="31"/>
    </row>
    <row r="1086" spans="19:29" x14ac:dyDescent="0.25">
      <c r="S1086" s="31"/>
      <c r="X1086" s="31"/>
      <c r="Y1086" s="31"/>
      <c r="Z1086" s="31"/>
      <c r="AA1086" s="31"/>
      <c r="AB1086" s="31"/>
      <c r="AC1086" s="31"/>
    </row>
    <row r="1087" spans="19:29" x14ac:dyDescent="0.25">
      <c r="S1087" s="31"/>
      <c r="X1087" s="31"/>
      <c r="Y1087" s="31"/>
      <c r="Z1087" s="31"/>
      <c r="AA1087" s="31"/>
      <c r="AB1087" s="31"/>
      <c r="AC1087" s="31"/>
    </row>
    <row r="1088" spans="19:29" x14ac:dyDescent="0.25">
      <c r="S1088" s="31"/>
      <c r="X1088" s="31"/>
      <c r="Y1088" s="31"/>
      <c r="Z1088" s="31"/>
      <c r="AA1088" s="31"/>
      <c r="AB1088" s="31"/>
      <c r="AC1088" s="31"/>
    </row>
    <row r="1089" spans="19:29" x14ac:dyDescent="0.25">
      <c r="S1089" s="31"/>
      <c r="X1089" s="31"/>
      <c r="Y1089" s="31"/>
      <c r="Z1089" s="31"/>
      <c r="AA1089" s="31"/>
      <c r="AB1089" s="31"/>
      <c r="AC1089" s="31"/>
    </row>
    <row r="1090" spans="19:29" x14ac:dyDescent="0.25">
      <c r="S1090" s="31"/>
      <c r="X1090" s="31"/>
      <c r="Y1090" s="31"/>
      <c r="Z1090" s="31"/>
      <c r="AA1090" s="31"/>
      <c r="AB1090" s="31"/>
      <c r="AC1090" s="31"/>
    </row>
    <row r="1091" spans="19:29" x14ac:dyDescent="0.25">
      <c r="S1091" s="31"/>
      <c r="X1091" s="31"/>
      <c r="Y1091" s="31"/>
      <c r="Z1091" s="31"/>
      <c r="AA1091" s="31"/>
      <c r="AB1091" s="31"/>
      <c r="AC1091" s="31"/>
    </row>
    <row r="1092" spans="19:29" x14ac:dyDescent="0.25">
      <c r="S1092" s="31"/>
      <c r="X1092" s="31"/>
      <c r="Y1092" s="31"/>
      <c r="Z1092" s="31"/>
      <c r="AA1092" s="31"/>
      <c r="AB1092" s="31"/>
      <c r="AC1092" s="31"/>
    </row>
    <row r="1093" spans="19:29" x14ac:dyDescent="0.25">
      <c r="S1093" s="31"/>
      <c r="X1093" s="31"/>
      <c r="Y1093" s="31"/>
      <c r="Z1093" s="31"/>
      <c r="AA1093" s="31"/>
      <c r="AB1093" s="31"/>
      <c r="AC1093" s="31"/>
    </row>
    <row r="1094" spans="19:29" x14ac:dyDescent="0.25">
      <c r="S1094" s="31"/>
      <c r="X1094" s="31"/>
      <c r="Y1094" s="31"/>
      <c r="Z1094" s="31"/>
      <c r="AA1094" s="31"/>
      <c r="AB1094" s="31"/>
      <c r="AC1094" s="31"/>
    </row>
    <row r="1095" spans="19:29" x14ac:dyDescent="0.25">
      <c r="S1095" s="31"/>
      <c r="X1095" s="31"/>
      <c r="Y1095" s="31"/>
      <c r="Z1095" s="31"/>
      <c r="AA1095" s="31"/>
      <c r="AB1095" s="31"/>
      <c r="AC1095" s="31"/>
    </row>
    <row r="1096" spans="19:29" x14ac:dyDescent="0.25">
      <c r="S1096" s="31"/>
      <c r="X1096" s="31"/>
      <c r="Y1096" s="31"/>
      <c r="Z1096" s="31"/>
      <c r="AA1096" s="31"/>
      <c r="AB1096" s="31"/>
      <c r="AC1096" s="31"/>
    </row>
    <row r="1097" spans="19:29" x14ac:dyDescent="0.25">
      <c r="S1097" s="31"/>
      <c r="X1097" s="31"/>
      <c r="Y1097" s="31"/>
      <c r="Z1097" s="31"/>
      <c r="AA1097" s="31"/>
      <c r="AB1097" s="31"/>
      <c r="AC1097" s="31"/>
    </row>
    <row r="1098" spans="19:29" x14ac:dyDescent="0.25">
      <c r="S1098" s="31"/>
      <c r="X1098" s="31"/>
      <c r="Y1098" s="31"/>
      <c r="Z1098" s="31"/>
      <c r="AA1098" s="31"/>
      <c r="AB1098" s="31"/>
      <c r="AC1098" s="31"/>
    </row>
    <row r="1099" spans="19:29" x14ac:dyDescent="0.25">
      <c r="S1099" s="31"/>
      <c r="X1099" s="31"/>
      <c r="Y1099" s="31"/>
      <c r="Z1099" s="31"/>
      <c r="AA1099" s="31"/>
      <c r="AB1099" s="31"/>
      <c r="AC1099" s="31"/>
    </row>
    <row r="1100" spans="19:29" x14ac:dyDescent="0.25">
      <c r="S1100" s="31"/>
      <c r="X1100" s="31"/>
      <c r="Y1100" s="31"/>
      <c r="Z1100" s="31"/>
      <c r="AA1100" s="31"/>
      <c r="AB1100" s="31"/>
      <c r="AC1100" s="31"/>
    </row>
    <row r="1101" spans="19:29" x14ac:dyDescent="0.25">
      <c r="S1101" s="31"/>
      <c r="X1101" s="31"/>
      <c r="Y1101" s="31"/>
      <c r="Z1101" s="31"/>
      <c r="AA1101" s="31"/>
      <c r="AB1101" s="31"/>
      <c r="AC1101" s="31"/>
    </row>
    <row r="1102" spans="19:29" x14ac:dyDescent="0.25">
      <c r="S1102" s="31"/>
      <c r="X1102" s="31"/>
      <c r="Y1102" s="31"/>
      <c r="Z1102" s="31"/>
      <c r="AA1102" s="31"/>
      <c r="AB1102" s="31"/>
      <c r="AC1102" s="31"/>
    </row>
    <row r="1103" spans="19:29" x14ac:dyDescent="0.25">
      <c r="S1103" s="31"/>
      <c r="X1103" s="31"/>
      <c r="Y1103" s="31"/>
      <c r="Z1103" s="31"/>
      <c r="AA1103" s="31"/>
      <c r="AB1103" s="31"/>
      <c r="AC1103" s="31"/>
    </row>
    <row r="1104" spans="19:29" x14ac:dyDescent="0.25">
      <c r="S1104" s="31"/>
      <c r="X1104" s="31"/>
      <c r="Y1104" s="31"/>
      <c r="Z1104" s="31"/>
      <c r="AA1104" s="31"/>
      <c r="AB1104" s="31"/>
      <c r="AC1104" s="31"/>
    </row>
    <row r="1105" spans="19:29" x14ac:dyDescent="0.25">
      <c r="S1105" s="31"/>
      <c r="X1105" s="31"/>
      <c r="Y1105" s="31"/>
      <c r="Z1105" s="31"/>
      <c r="AA1105" s="31"/>
      <c r="AB1105" s="31"/>
      <c r="AC1105" s="31"/>
    </row>
    <row r="1106" spans="19:29" x14ac:dyDescent="0.25">
      <c r="S1106" s="31"/>
      <c r="X1106" s="31"/>
      <c r="Y1106" s="31"/>
      <c r="Z1106" s="31"/>
      <c r="AA1106" s="31"/>
      <c r="AB1106" s="31"/>
      <c r="AC1106" s="31"/>
    </row>
    <row r="1107" spans="19:29" x14ac:dyDescent="0.25">
      <c r="S1107" s="31"/>
      <c r="X1107" s="31"/>
      <c r="Y1107" s="31"/>
      <c r="Z1107" s="31"/>
      <c r="AA1107" s="31"/>
      <c r="AB1107" s="31"/>
      <c r="AC1107" s="31"/>
    </row>
    <row r="1108" spans="19:29" x14ac:dyDescent="0.25">
      <c r="S1108" s="31"/>
      <c r="X1108" s="31"/>
      <c r="Y1108" s="31"/>
      <c r="Z1108" s="31"/>
      <c r="AA1108" s="31"/>
      <c r="AB1108" s="31"/>
      <c r="AC1108" s="31"/>
    </row>
    <row r="1109" spans="19:29" x14ac:dyDescent="0.25">
      <c r="S1109" s="31"/>
      <c r="X1109" s="31"/>
      <c r="Y1109" s="31"/>
      <c r="Z1109" s="31"/>
      <c r="AA1109" s="31"/>
      <c r="AB1109" s="31"/>
      <c r="AC1109" s="31"/>
    </row>
    <row r="1110" spans="19:29" x14ac:dyDescent="0.25">
      <c r="S1110" s="31"/>
      <c r="X1110" s="31"/>
      <c r="Y1110" s="31"/>
      <c r="Z1110" s="31"/>
      <c r="AA1110" s="31"/>
      <c r="AB1110" s="31"/>
      <c r="AC1110" s="31"/>
    </row>
    <row r="1111" spans="19:29" x14ac:dyDescent="0.25">
      <c r="S1111" s="31"/>
      <c r="X1111" s="31"/>
      <c r="Y1111" s="31"/>
      <c r="Z1111" s="31"/>
      <c r="AA1111" s="31"/>
      <c r="AB1111" s="31"/>
      <c r="AC1111" s="31"/>
    </row>
    <row r="1112" spans="19:29" x14ac:dyDescent="0.25">
      <c r="S1112" s="31"/>
      <c r="X1112" s="31"/>
      <c r="Y1112" s="31"/>
      <c r="Z1112" s="31"/>
      <c r="AA1112" s="31"/>
      <c r="AB1112" s="31"/>
      <c r="AC1112" s="31"/>
    </row>
    <row r="1113" spans="19:29" x14ac:dyDescent="0.25">
      <c r="S1113" s="31"/>
      <c r="X1113" s="31"/>
      <c r="Y1113" s="31"/>
      <c r="Z1113" s="31"/>
      <c r="AA1113" s="31"/>
      <c r="AB1113" s="31"/>
      <c r="AC1113" s="31"/>
    </row>
    <row r="1114" spans="19:29" x14ac:dyDescent="0.25">
      <c r="S1114" s="31"/>
      <c r="X1114" s="31"/>
      <c r="Y1114" s="31"/>
      <c r="Z1114" s="31"/>
      <c r="AA1114" s="31"/>
      <c r="AB1114" s="31"/>
      <c r="AC1114" s="31"/>
    </row>
    <row r="1115" spans="19:29" x14ac:dyDescent="0.25">
      <c r="S1115" s="31"/>
      <c r="X1115" s="31"/>
      <c r="Y1115" s="31"/>
      <c r="Z1115" s="31"/>
      <c r="AA1115" s="31"/>
      <c r="AB1115" s="31"/>
      <c r="AC1115" s="31"/>
    </row>
    <row r="1116" spans="19:29" x14ac:dyDescent="0.25">
      <c r="S1116" s="31"/>
      <c r="X1116" s="31"/>
      <c r="Y1116" s="31"/>
      <c r="Z1116" s="31"/>
      <c r="AA1116" s="31"/>
      <c r="AB1116" s="31"/>
      <c r="AC1116" s="31"/>
    </row>
    <row r="1117" spans="19:29" x14ac:dyDescent="0.25">
      <c r="S1117" s="31"/>
      <c r="X1117" s="31"/>
      <c r="Y1117" s="31"/>
      <c r="Z1117" s="31"/>
      <c r="AA1117" s="31"/>
      <c r="AB1117" s="31"/>
      <c r="AC1117" s="31"/>
    </row>
    <row r="1118" spans="19:29" x14ac:dyDescent="0.25">
      <c r="S1118" s="31"/>
      <c r="X1118" s="31"/>
      <c r="Y1118" s="31"/>
      <c r="Z1118" s="31"/>
      <c r="AA1118" s="31"/>
      <c r="AB1118" s="31"/>
      <c r="AC1118" s="31"/>
    </row>
    <row r="1119" spans="19:29" x14ac:dyDescent="0.25">
      <c r="S1119" s="31"/>
      <c r="X1119" s="31"/>
      <c r="Y1119" s="31"/>
      <c r="Z1119" s="31"/>
      <c r="AA1119" s="31"/>
      <c r="AB1119" s="31"/>
      <c r="AC1119" s="31"/>
    </row>
    <row r="1120" spans="19:29" x14ac:dyDescent="0.25">
      <c r="S1120" s="31"/>
      <c r="X1120" s="31"/>
      <c r="Y1120" s="31"/>
      <c r="Z1120" s="31"/>
      <c r="AA1120" s="31"/>
      <c r="AB1120" s="31"/>
      <c r="AC1120" s="31"/>
    </row>
    <row r="1121" spans="19:29" x14ac:dyDescent="0.25">
      <c r="S1121" s="31"/>
      <c r="X1121" s="31"/>
      <c r="Y1121" s="31"/>
      <c r="Z1121" s="31"/>
      <c r="AA1121" s="31"/>
      <c r="AB1121" s="31"/>
      <c r="AC1121" s="31"/>
    </row>
    <row r="1122" spans="19:29" x14ac:dyDescent="0.25">
      <c r="S1122" s="31"/>
      <c r="X1122" s="31"/>
      <c r="Y1122" s="31"/>
      <c r="Z1122" s="31"/>
      <c r="AA1122" s="31"/>
      <c r="AB1122" s="31"/>
      <c r="AC1122" s="31"/>
    </row>
    <row r="1123" spans="19:29" x14ac:dyDescent="0.25">
      <c r="S1123" s="31"/>
      <c r="X1123" s="31"/>
      <c r="Y1123" s="31"/>
      <c r="Z1123" s="31"/>
      <c r="AA1123" s="31"/>
      <c r="AB1123" s="31"/>
      <c r="AC1123" s="31"/>
    </row>
    <row r="1124" spans="19:29" x14ac:dyDescent="0.25">
      <c r="S1124" s="31"/>
      <c r="X1124" s="31"/>
      <c r="Y1124" s="31"/>
      <c r="Z1124" s="31"/>
      <c r="AA1124" s="31"/>
      <c r="AB1124" s="31"/>
      <c r="AC1124" s="31"/>
    </row>
    <row r="1125" spans="19:29" x14ac:dyDescent="0.25">
      <c r="S1125" s="31"/>
      <c r="X1125" s="31"/>
      <c r="Y1125" s="31"/>
      <c r="Z1125" s="31"/>
      <c r="AA1125" s="31"/>
      <c r="AB1125" s="31"/>
      <c r="AC1125" s="31"/>
    </row>
    <row r="1126" spans="19:29" x14ac:dyDescent="0.25">
      <c r="S1126" s="31"/>
      <c r="X1126" s="31"/>
      <c r="Y1126" s="31"/>
      <c r="Z1126" s="31"/>
      <c r="AA1126" s="31"/>
      <c r="AB1126" s="31"/>
      <c r="AC1126" s="31"/>
    </row>
    <row r="1127" spans="19:29" x14ac:dyDescent="0.25">
      <c r="S1127" s="31"/>
      <c r="X1127" s="31"/>
      <c r="Y1127" s="31"/>
      <c r="Z1127" s="31"/>
      <c r="AA1127" s="31"/>
      <c r="AB1127" s="31"/>
      <c r="AC1127" s="31"/>
    </row>
    <row r="1128" spans="19:29" x14ac:dyDescent="0.25">
      <c r="S1128" s="31"/>
      <c r="X1128" s="31"/>
      <c r="Y1128" s="31"/>
      <c r="Z1128" s="31"/>
      <c r="AA1128" s="31"/>
      <c r="AB1128" s="31"/>
      <c r="AC1128" s="31"/>
    </row>
    <row r="1129" spans="19:29" x14ac:dyDescent="0.25">
      <c r="S1129" s="31"/>
      <c r="X1129" s="31"/>
      <c r="Y1129" s="31"/>
      <c r="Z1129" s="31"/>
      <c r="AA1129" s="31"/>
      <c r="AB1129" s="31"/>
      <c r="AC1129" s="31"/>
    </row>
    <row r="1130" spans="19:29" x14ac:dyDescent="0.25">
      <c r="S1130" s="31"/>
      <c r="X1130" s="31"/>
      <c r="Y1130" s="31"/>
      <c r="Z1130" s="31"/>
      <c r="AA1130" s="31"/>
      <c r="AB1130" s="31"/>
      <c r="AC1130" s="31"/>
    </row>
    <row r="1131" spans="19:29" x14ac:dyDescent="0.25">
      <c r="S1131" s="31"/>
      <c r="X1131" s="31"/>
      <c r="Y1131" s="31"/>
      <c r="Z1131" s="31"/>
      <c r="AA1131" s="31"/>
      <c r="AB1131" s="31"/>
      <c r="AC1131" s="31"/>
    </row>
    <row r="1132" spans="19:29" x14ac:dyDescent="0.25">
      <c r="S1132" s="31"/>
      <c r="X1132" s="31"/>
      <c r="Y1132" s="31"/>
      <c r="Z1132" s="31"/>
      <c r="AA1132" s="31"/>
      <c r="AB1132" s="31"/>
      <c r="AC1132" s="31"/>
    </row>
    <row r="1133" spans="19:29" x14ac:dyDescent="0.25">
      <c r="S1133" s="31"/>
      <c r="X1133" s="31"/>
      <c r="Y1133" s="31"/>
      <c r="Z1133" s="31"/>
      <c r="AA1133" s="31"/>
      <c r="AB1133" s="31"/>
      <c r="AC1133" s="31"/>
    </row>
    <row r="1134" spans="19:29" x14ac:dyDescent="0.25">
      <c r="S1134" s="31"/>
      <c r="X1134" s="31"/>
      <c r="Y1134" s="31"/>
      <c r="Z1134" s="31"/>
      <c r="AA1134" s="31"/>
      <c r="AB1134" s="31"/>
      <c r="AC1134" s="31"/>
    </row>
    <row r="1135" spans="19:29" x14ac:dyDescent="0.25">
      <c r="S1135" s="31"/>
      <c r="X1135" s="31"/>
      <c r="Y1135" s="31"/>
      <c r="Z1135" s="31"/>
      <c r="AA1135" s="31"/>
      <c r="AB1135" s="31"/>
      <c r="AC1135" s="31"/>
    </row>
    <row r="1136" spans="19:29" x14ac:dyDescent="0.25">
      <c r="S1136" s="31"/>
      <c r="X1136" s="31"/>
      <c r="Y1136" s="31"/>
      <c r="Z1136" s="31"/>
      <c r="AA1136" s="31"/>
      <c r="AB1136" s="31"/>
      <c r="AC1136" s="31"/>
    </row>
    <row r="1137" spans="19:29" x14ac:dyDescent="0.25">
      <c r="S1137" s="31"/>
      <c r="X1137" s="31"/>
      <c r="Y1137" s="31"/>
      <c r="Z1137" s="31"/>
      <c r="AA1137" s="31"/>
      <c r="AB1137" s="31"/>
      <c r="AC1137" s="31"/>
    </row>
    <row r="1138" spans="19:29" x14ac:dyDescent="0.25">
      <c r="S1138" s="31"/>
      <c r="X1138" s="31"/>
      <c r="Y1138" s="31"/>
      <c r="Z1138" s="31"/>
      <c r="AA1138" s="31"/>
      <c r="AB1138" s="31"/>
      <c r="AC1138" s="31"/>
    </row>
    <row r="1139" spans="19:29" x14ac:dyDescent="0.25">
      <c r="S1139" s="31"/>
      <c r="X1139" s="31"/>
      <c r="Y1139" s="31"/>
      <c r="Z1139" s="31"/>
      <c r="AA1139" s="31"/>
      <c r="AB1139" s="31"/>
      <c r="AC1139" s="31"/>
    </row>
    <row r="1140" spans="19:29" x14ac:dyDescent="0.25">
      <c r="S1140" s="31"/>
      <c r="X1140" s="31"/>
      <c r="Y1140" s="31"/>
      <c r="Z1140" s="31"/>
      <c r="AA1140" s="31"/>
      <c r="AB1140" s="31"/>
      <c r="AC1140" s="31"/>
    </row>
    <row r="1141" spans="19:29" x14ac:dyDescent="0.25">
      <c r="S1141" s="31"/>
      <c r="X1141" s="31"/>
      <c r="Y1141" s="31"/>
      <c r="Z1141" s="31"/>
      <c r="AA1141" s="31"/>
      <c r="AB1141" s="31"/>
      <c r="AC1141" s="31"/>
    </row>
    <row r="1142" spans="19:29" x14ac:dyDescent="0.25">
      <c r="S1142" s="31"/>
      <c r="X1142" s="31"/>
      <c r="Y1142" s="31"/>
      <c r="Z1142" s="31"/>
      <c r="AA1142" s="31"/>
      <c r="AB1142" s="31"/>
      <c r="AC1142" s="31"/>
    </row>
    <row r="1143" spans="19:29" x14ac:dyDescent="0.25">
      <c r="S1143" s="31"/>
      <c r="X1143" s="31"/>
      <c r="Y1143" s="31"/>
      <c r="Z1143" s="31"/>
      <c r="AA1143" s="31"/>
      <c r="AB1143" s="31"/>
      <c r="AC1143" s="31"/>
    </row>
    <row r="1144" spans="19:29" x14ac:dyDescent="0.25">
      <c r="S1144" s="31"/>
      <c r="X1144" s="31"/>
      <c r="Y1144" s="31"/>
      <c r="Z1144" s="31"/>
      <c r="AA1144" s="31"/>
      <c r="AB1144" s="31"/>
      <c r="AC1144" s="31"/>
    </row>
    <row r="1145" spans="19:29" x14ac:dyDescent="0.25">
      <c r="S1145" s="31"/>
      <c r="X1145" s="31"/>
      <c r="Y1145" s="31"/>
      <c r="Z1145" s="31"/>
      <c r="AA1145" s="31"/>
      <c r="AB1145" s="31"/>
      <c r="AC1145" s="31"/>
    </row>
    <row r="1146" spans="19:29" x14ac:dyDescent="0.25">
      <c r="S1146" s="31"/>
      <c r="X1146" s="31"/>
      <c r="Y1146" s="31"/>
      <c r="Z1146" s="31"/>
      <c r="AA1146" s="31"/>
      <c r="AB1146" s="31"/>
      <c r="AC1146" s="31"/>
    </row>
    <row r="1147" spans="19:29" x14ac:dyDescent="0.25">
      <c r="S1147" s="31"/>
      <c r="X1147" s="31"/>
      <c r="Y1147" s="31"/>
      <c r="Z1147" s="31"/>
      <c r="AA1147" s="31"/>
      <c r="AB1147" s="31"/>
      <c r="AC1147" s="31"/>
    </row>
    <row r="1148" spans="19:29" x14ac:dyDescent="0.25">
      <c r="S1148" s="31"/>
      <c r="X1148" s="31"/>
      <c r="Y1148" s="31"/>
      <c r="Z1148" s="31"/>
      <c r="AA1148" s="31"/>
      <c r="AB1148" s="31"/>
      <c r="AC1148" s="31"/>
    </row>
    <row r="1149" spans="19:29" x14ac:dyDescent="0.25">
      <c r="S1149" s="31"/>
      <c r="X1149" s="31"/>
      <c r="Y1149" s="31"/>
      <c r="Z1149" s="31"/>
      <c r="AA1149" s="31"/>
      <c r="AB1149" s="31"/>
      <c r="AC1149" s="31"/>
    </row>
    <row r="1150" spans="19:29" x14ac:dyDescent="0.25">
      <c r="S1150" s="31"/>
      <c r="X1150" s="31"/>
      <c r="Y1150" s="31"/>
      <c r="Z1150" s="31"/>
      <c r="AA1150" s="31"/>
      <c r="AB1150" s="31"/>
      <c r="AC1150" s="31"/>
    </row>
    <row r="1151" spans="19:29" x14ac:dyDescent="0.25">
      <c r="S1151" s="31"/>
      <c r="X1151" s="31"/>
      <c r="Y1151" s="31"/>
      <c r="Z1151" s="31"/>
      <c r="AA1151" s="31"/>
      <c r="AB1151" s="31"/>
      <c r="AC1151" s="31"/>
    </row>
    <row r="1152" spans="19:29" x14ac:dyDescent="0.25">
      <c r="S1152" s="31"/>
      <c r="X1152" s="31"/>
      <c r="Y1152" s="31"/>
      <c r="Z1152" s="31"/>
      <c r="AA1152" s="31"/>
      <c r="AB1152" s="31"/>
      <c r="AC1152" s="31"/>
    </row>
    <row r="1153" spans="19:29" x14ac:dyDescent="0.25">
      <c r="S1153" s="31"/>
      <c r="X1153" s="31"/>
      <c r="Y1153" s="31"/>
      <c r="Z1153" s="31"/>
      <c r="AA1153" s="31"/>
      <c r="AB1153" s="31"/>
      <c r="AC1153" s="31"/>
    </row>
    <row r="1154" spans="19:29" x14ac:dyDescent="0.25">
      <c r="S1154" s="31"/>
      <c r="X1154" s="31"/>
      <c r="Y1154" s="31"/>
      <c r="Z1154" s="31"/>
      <c r="AA1154" s="31"/>
      <c r="AB1154" s="31"/>
      <c r="AC1154" s="31"/>
    </row>
    <row r="1155" spans="19:29" x14ac:dyDescent="0.25">
      <c r="S1155" s="31"/>
      <c r="X1155" s="31"/>
      <c r="Y1155" s="31"/>
      <c r="Z1155" s="31"/>
      <c r="AA1155" s="31"/>
      <c r="AB1155" s="31"/>
      <c r="AC1155" s="31"/>
    </row>
    <row r="1156" spans="19:29" x14ac:dyDescent="0.25">
      <c r="S1156" s="31"/>
      <c r="X1156" s="31"/>
      <c r="Y1156" s="31"/>
      <c r="Z1156" s="31"/>
      <c r="AA1156" s="31"/>
      <c r="AB1156" s="31"/>
      <c r="AC1156" s="31"/>
    </row>
    <row r="1157" spans="19:29" x14ac:dyDescent="0.25">
      <c r="S1157" s="31"/>
      <c r="X1157" s="31"/>
      <c r="Y1157" s="31"/>
      <c r="Z1157" s="31"/>
      <c r="AA1157" s="31"/>
      <c r="AB1157" s="31"/>
      <c r="AC1157" s="31"/>
    </row>
    <row r="1158" spans="19:29" x14ac:dyDescent="0.25">
      <c r="S1158" s="31"/>
      <c r="X1158" s="31"/>
      <c r="Y1158" s="31"/>
      <c r="Z1158" s="31"/>
      <c r="AA1158" s="31"/>
      <c r="AB1158" s="31"/>
      <c r="AC1158" s="31"/>
    </row>
    <row r="1159" spans="19:29" x14ac:dyDescent="0.25">
      <c r="S1159" s="31"/>
      <c r="X1159" s="31"/>
      <c r="Y1159" s="31"/>
      <c r="Z1159" s="31"/>
      <c r="AA1159" s="31"/>
      <c r="AB1159" s="31"/>
      <c r="AC1159" s="31"/>
    </row>
    <row r="1160" spans="19:29" x14ac:dyDescent="0.25">
      <c r="S1160" s="31"/>
      <c r="X1160" s="31"/>
      <c r="Y1160" s="31"/>
      <c r="Z1160" s="31"/>
      <c r="AA1160" s="31"/>
      <c r="AB1160" s="31"/>
      <c r="AC1160" s="31"/>
    </row>
    <row r="1161" spans="19:29" x14ac:dyDescent="0.25">
      <c r="S1161" s="31"/>
      <c r="X1161" s="31"/>
      <c r="Y1161" s="31"/>
      <c r="Z1161" s="31"/>
      <c r="AA1161" s="31"/>
      <c r="AB1161" s="31"/>
      <c r="AC1161" s="31"/>
    </row>
    <row r="1162" spans="19:29" x14ac:dyDescent="0.25">
      <c r="S1162" s="31"/>
      <c r="X1162" s="31"/>
      <c r="Y1162" s="31"/>
      <c r="Z1162" s="31"/>
      <c r="AA1162" s="31"/>
      <c r="AB1162" s="31"/>
      <c r="AC1162" s="31"/>
    </row>
    <row r="1163" spans="19:29" x14ac:dyDescent="0.25">
      <c r="S1163" s="31"/>
      <c r="X1163" s="31"/>
      <c r="Y1163" s="31"/>
      <c r="Z1163" s="31"/>
      <c r="AA1163" s="31"/>
      <c r="AB1163" s="31"/>
      <c r="AC1163" s="31"/>
    </row>
    <row r="1164" spans="19:29" x14ac:dyDescent="0.25">
      <c r="S1164" s="31"/>
      <c r="X1164" s="31"/>
      <c r="Y1164" s="31"/>
      <c r="Z1164" s="31"/>
      <c r="AA1164" s="31"/>
      <c r="AB1164" s="31"/>
      <c r="AC1164" s="31"/>
    </row>
    <row r="1165" spans="19:29" x14ac:dyDescent="0.25">
      <c r="S1165" s="31"/>
      <c r="X1165" s="31"/>
      <c r="Y1165" s="31"/>
      <c r="Z1165" s="31"/>
      <c r="AA1165" s="31"/>
      <c r="AB1165" s="31"/>
      <c r="AC1165" s="31"/>
    </row>
    <row r="1166" spans="19:29" x14ac:dyDescent="0.25">
      <c r="S1166" s="31"/>
      <c r="X1166" s="31"/>
      <c r="Y1166" s="31"/>
      <c r="Z1166" s="31"/>
      <c r="AA1166" s="31"/>
      <c r="AB1166" s="31"/>
      <c r="AC1166" s="31"/>
    </row>
    <row r="1167" spans="19:29" x14ac:dyDescent="0.25">
      <c r="S1167" s="31"/>
      <c r="X1167" s="31"/>
      <c r="Y1167" s="31"/>
      <c r="Z1167" s="31"/>
      <c r="AA1167" s="31"/>
      <c r="AB1167" s="31"/>
      <c r="AC1167" s="31"/>
    </row>
    <row r="1168" spans="19:29" x14ac:dyDescent="0.25">
      <c r="S1168" s="31"/>
      <c r="X1168" s="31"/>
      <c r="Y1168" s="31"/>
      <c r="Z1168" s="31"/>
      <c r="AA1168" s="31"/>
      <c r="AB1168" s="31"/>
      <c r="AC1168" s="31"/>
    </row>
    <row r="1169" spans="19:29" x14ac:dyDescent="0.25">
      <c r="S1169" s="31"/>
      <c r="X1169" s="31"/>
      <c r="Y1169" s="31"/>
      <c r="Z1169" s="31"/>
      <c r="AA1169" s="31"/>
      <c r="AB1169" s="31"/>
      <c r="AC1169" s="31"/>
    </row>
    <row r="1170" spans="19:29" x14ac:dyDescent="0.25">
      <c r="S1170" s="31"/>
      <c r="X1170" s="31"/>
      <c r="Y1170" s="31"/>
      <c r="Z1170" s="31"/>
      <c r="AA1170" s="31"/>
      <c r="AB1170" s="31"/>
      <c r="AC1170" s="31"/>
    </row>
    <row r="1171" spans="19:29" x14ac:dyDescent="0.25">
      <c r="S1171" s="31"/>
      <c r="X1171" s="31"/>
      <c r="Y1171" s="31"/>
      <c r="Z1171" s="31"/>
      <c r="AA1171" s="31"/>
      <c r="AB1171" s="31"/>
      <c r="AC1171" s="31"/>
    </row>
    <row r="1172" spans="19:29" x14ac:dyDescent="0.25">
      <c r="S1172" s="31"/>
      <c r="X1172" s="31"/>
      <c r="Y1172" s="31"/>
      <c r="Z1172" s="31"/>
      <c r="AA1172" s="31"/>
      <c r="AB1172" s="31"/>
      <c r="AC1172" s="31"/>
    </row>
    <row r="1173" spans="19:29" x14ac:dyDescent="0.25">
      <c r="S1173" s="31"/>
      <c r="X1173" s="31"/>
      <c r="Y1173" s="31"/>
      <c r="Z1173" s="31"/>
      <c r="AA1173" s="31"/>
      <c r="AB1173" s="31"/>
      <c r="AC1173" s="31"/>
    </row>
    <row r="1174" spans="19:29" x14ac:dyDescent="0.25">
      <c r="S1174" s="31"/>
      <c r="X1174" s="31"/>
      <c r="Y1174" s="31"/>
      <c r="Z1174" s="31"/>
      <c r="AA1174" s="31"/>
      <c r="AB1174" s="31"/>
      <c r="AC1174" s="31"/>
    </row>
    <row r="1175" spans="19:29" x14ac:dyDescent="0.25">
      <c r="S1175" s="31"/>
      <c r="X1175" s="31"/>
      <c r="Y1175" s="31"/>
      <c r="Z1175" s="31"/>
      <c r="AA1175" s="31"/>
      <c r="AB1175" s="31"/>
      <c r="AC1175" s="31"/>
    </row>
    <row r="1176" spans="19:29" x14ac:dyDescent="0.25">
      <c r="S1176" s="31"/>
      <c r="X1176" s="31"/>
      <c r="Y1176" s="31"/>
      <c r="Z1176" s="31"/>
      <c r="AA1176" s="31"/>
      <c r="AB1176" s="31"/>
      <c r="AC1176" s="31"/>
    </row>
    <row r="1177" spans="19:29" x14ac:dyDescent="0.25">
      <c r="S1177" s="31"/>
      <c r="X1177" s="31"/>
      <c r="Y1177" s="31"/>
      <c r="Z1177" s="31"/>
      <c r="AA1177" s="31"/>
      <c r="AB1177" s="31"/>
      <c r="AC1177" s="31"/>
    </row>
    <row r="1178" spans="19:29" x14ac:dyDescent="0.25">
      <c r="S1178" s="31"/>
      <c r="X1178" s="31"/>
      <c r="Y1178" s="31"/>
      <c r="Z1178" s="31"/>
      <c r="AA1178" s="31"/>
      <c r="AB1178" s="31"/>
      <c r="AC1178" s="31"/>
    </row>
    <row r="1179" spans="19:29" x14ac:dyDescent="0.25">
      <c r="S1179" s="31"/>
      <c r="X1179" s="31"/>
      <c r="Y1179" s="31"/>
      <c r="Z1179" s="31"/>
      <c r="AA1179" s="31"/>
      <c r="AB1179" s="31"/>
      <c r="AC1179" s="31"/>
    </row>
    <row r="1180" spans="19:29" x14ac:dyDescent="0.25">
      <c r="S1180" s="31"/>
      <c r="X1180" s="31"/>
      <c r="Y1180" s="31"/>
      <c r="Z1180" s="31"/>
      <c r="AA1180" s="31"/>
      <c r="AB1180" s="31"/>
      <c r="AC1180" s="31"/>
    </row>
    <row r="1181" spans="19:29" x14ac:dyDescent="0.25">
      <c r="S1181" s="31"/>
      <c r="X1181" s="31"/>
      <c r="Y1181" s="31"/>
      <c r="Z1181" s="31"/>
      <c r="AA1181" s="31"/>
      <c r="AB1181" s="31"/>
      <c r="AC1181" s="31"/>
    </row>
    <row r="1182" spans="19:29" x14ac:dyDescent="0.25">
      <c r="S1182" s="31"/>
      <c r="X1182" s="31"/>
      <c r="Y1182" s="31"/>
      <c r="Z1182" s="31"/>
      <c r="AA1182" s="31"/>
      <c r="AB1182" s="31"/>
      <c r="AC1182" s="31"/>
    </row>
    <row r="1183" spans="19:29" x14ac:dyDescent="0.25">
      <c r="S1183" s="31"/>
      <c r="X1183" s="31"/>
      <c r="Y1183" s="31"/>
      <c r="Z1183" s="31"/>
      <c r="AA1183" s="31"/>
      <c r="AB1183" s="31"/>
      <c r="AC1183" s="31"/>
    </row>
    <row r="1184" spans="19:29" x14ac:dyDescent="0.25">
      <c r="S1184" s="31"/>
      <c r="X1184" s="31"/>
      <c r="Y1184" s="31"/>
      <c r="Z1184" s="31"/>
      <c r="AA1184" s="31"/>
      <c r="AB1184" s="31"/>
      <c r="AC1184" s="31"/>
    </row>
    <row r="1185" spans="19:29" x14ac:dyDescent="0.25">
      <c r="S1185" s="31"/>
      <c r="X1185" s="31"/>
      <c r="Y1185" s="31"/>
      <c r="Z1185" s="31"/>
      <c r="AA1185" s="31"/>
      <c r="AB1185" s="31"/>
      <c r="AC1185" s="31"/>
    </row>
    <row r="1186" spans="19:29" x14ac:dyDescent="0.25">
      <c r="S1186" s="31"/>
      <c r="X1186" s="31"/>
      <c r="Y1186" s="31"/>
      <c r="Z1186" s="31"/>
      <c r="AA1186" s="31"/>
      <c r="AB1186" s="31"/>
      <c r="AC1186" s="31"/>
    </row>
    <row r="1187" spans="19:29" x14ac:dyDescent="0.25">
      <c r="S1187" s="31"/>
      <c r="X1187" s="31"/>
      <c r="Y1187" s="31"/>
      <c r="Z1187" s="31"/>
      <c r="AA1187" s="31"/>
      <c r="AB1187" s="31"/>
      <c r="AC1187" s="31"/>
    </row>
    <row r="1188" spans="19:29" x14ac:dyDescent="0.25">
      <c r="S1188" s="31"/>
      <c r="X1188" s="31"/>
      <c r="Y1188" s="31"/>
      <c r="Z1188" s="31"/>
      <c r="AA1188" s="31"/>
      <c r="AB1188" s="31"/>
      <c r="AC1188" s="31"/>
    </row>
    <row r="1189" spans="19:29" x14ac:dyDescent="0.25">
      <c r="S1189" s="31"/>
      <c r="X1189" s="31"/>
      <c r="Y1189" s="31"/>
      <c r="Z1189" s="31"/>
      <c r="AA1189" s="31"/>
      <c r="AB1189" s="31"/>
      <c r="AC1189" s="31"/>
    </row>
    <row r="1190" spans="19:29" x14ac:dyDescent="0.25">
      <c r="S1190" s="31"/>
      <c r="X1190" s="31"/>
      <c r="Y1190" s="31"/>
      <c r="Z1190" s="31"/>
      <c r="AA1190" s="31"/>
      <c r="AB1190" s="31"/>
      <c r="AC1190" s="31"/>
    </row>
    <row r="1191" spans="19:29" x14ac:dyDescent="0.25">
      <c r="S1191" s="31"/>
      <c r="X1191" s="31"/>
      <c r="Y1191" s="31"/>
      <c r="Z1191" s="31"/>
      <c r="AA1191" s="31"/>
      <c r="AB1191" s="31"/>
      <c r="AC1191" s="31"/>
    </row>
    <row r="1192" spans="19:29" x14ac:dyDescent="0.25">
      <c r="S1192" s="31"/>
      <c r="X1192" s="31"/>
      <c r="Y1192" s="31"/>
      <c r="Z1192" s="31"/>
      <c r="AA1192" s="31"/>
      <c r="AB1192" s="31"/>
      <c r="AC1192" s="31"/>
    </row>
    <row r="1193" spans="19:29" x14ac:dyDescent="0.25">
      <c r="S1193" s="31"/>
      <c r="X1193" s="31"/>
      <c r="Y1193" s="31"/>
      <c r="Z1193" s="31"/>
      <c r="AA1193" s="31"/>
      <c r="AB1193" s="31"/>
      <c r="AC1193" s="31"/>
    </row>
    <row r="1194" spans="19:29" x14ac:dyDescent="0.25">
      <c r="S1194" s="31"/>
      <c r="X1194" s="31"/>
      <c r="Y1194" s="31"/>
      <c r="Z1194" s="31"/>
      <c r="AA1194" s="31"/>
      <c r="AB1194" s="31"/>
      <c r="AC1194" s="31"/>
    </row>
    <row r="1195" spans="19:29" x14ac:dyDescent="0.25">
      <c r="S1195" s="31"/>
      <c r="X1195" s="31"/>
      <c r="Y1195" s="31"/>
      <c r="Z1195" s="31"/>
      <c r="AA1195" s="31"/>
      <c r="AB1195" s="31"/>
      <c r="AC1195" s="31"/>
    </row>
    <row r="1196" spans="19:29" x14ac:dyDescent="0.25">
      <c r="S1196" s="31"/>
      <c r="X1196" s="31"/>
      <c r="Y1196" s="31"/>
      <c r="Z1196" s="31"/>
      <c r="AA1196" s="31"/>
      <c r="AB1196" s="31"/>
      <c r="AC1196" s="31"/>
    </row>
    <row r="1197" spans="19:29" x14ac:dyDescent="0.25">
      <c r="S1197" s="31"/>
      <c r="X1197" s="31"/>
      <c r="Y1197" s="31"/>
      <c r="Z1197" s="31"/>
      <c r="AA1197" s="31"/>
      <c r="AB1197" s="31"/>
      <c r="AC1197" s="31"/>
    </row>
    <row r="1198" spans="19:29" x14ac:dyDescent="0.25">
      <c r="S1198" s="31"/>
      <c r="X1198" s="31"/>
      <c r="Y1198" s="31"/>
      <c r="Z1198" s="31"/>
      <c r="AA1198" s="31"/>
      <c r="AB1198" s="31"/>
      <c r="AC1198" s="31"/>
    </row>
    <row r="1199" spans="19:29" x14ac:dyDescent="0.25">
      <c r="S1199" s="31"/>
      <c r="X1199" s="31"/>
      <c r="Y1199" s="31"/>
      <c r="Z1199" s="31"/>
      <c r="AA1199" s="31"/>
      <c r="AB1199" s="31"/>
      <c r="AC1199" s="31"/>
    </row>
    <row r="1200" spans="19:29" x14ac:dyDescent="0.25">
      <c r="S1200" s="31"/>
      <c r="X1200" s="31"/>
      <c r="Y1200" s="31"/>
      <c r="Z1200" s="31"/>
      <c r="AA1200" s="31"/>
      <c r="AB1200" s="31"/>
      <c r="AC1200" s="31"/>
    </row>
    <row r="1201" spans="19:29" x14ac:dyDescent="0.25">
      <c r="S1201" s="31"/>
      <c r="X1201" s="31"/>
      <c r="Y1201" s="31"/>
      <c r="Z1201" s="31"/>
      <c r="AA1201" s="31"/>
      <c r="AB1201" s="31"/>
      <c r="AC1201" s="31"/>
    </row>
    <row r="1202" spans="19:29" x14ac:dyDescent="0.25">
      <c r="S1202" s="31"/>
      <c r="X1202" s="31"/>
      <c r="Y1202" s="31"/>
      <c r="Z1202" s="31"/>
      <c r="AA1202" s="31"/>
      <c r="AB1202" s="31"/>
      <c r="AC1202" s="31"/>
    </row>
    <row r="1203" spans="19:29" x14ac:dyDescent="0.25">
      <c r="S1203" s="31"/>
      <c r="X1203" s="31"/>
      <c r="Y1203" s="31"/>
      <c r="Z1203" s="31"/>
      <c r="AA1203" s="31"/>
      <c r="AB1203" s="31"/>
      <c r="AC1203" s="31"/>
    </row>
    <row r="1204" spans="19:29" x14ac:dyDescent="0.25">
      <c r="S1204" s="31"/>
      <c r="X1204" s="31"/>
      <c r="Y1204" s="31"/>
      <c r="Z1204" s="31"/>
      <c r="AA1204" s="31"/>
      <c r="AB1204" s="31"/>
      <c r="AC1204" s="31"/>
    </row>
    <row r="1205" spans="19:29" x14ac:dyDescent="0.25">
      <c r="S1205" s="31"/>
      <c r="X1205" s="31"/>
      <c r="Y1205" s="31"/>
      <c r="Z1205" s="31"/>
      <c r="AA1205" s="31"/>
      <c r="AB1205" s="31"/>
      <c r="AC1205" s="31"/>
    </row>
    <row r="1206" spans="19:29" x14ac:dyDescent="0.25">
      <c r="S1206" s="31"/>
      <c r="X1206" s="31"/>
      <c r="Y1206" s="31"/>
      <c r="Z1206" s="31"/>
      <c r="AA1206" s="31"/>
      <c r="AB1206" s="31"/>
      <c r="AC1206" s="31"/>
    </row>
    <row r="1207" spans="19:29" x14ac:dyDescent="0.25">
      <c r="S1207" s="31"/>
      <c r="X1207" s="31"/>
      <c r="Y1207" s="31"/>
      <c r="Z1207" s="31"/>
      <c r="AA1207" s="31"/>
      <c r="AB1207" s="31"/>
      <c r="AC1207" s="31"/>
    </row>
    <row r="1208" spans="19:29" x14ac:dyDescent="0.25">
      <c r="S1208" s="31"/>
      <c r="X1208" s="31"/>
      <c r="Y1208" s="31"/>
      <c r="Z1208" s="31"/>
      <c r="AA1208" s="31"/>
      <c r="AB1208" s="31"/>
      <c r="AC1208" s="31"/>
    </row>
    <row r="1209" spans="19:29" x14ac:dyDescent="0.25">
      <c r="S1209" s="31"/>
      <c r="X1209" s="31"/>
      <c r="Y1209" s="31"/>
      <c r="Z1209" s="31"/>
      <c r="AA1209" s="31"/>
      <c r="AB1209" s="31"/>
      <c r="AC1209" s="31"/>
    </row>
    <row r="1210" spans="19:29" x14ac:dyDescent="0.25">
      <c r="S1210" s="31"/>
      <c r="X1210" s="31"/>
      <c r="Y1210" s="31"/>
      <c r="Z1210" s="31"/>
      <c r="AA1210" s="31"/>
      <c r="AB1210" s="31"/>
      <c r="AC1210" s="31"/>
    </row>
    <row r="1211" spans="19:29" x14ac:dyDescent="0.25">
      <c r="S1211" s="31"/>
      <c r="X1211" s="31"/>
      <c r="Y1211" s="31"/>
      <c r="Z1211" s="31"/>
      <c r="AA1211" s="31"/>
      <c r="AB1211" s="31"/>
      <c r="AC1211" s="31"/>
    </row>
    <row r="1212" spans="19:29" x14ac:dyDescent="0.25">
      <c r="S1212" s="31"/>
      <c r="X1212" s="31"/>
      <c r="Y1212" s="31"/>
      <c r="Z1212" s="31"/>
      <c r="AA1212" s="31"/>
      <c r="AB1212" s="31"/>
      <c r="AC1212" s="31"/>
    </row>
    <row r="1213" spans="19:29" x14ac:dyDescent="0.25">
      <c r="S1213" s="31"/>
      <c r="X1213" s="31"/>
      <c r="Y1213" s="31"/>
      <c r="Z1213" s="31"/>
      <c r="AA1213" s="31"/>
      <c r="AB1213" s="31"/>
      <c r="AC1213" s="31"/>
    </row>
    <row r="1214" spans="19:29" x14ac:dyDescent="0.25">
      <c r="S1214" s="31"/>
      <c r="X1214" s="31"/>
      <c r="Y1214" s="31"/>
      <c r="Z1214" s="31"/>
      <c r="AA1214" s="31"/>
      <c r="AB1214" s="31"/>
      <c r="AC1214" s="31"/>
    </row>
    <row r="1215" spans="19:29" x14ac:dyDescent="0.25">
      <c r="S1215" s="31"/>
      <c r="X1215" s="31"/>
      <c r="Y1215" s="31"/>
      <c r="Z1215" s="31"/>
      <c r="AA1215" s="31"/>
      <c r="AB1215" s="31"/>
      <c r="AC1215" s="31"/>
    </row>
    <row r="1216" spans="19:29" x14ac:dyDescent="0.25">
      <c r="S1216" s="31"/>
      <c r="X1216" s="31"/>
      <c r="Y1216" s="31"/>
      <c r="Z1216" s="31"/>
      <c r="AA1216" s="31"/>
      <c r="AB1216" s="31"/>
      <c r="AC1216" s="31"/>
    </row>
    <row r="1217" spans="19:29" x14ac:dyDescent="0.25">
      <c r="S1217" s="31"/>
      <c r="X1217" s="31"/>
      <c r="Y1217" s="31"/>
      <c r="Z1217" s="31"/>
      <c r="AA1217" s="31"/>
      <c r="AB1217" s="31"/>
      <c r="AC1217" s="31"/>
    </row>
    <row r="1218" spans="19:29" x14ac:dyDescent="0.25">
      <c r="S1218" s="31"/>
      <c r="X1218" s="31"/>
      <c r="Y1218" s="31"/>
      <c r="Z1218" s="31"/>
      <c r="AA1218" s="31"/>
      <c r="AB1218" s="31"/>
      <c r="AC1218" s="31"/>
    </row>
    <row r="1219" spans="19:29" x14ac:dyDescent="0.25">
      <c r="S1219" s="31"/>
      <c r="X1219" s="31"/>
      <c r="Y1219" s="31"/>
      <c r="Z1219" s="31"/>
      <c r="AA1219" s="31"/>
      <c r="AB1219" s="31"/>
      <c r="AC1219" s="31"/>
    </row>
    <row r="1220" spans="19:29" x14ac:dyDescent="0.25">
      <c r="S1220" s="31"/>
      <c r="X1220" s="31"/>
      <c r="Y1220" s="31"/>
      <c r="Z1220" s="31"/>
      <c r="AA1220" s="31"/>
      <c r="AB1220" s="31"/>
      <c r="AC1220" s="31"/>
    </row>
    <row r="1221" spans="19:29" x14ac:dyDescent="0.25">
      <c r="S1221" s="31"/>
      <c r="X1221" s="31"/>
      <c r="Y1221" s="31"/>
      <c r="Z1221" s="31"/>
      <c r="AA1221" s="31"/>
      <c r="AB1221" s="31"/>
      <c r="AC1221" s="31"/>
    </row>
    <row r="1222" spans="19:29" x14ac:dyDescent="0.25">
      <c r="S1222" s="31"/>
      <c r="X1222" s="31"/>
      <c r="Y1222" s="31"/>
      <c r="Z1222" s="31"/>
      <c r="AA1222" s="31"/>
      <c r="AB1222" s="31"/>
      <c r="AC1222" s="31"/>
    </row>
    <row r="1223" spans="19:29" x14ac:dyDescent="0.25">
      <c r="S1223" s="31"/>
      <c r="X1223" s="31"/>
      <c r="Y1223" s="31"/>
      <c r="Z1223" s="31"/>
      <c r="AA1223" s="31"/>
      <c r="AB1223" s="31"/>
      <c r="AC1223" s="31"/>
    </row>
    <row r="1224" spans="19:29" x14ac:dyDescent="0.25">
      <c r="S1224" s="31"/>
      <c r="X1224" s="31"/>
      <c r="Y1224" s="31"/>
      <c r="Z1224" s="31"/>
      <c r="AA1224" s="31"/>
      <c r="AB1224" s="31"/>
      <c r="AC1224" s="31"/>
    </row>
    <row r="1225" spans="19:29" x14ac:dyDescent="0.25">
      <c r="S1225" s="31"/>
      <c r="X1225" s="31"/>
      <c r="Y1225" s="31"/>
      <c r="Z1225" s="31"/>
      <c r="AA1225" s="31"/>
      <c r="AB1225" s="31"/>
      <c r="AC1225" s="31"/>
    </row>
    <row r="1226" spans="19:29" x14ac:dyDescent="0.25">
      <c r="S1226" s="31"/>
      <c r="X1226" s="31"/>
      <c r="Y1226" s="31"/>
      <c r="Z1226" s="31"/>
      <c r="AA1226" s="31"/>
      <c r="AB1226" s="31"/>
      <c r="AC1226" s="31"/>
    </row>
    <row r="1227" spans="19:29" x14ac:dyDescent="0.25">
      <c r="S1227" s="31"/>
      <c r="X1227" s="31"/>
      <c r="Y1227" s="31"/>
      <c r="Z1227" s="31"/>
      <c r="AA1227" s="31"/>
      <c r="AB1227" s="31"/>
      <c r="AC1227" s="31"/>
    </row>
    <row r="1228" spans="19:29" x14ac:dyDescent="0.25">
      <c r="S1228" s="31"/>
      <c r="X1228" s="31"/>
      <c r="Y1228" s="31"/>
      <c r="Z1228" s="31"/>
      <c r="AA1228" s="31"/>
      <c r="AB1228" s="31"/>
      <c r="AC1228" s="31"/>
    </row>
    <row r="1229" spans="19:29" x14ac:dyDescent="0.25">
      <c r="S1229" s="31"/>
      <c r="X1229" s="31"/>
      <c r="Y1229" s="31"/>
      <c r="Z1229" s="31"/>
      <c r="AA1229" s="31"/>
      <c r="AB1229" s="31"/>
      <c r="AC1229" s="31"/>
    </row>
    <row r="1230" spans="19:29" x14ac:dyDescent="0.25">
      <c r="S1230" s="31"/>
      <c r="X1230" s="31"/>
      <c r="Y1230" s="31"/>
      <c r="Z1230" s="31"/>
      <c r="AA1230" s="31"/>
      <c r="AB1230" s="31"/>
      <c r="AC1230" s="31"/>
    </row>
    <row r="1231" spans="19:29" x14ac:dyDescent="0.25">
      <c r="S1231" s="31"/>
      <c r="X1231" s="31"/>
      <c r="Y1231" s="31"/>
      <c r="Z1231" s="31"/>
      <c r="AA1231" s="31"/>
      <c r="AB1231" s="31"/>
      <c r="AC1231" s="31"/>
    </row>
    <row r="1232" spans="19:29" x14ac:dyDescent="0.25">
      <c r="S1232" s="31"/>
      <c r="X1232" s="31"/>
      <c r="Y1232" s="31"/>
      <c r="Z1232" s="31"/>
      <c r="AA1232" s="31"/>
      <c r="AB1232" s="31"/>
      <c r="AC1232" s="31"/>
    </row>
    <row r="1233" spans="19:29" x14ac:dyDescent="0.25">
      <c r="S1233" s="31"/>
      <c r="X1233" s="31"/>
      <c r="Y1233" s="31"/>
      <c r="Z1233" s="31"/>
      <c r="AA1233" s="31"/>
      <c r="AB1233" s="31"/>
      <c r="AC1233" s="31"/>
    </row>
    <row r="1234" spans="19:29" x14ac:dyDescent="0.25">
      <c r="S1234" s="31"/>
      <c r="X1234" s="31"/>
      <c r="Y1234" s="31"/>
      <c r="Z1234" s="31"/>
      <c r="AA1234" s="31"/>
      <c r="AB1234" s="31"/>
      <c r="AC1234" s="31"/>
    </row>
    <row r="1235" spans="19:29" x14ac:dyDescent="0.25">
      <c r="S1235" s="31"/>
      <c r="X1235" s="31"/>
      <c r="Y1235" s="31"/>
      <c r="Z1235" s="31"/>
      <c r="AA1235" s="31"/>
      <c r="AB1235" s="31"/>
      <c r="AC1235" s="31"/>
    </row>
    <row r="1236" spans="19:29" x14ac:dyDescent="0.25">
      <c r="S1236" s="31"/>
      <c r="X1236" s="31"/>
      <c r="Y1236" s="31"/>
      <c r="Z1236" s="31"/>
      <c r="AA1236" s="31"/>
      <c r="AB1236" s="31"/>
      <c r="AC1236" s="31"/>
    </row>
    <row r="1237" spans="19:29" x14ac:dyDescent="0.25">
      <c r="S1237" s="31"/>
      <c r="X1237" s="31"/>
      <c r="Y1237" s="31"/>
      <c r="Z1237" s="31"/>
      <c r="AA1237" s="31"/>
      <c r="AB1237" s="31"/>
      <c r="AC1237" s="31"/>
    </row>
    <row r="1238" spans="19:29" x14ac:dyDescent="0.25">
      <c r="S1238" s="31"/>
      <c r="X1238" s="31"/>
      <c r="Y1238" s="31"/>
      <c r="Z1238" s="31"/>
      <c r="AA1238" s="31"/>
      <c r="AB1238" s="31"/>
      <c r="AC1238" s="31"/>
    </row>
    <row r="1239" spans="19:29" x14ac:dyDescent="0.25">
      <c r="S1239" s="31"/>
      <c r="X1239" s="31"/>
      <c r="Y1239" s="31"/>
      <c r="Z1239" s="31"/>
      <c r="AA1239" s="31"/>
      <c r="AB1239" s="31"/>
      <c r="AC1239" s="31"/>
    </row>
    <row r="1240" spans="19:29" x14ac:dyDescent="0.25">
      <c r="S1240" s="31"/>
      <c r="X1240" s="31"/>
      <c r="Y1240" s="31"/>
      <c r="Z1240" s="31"/>
      <c r="AA1240" s="31"/>
      <c r="AB1240" s="31"/>
      <c r="AC1240" s="31"/>
    </row>
    <row r="1241" spans="19:29" x14ac:dyDescent="0.25">
      <c r="S1241" s="31"/>
      <c r="X1241" s="31"/>
      <c r="Y1241" s="31"/>
      <c r="Z1241" s="31"/>
      <c r="AA1241" s="31"/>
      <c r="AB1241" s="31"/>
      <c r="AC1241" s="31"/>
    </row>
    <row r="1242" spans="19:29" x14ac:dyDescent="0.25">
      <c r="S1242" s="31"/>
      <c r="X1242" s="31"/>
      <c r="Y1242" s="31"/>
      <c r="Z1242" s="31"/>
      <c r="AA1242" s="31"/>
      <c r="AB1242" s="31"/>
      <c r="AC1242" s="31"/>
    </row>
    <row r="1243" spans="19:29" x14ac:dyDescent="0.25">
      <c r="S1243" s="31"/>
      <c r="X1243" s="31"/>
      <c r="Y1243" s="31"/>
      <c r="Z1243" s="31"/>
      <c r="AA1243" s="31"/>
      <c r="AB1243" s="31"/>
      <c r="AC1243" s="31"/>
    </row>
    <row r="1244" spans="19:29" x14ac:dyDescent="0.25">
      <c r="S1244" s="31"/>
      <c r="X1244" s="31"/>
      <c r="Y1244" s="31"/>
      <c r="Z1244" s="31"/>
      <c r="AA1244" s="31"/>
      <c r="AB1244" s="31"/>
      <c r="AC1244" s="31"/>
    </row>
    <row r="1245" spans="19:29" x14ac:dyDescent="0.25">
      <c r="S1245" s="31"/>
      <c r="X1245" s="31"/>
      <c r="Y1245" s="31"/>
      <c r="Z1245" s="31"/>
      <c r="AA1245" s="31"/>
      <c r="AB1245" s="31"/>
      <c r="AC1245" s="31"/>
    </row>
    <row r="1246" spans="19:29" x14ac:dyDescent="0.25">
      <c r="S1246" s="31"/>
      <c r="X1246" s="31"/>
      <c r="Y1246" s="31"/>
      <c r="Z1246" s="31"/>
      <c r="AA1246" s="31"/>
      <c r="AB1246" s="31"/>
      <c r="AC1246" s="31"/>
    </row>
    <row r="1247" spans="19:29" x14ac:dyDescent="0.25">
      <c r="S1247" s="31"/>
      <c r="X1247" s="31"/>
      <c r="Y1247" s="31"/>
      <c r="Z1247" s="31"/>
      <c r="AA1247" s="31"/>
      <c r="AB1247" s="31"/>
      <c r="AC1247" s="31"/>
    </row>
    <row r="1248" spans="19:29" x14ac:dyDescent="0.25">
      <c r="S1248" s="31"/>
      <c r="X1248" s="31"/>
      <c r="Y1248" s="31"/>
      <c r="Z1248" s="31"/>
      <c r="AA1248" s="31"/>
      <c r="AB1248" s="31"/>
      <c r="AC1248" s="31"/>
    </row>
    <row r="1249" spans="19:29" x14ac:dyDescent="0.25">
      <c r="S1249" s="31"/>
      <c r="X1249" s="31"/>
      <c r="Y1249" s="31"/>
      <c r="Z1249" s="31"/>
      <c r="AA1249" s="31"/>
      <c r="AB1249" s="31"/>
      <c r="AC1249" s="31"/>
    </row>
    <row r="1250" spans="19:29" x14ac:dyDescent="0.25">
      <c r="S1250" s="31"/>
      <c r="X1250" s="31"/>
      <c r="Y1250" s="31"/>
      <c r="Z1250" s="31"/>
      <c r="AA1250" s="31"/>
      <c r="AB1250" s="31"/>
      <c r="AC1250" s="31"/>
    </row>
    <row r="1251" spans="19:29" x14ac:dyDescent="0.25">
      <c r="S1251" s="31"/>
      <c r="X1251" s="31"/>
      <c r="Y1251" s="31"/>
      <c r="Z1251" s="31"/>
      <c r="AA1251" s="31"/>
      <c r="AB1251" s="31"/>
      <c r="AC1251" s="31"/>
    </row>
    <row r="1252" spans="19:29" x14ac:dyDescent="0.25">
      <c r="S1252" s="31"/>
      <c r="X1252" s="31"/>
      <c r="Y1252" s="31"/>
      <c r="Z1252" s="31"/>
      <c r="AA1252" s="31"/>
      <c r="AB1252" s="31"/>
      <c r="AC1252" s="31"/>
    </row>
    <row r="1253" spans="19:29" x14ac:dyDescent="0.25">
      <c r="S1253" s="31"/>
      <c r="X1253" s="31"/>
      <c r="Y1253" s="31"/>
      <c r="Z1253" s="31"/>
      <c r="AA1253" s="31"/>
      <c r="AB1253" s="31"/>
      <c r="AC1253" s="31"/>
    </row>
    <row r="1254" spans="19:29" x14ac:dyDescent="0.25">
      <c r="S1254" s="31"/>
      <c r="X1254" s="31"/>
      <c r="Y1254" s="31"/>
      <c r="Z1254" s="31"/>
      <c r="AA1254" s="31"/>
      <c r="AB1254" s="31"/>
      <c r="AC1254" s="31"/>
    </row>
    <row r="1255" spans="19:29" x14ac:dyDescent="0.25">
      <c r="S1255" s="31"/>
      <c r="X1255" s="31"/>
      <c r="Y1255" s="31"/>
      <c r="Z1255" s="31"/>
      <c r="AA1255" s="31"/>
      <c r="AB1255" s="31"/>
      <c r="AC1255" s="31"/>
    </row>
    <row r="1256" spans="19:29" x14ac:dyDescent="0.25">
      <c r="S1256" s="31"/>
      <c r="X1256" s="31"/>
      <c r="Y1256" s="31"/>
      <c r="Z1256" s="31"/>
      <c r="AA1256" s="31"/>
      <c r="AB1256" s="31"/>
      <c r="AC1256" s="31"/>
    </row>
    <row r="1257" spans="19:29" x14ac:dyDescent="0.25">
      <c r="S1257" s="31"/>
      <c r="X1257" s="31"/>
      <c r="Y1257" s="31"/>
      <c r="Z1257" s="31"/>
      <c r="AA1257" s="31"/>
      <c r="AB1257" s="31"/>
      <c r="AC1257" s="31"/>
    </row>
    <row r="1258" spans="19:29" x14ac:dyDescent="0.25">
      <c r="S1258" s="31"/>
      <c r="X1258" s="31"/>
      <c r="Y1258" s="31"/>
      <c r="Z1258" s="31"/>
      <c r="AA1258" s="31"/>
      <c r="AB1258" s="31"/>
      <c r="AC1258" s="31"/>
    </row>
    <row r="1259" spans="19:29" x14ac:dyDescent="0.25">
      <c r="S1259" s="31"/>
      <c r="X1259" s="31"/>
      <c r="Y1259" s="31"/>
      <c r="Z1259" s="31"/>
      <c r="AA1259" s="31"/>
      <c r="AB1259" s="31"/>
      <c r="AC1259" s="31"/>
    </row>
    <row r="1260" spans="19:29" x14ac:dyDescent="0.25">
      <c r="S1260" s="31"/>
      <c r="X1260" s="31"/>
      <c r="Y1260" s="31"/>
      <c r="Z1260" s="31"/>
      <c r="AA1260" s="31"/>
      <c r="AB1260" s="31"/>
      <c r="AC1260" s="31"/>
    </row>
    <row r="1261" spans="19:29" x14ac:dyDescent="0.25">
      <c r="S1261" s="31"/>
      <c r="X1261" s="31"/>
      <c r="Y1261" s="31"/>
      <c r="Z1261" s="31"/>
      <c r="AA1261" s="31"/>
      <c r="AB1261" s="31"/>
      <c r="AC1261" s="31"/>
    </row>
    <row r="1262" spans="19:29" x14ac:dyDescent="0.25">
      <c r="S1262" s="31"/>
      <c r="X1262" s="31"/>
      <c r="Y1262" s="31"/>
      <c r="Z1262" s="31"/>
      <c r="AA1262" s="31"/>
      <c r="AB1262" s="31"/>
      <c r="AC1262" s="31"/>
    </row>
    <row r="1263" spans="19:29" x14ac:dyDescent="0.25">
      <c r="S1263" s="31"/>
      <c r="X1263" s="31"/>
      <c r="Y1263" s="31"/>
      <c r="Z1263" s="31"/>
      <c r="AA1263" s="31"/>
      <c r="AB1263" s="31"/>
      <c r="AC1263" s="31"/>
    </row>
    <row r="1264" spans="19:29" x14ac:dyDescent="0.25">
      <c r="S1264" s="31"/>
      <c r="X1264" s="31"/>
      <c r="Y1264" s="31"/>
      <c r="Z1264" s="31"/>
      <c r="AA1264" s="31"/>
      <c r="AB1264" s="31"/>
      <c r="AC1264" s="31"/>
    </row>
    <row r="1265" spans="19:29" x14ac:dyDescent="0.25">
      <c r="S1265" s="31"/>
      <c r="X1265" s="31"/>
      <c r="Y1265" s="31"/>
      <c r="Z1265" s="31"/>
      <c r="AA1265" s="31"/>
      <c r="AB1265" s="31"/>
      <c r="AC1265" s="31"/>
    </row>
    <row r="1266" spans="19:29" x14ac:dyDescent="0.25">
      <c r="S1266" s="31"/>
      <c r="X1266" s="31"/>
      <c r="Y1266" s="31"/>
      <c r="Z1266" s="31"/>
      <c r="AA1266" s="31"/>
      <c r="AB1266" s="31"/>
      <c r="AC1266" s="31"/>
    </row>
    <row r="1267" spans="19:29" x14ac:dyDescent="0.25">
      <c r="S1267" s="31"/>
      <c r="X1267" s="31"/>
      <c r="Y1267" s="31"/>
      <c r="Z1267" s="31"/>
      <c r="AA1267" s="31"/>
      <c r="AB1267" s="31"/>
      <c r="AC1267" s="31"/>
    </row>
    <row r="1268" spans="19:29" x14ac:dyDescent="0.25">
      <c r="S1268" s="31"/>
      <c r="X1268" s="31"/>
      <c r="Y1268" s="31"/>
      <c r="Z1268" s="31"/>
      <c r="AA1268" s="31"/>
      <c r="AB1268" s="31"/>
      <c r="AC1268" s="31"/>
    </row>
    <row r="1269" spans="19:29" x14ac:dyDescent="0.25">
      <c r="S1269" s="31"/>
      <c r="X1269" s="31"/>
      <c r="Y1269" s="31"/>
      <c r="Z1269" s="31"/>
      <c r="AA1269" s="31"/>
      <c r="AB1269" s="31"/>
      <c r="AC1269" s="31"/>
    </row>
    <row r="1270" spans="19:29" x14ac:dyDescent="0.25">
      <c r="S1270" s="31"/>
      <c r="X1270" s="31"/>
      <c r="Y1270" s="31"/>
      <c r="Z1270" s="31"/>
      <c r="AA1270" s="31"/>
      <c r="AB1270" s="31"/>
      <c r="AC1270" s="31"/>
    </row>
    <row r="1271" spans="19:29" x14ac:dyDescent="0.25">
      <c r="S1271" s="31"/>
      <c r="X1271" s="31"/>
      <c r="Y1271" s="31"/>
      <c r="Z1271" s="31"/>
      <c r="AA1271" s="31"/>
      <c r="AB1271" s="31"/>
      <c r="AC1271" s="31"/>
    </row>
    <row r="1272" spans="19:29" x14ac:dyDescent="0.25">
      <c r="S1272" s="31"/>
      <c r="X1272" s="31"/>
      <c r="Y1272" s="31"/>
      <c r="Z1272" s="31"/>
      <c r="AA1272" s="31"/>
      <c r="AB1272" s="31"/>
      <c r="AC1272" s="31"/>
    </row>
    <row r="1273" spans="19:29" x14ac:dyDescent="0.25">
      <c r="S1273" s="31"/>
      <c r="X1273" s="31"/>
      <c r="Y1273" s="31"/>
      <c r="Z1273" s="31"/>
      <c r="AA1273" s="31"/>
      <c r="AB1273" s="31"/>
      <c r="AC1273" s="31"/>
    </row>
    <row r="1274" spans="19:29" x14ac:dyDescent="0.25">
      <c r="S1274" s="31"/>
      <c r="X1274" s="31"/>
      <c r="Y1274" s="31"/>
      <c r="Z1274" s="31"/>
      <c r="AA1274" s="31"/>
      <c r="AB1274" s="31"/>
      <c r="AC1274" s="31"/>
    </row>
    <row r="1275" spans="19:29" x14ac:dyDescent="0.25">
      <c r="S1275" s="31"/>
      <c r="X1275" s="31"/>
      <c r="Y1275" s="31"/>
      <c r="Z1275" s="31"/>
      <c r="AA1275" s="31"/>
      <c r="AB1275" s="31"/>
      <c r="AC1275" s="31"/>
    </row>
    <row r="1276" spans="19:29" x14ac:dyDescent="0.25">
      <c r="S1276" s="31"/>
      <c r="X1276" s="31"/>
      <c r="Y1276" s="31"/>
      <c r="Z1276" s="31"/>
      <c r="AA1276" s="31"/>
      <c r="AB1276" s="31"/>
      <c r="AC1276" s="31"/>
    </row>
    <row r="1277" spans="19:29" x14ac:dyDescent="0.25">
      <c r="S1277" s="31"/>
      <c r="X1277" s="31"/>
      <c r="Y1277" s="31"/>
      <c r="Z1277" s="31"/>
      <c r="AA1277" s="31"/>
      <c r="AB1277" s="31"/>
      <c r="AC1277" s="31"/>
    </row>
    <row r="1278" spans="19:29" x14ac:dyDescent="0.25">
      <c r="S1278" s="31"/>
      <c r="X1278" s="31"/>
      <c r="Y1278" s="31"/>
      <c r="Z1278" s="31"/>
      <c r="AA1278" s="31"/>
      <c r="AB1278" s="31"/>
      <c r="AC1278" s="31"/>
    </row>
    <row r="1279" spans="19:29" x14ac:dyDescent="0.25">
      <c r="S1279" s="31"/>
      <c r="X1279" s="31"/>
      <c r="Y1279" s="31"/>
      <c r="Z1279" s="31"/>
      <c r="AA1279" s="31"/>
      <c r="AB1279" s="31"/>
      <c r="AC1279" s="31"/>
    </row>
    <row r="1280" spans="19:29" x14ac:dyDescent="0.25">
      <c r="S1280" s="31"/>
      <c r="X1280" s="31"/>
      <c r="Y1280" s="31"/>
      <c r="Z1280" s="31"/>
      <c r="AA1280" s="31"/>
      <c r="AB1280" s="31"/>
      <c r="AC1280" s="31"/>
    </row>
    <row r="1281" spans="19:29" x14ac:dyDescent="0.25">
      <c r="S1281" s="31"/>
      <c r="X1281" s="31"/>
      <c r="Y1281" s="31"/>
      <c r="Z1281" s="31"/>
      <c r="AA1281" s="31"/>
      <c r="AB1281" s="31"/>
      <c r="AC1281" s="31"/>
    </row>
    <row r="1282" spans="19:29" x14ac:dyDescent="0.25">
      <c r="S1282" s="31"/>
      <c r="X1282" s="31"/>
      <c r="Y1282" s="31"/>
      <c r="Z1282" s="31"/>
      <c r="AA1282" s="31"/>
      <c r="AB1282" s="31"/>
      <c r="AC1282" s="31"/>
    </row>
    <row r="1283" spans="19:29" x14ac:dyDescent="0.25">
      <c r="S1283" s="31"/>
      <c r="X1283" s="31"/>
      <c r="Y1283" s="31"/>
      <c r="Z1283" s="31"/>
      <c r="AA1283" s="31"/>
      <c r="AB1283" s="31"/>
      <c r="AC1283" s="31"/>
    </row>
    <row r="1284" spans="19:29" x14ac:dyDescent="0.25">
      <c r="S1284" s="31"/>
      <c r="X1284" s="31"/>
      <c r="Y1284" s="31"/>
      <c r="Z1284" s="31"/>
      <c r="AA1284" s="31"/>
      <c r="AB1284" s="31"/>
      <c r="AC1284" s="31"/>
    </row>
    <row r="1285" spans="19:29" x14ac:dyDescent="0.25">
      <c r="S1285" s="31"/>
      <c r="X1285" s="31"/>
      <c r="Y1285" s="31"/>
      <c r="Z1285" s="31"/>
      <c r="AA1285" s="31"/>
      <c r="AB1285" s="31"/>
      <c r="AC1285" s="31"/>
    </row>
    <row r="1286" spans="19:29" x14ac:dyDescent="0.25">
      <c r="S1286" s="31"/>
      <c r="X1286" s="31"/>
      <c r="Y1286" s="31"/>
      <c r="Z1286" s="31"/>
      <c r="AA1286" s="31"/>
      <c r="AB1286" s="31"/>
      <c r="AC1286" s="31"/>
    </row>
    <row r="1287" spans="19:29" x14ac:dyDescent="0.25">
      <c r="S1287" s="31"/>
      <c r="X1287" s="31"/>
      <c r="Y1287" s="31"/>
      <c r="Z1287" s="31"/>
      <c r="AA1287" s="31"/>
      <c r="AB1287" s="31"/>
      <c r="AC1287" s="31"/>
    </row>
    <row r="1288" spans="19:29" x14ac:dyDescent="0.25">
      <c r="S1288" s="31"/>
      <c r="X1288" s="31"/>
      <c r="Y1288" s="31"/>
      <c r="Z1288" s="31"/>
      <c r="AA1288" s="31"/>
      <c r="AB1288" s="31"/>
      <c r="AC1288" s="31"/>
    </row>
    <row r="1289" spans="19:29" x14ac:dyDescent="0.25">
      <c r="S1289" s="31"/>
      <c r="X1289" s="31"/>
      <c r="Y1289" s="31"/>
      <c r="Z1289" s="31"/>
      <c r="AA1289" s="31"/>
      <c r="AB1289" s="31"/>
      <c r="AC1289" s="31"/>
    </row>
    <row r="1290" spans="19:29" x14ac:dyDescent="0.25">
      <c r="S1290" s="31"/>
      <c r="X1290" s="31"/>
      <c r="Y1290" s="31"/>
      <c r="Z1290" s="31"/>
      <c r="AA1290" s="31"/>
      <c r="AB1290" s="31"/>
      <c r="AC1290" s="31"/>
    </row>
    <row r="1291" spans="19:29" x14ac:dyDescent="0.25">
      <c r="S1291" s="31"/>
      <c r="X1291" s="31"/>
      <c r="Y1291" s="31"/>
      <c r="Z1291" s="31"/>
      <c r="AA1291" s="31"/>
      <c r="AB1291" s="31"/>
      <c r="AC1291" s="31"/>
    </row>
    <row r="1292" spans="19:29" x14ac:dyDescent="0.25">
      <c r="S1292" s="31"/>
      <c r="X1292" s="31"/>
      <c r="Y1292" s="31"/>
      <c r="Z1292" s="31"/>
      <c r="AA1292" s="31"/>
      <c r="AB1292" s="31"/>
      <c r="AC1292" s="31"/>
    </row>
    <row r="1293" spans="19:29" x14ac:dyDescent="0.25">
      <c r="S1293" s="31"/>
      <c r="X1293" s="31"/>
      <c r="Y1293" s="31"/>
      <c r="Z1293" s="31"/>
      <c r="AA1293" s="31"/>
      <c r="AB1293" s="31"/>
      <c r="AC1293" s="31"/>
    </row>
    <row r="1294" spans="19:29" x14ac:dyDescent="0.25">
      <c r="S1294" s="31"/>
      <c r="X1294" s="31"/>
      <c r="Y1294" s="31"/>
      <c r="Z1294" s="31"/>
      <c r="AA1294" s="31"/>
      <c r="AB1294" s="31"/>
      <c r="AC1294" s="31"/>
    </row>
    <row r="1295" spans="19:29" x14ac:dyDescent="0.25">
      <c r="S1295" s="31"/>
      <c r="X1295" s="31"/>
      <c r="Y1295" s="31"/>
      <c r="Z1295" s="31"/>
      <c r="AA1295" s="31"/>
      <c r="AB1295" s="31"/>
      <c r="AC1295" s="31"/>
    </row>
    <row r="1296" spans="19:29" x14ac:dyDescent="0.25">
      <c r="S1296" s="31"/>
      <c r="X1296" s="31"/>
      <c r="Y1296" s="31"/>
      <c r="Z1296" s="31"/>
      <c r="AA1296" s="31"/>
      <c r="AB1296" s="31"/>
      <c r="AC1296" s="31"/>
    </row>
    <row r="1297" spans="19:29" x14ac:dyDescent="0.25">
      <c r="S1297" s="31"/>
      <c r="X1297" s="31"/>
      <c r="Y1297" s="31"/>
      <c r="Z1297" s="31"/>
      <c r="AA1297" s="31"/>
      <c r="AB1297" s="31"/>
      <c r="AC1297" s="31"/>
    </row>
    <row r="1298" spans="19:29" x14ac:dyDescent="0.25">
      <c r="S1298" s="31"/>
      <c r="X1298" s="31"/>
      <c r="Y1298" s="31"/>
      <c r="Z1298" s="31"/>
      <c r="AA1298" s="31"/>
      <c r="AB1298" s="31"/>
      <c r="AC1298" s="31"/>
    </row>
    <row r="1299" spans="19:29" x14ac:dyDescent="0.25">
      <c r="S1299" s="31"/>
      <c r="X1299" s="31"/>
      <c r="Y1299" s="31"/>
      <c r="Z1299" s="31"/>
      <c r="AA1299" s="31"/>
      <c r="AB1299" s="31"/>
      <c r="AC1299" s="31"/>
    </row>
    <row r="1300" spans="19:29" x14ac:dyDescent="0.25">
      <c r="S1300" s="31"/>
      <c r="X1300" s="31"/>
      <c r="Y1300" s="31"/>
      <c r="Z1300" s="31"/>
      <c r="AA1300" s="31"/>
      <c r="AB1300" s="31"/>
      <c r="AC1300" s="31"/>
    </row>
    <row r="1301" spans="19:29" x14ac:dyDescent="0.25">
      <c r="S1301" s="31"/>
      <c r="X1301" s="31"/>
      <c r="Y1301" s="31"/>
      <c r="Z1301" s="31"/>
      <c r="AA1301" s="31"/>
      <c r="AB1301" s="31"/>
      <c r="AC1301" s="31"/>
    </row>
    <row r="1302" spans="19:29" x14ac:dyDescent="0.25">
      <c r="S1302" s="31"/>
      <c r="X1302" s="31"/>
      <c r="Y1302" s="31"/>
      <c r="Z1302" s="31"/>
      <c r="AA1302" s="31"/>
      <c r="AB1302" s="31"/>
      <c r="AC1302" s="31"/>
    </row>
    <row r="1303" spans="19:29" x14ac:dyDescent="0.25">
      <c r="S1303" s="31"/>
      <c r="X1303" s="31"/>
      <c r="Y1303" s="31"/>
      <c r="Z1303" s="31"/>
      <c r="AA1303" s="31"/>
      <c r="AB1303" s="31"/>
      <c r="AC1303" s="31"/>
    </row>
    <row r="1304" spans="19:29" x14ac:dyDescent="0.25">
      <c r="S1304" s="31"/>
      <c r="X1304" s="31"/>
      <c r="Y1304" s="31"/>
      <c r="Z1304" s="31"/>
      <c r="AA1304" s="31"/>
      <c r="AB1304" s="31"/>
      <c r="AC1304" s="31"/>
    </row>
    <row r="1305" spans="19:29" x14ac:dyDescent="0.25">
      <c r="S1305" s="31"/>
      <c r="X1305" s="31"/>
      <c r="Y1305" s="31"/>
      <c r="Z1305" s="31"/>
      <c r="AA1305" s="31"/>
      <c r="AB1305" s="31"/>
      <c r="AC1305" s="31"/>
    </row>
    <row r="1306" spans="19:29" x14ac:dyDescent="0.25">
      <c r="S1306" s="31"/>
      <c r="X1306" s="31"/>
      <c r="Y1306" s="31"/>
      <c r="Z1306" s="31"/>
      <c r="AA1306" s="31"/>
      <c r="AB1306" s="31"/>
      <c r="AC1306" s="31"/>
    </row>
    <row r="1307" spans="19:29" x14ac:dyDescent="0.25">
      <c r="S1307" s="31"/>
      <c r="X1307" s="31"/>
      <c r="Y1307" s="31"/>
      <c r="Z1307" s="31"/>
      <c r="AA1307" s="31"/>
      <c r="AB1307" s="31"/>
      <c r="AC1307" s="31"/>
    </row>
    <row r="1308" spans="19:29" x14ac:dyDescent="0.25">
      <c r="S1308" s="31"/>
      <c r="X1308" s="31"/>
      <c r="Y1308" s="31"/>
      <c r="Z1308" s="31"/>
      <c r="AA1308" s="31"/>
      <c r="AB1308" s="31"/>
      <c r="AC1308" s="31"/>
    </row>
    <row r="1309" spans="19:29" x14ac:dyDescent="0.25">
      <c r="S1309" s="31"/>
      <c r="X1309" s="31"/>
      <c r="Y1309" s="31"/>
      <c r="Z1309" s="31"/>
      <c r="AA1309" s="31"/>
      <c r="AB1309" s="31"/>
      <c r="AC1309" s="31"/>
    </row>
    <row r="1310" spans="19:29" x14ac:dyDescent="0.25">
      <c r="S1310" s="31"/>
      <c r="X1310" s="31"/>
      <c r="Y1310" s="31"/>
      <c r="Z1310" s="31"/>
      <c r="AA1310" s="31"/>
      <c r="AB1310" s="31"/>
      <c r="AC1310" s="31"/>
    </row>
    <row r="1311" spans="19:29" x14ac:dyDescent="0.25">
      <c r="S1311" s="31"/>
      <c r="X1311" s="31"/>
      <c r="Y1311" s="31"/>
      <c r="Z1311" s="31"/>
      <c r="AA1311" s="31"/>
      <c r="AB1311" s="31"/>
      <c r="AC1311" s="31"/>
    </row>
    <row r="1312" spans="19:29" x14ac:dyDescent="0.25">
      <c r="S1312" s="31"/>
      <c r="X1312" s="31"/>
      <c r="Y1312" s="31"/>
      <c r="Z1312" s="31"/>
      <c r="AA1312" s="31"/>
      <c r="AB1312" s="31"/>
      <c r="AC1312" s="31"/>
    </row>
    <row r="1313" spans="19:29" x14ac:dyDescent="0.25">
      <c r="S1313" s="31"/>
      <c r="X1313" s="31"/>
      <c r="Y1313" s="31"/>
      <c r="Z1313" s="31"/>
      <c r="AA1313" s="31"/>
      <c r="AB1313" s="31"/>
      <c r="AC1313" s="31"/>
    </row>
    <row r="1314" spans="19:29" x14ac:dyDescent="0.25">
      <c r="S1314" s="31"/>
      <c r="X1314" s="31"/>
      <c r="Y1314" s="31"/>
      <c r="Z1314" s="31"/>
      <c r="AA1314" s="31"/>
      <c r="AB1314" s="31"/>
      <c r="AC1314" s="31"/>
    </row>
    <row r="1315" spans="19:29" x14ac:dyDescent="0.25">
      <c r="S1315" s="31"/>
      <c r="X1315" s="31"/>
      <c r="Y1315" s="31"/>
      <c r="Z1315" s="31"/>
      <c r="AA1315" s="31"/>
      <c r="AB1315" s="31"/>
      <c r="AC1315" s="31"/>
    </row>
    <row r="1316" spans="19:29" x14ac:dyDescent="0.25">
      <c r="S1316" s="31"/>
      <c r="X1316" s="31"/>
      <c r="Y1316" s="31"/>
      <c r="Z1316" s="31"/>
      <c r="AA1316" s="31"/>
      <c r="AB1316" s="31"/>
      <c r="AC1316" s="31"/>
    </row>
    <row r="1317" spans="19:29" x14ac:dyDescent="0.25">
      <c r="S1317" s="31"/>
      <c r="X1317" s="31"/>
      <c r="Y1317" s="31"/>
      <c r="Z1317" s="31"/>
      <c r="AA1317" s="31"/>
      <c r="AB1317" s="31"/>
      <c r="AC1317" s="31"/>
    </row>
    <row r="1318" spans="19:29" x14ac:dyDescent="0.25">
      <c r="S1318" s="31"/>
      <c r="X1318" s="31"/>
      <c r="Y1318" s="31"/>
      <c r="Z1318" s="31"/>
      <c r="AA1318" s="31"/>
      <c r="AB1318" s="31"/>
      <c r="AC1318" s="31"/>
    </row>
    <row r="1319" spans="19:29" x14ac:dyDescent="0.25">
      <c r="S1319" s="31"/>
      <c r="X1319" s="31"/>
      <c r="Y1319" s="31"/>
      <c r="Z1319" s="31"/>
      <c r="AA1319" s="31"/>
      <c r="AB1319" s="31"/>
      <c r="AC1319" s="31"/>
    </row>
    <row r="1320" spans="19:29" x14ac:dyDescent="0.25">
      <c r="S1320" s="31"/>
      <c r="X1320" s="31"/>
      <c r="Y1320" s="31"/>
      <c r="Z1320" s="31"/>
      <c r="AA1320" s="31"/>
      <c r="AB1320" s="31"/>
      <c r="AC1320" s="31"/>
    </row>
    <row r="1321" spans="19:29" x14ac:dyDescent="0.25">
      <c r="S1321" s="31"/>
      <c r="X1321" s="31"/>
      <c r="Y1321" s="31"/>
      <c r="Z1321" s="31"/>
      <c r="AA1321" s="31"/>
      <c r="AB1321" s="31"/>
      <c r="AC1321" s="31"/>
    </row>
    <row r="1322" spans="19:29" x14ac:dyDescent="0.25">
      <c r="S1322" s="31"/>
      <c r="X1322" s="31"/>
      <c r="Y1322" s="31"/>
      <c r="Z1322" s="31"/>
      <c r="AA1322" s="31"/>
      <c r="AB1322" s="31"/>
      <c r="AC1322" s="31"/>
    </row>
    <row r="1323" spans="19:29" x14ac:dyDescent="0.25">
      <c r="S1323" s="31"/>
      <c r="X1323" s="31"/>
      <c r="Y1323" s="31"/>
      <c r="Z1323" s="31"/>
      <c r="AA1323" s="31"/>
      <c r="AB1323" s="31"/>
      <c r="AC1323" s="31"/>
    </row>
    <row r="1324" spans="19:29" x14ac:dyDescent="0.25">
      <c r="S1324" s="31"/>
      <c r="X1324" s="31"/>
      <c r="Y1324" s="31"/>
      <c r="Z1324" s="31"/>
      <c r="AA1324" s="31"/>
      <c r="AB1324" s="31"/>
      <c r="AC1324" s="31"/>
    </row>
    <row r="1325" spans="19:29" x14ac:dyDescent="0.25">
      <c r="S1325" s="31"/>
      <c r="X1325" s="31"/>
      <c r="Y1325" s="31"/>
      <c r="Z1325" s="31"/>
      <c r="AA1325" s="31"/>
      <c r="AB1325" s="31"/>
      <c r="AC1325" s="31"/>
    </row>
    <row r="1326" spans="19:29" x14ac:dyDescent="0.25">
      <c r="S1326" s="31"/>
      <c r="X1326" s="31"/>
      <c r="Y1326" s="31"/>
      <c r="Z1326" s="31"/>
      <c r="AA1326" s="31"/>
      <c r="AB1326" s="31"/>
      <c r="AC1326" s="31"/>
    </row>
    <row r="1327" spans="19:29" x14ac:dyDescent="0.25">
      <c r="S1327" s="31"/>
      <c r="X1327" s="31"/>
      <c r="Y1327" s="31"/>
      <c r="Z1327" s="31"/>
      <c r="AA1327" s="31"/>
      <c r="AB1327" s="31"/>
      <c r="AC1327" s="31"/>
    </row>
    <row r="1328" spans="19:29" x14ac:dyDescent="0.25">
      <c r="S1328" s="31"/>
      <c r="X1328" s="31"/>
      <c r="Y1328" s="31"/>
      <c r="Z1328" s="31"/>
      <c r="AA1328" s="31"/>
      <c r="AB1328" s="31"/>
      <c r="AC1328" s="31"/>
    </row>
    <row r="1329" spans="19:29" x14ac:dyDescent="0.25">
      <c r="S1329" s="31"/>
      <c r="X1329" s="31"/>
      <c r="Y1329" s="31"/>
      <c r="Z1329" s="31"/>
      <c r="AA1329" s="31"/>
      <c r="AB1329" s="31"/>
      <c r="AC1329" s="31"/>
    </row>
    <row r="1330" spans="19:29" x14ac:dyDescent="0.25">
      <c r="S1330" s="31"/>
      <c r="X1330" s="31"/>
      <c r="Y1330" s="31"/>
      <c r="Z1330" s="31"/>
      <c r="AA1330" s="31"/>
      <c r="AB1330" s="31"/>
      <c r="AC1330" s="31"/>
    </row>
    <row r="1331" spans="19:29" x14ac:dyDescent="0.25">
      <c r="S1331" s="31"/>
      <c r="X1331" s="31"/>
      <c r="Y1331" s="31"/>
      <c r="Z1331" s="31"/>
      <c r="AA1331" s="31"/>
      <c r="AB1331" s="31"/>
      <c r="AC1331" s="31"/>
    </row>
    <row r="1332" spans="19:29" x14ac:dyDescent="0.25">
      <c r="S1332" s="31"/>
      <c r="X1332" s="31"/>
      <c r="Y1332" s="31"/>
      <c r="Z1332" s="31"/>
      <c r="AA1332" s="31"/>
      <c r="AB1332" s="31"/>
      <c r="AC1332" s="31"/>
    </row>
    <row r="1333" spans="19:29" x14ac:dyDescent="0.25">
      <c r="S1333" s="31"/>
      <c r="X1333" s="31"/>
      <c r="Y1333" s="31"/>
      <c r="Z1333" s="31"/>
      <c r="AA1333" s="31"/>
      <c r="AB1333" s="31"/>
      <c r="AC1333" s="31"/>
    </row>
    <row r="1334" spans="19:29" x14ac:dyDescent="0.25">
      <c r="S1334" s="31"/>
      <c r="X1334" s="31"/>
      <c r="Y1334" s="31"/>
      <c r="Z1334" s="31"/>
      <c r="AA1334" s="31"/>
      <c r="AB1334" s="31"/>
      <c r="AC1334" s="31"/>
    </row>
    <row r="1335" spans="19:29" x14ac:dyDescent="0.25">
      <c r="S1335" s="31"/>
      <c r="X1335" s="31"/>
      <c r="Y1335" s="31"/>
      <c r="Z1335" s="31"/>
      <c r="AA1335" s="31"/>
      <c r="AB1335" s="31"/>
      <c r="AC1335" s="31"/>
    </row>
    <row r="1336" spans="19:29" x14ac:dyDescent="0.25">
      <c r="S1336" s="31"/>
      <c r="X1336" s="31"/>
      <c r="Y1336" s="31"/>
      <c r="Z1336" s="31"/>
      <c r="AA1336" s="31"/>
      <c r="AB1336" s="31"/>
      <c r="AC1336" s="31"/>
    </row>
    <row r="1337" spans="19:29" x14ac:dyDescent="0.25">
      <c r="S1337" s="31"/>
      <c r="X1337" s="31"/>
      <c r="Y1337" s="31"/>
      <c r="Z1337" s="31"/>
      <c r="AA1337" s="31"/>
      <c r="AB1337" s="31"/>
      <c r="AC1337" s="31"/>
    </row>
    <row r="1338" spans="19:29" x14ac:dyDescent="0.25">
      <c r="S1338" s="31"/>
      <c r="X1338" s="31"/>
      <c r="Y1338" s="31"/>
      <c r="Z1338" s="31"/>
      <c r="AA1338" s="31"/>
      <c r="AB1338" s="31"/>
      <c r="AC1338" s="31"/>
    </row>
    <row r="1339" spans="19:29" x14ac:dyDescent="0.25">
      <c r="S1339" s="31"/>
      <c r="X1339" s="31"/>
      <c r="Y1339" s="31"/>
      <c r="Z1339" s="31"/>
      <c r="AA1339" s="31"/>
      <c r="AB1339" s="31"/>
      <c r="AC1339" s="31"/>
    </row>
    <row r="1340" spans="19:29" x14ac:dyDescent="0.25">
      <c r="S1340" s="31"/>
      <c r="X1340" s="31"/>
      <c r="Y1340" s="31"/>
      <c r="Z1340" s="31"/>
      <c r="AA1340" s="31"/>
      <c r="AB1340" s="31"/>
      <c r="AC1340" s="31"/>
    </row>
    <row r="1341" spans="19:29" x14ac:dyDescent="0.25">
      <c r="S1341" s="31"/>
      <c r="X1341" s="31"/>
      <c r="Y1341" s="31"/>
      <c r="Z1341" s="31"/>
      <c r="AA1341" s="31"/>
      <c r="AB1341" s="31"/>
      <c r="AC1341" s="31"/>
    </row>
    <row r="1342" spans="19:29" x14ac:dyDescent="0.25">
      <c r="S1342" s="31"/>
      <c r="X1342" s="31"/>
      <c r="Y1342" s="31"/>
      <c r="Z1342" s="31"/>
      <c r="AA1342" s="31"/>
      <c r="AB1342" s="31"/>
      <c r="AC1342" s="31"/>
    </row>
    <row r="1343" spans="19:29" x14ac:dyDescent="0.25">
      <c r="S1343" s="31"/>
      <c r="X1343" s="31"/>
      <c r="Y1343" s="31"/>
      <c r="Z1343" s="31"/>
      <c r="AA1343" s="31"/>
      <c r="AB1343" s="31"/>
      <c r="AC1343" s="31"/>
    </row>
    <row r="1344" spans="19:29" x14ac:dyDescent="0.25">
      <c r="S1344" s="31"/>
      <c r="X1344" s="31"/>
      <c r="Y1344" s="31"/>
      <c r="Z1344" s="31"/>
      <c r="AA1344" s="31"/>
      <c r="AB1344" s="31"/>
      <c r="AC1344" s="31"/>
    </row>
    <row r="1345" spans="19:29" x14ac:dyDescent="0.25">
      <c r="S1345" s="31"/>
      <c r="X1345" s="31"/>
      <c r="Y1345" s="31"/>
      <c r="Z1345" s="31"/>
      <c r="AA1345" s="31"/>
      <c r="AB1345" s="31"/>
      <c r="AC1345" s="31"/>
    </row>
    <row r="1346" spans="19:29" x14ac:dyDescent="0.25">
      <c r="S1346" s="31"/>
      <c r="X1346" s="31"/>
      <c r="Y1346" s="31"/>
      <c r="Z1346" s="31"/>
      <c r="AA1346" s="31"/>
      <c r="AB1346" s="31"/>
      <c r="AC1346" s="31"/>
    </row>
    <row r="1347" spans="19:29" x14ac:dyDescent="0.25">
      <c r="S1347" s="31"/>
      <c r="X1347" s="31"/>
      <c r="Y1347" s="31"/>
      <c r="Z1347" s="31"/>
      <c r="AA1347" s="31"/>
      <c r="AB1347" s="31"/>
      <c r="AC1347" s="31"/>
    </row>
    <row r="1348" spans="19:29" x14ac:dyDescent="0.25">
      <c r="S1348" s="31"/>
      <c r="X1348" s="31"/>
      <c r="Y1348" s="31"/>
      <c r="Z1348" s="31"/>
      <c r="AA1348" s="31"/>
      <c r="AB1348" s="31"/>
      <c r="AC1348" s="31"/>
    </row>
    <row r="1349" spans="19:29" x14ac:dyDescent="0.25">
      <c r="S1349" s="31"/>
      <c r="X1349" s="31"/>
      <c r="Y1349" s="31"/>
      <c r="Z1349" s="31"/>
      <c r="AA1349" s="31"/>
      <c r="AB1349" s="31"/>
      <c r="AC1349" s="31"/>
    </row>
    <row r="1350" spans="19:29" x14ac:dyDescent="0.25">
      <c r="S1350" s="31"/>
      <c r="X1350" s="31"/>
      <c r="Y1350" s="31"/>
      <c r="Z1350" s="31"/>
      <c r="AA1350" s="31"/>
      <c r="AB1350" s="31"/>
      <c r="AC1350" s="31"/>
    </row>
    <row r="1351" spans="19:29" x14ac:dyDescent="0.25">
      <c r="S1351" s="31"/>
      <c r="X1351" s="31"/>
      <c r="Y1351" s="31"/>
      <c r="Z1351" s="31"/>
      <c r="AA1351" s="31"/>
      <c r="AB1351" s="31"/>
      <c r="AC1351" s="31"/>
    </row>
    <row r="1352" spans="19:29" x14ac:dyDescent="0.25">
      <c r="S1352" s="31"/>
      <c r="X1352" s="31"/>
      <c r="Y1352" s="31"/>
      <c r="Z1352" s="31"/>
      <c r="AA1352" s="31"/>
      <c r="AB1352" s="31"/>
      <c r="AC1352" s="31"/>
    </row>
    <row r="1353" spans="19:29" x14ac:dyDescent="0.25">
      <c r="S1353" s="31"/>
      <c r="X1353" s="31"/>
      <c r="Y1353" s="31"/>
      <c r="Z1353" s="31"/>
      <c r="AA1353" s="31"/>
      <c r="AB1353" s="31"/>
      <c r="AC1353" s="31"/>
    </row>
    <row r="1354" spans="19:29" x14ac:dyDescent="0.25">
      <c r="S1354" s="31"/>
      <c r="X1354" s="31"/>
      <c r="Y1354" s="31"/>
      <c r="Z1354" s="31"/>
      <c r="AA1354" s="31"/>
      <c r="AB1354" s="31"/>
      <c r="AC1354" s="31"/>
    </row>
    <row r="1355" spans="19:29" x14ac:dyDescent="0.25">
      <c r="S1355" s="31"/>
      <c r="X1355" s="31"/>
      <c r="Y1355" s="31"/>
      <c r="Z1355" s="31"/>
      <c r="AA1355" s="31"/>
      <c r="AB1355" s="31"/>
      <c r="AC1355" s="31"/>
    </row>
    <row r="1356" spans="19:29" x14ac:dyDescent="0.25">
      <c r="S1356" s="31"/>
      <c r="X1356" s="31"/>
      <c r="Y1356" s="31"/>
      <c r="Z1356" s="31"/>
      <c r="AA1356" s="31"/>
      <c r="AB1356" s="31"/>
      <c r="AC1356" s="31"/>
    </row>
    <row r="1357" spans="19:29" x14ac:dyDescent="0.25">
      <c r="S1357" s="31"/>
      <c r="X1357" s="31"/>
      <c r="Y1357" s="31"/>
      <c r="Z1357" s="31"/>
      <c r="AA1357" s="31"/>
      <c r="AB1357" s="31"/>
      <c r="AC1357" s="31"/>
    </row>
    <row r="1358" spans="19:29" x14ac:dyDescent="0.25">
      <c r="S1358" s="31"/>
      <c r="X1358" s="31"/>
      <c r="Y1358" s="31"/>
      <c r="Z1358" s="31"/>
      <c r="AA1358" s="31"/>
      <c r="AB1358" s="31"/>
      <c r="AC1358" s="31"/>
    </row>
    <row r="1359" spans="19:29" x14ac:dyDescent="0.25">
      <c r="S1359" s="31"/>
      <c r="X1359" s="31"/>
      <c r="Y1359" s="31"/>
      <c r="Z1359" s="31"/>
      <c r="AA1359" s="31"/>
      <c r="AB1359" s="31"/>
      <c r="AC1359" s="31"/>
    </row>
    <row r="1360" spans="19:29" x14ac:dyDescent="0.25">
      <c r="S1360" s="31"/>
      <c r="X1360" s="31"/>
      <c r="Y1360" s="31"/>
      <c r="Z1360" s="31"/>
      <c r="AA1360" s="31"/>
      <c r="AB1360" s="31"/>
      <c r="AC1360" s="31"/>
    </row>
    <row r="1361" spans="19:29" x14ac:dyDescent="0.25">
      <c r="S1361" s="31"/>
      <c r="X1361" s="31"/>
      <c r="Y1361" s="31"/>
      <c r="Z1361" s="31"/>
      <c r="AA1361" s="31"/>
      <c r="AB1361" s="31"/>
      <c r="AC1361" s="31"/>
    </row>
    <row r="1362" spans="19:29" x14ac:dyDescent="0.25">
      <c r="S1362" s="31"/>
      <c r="X1362" s="31"/>
      <c r="Y1362" s="31"/>
      <c r="Z1362" s="31"/>
      <c r="AA1362" s="31"/>
      <c r="AB1362" s="31"/>
      <c r="AC1362" s="31"/>
    </row>
    <row r="1363" spans="19:29" x14ac:dyDescent="0.25">
      <c r="S1363" s="31"/>
      <c r="X1363" s="31"/>
      <c r="Y1363" s="31"/>
      <c r="Z1363" s="31"/>
      <c r="AA1363" s="31"/>
      <c r="AB1363" s="31"/>
      <c r="AC1363" s="31"/>
    </row>
    <row r="1364" spans="19:29" x14ac:dyDescent="0.25">
      <c r="S1364" s="31"/>
      <c r="X1364" s="31"/>
      <c r="Y1364" s="31"/>
      <c r="Z1364" s="31"/>
      <c r="AA1364" s="31"/>
      <c r="AB1364" s="31"/>
      <c r="AC1364" s="31"/>
    </row>
    <row r="1365" spans="19:29" x14ac:dyDescent="0.25">
      <c r="S1365" s="31"/>
      <c r="X1365" s="31"/>
      <c r="Y1365" s="31"/>
      <c r="Z1365" s="31"/>
      <c r="AA1365" s="31"/>
      <c r="AB1365" s="31"/>
      <c r="AC1365" s="31"/>
    </row>
    <row r="1366" spans="19:29" x14ac:dyDescent="0.25">
      <c r="S1366" s="31"/>
      <c r="X1366" s="31"/>
      <c r="Y1366" s="31"/>
      <c r="Z1366" s="31"/>
      <c r="AA1366" s="31"/>
      <c r="AB1366" s="31"/>
      <c r="AC1366" s="31"/>
    </row>
    <row r="1367" spans="19:29" x14ac:dyDescent="0.25">
      <c r="S1367" s="31"/>
      <c r="X1367" s="31"/>
      <c r="Y1367" s="31"/>
      <c r="Z1367" s="31"/>
      <c r="AA1367" s="31"/>
      <c r="AB1367" s="31"/>
      <c r="AC1367" s="31"/>
    </row>
    <row r="1368" spans="19:29" x14ac:dyDescent="0.25">
      <c r="S1368" s="31"/>
      <c r="X1368" s="31"/>
      <c r="Y1368" s="31"/>
      <c r="Z1368" s="31"/>
      <c r="AA1368" s="31"/>
      <c r="AB1368" s="31"/>
      <c r="AC1368" s="31"/>
    </row>
    <row r="1369" spans="19:29" x14ac:dyDescent="0.25">
      <c r="S1369" s="31"/>
      <c r="X1369" s="31"/>
      <c r="Y1369" s="31"/>
      <c r="Z1369" s="31"/>
      <c r="AA1369" s="31"/>
      <c r="AB1369" s="31"/>
      <c r="AC1369" s="31"/>
    </row>
    <row r="1370" spans="19:29" x14ac:dyDescent="0.25">
      <c r="S1370" s="31"/>
      <c r="X1370" s="31"/>
      <c r="Y1370" s="31"/>
      <c r="Z1370" s="31"/>
      <c r="AA1370" s="31"/>
      <c r="AB1370" s="31"/>
      <c r="AC1370" s="31"/>
    </row>
    <row r="1371" spans="19:29" x14ac:dyDescent="0.25">
      <c r="S1371" s="31"/>
      <c r="X1371" s="31"/>
      <c r="Y1371" s="31"/>
      <c r="Z1371" s="31"/>
      <c r="AA1371" s="31"/>
      <c r="AB1371" s="31"/>
      <c r="AC1371" s="31"/>
    </row>
    <row r="1372" spans="19:29" x14ac:dyDescent="0.25">
      <c r="S1372" s="31"/>
      <c r="X1372" s="31"/>
      <c r="Y1372" s="31"/>
      <c r="Z1372" s="31"/>
      <c r="AA1372" s="31"/>
      <c r="AB1372" s="31"/>
      <c r="AC1372" s="31"/>
    </row>
    <row r="1373" spans="19:29" x14ac:dyDescent="0.25">
      <c r="S1373" s="31"/>
      <c r="X1373" s="31"/>
      <c r="Y1373" s="31"/>
      <c r="Z1373" s="31"/>
      <c r="AA1373" s="31"/>
      <c r="AB1373" s="31"/>
      <c r="AC1373" s="31"/>
    </row>
    <row r="1374" spans="19:29" x14ac:dyDescent="0.25">
      <c r="S1374" s="31"/>
      <c r="X1374" s="31"/>
      <c r="Y1374" s="31"/>
      <c r="Z1374" s="31"/>
      <c r="AA1374" s="31"/>
      <c r="AB1374" s="31"/>
      <c r="AC1374" s="31"/>
    </row>
    <row r="1375" spans="19:29" x14ac:dyDescent="0.25">
      <c r="S1375" s="31"/>
      <c r="X1375" s="31"/>
      <c r="Y1375" s="31"/>
      <c r="Z1375" s="31"/>
      <c r="AA1375" s="31"/>
      <c r="AB1375" s="31"/>
      <c r="AC1375" s="31"/>
    </row>
    <row r="1376" spans="19:29" x14ac:dyDescent="0.25">
      <c r="S1376" s="31"/>
      <c r="X1376" s="31"/>
      <c r="Y1376" s="31"/>
      <c r="Z1376" s="31"/>
      <c r="AA1376" s="31"/>
      <c r="AB1376" s="31"/>
      <c r="AC1376" s="31"/>
    </row>
    <row r="1377" spans="19:29" x14ac:dyDescent="0.25">
      <c r="S1377" s="31"/>
      <c r="X1377" s="31"/>
      <c r="Y1377" s="31"/>
      <c r="Z1377" s="31"/>
      <c r="AA1377" s="31"/>
      <c r="AB1377" s="31"/>
      <c r="AC1377" s="31"/>
    </row>
    <row r="1378" spans="19:29" x14ac:dyDescent="0.25">
      <c r="S1378" s="31"/>
      <c r="X1378" s="31"/>
      <c r="Y1378" s="31"/>
      <c r="Z1378" s="31"/>
      <c r="AA1378" s="31"/>
      <c r="AB1378" s="31"/>
      <c r="AC1378" s="31"/>
    </row>
    <row r="1379" spans="19:29" x14ac:dyDescent="0.25">
      <c r="S1379" s="31"/>
      <c r="X1379" s="31"/>
      <c r="Y1379" s="31"/>
      <c r="Z1379" s="31"/>
      <c r="AA1379" s="31"/>
      <c r="AB1379" s="31"/>
      <c r="AC1379" s="31"/>
    </row>
    <row r="1380" spans="19:29" x14ac:dyDescent="0.25">
      <c r="S1380" s="31"/>
      <c r="X1380" s="31"/>
      <c r="Y1380" s="31"/>
      <c r="Z1380" s="31"/>
      <c r="AA1380" s="31"/>
      <c r="AB1380" s="31"/>
      <c r="AC1380" s="31"/>
    </row>
    <row r="1381" spans="19:29" x14ac:dyDescent="0.25">
      <c r="S1381" s="31"/>
      <c r="X1381" s="31"/>
      <c r="Y1381" s="31"/>
      <c r="Z1381" s="31"/>
      <c r="AA1381" s="31"/>
      <c r="AB1381" s="31"/>
      <c r="AC1381" s="31"/>
    </row>
    <row r="1382" spans="19:29" x14ac:dyDescent="0.25">
      <c r="S1382" s="31"/>
      <c r="X1382" s="31"/>
      <c r="Y1382" s="31"/>
      <c r="Z1382" s="31"/>
      <c r="AA1382" s="31"/>
      <c r="AB1382" s="31"/>
      <c r="AC1382" s="31"/>
    </row>
    <row r="1383" spans="19:29" x14ac:dyDescent="0.25">
      <c r="S1383" s="31"/>
      <c r="X1383" s="31"/>
      <c r="Y1383" s="31"/>
      <c r="Z1383" s="31"/>
      <c r="AA1383" s="31"/>
      <c r="AB1383" s="31"/>
      <c r="AC1383" s="31"/>
    </row>
    <row r="1384" spans="19:29" x14ac:dyDescent="0.25">
      <c r="S1384" s="31"/>
      <c r="X1384" s="31"/>
      <c r="Y1384" s="31"/>
      <c r="Z1384" s="31"/>
      <c r="AA1384" s="31"/>
      <c r="AB1384" s="31"/>
      <c r="AC1384" s="31"/>
    </row>
    <row r="1385" spans="19:29" x14ac:dyDescent="0.25">
      <c r="S1385" s="31"/>
      <c r="X1385" s="31"/>
      <c r="Y1385" s="31"/>
      <c r="Z1385" s="31"/>
      <c r="AA1385" s="31"/>
      <c r="AB1385" s="31"/>
      <c r="AC1385" s="31"/>
    </row>
    <row r="1386" spans="19:29" x14ac:dyDescent="0.25">
      <c r="S1386" s="31"/>
      <c r="X1386" s="31"/>
      <c r="Y1386" s="31"/>
      <c r="Z1386" s="31"/>
      <c r="AA1386" s="31"/>
      <c r="AB1386" s="31"/>
      <c r="AC1386" s="31"/>
    </row>
    <row r="1387" spans="19:29" x14ac:dyDescent="0.25">
      <c r="S1387" s="31"/>
      <c r="X1387" s="31"/>
      <c r="Y1387" s="31"/>
      <c r="Z1387" s="31"/>
      <c r="AA1387" s="31"/>
      <c r="AB1387" s="31"/>
      <c r="AC1387" s="31"/>
    </row>
    <row r="1388" spans="19:29" x14ac:dyDescent="0.25">
      <c r="S1388" s="31"/>
      <c r="X1388" s="31"/>
      <c r="Y1388" s="31"/>
      <c r="Z1388" s="31"/>
      <c r="AA1388" s="31"/>
      <c r="AB1388" s="31"/>
      <c r="AC1388" s="31"/>
    </row>
    <row r="1389" spans="19:29" x14ac:dyDescent="0.25">
      <c r="S1389" s="31"/>
      <c r="X1389" s="31"/>
      <c r="Y1389" s="31"/>
      <c r="Z1389" s="31"/>
      <c r="AA1389" s="31"/>
      <c r="AB1389" s="31"/>
      <c r="AC1389" s="31"/>
    </row>
    <row r="1390" spans="19:29" x14ac:dyDescent="0.25">
      <c r="S1390" s="31"/>
      <c r="X1390" s="31"/>
      <c r="Y1390" s="31"/>
      <c r="Z1390" s="31"/>
      <c r="AA1390" s="31"/>
      <c r="AB1390" s="31"/>
      <c r="AC1390" s="31"/>
    </row>
    <row r="1391" spans="19:29" x14ac:dyDescent="0.25">
      <c r="S1391" s="31"/>
      <c r="X1391" s="31"/>
      <c r="Y1391" s="31"/>
      <c r="Z1391" s="31"/>
      <c r="AA1391" s="31"/>
      <c r="AB1391" s="31"/>
      <c r="AC1391" s="31"/>
    </row>
    <row r="1392" spans="19:29" x14ac:dyDescent="0.25">
      <c r="S1392" s="31"/>
      <c r="X1392" s="31"/>
      <c r="Y1392" s="31"/>
      <c r="Z1392" s="31"/>
      <c r="AA1392" s="31"/>
      <c r="AB1392" s="31"/>
      <c r="AC1392" s="31"/>
    </row>
    <row r="1393" spans="19:29" x14ac:dyDescent="0.25">
      <c r="S1393" s="31"/>
      <c r="X1393" s="31"/>
      <c r="Y1393" s="31"/>
      <c r="Z1393" s="31"/>
      <c r="AA1393" s="31"/>
      <c r="AB1393" s="31"/>
      <c r="AC1393" s="31"/>
    </row>
    <row r="1394" spans="19:29" x14ac:dyDescent="0.25">
      <c r="S1394" s="31"/>
      <c r="X1394" s="31"/>
      <c r="Y1394" s="31"/>
      <c r="Z1394" s="31"/>
      <c r="AA1394" s="31"/>
      <c r="AB1394" s="31"/>
      <c r="AC1394" s="31"/>
    </row>
    <row r="1395" spans="19:29" x14ac:dyDescent="0.25">
      <c r="S1395" s="31"/>
      <c r="X1395" s="31"/>
      <c r="Y1395" s="31"/>
      <c r="Z1395" s="31"/>
      <c r="AA1395" s="31"/>
      <c r="AB1395" s="31"/>
      <c r="AC1395" s="31"/>
    </row>
    <row r="1396" spans="19:29" x14ac:dyDescent="0.25">
      <c r="S1396" s="31"/>
      <c r="X1396" s="31"/>
      <c r="Y1396" s="31"/>
      <c r="Z1396" s="31"/>
      <c r="AA1396" s="31"/>
      <c r="AB1396" s="31"/>
      <c r="AC1396" s="31"/>
    </row>
    <row r="1397" spans="19:29" x14ac:dyDescent="0.25">
      <c r="S1397" s="31"/>
      <c r="X1397" s="31"/>
      <c r="Y1397" s="31"/>
      <c r="Z1397" s="31"/>
      <c r="AA1397" s="31"/>
      <c r="AB1397" s="31"/>
      <c r="AC1397" s="31"/>
    </row>
    <row r="1398" spans="19:29" x14ac:dyDescent="0.25">
      <c r="S1398" s="31"/>
      <c r="X1398" s="31"/>
      <c r="Y1398" s="31"/>
      <c r="Z1398" s="31"/>
      <c r="AA1398" s="31"/>
      <c r="AB1398" s="31"/>
      <c r="AC1398" s="31"/>
    </row>
    <row r="1399" spans="19:29" x14ac:dyDescent="0.25">
      <c r="S1399" s="31"/>
      <c r="X1399" s="31"/>
      <c r="Y1399" s="31"/>
      <c r="Z1399" s="31"/>
      <c r="AA1399" s="31"/>
      <c r="AB1399" s="31"/>
      <c r="AC1399" s="31"/>
    </row>
    <row r="1400" spans="19:29" x14ac:dyDescent="0.25">
      <c r="S1400" s="31"/>
      <c r="X1400" s="31"/>
      <c r="Y1400" s="31"/>
      <c r="Z1400" s="31"/>
      <c r="AA1400" s="31"/>
      <c r="AB1400" s="31"/>
      <c r="AC1400" s="31"/>
    </row>
    <row r="1401" spans="19:29" x14ac:dyDescent="0.25">
      <c r="S1401" s="31"/>
      <c r="X1401" s="31"/>
      <c r="Y1401" s="31"/>
      <c r="Z1401" s="31"/>
      <c r="AA1401" s="31"/>
      <c r="AB1401" s="31"/>
      <c r="AC1401" s="31"/>
    </row>
    <row r="1402" spans="19:29" x14ac:dyDescent="0.25">
      <c r="S1402" s="31"/>
      <c r="X1402" s="31"/>
      <c r="Y1402" s="31"/>
      <c r="Z1402" s="31"/>
      <c r="AA1402" s="31"/>
      <c r="AB1402" s="31"/>
      <c r="AC1402" s="31"/>
    </row>
    <row r="1403" spans="19:29" x14ac:dyDescent="0.25">
      <c r="S1403" s="31"/>
      <c r="X1403" s="31"/>
      <c r="Y1403" s="31"/>
      <c r="Z1403" s="31"/>
      <c r="AA1403" s="31"/>
      <c r="AB1403" s="31"/>
      <c r="AC1403" s="31"/>
    </row>
    <row r="1404" spans="19:29" x14ac:dyDescent="0.25">
      <c r="S1404" s="31"/>
      <c r="X1404" s="31"/>
      <c r="Y1404" s="31"/>
      <c r="Z1404" s="31"/>
      <c r="AA1404" s="31"/>
      <c r="AB1404" s="31"/>
      <c r="AC1404" s="31"/>
    </row>
    <row r="1405" spans="19:29" x14ac:dyDescent="0.25">
      <c r="S1405" s="31"/>
      <c r="X1405" s="31"/>
      <c r="Y1405" s="31"/>
      <c r="Z1405" s="31"/>
      <c r="AA1405" s="31"/>
      <c r="AB1405" s="31"/>
      <c r="AC1405" s="31"/>
    </row>
    <row r="1406" spans="19:29" x14ac:dyDescent="0.25">
      <c r="S1406" s="31"/>
      <c r="X1406" s="31"/>
      <c r="Y1406" s="31"/>
      <c r="Z1406" s="31"/>
      <c r="AA1406" s="31"/>
      <c r="AB1406" s="31"/>
      <c r="AC1406" s="31"/>
    </row>
    <row r="1407" spans="19:29" x14ac:dyDescent="0.25">
      <c r="S1407" s="31"/>
      <c r="X1407" s="31"/>
      <c r="Y1407" s="31"/>
      <c r="Z1407" s="31"/>
      <c r="AA1407" s="31"/>
      <c r="AB1407" s="31"/>
      <c r="AC1407" s="31"/>
    </row>
    <row r="1408" spans="19:29" x14ac:dyDescent="0.25">
      <c r="S1408" s="31"/>
      <c r="X1408" s="31"/>
      <c r="Y1408" s="31"/>
      <c r="Z1408" s="31"/>
      <c r="AA1408" s="31"/>
      <c r="AB1408" s="31"/>
      <c r="AC1408" s="31"/>
    </row>
    <row r="1409" spans="19:29" x14ac:dyDescent="0.25">
      <c r="S1409" s="31"/>
      <c r="X1409" s="31"/>
      <c r="Y1409" s="31"/>
      <c r="Z1409" s="31"/>
      <c r="AA1409" s="31"/>
      <c r="AB1409" s="31"/>
      <c r="AC1409" s="31"/>
    </row>
    <row r="1410" spans="19:29" x14ac:dyDescent="0.25">
      <c r="S1410" s="31"/>
      <c r="X1410" s="31"/>
      <c r="Y1410" s="31"/>
      <c r="Z1410" s="31"/>
      <c r="AA1410" s="31"/>
      <c r="AB1410" s="31"/>
      <c r="AC1410" s="31"/>
    </row>
    <row r="1411" spans="19:29" x14ac:dyDescent="0.25">
      <c r="S1411" s="31"/>
      <c r="X1411" s="31"/>
      <c r="Y1411" s="31"/>
      <c r="Z1411" s="31"/>
      <c r="AA1411" s="31"/>
      <c r="AB1411" s="31"/>
      <c r="AC1411" s="31"/>
    </row>
    <row r="1412" spans="19:29" x14ac:dyDescent="0.25">
      <c r="S1412" s="31"/>
      <c r="X1412" s="31"/>
      <c r="Y1412" s="31"/>
      <c r="Z1412" s="31"/>
      <c r="AA1412" s="31"/>
      <c r="AB1412" s="31"/>
      <c r="AC1412" s="31"/>
    </row>
    <row r="1413" spans="19:29" x14ac:dyDescent="0.25">
      <c r="S1413" s="31"/>
      <c r="X1413" s="31"/>
      <c r="Y1413" s="31"/>
      <c r="Z1413" s="31"/>
      <c r="AA1413" s="31"/>
      <c r="AB1413" s="31"/>
      <c r="AC1413" s="31"/>
    </row>
    <row r="1414" spans="19:29" x14ac:dyDescent="0.25">
      <c r="S1414" s="31"/>
      <c r="X1414" s="31"/>
      <c r="Y1414" s="31"/>
      <c r="Z1414" s="31"/>
      <c r="AA1414" s="31"/>
      <c r="AB1414" s="31"/>
      <c r="AC1414" s="31"/>
    </row>
    <row r="1415" spans="19:29" x14ac:dyDescent="0.25">
      <c r="S1415" s="31"/>
      <c r="X1415" s="31"/>
      <c r="Y1415" s="31"/>
      <c r="Z1415" s="31"/>
      <c r="AA1415" s="31"/>
      <c r="AB1415" s="31"/>
      <c r="AC1415" s="31"/>
    </row>
    <row r="1416" spans="19:29" x14ac:dyDescent="0.25">
      <c r="S1416" s="31"/>
      <c r="X1416" s="31"/>
      <c r="Y1416" s="31"/>
      <c r="Z1416" s="31"/>
      <c r="AA1416" s="31"/>
      <c r="AB1416" s="31"/>
      <c r="AC1416" s="31"/>
    </row>
    <row r="1417" spans="19:29" x14ac:dyDescent="0.25">
      <c r="S1417" s="31"/>
      <c r="X1417" s="31"/>
      <c r="Y1417" s="31"/>
      <c r="Z1417" s="31"/>
      <c r="AA1417" s="31"/>
      <c r="AB1417" s="31"/>
      <c r="AC1417" s="31"/>
    </row>
    <row r="1418" spans="19:29" x14ac:dyDescent="0.25">
      <c r="S1418" s="31"/>
      <c r="X1418" s="31"/>
      <c r="Y1418" s="31"/>
      <c r="Z1418" s="31"/>
      <c r="AA1418" s="31"/>
      <c r="AB1418" s="31"/>
      <c r="AC1418" s="31"/>
    </row>
    <row r="1419" spans="19:29" x14ac:dyDescent="0.25">
      <c r="S1419" s="31"/>
      <c r="X1419" s="31"/>
      <c r="Y1419" s="31"/>
      <c r="Z1419" s="31"/>
      <c r="AA1419" s="31"/>
      <c r="AB1419" s="31"/>
      <c r="AC1419" s="31"/>
    </row>
    <row r="1420" spans="19:29" x14ac:dyDescent="0.25">
      <c r="S1420" s="31"/>
      <c r="X1420" s="31"/>
      <c r="Y1420" s="31"/>
      <c r="Z1420" s="31"/>
      <c r="AA1420" s="31"/>
      <c r="AB1420" s="31"/>
      <c r="AC1420" s="31"/>
    </row>
    <row r="1421" spans="19:29" x14ac:dyDescent="0.25">
      <c r="S1421" s="31"/>
      <c r="X1421" s="31"/>
      <c r="Y1421" s="31"/>
      <c r="Z1421" s="31"/>
      <c r="AA1421" s="31"/>
      <c r="AB1421" s="31"/>
      <c r="AC1421" s="31"/>
    </row>
    <row r="1422" spans="19:29" x14ac:dyDescent="0.25">
      <c r="S1422" s="31"/>
      <c r="X1422" s="31"/>
      <c r="Y1422" s="31"/>
      <c r="Z1422" s="31"/>
      <c r="AA1422" s="31"/>
      <c r="AB1422" s="31"/>
      <c r="AC1422" s="31"/>
    </row>
    <row r="1423" spans="19:29" x14ac:dyDescent="0.25">
      <c r="S1423" s="31"/>
      <c r="X1423" s="31"/>
      <c r="Y1423" s="31"/>
      <c r="Z1423" s="31"/>
      <c r="AA1423" s="31"/>
      <c r="AB1423" s="31"/>
      <c r="AC1423" s="31"/>
    </row>
    <row r="1424" spans="19:29" x14ac:dyDescent="0.25">
      <c r="S1424" s="31"/>
      <c r="X1424" s="31"/>
      <c r="Y1424" s="31"/>
      <c r="Z1424" s="31"/>
      <c r="AA1424" s="31"/>
      <c r="AB1424" s="31"/>
      <c r="AC1424" s="31"/>
    </row>
    <row r="1425" spans="19:29" x14ac:dyDescent="0.25">
      <c r="S1425" s="31"/>
      <c r="X1425" s="31"/>
      <c r="Y1425" s="31"/>
      <c r="Z1425" s="31"/>
      <c r="AA1425" s="31"/>
      <c r="AB1425" s="31"/>
      <c r="AC1425" s="31"/>
    </row>
    <row r="1426" spans="19:29" x14ac:dyDescent="0.25">
      <c r="S1426" s="31"/>
      <c r="X1426" s="31"/>
      <c r="Y1426" s="31"/>
      <c r="Z1426" s="31"/>
      <c r="AA1426" s="31"/>
      <c r="AB1426" s="31"/>
      <c r="AC1426" s="31"/>
    </row>
    <row r="1427" spans="19:29" x14ac:dyDescent="0.25">
      <c r="S1427" s="31"/>
      <c r="X1427" s="31"/>
      <c r="Y1427" s="31"/>
      <c r="Z1427" s="31"/>
      <c r="AA1427" s="31"/>
      <c r="AB1427" s="31"/>
      <c r="AC1427" s="31"/>
    </row>
    <row r="1428" spans="19:29" x14ac:dyDescent="0.25">
      <c r="S1428" s="31"/>
      <c r="X1428" s="31"/>
      <c r="Y1428" s="31"/>
      <c r="Z1428" s="31"/>
      <c r="AA1428" s="31"/>
      <c r="AB1428" s="31"/>
      <c r="AC1428" s="31"/>
    </row>
    <row r="1429" spans="19:29" x14ac:dyDescent="0.25">
      <c r="S1429" s="31"/>
      <c r="X1429" s="31"/>
      <c r="Y1429" s="31"/>
      <c r="Z1429" s="31"/>
      <c r="AA1429" s="31"/>
      <c r="AB1429" s="31"/>
      <c r="AC1429" s="31"/>
    </row>
    <row r="1430" spans="19:29" x14ac:dyDescent="0.25">
      <c r="S1430" s="31"/>
      <c r="X1430" s="31"/>
      <c r="Y1430" s="31"/>
      <c r="Z1430" s="31"/>
      <c r="AA1430" s="31"/>
      <c r="AB1430" s="31"/>
      <c r="AC1430" s="31"/>
    </row>
    <row r="1431" spans="19:29" x14ac:dyDescent="0.25">
      <c r="S1431" s="31"/>
      <c r="X1431" s="31"/>
      <c r="Y1431" s="31"/>
      <c r="Z1431" s="31"/>
      <c r="AA1431" s="31"/>
      <c r="AB1431" s="31"/>
      <c r="AC1431" s="31"/>
    </row>
    <row r="1432" spans="19:29" x14ac:dyDescent="0.25">
      <c r="S1432" s="31"/>
      <c r="X1432" s="31"/>
      <c r="Y1432" s="31"/>
      <c r="Z1432" s="31"/>
      <c r="AA1432" s="31"/>
      <c r="AB1432" s="31"/>
      <c r="AC1432" s="31"/>
    </row>
    <row r="1433" spans="19:29" x14ac:dyDescent="0.25">
      <c r="S1433" s="31"/>
      <c r="X1433" s="31"/>
      <c r="Y1433" s="31"/>
      <c r="Z1433" s="31"/>
      <c r="AA1433" s="31"/>
      <c r="AB1433" s="31"/>
      <c r="AC1433" s="31"/>
    </row>
    <row r="1434" spans="19:29" x14ac:dyDescent="0.25">
      <c r="S1434" s="31"/>
      <c r="X1434" s="31"/>
      <c r="Y1434" s="31"/>
      <c r="Z1434" s="31"/>
      <c r="AA1434" s="31"/>
      <c r="AB1434" s="31"/>
      <c r="AC1434" s="31"/>
    </row>
    <row r="1435" spans="19:29" x14ac:dyDescent="0.25">
      <c r="S1435" s="31"/>
      <c r="X1435" s="31"/>
      <c r="Y1435" s="31"/>
      <c r="Z1435" s="31"/>
      <c r="AA1435" s="31"/>
      <c r="AB1435" s="31"/>
      <c r="AC1435" s="31"/>
    </row>
    <row r="1436" spans="19:29" x14ac:dyDescent="0.25">
      <c r="S1436" s="31"/>
      <c r="X1436" s="31"/>
      <c r="Y1436" s="31"/>
      <c r="Z1436" s="31"/>
      <c r="AA1436" s="31"/>
      <c r="AB1436" s="31"/>
      <c r="AC1436" s="31"/>
    </row>
    <row r="1437" spans="19:29" x14ac:dyDescent="0.25">
      <c r="S1437" s="31"/>
      <c r="X1437" s="31"/>
      <c r="Y1437" s="31"/>
      <c r="Z1437" s="31"/>
      <c r="AA1437" s="31"/>
      <c r="AB1437" s="31"/>
      <c r="AC1437" s="31"/>
    </row>
    <row r="1438" spans="19:29" x14ac:dyDescent="0.25">
      <c r="S1438" s="31"/>
      <c r="X1438" s="31"/>
      <c r="Y1438" s="31"/>
      <c r="Z1438" s="31"/>
      <c r="AA1438" s="31"/>
      <c r="AB1438" s="31"/>
      <c r="AC1438" s="31"/>
    </row>
    <row r="1439" spans="19:29" x14ac:dyDescent="0.25">
      <c r="S1439" s="31"/>
      <c r="X1439" s="31"/>
      <c r="Y1439" s="31"/>
      <c r="Z1439" s="31"/>
      <c r="AA1439" s="31"/>
      <c r="AB1439" s="31"/>
      <c r="AC1439" s="31"/>
    </row>
    <row r="1440" spans="19:29" x14ac:dyDescent="0.25">
      <c r="S1440" s="31"/>
      <c r="X1440" s="31"/>
      <c r="Y1440" s="31"/>
      <c r="Z1440" s="31"/>
      <c r="AA1440" s="31"/>
      <c r="AB1440" s="31"/>
      <c r="AC1440" s="31"/>
    </row>
    <row r="1441" spans="19:29" x14ac:dyDescent="0.25">
      <c r="S1441" s="31"/>
      <c r="X1441" s="31"/>
      <c r="Y1441" s="31"/>
      <c r="Z1441" s="31"/>
      <c r="AA1441" s="31"/>
      <c r="AB1441" s="31"/>
      <c r="AC1441" s="31"/>
    </row>
    <row r="1442" spans="19:29" x14ac:dyDescent="0.25">
      <c r="S1442" s="31"/>
      <c r="X1442" s="31"/>
      <c r="Y1442" s="31"/>
      <c r="Z1442" s="31"/>
      <c r="AA1442" s="31"/>
      <c r="AB1442" s="31"/>
      <c r="AC1442" s="31"/>
    </row>
    <row r="1443" spans="19:29" x14ac:dyDescent="0.25">
      <c r="S1443" s="31"/>
      <c r="X1443" s="31"/>
      <c r="Y1443" s="31"/>
      <c r="Z1443" s="31"/>
      <c r="AA1443" s="31"/>
      <c r="AB1443" s="31"/>
      <c r="AC1443" s="31"/>
    </row>
    <row r="1444" spans="19:29" x14ac:dyDescent="0.25">
      <c r="S1444" s="31"/>
      <c r="X1444" s="31"/>
      <c r="Y1444" s="31"/>
      <c r="Z1444" s="31"/>
      <c r="AA1444" s="31"/>
      <c r="AB1444" s="31"/>
      <c r="AC1444" s="31"/>
    </row>
    <row r="1445" spans="19:29" x14ac:dyDescent="0.25">
      <c r="S1445" s="31"/>
      <c r="X1445" s="31"/>
      <c r="Y1445" s="31"/>
      <c r="Z1445" s="31"/>
      <c r="AA1445" s="31"/>
      <c r="AB1445" s="31"/>
      <c r="AC1445" s="31"/>
    </row>
    <row r="1446" spans="19:29" x14ac:dyDescent="0.25">
      <c r="S1446" s="31"/>
      <c r="X1446" s="31"/>
      <c r="Y1446" s="31"/>
      <c r="Z1446" s="31"/>
      <c r="AA1446" s="31"/>
      <c r="AB1446" s="31"/>
      <c r="AC1446" s="31"/>
    </row>
    <row r="1447" spans="19:29" x14ac:dyDescent="0.25">
      <c r="S1447" s="31"/>
      <c r="X1447" s="31"/>
      <c r="Y1447" s="31"/>
      <c r="Z1447" s="31"/>
      <c r="AA1447" s="31"/>
      <c r="AB1447" s="31"/>
      <c r="AC1447" s="31"/>
    </row>
    <row r="1448" spans="19:29" x14ac:dyDescent="0.25">
      <c r="S1448" s="31"/>
      <c r="X1448" s="31"/>
      <c r="Y1448" s="31"/>
      <c r="Z1448" s="31"/>
      <c r="AA1448" s="31"/>
      <c r="AB1448" s="31"/>
      <c r="AC1448" s="31"/>
    </row>
    <row r="1449" spans="19:29" x14ac:dyDescent="0.25">
      <c r="S1449" s="31"/>
      <c r="X1449" s="31"/>
      <c r="Y1449" s="31"/>
      <c r="Z1449" s="31"/>
      <c r="AA1449" s="31"/>
      <c r="AB1449" s="31"/>
      <c r="AC1449" s="31"/>
    </row>
    <row r="1450" spans="19:29" x14ac:dyDescent="0.25">
      <c r="S1450" s="31"/>
      <c r="X1450" s="31"/>
      <c r="Y1450" s="31"/>
      <c r="Z1450" s="31"/>
      <c r="AA1450" s="31"/>
      <c r="AB1450" s="31"/>
      <c r="AC1450" s="31"/>
    </row>
    <row r="1451" spans="19:29" x14ac:dyDescent="0.25">
      <c r="S1451" s="31"/>
      <c r="X1451" s="31"/>
      <c r="Y1451" s="31"/>
      <c r="Z1451" s="31"/>
      <c r="AA1451" s="31"/>
      <c r="AB1451" s="31"/>
      <c r="AC1451" s="31"/>
    </row>
    <row r="1452" spans="19:29" x14ac:dyDescent="0.25">
      <c r="S1452" s="31"/>
      <c r="X1452" s="31"/>
      <c r="Y1452" s="31"/>
      <c r="Z1452" s="31"/>
      <c r="AA1452" s="31"/>
      <c r="AB1452" s="31"/>
      <c r="AC1452" s="31"/>
    </row>
    <row r="1453" spans="19:29" x14ac:dyDescent="0.25">
      <c r="S1453" s="31"/>
      <c r="X1453" s="31"/>
      <c r="Y1453" s="31"/>
      <c r="Z1453" s="31"/>
      <c r="AA1453" s="31"/>
      <c r="AB1453" s="31"/>
      <c r="AC1453" s="31"/>
    </row>
    <row r="1454" spans="19:29" x14ac:dyDescent="0.25">
      <c r="S1454" s="31"/>
      <c r="X1454" s="31"/>
      <c r="Y1454" s="31"/>
      <c r="Z1454" s="31"/>
      <c r="AA1454" s="31"/>
      <c r="AB1454" s="31"/>
      <c r="AC1454" s="31"/>
    </row>
    <row r="1455" spans="19:29" x14ac:dyDescent="0.25">
      <c r="S1455" s="31"/>
      <c r="X1455" s="31"/>
      <c r="Y1455" s="31"/>
      <c r="Z1455" s="31"/>
      <c r="AA1455" s="31"/>
      <c r="AB1455" s="31"/>
      <c r="AC1455" s="31"/>
    </row>
    <row r="1456" spans="19:29" x14ac:dyDescent="0.25">
      <c r="S1456" s="31"/>
      <c r="X1456" s="31"/>
      <c r="Y1456" s="31"/>
      <c r="Z1456" s="31"/>
      <c r="AA1456" s="31"/>
      <c r="AB1456" s="31"/>
      <c r="AC1456" s="31"/>
    </row>
    <row r="1457" spans="19:29" x14ac:dyDescent="0.25">
      <c r="S1457" s="31"/>
      <c r="X1457" s="31"/>
      <c r="Y1457" s="31"/>
      <c r="Z1457" s="31"/>
      <c r="AA1457" s="31"/>
      <c r="AB1457" s="31"/>
      <c r="AC1457" s="31"/>
    </row>
    <row r="1458" spans="19:29" x14ac:dyDescent="0.25">
      <c r="S1458" s="31"/>
      <c r="X1458" s="31"/>
      <c r="Y1458" s="31"/>
      <c r="Z1458" s="31"/>
      <c r="AA1458" s="31"/>
      <c r="AB1458" s="31"/>
      <c r="AC1458" s="31"/>
    </row>
    <row r="1459" spans="19:29" x14ac:dyDescent="0.25">
      <c r="S1459" s="31"/>
      <c r="X1459" s="31"/>
      <c r="Y1459" s="31"/>
      <c r="Z1459" s="31"/>
      <c r="AA1459" s="31"/>
      <c r="AB1459" s="31"/>
      <c r="AC1459" s="31"/>
    </row>
    <row r="1460" spans="19:29" x14ac:dyDescent="0.25">
      <c r="S1460" s="31"/>
      <c r="X1460" s="31"/>
      <c r="Y1460" s="31"/>
      <c r="Z1460" s="31"/>
      <c r="AA1460" s="31"/>
      <c r="AB1460" s="31"/>
      <c r="AC1460" s="31"/>
    </row>
    <row r="1461" spans="19:29" x14ac:dyDescent="0.25">
      <c r="S1461" s="31"/>
      <c r="X1461" s="31"/>
      <c r="Y1461" s="31"/>
      <c r="Z1461" s="31"/>
      <c r="AA1461" s="31"/>
      <c r="AB1461" s="31"/>
      <c r="AC1461" s="31"/>
    </row>
    <row r="1462" spans="19:29" x14ac:dyDescent="0.25">
      <c r="S1462" s="31"/>
      <c r="X1462" s="31"/>
      <c r="Y1462" s="31"/>
      <c r="Z1462" s="31"/>
      <c r="AA1462" s="31"/>
      <c r="AB1462" s="31"/>
      <c r="AC1462" s="31"/>
    </row>
    <row r="1463" spans="19:29" x14ac:dyDescent="0.25">
      <c r="S1463" s="31"/>
      <c r="X1463" s="31"/>
      <c r="Y1463" s="31"/>
      <c r="Z1463" s="31"/>
      <c r="AA1463" s="31"/>
      <c r="AB1463" s="31"/>
      <c r="AC1463" s="31"/>
    </row>
    <row r="1464" spans="19:29" x14ac:dyDescent="0.25">
      <c r="S1464" s="31"/>
      <c r="X1464" s="31"/>
      <c r="Y1464" s="31"/>
      <c r="Z1464" s="31"/>
      <c r="AA1464" s="31"/>
      <c r="AB1464" s="31"/>
      <c r="AC1464" s="31"/>
    </row>
    <row r="1465" spans="19:29" x14ac:dyDescent="0.25">
      <c r="S1465" s="31"/>
      <c r="X1465" s="31"/>
      <c r="Y1465" s="31"/>
      <c r="Z1465" s="31"/>
      <c r="AA1465" s="31"/>
      <c r="AB1465" s="31"/>
      <c r="AC1465" s="31"/>
    </row>
    <row r="1466" spans="19:29" x14ac:dyDescent="0.25">
      <c r="S1466" s="31"/>
      <c r="X1466" s="31"/>
      <c r="Y1466" s="31"/>
      <c r="Z1466" s="31"/>
      <c r="AA1466" s="31"/>
      <c r="AB1466" s="31"/>
      <c r="AC1466" s="31"/>
    </row>
    <row r="1467" spans="19:29" x14ac:dyDescent="0.25">
      <c r="S1467" s="31"/>
      <c r="X1467" s="31"/>
      <c r="Y1467" s="31"/>
      <c r="Z1467" s="31"/>
      <c r="AA1467" s="31"/>
      <c r="AB1467" s="31"/>
      <c r="AC1467" s="31"/>
    </row>
    <row r="1468" spans="19:29" x14ac:dyDescent="0.25">
      <c r="S1468" s="31"/>
      <c r="X1468" s="31"/>
      <c r="Y1468" s="31"/>
      <c r="Z1468" s="31"/>
      <c r="AA1468" s="31"/>
      <c r="AB1468" s="31"/>
      <c r="AC1468" s="31"/>
    </row>
    <row r="1469" spans="19:29" x14ac:dyDescent="0.25">
      <c r="S1469" s="31"/>
      <c r="X1469" s="31"/>
      <c r="Y1469" s="31"/>
      <c r="Z1469" s="31"/>
      <c r="AA1469" s="31"/>
      <c r="AB1469" s="31"/>
      <c r="AC1469" s="31"/>
    </row>
    <row r="1470" spans="19:29" x14ac:dyDescent="0.25">
      <c r="S1470" s="31"/>
      <c r="X1470" s="31"/>
      <c r="Y1470" s="31"/>
      <c r="Z1470" s="31"/>
      <c r="AA1470" s="31"/>
      <c r="AB1470" s="31"/>
      <c r="AC1470" s="31"/>
    </row>
    <row r="1471" spans="19:29" x14ac:dyDescent="0.25">
      <c r="S1471" s="31"/>
      <c r="X1471" s="31"/>
      <c r="Y1471" s="31"/>
      <c r="Z1471" s="31"/>
      <c r="AA1471" s="31"/>
      <c r="AB1471" s="31"/>
      <c r="AC1471" s="31"/>
    </row>
    <row r="1472" spans="19:29" x14ac:dyDescent="0.25">
      <c r="S1472" s="31"/>
      <c r="X1472" s="31"/>
      <c r="Y1472" s="31"/>
      <c r="Z1472" s="31"/>
      <c r="AA1472" s="31"/>
      <c r="AB1472" s="31"/>
      <c r="AC1472" s="31"/>
    </row>
    <row r="1473" spans="19:29" x14ac:dyDescent="0.25">
      <c r="S1473" s="31"/>
      <c r="X1473" s="31"/>
      <c r="Y1473" s="31"/>
      <c r="Z1473" s="31"/>
      <c r="AA1473" s="31"/>
      <c r="AB1473" s="31"/>
      <c r="AC1473" s="31"/>
    </row>
    <row r="1474" spans="19:29" x14ac:dyDescent="0.25">
      <c r="S1474" s="31"/>
      <c r="X1474" s="31"/>
      <c r="Y1474" s="31"/>
      <c r="Z1474" s="31"/>
      <c r="AA1474" s="31"/>
      <c r="AB1474" s="31"/>
      <c r="AC1474" s="31"/>
    </row>
    <row r="1475" spans="19:29" x14ac:dyDescent="0.25">
      <c r="S1475" s="31"/>
      <c r="X1475" s="31"/>
      <c r="Y1475" s="31"/>
      <c r="Z1475" s="31"/>
      <c r="AA1475" s="31"/>
      <c r="AB1475" s="31"/>
      <c r="AC1475" s="31"/>
    </row>
    <row r="1476" spans="19:29" x14ac:dyDescent="0.25">
      <c r="S1476" s="31"/>
      <c r="X1476" s="31"/>
      <c r="Y1476" s="31"/>
      <c r="Z1476" s="31"/>
      <c r="AA1476" s="31"/>
      <c r="AB1476" s="31"/>
      <c r="AC1476" s="31"/>
    </row>
    <row r="1477" spans="19:29" x14ac:dyDescent="0.25">
      <c r="S1477" s="31"/>
      <c r="X1477" s="31"/>
      <c r="Y1477" s="31"/>
      <c r="Z1477" s="31"/>
      <c r="AA1477" s="31"/>
      <c r="AB1477" s="31"/>
      <c r="AC1477" s="31"/>
    </row>
    <row r="1478" spans="19:29" x14ac:dyDescent="0.25">
      <c r="S1478" s="31"/>
      <c r="X1478" s="31"/>
      <c r="Y1478" s="31"/>
      <c r="Z1478" s="31"/>
      <c r="AA1478" s="31"/>
      <c r="AB1478" s="31"/>
      <c r="AC1478" s="31"/>
    </row>
    <row r="1479" spans="19:29" x14ac:dyDescent="0.25">
      <c r="S1479" s="31"/>
      <c r="X1479" s="31"/>
      <c r="Y1479" s="31"/>
      <c r="Z1479" s="31"/>
      <c r="AA1479" s="31"/>
      <c r="AB1479" s="31"/>
      <c r="AC1479" s="31"/>
    </row>
    <row r="1480" spans="19:29" x14ac:dyDescent="0.25">
      <c r="S1480" s="31"/>
      <c r="X1480" s="31"/>
      <c r="Y1480" s="31"/>
      <c r="Z1480" s="31"/>
      <c r="AA1480" s="31"/>
      <c r="AB1480" s="31"/>
      <c r="AC1480" s="31"/>
    </row>
    <row r="1481" spans="19:29" x14ac:dyDescent="0.25">
      <c r="S1481" s="31"/>
      <c r="X1481" s="31"/>
      <c r="Y1481" s="31"/>
      <c r="Z1481" s="31"/>
      <c r="AA1481" s="31"/>
      <c r="AB1481" s="31"/>
      <c r="AC1481" s="31"/>
    </row>
    <row r="1482" spans="19:29" x14ac:dyDescent="0.25">
      <c r="S1482" s="31"/>
      <c r="X1482" s="31"/>
      <c r="Y1482" s="31"/>
      <c r="Z1482" s="31"/>
      <c r="AA1482" s="31"/>
      <c r="AB1482" s="31"/>
      <c r="AC1482" s="31"/>
    </row>
    <row r="1483" spans="19:29" x14ac:dyDescent="0.25">
      <c r="S1483" s="31"/>
      <c r="X1483" s="31"/>
      <c r="Y1483" s="31"/>
      <c r="Z1483" s="31"/>
      <c r="AA1483" s="31"/>
      <c r="AB1483" s="31"/>
      <c r="AC1483" s="31"/>
    </row>
    <row r="1484" spans="19:29" x14ac:dyDescent="0.25">
      <c r="S1484" s="31"/>
      <c r="X1484" s="31"/>
      <c r="Y1484" s="31"/>
      <c r="Z1484" s="31"/>
      <c r="AA1484" s="31"/>
      <c r="AB1484" s="31"/>
      <c r="AC1484" s="31"/>
    </row>
    <row r="1485" spans="19:29" x14ac:dyDescent="0.25">
      <c r="S1485" s="31"/>
      <c r="X1485" s="31"/>
      <c r="Y1485" s="31"/>
      <c r="Z1485" s="31"/>
      <c r="AA1485" s="31"/>
      <c r="AB1485" s="31"/>
      <c r="AC1485" s="31"/>
    </row>
    <row r="1486" spans="19:29" x14ac:dyDescent="0.25">
      <c r="S1486" s="31"/>
      <c r="X1486" s="31"/>
      <c r="Y1486" s="31"/>
      <c r="Z1486" s="31"/>
      <c r="AA1486" s="31"/>
      <c r="AB1486" s="31"/>
      <c r="AC1486" s="31"/>
    </row>
    <row r="1487" spans="19:29" x14ac:dyDescent="0.25">
      <c r="S1487" s="31"/>
      <c r="X1487" s="31"/>
      <c r="Y1487" s="31"/>
      <c r="Z1487" s="31"/>
      <c r="AA1487" s="31"/>
      <c r="AB1487" s="31"/>
      <c r="AC1487" s="31"/>
    </row>
    <row r="1488" spans="19:29" x14ac:dyDescent="0.25">
      <c r="S1488" s="31"/>
      <c r="X1488" s="31"/>
      <c r="Y1488" s="31"/>
      <c r="Z1488" s="31"/>
      <c r="AA1488" s="31"/>
      <c r="AB1488" s="31"/>
      <c r="AC1488" s="31"/>
    </row>
    <row r="1489" spans="19:29" x14ac:dyDescent="0.25">
      <c r="S1489" s="31"/>
      <c r="X1489" s="31"/>
      <c r="Y1489" s="31"/>
      <c r="Z1489" s="31"/>
      <c r="AA1489" s="31"/>
      <c r="AB1489" s="31"/>
      <c r="AC1489" s="31"/>
    </row>
    <row r="1490" spans="19:29" x14ac:dyDescent="0.25">
      <c r="S1490" s="31"/>
      <c r="X1490" s="31"/>
      <c r="Y1490" s="31"/>
      <c r="Z1490" s="31"/>
      <c r="AA1490" s="31"/>
      <c r="AB1490" s="31"/>
      <c r="AC1490" s="31"/>
    </row>
    <row r="1491" spans="19:29" x14ac:dyDescent="0.25">
      <c r="S1491" s="31"/>
      <c r="X1491" s="31"/>
      <c r="Y1491" s="31"/>
      <c r="Z1491" s="31"/>
      <c r="AA1491" s="31"/>
      <c r="AB1491" s="31"/>
      <c r="AC1491" s="31"/>
    </row>
    <row r="1492" spans="19:29" x14ac:dyDescent="0.25">
      <c r="S1492" s="31"/>
      <c r="X1492" s="31"/>
      <c r="Y1492" s="31"/>
      <c r="Z1492" s="31"/>
      <c r="AA1492" s="31"/>
      <c r="AB1492" s="31"/>
      <c r="AC1492" s="31"/>
    </row>
    <row r="1493" spans="19:29" x14ac:dyDescent="0.25">
      <c r="S1493" s="31"/>
      <c r="X1493" s="31"/>
      <c r="Y1493" s="31"/>
      <c r="Z1493" s="31"/>
      <c r="AA1493" s="31"/>
      <c r="AB1493" s="31"/>
      <c r="AC1493" s="31"/>
    </row>
    <row r="1494" spans="19:29" x14ac:dyDescent="0.25">
      <c r="S1494" s="31"/>
      <c r="X1494" s="31"/>
      <c r="Y1494" s="31"/>
      <c r="Z1494" s="31"/>
      <c r="AA1494" s="31"/>
      <c r="AB1494" s="31"/>
      <c r="AC1494" s="31"/>
    </row>
    <row r="1495" spans="19:29" x14ac:dyDescent="0.25">
      <c r="S1495" s="31"/>
      <c r="X1495" s="31"/>
      <c r="Y1495" s="31"/>
      <c r="Z1495" s="31"/>
      <c r="AA1495" s="31"/>
      <c r="AB1495" s="31"/>
      <c r="AC1495" s="31"/>
    </row>
    <row r="1496" spans="19:29" x14ac:dyDescent="0.25">
      <c r="S1496" s="31"/>
      <c r="X1496" s="31"/>
      <c r="Y1496" s="31"/>
      <c r="Z1496" s="31"/>
      <c r="AA1496" s="31"/>
      <c r="AB1496" s="31"/>
      <c r="AC1496" s="31"/>
    </row>
    <row r="1497" spans="19:29" x14ac:dyDescent="0.25">
      <c r="S1497" s="31"/>
      <c r="X1497" s="31"/>
      <c r="Y1497" s="31"/>
      <c r="Z1497" s="31"/>
      <c r="AA1497" s="31"/>
      <c r="AB1497" s="31"/>
      <c r="AC1497" s="31"/>
    </row>
    <row r="1498" spans="19:29" x14ac:dyDescent="0.25">
      <c r="S1498" s="31"/>
      <c r="X1498" s="31"/>
      <c r="Y1498" s="31"/>
      <c r="Z1498" s="31"/>
      <c r="AA1498" s="31"/>
      <c r="AB1498" s="31"/>
      <c r="AC1498" s="31"/>
    </row>
    <row r="1499" spans="19:29" x14ac:dyDescent="0.25">
      <c r="S1499" s="31"/>
      <c r="X1499" s="31"/>
      <c r="Y1499" s="31"/>
      <c r="Z1499" s="31"/>
      <c r="AA1499" s="31"/>
      <c r="AB1499" s="31"/>
      <c r="AC1499" s="31"/>
    </row>
    <row r="1500" spans="19:29" x14ac:dyDescent="0.25">
      <c r="S1500" s="31"/>
      <c r="X1500" s="31"/>
      <c r="Y1500" s="31"/>
      <c r="Z1500" s="31"/>
      <c r="AA1500" s="31"/>
      <c r="AB1500" s="31"/>
      <c r="AC1500" s="31"/>
    </row>
    <row r="1501" spans="19:29" x14ac:dyDescent="0.25">
      <c r="S1501" s="31"/>
      <c r="X1501" s="31"/>
      <c r="Y1501" s="31"/>
      <c r="Z1501" s="31"/>
      <c r="AA1501" s="31"/>
      <c r="AB1501" s="31"/>
      <c r="AC1501" s="31"/>
    </row>
    <row r="1502" spans="19:29" x14ac:dyDescent="0.25">
      <c r="S1502" s="31"/>
      <c r="X1502" s="31"/>
      <c r="Y1502" s="31"/>
      <c r="Z1502" s="31"/>
      <c r="AA1502" s="31"/>
      <c r="AB1502" s="31"/>
      <c r="AC1502" s="31"/>
    </row>
    <row r="1503" spans="19:29" x14ac:dyDescent="0.25">
      <c r="S1503" s="31"/>
      <c r="X1503" s="31"/>
      <c r="Y1503" s="31"/>
      <c r="Z1503" s="31"/>
      <c r="AA1503" s="31"/>
      <c r="AB1503" s="31"/>
      <c r="AC1503" s="31"/>
    </row>
    <row r="1504" spans="19:29" x14ac:dyDescent="0.25">
      <c r="S1504" s="31"/>
      <c r="X1504" s="31"/>
      <c r="Y1504" s="31"/>
      <c r="Z1504" s="31"/>
      <c r="AA1504" s="31"/>
      <c r="AB1504" s="31"/>
      <c r="AC1504" s="31"/>
    </row>
    <row r="1505" spans="19:29" x14ac:dyDescent="0.25">
      <c r="S1505" s="31"/>
      <c r="X1505" s="31"/>
      <c r="Y1505" s="31"/>
      <c r="Z1505" s="31"/>
      <c r="AA1505" s="31"/>
      <c r="AB1505" s="31"/>
      <c r="AC1505" s="31"/>
    </row>
    <row r="1506" spans="19:29" x14ac:dyDescent="0.25">
      <c r="S1506" s="31"/>
      <c r="X1506" s="31"/>
      <c r="Y1506" s="31"/>
      <c r="Z1506" s="31"/>
      <c r="AA1506" s="31"/>
      <c r="AB1506" s="31"/>
      <c r="AC1506" s="31"/>
    </row>
    <row r="1507" spans="19:29" x14ac:dyDescent="0.25">
      <c r="S1507" s="31"/>
      <c r="X1507" s="31"/>
      <c r="Y1507" s="31"/>
      <c r="Z1507" s="31"/>
      <c r="AA1507" s="31"/>
      <c r="AB1507" s="31"/>
      <c r="AC1507" s="31"/>
    </row>
    <row r="1508" spans="19:29" x14ac:dyDescent="0.25">
      <c r="S1508" s="31"/>
      <c r="X1508" s="31"/>
      <c r="Y1508" s="31"/>
      <c r="Z1508" s="31"/>
      <c r="AA1508" s="31"/>
      <c r="AB1508" s="31"/>
      <c r="AC1508" s="31"/>
    </row>
    <row r="1509" spans="19:29" x14ac:dyDescent="0.25">
      <c r="S1509" s="31"/>
      <c r="X1509" s="31"/>
      <c r="Y1509" s="31"/>
      <c r="Z1509" s="31"/>
      <c r="AA1509" s="31"/>
      <c r="AB1509" s="31"/>
      <c r="AC1509" s="31"/>
    </row>
    <row r="1510" spans="19:29" x14ac:dyDescent="0.25">
      <c r="S1510" s="31"/>
      <c r="X1510" s="31"/>
      <c r="Y1510" s="31"/>
      <c r="Z1510" s="31"/>
      <c r="AA1510" s="31"/>
      <c r="AB1510" s="31"/>
      <c r="AC1510" s="31"/>
    </row>
    <row r="1511" spans="19:29" x14ac:dyDescent="0.25">
      <c r="S1511" s="31"/>
      <c r="X1511" s="31"/>
      <c r="Y1511" s="31"/>
      <c r="Z1511" s="31"/>
      <c r="AA1511" s="31"/>
      <c r="AB1511" s="31"/>
      <c r="AC1511" s="31"/>
    </row>
    <row r="1512" spans="19:29" x14ac:dyDescent="0.25">
      <c r="S1512" s="31"/>
      <c r="X1512" s="31"/>
      <c r="Y1512" s="31"/>
      <c r="Z1512" s="31"/>
      <c r="AA1512" s="31"/>
      <c r="AB1512" s="31"/>
      <c r="AC1512" s="31"/>
    </row>
    <row r="1513" spans="19:29" x14ac:dyDescent="0.25">
      <c r="S1513" s="31"/>
      <c r="X1513" s="31"/>
      <c r="Y1513" s="31"/>
      <c r="Z1513" s="31"/>
      <c r="AA1513" s="31"/>
      <c r="AB1513" s="31"/>
      <c r="AC1513" s="31"/>
    </row>
    <row r="1514" spans="19:29" x14ac:dyDescent="0.25">
      <c r="S1514" s="31"/>
      <c r="X1514" s="31"/>
      <c r="Y1514" s="31"/>
      <c r="Z1514" s="31"/>
      <c r="AA1514" s="31"/>
      <c r="AB1514" s="31"/>
      <c r="AC1514" s="31"/>
    </row>
    <row r="1515" spans="19:29" x14ac:dyDescent="0.25">
      <c r="S1515" s="31"/>
      <c r="X1515" s="31"/>
      <c r="Y1515" s="31"/>
      <c r="Z1515" s="31"/>
      <c r="AA1515" s="31"/>
      <c r="AB1515" s="31"/>
      <c r="AC1515" s="31"/>
    </row>
    <row r="1516" spans="19:29" x14ac:dyDescent="0.25">
      <c r="S1516" s="31"/>
      <c r="X1516" s="31"/>
      <c r="Y1516" s="31"/>
      <c r="Z1516" s="31"/>
      <c r="AA1516" s="31"/>
      <c r="AB1516" s="31"/>
      <c r="AC1516" s="31"/>
    </row>
    <row r="1517" spans="19:29" x14ac:dyDescent="0.25">
      <c r="S1517" s="31"/>
      <c r="X1517" s="31"/>
      <c r="Y1517" s="31"/>
      <c r="Z1517" s="31"/>
      <c r="AA1517" s="31"/>
      <c r="AB1517" s="31"/>
      <c r="AC1517" s="31"/>
    </row>
    <row r="1518" spans="19:29" x14ac:dyDescent="0.25">
      <c r="S1518" s="31"/>
      <c r="X1518" s="31"/>
      <c r="Y1518" s="31"/>
      <c r="Z1518" s="31"/>
      <c r="AA1518" s="31"/>
      <c r="AB1518" s="31"/>
      <c r="AC1518" s="31"/>
    </row>
    <row r="1519" spans="19:29" x14ac:dyDescent="0.25">
      <c r="S1519" s="31"/>
      <c r="X1519" s="31"/>
      <c r="Y1519" s="31"/>
      <c r="Z1519" s="31"/>
      <c r="AA1519" s="31"/>
      <c r="AB1519" s="31"/>
      <c r="AC1519" s="31"/>
    </row>
    <row r="1520" spans="19:29" x14ac:dyDescent="0.25">
      <c r="S1520" s="31"/>
      <c r="X1520" s="31"/>
      <c r="Y1520" s="31"/>
      <c r="Z1520" s="31"/>
      <c r="AA1520" s="31"/>
      <c r="AB1520" s="31"/>
      <c r="AC1520" s="31"/>
    </row>
    <row r="1521" spans="19:29" x14ac:dyDescent="0.25">
      <c r="S1521" s="31"/>
      <c r="X1521" s="31"/>
      <c r="Y1521" s="31"/>
      <c r="Z1521" s="31"/>
      <c r="AA1521" s="31"/>
      <c r="AB1521" s="31"/>
      <c r="AC1521" s="31"/>
    </row>
    <row r="1522" spans="19:29" x14ac:dyDescent="0.25">
      <c r="S1522" s="31"/>
      <c r="X1522" s="31"/>
      <c r="Y1522" s="31"/>
      <c r="Z1522" s="31"/>
      <c r="AA1522" s="31"/>
      <c r="AB1522" s="31"/>
      <c r="AC1522" s="31"/>
    </row>
    <row r="1523" spans="19:29" x14ac:dyDescent="0.25">
      <c r="S1523" s="31"/>
      <c r="X1523" s="31"/>
      <c r="Y1523" s="31"/>
      <c r="Z1523" s="31"/>
      <c r="AA1523" s="31"/>
      <c r="AB1523" s="31"/>
      <c r="AC1523" s="31"/>
    </row>
    <row r="1524" spans="19:29" x14ac:dyDescent="0.25">
      <c r="S1524" s="31"/>
      <c r="X1524" s="31"/>
      <c r="Y1524" s="31"/>
      <c r="Z1524" s="31"/>
      <c r="AA1524" s="31"/>
      <c r="AB1524" s="31"/>
      <c r="AC1524" s="31"/>
    </row>
    <row r="1525" spans="19:29" x14ac:dyDescent="0.25">
      <c r="S1525" s="31"/>
      <c r="X1525" s="31"/>
      <c r="Y1525" s="31"/>
      <c r="Z1525" s="31"/>
      <c r="AA1525" s="31"/>
      <c r="AB1525" s="31"/>
      <c r="AC1525" s="31"/>
    </row>
    <row r="1526" spans="19:29" x14ac:dyDescent="0.25">
      <c r="S1526" s="31"/>
      <c r="X1526" s="31"/>
      <c r="Y1526" s="31"/>
      <c r="Z1526" s="31"/>
      <c r="AA1526" s="31"/>
      <c r="AB1526" s="31"/>
      <c r="AC1526" s="31"/>
    </row>
    <row r="1527" spans="19:29" x14ac:dyDescent="0.25">
      <c r="S1527" s="31"/>
      <c r="X1527" s="31"/>
      <c r="Y1527" s="31"/>
      <c r="Z1527" s="31"/>
      <c r="AA1527" s="31"/>
      <c r="AB1527" s="31"/>
      <c r="AC1527" s="31"/>
    </row>
    <row r="1528" spans="19:29" x14ac:dyDescent="0.25">
      <c r="S1528" s="31"/>
      <c r="X1528" s="31"/>
      <c r="Y1528" s="31"/>
      <c r="Z1528" s="31"/>
      <c r="AA1528" s="31"/>
      <c r="AB1528" s="31"/>
      <c r="AC1528" s="31"/>
    </row>
    <row r="1529" spans="19:29" x14ac:dyDescent="0.25">
      <c r="S1529" s="31"/>
      <c r="X1529" s="31"/>
      <c r="Y1529" s="31"/>
      <c r="Z1529" s="31"/>
      <c r="AA1529" s="31"/>
      <c r="AB1529" s="31"/>
      <c r="AC1529" s="31"/>
    </row>
    <row r="1530" spans="19:29" x14ac:dyDescent="0.25">
      <c r="S1530" s="31"/>
      <c r="X1530" s="31"/>
      <c r="Y1530" s="31"/>
      <c r="Z1530" s="31"/>
      <c r="AA1530" s="31"/>
      <c r="AB1530" s="31"/>
      <c r="AC1530" s="31"/>
    </row>
    <row r="1531" spans="19:29" x14ac:dyDescent="0.25">
      <c r="S1531" s="31"/>
      <c r="X1531" s="31"/>
      <c r="Y1531" s="31"/>
      <c r="Z1531" s="31"/>
      <c r="AA1531" s="31"/>
      <c r="AB1531" s="31"/>
      <c r="AC1531" s="31"/>
    </row>
    <row r="1532" spans="19:29" x14ac:dyDescent="0.25">
      <c r="S1532" s="31"/>
      <c r="X1532" s="31"/>
      <c r="Y1532" s="31"/>
      <c r="Z1532" s="31"/>
      <c r="AA1532" s="31"/>
      <c r="AB1532" s="31"/>
      <c r="AC1532" s="31"/>
    </row>
    <row r="1533" spans="19:29" x14ac:dyDescent="0.25">
      <c r="S1533" s="31"/>
      <c r="X1533" s="31"/>
      <c r="Y1533" s="31"/>
      <c r="Z1533" s="31"/>
      <c r="AA1533" s="31"/>
      <c r="AB1533" s="31"/>
      <c r="AC1533" s="31"/>
    </row>
    <row r="1534" spans="19:29" x14ac:dyDescent="0.25">
      <c r="S1534" s="31"/>
      <c r="X1534" s="31"/>
      <c r="Y1534" s="31"/>
      <c r="Z1534" s="31"/>
      <c r="AA1534" s="31"/>
      <c r="AB1534" s="31"/>
      <c r="AC1534" s="31"/>
    </row>
    <row r="1535" spans="19:29" x14ac:dyDescent="0.25">
      <c r="S1535" s="31"/>
      <c r="X1535" s="31"/>
      <c r="Y1535" s="31"/>
      <c r="Z1535" s="31"/>
      <c r="AA1535" s="31"/>
      <c r="AB1535" s="31"/>
      <c r="AC1535" s="31"/>
    </row>
    <row r="1536" spans="19:29" x14ac:dyDescent="0.25">
      <c r="S1536" s="31"/>
      <c r="X1536" s="31"/>
      <c r="Y1536" s="31"/>
      <c r="Z1536" s="31"/>
      <c r="AA1536" s="31"/>
      <c r="AB1536" s="31"/>
      <c r="AC1536" s="31"/>
    </row>
    <row r="1537" spans="19:29" x14ac:dyDescent="0.25">
      <c r="S1537" s="31"/>
      <c r="X1537" s="31"/>
      <c r="Y1537" s="31"/>
      <c r="Z1537" s="31"/>
      <c r="AA1537" s="31"/>
      <c r="AB1537" s="31"/>
      <c r="AC1537" s="31"/>
    </row>
    <row r="1538" spans="19:29" x14ac:dyDescent="0.25">
      <c r="S1538" s="31"/>
      <c r="X1538" s="31"/>
      <c r="Y1538" s="31"/>
      <c r="Z1538" s="31"/>
      <c r="AA1538" s="31"/>
      <c r="AB1538" s="31"/>
      <c r="AC1538" s="31"/>
    </row>
    <row r="1539" spans="19:29" x14ac:dyDescent="0.25">
      <c r="S1539" s="31"/>
      <c r="X1539" s="31"/>
      <c r="Y1539" s="31"/>
      <c r="Z1539" s="31"/>
      <c r="AA1539" s="31"/>
      <c r="AB1539" s="31"/>
      <c r="AC1539" s="31"/>
    </row>
    <row r="1540" spans="19:29" x14ac:dyDescent="0.25">
      <c r="S1540" s="31"/>
      <c r="X1540" s="31"/>
      <c r="Y1540" s="31"/>
      <c r="Z1540" s="31"/>
      <c r="AA1540" s="31"/>
      <c r="AB1540" s="31"/>
      <c r="AC1540" s="31"/>
    </row>
    <row r="1541" spans="19:29" x14ac:dyDescent="0.25">
      <c r="S1541" s="31"/>
      <c r="X1541" s="31"/>
      <c r="Y1541" s="31"/>
      <c r="Z1541" s="31"/>
      <c r="AA1541" s="31"/>
      <c r="AB1541" s="31"/>
      <c r="AC1541" s="31"/>
    </row>
    <row r="1542" spans="19:29" x14ac:dyDescent="0.25">
      <c r="S1542" s="31"/>
      <c r="X1542" s="31"/>
      <c r="Y1542" s="31"/>
      <c r="Z1542" s="31"/>
      <c r="AA1542" s="31"/>
      <c r="AB1542" s="31"/>
      <c r="AC1542" s="31"/>
    </row>
    <row r="1543" spans="19:29" x14ac:dyDescent="0.25">
      <c r="S1543" s="31"/>
      <c r="X1543" s="31"/>
      <c r="Y1543" s="31"/>
      <c r="Z1543" s="31"/>
      <c r="AA1543" s="31"/>
      <c r="AB1543" s="31"/>
      <c r="AC1543" s="31"/>
    </row>
    <row r="1544" spans="19:29" x14ac:dyDescent="0.25">
      <c r="S1544" s="31"/>
      <c r="X1544" s="31"/>
      <c r="Y1544" s="31"/>
      <c r="Z1544" s="31"/>
      <c r="AA1544" s="31"/>
      <c r="AB1544" s="31"/>
      <c r="AC1544" s="31"/>
    </row>
    <row r="1545" spans="19:29" x14ac:dyDescent="0.25">
      <c r="S1545" s="31"/>
      <c r="X1545" s="31"/>
      <c r="Y1545" s="31"/>
      <c r="Z1545" s="31"/>
      <c r="AA1545" s="31"/>
      <c r="AB1545" s="31"/>
      <c r="AC1545" s="31"/>
    </row>
    <row r="1546" spans="19:29" x14ac:dyDescent="0.25">
      <c r="S1546" s="31"/>
      <c r="X1546" s="31"/>
      <c r="Y1546" s="31"/>
      <c r="Z1546" s="31"/>
      <c r="AA1546" s="31"/>
      <c r="AB1546" s="31"/>
      <c r="AC1546" s="31"/>
    </row>
    <row r="1547" spans="19:29" x14ac:dyDescent="0.25">
      <c r="S1547" s="31"/>
      <c r="X1547" s="31"/>
      <c r="Y1547" s="31"/>
      <c r="Z1547" s="31"/>
      <c r="AA1547" s="31"/>
      <c r="AB1547" s="31"/>
      <c r="AC1547" s="31"/>
    </row>
    <row r="1548" spans="19:29" x14ac:dyDescent="0.25">
      <c r="S1548" s="31"/>
      <c r="X1548" s="31"/>
      <c r="Y1548" s="31"/>
      <c r="Z1548" s="31"/>
      <c r="AA1548" s="31"/>
      <c r="AB1548" s="31"/>
      <c r="AC1548" s="31"/>
    </row>
    <row r="1549" spans="19:29" x14ac:dyDescent="0.25">
      <c r="S1549" s="31"/>
      <c r="X1549" s="31"/>
      <c r="Y1549" s="31"/>
      <c r="Z1549" s="31"/>
      <c r="AA1549" s="31"/>
      <c r="AB1549" s="31"/>
      <c r="AC1549" s="31"/>
    </row>
    <row r="1550" spans="19:29" x14ac:dyDescent="0.25">
      <c r="S1550" s="31"/>
      <c r="X1550" s="31"/>
      <c r="Y1550" s="31"/>
      <c r="Z1550" s="31"/>
      <c r="AA1550" s="31"/>
      <c r="AB1550" s="31"/>
      <c r="AC1550" s="31"/>
    </row>
    <row r="1551" spans="19:29" x14ac:dyDescent="0.25">
      <c r="S1551" s="31"/>
      <c r="X1551" s="31"/>
      <c r="Y1551" s="31"/>
      <c r="Z1551" s="31"/>
      <c r="AA1551" s="31"/>
      <c r="AB1551" s="31"/>
      <c r="AC1551" s="31"/>
    </row>
    <row r="1552" spans="19:29" x14ac:dyDescent="0.25">
      <c r="S1552" s="31"/>
      <c r="X1552" s="31"/>
      <c r="Y1552" s="31"/>
      <c r="Z1552" s="31"/>
      <c r="AA1552" s="31"/>
      <c r="AB1552" s="31"/>
      <c r="AC1552" s="31"/>
    </row>
    <row r="1553" spans="19:29" x14ac:dyDescent="0.25">
      <c r="S1553" s="31"/>
      <c r="X1553" s="31"/>
      <c r="Y1553" s="31"/>
      <c r="Z1553" s="31"/>
      <c r="AA1553" s="31"/>
      <c r="AB1553" s="31"/>
      <c r="AC1553" s="31"/>
    </row>
    <row r="1554" spans="19:29" x14ac:dyDescent="0.25">
      <c r="S1554" s="31"/>
      <c r="X1554" s="31"/>
      <c r="Y1554" s="31"/>
      <c r="Z1554" s="31"/>
      <c r="AA1554" s="31"/>
      <c r="AB1554" s="31"/>
      <c r="AC1554" s="31"/>
    </row>
    <row r="1555" spans="19:29" x14ac:dyDescent="0.25">
      <c r="S1555" s="31"/>
      <c r="X1555" s="31"/>
      <c r="Y1555" s="31"/>
      <c r="Z1555" s="31"/>
      <c r="AA1555" s="31"/>
      <c r="AB1555" s="31"/>
      <c r="AC1555" s="31"/>
    </row>
    <row r="1556" spans="19:29" x14ac:dyDescent="0.25">
      <c r="S1556" s="31"/>
      <c r="X1556" s="31"/>
      <c r="Y1556" s="31"/>
      <c r="Z1556" s="31"/>
      <c r="AA1556" s="31"/>
      <c r="AB1556" s="31"/>
      <c r="AC1556" s="31"/>
    </row>
    <row r="1557" spans="19:29" x14ac:dyDescent="0.25">
      <c r="S1557" s="31"/>
      <c r="X1557" s="31"/>
      <c r="Y1557" s="31"/>
      <c r="Z1557" s="31"/>
      <c r="AA1557" s="31"/>
      <c r="AB1557" s="31"/>
      <c r="AC1557" s="31"/>
    </row>
    <row r="1558" spans="19:29" x14ac:dyDescent="0.25">
      <c r="S1558" s="31"/>
      <c r="X1558" s="31"/>
      <c r="Y1558" s="31"/>
      <c r="Z1558" s="31"/>
      <c r="AA1558" s="31"/>
      <c r="AB1558" s="31"/>
      <c r="AC1558" s="31"/>
    </row>
    <row r="1559" spans="19:29" x14ac:dyDescent="0.25">
      <c r="S1559" s="31"/>
      <c r="X1559" s="31"/>
      <c r="Y1559" s="31"/>
      <c r="Z1559" s="31"/>
      <c r="AA1559" s="31"/>
      <c r="AB1559" s="31"/>
      <c r="AC1559" s="31"/>
    </row>
    <row r="1560" spans="19:29" x14ac:dyDescent="0.25">
      <c r="S1560" s="31"/>
      <c r="X1560" s="31"/>
      <c r="Y1560" s="31"/>
      <c r="Z1560" s="31"/>
      <c r="AA1560" s="31"/>
      <c r="AB1560" s="31"/>
      <c r="AC1560" s="31"/>
    </row>
    <row r="1561" spans="19:29" x14ac:dyDescent="0.25">
      <c r="S1561" s="31"/>
      <c r="X1561" s="31"/>
      <c r="Y1561" s="31"/>
      <c r="Z1561" s="31"/>
      <c r="AA1561" s="31"/>
      <c r="AB1561" s="31"/>
      <c r="AC1561" s="31"/>
    </row>
    <row r="1562" spans="19:29" x14ac:dyDescent="0.25">
      <c r="S1562" s="31"/>
      <c r="X1562" s="31"/>
      <c r="Y1562" s="31"/>
      <c r="Z1562" s="31"/>
      <c r="AA1562" s="31"/>
      <c r="AB1562" s="31"/>
      <c r="AC1562" s="31"/>
    </row>
    <row r="1563" spans="19:29" x14ac:dyDescent="0.25">
      <c r="S1563" s="31"/>
      <c r="X1563" s="31"/>
      <c r="Y1563" s="31"/>
      <c r="Z1563" s="31"/>
      <c r="AA1563" s="31"/>
      <c r="AB1563" s="31"/>
      <c r="AC1563" s="31"/>
    </row>
    <row r="1564" spans="19:29" x14ac:dyDescent="0.25">
      <c r="S1564" s="31"/>
      <c r="X1564" s="31"/>
      <c r="Y1564" s="31"/>
      <c r="Z1564" s="31"/>
      <c r="AA1564" s="31"/>
      <c r="AB1564" s="31"/>
      <c r="AC1564" s="31"/>
    </row>
    <row r="1565" spans="19:29" x14ac:dyDescent="0.25">
      <c r="S1565" s="31"/>
      <c r="X1565" s="31"/>
      <c r="Y1565" s="31"/>
      <c r="Z1565" s="31"/>
      <c r="AA1565" s="31"/>
      <c r="AB1565" s="31"/>
      <c r="AC1565" s="31"/>
    </row>
    <row r="1566" spans="19:29" x14ac:dyDescent="0.25">
      <c r="S1566" s="31"/>
      <c r="X1566" s="31"/>
      <c r="Y1566" s="31"/>
      <c r="Z1566" s="31"/>
      <c r="AA1566" s="31"/>
      <c r="AB1566" s="31"/>
      <c r="AC1566" s="31"/>
    </row>
    <row r="1567" spans="19:29" x14ac:dyDescent="0.25">
      <c r="S1567" s="31"/>
      <c r="X1567" s="31"/>
      <c r="Y1567" s="31"/>
      <c r="Z1567" s="31"/>
      <c r="AA1567" s="31"/>
      <c r="AB1567" s="31"/>
      <c r="AC1567" s="31"/>
    </row>
    <row r="1568" spans="19:29" x14ac:dyDescent="0.25">
      <c r="S1568" s="31"/>
      <c r="X1568" s="31"/>
      <c r="Y1568" s="31"/>
      <c r="Z1568" s="31"/>
      <c r="AA1568" s="31"/>
      <c r="AB1568" s="31"/>
      <c r="AC1568" s="31"/>
    </row>
    <row r="1569" spans="19:29" x14ac:dyDescent="0.25">
      <c r="S1569" s="31"/>
      <c r="X1569" s="31"/>
      <c r="Y1569" s="31"/>
      <c r="Z1569" s="31"/>
      <c r="AA1569" s="31"/>
      <c r="AB1569" s="31"/>
      <c r="AC1569" s="31"/>
    </row>
    <row r="1570" spans="19:29" x14ac:dyDescent="0.25">
      <c r="S1570" s="31"/>
      <c r="X1570" s="31"/>
      <c r="Y1570" s="31"/>
      <c r="Z1570" s="31"/>
      <c r="AA1570" s="31"/>
      <c r="AB1570" s="31"/>
      <c r="AC1570" s="31"/>
    </row>
    <row r="1571" spans="19:29" x14ac:dyDescent="0.25">
      <c r="S1571" s="31"/>
      <c r="X1571" s="31"/>
      <c r="Y1571" s="31"/>
      <c r="Z1571" s="31"/>
      <c r="AA1571" s="31"/>
      <c r="AB1571" s="31"/>
      <c r="AC1571" s="31"/>
    </row>
    <row r="1572" spans="19:29" x14ac:dyDescent="0.25">
      <c r="S1572" s="31"/>
      <c r="X1572" s="31"/>
      <c r="Y1572" s="31"/>
      <c r="Z1572" s="31"/>
      <c r="AA1572" s="31"/>
      <c r="AB1572" s="31"/>
      <c r="AC1572" s="31"/>
    </row>
    <row r="1573" spans="19:29" x14ac:dyDescent="0.25">
      <c r="S1573" s="31"/>
      <c r="X1573" s="31"/>
      <c r="Y1573" s="31"/>
      <c r="Z1573" s="31"/>
      <c r="AA1573" s="31"/>
      <c r="AB1573" s="31"/>
      <c r="AC1573" s="31"/>
    </row>
    <row r="1574" spans="19:29" x14ac:dyDescent="0.25">
      <c r="S1574" s="31"/>
      <c r="X1574" s="31"/>
      <c r="Y1574" s="31"/>
      <c r="Z1574" s="31"/>
      <c r="AA1574" s="31"/>
      <c r="AB1574" s="31"/>
      <c r="AC1574" s="31"/>
    </row>
    <row r="1575" spans="19:29" x14ac:dyDescent="0.25">
      <c r="S1575" s="31"/>
      <c r="X1575" s="31"/>
      <c r="Y1575" s="31"/>
      <c r="Z1575" s="31"/>
      <c r="AA1575" s="31"/>
      <c r="AB1575" s="31"/>
      <c r="AC1575" s="31"/>
    </row>
    <row r="1576" spans="19:29" x14ac:dyDescent="0.25">
      <c r="S1576" s="31"/>
      <c r="X1576" s="31"/>
      <c r="Y1576" s="31"/>
      <c r="Z1576" s="31"/>
      <c r="AA1576" s="31"/>
      <c r="AB1576" s="31"/>
      <c r="AC1576" s="31"/>
    </row>
    <row r="1577" spans="19:29" x14ac:dyDescent="0.25">
      <c r="S1577" s="31"/>
      <c r="X1577" s="31"/>
      <c r="Y1577" s="31"/>
      <c r="Z1577" s="31"/>
      <c r="AA1577" s="31"/>
      <c r="AB1577" s="31"/>
      <c r="AC1577" s="31"/>
    </row>
    <row r="1578" spans="19:29" x14ac:dyDescent="0.25">
      <c r="S1578" s="31"/>
      <c r="X1578" s="31"/>
      <c r="Y1578" s="31"/>
      <c r="Z1578" s="31"/>
      <c r="AA1578" s="31"/>
      <c r="AB1578" s="31"/>
      <c r="AC1578" s="31"/>
    </row>
    <row r="1579" spans="19:29" x14ac:dyDescent="0.25">
      <c r="S1579" s="31"/>
      <c r="X1579" s="31"/>
      <c r="Y1579" s="31"/>
      <c r="Z1579" s="31"/>
      <c r="AA1579" s="31"/>
      <c r="AB1579" s="31"/>
      <c r="AC1579" s="31"/>
    </row>
    <row r="1580" spans="19:29" x14ac:dyDescent="0.25">
      <c r="S1580" s="31"/>
      <c r="X1580" s="31"/>
      <c r="Y1580" s="31"/>
      <c r="Z1580" s="31"/>
      <c r="AA1580" s="31"/>
      <c r="AB1580" s="31"/>
      <c r="AC1580" s="31"/>
    </row>
    <row r="1581" spans="19:29" x14ac:dyDescent="0.25">
      <c r="S1581" s="31"/>
      <c r="X1581" s="31"/>
      <c r="Y1581" s="31"/>
      <c r="Z1581" s="31"/>
      <c r="AA1581" s="31"/>
      <c r="AB1581" s="31"/>
      <c r="AC1581" s="31"/>
    </row>
    <row r="1582" spans="19:29" x14ac:dyDescent="0.25">
      <c r="S1582" s="31"/>
      <c r="X1582" s="31"/>
      <c r="Y1582" s="31"/>
      <c r="Z1582" s="31"/>
      <c r="AA1582" s="31"/>
      <c r="AB1582" s="31"/>
      <c r="AC1582" s="31"/>
    </row>
    <row r="1583" spans="19:29" x14ac:dyDescent="0.25">
      <c r="S1583" s="31"/>
      <c r="X1583" s="31"/>
      <c r="Y1583" s="31"/>
      <c r="Z1583" s="31"/>
      <c r="AA1583" s="31"/>
      <c r="AB1583" s="31"/>
      <c r="AC1583" s="31"/>
    </row>
    <row r="1584" spans="19:29" x14ac:dyDescent="0.25">
      <c r="S1584" s="31"/>
      <c r="X1584" s="31"/>
      <c r="Y1584" s="31"/>
      <c r="Z1584" s="31"/>
      <c r="AA1584" s="31"/>
      <c r="AB1584" s="31"/>
      <c r="AC1584" s="31"/>
    </row>
    <row r="1585" spans="19:29" x14ac:dyDescent="0.25">
      <c r="S1585" s="31"/>
      <c r="X1585" s="31"/>
      <c r="Y1585" s="31"/>
      <c r="Z1585" s="31"/>
      <c r="AA1585" s="31"/>
      <c r="AB1585" s="31"/>
      <c r="AC1585" s="31"/>
    </row>
    <row r="1586" spans="19:29" x14ac:dyDescent="0.25">
      <c r="S1586" s="31"/>
      <c r="X1586" s="31"/>
      <c r="Y1586" s="31"/>
      <c r="Z1586" s="31"/>
      <c r="AA1586" s="31"/>
      <c r="AB1586" s="31"/>
      <c r="AC1586" s="31"/>
    </row>
    <row r="1587" spans="19:29" x14ac:dyDescent="0.25">
      <c r="S1587" s="31"/>
      <c r="X1587" s="31"/>
      <c r="Y1587" s="31"/>
      <c r="Z1587" s="31"/>
      <c r="AA1587" s="31"/>
      <c r="AB1587" s="31"/>
      <c r="AC1587" s="31"/>
    </row>
    <row r="1588" spans="19:29" x14ac:dyDescent="0.25">
      <c r="S1588" s="31"/>
      <c r="X1588" s="31"/>
      <c r="Y1588" s="31"/>
      <c r="Z1588" s="31"/>
      <c r="AA1588" s="31"/>
      <c r="AB1588" s="31"/>
      <c r="AC1588" s="31"/>
    </row>
    <row r="1589" spans="19:29" x14ac:dyDescent="0.25">
      <c r="S1589" s="31"/>
      <c r="X1589" s="31"/>
      <c r="Y1589" s="31"/>
      <c r="Z1589" s="31"/>
      <c r="AA1589" s="31"/>
      <c r="AB1589" s="31"/>
      <c r="AC1589" s="31"/>
    </row>
    <row r="1590" spans="19:29" x14ac:dyDescent="0.25">
      <c r="S1590" s="31"/>
      <c r="X1590" s="31"/>
      <c r="Y1590" s="31"/>
      <c r="Z1590" s="31"/>
      <c r="AA1590" s="31"/>
      <c r="AB1590" s="31"/>
      <c r="AC1590" s="31"/>
    </row>
    <row r="1591" spans="19:29" x14ac:dyDescent="0.25">
      <c r="S1591" s="31"/>
      <c r="X1591" s="31"/>
      <c r="Y1591" s="31"/>
      <c r="Z1591" s="31"/>
      <c r="AA1591" s="31"/>
      <c r="AB1591" s="31"/>
      <c r="AC1591" s="31"/>
    </row>
    <row r="1592" spans="19:29" x14ac:dyDescent="0.25">
      <c r="S1592" s="31"/>
      <c r="X1592" s="31"/>
      <c r="Y1592" s="31"/>
      <c r="Z1592" s="31"/>
      <c r="AA1592" s="31"/>
      <c r="AB1592" s="31"/>
      <c r="AC1592" s="31"/>
    </row>
    <row r="1593" spans="19:29" x14ac:dyDescent="0.25">
      <c r="S1593" s="31"/>
      <c r="X1593" s="31"/>
      <c r="Y1593" s="31"/>
      <c r="Z1593" s="31"/>
      <c r="AA1593" s="31"/>
      <c r="AB1593" s="31"/>
      <c r="AC1593" s="31"/>
    </row>
    <row r="1594" spans="19:29" x14ac:dyDescent="0.25">
      <c r="S1594" s="31"/>
      <c r="X1594" s="31"/>
      <c r="Y1594" s="31"/>
      <c r="Z1594" s="31"/>
      <c r="AA1594" s="31"/>
      <c r="AB1594" s="31"/>
      <c r="AC1594" s="31"/>
    </row>
    <row r="1595" spans="19:29" x14ac:dyDescent="0.25">
      <c r="S1595" s="31"/>
      <c r="X1595" s="31"/>
      <c r="Y1595" s="31"/>
      <c r="Z1595" s="31"/>
      <c r="AA1595" s="31"/>
      <c r="AB1595" s="31"/>
      <c r="AC1595" s="31"/>
    </row>
    <row r="1596" spans="19:29" x14ac:dyDescent="0.25">
      <c r="S1596" s="31"/>
      <c r="X1596" s="31"/>
      <c r="Y1596" s="31"/>
      <c r="Z1596" s="31"/>
      <c r="AA1596" s="31"/>
      <c r="AB1596" s="31"/>
      <c r="AC1596" s="31"/>
    </row>
    <row r="1597" spans="19:29" x14ac:dyDescent="0.25">
      <c r="S1597" s="31"/>
      <c r="X1597" s="31"/>
      <c r="Y1597" s="31"/>
      <c r="Z1597" s="31"/>
      <c r="AA1597" s="31"/>
      <c r="AB1597" s="31"/>
      <c r="AC1597" s="31"/>
    </row>
    <row r="1598" spans="19:29" x14ac:dyDescent="0.25">
      <c r="S1598" s="31"/>
      <c r="X1598" s="31"/>
      <c r="Y1598" s="31"/>
      <c r="Z1598" s="31"/>
      <c r="AA1598" s="31"/>
      <c r="AB1598" s="31"/>
      <c r="AC1598" s="31"/>
    </row>
    <row r="1599" spans="19:29" x14ac:dyDescent="0.25">
      <c r="S1599" s="31"/>
      <c r="X1599" s="31"/>
      <c r="Y1599" s="31"/>
      <c r="Z1599" s="31"/>
      <c r="AA1599" s="31"/>
      <c r="AB1599" s="31"/>
      <c r="AC1599" s="31"/>
    </row>
    <row r="1600" spans="19:29" x14ac:dyDescent="0.25">
      <c r="S1600" s="31"/>
      <c r="X1600" s="31"/>
      <c r="Y1600" s="31"/>
      <c r="Z1600" s="31"/>
      <c r="AA1600" s="31"/>
      <c r="AB1600" s="31"/>
      <c r="AC1600" s="31"/>
    </row>
    <row r="1601" spans="19:29" x14ac:dyDescent="0.25">
      <c r="S1601" s="31"/>
      <c r="X1601" s="31"/>
      <c r="Y1601" s="31"/>
      <c r="Z1601" s="31"/>
      <c r="AA1601" s="31"/>
      <c r="AB1601" s="31"/>
      <c r="AC1601" s="31"/>
    </row>
    <row r="1602" spans="19:29" x14ac:dyDescent="0.25">
      <c r="S1602" s="31"/>
      <c r="X1602" s="31"/>
      <c r="Y1602" s="31"/>
      <c r="Z1602" s="31"/>
      <c r="AA1602" s="31"/>
      <c r="AB1602" s="31"/>
      <c r="AC1602" s="31"/>
    </row>
    <row r="1603" spans="19:29" x14ac:dyDescent="0.25">
      <c r="S1603" s="31"/>
      <c r="X1603" s="31"/>
      <c r="Y1603" s="31"/>
      <c r="Z1603" s="31"/>
      <c r="AA1603" s="31"/>
      <c r="AB1603" s="31"/>
      <c r="AC1603" s="31"/>
    </row>
    <row r="1604" spans="19:29" x14ac:dyDescent="0.25">
      <c r="S1604" s="31"/>
      <c r="X1604" s="31"/>
      <c r="Y1604" s="31"/>
      <c r="Z1604" s="31"/>
      <c r="AA1604" s="31"/>
      <c r="AB1604" s="31"/>
      <c r="AC1604" s="31"/>
    </row>
    <row r="1605" spans="19:29" x14ac:dyDescent="0.25">
      <c r="S1605" s="31"/>
      <c r="X1605" s="31"/>
      <c r="Y1605" s="31"/>
      <c r="Z1605" s="31"/>
      <c r="AA1605" s="31"/>
      <c r="AB1605" s="31"/>
      <c r="AC1605" s="31"/>
    </row>
    <row r="1606" spans="19:29" x14ac:dyDescent="0.25">
      <c r="S1606" s="31"/>
      <c r="X1606" s="31"/>
      <c r="Y1606" s="31"/>
      <c r="Z1606" s="31"/>
      <c r="AA1606" s="31"/>
      <c r="AB1606" s="31"/>
      <c r="AC1606" s="31"/>
    </row>
    <row r="1607" spans="19:29" x14ac:dyDescent="0.25">
      <c r="S1607" s="31"/>
      <c r="X1607" s="31"/>
      <c r="Y1607" s="31"/>
      <c r="Z1607" s="31"/>
      <c r="AA1607" s="31"/>
      <c r="AB1607" s="31"/>
      <c r="AC1607" s="31"/>
    </row>
    <row r="1608" spans="19:29" x14ac:dyDescent="0.25">
      <c r="S1608" s="31"/>
      <c r="X1608" s="31"/>
      <c r="Y1608" s="31"/>
      <c r="Z1608" s="31"/>
      <c r="AA1608" s="31"/>
      <c r="AB1608" s="31"/>
      <c r="AC1608" s="31"/>
    </row>
    <row r="1609" spans="19:29" x14ac:dyDescent="0.25">
      <c r="S1609" s="31"/>
      <c r="X1609" s="31"/>
      <c r="Y1609" s="31"/>
      <c r="Z1609" s="31"/>
      <c r="AA1609" s="31"/>
      <c r="AB1609" s="31"/>
      <c r="AC1609" s="31"/>
    </row>
    <row r="1610" spans="19:29" x14ac:dyDescent="0.25">
      <c r="S1610" s="31"/>
      <c r="X1610" s="31"/>
      <c r="Y1610" s="31"/>
      <c r="Z1610" s="31"/>
      <c r="AA1610" s="31"/>
      <c r="AB1610" s="31"/>
      <c r="AC1610" s="31"/>
    </row>
    <row r="1611" spans="19:29" x14ac:dyDescent="0.25">
      <c r="S1611" s="31"/>
      <c r="X1611" s="31"/>
      <c r="Y1611" s="31"/>
      <c r="Z1611" s="31"/>
      <c r="AA1611" s="31"/>
      <c r="AB1611" s="31"/>
      <c r="AC1611" s="31"/>
    </row>
    <row r="1612" spans="19:29" x14ac:dyDescent="0.25">
      <c r="S1612" s="31"/>
      <c r="X1612" s="31"/>
      <c r="Y1612" s="31"/>
      <c r="Z1612" s="31"/>
      <c r="AA1612" s="31"/>
      <c r="AB1612" s="31"/>
      <c r="AC1612" s="31"/>
    </row>
    <row r="1613" spans="19:29" x14ac:dyDescent="0.25">
      <c r="S1613" s="31"/>
      <c r="X1613" s="31"/>
      <c r="Y1613" s="31"/>
      <c r="Z1613" s="31"/>
      <c r="AA1613" s="31"/>
      <c r="AB1613" s="31"/>
      <c r="AC1613" s="31"/>
    </row>
    <row r="1614" spans="19:29" x14ac:dyDescent="0.25">
      <c r="S1614" s="31"/>
      <c r="X1614" s="31"/>
      <c r="Y1614" s="31"/>
      <c r="Z1614" s="31"/>
      <c r="AA1614" s="31"/>
      <c r="AB1614" s="31"/>
      <c r="AC1614" s="31"/>
    </row>
    <row r="1615" spans="19:29" x14ac:dyDescent="0.25">
      <c r="S1615" s="31"/>
      <c r="X1615" s="31"/>
      <c r="Y1615" s="31"/>
      <c r="Z1615" s="31"/>
      <c r="AA1615" s="31"/>
      <c r="AB1615" s="31"/>
      <c r="AC1615" s="31"/>
    </row>
    <row r="1616" spans="19:29" x14ac:dyDescent="0.25">
      <c r="S1616" s="31"/>
      <c r="X1616" s="31"/>
      <c r="Y1616" s="31"/>
      <c r="Z1616" s="31"/>
      <c r="AA1616" s="31"/>
      <c r="AB1616" s="31"/>
      <c r="AC1616" s="31"/>
    </row>
    <row r="1617" spans="19:29" x14ac:dyDescent="0.25">
      <c r="S1617" s="31"/>
      <c r="X1617" s="31"/>
      <c r="Y1617" s="31"/>
      <c r="Z1617" s="31"/>
      <c r="AA1617" s="31"/>
      <c r="AB1617" s="31"/>
      <c r="AC1617" s="31"/>
    </row>
    <row r="1618" spans="19:29" x14ac:dyDescent="0.25">
      <c r="S1618" s="31"/>
      <c r="X1618" s="31"/>
      <c r="Y1618" s="31"/>
      <c r="Z1618" s="31"/>
      <c r="AA1618" s="31"/>
      <c r="AB1618" s="31"/>
      <c r="AC1618" s="31"/>
    </row>
    <row r="1619" spans="19:29" x14ac:dyDescent="0.25">
      <c r="S1619" s="31"/>
      <c r="X1619" s="31"/>
      <c r="Y1619" s="31"/>
      <c r="Z1619" s="31"/>
      <c r="AA1619" s="31"/>
      <c r="AB1619" s="31"/>
      <c r="AC1619" s="31"/>
    </row>
    <row r="1620" spans="19:29" x14ac:dyDescent="0.25">
      <c r="S1620" s="31"/>
      <c r="X1620" s="31"/>
      <c r="Y1620" s="31"/>
      <c r="Z1620" s="31"/>
      <c r="AA1620" s="31"/>
      <c r="AB1620" s="31"/>
      <c r="AC1620" s="31"/>
    </row>
    <row r="1621" spans="19:29" x14ac:dyDescent="0.25">
      <c r="S1621" s="31"/>
      <c r="X1621" s="31"/>
      <c r="Y1621" s="31"/>
      <c r="Z1621" s="31"/>
      <c r="AA1621" s="31"/>
      <c r="AB1621" s="31"/>
      <c r="AC1621" s="31"/>
    </row>
    <row r="1622" spans="19:29" x14ac:dyDescent="0.25">
      <c r="S1622" s="31"/>
      <c r="X1622" s="31"/>
      <c r="Y1622" s="31"/>
      <c r="Z1622" s="31"/>
      <c r="AA1622" s="31"/>
      <c r="AB1622" s="31"/>
      <c r="AC1622" s="31"/>
    </row>
    <row r="1623" spans="19:29" x14ac:dyDescent="0.25">
      <c r="S1623" s="31"/>
      <c r="X1623" s="31"/>
      <c r="Y1623" s="31"/>
      <c r="Z1623" s="31"/>
      <c r="AA1623" s="31"/>
      <c r="AB1623" s="31"/>
      <c r="AC1623" s="31"/>
    </row>
    <row r="1624" spans="19:29" x14ac:dyDescent="0.25">
      <c r="S1624" s="31"/>
      <c r="X1624" s="31"/>
      <c r="Y1624" s="31"/>
      <c r="Z1624" s="31"/>
      <c r="AA1624" s="31"/>
      <c r="AB1624" s="31"/>
      <c r="AC1624" s="31"/>
    </row>
    <row r="1625" spans="19:29" x14ac:dyDescent="0.25">
      <c r="S1625" s="31"/>
      <c r="X1625" s="31"/>
      <c r="Y1625" s="31"/>
      <c r="Z1625" s="31"/>
      <c r="AA1625" s="31"/>
      <c r="AB1625" s="31"/>
      <c r="AC1625" s="31"/>
    </row>
    <row r="1626" spans="19:29" x14ac:dyDescent="0.25">
      <c r="S1626" s="31"/>
      <c r="X1626" s="31"/>
      <c r="Y1626" s="31"/>
      <c r="Z1626" s="31"/>
      <c r="AA1626" s="31"/>
      <c r="AB1626" s="31"/>
      <c r="AC1626" s="31"/>
    </row>
    <row r="1627" spans="19:29" x14ac:dyDescent="0.25">
      <c r="S1627" s="31"/>
      <c r="X1627" s="31"/>
      <c r="Y1627" s="31"/>
      <c r="Z1627" s="31"/>
      <c r="AA1627" s="31"/>
      <c r="AB1627" s="31"/>
      <c r="AC1627" s="31"/>
    </row>
    <row r="1628" spans="19:29" x14ac:dyDescent="0.25">
      <c r="S1628" s="31"/>
      <c r="X1628" s="31"/>
      <c r="Y1628" s="31"/>
      <c r="Z1628" s="31"/>
      <c r="AA1628" s="31"/>
      <c r="AB1628" s="31"/>
      <c r="AC1628" s="31"/>
    </row>
    <row r="1629" spans="19:29" x14ac:dyDescent="0.25">
      <c r="S1629" s="31"/>
      <c r="X1629" s="31"/>
      <c r="Y1629" s="31"/>
      <c r="Z1629" s="31"/>
      <c r="AA1629" s="31"/>
      <c r="AB1629" s="31"/>
      <c r="AC1629" s="31"/>
    </row>
    <row r="1630" spans="19:29" x14ac:dyDescent="0.25">
      <c r="S1630" s="31"/>
      <c r="X1630" s="31"/>
      <c r="Y1630" s="31"/>
      <c r="Z1630" s="31"/>
      <c r="AA1630" s="31"/>
      <c r="AB1630" s="31"/>
      <c r="AC1630" s="31"/>
    </row>
    <row r="1631" spans="19:29" x14ac:dyDescent="0.25">
      <c r="S1631" s="31"/>
      <c r="X1631" s="31"/>
      <c r="Y1631" s="31"/>
      <c r="Z1631" s="31"/>
      <c r="AA1631" s="31"/>
      <c r="AB1631" s="31"/>
      <c r="AC1631" s="31"/>
    </row>
    <row r="1632" spans="19:29" x14ac:dyDescent="0.25">
      <c r="S1632" s="31"/>
      <c r="X1632" s="31"/>
      <c r="Y1632" s="31"/>
      <c r="Z1632" s="31"/>
      <c r="AA1632" s="31"/>
      <c r="AB1632" s="31"/>
      <c r="AC1632" s="31"/>
    </row>
    <row r="1633" spans="19:29" x14ac:dyDescent="0.25">
      <c r="S1633" s="31"/>
      <c r="X1633" s="31"/>
      <c r="Y1633" s="31"/>
      <c r="Z1633" s="31"/>
      <c r="AA1633" s="31"/>
      <c r="AB1633" s="31"/>
      <c r="AC1633" s="31"/>
    </row>
    <row r="1634" spans="19:29" x14ac:dyDescent="0.25">
      <c r="S1634" s="31"/>
      <c r="X1634" s="31"/>
      <c r="Y1634" s="31"/>
      <c r="Z1634" s="31"/>
      <c r="AA1634" s="31"/>
      <c r="AB1634" s="31"/>
      <c r="AC1634" s="31"/>
    </row>
    <row r="1635" spans="19:29" x14ac:dyDescent="0.25">
      <c r="S1635" s="31"/>
      <c r="X1635" s="31"/>
      <c r="Y1635" s="31"/>
      <c r="Z1635" s="31"/>
      <c r="AA1635" s="31"/>
      <c r="AB1635" s="31"/>
      <c r="AC1635" s="31"/>
    </row>
    <row r="1636" spans="19:29" x14ac:dyDescent="0.25">
      <c r="S1636" s="31"/>
      <c r="X1636" s="31"/>
      <c r="Y1636" s="31"/>
      <c r="Z1636" s="31"/>
      <c r="AA1636" s="31"/>
      <c r="AB1636" s="31"/>
      <c r="AC1636" s="31"/>
    </row>
    <row r="1637" spans="19:29" x14ac:dyDescent="0.25">
      <c r="S1637" s="31"/>
      <c r="X1637" s="31"/>
      <c r="Y1637" s="31"/>
      <c r="Z1637" s="31"/>
      <c r="AA1637" s="31"/>
      <c r="AB1637" s="31"/>
      <c r="AC1637" s="31"/>
    </row>
    <row r="1638" spans="19:29" x14ac:dyDescent="0.25">
      <c r="S1638" s="31"/>
      <c r="X1638" s="31"/>
      <c r="Y1638" s="31"/>
      <c r="Z1638" s="31"/>
      <c r="AA1638" s="31"/>
      <c r="AB1638" s="31"/>
      <c r="AC1638" s="31"/>
    </row>
    <row r="1639" spans="19:29" x14ac:dyDescent="0.25">
      <c r="S1639" s="31"/>
      <c r="X1639" s="31"/>
      <c r="Y1639" s="31"/>
      <c r="Z1639" s="31"/>
      <c r="AA1639" s="31"/>
      <c r="AB1639" s="31"/>
      <c r="AC1639" s="31"/>
    </row>
    <row r="1640" spans="19:29" x14ac:dyDescent="0.25">
      <c r="S1640" s="31"/>
      <c r="X1640" s="31"/>
      <c r="Y1640" s="31"/>
      <c r="Z1640" s="31"/>
      <c r="AA1640" s="31"/>
      <c r="AB1640" s="31"/>
      <c r="AC1640" s="31"/>
    </row>
    <row r="1641" spans="19:29" x14ac:dyDescent="0.25">
      <c r="S1641" s="31"/>
      <c r="X1641" s="31"/>
      <c r="Y1641" s="31"/>
      <c r="Z1641" s="31"/>
      <c r="AA1641" s="31"/>
      <c r="AB1641" s="31"/>
      <c r="AC1641" s="31"/>
    </row>
    <row r="1642" spans="19:29" x14ac:dyDescent="0.25">
      <c r="S1642" s="31"/>
      <c r="X1642" s="31"/>
      <c r="Y1642" s="31"/>
      <c r="Z1642" s="31"/>
      <c r="AA1642" s="31"/>
      <c r="AB1642" s="31"/>
      <c r="AC1642" s="31"/>
    </row>
    <row r="1643" spans="19:29" x14ac:dyDescent="0.25">
      <c r="S1643" s="31"/>
      <c r="X1643" s="31"/>
      <c r="Y1643" s="31"/>
      <c r="Z1643" s="31"/>
      <c r="AA1643" s="31"/>
      <c r="AB1643" s="31"/>
      <c r="AC1643" s="31"/>
    </row>
    <row r="1644" spans="19:29" x14ac:dyDescent="0.25">
      <c r="S1644" s="31"/>
      <c r="X1644" s="31"/>
      <c r="Y1644" s="31"/>
      <c r="Z1644" s="31"/>
      <c r="AA1644" s="31"/>
      <c r="AB1644" s="31"/>
      <c r="AC1644" s="31"/>
    </row>
    <row r="1645" spans="19:29" x14ac:dyDescent="0.25">
      <c r="S1645" s="31"/>
      <c r="X1645" s="31"/>
      <c r="Y1645" s="31"/>
      <c r="Z1645" s="31"/>
      <c r="AA1645" s="31"/>
      <c r="AB1645" s="31"/>
      <c r="AC1645" s="31"/>
    </row>
    <row r="1646" spans="19:29" x14ac:dyDescent="0.25">
      <c r="S1646" s="31"/>
      <c r="X1646" s="31"/>
      <c r="Y1646" s="31"/>
      <c r="Z1646" s="31"/>
      <c r="AA1646" s="31"/>
      <c r="AB1646" s="31"/>
      <c r="AC1646" s="31"/>
    </row>
    <row r="1647" spans="19:29" x14ac:dyDescent="0.25">
      <c r="S1647" s="31"/>
      <c r="X1647" s="31"/>
      <c r="Y1647" s="31"/>
      <c r="Z1647" s="31"/>
      <c r="AA1647" s="31"/>
      <c r="AB1647" s="31"/>
      <c r="AC1647" s="31"/>
    </row>
    <row r="1648" spans="19:29" x14ac:dyDescent="0.25">
      <c r="S1648" s="31"/>
      <c r="X1648" s="31"/>
      <c r="Y1648" s="31"/>
      <c r="Z1648" s="31"/>
      <c r="AA1648" s="31"/>
      <c r="AB1648" s="31"/>
      <c r="AC1648" s="31"/>
    </row>
  </sheetData>
  <autoFilter ref="A1:BO1044">
    <sortState ref="A2:BO1168">
      <sortCondition ref="A1:A1168"/>
    </sortState>
  </autoFilter>
  <sortState ref="A2:BO1042">
    <sortCondition ref="A2:A1042"/>
    <sortCondition ref="D2:D1042"/>
    <sortCondition ref="E2:E1042"/>
    <sortCondition descending="1" ref="F2:F1042"/>
    <sortCondition ref="J2:J1042"/>
  </sortState>
  <printOptions gridLines="1"/>
  <pageMargins left="0.74803149606299213" right="0.74803149606299213" top="0.98425196850393704" bottom="0.98425196850393704" header="0.51181102362204722" footer="0.51181102362204722"/>
  <pageSetup paperSize="9" scale="21"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C00000"/>
    <pageSetUpPr fitToPage="1"/>
  </sheetPr>
  <dimension ref="A1:S32"/>
  <sheetViews>
    <sheetView workbookViewId="0">
      <selection activeCell="H2" sqref="H2"/>
    </sheetView>
  </sheetViews>
  <sheetFormatPr defaultColWidth="8.85546875" defaultRowHeight="15" x14ac:dyDescent="0.25"/>
  <cols>
    <col min="1" max="1" width="22.42578125" bestFit="1" customWidth="1"/>
    <col min="2" max="2" width="22.42578125" customWidth="1"/>
  </cols>
  <sheetData>
    <row r="1" spans="1:19" ht="15.75" thickTop="1" x14ac:dyDescent="0.25">
      <c r="A1" s="53" t="s">
        <v>380</v>
      </c>
      <c r="B1" s="100"/>
      <c r="C1" s="54" t="s">
        <v>381</v>
      </c>
      <c r="D1" s="55" t="s">
        <v>72</v>
      </c>
      <c r="E1" s="54" t="s">
        <v>382</v>
      </c>
      <c r="F1" s="54" t="s">
        <v>386</v>
      </c>
      <c r="G1" s="54" t="s">
        <v>383</v>
      </c>
      <c r="H1" s="54" t="s">
        <v>384</v>
      </c>
      <c r="I1" s="55" t="s">
        <v>73</v>
      </c>
      <c r="J1" s="54" t="s">
        <v>385</v>
      </c>
      <c r="K1" s="99" t="s">
        <v>770</v>
      </c>
      <c r="L1" s="99" t="s">
        <v>342</v>
      </c>
      <c r="M1" s="56" t="s">
        <v>387</v>
      </c>
      <c r="N1" s="56" t="s">
        <v>443</v>
      </c>
      <c r="P1" s="49"/>
      <c r="Q1" s="49"/>
      <c r="R1" s="49"/>
      <c r="S1" s="49"/>
    </row>
    <row r="2" spans="1:19" x14ac:dyDescent="0.25">
      <c r="A2" s="211" t="s">
        <v>61</v>
      </c>
      <c r="B2" s="212"/>
      <c r="C2" s="286">
        <v>51362</v>
      </c>
      <c r="D2" s="286">
        <v>20766</v>
      </c>
      <c r="E2" s="286">
        <v>47928</v>
      </c>
      <c r="F2" s="286">
        <v>26554</v>
      </c>
      <c r="G2" s="286">
        <v>33396</v>
      </c>
      <c r="H2" s="286">
        <v>20757</v>
      </c>
      <c r="I2" s="286">
        <v>20766</v>
      </c>
      <c r="J2" s="286">
        <v>20757</v>
      </c>
      <c r="K2" s="287">
        <v>25235</v>
      </c>
      <c r="L2" s="287">
        <v>20766</v>
      </c>
      <c r="M2" s="288">
        <v>16920</v>
      </c>
      <c r="N2" s="288">
        <v>40095</v>
      </c>
      <c r="P2" s="15"/>
      <c r="Q2" s="15"/>
      <c r="R2" s="50"/>
      <c r="S2" s="50"/>
    </row>
    <row r="3" spans="1:19" x14ac:dyDescent="0.25">
      <c r="A3" s="211" t="s">
        <v>62</v>
      </c>
      <c r="B3" s="212"/>
      <c r="C3" s="286">
        <v>59096</v>
      </c>
      <c r="D3" s="286">
        <v>17442</v>
      </c>
      <c r="E3" s="286">
        <v>35430</v>
      </c>
      <c r="F3" s="286">
        <v>33465</v>
      </c>
      <c r="G3" s="286">
        <v>66137</v>
      </c>
      <c r="H3" s="286">
        <v>36082</v>
      </c>
      <c r="I3" s="286">
        <v>17442</v>
      </c>
      <c r="J3" s="286">
        <v>36082</v>
      </c>
      <c r="K3" s="286">
        <v>27976</v>
      </c>
      <c r="L3" s="286">
        <v>17442</v>
      </c>
      <c r="M3" s="288">
        <v>27913</v>
      </c>
      <c r="N3" s="288">
        <v>39398</v>
      </c>
    </row>
    <row r="4" spans="1:19" s="1" customFormat="1" ht="15.75" x14ac:dyDescent="0.25">
      <c r="A4" s="213" t="s">
        <v>1645</v>
      </c>
      <c r="B4" s="214"/>
      <c r="C4" s="215">
        <f t="shared" ref="C4:N4" si="0">SUM(C2:C3)</f>
        <v>110458</v>
      </c>
      <c r="D4" s="215">
        <f t="shared" si="0"/>
        <v>38208</v>
      </c>
      <c r="E4" s="215">
        <f t="shared" si="0"/>
        <v>83358</v>
      </c>
      <c r="F4" s="215">
        <f t="shared" si="0"/>
        <v>60019</v>
      </c>
      <c r="G4" s="215">
        <f t="shared" si="0"/>
        <v>99533</v>
      </c>
      <c r="H4" s="215">
        <f t="shared" si="0"/>
        <v>56839</v>
      </c>
      <c r="I4" s="215">
        <f t="shared" si="0"/>
        <v>38208</v>
      </c>
      <c r="J4" s="215">
        <f t="shared" si="0"/>
        <v>56839</v>
      </c>
      <c r="K4" s="215">
        <f t="shared" si="0"/>
        <v>53211</v>
      </c>
      <c r="L4" s="215">
        <f t="shared" si="0"/>
        <v>38208</v>
      </c>
      <c r="M4" s="216">
        <f t="shared" si="0"/>
        <v>44833</v>
      </c>
      <c r="N4" s="216">
        <f t="shared" si="0"/>
        <v>79493</v>
      </c>
      <c r="R4" s="1" t="s">
        <v>457</v>
      </c>
    </row>
    <row r="5" spans="1:19" x14ac:dyDescent="0.25">
      <c r="A5" s="217" t="s">
        <v>390</v>
      </c>
      <c r="B5" s="218"/>
      <c r="C5" s="289">
        <v>71500</v>
      </c>
      <c r="D5" s="289">
        <v>6000</v>
      </c>
      <c r="E5" s="289">
        <v>35700</v>
      </c>
      <c r="F5" s="289">
        <v>6000</v>
      </c>
      <c r="G5" s="289">
        <v>72600</v>
      </c>
      <c r="H5" s="289">
        <v>22600</v>
      </c>
      <c r="I5" s="289">
        <v>6000</v>
      </c>
      <c r="J5" s="289">
        <v>22600</v>
      </c>
      <c r="K5" s="290">
        <v>3600</v>
      </c>
      <c r="L5" s="290">
        <v>6000</v>
      </c>
      <c r="M5" s="291">
        <v>17900</v>
      </c>
      <c r="N5" s="291">
        <v>6000</v>
      </c>
      <c r="R5" s="19">
        <v>7.0000000000000007E-2</v>
      </c>
    </row>
    <row r="6" spans="1:19" ht="16.5" thickBot="1" x14ac:dyDescent="0.3">
      <c r="A6" s="51" t="s">
        <v>1645</v>
      </c>
      <c r="B6" s="101"/>
      <c r="C6" s="52">
        <f>SUM(C4:C5)</f>
        <v>181958</v>
      </c>
      <c r="D6" s="52">
        <f t="shared" ref="D6:N6" si="1">SUM(D4:D5)</f>
        <v>44208</v>
      </c>
      <c r="E6" s="52">
        <f t="shared" si="1"/>
        <v>119058</v>
      </c>
      <c r="F6" s="52">
        <f t="shared" si="1"/>
        <v>66019</v>
      </c>
      <c r="G6" s="52">
        <f t="shared" si="1"/>
        <v>172133</v>
      </c>
      <c r="H6" s="52">
        <f t="shared" si="1"/>
        <v>79439</v>
      </c>
      <c r="I6" s="52">
        <f t="shared" si="1"/>
        <v>44208</v>
      </c>
      <c r="J6" s="52">
        <f t="shared" si="1"/>
        <v>79439</v>
      </c>
      <c r="K6" s="52">
        <f t="shared" si="1"/>
        <v>56811</v>
      </c>
      <c r="L6" s="52">
        <f t="shared" si="1"/>
        <v>44208</v>
      </c>
      <c r="M6" s="52">
        <f t="shared" si="1"/>
        <v>62733</v>
      </c>
      <c r="N6" s="52">
        <f t="shared" si="1"/>
        <v>85493</v>
      </c>
    </row>
    <row r="7" spans="1:19" ht="15.75" thickTop="1" x14ac:dyDescent="0.25">
      <c r="A7" s="46"/>
      <c r="B7" s="46"/>
      <c r="C7" s="48"/>
      <c r="D7" s="47"/>
      <c r="E7" s="47"/>
      <c r="F7" s="45"/>
    </row>
    <row r="8" spans="1:19" x14ac:dyDescent="0.25">
      <c r="A8" s="46"/>
      <c r="B8" s="46"/>
      <c r="C8" s="63"/>
      <c r="D8" s="63"/>
      <c r="E8" s="63"/>
      <c r="F8" s="45"/>
      <c r="G8" s="64"/>
      <c r="H8" s="64"/>
      <c r="I8" s="64"/>
      <c r="J8" s="64"/>
      <c r="K8" s="64"/>
      <c r="L8" s="64"/>
      <c r="M8" s="64"/>
      <c r="N8" s="64"/>
    </row>
    <row r="20" spans="1:14" x14ac:dyDescent="0.25">
      <c r="A20" s="37" t="s">
        <v>2314</v>
      </c>
    </row>
    <row r="21" spans="1:14" x14ac:dyDescent="0.25">
      <c r="A21" s="15" t="s">
        <v>380</v>
      </c>
      <c r="B21" s="15"/>
      <c r="C21" s="15" t="s">
        <v>381</v>
      </c>
      <c r="D21" s="15" t="s">
        <v>72</v>
      </c>
      <c r="E21" s="15" t="s">
        <v>382</v>
      </c>
      <c r="F21" s="15" t="s">
        <v>386</v>
      </c>
      <c r="G21" s="40" t="s">
        <v>383</v>
      </c>
      <c r="H21" s="15" t="s">
        <v>384</v>
      </c>
      <c r="I21" s="15" t="s">
        <v>73</v>
      </c>
      <c r="J21" s="15" t="s">
        <v>385</v>
      </c>
      <c r="K21" s="15" t="s">
        <v>770</v>
      </c>
      <c r="L21" s="15" t="s">
        <v>342</v>
      </c>
      <c r="M21" s="15" t="s">
        <v>387</v>
      </c>
      <c r="N21" s="15" t="s">
        <v>443</v>
      </c>
    </row>
    <row r="22" spans="1:14" x14ac:dyDescent="0.25">
      <c r="A22" t="s">
        <v>61</v>
      </c>
      <c r="C22" s="15">
        <v>48895</v>
      </c>
      <c r="D22" s="15">
        <v>19097</v>
      </c>
      <c r="E22" s="15">
        <v>45856</v>
      </c>
      <c r="F22" s="15">
        <v>24104</v>
      </c>
      <c r="G22" s="15">
        <v>31433</v>
      </c>
      <c r="H22" s="15">
        <v>19863</v>
      </c>
      <c r="I22" s="15">
        <v>19097</v>
      </c>
      <c r="J22" s="15">
        <v>19863</v>
      </c>
      <c r="K22" s="15">
        <v>24740</v>
      </c>
      <c r="L22" s="15">
        <v>19097</v>
      </c>
      <c r="M22" s="15">
        <v>16181</v>
      </c>
      <c r="N22" s="15">
        <v>38819</v>
      </c>
    </row>
    <row r="23" spans="1:14" x14ac:dyDescent="0.25">
      <c r="A23" t="s">
        <v>62</v>
      </c>
      <c r="C23" s="15">
        <v>58097</v>
      </c>
      <c r="D23" s="15">
        <v>16075</v>
      </c>
      <c r="E23" s="15">
        <v>34830</v>
      </c>
      <c r="F23" s="15">
        <v>31432</v>
      </c>
      <c r="G23" s="15">
        <v>65018</v>
      </c>
      <c r="H23" s="15">
        <v>35472</v>
      </c>
      <c r="I23" s="15">
        <v>16075</v>
      </c>
      <c r="J23" s="15">
        <v>35472</v>
      </c>
      <c r="K23" s="15">
        <v>27503</v>
      </c>
      <c r="L23" s="15">
        <v>16075</v>
      </c>
      <c r="M23" s="15">
        <v>27441</v>
      </c>
      <c r="N23" s="15">
        <v>38732</v>
      </c>
    </row>
    <row r="24" spans="1:14" x14ac:dyDescent="0.25">
      <c r="A24" t="s">
        <v>1645</v>
      </c>
      <c r="C24" s="15">
        <v>106992</v>
      </c>
      <c r="D24" s="15">
        <v>35172</v>
      </c>
      <c r="E24" s="15">
        <v>80686</v>
      </c>
      <c r="F24" s="15">
        <v>55536</v>
      </c>
      <c r="G24" s="15">
        <v>96451</v>
      </c>
      <c r="H24" s="15">
        <v>55335</v>
      </c>
      <c r="I24" s="15">
        <v>35172</v>
      </c>
      <c r="J24" s="15">
        <v>55335</v>
      </c>
      <c r="K24" s="15">
        <v>52243</v>
      </c>
      <c r="L24" s="15">
        <v>35172</v>
      </c>
      <c r="M24" s="15">
        <v>43622</v>
      </c>
      <c r="N24" s="15">
        <v>77551</v>
      </c>
    </row>
    <row r="25" spans="1:14" x14ac:dyDescent="0.25">
      <c r="A25" t="s">
        <v>390</v>
      </c>
      <c r="C25" s="15">
        <v>70300</v>
      </c>
      <c r="D25" s="15">
        <v>5900</v>
      </c>
      <c r="E25" s="15">
        <v>35200</v>
      </c>
      <c r="F25" s="15">
        <v>5900</v>
      </c>
      <c r="G25" s="15">
        <v>71400</v>
      </c>
      <c r="H25" s="15">
        <v>22200</v>
      </c>
      <c r="I25" s="15">
        <v>5900</v>
      </c>
      <c r="J25" s="15">
        <v>22200</v>
      </c>
      <c r="K25" s="15">
        <v>3500</v>
      </c>
      <c r="L25" s="15">
        <v>5900</v>
      </c>
      <c r="M25" s="15">
        <v>17600</v>
      </c>
      <c r="N25" s="15">
        <v>5900</v>
      </c>
    </row>
    <row r="26" spans="1:14" x14ac:dyDescent="0.25">
      <c r="A26" s="416" t="s">
        <v>1645</v>
      </c>
      <c r="B26" s="416"/>
      <c r="C26" s="424">
        <v>177292</v>
      </c>
      <c r="D26" s="424">
        <v>41072</v>
      </c>
      <c r="E26" s="424">
        <v>115886</v>
      </c>
      <c r="F26" s="424">
        <v>61436</v>
      </c>
      <c r="G26" s="424">
        <v>167851</v>
      </c>
      <c r="H26" s="424">
        <v>77535</v>
      </c>
      <c r="I26" s="424">
        <v>41072</v>
      </c>
      <c r="J26" s="424">
        <v>77535</v>
      </c>
      <c r="K26" s="424">
        <v>55743</v>
      </c>
      <c r="L26" s="424">
        <v>41072</v>
      </c>
      <c r="M26" s="424">
        <v>61222</v>
      </c>
      <c r="N26" s="424">
        <v>83451</v>
      </c>
    </row>
    <row r="28" spans="1:14" x14ac:dyDescent="0.25">
      <c r="C28" s="15"/>
      <c r="D28" s="15"/>
      <c r="E28" s="15"/>
      <c r="F28" s="15"/>
      <c r="G28" s="15"/>
      <c r="H28" s="15"/>
      <c r="I28" s="15"/>
      <c r="J28" s="15"/>
      <c r="K28" s="15"/>
      <c r="L28" s="15"/>
      <c r="M28" s="15"/>
      <c r="N28" s="15"/>
    </row>
    <row r="32" spans="1:14" x14ac:dyDescent="0.25">
      <c r="C32" s="15">
        <f>C6-C26</f>
        <v>4666</v>
      </c>
      <c r="D32" s="15">
        <f t="shared" ref="D32:N32" si="2">D6-D26</f>
        <v>3136</v>
      </c>
      <c r="E32" s="15">
        <f t="shared" si="2"/>
        <v>3172</v>
      </c>
      <c r="F32" s="15">
        <f t="shared" si="2"/>
        <v>4583</v>
      </c>
      <c r="G32" s="15">
        <f t="shared" si="2"/>
        <v>4282</v>
      </c>
      <c r="H32" s="15">
        <f t="shared" si="2"/>
        <v>1904</v>
      </c>
      <c r="I32" s="15">
        <f t="shared" si="2"/>
        <v>3136</v>
      </c>
      <c r="J32" s="15">
        <f t="shared" si="2"/>
        <v>1904</v>
      </c>
      <c r="K32" s="15">
        <f t="shared" si="2"/>
        <v>1068</v>
      </c>
      <c r="L32" s="15">
        <f t="shared" si="2"/>
        <v>3136</v>
      </c>
      <c r="M32" s="15">
        <f t="shared" si="2"/>
        <v>1511</v>
      </c>
      <c r="N32" s="15">
        <f t="shared" si="2"/>
        <v>2042</v>
      </c>
    </row>
  </sheetData>
  <sheetProtection sheet="1" objects="1" scenarios="1"/>
  <sortState ref="A22:E30">
    <sortCondition ref="A22:A30"/>
  </sortState>
  <phoneticPr fontId="14" type="noConversion"/>
  <pageMargins left="0.74803149606299213" right="0.74803149606299213" top="0.98425196850393704" bottom="0.98425196850393704" header="0.51181102362204722" footer="0.51181102362204722"/>
  <pageSetup paperSize="9" scale="68" orientation="landscape" r:id="rId1"/>
  <headerFooter alignWithMargins="0">
    <oddHeader>&amp;R&amp;F</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7">
    <tabColor rgb="FFC00000"/>
    <pageSetUpPr fitToPage="1"/>
  </sheetPr>
  <dimension ref="A1:XER992"/>
  <sheetViews>
    <sheetView zoomScaleNormal="100" workbookViewId="0">
      <pane ySplit="1" topLeftCell="A2" activePane="bottomLeft" state="frozen"/>
      <selection activeCell="A6" sqref="A6"/>
      <selection pane="bottomLeft"/>
    </sheetView>
  </sheetViews>
  <sheetFormatPr defaultColWidth="8.85546875" defaultRowHeight="15" x14ac:dyDescent="0.25"/>
  <cols>
    <col min="1" max="1" width="14.140625" style="31" bestFit="1" customWidth="1"/>
    <col min="2" max="2" width="65.140625" style="31" customWidth="1"/>
    <col min="3" max="3" width="5.5703125" style="31" bestFit="1" customWidth="1"/>
    <col min="4" max="4" width="7" style="31" bestFit="1" customWidth="1"/>
    <col min="5" max="5" width="6" style="31" customWidth="1"/>
    <col min="6" max="6" width="7" style="31" bestFit="1" customWidth="1"/>
    <col min="7" max="7" width="6.140625" style="31" customWidth="1"/>
    <col min="8" max="9" width="6" style="31" bestFit="1" customWidth="1"/>
    <col min="10" max="11" width="6.140625" style="31" customWidth="1"/>
    <col min="12" max="12" width="5.42578125" style="31" bestFit="1" customWidth="1"/>
    <col min="13" max="13" width="6" style="31" customWidth="1"/>
    <col min="14" max="14" width="5" style="31" bestFit="1" customWidth="1"/>
    <col min="15" max="15" width="15.140625" style="31" bestFit="1" customWidth="1"/>
    <col min="16" max="16" width="14.85546875" style="31" bestFit="1" customWidth="1"/>
    <col min="17" max="17" width="12.140625" style="31" customWidth="1"/>
    <col min="18" max="18" width="11.42578125" style="31" customWidth="1"/>
    <col min="19" max="19" width="41" style="31" customWidth="1"/>
    <col min="20" max="20" width="28.42578125" style="31" customWidth="1"/>
    <col min="21" max="21" width="13.42578125" style="31" customWidth="1"/>
    <col min="22" max="25" width="11.42578125" style="31" bestFit="1" customWidth="1"/>
    <col min="26" max="26" width="17.5703125" style="31" bestFit="1" customWidth="1"/>
    <col min="27" max="16384" width="8.85546875" style="31"/>
  </cols>
  <sheetData>
    <row r="1" spans="1:26" s="32" customFormat="1" ht="14.25" x14ac:dyDescent="0.2">
      <c r="A1" s="32" t="s">
        <v>59</v>
      </c>
      <c r="B1" s="32" t="s">
        <v>158</v>
      </c>
      <c r="C1" s="32" t="s">
        <v>130</v>
      </c>
      <c r="D1" s="32" t="s">
        <v>131</v>
      </c>
      <c r="E1" s="32" t="s">
        <v>132</v>
      </c>
      <c r="F1" s="32" t="s">
        <v>133</v>
      </c>
      <c r="G1" s="32" t="s">
        <v>134</v>
      </c>
      <c r="H1" s="32" t="s">
        <v>135</v>
      </c>
      <c r="I1" s="32" t="s">
        <v>136</v>
      </c>
      <c r="J1" s="32" t="s">
        <v>126</v>
      </c>
      <c r="K1" s="32" t="s">
        <v>770</v>
      </c>
      <c r="L1" s="32" t="s">
        <v>342</v>
      </c>
      <c r="M1" s="32" t="s">
        <v>137</v>
      </c>
      <c r="N1" s="32" t="s">
        <v>322</v>
      </c>
      <c r="O1" s="32" t="s">
        <v>388</v>
      </c>
      <c r="P1" s="32" t="s">
        <v>389</v>
      </c>
      <c r="Q1" s="32" t="s">
        <v>390</v>
      </c>
      <c r="R1" s="32" t="s">
        <v>1352</v>
      </c>
      <c r="S1" s="190" t="s">
        <v>980</v>
      </c>
      <c r="T1" s="190" t="s">
        <v>981</v>
      </c>
      <c r="U1" s="190"/>
      <c r="V1" s="190"/>
      <c r="W1" s="190"/>
      <c r="X1" s="190"/>
      <c r="Y1" s="190"/>
      <c r="Z1" s="190"/>
    </row>
    <row r="2" spans="1:26" x14ac:dyDescent="0.25">
      <c r="A2" s="31" t="s">
        <v>1358</v>
      </c>
      <c r="B2" s="31" t="s">
        <v>1359</v>
      </c>
      <c r="D2" s="31">
        <v>1</v>
      </c>
      <c r="O2" s="40">
        <f>C2*Prislapp!$C$2+D2*Prislapp!$D$2+E2*Prislapp!$E$2+F2*Prislapp!$F$2+G2*Prislapp!$G$2+H2*Prislapp!$H$2+I2*Prislapp!$I$2+J2*Prislapp!$J$2+K2*Prislapp!$K$2+L2*Prislapp!$L$2+M2*Prislapp!$M$2+N2*Prislapp!$N$2</f>
        <v>20766</v>
      </c>
      <c r="P2" s="40">
        <f>C2*Prislapp!$C$3+D2*Prislapp!$D$3+E2*Prislapp!$E$3+F2*Prislapp!$F$3+G2*Prislapp!$G$3+H2*Prislapp!$H$3+I2*Prislapp!$I$3+J2*Prislapp!$J$3+K2*Prislapp!$K$3+M2*Prislapp!$M$3+N2*Prislapp!$N$3+L2*Prislapp!$L$3</f>
        <v>17442</v>
      </c>
      <c r="Q2" s="40">
        <f>C2*Prislapp!$C$5+D2*Prislapp!$D$5+E2*Prislapp!$E$5+F2*Prislapp!$F$5+G2*Prislapp!$G$5+H2*Prislapp!$H$5+I2*Prislapp!$I$5+J2*Prislapp!$J$5+K2*Prislapp!$K$5+L2*Prislapp!$L$5+M2*Prislapp!$M$5+N2*Prislapp!$N$5</f>
        <v>6000</v>
      </c>
      <c r="R2" s="9">
        <f>VLOOKUP(A2,'Ansvar kurs'!$A$2:$B$943,2,FALSE)</f>
        <v>1620</v>
      </c>
      <c r="S2" s="157"/>
      <c r="T2" s="157"/>
      <c r="U2" s="157"/>
      <c r="V2" s="157"/>
      <c r="W2" s="157"/>
      <c r="X2" s="157"/>
      <c r="Y2" s="157"/>
      <c r="Z2" s="157"/>
    </row>
    <row r="3" spans="1:26" x14ac:dyDescent="0.25">
      <c r="A3" s="31" t="s">
        <v>1360</v>
      </c>
      <c r="B3" s="31" t="s">
        <v>1361</v>
      </c>
      <c r="D3" s="31">
        <v>1</v>
      </c>
      <c r="O3" s="40">
        <f>C3*Prislapp!$C$2+D3*Prislapp!$D$2+E3*Prislapp!$E$2+F3*Prislapp!$F$2+G3*Prislapp!$G$2+H3*Prislapp!$H$2+I3*Prislapp!$I$2+J3*Prislapp!$J$2+K3*Prislapp!$K$2+L3*Prislapp!$L$2+M3*Prislapp!$M$2+N3*Prislapp!$N$2</f>
        <v>20766</v>
      </c>
      <c r="P3" s="40">
        <f>C3*Prislapp!$C$3+D3*Prislapp!$D$3+E3*Prislapp!$E$3+F3*Prislapp!$F$3+G3*Prislapp!$G$3+H3*Prislapp!$H$3+I3*Prislapp!$I$3+J3*Prislapp!$J$3+K3*Prislapp!$K$3+M3*Prislapp!$M$3+N3*Prislapp!$N$3+L3*Prislapp!$L$3</f>
        <v>17442</v>
      </c>
      <c r="Q3" s="40">
        <f>C3*Prislapp!$C$5+D3*Prislapp!$D$5+E3*Prislapp!$E$5+F3*Prislapp!$F$5+G3*Prislapp!$G$5+H3*Prislapp!$H$5+I3*Prislapp!$I$5+J3*Prislapp!$J$5+K3*Prislapp!$K$5+L3*Prislapp!$L$5+M3*Prislapp!$M$5+N3*Prislapp!$N$5</f>
        <v>6000</v>
      </c>
      <c r="R3" s="9">
        <f>VLOOKUP(A3,'Ansvar kurs'!$A$2:$B$943,2,FALSE)</f>
        <v>1620</v>
      </c>
      <c r="S3" s="157"/>
      <c r="T3" s="157"/>
      <c r="U3" s="157"/>
      <c r="V3" s="157"/>
      <c r="W3" s="157"/>
      <c r="X3" s="157"/>
      <c r="Y3" s="157"/>
      <c r="Z3" s="157"/>
    </row>
    <row r="4" spans="1:26" x14ac:dyDescent="0.25">
      <c r="A4" s="31" t="s">
        <v>1362</v>
      </c>
      <c r="B4" s="31" t="s">
        <v>1363</v>
      </c>
      <c r="D4" s="31">
        <v>1</v>
      </c>
      <c r="O4" s="40">
        <f>C4*Prislapp!$C$2+D4*Prislapp!$D$2+E4*Prislapp!$E$2+F4*Prislapp!$F$2+G4*Prislapp!$G$2+H4*Prislapp!$H$2+I4*Prislapp!$I$2+J4*Prislapp!$J$2+K4*Prislapp!$K$2+L4*Prislapp!$L$2+M4*Prislapp!$M$2+N4*Prislapp!$N$2</f>
        <v>20766</v>
      </c>
      <c r="P4" s="40">
        <f>C4*Prislapp!$C$3+D4*Prislapp!$D$3+E4*Prislapp!$E$3+F4*Prislapp!$F$3+G4*Prislapp!$G$3+H4*Prislapp!$H$3+I4*Prislapp!$I$3+J4*Prislapp!$J$3+K4*Prislapp!$K$3+M4*Prislapp!$M$3+N4*Prislapp!$N$3+L4*Prislapp!$L$3</f>
        <v>17442</v>
      </c>
      <c r="Q4" s="40">
        <f>C4*Prislapp!$C$5+D4*Prislapp!$D$5+E4*Prislapp!$E$5+F4*Prislapp!$F$5+G4*Prislapp!$G$5+H4*Prislapp!$H$5+I4*Prislapp!$I$5+J4*Prislapp!$J$5+K4*Prislapp!$K$5+L4*Prislapp!$L$5+M4*Prislapp!$M$5+N4*Prislapp!$N$5</f>
        <v>6000</v>
      </c>
      <c r="R4" s="9">
        <f>VLOOKUP(A4,'Ansvar kurs'!$A$2:$B$943,2,FALSE)</f>
        <v>1620</v>
      </c>
      <c r="S4" s="157"/>
      <c r="T4" s="157"/>
      <c r="U4" s="157"/>
      <c r="V4" s="157"/>
      <c r="W4" s="157"/>
      <c r="X4" s="157"/>
      <c r="Y4" s="157"/>
      <c r="Z4" s="157"/>
    </row>
    <row r="5" spans="1:26" x14ac:dyDescent="0.25">
      <c r="A5" s="60" t="s">
        <v>2379</v>
      </c>
      <c r="B5" s="57" t="s">
        <v>2403</v>
      </c>
      <c r="D5" s="31">
        <v>1</v>
      </c>
      <c r="O5" s="40">
        <f>C5*Prislapp!$C$2+D5*Prislapp!$D$2+E5*Prislapp!$E$2+F5*Prislapp!$F$2+G5*Prislapp!$G$2+H5*Prislapp!$H$2+I5*Prislapp!$I$2+J5*Prislapp!$J$2+K5*Prislapp!$K$2+L5*Prislapp!$L$2+M5*Prislapp!$M$2+N5*Prislapp!$N$2</f>
        <v>20766</v>
      </c>
      <c r="P5" s="40">
        <f>C5*Prislapp!$C$3+D5*Prislapp!$D$3+E5*Prislapp!$E$3+F5*Prislapp!$F$3+G5*Prislapp!$G$3+H5*Prislapp!$H$3+I5*Prislapp!$I$3+J5*Prislapp!$J$3+K5*Prislapp!$K$3+M5*Prislapp!$M$3+N5*Prislapp!$N$3+L5*Prislapp!$L$3</f>
        <v>17442</v>
      </c>
      <c r="Q5" s="40">
        <f>C5*Prislapp!$C$5+D5*Prislapp!$D$5+E5*Prislapp!$E$5+F5*Prislapp!$F$5+G5*Prislapp!$G$5+H5*Prislapp!$H$5+I5*Prislapp!$I$5+J5*Prislapp!$J$5+K5*Prislapp!$K$5+L5*Prislapp!$L$5+M5*Prislapp!$M$5+N5*Prislapp!$N$5</f>
        <v>6000</v>
      </c>
      <c r="R5" s="9">
        <f>VLOOKUP(A5,'Ansvar kurs'!$A$2:$B$943,2,FALSE)</f>
        <v>1620</v>
      </c>
      <c r="S5" s="157"/>
      <c r="T5" s="157"/>
      <c r="U5" s="157"/>
      <c r="V5" s="157"/>
      <c r="W5" s="157"/>
      <c r="X5" s="157"/>
      <c r="Y5" s="157"/>
      <c r="Z5" s="157"/>
    </row>
    <row r="6" spans="1:26" x14ac:dyDescent="0.25">
      <c r="A6" s="60" t="s">
        <v>2380</v>
      </c>
      <c r="B6" s="57" t="s">
        <v>2404</v>
      </c>
      <c r="D6" s="31">
        <v>1</v>
      </c>
      <c r="O6" s="40">
        <f>C6*Prislapp!$C$2+D6*Prislapp!$D$2+E6*Prislapp!$E$2+F6*Prislapp!$F$2+G6*Prislapp!$G$2+H6*Prislapp!$H$2+I6*Prislapp!$I$2+J6*Prislapp!$J$2+K6*Prislapp!$K$2+L6*Prislapp!$L$2+M6*Prislapp!$M$2+N6*Prislapp!$N$2</f>
        <v>20766</v>
      </c>
      <c r="P6" s="40">
        <f>C6*Prislapp!$C$3+D6*Prislapp!$D$3+E6*Prislapp!$E$3+F6*Prislapp!$F$3+G6*Prislapp!$G$3+H6*Prislapp!$H$3+I6*Prislapp!$I$3+J6*Prislapp!$J$3+K6*Prislapp!$K$3+M6*Prislapp!$M$3+N6*Prislapp!$N$3+L6*Prislapp!$L$3</f>
        <v>17442</v>
      </c>
      <c r="Q6" s="40">
        <f>C6*Prislapp!$C$5+D6*Prislapp!$D$5+E6*Prislapp!$E$5+F6*Prislapp!$F$5+G6*Prislapp!$G$5+H6*Prislapp!$H$5+I6*Prislapp!$I$5+J6*Prislapp!$J$5+K6*Prislapp!$K$5+L6*Prislapp!$L$5+M6*Prislapp!$M$5+N6*Prislapp!$N$5</f>
        <v>6000</v>
      </c>
      <c r="R6" s="9">
        <f>VLOOKUP(A6,'Ansvar kurs'!$A$2:$B$943,2,FALSE)</f>
        <v>1620</v>
      </c>
      <c r="S6" s="157"/>
      <c r="T6" s="157"/>
      <c r="U6" s="157"/>
      <c r="V6" s="157"/>
      <c r="W6" s="157"/>
      <c r="X6" s="157"/>
      <c r="Y6" s="157"/>
      <c r="Z6" s="157"/>
    </row>
    <row r="7" spans="1:26" x14ac:dyDescent="0.25">
      <c r="A7" s="31" t="s">
        <v>1468</v>
      </c>
      <c r="B7" s="31" t="s">
        <v>1479</v>
      </c>
      <c r="D7" s="31">
        <v>1</v>
      </c>
      <c r="O7" s="40">
        <f>C7*Prislapp!$C$2+D7*Prislapp!$D$2+E7*Prislapp!$E$2+F7*Prislapp!$F$2+G7*Prislapp!$G$2+H7*Prislapp!$H$2+I7*Prislapp!$I$2+J7*Prislapp!$J$2+K7*Prislapp!$K$2+L7*Prislapp!$L$2+M7*Prislapp!$M$2+N7*Prislapp!$N$2</f>
        <v>20766</v>
      </c>
      <c r="P7" s="40">
        <f>C7*Prislapp!$C$3+D7*Prislapp!$D$3+E7*Prislapp!$E$3+F7*Prislapp!$F$3+G7*Prislapp!$G$3+H7*Prislapp!$H$3+I7*Prislapp!$I$3+J7*Prislapp!$J$3+K7*Prislapp!$K$3+M7*Prislapp!$M$3+N7*Prislapp!$N$3+L7*Prislapp!$L$3</f>
        <v>17442</v>
      </c>
      <c r="Q7" s="40">
        <f>C7*Prislapp!$C$5+D7*Prislapp!$D$5+E7*Prislapp!$E$5+F7*Prislapp!$F$5+G7*Prislapp!$G$5+H7*Prislapp!$H$5+I7*Prislapp!$I$5+J7*Prislapp!$J$5+K7*Prislapp!$K$5+L7*Prislapp!$L$5+M7*Prislapp!$M$5+N7*Prislapp!$N$5</f>
        <v>6000</v>
      </c>
      <c r="R7" s="9">
        <f>VLOOKUP(A7,'Ansvar kurs'!$A$2:$B$943,2,FALSE)</f>
        <v>1620</v>
      </c>
      <c r="S7" s="157"/>
      <c r="T7" s="157"/>
      <c r="U7" s="157"/>
      <c r="V7" s="157"/>
      <c r="W7" s="157"/>
      <c r="X7" s="157"/>
      <c r="Y7" s="157"/>
      <c r="Z7" s="157"/>
    </row>
    <row r="8" spans="1:26" x14ac:dyDescent="0.25">
      <c r="A8" s="31" t="s">
        <v>1469</v>
      </c>
      <c r="B8" s="31" t="s">
        <v>1480</v>
      </c>
      <c r="D8" s="31">
        <v>1</v>
      </c>
      <c r="O8" s="40">
        <f>C8*Prislapp!$C$2+D8*Prislapp!$D$2+E8*Prislapp!$E$2+F8*Prislapp!$F$2+G8*Prislapp!$G$2+H8*Prislapp!$H$2+I8*Prislapp!$I$2+J8*Prislapp!$J$2+K8*Prislapp!$K$2+L8*Prislapp!$L$2+M8*Prislapp!$M$2+N8*Prislapp!$N$2</f>
        <v>20766</v>
      </c>
      <c r="P8" s="40">
        <f>C8*Prislapp!$C$3+D8*Prislapp!$D$3+E8*Prislapp!$E$3+F8*Prislapp!$F$3+G8*Prislapp!$G$3+H8*Prislapp!$H$3+I8*Prislapp!$I$3+J8*Prislapp!$J$3+K8*Prislapp!$K$3+M8*Prislapp!$M$3+N8*Prislapp!$N$3+L8*Prislapp!$L$3</f>
        <v>17442</v>
      </c>
      <c r="Q8" s="40">
        <f>C8*Prislapp!$C$5+D8*Prislapp!$D$5+E8*Prislapp!$E$5+F8*Prislapp!$F$5+G8*Prislapp!$G$5+H8*Prislapp!$H$5+I8*Prislapp!$I$5+J8*Prislapp!$J$5+K8*Prislapp!$K$5+L8*Prislapp!$L$5+M8*Prislapp!$M$5+N8*Prislapp!$N$5</f>
        <v>6000</v>
      </c>
      <c r="R8" s="9">
        <f>VLOOKUP(A8,'Ansvar kurs'!$A$2:$B$943,2,FALSE)</f>
        <v>1620</v>
      </c>
      <c r="S8" s="157"/>
      <c r="T8" s="157"/>
      <c r="U8" s="157"/>
      <c r="V8" s="157"/>
      <c r="W8" s="157"/>
      <c r="X8" s="157"/>
      <c r="Y8" s="157"/>
      <c r="Z8" s="157"/>
    </row>
    <row r="9" spans="1:26" x14ac:dyDescent="0.25">
      <c r="A9" s="31" t="s">
        <v>1470</v>
      </c>
      <c r="B9" s="31" t="s">
        <v>359</v>
      </c>
      <c r="D9" s="31">
        <v>1</v>
      </c>
      <c r="O9" s="40">
        <f>C9*Prislapp!$C$2+D9*Prislapp!$D$2+E9*Prislapp!$E$2+F9*Prislapp!$F$2+G9*Prislapp!$G$2+H9*Prislapp!$H$2+I9*Prislapp!$I$2+J9*Prislapp!$J$2+K9*Prislapp!$K$2+L9*Prislapp!$L$2+M9*Prislapp!$M$2+N9*Prislapp!$N$2</f>
        <v>20766</v>
      </c>
      <c r="P9" s="40">
        <f>C9*Prislapp!$C$3+D9*Prislapp!$D$3+E9*Prislapp!$E$3+F9*Prislapp!$F$3+G9*Prislapp!$G$3+H9*Prislapp!$H$3+I9*Prislapp!$I$3+J9*Prislapp!$J$3+K9*Prislapp!$K$3+M9*Prislapp!$M$3+N9*Prislapp!$N$3+L9*Prislapp!$L$3</f>
        <v>17442</v>
      </c>
      <c r="Q9" s="40">
        <f>C9*Prislapp!$C$5+D9*Prislapp!$D$5+E9*Prislapp!$E$5+F9*Prislapp!$F$5+G9*Prislapp!$G$5+H9*Prislapp!$H$5+I9*Prislapp!$I$5+J9*Prislapp!$J$5+K9*Prislapp!$K$5+L9*Prislapp!$L$5+M9*Prislapp!$M$5+N9*Prislapp!$N$5</f>
        <v>6000</v>
      </c>
      <c r="R9" s="9">
        <f>VLOOKUP(A9,'Ansvar kurs'!$A$2:$B$943,2,FALSE)</f>
        <v>1630</v>
      </c>
      <c r="S9" s="157"/>
      <c r="T9" s="157"/>
      <c r="U9" s="157"/>
      <c r="V9" s="157"/>
      <c r="W9" s="157"/>
      <c r="X9" s="157"/>
      <c r="Y9" s="157"/>
      <c r="Z9" s="157"/>
    </row>
    <row r="10" spans="1:26" x14ac:dyDescent="0.25">
      <c r="A10" s="31" t="s">
        <v>2337</v>
      </c>
      <c r="B10" s="31" t="s">
        <v>2349</v>
      </c>
      <c r="D10" s="31">
        <v>1</v>
      </c>
      <c r="O10" s="40">
        <f>C10*Prislapp!$C$2+D10*Prislapp!$D$2+E10*Prislapp!$E$2+F10*Prislapp!$F$2+G10*Prislapp!$G$2+H10*Prislapp!$H$2+I10*Prislapp!$I$2+J10*Prislapp!$J$2+K10*Prislapp!$K$2+L10*Prislapp!$L$2+M10*Prislapp!$M$2+N10*Prislapp!$N$2</f>
        <v>20766</v>
      </c>
      <c r="P10" s="40">
        <f>C10*Prislapp!$C$3+D10*Prislapp!$D$3+E10*Prislapp!$E$3+F10*Prislapp!$F$3+G10*Prislapp!$G$3+H10*Prislapp!$H$3+I10*Prislapp!$I$3+J10*Prislapp!$J$3+K10*Prislapp!$K$3+M10*Prislapp!$M$3+N10*Prislapp!$N$3+L10*Prislapp!$L$3</f>
        <v>17442</v>
      </c>
      <c r="Q10" s="40">
        <f>C10*Prislapp!$C$5+D10*Prislapp!$D$5+E10*Prislapp!$E$5+F10*Prislapp!$F$5+G10*Prislapp!$G$5+H10*Prislapp!$H$5+I10*Prislapp!$I$5+J10*Prislapp!$J$5+K10*Prislapp!$K$5+L10*Prislapp!$L$5+M10*Prislapp!$M$5+N10*Prislapp!$N$5</f>
        <v>6000</v>
      </c>
      <c r="R10" s="9">
        <f>VLOOKUP(A10,'Ansvar kurs'!$A$2:$B$943,2,FALSE)</f>
        <v>1630</v>
      </c>
      <c r="S10" s="157"/>
      <c r="T10" s="157"/>
      <c r="U10" s="157"/>
      <c r="V10" s="157"/>
      <c r="W10" s="157"/>
      <c r="X10" s="157"/>
      <c r="Y10" s="157"/>
      <c r="Z10" s="157"/>
    </row>
    <row r="11" spans="1:26" x14ac:dyDescent="0.25">
      <c r="A11" s="31" t="s">
        <v>1471</v>
      </c>
      <c r="B11" s="31" t="s">
        <v>1481</v>
      </c>
      <c r="D11" s="31">
        <v>1</v>
      </c>
      <c r="O11" s="40">
        <f>C11*Prislapp!$C$2+D11*Prislapp!$D$2+E11*Prislapp!$E$2+F11*Prislapp!$F$2+G11*Prislapp!$G$2+H11*Prislapp!$H$2+I11*Prislapp!$I$2+J11*Prislapp!$J$2+K11*Prislapp!$K$2+L11*Prislapp!$L$2+M11*Prislapp!$M$2+N11*Prislapp!$N$2</f>
        <v>20766</v>
      </c>
      <c r="P11" s="40">
        <f>C11*Prislapp!$C$3+D11*Prislapp!$D$3+E11*Prislapp!$E$3+F11*Prislapp!$F$3+G11*Prislapp!$G$3+H11*Prislapp!$H$3+I11*Prislapp!$I$3+J11*Prislapp!$J$3+K11*Prislapp!$K$3+M11*Prislapp!$M$3+N11*Prislapp!$N$3+L11*Prislapp!$L$3</f>
        <v>17442</v>
      </c>
      <c r="Q11" s="40">
        <f>C11*Prislapp!$C$5+D11*Prislapp!$D$5+E11*Prislapp!$E$5+F11*Prislapp!$F$5+G11*Prislapp!$G$5+H11*Prislapp!$H$5+I11*Prislapp!$I$5+J11*Prislapp!$J$5+K11*Prislapp!$K$5+L11*Prislapp!$L$5+M11*Prislapp!$M$5+N11*Prislapp!$N$5</f>
        <v>6000</v>
      </c>
      <c r="R11" s="9">
        <f>VLOOKUP(A11,'Ansvar kurs'!$A$2:$B$943,2,FALSE)</f>
        <v>1640</v>
      </c>
      <c r="S11" s="157"/>
      <c r="T11" s="157"/>
      <c r="U11" s="157"/>
      <c r="V11" s="157"/>
      <c r="W11" s="157"/>
      <c r="X11" s="157"/>
      <c r="Y11" s="157"/>
      <c r="Z11" s="157"/>
    </row>
    <row r="12" spans="1:26" x14ac:dyDescent="0.25">
      <c r="A12" s="31" t="s">
        <v>1472</v>
      </c>
      <c r="B12" s="31" t="s">
        <v>1482</v>
      </c>
      <c r="D12" s="31">
        <v>1</v>
      </c>
      <c r="O12" s="40">
        <f>C12*Prislapp!$C$2+D12*Prislapp!$D$2+E12*Prislapp!$E$2+F12*Prislapp!$F$2+G12*Prislapp!$G$2+H12*Prislapp!$H$2+I12*Prislapp!$I$2+J12*Prislapp!$J$2+K12*Prislapp!$K$2+L12*Prislapp!$L$2+M12*Prislapp!$M$2+N12*Prislapp!$N$2</f>
        <v>20766</v>
      </c>
      <c r="P12" s="40">
        <f>C12*Prislapp!$C$3+D12*Prislapp!$D$3+E12*Prislapp!$E$3+F12*Prislapp!$F$3+G12*Prislapp!$G$3+H12*Prislapp!$H$3+I12*Prislapp!$I$3+J12*Prislapp!$J$3+K12*Prislapp!$K$3+M12*Prislapp!$M$3+N12*Prislapp!$N$3+L12*Prislapp!$L$3</f>
        <v>17442</v>
      </c>
      <c r="Q12" s="40">
        <f>C12*Prislapp!$C$5+D12*Prislapp!$D$5+E12*Prislapp!$E$5+F12*Prislapp!$F$5+G12*Prislapp!$G$5+H12*Prislapp!$H$5+I12*Prislapp!$I$5+J12*Prislapp!$J$5+K12*Prislapp!$K$5+L12*Prislapp!$L$5+M12*Prislapp!$M$5+N12*Prislapp!$N$5</f>
        <v>6000</v>
      </c>
      <c r="R12" s="9">
        <f>VLOOKUP(A12,'Ansvar kurs'!$A$2:$B$943,2,FALSE)</f>
        <v>1620</v>
      </c>
      <c r="S12" s="157"/>
      <c r="T12" s="157"/>
      <c r="U12" s="157"/>
      <c r="V12" s="157"/>
      <c r="W12" s="157"/>
      <c r="X12" s="157"/>
      <c r="Y12" s="157"/>
      <c r="Z12" s="157"/>
    </row>
    <row r="13" spans="1:26" x14ac:dyDescent="0.25">
      <c r="A13" s="31" t="s">
        <v>1473</v>
      </c>
      <c r="B13" s="31" t="s">
        <v>1483</v>
      </c>
      <c r="D13" s="31">
        <v>1</v>
      </c>
      <c r="O13" s="40">
        <f>C13*Prislapp!$C$2+D13*Prislapp!$D$2+E13*Prislapp!$E$2+F13*Prislapp!$F$2+G13*Prislapp!$G$2+H13*Prislapp!$H$2+I13*Prislapp!$I$2+J13*Prislapp!$J$2+K13*Prislapp!$K$2+L13*Prislapp!$L$2+M13*Prislapp!$M$2+N13*Prislapp!$N$2</f>
        <v>20766</v>
      </c>
      <c r="P13" s="40">
        <f>C13*Prislapp!$C$3+D13*Prislapp!$D$3+E13*Prislapp!$E$3+F13*Prislapp!$F$3+G13*Prislapp!$G$3+H13*Prislapp!$H$3+I13*Prislapp!$I$3+J13*Prislapp!$J$3+K13*Prislapp!$K$3+M13*Prislapp!$M$3+N13*Prislapp!$N$3+L13*Prislapp!$L$3</f>
        <v>17442</v>
      </c>
      <c r="Q13" s="40">
        <f>C13*Prislapp!$C$5+D13*Prislapp!$D$5+E13*Prislapp!$E$5+F13*Prislapp!$F$5+G13*Prislapp!$G$5+H13*Prislapp!$H$5+I13*Prislapp!$I$5+J13*Prislapp!$J$5+K13*Prislapp!$K$5+L13*Prislapp!$L$5+M13*Prislapp!$M$5+N13*Prislapp!$N$5</f>
        <v>6000</v>
      </c>
      <c r="R13" s="9">
        <f>VLOOKUP(A13,'Ansvar kurs'!$A$2:$B$943,2,FALSE)</f>
        <v>1620</v>
      </c>
      <c r="S13" s="157"/>
      <c r="T13" s="157"/>
      <c r="U13" s="157"/>
      <c r="V13" s="157"/>
      <c r="W13" s="157"/>
      <c r="X13" s="157"/>
      <c r="Y13" s="157"/>
      <c r="Z13" s="157"/>
    </row>
    <row r="14" spans="1:26" x14ac:dyDescent="0.25">
      <c r="A14" s="31" t="s">
        <v>1364</v>
      </c>
      <c r="B14" s="31" t="s">
        <v>1365</v>
      </c>
      <c r="D14" s="31">
        <v>1</v>
      </c>
      <c r="O14" s="40">
        <f>C14*Prislapp!$C$2+D14*Prislapp!$D$2+E14*Prislapp!$E$2+F14*Prislapp!$F$2+G14*Prislapp!$G$2+H14*Prislapp!$H$2+I14*Prislapp!$I$2+J14*Prislapp!$J$2+K14*Prislapp!$K$2+L14*Prislapp!$L$2+M14*Prislapp!$M$2+N14*Prislapp!$N$2</f>
        <v>20766</v>
      </c>
      <c r="P14" s="40">
        <f>C14*Prislapp!$C$3+D14*Prislapp!$D$3+E14*Prislapp!$E$3+F14*Prislapp!$F$3+G14*Prislapp!$G$3+H14*Prislapp!$H$3+I14*Prislapp!$I$3+J14*Prislapp!$J$3+K14*Prislapp!$K$3+M14*Prislapp!$M$3+N14*Prislapp!$N$3+L14*Prislapp!$L$3</f>
        <v>17442</v>
      </c>
      <c r="Q14" s="40">
        <f>C14*Prislapp!$C$5+D14*Prislapp!$D$5+E14*Prislapp!$E$5+F14*Prislapp!$F$5+G14*Prislapp!$G$5+H14*Prislapp!$H$5+I14*Prislapp!$I$5+J14*Prislapp!$J$5+K14*Prislapp!$K$5+L14*Prislapp!$L$5+M14*Prislapp!$M$5+N14*Prislapp!$N$5</f>
        <v>6000</v>
      </c>
      <c r="R14" s="9">
        <f>VLOOKUP(A14,'Ansvar kurs'!$A$2:$B$943,2,FALSE)</f>
        <v>1620</v>
      </c>
      <c r="S14" s="157"/>
      <c r="T14" s="157"/>
      <c r="U14" s="157"/>
      <c r="V14" s="157"/>
      <c r="W14" s="157"/>
      <c r="X14" s="157"/>
      <c r="Y14" s="157"/>
      <c r="Z14" s="157"/>
    </row>
    <row r="15" spans="1:26" x14ac:dyDescent="0.25">
      <c r="A15" s="31" t="s">
        <v>1474</v>
      </c>
      <c r="B15" s="31" t="s">
        <v>1484</v>
      </c>
      <c r="D15" s="31">
        <v>1</v>
      </c>
      <c r="O15" s="40">
        <f>C15*Prislapp!$C$2+D15*Prislapp!$D$2+E15*Prislapp!$E$2+F15*Prislapp!$F$2+G15*Prislapp!$G$2+H15*Prislapp!$H$2+I15*Prislapp!$I$2+J15*Prislapp!$J$2+K15*Prislapp!$K$2+L15*Prislapp!$L$2+M15*Prislapp!$M$2+N15*Prislapp!$N$2</f>
        <v>20766</v>
      </c>
      <c r="P15" s="40">
        <f>C15*Prislapp!$C$3+D15*Prislapp!$D$3+E15*Prislapp!$E$3+F15*Prislapp!$F$3+G15*Prislapp!$G$3+H15*Prislapp!$H$3+I15*Prislapp!$I$3+J15*Prislapp!$J$3+K15*Prislapp!$K$3+M15*Prislapp!$M$3+N15*Prislapp!$N$3+L15*Prislapp!$L$3</f>
        <v>17442</v>
      </c>
      <c r="Q15" s="40">
        <f>C15*Prislapp!$C$5+D15*Prislapp!$D$5+E15*Prislapp!$E$5+F15*Prislapp!$F$5+G15*Prislapp!$G$5+H15*Prislapp!$H$5+I15*Prislapp!$I$5+J15*Prislapp!$J$5+K15*Prislapp!$K$5+L15*Prislapp!$L$5+M15*Prislapp!$M$5+N15*Prislapp!$N$5</f>
        <v>6000</v>
      </c>
      <c r="R15" s="9">
        <f>VLOOKUP(A15,'Ansvar kurs'!$A$2:$B$943,2,FALSE)</f>
        <v>1620</v>
      </c>
      <c r="S15" s="157"/>
      <c r="T15" s="157"/>
      <c r="U15" s="157"/>
      <c r="V15" s="157"/>
      <c r="W15" s="157"/>
      <c r="X15" s="157"/>
      <c r="Y15" s="157"/>
      <c r="Z15" s="157"/>
    </row>
    <row r="16" spans="1:26" x14ac:dyDescent="0.25">
      <c r="A16" s="31" t="s">
        <v>1366</v>
      </c>
      <c r="B16" s="31" t="s">
        <v>1309</v>
      </c>
      <c r="D16" s="31">
        <v>1</v>
      </c>
      <c r="O16" s="40">
        <f>C16*Prislapp!$C$2+D16*Prislapp!$D$2+E16*Prislapp!$E$2+F16*Prislapp!$F$2+G16*Prislapp!$G$2+H16*Prislapp!$H$2+I16*Prislapp!$I$2+J16*Prislapp!$J$2+K16*Prislapp!$K$2+L16*Prislapp!$L$2+M16*Prislapp!$M$2+N16*Prislapp!$N$2</f>
        <v>20766</v>
      </c>
      <c r="P16" s="40">
        <f>C16*Prislapp!$C$3+D16*Prislapp!$D$3+E16*Prislapp!$E$3+F16*Prislapp!$F$3+G16*Prislapp!$G$3+H16*Prislapp!$H$3+I16*Prislapp!$I$3+J16*Prislapp!$J$3+K16*Prislapp!$K$3+M16*Prislapp!$M$3+N16*Prislapp!$N$3+L16*Prislapp!$L$3</f>
        <v>17442</v>
      </c>
      <c r="Q16" s="40">
        <f>C16*Prislapp!$C$5+D16*Prislapp!$D$5+E16*Prislapp!$E$5+F16*Prislapp!$F$5+G16*Prislapp!$G$5+H16*Prislapp!$H$5+I16*Prislapp!$I$5+J16*Prislapp!$J$5+K16*Prislapp!$K$5+L16*Prislapp!$L$5+M16*Prislapp!$M$5+N16*Prislapp!$N$5</f>
        <v>6000</v>
      </c>
      <c r="R16" s="9">
        <f>VLOOKUP(A16,'Ansvar kurs'!$A$2:$B$943,2,FALSE)</f>
        <v>1620</v>
      </c>
      <c r="S16" s="157"/>
      <c r="T16" s="157"/>
      <c r="U16" s="157"/>
      <c r="V16" s="157"/>
      <c r="W16" s="157"/>
      <c r="X16" s="157"/>
      <c r="Y16" s="157"/>
      <c r="Z16" s="157"/>
    </row>
    <row r="17" spans="1:26" x14ac:dyDescent="0.25">
      <c r="A17" s="60" t="s">
        <v>1943</v>
      </c>
      <c r="B17" s="60" t="s">
        <v>1955</v>
      </c>
      <c r="E17" s="31">
        <v>0.5</v>
      </c>
      <c r="I17" s="31">
        <v>0.5</v>
      </c>
      <c r="O17" s="40">
        <f>C17*Prislapp!$C$2+D17*Prislapp!$D$2+E17*Prislapp!$E$2+F17*Prislapp!$F$2+G17*Prislapp!$G$2+H17*Prislapp!$H$2+I17*Prislapp!$I$2+J17*Prislapp!$J$2+K17*Prislapp!$K$2+L17*Prislapp!$L$2+M17*Prislapp!$M$2+N17*Prislapp!$N$2</f>
        <v>34347</v>
      </c>
      <c r="P17" s="40">
        <f>C17*Prislapp!$C$3+D17*Prislapp!$D$3+E17*Prislapp!$E$3+F17*Prislapp!$F$3+G17*Prislapp!$G$3+H17*Prislapp!$H$3+I17*Prislapp!$I$3+J17*Prislapp!$J$3+K17*Prislapp!$K$3+M17*Prislapp!$M$3+N17*Prislapp!$N$3+L17*Prislapp!$L$3</f>
        <v>26436</v>
      </c>
      <c r="Q17" s="40">
        <f>C17*Prislapp!$C$5+D17*Prislapp!$D$5+E17*Prislapp!$E$5+F17*Prislapp!$F$5+G17*Prislapp!$G$5+H17*Prislapp!$H$5+I17*Prislapp!$I$5+J17*Prislapp!$J$5+K17*Prislapp!$K$5+L17*Prislapp!$L$5+M17*Prislapp!$M$5+N17*Prislapp!$N$5</f>
        <v>20850</v>
      </c>
      <c r="R17" s="9">
        <f>VLOOKUP(A17,'Ansvar kurs'!$A$2:$B$943,2,FALSE)</f>
        <v>2180</v>
      </c>
      <c r="S17" s="157"/>
      <c r="T17" s="157"/>
      <c r="U17" s="157"/>
      <c r="V17" s="157"/>
      <c r="W17" s="157"/>
      <c r="X17" s="157"/>
      <c r="Y17" s="157"/>
      <c r="Z17" s="157"/>
    </row>
    <row r="18" spans="1:26" x14ac:dyDescent="0.25">
      <c r="A18" s="60" t="s">
        <v>2381</v>
      </c>
      <c r="B18" s="57" t="s">
        <v>2207</v>
      </c>
      <c r="I18" s="31">
        <v>1</v>
      </c>
      <c r="O18" s="40">
        <f>C18*Prislapp!$C$2+D18*Prislapp!$D$2+E18*Prislapp!$E$2+F18*Prislapp!$F$2+G18*Prislapp!$G$2+H18*Prislapp!$H$2+I18*Prislapp!$I$2+J18*Prislapp!$J$2+K18*Prislapp!$K$2+L18*Prislapp!$L$2+M18*Prislapp!$M$2+N18*Prislapp!$N$2</f>
        <v>20766</v>
      </c>
      <c r="P18" s="40">
        <f>C18*Prislapp!$C$3+D18*Prislapp!$D$3+E18*Prislapp!$E$3+F18*Prislapp!$F$3+G18*Prislapp!$G$3+H18*Prislapp!$H$3+I18*Prislapp!$I$3+J18*Prislapp!$J$3+K18*Prislapp!$K$3+M18*Prislapp!$M$3+N18*Prislapp!$N$3+L18*Prislapp!$L$3</f>
        <v>17442</v>
      </c>
      <c r="Q18" s="40">
        <f>C18*Prislapp!$C$5+D18*Prislapp!$D$5+E18*Prislapp!$E$5+F18*Prislapp!$F$5+G18*Prislapp!$G$5+H18*Prislapp!$H$5+I18*Prislapp!$I$5+J18*Prislapp!$J$5+K18*Prislapp!$K$5+L18*Prislapp!$L$5+M18*Prislapp!$M$5+N18*Prislapp!$N$5</f>
        <v>6000</v>
      </c>
      <c r="R18" s="9">
        <f>VLOOKUP(A18,'Ansvar kurs'!$A$2:$B$943,2,FALSE)</f>
        <v>2271</v>
      </c>
      <c r="S18" s="157"/>
      <c r="T18" s="157"/>
      <c r="U18" s="157"/>
      <c r="V18" s="157"/>
      <c r="W18" s="157"/>
      <c r="X18" s="157"/>
      <c r="Y18" s="157"/>
      <c r="Z18" s="157"/>
    </row>
    <row r="19" spans="1:26" x14ac:dyDescent="0.25">
      <c r="A19" s="31" t="s">
        <v>1475</v>
      </c>
      <c r="B19" s="31" t="s">
        <v>1485</v>
      </c>
      <c r="I19" s="31">
        <v>1</v>
      </c>
      <c r="O19" s="40">
        <f>C19*Prislapp!$C$2+D19*Prislapp!$D$2+E19*Prislapp!$E$2+F19*Prislapp!$F$2+G19*Prislapp!$G$2+H19*Prislapp!$H$2+I19*Prislapp!$I$2+J19*Prislapp!$J$2+K19*Prislapp!$K$2+L19*Prislapp!$L$2+M19*Prislapp!$M$2+N19*Prislapp!$N$2</f>
        <v>20766</v>
      </c>
      <c r="P19" s="40">
        <f>C19*Prislapp!$C$3+D19*Prislapp!$D$3+E19*Prislapp!$E$3+F19*Prislapp!$F$3+G19*Prislapp!$G$3+H19*Prislapp!$H$3+I19*Prislapp!$I$3+J19*Prislapp!$J$3+K19*Prislapp!$K$3+M19*Prislapp!$M$3+N19*Prislapp!$N$3+L19*Prislapp!$L$3</f>
        <v>17442</v>
      </c>
      <c r="Q19" s="40">
        <f>C19*Prislapp!$C$5+D19*Prislapp!$D$5+E19*Prislapp!$E$5+F19*Prislapp!$F$5+G19*Prislapp!$G$5+H19*Prislapp!$H$5+I19*Prislapp!$I$5+J19*Prislapp!$J$5+K19*Prislapp!$K$5+L19*Prislapp!$L$5+M19*Prislapp!$M$5+N19*Prislapp!$N$5</f>
        <v>6000</v>
      </c>
      <c r="R19" s="9">
        <f>VLOOKUP(A19,'Ansvar kurs'!$A$2:$B$943,2,FALSE)</f>
        <v>2340</v>
      </c>
      <c r="S19" s="157"/>
      <c r="T19" s="157"/>
      <c r="U19" s="157"/>
      <c r="V19" s="157"/>
      <c r="W19" s="157"/>
      <c r="X19" s="157"/>
      <c r="Y19" s="157"/>
      <c r="Z19" s="157"/>
    </row>
    <row r="20" spans="1:26" x14ac:dyDescent="0.25">
      <c r="A20" s="31" t="s">
        <v>992</v>
      </c>
      <c r="B20" s="31" t="s">
        <v>1030</v>
      </c>
      <c r="H20" s="31">
        <v>1</v>
      </c>
      <c r="O20" s="40">
        <f>C20*Prislapp!$C$2+D20*Prislapp!$D$2+E20*Prislapp!$E$2+F20*Prislapp!$F$2+G20*Prislapp!$G$2+H20*Prislapp!$H$2+I20*Prislapp!$I$2+J20*Prislapp!$J$2+K20*Prislapp!$K$2+L20*Prislapp!$L$2+M20*Prislapp!$M$2+N20*Prislapp!$N$2</f>
        <v>20757</v>
      </c>
      <c r="P20" s="40">
        <f>C20*Prislapp!$C$3+D20*Prislapp!$D$3+E20*Prislapp!$E$3+F20*Prislapp!$F$3+G20*Prislapp!$G$3+H20*Prislapp!$H$3+I20*Prislapp!$I$3+J20*Prislapp!$J$3+K20*Prislapp!$K$3+M20*Prislapp!$M$3+N20*Prislapp!$N$3+L20*Prislapp!$L$3</f>
        <v>36082</v>
      </c>
      <c r="Q20" s="40">
        <f>C20*Prislapp!$C$5+D20*Prislapp!$D$5+E20*Prislapp!$E$5+F20*Prislapp!$F$5+G20*Prislapp!$G$5+H20*Prislapp!$H$5+I20*Prislapp!$I$5+J20*Prislapp!$J$5+K20*Prislapp!$K$5+L20*Prislapp!$L$5+M20*Prislapp!$M$5+N20*Prislapp!$N$5</f>
        <v>22600</v>
      </c>
      <c r="R20" s="9">
        <f>VLOOKUP(A20,'Ansvar kurs'!$A$2:$B$943,2,FALSE)</f>
        <v>5740</v>
      </c>
      <c r="S20" s="157"/>
      <c r="T20" s="157"/>
      <c r="U20" s="157"/>
      <c r="V20" s="157"/>
      <c r="W20" s="157"/>
      <c r="X20" s="157"/>
      <c r="Y20" s="157"/>
      <c r="Z20" s="157"/>
    </row>
    <row r="21" spans="1:26" x14ac:dyDescent="0.25">
      <c r="A21" s="57" t="s">
        <v>1231</v>
      </c>
      <c r="B21" s="60" t="s">
        <v>1244</v>
      </c>
      <c r="H21" s="31">
        <v>1</v>
      </c>
      <c r="O21" s="40">
        <f>C21*Prislapp!$C$2+D21*Prislapp!$D$2+E21*Prislapp!$E$2+F21*Prislapp!$F$2+G21*Prislapp!$G$2+H21*Prislapp!$H$2+I21*Prislapp!$I$2+J21*Prislapp!$J$2+K21*Prislapp!$K$2+L21*Prislapp!$L$2+M21*Prislapp!$M$2+N21*Prislapp!$N$2</f>
        <v>20757</v>
      </c>
      <c r="P21" s="40">
        <f>C21*Prislapp!$C$3+D21*Prislapp!$D$3+E21*Prislapp!$E$3+F21*Prislapp!$F$3+G21*Prislapp!$G$3+H21*Prislapp!$H$3+I21*Prislapp!$I$3+J21*Prislapp!$J$3+K21*Prislapp!$K$3+M21*Prislapp!$M$3+N21*Prislapp!$N$3+L21*Prislapp!$L$3</f>
        <v>36082</v>
      </c>
      <c r="Q21" s="40">
        <f>C21*Prislapp!$C$5+D21*Prislapp!$D$5+E21*Prislapp!$E$5+F21*Prislapp!$F$5+G21*Prislapp!$G$5+H21*Prislapp!$H$5+I21*Prislapp!$I$5+J21*Prislapp!$J$5+K21*Prislapp!$K$5+L21*Prislapp!$L$5+M21*Prislapp!$M$5+N21*Prislapp!$N$5</f>
        <v>22600</v>
      </c>
      <c r="R21" s="9">
        <f>VLOOKUP(A21,'Ansvar kurs'!$A$2:$B$943,2,FALSE)</f>
        <v>5740</v>
      </c>
      <c r="S21" s="157"/>
      <c r="T21" s="157"/>
      <c r="U21" s="157"/>
      <c r="V21" s="157"/>
      <c r="W21" s="157"/>
      <c r="X21" s="157"/>
      <c r="Y21" s="157"/>
      <c r="Z21" s="157"/>
    </row>
    <row r="22" spans="1:26" x14ac:dyDescent="0.25">
      <c r="A22" s="31" t="s">
        <v>927</v>
      </c>
      <c r="B22" s="31" t="s">
        <v>932</v>
      </c>
      <c r="H22" s="31">
        <v>1</v>
      </c>
      <c r="O22" s="40">
        <f>C22*Prislapp!$C$2+D22*Prislapp!$D$2+E22*Prislapp!$E$2+F22*Prislapp!$F$2+G22*Prislapp!$G$2+H22*Prislapp!$H$2+I22*Prislapp!$I$2+J22*Prislapp!$J$2+K22*Prislapp!$K$2+L22*Prislapp!$L$2+M22*Prislapp!$M$2+N22*Prislapp!$N$2</f>
        <v>20757</v>
      </c>
      <c r="P22" s="40">
        <f>C22*Prislapp!$C$3+D22*Prislapp!$D$3+E22*Prislapp!$E$3+F22*Prislapp!$F$3+G22*Prislapp!$G$3+H22*Prislapp!$H$3+I22*Prislapp!$I$3+J22*Prislapp!$J$3+K22*Prislapp!$K$3+M22*Prislapp!$M$3+N22*Prislapp!$N$3+L22*Prislapp!$L$3</f>
        <v>36082</v>
      </c>
      <c r="Q22" s="40">
        <f>C22*Prislapp!$C$5+D22*Prislapp!$D$5+E22*Prislapp!$E$5+F22*Prislapp!$F$5+G22*Prislapp!$G$5+H22*Prislapp!$H$5+I22*Prislapp!$I$5+J22*Prislapp!$J$5+K22*Prislapp!$K$5+L22*Prislapp!$L$5+M22*Prislapp!$M$5+N22*Prislapp!$N$5</f>
        <v>22600</v>
      </c>
      <c r="R22" s="9">
        <f>VLOOKUP(A22,'Ansvar kurs'!$A$2:$B$943,2,FALSE)</f>
        <v>5100</v>
      </c>
      <c r="S22" s="157"/>
      <c r="T22" s="157"/>
      <c r="U22" s="157"/>
      <c r="V22" s="157"/>
      <c r="W22" s="157"/>
      <c r="X22" s="157"/>
      <c r="Y22" s="157"/>
      <c r="Z22" s="157"/>
    </row>
    <row r="23" spans="1:26" x14ac:dyDescent="0.25">
      <c r="A23" s="31" t="s">
        <v>994</v>
      </c>
      <c r="B23" s="31" t="s">
        <v>1031</v>
      </c>
      <c r="H23" s="31">
        <v>1</v>
      </c>
      <c r="O23" s="40">
        <f>C23*Prislapp!$C$2+D23*Prislapp!$D$2+E23*Prislapp!$E$2+F23*Prislapp!$F$2+G23*Prislapp!$G$2+H23*Prislapp!$H$2+I23*Prislapp!$I$2+J23*Prislapp!$J$2+K23*Prislapp!$K$2+L23*Prislapp!$L$2+M23*Prislapp!$M$2+N23*Prislapp!$N$2</f>
        <v>20757</v>
      </c>
      <c r="P23" s="40">
        <f>C23*Prislapp!$C$3+D23*Prislapp!$D$3+E23*Prislapp!$E$3+F23*Prislapp!$F$3+G23*Prislapp!$G$3+H23*Prislapp!$H$3+I23*Prislapp!$I$3+J23*Prislapp!$J$3+K23*Prislapp!$K$3+M23*Prislapp!$M$3+N23*Prislapp!$N$3+L23*Prislapp!$L$3</f>
        <v>36082</v>
      </c>
      <c r="Q23" s="40">
        <f>C23*Prislapp!$C$5+D23*Prislapp!$D$5+E23*Prislapp!$E$5+F23*Prislapp!$F$5+G23*Prislapp!$G$5+H23*Prislapp!$H$5+I23*Prislapp!$I$5+J23*Prislapp!$J$5+K23*Prislapp!$K$5+L23*Prislapp!$L$5+M23*Prislapp!$M$5+N23*Prislapp!$N$5</f>
        <v>22600</v>
      </c>
      <c r="R23" s="9">
        <f>VLOOKUP(A23,'Ansvar kurs'!$A$2:$B$943,2,FALSE)</f>
        <v>5160</v>
      </c>
      <c r="S23" s="157"/>
      <c r="T23" s="157"/>
      <c r="U23" s="157"/>
      <c r="V23" s="157"/>
      <c r="W23" s="157"/>
      <c r="X23" s="157"/>
      <c r="Y23" s="157"/>
      <c r="Z23" s="157"/>
    </row>
    <row r="24" spans="1:26" x14ac:dyDescent="0.25">
      <c r="A24" s="31" t="s">
        <v>926</v>
      </c>
      <c r="B24" s="31" t="s">
        <v>934</v>
      </c>
      <c r="H24" s="31">
        <v>1</v>
      </c>
      <c r="O24" s="40">
        <f>C24*Prislapp!$C$2+D24*Prislapp!$D$2+E24*Prislapp!$E$2+F24*Prislapp!$F$2+G24*Prislapp!$G$2+H24*Prislapp!$H$2+I24*Prislapp!$I$2+J24*Prislapp!$J$2+K24*Prislapp!$K$2+L24*Prislapp!$L$2+M24*Prislapp!$M$2+N24*Prislapp!$N$2</f>
        <v>20757</v>
      </c>
      <c r="P24" s="40">
        <f>C24*Prislapp!$C$3+D24*Prislapp!$D$3+E24*Prislapp!$E$3+F24*Prislapp!$F$3+G24*Prislapp!$G$3+H24*Prislapp!$H$3+I24*Prislapp!$I$3+J24*Prislapp!$J$3+K24*Prislapp!$K$3+M24*Prislapp!$M$3+N24*Prislapp!$N$3+L24*Prislapp!$L$3</f>
        <v>36082</v>
      </c>
      <c r="Q24" s="40">
        <f>C24*Prislapp!$C$5+D24*Prislapp!$D$5+E24*Prislapp!$E$5+F24*Prislapp!$F$5+G24*Prislapp!$G$5+H24*Prislapp!$H$5+I24*Prislapp!$I$5+J24*Prislapp!$J$5+K24*Prislapp!$K$5+L24*Prislapp!$L$5+M24*Prislapp!$M$5+N24*Prislapp!$N$5</f>
        <v>22600</v>
      </c>
      <c r="R24" s="9">
        <f>VLOOKUP(A24,'Ansvar kurs'!$A$2:$B$943,2,FALSE)</f>
        <v>5100</v>
      </c>
      <c r="S24" s="157"/>
      <c r="T24" s="157"/>
      <c r="U24" s="157"/>
      <c r="V24" s="157"/>
      <c r="W24" s="157"/>
      <c r="X24" s="157"/>
      <c r="Y24" s="157"/>
      <c r="Z24" s="157"/>
    </row>
    <row r="25" spans="1:26" x14ac:dyDescent="0.25">
      <c r="A25" s="31" t="s">
        <v>928</v>
      </c>
      <c r="B25" s="31" t="s">
        <v>935</v>
      </c>
      <c r="H25" s="31">
        <v>1</v>
      </c>
      <c r="O25" s="40">
        <f>C25*Prislapp!$C$2+D25*Prislapp!$D$2+E25*Prislapp!$E$2+F25*Prislapp!$F$2+G25*Prislapp!$G$2+H25*Prislapp!$H$2+I25*Prislapp!$I$2+J25*Prislapp!$J$2+K25*Prislapp!$K$2+L25*Prislapp!$L$2+M25*Prislapp!$M$2+N25*Prislapp!$N$2</f>
        <v>20757</v>
      </c>
      <c r="P25" s="40">
        <f>C25*Prislapp!$C$3+D25*Prislapp!$D$3+E25*Prislapp!$E$3+F25*Prislapp!$F$3+G25*Prislapp!$G$3+H25*Prislapp!$H$3+I25*Prislapp!$I$3+J25*Prislapp!$J$3+K25*Prislapp!$K$3+M25*Prislapp!$M$3+N25*Prislapp!$N$3+L25*Prislapp!$L$3</f>
        <v>36082</v>
      </c>
      <c r="Q25" s="40">
        <f>C25*Prislapp!$C$5+D25*Prislapp!$D$5+E25*Prislapp!$E$5+F25*Prislapp!$F$5+G25*Prislapp!$G$5+H25*Prislapp!$H$5+I25*Prislapp!$I$5+J25*Prislapp!$J$5+K25*Prislapp!$K$5+L25*Prislapp!$L$5+M25*Prislapp!$M$5+N25*Prislapp!$N$5</f>
        <v>22600</v>
      </c>
      <c r="R25" s="9">
        <f>VLOOKUP(A25,'Ansvar kurs'!$A$2:$B$943,2,FALSE)</f>
        <v>5100</v>
      </c>
      <c r="S25" s="157"/>
      <c r="T25" s="157"/>
      <c r="U25" s="157"/>
      <c r="V25" s="157"/>
      <c r="W25" s="157"/>
      <c r="X25" s="157"/>
      <c r="Y25" s="157"/>
      <c r="Z25" s="157"/>
    </row>
    <row r="26" spans="1:26" x14ac:dyDescent="0.25">
      <c r="A26" s="60" t="s">
        <v>1545</v>
      </c>
      <c r="B26" s="60" t="s">
        <v>1559</v>
      </c>
      <c r="H26" s="31">
        <v>1</v>
      </c>
      <c r="O26" s="40">
        <f>C26*Prislapp!$C$2+D26*Prislapp!$D$2+E26*Prislapp!$E$2+F26*Prislapp!$F$2+G26*Prislapp!$G$2+H26*Prislapp!$H$2+I26*Prislapp!$I$2+J26*Prislapp!$J$2+K26*Prislapp!$K$2+L26*Prislapp!$L$2+M26*Prislapp!$M$2+N26*Prislapp!$N$2</f>
        <v>20757</v>
      </c>
      <c r="P26" s="40">
        <f>C26*Prislapp!$C$3+D26*Prislapp!$D$3+E26*Prislapp!$E$3+F26*Prislapp!$F$3+G26*Prislapp!$G$3+H26*Prislapp!$H$3+I26*Prislapp!$I$3+J26*Prislapp!$J$3+K26*Prislapp!$K$3+M26*Prislapp!$M$3+N26*Prislapp!$N$3+L26*Prislapp!$L$3</f>
        <v>36082</v>
      </c>
      <c r="Q26" s="40">
        <f>C26*Prislapp!$C$5+D26*Prislapp!$D$5+E26*Prislapp!$E$5+F26*Prislapp!$F$5+G26*Prislapp!$G$5+H26*Prislapp!$H$5+I26*Prislapp!$I$5+J26*Prislapp!$J$5+K26*Prislapp!$K$5+L26*Prislapp!$L$5+M26*Prislapp!$M$5+N26*Prislapp!$N$5</f>
        <v>22600</v>
      </c>
      <c r="R26" s="9">
        <f>VLOOKUP(A26,'Ansvar kurs'!$A$2:$B$943,2,FALSE)</f>
        <v>5100</v>
      </c>
      <c r="S26" s="157"/>
      <c r="T26" s="157"/>
      <c r="U26" s="157"/>
      <c r="V26" s="157"/>
      <c r="W26" s="157"/>
      <c r="X26" s="157"/>
      <c r="Y26" s="157"/>
      <c r="Z26" s="157"/>
    </row>
    <row r="27" spans="1:26" x14ac:dyDescent="0.25">
      <c r="A27" s="60" t="s">
        <v>1544</v>
      </c>
      <c r="B27" s="60" t="s">
        <v>1560</v>
      </c>
      <c r="H27" s="31">
        <v>0.5</v>
      </c>
      <c r="J27" s="31">
        <v>0.5</v>
      </c>
      <c r="O27" s="40">
        <f>C27*Prislapp!$C$2+D27*Prislapp!$D$2+E27*Prislapp!$E$2+F27*Prislapp!$F$2+G27*Prislapp!$G$2+H27*Prislapp!$H$2+I27*Prislapp!$I$2+J27*Prislapp!$J$2+K27*Prislapp!$K$2+L27*Prislapp!$L$2+M27*Prislapp!$M$2+N27*Prislapp!$N$2</f>
        <v>20757</v>
      </c>
      <c r="P27" s="40">
        <f>C27*Prislapp!$C$3+D27*Prislapp!$D$3+E27*Prislapp!$E$3+F27*Prislapp!$F$3+G27*Prislapp!$G$3+H27*Prislapp!$H$3+I27*Prislapp!$I$3+J27*Prislapp!$J$3+K27*Prislapp!$K$3+M27*Prislapp!$M$3+N27*Prislapp!$N$3+L27*Prislapp!$L$3</f>
        <v>36082</v>
      </c>
      <c r="Q27" s="40">
        <f>C27*Prislapp!$C$5+D27*Prislapp!$D$5+E27*Prislapp!$E$5+F27*Prislapp!$F$5+G27*Prislapp!$G$5+H27*Prislapp!$H$5+I27*Prislapp!$I$5+J27*Prislapp!$J$5+K27*Prislapp!$K$5+L27*Prislapp!$L$5+M27*Prislapp!$M$5+N27*Prislapp!$N$5</f>
        <v>22600</v>
      </c>
      <c r="R27" s="9">
        <f>VLOOKUP(A27,'Ansvar kurs'!$A$2:$B$943,2,FALSE)</f>
        <v>5100</v>
      </c>
      <c r="S27" s="157"/>
      <c r="T27" s="157"/>
      <c r="U27" s="157"/>
      <c r="V27" s="157"/>
      <c r="W27" s="157"/>
      <c r="X27" s="157"/>
      <c r="Y27" s="157"/>
      <c r="Z27" s="157"/>
    </row>
    <row r="28" spans="1:26" x14ac:dyDescent="0.25">
      <c r="A28" s="60" t="s">
        <v>1526</v>
      </c>
      <c r="B28" s="60" t="s">
        <v>934</v>
      </c>
      <c r="H28" s="31">
        <v>0.5</v>
      </c>
      <c r="J28" s="31">
        <v>0.5</v>
      </c>
      <c r="O28" s="40">
        <f>C28*Prislapp!$C$2+D28*Prislapp!$D$2+E28*Prislapp!$E$2+F28*Prislapp!$F$2+G28*Prislapp!$G$2+H28*Prislapp!$H$2+I28*Prislapp!$I$2+J28*Prislapp!$J$2+K28*Prislapp!$K$2+L28*Prislapp!$L$2+M28*Prislapp!$M$2+N28*Prislapp!$N$2</f>
        <v>20757</v>
      </c>
      <c r="P28" s="40">
        <f>C28*Prislapp!$C$3+D28*Prislapp!$D$3+E28*Prislapp!$E$3+F28*Prislapp!$F$3+G28*Prislapp!$G$3+H28*Prislapp!$H$3+I28*Prislapp!$I$3+J28*Prislapp!$J$3+K28*Prislapp!$K$3+M28*Prislapp!$M$3+N28*Prislapp!$N$3+L28*Prislapp!$L$3</f>
        <v>36082</v>
      </c>
      <c r="Q28" s="40">
        <f>C28*Prislapp!$C$5+D28*Prislapp!$D$5+E28*Prislapp!$E$5+F28*Prislapp!$F$5+G28*Prislapp!$G$5+H28*Prislapp!$H$5+I28*Prislapp!$I$5+J28*Prislapp!$J$5+K28*Prislapp!$K$5+L28*Prislapp!$L$5+M28*Prislapp!$M$5+N28*Prislapp!$N$5</f>
        <v>22600</v>
      </c>
      <c r="R28" s="9">
        <f>VLOOKUP(A28,'Ansvar kurs'!$A$2:$B$943,2,FALSE)</f>
        <v>5100</v>
      </c>
      <c r="S28" s="157"/>
      <c r="T28" s="157"/>
      <c r="U28" s="157"/>
      <c r="V28" s="157"/>
      <c r="W28" s="157"/>
      <c r="X28" s="157"/>
      <c r="Y28" s="157"/>
      <c r="Z28" s="157"/>
    </row>
    <row r="29" spans="1:26" x14ac:dyDescent="0.25">
      <c r="A29" s="60" t="s">
        <v>1527</v>
      </c>
      <c r="B29" s="60" t="s">
        <v>1555</v>
      </c>
      <c r="H29" s="31">
        <v>1</v>
      </c>
      <c r="O29" s="40">
        <f>C29*Prislapp!$C$2+D29*Prislapp!$D$2+E29*Prislapp!$E$2+F29*Prislapp!$F$2+G29*Prislapp!$G$2+H29*Prislapp!$H$2+I29*Prislapp!$I$2+J29*Prislapp!$J$2+K29*Prislapp!$K$2+L29*Prislapp!$L$2+M29*Prislapp!$M$2+N29*Prislapp!$N$2</f>
        <v>20757</v>
      </c>
      <c r="P29" s="40">
        <f>C29*Prislapp!$C$3+D29*Prislapp!$D$3+E29*Prislapp!$E$3+F29*Prislapp!$F$3+G29*Prislapp!$G$3+H29*Prislapp!$H$3+I29*Prislapp!$I$3+J29*Prislapp!$J$3+K29*Prislapp!$K$3+M29*Prislapp!$M$3+N29*Prislapp!$N$3+L29*Prislapp!$L$3</f>
        <v>36082</v>
      </c>
      <c r="Q29" s="40">
        <f>C29*Prislapp!$C$5+D29*Prislapp!$D$5+E29*Prislapp!$E$5+F29*Prislapp!$F$5+G29*Prislapp!$G$5+H29*Prislapp!$H$5+I29*Prislapp!$I$5+J29*Prislapp!$J$5+K29*Prislapp!$K$5+L29*Prislapp!$L$5+M29*Prislapp!$M$5+N29*Prislapp!$N$5</f>
        <v>22600</v>
      </c>
      <c r="R29" s="9">
        <f>VLOOKUP(A29,'Ansvar kurs'!$A$2:$B$943,2,FALSE)</f>
        <v>5100</v>
      </c>
      <c r="S29" s="157"/>
      <c r="T29" s="157"/>
      <c r="U29" s="157"/>
      <c r="V29" s="157"/>
      <c r="W29" s="157"/>
      <c r="X29" s="157"/>
      <c r="Y29" s="157"/>
      <c r="Z29" s="157"/>
    </row>
    <row r="30" spans="1:26" x14ac:dyDescent="0.25">
      <c r="A30" s="31" t="s">
        <v>1973</v>
      </c>
      <c r="B30" s="31" t="s">
        <v>933</v>
      </c>
      <c r="H30" s="31">
        <v>1</v>
      </c>
      <c r="O30" s="40">
        <f>C30*Prislapp!$C$2+D30*Prislapp!$D$2+E30*Prislapp!$E$2+F30*Prislapp!$F$2+G30*Prislapp!$G$2+H30*Prislapp!$H$2+I30*Prislapp!$I$2+J30*Prislapp!$J$2+K30*Prislapp!$K$2+L30*Prislapp!$L$2+M30*Prislapp!$M$2+N30*Prislapp!$N$2</f>
        <v>20757</v>
      </c>
      <c r="P30" s="40">
        <f>C30*Prislapp!$C$3+D30*Prislapp!$D$3+E30*Prislapp!$E$3+F30*Prislapp!$F$3+G30*Prislapp!$G$3+H30*Prislapp!$H$3+I30*Prislapp!$I$3+J30*Prislapp!$J$3+K30*Prislapp!$K$3+M30*Prislapp!$M$3+N30*Prislapp!$N$3+L30*Prislapp!$L$3</f>
        <v>36082</v>
      </c>
      <c r="Q30" s="40">
        <f>C30*Prislapp!$C$5+D30*Prislapp!$D$5+E30*Prislapp!$E$5+F30*Prislapp!$F$5+G30*Prislapp!$G$5+H30*Prislapp!$H$5+I30*Prislapp!$I$5+J30*Prislapp!$J$5+K30*Prislapp!$K$5+L30*Prislapp!$L$5+M30*Prislapp!$M$5+N30*Prislapp!$N$5</f>
        <v>22600</v>
      </c>
      <c r="R30" s="9">
        <f>VLOOKUP(A30,'Ansvar kurs'!$A$2:$B$943,2,FALSE)</f>
        <v>5100</v>
      </c>
      <c r="S30" s="157"/>
      <c r="T30" s="157"/>
      <c r="U30" s="157"/>
      <c r="V30" s="157"/>
      <c r="W30" s="157"/>
      <c r="X30" s="157"/>
      <c r="Y30" s="157"/>
      <c r="Z30" s="157"/>
    </row>
    <row r="31" spans="1:26" x14ac:dyDescent="0.25">
      <c r="A31" s="60" t="s">
        <v>1972</v>
      </c>
      <c r="B31" s="60" t="s">
        <v>932</v>
      </c>
      <c r="H31" s="31">
        <v>1</v>
      </c>
      <c r="O31" s="40">
        <f>C31*Prislapp!$C$2+D31*Prislapp!$D$2+E31*Prislapp!$E$2+F31*Prislapp!$F$2+G31*Prislapp!$G$2+H31*Prislapp!$H$2+I31*Prislapp!$I$2+J31*Prislapp!$J$2+K31*Prislapp!$K$2+L31*Prislapp!$L$2+M31*Prislapp!$M$2+N31*Prislapp!$N$2</f>
        <v>20757</v>
      </c>
      <c r="P31" s="40">
        <f>C31*Prislapp!$C$3+D31*Prislapp!$D$3+E31*Prislapp!$E$3+F31*Prislapp!$F$3+G31*Prislapp!$G$3+H31*Prislapp!$H$3+I31*Prislapp!$I$3+J31*Prislapp!$J$3+K31*Prislapp!$K$3+M31*Prislapp!$M$3+N31*Prislapp!$N$3+L31*Prislapp!$L$3</f>
        <v>36082</v>
      </c>
      <c r="Q31" s="40">
        <f>C31*Prislapp!$C$5+D31*Prislapp!$D$5+E31*Prislapp!$E$5+F31*Prislapp!$F$5+G31*Prislapp!$G$5+H31*Prislapp!$H$5+I31*Prislapp!$I$5+J31*Prislapp!$J$5+K31*Prislapp!$K$5+L31*Prislapp!$L$5+M31*Prislapp!$M$5+N31*Prislapp!$N$5</f>
        <v>22600</v>
      </c>
      <c r="R31" s="9">
        <f>VLOOKUP(A31,'Ansvar kurs'!$A$2:$B$943,2,FALSE)</f>
        <v>5100</v>
      </c>
      <c r="S31" s="157"/>
      <c r="T31" s="157"/>
      <c r="U31" s="157"/>
      <c r="V31" s="157"/>
      <c r="W31" s="157"/>
      <c r="X31" s="157"/>
      <c r="Y31" s="157"/>
      <c r="Z31" s="157"/>
    </row>
    <row r="32" spans="1:26" x14ac:dyDescent="0.25">
      <c r="A32" s="60" t="s">
        <v>2061</v>
      </c>
      <c r="B32" s="60" t="s">
        <v>1956</v>
      </c>
      <c r="H32" s="31">
        <v>0.5</v>
      </c>
      <c r="J32" s="31">
        <v>0.5</v>
      </c>
      <c r="O32" s="40">
        <f>C32*Prislapp!$C$2+D32*Prislapp!$D$2+E32*Prislapp!$E$2+F32*Prislapp!$F$2+G32*Prislapp!$G$2+H32*Prislapp!$H$2+I32*Prislapp!$I$2+J32*Prislapp!$J$2+K32*Prislapp!$K$2+L32*Prislapp!$L$2+M32*Prislapp!$M$2+N32*Prislapp!$N$2</f>
        <v>20757</v>
      </c>
      <c r="P32" s="40">
        <f>C32*Prislapp!$C$3+D32*Prislapp!$D$3+E32*Prislapp!$E$3+F32*Prislapp!$F$3+G32*Prislapp!$G$3+H32*Prislapp!$H$3+I32*Prislapp!$I$3+J32*Prislapp!$J$3+K32*Prislapp!$K$3+M32*Prislapp!$M$3+N32*Prislapp!$N$3+L32*Prislapp!$L$3</f>
        <v>36082</v>
      </c>
      <c r="Q32" s="40">
        <f>C32*Prislapp!$C$5+D32*Prislapp!$D$5+E32*Prislapp!$E$5+F32*Prislapp!$F$5+G32*Prislapp!$G$5+H32*Prislapp!$H$5+I32*Prislapp!$I$5+J32*Prislapp!$J$5+K32*Prislapp!$K$5+L32*Prislapp!$L$5+M32*Prislapp!$M$5+N32*Prislapp!$N$5</f>
        <v>22600</v>
      </c>
      <c r="R32" s="9">
        <f>VLOOKUP(A32,'Ansvar kurs'!$A$2:$B$943,2,FALSE)</f>
        <v>5700</v>
      </c>
      <c r="S32" s="157"/>
      <c r="T32" s="157"/>
      <c r="U32" s="157"/>
      <c r="V32" s="157"/>
      <c r="W32" s="157"/>
      <c r="X32" s="157"/>
      <c r="Y32" s="157"/>
      <c r="Z32" s="157"/>
    </row>
    <row r="33" spans="1:26" x14ac:dyDescent="0.25">
      <c r="A33" s="31" t="s">
        <v>995</v>
      </c>
      <c r="B33" s="31" t="s">
        <v>1487</v>
      </c>
      <c r="J33" s="31">
        <v>1</v>
      </c>
      <c r="O33" s="40">
        <f>C33*Prislapp!$C$2+D33*Prislapp!$D$2+E33*Prislapp!$E$2+F33*Prislapp!$F$2+G33*Prislapp!$G$2+H33*Prislapp!$H$2+I33*Prislapp!$I$2+J33*Prislapp!$J$2+K33*Prislapp!$K$2+L33*Prislapp!$L$2+M33*Prislapp!$M$2+N33*Prislapp!$N$2</f>
        <v>20757</v>
      </c>
      <c r="P33" s="40">
        <f>C33*Prislapp!$C$3+D33*Prislapp!$D$3+E33*Prislapp!$E$3+F33*Prislapp!$F$3+G33*Prislapp!$G$3+H33*Prislapp!$H$3+I33*Prislapp!$I$3+J33*Prislapp!$J$3+K33*Prislapp!$K$3+M33*Prislapp!$M$3+N33*Prislapp!$N$3+L33*Prislapp!$L$3</f>
        <v>36082</v>
      </c>
      <c r="Q33" s="40">
        <f>C33*Prislapp!$C$5+D33*Prislapp!$D$5+E33*Prislapp!$E$5+F33*Prislapp!$F$5+G33*Prislapp!$G$5+H33*Prislapp!$H$5+I33*Prislapp!$I$5+J33*Prislapp!$J$5+K33*Prislapp!$K$5+L33*Prislapp!$L$5+M33*Prislapp!$M$5+N33*Prislapp!$N$5</f>
        <v>22600</v>
      </c>
      <c r="R33" s="9">
        <f>VLOOKUP(A33,'Ansvar kurs'!$A$2:$B$943,2,FALSE)</f>
        <v>5410</v>
      </c>
      <c r="S33" s="157"/>
      <c r="T33" s="157"/>
      <c r="U33" s="157"/>
      <c r="V33" s="157"/>
      <c r="W33" s="157"/>
      <c r="X33" s="157"/>
      <c r="Y33" s="157"/>
      <c r="Z33" s="157"/>
    </row>
    <row r="34" spans="1:26" x14ac:dyDescent="0.25">
      <c r="A34" s="31" t="s">
        <v>1113</v>
      </c>
      <c r="B34" s="31" t="s">
        <v>1117</v>
      </c>
      <c r="J34" s="31">
        <v>1</v>
      </c>
      <c r="O34" s="40">
        <f>C34*Prislapp!$C$2+D34*Prislapp!$D$2+E34*Prislapp!$E$2+F34*Prislapp!$F$2+G34*Prislapp!$G$2+H34*Prislapp!$H$2+I34*Prislapp!$I$2+J34*Prislapp!$J$2+K34*Prislapp!$K$2+L34*Prislapp!$L$2+M34*Prislapp!$M$2+N34*Prislapp!$N$2</f>
        <v>20757</v>
      </c>
      <c r="P34" s="40">
        <f>C34*Prislapp!$C$3+D34*Prislapp!$D$3+E34*Prislapp!$E$3+F34*Prislapp!$F$3+G34*Prislapp!$G$3+H34*Prislapp!$H$3+I34*Prislapp!$I$3+J34*Prislapp!$J$3+K34*Prislapp!$K$3+M34*Prislapp!$M$3+N34*Prislapp!$N$3+L34*Prislapp!$L$3</f>
        <v>36082</v>
      </c>
      <c r="Q34" s="40">
        <f>C34*Prislapp!$C$5+D34*Prislapp!$D$5+E34*Prislapp!$E$5+F34*Prislapp!$F$5+G34*Prislapp!$G$5+H34*Prislapp!$H$5+I34*Prislapp!$I$5+J34*Prislapp!$J$5+K34*Prislapp!$K$5+L34*Prislapp!$L$5+M34*Prislapp!$M$5+N34*Prislapp!$N$5</f>
        <v>22600</v>
      </c>
      <c r="R34" s="9">
        <f>VLOOKUP(A34,'Ansvar kurs'!$A$2:$B$943,2,FALSE)</f>
        <v>5400</v>
      </c>
      <c r="S34" s="157"/>
      <c r="T34" s="157"/>
      <c r="U34" s="157"/>
      <c r="V34" s="157"/>
      <c r="W34" s="157"/>
      <c r="X34" s="157"/>
      <c r="Y34" s="157"/>
      <c r="Z34" s="157"/>
    </row>
    <row r="35" spans="1:26" x14ac:dyDescent="0.25">
      <c r="A35" s="31" t="s">
        <v>348</v>
      </c>
      <c r="B35" s="31" t="s">
        <v>351</v>
      </c>
      <c r="J35" s="31">
        <v>1</v>
      </c>
      <c r="O35" s="40">
        <f>C35*Prislapp!$C$2+D35*Prislapp!$D$2+E35*Prislapp!$E$2+F35*Prislapp!$F$2+G35*Prislapp!$G$2+H35*Prislapp!$H$2+I35*Prislapp!$I$2+J35*Prislapp!$J$2+K35*Prislapp!$K$2+L35*Prislapp!$L$2+M35*Prislapp!$M$2+N35*Prislapp!$N$2</f>
        <v>20757</v>
      </c>
      <c r="P35" s="40">
        <f>C35*Prislapp!$C$3+D35*Prislapp!$D$3+E35*Prislapp!$E$3+F35*Prislapp!$F$3+G35*Prislapp!$G$3+H35*Prislapp!$H$3+I35*Prislapp!$I$3+J35*Prislapp!$J$3+K35*Prislapp!$K$3+M35*Prislapp!$M$3+N35*Prislapp!$N$3+L35*Prislapp!$L$3</f>
        <v>36082</v>
      </c>
      <c r="Q35" s="40">
        <f>C35*Prislapp!$C$5+D35*Prislapp!$D$5+E35*Prislapp!$E$5+F35*Prislapp!$F$5+G35*Prislapp!$G$5+H35*Prislapp!$H$5+I35*Prislapp!$I$5+J35*Prislapp!$J$5+K35*Prislapp!$K$5+L35*Prislapp!$L$5+M35*Prislapp!$M$5+N35*Prislapp!$N$5</f>
        <v>22600</v>
      </c>
      <c r="R35" s="9">
        <f>VLOOKUP(A35,'Ansvar kurs'!$A$2:$B$943,2,FALSE)</f>
        <v>5400</v>
      </c>
      <c r="S35" s="157"/>
      <c r="T35" s="157"/>
      <c r="U35" s="157"/>
      <c r="V35" s="157"/>
      <c r="W35" s="157"/>
      <c r="X35" s="157"/>
      <c r="Y35" s="157"/>
      <c r="Z35" s="157"/>
    </row>
    <row r="36" spans="1:26" x14ac:dyDescent="0.25">
      <c r="A36" s="31" t="s">
        <v>996</v>
      </c>
      <c r="B36" s="31" t="s">
        <v>1032</v>
      </c>
      <c r="J36" s="31">
        <v>1</v>
      </c>
      <c r="O36" s="40">
        <f>C36*Prislapp!$C$2+D36*Prislapp!$D$2+E36*Prislapp!$E$2+F36*Prislapp!$F$2+G36*Prislapp!$G$2+H36*Prislapp!$H$2+I36*Prislapp!$I$2+J36*Prislapp!$J$2+K36*Prislapp!$K$2+L36*Prislapp!$L$2+M36*Prislapp!$M$2+N36*Prislapp!$N$2</f>
        <v>20757</v>
      </c>
      <c r="P36" s="40">
        <f>C36*Prislapp!$C$3+D36*Prislapp!$D$3+E36*Prislapp!$E$3+F36*Prislapp!$F$3+G36*Prislapp!$G$3+H36*Prislapp!$H$3+I36*Prislapp!$I$3+J36*Prislapp!$J$3+K36*Prislapp!$K$3+M36*Prislapp!$M$3+N36*Prislapp!$N$3+L36*Prislapp!$L$3</f>
        <v>36082</v>
      </c>
      <c r="Q36" s="40">
        <f>C36*Prislapp!$C$5+D36*Prislapp!$D$5+E36*Prislapp!$E$5+F36*Prislapp!$F$5+G36*Prislapp!$G$5+H36*Prislapp!$H$5+I36*Prislapp!$I$5+J36*Prislapp!$J$5+K36*Prislapp!$K$5+L36*Prislapp!$L$5+M36*Prislapp!$M$5+N36*Prislapp!$N$5</f>
        <v>22600</v>
      </c>
      <c r="R36" s="9">
        <f>VLOOKUP(A36,'Ansvar kurs'!$A$2:$B$943,2,FALSE)</f>
        <v>5400</v>
      </c>
      <c r="S36" s="157"/>
      <c r="T36" s="157"/>
      <c r="U36" s="157"/>
      <c r="V36" s="157"/>
      <c r="W36" s="157"/>
      <c r="X36" s="157"/>
      <c r="Y36" s="157"/>
      <c r="Z36" s="157"/>
    </row>
    <row r="37" spans="1:26" x14ac:dyDescent="0.25">
      <c r="A37" s="31" t="s">
        <v>1476</v>
      </c>
      <c r="B37" s="31" t="s">
        <v>936</v>
      </c>
      <c r="J37" s="31">
        <v>1</v>
      </c>
      <c r="O37" s="40">
        <f>C37*Prislapp!$C$2+D37*Prislapp!$D$2+E37*Prislapp!$E$2+F37*Prislapp!$F$2+G37*Prislapp!$G$2+H37*Prislapp!$H$2+I37*Prislapp!$I$2+J37*Prislapp!$J$2+K37*Prislapp!$K$2+L37*Prislapp!$L$2+M37*Prislapp!$M$2+N37*Prislapp!$N$2</f>
        <v>20757</v>
      </c>
      <c r="P37" s="40">
        <f>C37*Prislapp!$C$3+D37*Prislapp!$D$3+E37*Prislapp!$E$3+F37*Prislapp!$F$3+G37*Prislapp!$G$3+H37*Prislapp!$H$3+I37*Prislapp!$I$3+J37*Prislapp!$J$3+K37*Prislapp!$K$3+M37*Prislapp!$M$3+N37*Prislapp!$N$3+L37*Prislapp!$L$3</f>
        <v>36082</v>
      </c>
      <c r="Q37" s="40">
        <f>C37*Prislapp!$C$5+D37*Prislapp!$D$5+E37*Prislapp!$E$5+F37*Prislapp!$F$5+G37*Prislapp!$G$5+H37*Prislapp!$H$5+I37*Prislapp!$I$5+J37*Prislapp!$J$5+K37*Prislapp!$K$5+L37*Prislapp!$L$5+M37*Prislapp!$M$5+N37*Prislapp!$N$5</f>
        <v>22600</v>
      </c>
      <c r="R37" s="9">
        <f>VLOOKUP(A37,'Ansvar kurs'!$A$2:$B$943,2,FALSE)</f>
        <v>5400</v>
      </c>
      <c r="S37" s="157"/>
      <c r="T37" s="157"/>
      <c r="U37" s="157"/>
      <c r="V37" s="157"/>
      <c r="W37" s="157"/>
      <c r="X37" s="157"/>
      <c r="Y37" s="157"/>
      <c r="Z37" s="157"/>
    </row>
    <row r="38" spans="1:26" x14ac:dyDescent="0.25">
      <c r="A38" s="31" t="s">
        <v>929</v>
      </c>
      <c r="B38" s="31" t="s">
        <v>936</v>
      </c>
      <c r="J38" s="31">
        <v>1</v>
      </c>
      <c r="O38" s="40">
        <f>C38*Prislapp!$C$2+D38*Prislapp!$D$2+E38*Prislapp!$E$2+F38*Prislapp!$F$2+G38*Prislapp!$G$2+H38*Prislapp!$H$2+I38*Prislapp!$I$2+J38*Prislapp!$J$2+K38*Prislapp!$K$2+L38*Prislapp!$L$2+M38*Prislapp!$M$2+N38*Prislapp!$N$2</f>
        <v>20757</v>
      </c>
      <c r="P38" s="40">
        <f>C38*Prislapp!$C$3+D38*Prislapp!$D$3+E38*Prislapp!$E$3+F38*Prislapp!$F$3+G38*Prislapp!$G$3+H38*Prislapp!$H$3+I38*Prislapp!$I$3+J38*Prislapp!$J$3+K38*Prislapp!$K$3+M38*Prislapp!$M$3+N38*Prislapp!$N$3+L38*Prislapp!$L$3</f>
        <v>36082</v>
      </c>
      <c r="Q38" s="40">
        <f>C38*Prislapp!$C$5+D38*Prislapp!$D$5+E38*Prislapp!$E$5+F38*Prislapp!$F$5+G38*Prislapp!$G$5+H38*Prislapp!$H$5+I38*Prislapp!$I$5+J38*Prislapp!$J$5+K38*Prislapp!$K$5+L38*Prislapp!$L$5+M38*Prislapp!$M$5+N38*Prislapp!$N$5</f>
        <v>22600</v>
      </c>
      <c r="R38" s="9">
        <f>VLOOKUP(A38,'Ansvar kurs'!$A$2:$B$943,2,FALSE)</f>
        <v>5400</v>
      </c>
      <c r="S38" s="157"/>
      <c r="T38" s="157"/>
      <c r="U38" s="157"/>
      <c r="V38" s="157"/>
      <c r="W38" s="157"/>
      <c r="X38" s="157"/>
      <c r="Y38" s="157"/>
      <c r="Z38" s="157"/>
    </row>
    <row r="39" spans="1:26" x14ac:dyDescent="0.25">
      <c r="A39" s="60" t="s">
        <v>1547</v>
      </c>
      <c r="B39" s="60" t="s">
        <v>350</v>
      </c>
      <c r="J39" s="31">
        <v>1</v>
      </c>
      <c r="O39" s="40">
        <f>C39*Prislapp!$C$2+D39*Prislapp!$D$2+E39*Prislapp!$E$2+F39*Prislapp!$F$2+G39*Prislapp!$G$2+H39*Prislapp!$H$2+I39*Prislapp!$I$2+J39*Prislapp!$J$2+K39*Prislapp!$K$2+L39*Prislapp!$L$2+M39*Prislapp!$M$2+N39*Prislapp!$N$2</f>
        <v>20757</v>
      </c>
      <c r="P39" s="40">
        <f>C39*Prislapp!$C$3+D39*Prislapp!$D$3+E39*Prislapp!$E$3+F39*Prislapp!$F$3+G39*Prislapp!$G$3+H39*Prislapp!$H$3+I39*Prislapp!$I$3+J39*Prislapp!$J$3+K39*Prislapp!$K$3+M39*Prislapp!$M$3+N39*Prislapp!$N$3+L39*Prislapp!$L$3</f>
        <v>36082</v>
      </c>
      <c r="Q39" s="40">
        <f>C39*Prislapp!$C$5+D39*Prislapp!$D$5+E39*Prislapp!$E$5+F39*Prislapp!$F$5+G39*Prislapp!$G$5+H39*Prislapp!$H$5+I39*Prislapp!$I$5+J39*Prislapp!$J$5+K39*Prislapp!$K$5+L39*Prislapp!$L$5+M39*Prislapp!$M$5+N39*Prislapp!$N$5</f>
        <v>22600</v>
      </c>
      <c r="R39" s="9">
        <f>VLOOKUP(A39,'Ansvar kurs'!$A$2:$B$943,2,FALSE)</f>
        <v>5400</v>
      </c>
      <c r="S39" s="157"/>
      <c r="T39" s="157"/>
      <c r="U39" s="157"/>
      <c r="V39" s="157"/>
      <c r="W39" s="157"/>
      <c r="X39" s="157"/>
      <c r="Y39" s="157"/>
      <c r="Z39" s="157"/>
    </row>
    <row r="40" spans="1:26" x14ac:dyDescent="0.25">
      <c r="A40" s="31" t="s">
        <v>349</v>
      </c>
      <c r="B40" s="31" t="s">
        <v>350</v>
      </c>
      <c r="H40" s="31">
        <v>1</v>
      </c>
      <c r="O40" s="40">
        <f>C40*Prislapp!$C$2+D40*Prislapp!$D$2+E40*Prislapp!$E$2+F40*Prislapp!$F$2+G40*Prislapp!$G$2+H40*Prislapp!$H$2+I40*Prislapp!$I$2+J40*Prislapp!$J$2+K40*Prislapp!$K$2+L40*Prislapp!$L$2+M40*Prislapp!$M$2+N40*Prislapp!$N$2</f>
        <v>20757</v>
      </c>
      <c r="P40" s="40">
        <f>C40*Prislapp!$C$3+D40*Prislapp!$D$3+E40*Prislapp!$E$3+F40*Prislapp!$F$3+G40*Prislapp!$G$3+H40*Prislapp!$H$3+I40*Prislapp!$I$3+J40*Prislapp!$J$3+K40*Prislapp!$K$3+M40*Prislapp!$M$3+N40*Prislapp!$N$3+L40*Prislapp!$L$3</f>
        <v>36082</v>
      </c>
      <c r="Q40" s="40">
        <f>C40*Prislapp!$C$5+D40*Prislapp!$D$5+E40*Prislapp!$E$5+F40*Prislapp!$F$5+G40*Prislapp!$G$5+H40*Prislapp!$H$5+I40*Prislapp!$I$5+J40*Prislapp!$J$5+K40*Prislapp!$K$5+L40*Prislapp!$L$5+M40*Prislapp!$M$5+N40*Prislapp!$N$5</f>
        <v>22600</v>
      </c>
      <c r="R40" s="9">
        <f>VLOOKUP(A40,'Ansvar kurs'!$A$2:$B$943,2,FALSE)</f>
        <v>5400</v>
      </c>
      <c r="S40" s="157"/>
      <c r="T40" s="157"/>
      <c r="U40" s="157"/>
      <c r="V40" s="157"/>
      <c r="W40" s="157"/>
      <c r="X40" s="157"/>
      <c r="Y40" s="157"/>
      <c r="Z40" s="157"/>
    </row>
    <row r="41" spans="1:26" x14ac:dyDescent="0.25">
      <c r="A41" s="31" t="s">
        <v>1741</v>
      </c>
      <c r="B41" s="31" t="s">
        <v>1749</v>
      </c>
      <c r="J41" s="31">
        <v>1</v>
      </c>
      <c r="O41" s="40">
        <f>C41*Prislapp!$C$2+D41*Prislapp!$D$2+E41*Prislapp!$E$2+F41*Prislapp!$F$2+G41*Prislapp!$G$2+H41*Prislapp!$H$2+I41*Prislapp!$I$2+J41*Prislapp!$J$2+K41*Prislapp!$K$2+L41*Prislapp!$L$2+M41*Prislapp!$M$2+N41*Prislapp!$N$2</f>
        <v>20757</v>
      </c>
      <c r="P41" s="40">
        <f>C41*Prislapp!$C$3+D41*Prislapp!$D$3+E41*Prislapp!$E$3+F41*Prislapp!$F$3+G41*Prislapp!$G$3+H41*Prislapp!$H$3+I41*Prislapp!$I$3+J41*Prislapp!$J$3+K41*Prislapp!$K$3+M41*Prislapp!$M$3+N41*Prislapp!$N$3+L41*Prislapp!$L$3</f>
        <v>36082</v>
      </c>
      <c r="Q41" s="40">
        <f>C41*Prislapp!$C$5+D41*Prislapp!$D$5+E41*Prislapp!$E$5+F41*Prislapp!$F$5+G41*Prislapp!$G$5+H41*Prislapp!$H$5+I41*Prislapp!$I$5+J41*Prislapp!$J$5+K41*Prislapp!$K$5+L41*Prislapp!$L$5+M41*Prislapp!$M$5+N41*Prislapp!$N$5</f>
        <v>22600</v>
      </c>
      <c r="R41" s="9">
        <f>VLOOKUP(A41,'Ansvar kurs'!$A$2:$B$943,2,FALSE)</f>
        <v>5400</v>
      </c>
      <c r="S41" s="157"/>
      <c r="T41" s="157"/>
      <c r="U41" s="157"/>
      <c r="V41" s="157"/>
      <c r="W41" s="157"/>
      <c r="X41" s="157"/>
      <c r="Y41" s="157"/>
      <c r="Z41" s="157"/>
    </row>
    <row r="42" spans="1:26" x14ac:dyDescent="0.25">
      <c r="A42" s="31" t="s">
        <v>997</v>
      </c>
      <c r="B42" s="31" t="s">
        <v>1033</v>
      </c>
      <c r="H42" s="31">
        <v>1</v>
      </c>
      <c r="O42" s="40">
        <f>C42*Prislapp!$C$2+D42*Prislapp!$D$2+E42*Prislapp!$E$2+F42*Prislapp!$F$2+G42*Prislapp!$G$2+H42*Prislapp!$H$2+I42*Prislapp!$I$2+J42*Prislapp!$J$2+K42*Prislapp!$K$2+L42*Prislapp!$L$2+M42*Prislapp!$M$2+N42*Prislapp!$N$2</f>
        <v>20757</v>
      </c>
      <c r="P42" s="40">
        <f>C42*Prislapp!$C$3+D42*Prislapp!$D$3+E42*Prislapp!$E$3+F42*Prislapp!$F$3+G42*Prislapp!$G$3+H42*Prislapp!$H$3+I42*Prislapp!$I$3+J42*Prislapp!$J$3+K42*Prislapp!$K$3+M42*Prislapp!$M$3+N42*Prislapp!$N$3+L42*Prislapp!$L$3</f>
        <v>36082</v>
      </c>
      <c r="Q42" s="40">
        <f>C42*Prislapp!$C$5+D42*Prislapp!$D$5+E42*Prislapp!$E$5+F42*Prislapp!$F$5+G42*Prislapp!$G$5+H42*Prislapp!$H$5+I42*Prislapp!$I$5+J42*Prislapp!$J$5+K42*Prislapp!$K$5+L42*Prislapp!$L$5+M42*Prislapp!$M$5+N42*Prislapp!$N$5</f>
        <v>22600</v>
      </c>
      <c r="R42" s="9">
        <f>VLOOKUP(A42,'Ansvar kurs'!$A$2:$B$943,2,FALSE)</f>
        <v>5400</v>
      </c>
      <c r="S42" s="157"/>
      <c r="T42" s="157"/>
      <c r="U42" s="157"/>
      <c r="V42" s="157"/>
      <c r="W42" s="157"/>
      <c r="X42" s="157"/>
      <c r="Y42" s="157"/>
      <c r="Z42" s="157"/>
    </row>
    <row r="43" spans="1:26" x14ac:dyDescent="0.25">
      <c r="A43" s="31" t="s">
        <v>998</v>
      </c>
      <c r="B43" s="31" t="s">
        <v>1034</v>
      </c>
      <c r="H43" s="31">
        <v>1</v>
      </c>
      <c r="O43" s="40">
        <f>C43*Prislapp!$C$2+D43*Prislapp!$D$2+E43*Prislapp!$E$2+F43*Prislapp!$F$2+G43*Prislapp!$G$2+H43*Prislapp!$H$2+I43*Prislapp!$I$2+J43*Prislapp!$J$2+K43*Prislapp!$K$2+L43*Prislapp!$L$2+M43*Prislapp!$M$2+N43*Prislapp!$N$2</f>
        <v>20757</v>
      </c>
      <c r="P43" s="40">
        <f>C43*Prislapp!$C$3+D43*Prislapp!$D$3+E43*Prislapp!$E$3+F43*Prislapp!$F$3+G43*Prislapp!$G$3+H43*Prislapp!$H$3+I43*Prislapp!$I$3+J43*Prislapp!$J$3+K43*Prislapp!$K$3+M43*Prislapp!$M$3+N43*Prislapp!$N$3+L43*Prislapp!$L$3</f>
        <v>36082</v>
      </c>
      <c r="Q43" s="40">
        <f>C43*Prislapp!$C$5+D43*Prislapp!$D$5+E43*Prislapp!$E$5+F43*Prislapp!$F$5+G43*Prislapp!$G$5+H43*Prislapp!$H$5+I43*Prislapp!$I$5+J43*Prislapp!$J$5+K43*Prislapp!$K$5+L43*Prislapp!$L$5+M43*Prislapp!$M$5+N43*Prislapp!$N$5</f>
        <v>22600</v>
      </c>
      <c r="R43" s="9">
        <f>VLOOKUP(A43,'Ansvar kurs'!$A$2:$B$943,2,FALSE)</f>
        <v>5400</v>
      </c>
      <c r="S43" s="157"/>
      <c r="T43" s="157"/>
      <c r="U43" s="157"/>
      <c r="V43" s="157"/>
      <c r="W43" s="157"/>
      <c r="X43" s="157"/>
      <c r="Y43" s="157"/>
      <c r="Z43" s="157"/>
    </row>
    <row r="44" spans="1:26" x14ac:dyDescent="0.25">
      <c r="A44" s="31" t="s">
        <v>1114</v>
      </c>
      <c r="B44" s="31" t="s">
        <v>1118</v>
      </c>
      <c r="H44" s="31">
        <v>1</v>
      </c>
      <c r="O44" s="40">
        <f>C44*Prislapp!$C$2+D44*Prislapp!$D$2+E44*Prislapp!$E$2+F44*Prislapp!$F$2+G44*Prislapp!$G$2+H44*Prislapp!$H$2+I44*Prislapp!$I$2+J44*Prislapp!$J$2+K44*Prislapp!$K$2+L44*Prislapp!$L$2+M44*Prislapp!$M$2+N44*Prislapp!$N$2</f>
        <v>20757</v>
      </c>
      <c r="P44" s="40">
        <f>C44*Prislapp!$C$3+D44*Prislapp!$D$3+E44*Prislapp!$E$3+F44*Prislapp!$F$3+G44*Prislapp!$G$3+H44*Prislapp!$H$3+I44*Prislapp!$I$3+J44*Prislapp!$J$3+K44*Prislapp!$K$3+M44*Prislapp!$M$3+N44*Prislapp!$N$3+L44*Prislapp!$L$3</f>
        <v>36082</v>
      </c>
      <c r="Q44" s="40">
        <f>C44*Prislapp!$C$5+D44*Prislapp!$D$5+E44*Prislapp!$E$5+F44*Prislapp!$F$5+G44*Prislapp!$G$5+H44*Prislapp!$H$5+I44*Prislapp!$I$5+J44*Prislapp!$J$5+K44*Prislapp!$K$5+L44*Prislapp!$L$5+M44*Prislapp!$M$5+N44*Prislapp!$N$5</f>
        <v>22600</v>
      </c>
      <c r="R44" s="9">
        <f>VLOOKUP(A44,'Ansvar kurs'!$A$2:$B$943,2,FALSE)</f>
        <v>5400</v>
      </c>
      <c r="S44" s="157"/>
      <c r="T44" s="157"/>
      <c r="U44" s="157"/>
      <c r="V44" s="157"/>
      <c r="W44" s="157"/>
      <c r="X44" s="157"/>
      <c r="Y44" s="157"/>
      <c r="Z44" s="157"/>
    </row>
    <row r="45" spans="1:26" x14ac:dyDescent="0.25">
      <c r="A45" s="31" t="s">
        <v>999</v>
      </c>
      <c r="B45" s="31" t="s">
        <v>1035</v>
      </c>
      <c r="J45" s="31">
        <v>1</v>
      </c>
      <c r="O45" s="40">
        <f>C45*Prislapp!$C$2+D45*Prislapp!$D$2+E45*Prislapp!$E$2+F45*Prislapp!$F$2+G45*Prislapp!$G$2+H45*Prislapp!$H$2+I45*Prislapp!$I$2+J45*Prislapp!$J$2+K45*Prislapp!$K$2+L45*Prislapp!$L$2+M45*Prislapp!$M$2+N45*Prislapp!$N$2</f>
        <v>20757</v>
      </c>
      <c r="P45" s="40">
        <f>C45*Prislapp!$C$3+D45*Prislapp!$D$3+E45*Prislapp!$E$3+F45*Prislapp!$F$3+G45*Prislapp!$G$3+H45*Prislapp!$H$3+I45*Prislapp!$I$3+J45*Prislapp!$J$3+K45*Prislapp!$K$3+M45*Prislapp!$M$3+N45*Prislapp!$N$3+L45*Prislapp!$L$3</f>
        <v>36082</v>
      </c>
      <c r="Q45" s="40">
        <f>C45*Prislapp!$C$5+D45*Prislapp!$D$5+E45*Prislapp!$E$5+F45*Prislapp!$F$5+G45*Prislapp!$G$5+H45*Prislapp!$H$5+I45*Prislapp!$I$5+J45*Prislapp!$J$5+K45*Prislapp!$K$5+L45*Prislapp!$L$5+M45*Prislapp!$M$5+N45*Prislapp!$N$5</f>
        <v>22600</v>
      </c>
      <c r="R45" s="9">
        <f>VLOOKUP(A45,'Ansvar kurs'!$A$2:$B$943,2,FALSE)</f>
        <v>5400</v>
      </c>
      <c r="S45" s="157"/>
      <c r="T45" s="157"/>
      <c r="U45" s="157"/>
      <c r="V45" s="157"/>
      <c r="W45" s="157"/>
      <c r="X45" s="157"/>
      <c r="Y45" s="157"/>
      <c r="Z45" s="157"/>
    </row>
    <row r="46" spans="1:26" x14ac:dyDescent="0.25">
      <c r="A46" s="31" t="s">
        <v>1742</v>
      </c>
      <c r="B46" s="31" t="s">
        <v>1750</v>
      </c>
      <c r="H46" s="31">
        <v>0.5</v>
      </c>
      <c r="J46" s="31">
        <v>0.5</v>
      </c>
      <c r="O46" s="40">
        <f>C46*Prislapp!$C$2+D46*Prislapp!$D$2+E46*Prislapp!$E$2+F46*Prislapp!$F$2+G46*Prislapp!$G$2+H46*Prislapp!$H$2+I46*Prislapp!$I$2+J46*Prislapp!$J$2+K46*Prislapp!$K$2+L46*Prislapp!$L$2+M46*Prislapp!$M$2+N46*Prislapp!$N$2</f>
        <v>20757</v>
      </c>
      <c r="P46" s="40">
        <f>C46*Prislapp!$C$3+D46*Prislapp!$D$3+E46*Prislapp!$E$3+F46*Prislapp!$F$3+G46*Prislapp!$G$3+H46*Prislapp!$H$3+I46*Prislapp!$I$3+J46*Prislapp!$J$3+K46*Prislapp!$K$3+M46*Prislapp!$M$3+N46*Prislapp!$N$3+L46*Prislapp!$L$3</f>
        <v>36082</v>
      </c>
      <c r="Q46" s="40">
        <f>C46*Prislapp!$C$5+D46*Prislapp!$D$5+E46*Prislapp!$E$5+F46*Prislapp!$F$5+G46*Prislapp!$G$5+H46*Prislapp!$H$5+I46*Prislapp!$I$5+J46*Prislapp!$J$5+K46*Prislapp!$K$5+L46*Prislapp!$L$5+M46*Prislapp!$M$5+N46*Prislapp!$N$5</f>
        <v>22600</v>
      </c>
      <c r="R46" s="9">
        <f>VLOOKUP(A46,'Ansvar kurs'!$A$2:$B$943,2,FALSE)</f>
        <v>5400</v>
      </c>
      <c r="S46" s="157"/>
      <c r="T46" s="157"/>
      <c r="U46" s="157"/>
      <c r="V46" s="157"/>
      <c r="W46" s="157"/>
      <c r="X46" s="157"/>
      <c r="Y46" s="157"/>
      <c r="Z46" s="157"/>
    </row>
    <row r="47" spans="1:26" x14ac:dyDescent="0.25">
      <c r="A47" s="31" t="s">
        <v>1053</v>
      </c>
      <c r="B47" s="31" t="s">
        <v>1062</v>
      </c>
      <c r="H47" s="31">
        <v>0.5</v>
      </c>
      <c r="J47" s="31">
        <v>0.5</v>
      </c>
      <c r="O47" s="40">
        <f>C47*Prislapp!$C$2+D47*Prislapp!$D$2+E47*Prislapp!$E$2+F47*Prislapp!$F$2+G47*Prislapp!$G$2+H47*Prislapp!$H$2+I47*Prislapp!$I$2+J47*Prislapp!$J$2+K47*Prislapp!$K$2+L47*Prislapp!$L$2+M47*Prislapp!$M$2+N47*Prislapp!$N$2</f>
        <v>20757</v>
      </c>
      <c r="P47" s="40">
        <f>C47*Prislapp!$C$3+D47*Prislapp!$D$3+E47*Prislapp!$E$3+F47*Prislapp!$F$3+G47*Prislapp!$G$3+H47*Prislapp!$H$3+I47*Prislapp!$I$3+J47*Prislapp!$J$3+K47*Prislapp!$K$3+M47*Prislapp!$M$3+N47*Prislapp!$N$3+L47*Prislapp!$L$3</f>
        <v>36082</v>
      </c>
      <c r="Q47" s="40">
        <f>C47*Prislapp!$C$5+D47*Prislapp!$D$5+E47*Prislapp!$E$5+F47*Prislapp!$F$5+G47*Prislapp!$G$5+H47*Prislapp!$H$5+I47*Prislapp!$I$5+J47*Prislapp!$J$5+K47*Prislapp!$K$5+L47*Prislapp!$L$5+M47*Prislapp!$M$5+N47*Prislapp!$N$5</f>
        <v>22600</v>
      </c>
      <c r="R47" s="9">
        <f>VLOOKUP(A47,'Ansvar kurs'!$A$2:$B$943,2,FALSE)</f>
        <v>5400</v>
      </c>
      <c r="S47" s="157"/>
      <c r="T47" s="157"/>
      <c r="U47" s="157"/>
      <c r="V47" s="157"/>
      <c r="W47" s="157"/>
      <c r="X47" s="157"/>
      <c r="Y47" s="157"/>
      <c r="Z47" s="157"/>
    </row>
    <row r="48" spans="1:26" x14ac:dyDescent="0.25">
      <c r="A48" s="31" t="s">
        <v>1054</v>
      </c>
      <c r="B48" s="31" t="s">
        <v>1063</v>
      </c>
      <c r="H48" s="31">
        <v>0.5</v>
      </c>
      <c r="J48" s="31">
        <v>0.5</v>
      </c>
      <c r="O48" s="40">
        <f>C48*Prislapp!$C$2+D48*Prislapp!$D$2+E48*Prislapp!$E$2+F48*Prislapp!$F$2+G48*Prislapp!$G$2+H48*Prislapp!$H$2+I48*Prislapp!$I$2+J48*Prislapp!$J$2+K48*Prislapp!$K$2+L48*Prislapp!$L$2+M48*Prislapp!$M$2+N48*Prislapp!$N$2</f>
        <v>20757</v>
      </c>
      <c r="P48" s="40">
        <f>C48*Prislapp!$C$3+D48*Prislapp!$D$3+E48*Prislapp!$E$3+F48*Prislapp!$F$3+G48*Prislapp!$G$3+H48*Prislapp!$H$3+I48*Prislapp!$I$3+J48*Prislapp!$J$3+K48*Prislapp!$K$3+M48*Prislapp!$M$3+N48*Prislapp!$N$3+L48*Prislapp!$L$3</f>
        <v>36082</v>
      </c>
      <c r="Q48" s="40">
        <f>C48*Prislapp!$C$5+D48*Prislapp!$D$5+E48*Prislapp!$E$5+F48*Prislapp!$F$5+G48*Prislapp!$G$5+H48*Prislapp!$H$5+I48*Prislapp!$I$5+J48*Prislapp!$J$5+K48*Prislapp!$K$5+L48*Prislapp!$L$5+M48*Prislapp!$M$5+N48*Prislapp!$N$5</f>
        <v>22600</v>
      </c>
      <c r="R48" s="9">
        <f>VLOOKUP(A48,'Ansvar kurs'!$A$2:$B$943,2,FALSE)</f>
        <v>5400</v>
      </c>
      <c r="S48" s="157"/>
      <c r="T48" s="157"/>
      <c r="U48" s="157"/>
      <c r="V48" s="157"/>
      <c r="W48" s="157"/>
      <c r="X48" s="157"/>
      <c r="Y48" s="157"/>
      <c r="Z48" s="157"/>
    </row>
    <row r="49" spans="1:26" x14ac:dyDescent="0.25">
      <c r="A49" s="60" t="s">
        <v>1229</v>
      </c>
      <c r="B49" s="60" t="s">
        <v>1230</v>
      </c>
      <c r="H49" s="31">
        <v>0.5</v>
      </c>
      <c r="J49" s="31">
        <v>0.5</v>
      </c>
      <c r="O49" s="40">
        <f>C49*Prislapp!$C$2+D49*Prislapp!$D$2+E49*Prislapp!$E$2+F49*Prislapp!$F$2+G49*Prislapp!$G$2+H49*Prislapp!$H$2+I49*Prislapp!$I$2+J49*Prislapp!$J$2+K49*Prislapp!$K$2+L49*Prislapp!$L$2+M49*Prislapp!$M$2+N49*Prislapp!$N$2</f>
        <v>20757</v>
      </c>
      <c r="P49" s="40">
        <f>C49*Prislapp!$C$3+D49*Prislapp!$D$3+E49*Prislapp!$E$3+F49*Prislapp!$F$3+G49*Prislapp!$G$3+H49*Prislapp!$H$3+I49*Prislapp!$I$3+J49*Prislapp!$J$3+K49*Prislapp!$K$3+M49*Prislapp!$M$3+N49*Prislapp!$N$3+L49*Prislapp!$L$3</f>
        <v>36082</v>
      </c>
      <c r="Q49" s="40">
        <f>C49*Prislapp!$C$5+D49*Prislapp!$D$5+E49*Prislapp!$E$5+F49*Prislapp!$F$5+G49*Prislapp!$G$5+H49*Prislapp!$H$5+I49*Prislapp!$I$5+J49*Prislapp!$J$5+K49*Prislapp!$K$5+L49*Prislapp!$L$5+M49*Prislapp!$M$5+N49*Prislapp!$N$5</f>
        <v>22600</v>
      </c>
      <c r="R49" s="9">
        <f>VLOOKUP(A49,'Ansvar kurs'!$A$2:$B$943,2,FALSE)</f>
        <v>5400</v>
      </c>
      <c r="S49" s="157"/>
      <c r="T49" s="157"/>
      <c r="U49" s="157"/>
      <c r="V49" s="157"/>
      <c r="W49" s="157"/>
      <c r="X49" s="157"/>
      <c r="Y49" s="157"/>
      <c r="Z49" s="157"/>
    </row>
    <row r="50" spans="1:26" x14ac:dyDescent="0.25">
      <c r="A50" s="31" t="s">
        <v>1115</v>
      </c>
      <c r="B50" s="31" t="s">
        <v>1119</v>
      </c>
      <c r="H50" s="31">
        <v>0.5</v>
      </c>
      <c r="J50" s="31">
        <v>0.5</v>
      </c>
      <c r="O50" s="40">
        <f>C50*Prislapp!$C$2+D50*Prislapp!$D$2+E50*Prislapp!$E$2+F50*Prislapp!$F$2+G50*Prislapp!$G$2+H50*Prislapp!$H$2+I50*Prislapp!$I$2+J50*Prislapp!$J$2+K50*Prislapp!$K$2+L50*Prislapp!$L$2+M50*Prislapp!$M$2+N50*Prislapp!$N$2</f>
        <v>20757</v>
      </c>
      <c r="P50" s="40">
        <f>C50*Prislapp!$C$3+D50*Prislapp!$D$3+E50*Prislapp!$E$3+F50*Prislapp!$F$3+G50*Prislapp!$G$3+H50*Prislapp!$H$3+I50*Prislapp!$I$3+J50*Prislapp!$J$3+K50*Prislapp!$K$3+M50*Prislapp!$M$3+N50*Prislapp!$N$3+L50*Prislapp!$L$3</f>
        <v>36082</v>
      </c>
      <c r="Q50" s="40">
        <f>C50*Prislapp!$C$5+D50*Prislapp!$D$5+E50*Prislapp!$E$5+F50*Prislapp!$F$5+G50*Prislapp!$G$5+H50*Prislapp!$H$5+I50*Prislapp!$I$5+J50*Prislapp!$J$5+K50*Prislapp!$K$5+L50*Prislapp!$L$5+M50*Prislapp!$M$5+N50*Prislapp!$N$5</f>
        <v>22600</v>
      </c>
      <c r="R50" s="9">
        <f>VLOOKUP(A50,'Ansvar kurs'!$A$2:$B$943,2,FALSE)</f>
        <v>5400</v>
      </c>
      <c r="S50" s="157"/>
      <c r="T50" s="157"/>
      <c r="U50" s="157"/>
      <c r="V50" s="157"/>
      <c r="W50" s="157"/>
      <c r="X50" s="157"/>
      <c r="Y50" s="157"/>
      <c r="Z50" s="157"/>
    </row>
    <row r="51" spans="1:26" ht="16.5" customHeight="1" x14ac:dyDescent="0.25">
      <c r="A51" s="31" t="s">
        <v>1116</v>
      </c>
      <c r="B51" s="31" t="s">
        <v>1120</v>
      </c>
      <c r="H51" s="31">
        <v>0.5</v>
      </c>
      <c r="J51" s="31">
        <v>0.5</v>
      </c>
      <c r="O51" s="40">
        <f>C51*Prislapp!$C$2+D51*Prislapp!$D$2+E51*Prislapp!$E$2+F51*Prislapp!$F$2+G51*Prislapp!$G$2+H51*Prislapp!$H$2+I51*Prislapp!$I$2+J51*Prislapp!$J$2+K51*Prislapp!$K$2+L51*Prislapp!$L$2+M51*Prislapp!$M$2+N51*Prislapp!$N$2</f>
        <v>20757</v>
      </c>
      <c r="P51" s="40">
        <f>C51*Prislapp!$C$3+D51*Prislapp!$D$3+E51*Prislapp!$E$3+F51*Prislapp!$F$3+G51*Prislapp!$G$3+H51*Prislapp!$H$3+I51*Prislapp!$I$3+J51*Prislapp!$J$3+K51*Prislapp!$K$3+M51*Prislapp!$M$3+N51*Prislapp!$N$3+L51*Prislapp!$L$3</f>
        <v>36082</v>
      </c>
      <c r="Q51" s="40">
        <f>C51*Prislapp!$C$5+D51*Prislapp!$D$5+E51*Prislapp!$E$5+F51*Prislapp!$F$5+G51*Prislapp!$G$5+H51*Prislapp!$H$5+I51*Prislapp!$I$5+J51*Prislapp!$J$5+K51*Prislapp!$K$5+L51*Prislapp!$L$5+M51*Prislapp!$M$5+N51*Prislapp!$N$5</f>
        <v>22600</v>
      </c>
      <c r="R51" s="9">
        <f>VLOOKUP(A51,'Ansvar kurs'!$A$2:$B$943,2,FALSE)</f>
        <v>5400</v>
      </c>
      <c r="S51" s="157"/>
      <c r="T51" s="157"/>
      <c r="U51" s="157"/>
      <c r="V51" s="157"/>
      <c r="W51" s="157"/>
      <c r="X51" s="157"/>
      <c r="Y51" s="157"/>
      <c r="Z51" s="157"/>
    </row>
    <row r="52" spans="1:26" ht="16.5" customHeight="1" x14ac:dyDescent="0.25">
      <c r="A52" s="60" t="s">
        <v>2158</v>
      </c>
      <c r="B52" s="60" t="s">
        <v>2165</v>
      </c>
      <c r="H52" s="31">
        <v>0.5</v>
      </c>
      <c r="J52" s="31">
        <v>0.5</v>
      </c>
      <c r="O52" s="40">
        <f>C52*Prislapp!$C$2+D52*Prislapp!$D$2+E52*Prislapp!$E$2+F52*Prislapp!$F$2+G52*Prislapp!$G$2+H52*Prislapp!$H$2+I52*Prislapp!$I$2+J52*Prislapp!$J$2+K52*Prislapp!$K$2+L52*Prislapp!$L$2+M52*Prislapp!$M$2+N52*Prislapp!$N$2</f>
        <v>20757</v>
      </c>
      <c r="P52" s="40">
        <f>C52*Prislapp!$C$3+D52*Prislapp!$D$3+E52*Prislapp!$E$3+F52*Prislapp!$F$3+G52*Prislapp!$G$3+H52*Prislapp!$H$3+I52*Prislapp!$I$3+J52*Prislapp!$J$3+K52*Prislapp!$K$3+M52*Prislapp!$M$3+N52*Prislapp!$N$3+L52*Prislapp!$L$3</f>
        <v>36082</v>
      </c>
      <c r="Q52" s="40">
        <f>C52*Prislapp!$C$5+D52*Prislapp!$D$5+E52*Prislapp!$E$5+F52*Prislapp!$F$5+G52*Prislapp!$G$5+H52*Prislapp!$H$5+I52*Prislapp!$I$5+J52*Prislapp!$J$5+K52*Prislapp!$K$5+L52*Prislapp!$L$5+M52*Prislapp!$M$5+N52*Prislapp!$N$5</f>
        <v>22600</v>
      </c>
      <c r="R52" s="9">
        <f>VLOOKUP(A52,'Ansvar kurs'!$A$2:$B$943,2,FALSE)</f>
        <v>5400</v>
      </c>
      <c r="S52" s="157"/>
      <c r="T52" s="157"/>
      <c r="U52" s="157"/>
      <c r="V52" s="157"/>
      <c r="W52" s="157"/>
      <c r="X52" s="157"/>
      <c r="Y52" s="157"/>
      <c r="Z52" s="157"/>
    </row>
    <row r="53" spans="1:26" x14ac:dyDescent="0.25">
      <c r="A53" s="31" t="s">
        <v>1696</v>
      </c>
      <c r="B53" s="31" t="s">
        <v>1033</v>
      </c>
      <c r="H53" s="31">
        <v>0.5</v>
      </c>
      <c r="J53" s="31">
        <v>0.5</v>
      </c>
      <c r="O53" s="40">
        <f>C53*Prislapp!$C$2+D53*Prislapp!$D$2+E53*Prislapp!$E$2+F53*Prislapp!$F$2+G53*Prislapp!$G$2+H53*Prislapp!$H$2+I53*Prislapp!$I$2+J53*Prislapp!$J$2+K53*Prislapp!$K$2+L53*Prislapp!$L$2+M53*Prislapp!$M$2+N53*Prislapp!$N$2</f>
        <v>20757</v>
      </c>
      <c r="P53" s="40">
        <f>C53*Prislapp!$C$3+D53*Prislapp!$D$3+E53*Prislapp!$E$3+F53*Prislapp!$F$3+G53*Prislapp!$G$3+H53*Prislapp!$H$3+I53*Prislapp!$I$3+J53*Prislapp!$J$3+K53*Prislapp!$K$3+M53*Prislapp!$M$3+N53*Prislapp!$N$3+L53*Prislapp!$L$3</f>
        <v>36082</v>
      </c>
      <c r="Q53" s="40">
        <f>C53*Prislapp!$C$5+D53*Prislapp!$D$5+E53*Prislapp!$E$5+F53*Prislapp!$F$5+G53*Prislapp!$G$5+H53*Prislapp!$H$5+I53*Prislapp!$I$5+J53*Prislapp!$J$5+K53*Prislapp!$K$5+L53*Prislapp!$L$5+M53*Prislapp!$M$5+N53*Prislapp!$N$5</f>
        <v>22600</v>
      </c>
      <c r="R53" s="9">
        <f>VLOOKUP(A53,'Ansvar kurs'!$A$2:$B$943,2,FALSE)</f>
        <v>5400</v>
      </c>
      <c r="S53" s="157"/>
      <c r="T53" s="157"/>
      <c r="U53" s="157"/>
      <c r="V53" s="157"/>
      <c r="W53" s="157"/>
      <c r="X53" s="157"/>
      <c r="Y53" s="157"/>
      <c r="Z53" s="157"/>
    </row>
    <row r="54" spans="1:26" x14ac:dyDescent="0.25">
      <c r="A54" s="60" t="s">
        <v>1561</v>
      </c>
      <c r="B54" s="57" t="s">
        <v>1562</v>
      </c>
      <c r="H54" s="31">
        <v>0.5</v>
      </c>
      <c r="J54" s="31">
        <v>0.5</v>
      </c>
      <c r="O54" s="40">
        <f>C54*Prislapp!$C$2+D54*Prislapp!$D$2+E54*Prislapp!$E$2+F54*Prislapp!$F$2+G54*Prislapp!$G$2+H54*Prislapp!$H$2+I54*Prislapp!$I$2+J54*Prislapp!$J$2+K54*Prislapp!$K$2+L54*Prislapp!$L$2+M54*Prislapp!$M$2+N54*Prislapp!$N$2</f>
        <v>20757</v>
      </c>
      <c r="P54" s="40">
        <f>C54*Prislapp!$C$3+D54*Prislapp!$D$3+E54*Prislapp!$E$3+F54*Prislapp!$F$3+G54*Prislapp!$G$3+H54*Prislapp!$H$3+I54*Prislapp!$I$3+J54*Prislapp!$J$3+K54*Prislapp!$K$3+M54*Prislapp!$M$3+N54*Prislapp!$N$3+L54*Prislapp!$L$3</f>
        <v>36082</v>
      </c>
      <c r="Q54" s="40">
        <f>C54*Prislapp!$C$5+D54*Prislapp!$D$5+E54*Prislapp!$E$5+F54*Prislapp!$F$5+G54*Prislapp!$G$5+H54*Prislapp!$H$5+I54*Prislapp!$I$5+J54*Prislapp!$J$5+K54*Prislapp!$K$5+L54*Prislapp!$L$5+M54*Prislapp!$M$5+N54*Prislapp!$N$5</f>
        <v>22600</v>
      </c>
      <c r="R54" s="9">
        <f>VLOOKUP(A54,'Ansvar kurs'!$A$2:$B$943,2,FALSE)</f>
        <v>5400</v>
      </c>
      <c r="S54" s="157"/>
      <c r="T54" s="157"/>
      <c r="U54" s="157"/>
      <c r="V54" s="157"/>
      <c r="W54" s="157"/>
      <c r="X54" s="157"/>
      <c r="Y54" s="157"/>
      <c r="Z54" s="157"/>
    </row>
    <row r="55" spans="1:26" x14ac:dyDescent="0.25">
      <c r="A55" s="60" t="s">
        <v>2070</v>
      </c>
      <c r="B55" s="57" t="s">
        <v>1063</v>
      </c>
      <c r="H55" s="31">
        <v>0.5</v>
      </c>
      <c r="J55" s="31">
        <v>0.5</v>
      </c>
      <c r="O55" s="40">
        <f>C55*Prislapp!$C$2+D55*Prislapp!$D$2+E55*Prislapp!$E$2+F55*Prislapp!$F$2+G55*Prislapp!$G$2+H55*Prislapp!$H$2+I55*Prislapp!$I$2+J55*Prislapp!$J$2+K55*Prislapp!$K$2+L55*Prislapp!$L$2+M55*Prislapp!$M$2+N55*Prislapp!$N$2</f>
        <v>20757</v>
      </c>
      <c r="P55" s="40">
        <f>C55*Prislapp!$C$3+D55*Prislapp!$D$3+E55*Prislapp!$E$3+F55*Prislapp!$F$3+G55*Prislapp!$G$3+H55*Prislapp!$H$3+I55*Prislapp!$I$3+J55*Prislapp!$J$3+K55*Prislapp!$K$3+M55*Prislapp!$M$3+N55*Prislapp!$N$3+L55*Prislapp!$L$3</f>
        <v>36082</v>
      </c>
      <c r="Q55" s="40">
        <f>C55*Prislapp!$C$5+D55*Prislapp!$D$5+E55*Prislapp!$E$5+F55*Prislapp!$F$5+G55*Prislapp!$G$5+H55*Prislapp!$H$5+I55*Prislapp!$I$5+J55*Prislapp!$J$5+K55*Prislapp!$K$5+L55*Prislapp!$L$5+M55*Prislapp!$M$5+N55*Prislapp!$N$5</f>
        <v>22600</v>
      </c>
      <c r="R55" s="9">
        <f>VLOOKUP(A55,'Ansvar kurs'!$A$2:$B$943,2,FALSE)</f>
        <v>5400</v>
      </c>
      <c r="S55" s="157"/>
      <c r="T55" s="157"/>
      <c r="U55" s="157"/>
      <c r="V55" s="157"/>
      <c r="W55" s="157"/>
      <c r="X55" s="157"/>
      <c r="Y55" s="157"/>
      <c r="Z55" s="157"/>
    </row>
    <row r="56" spans="1:26" x14ac:dyDescent="0.25">
      <c r="A56" s="60" t="s">
        <v>2059</v>
      </c>
      <c r="B56" s="57" t="s">
        <v>1063</v>
      </c>
      <c r="H56" s="31">
        <v>0.5</v>
      </c>
      <c r="J56" s="31">
        <v>0.5</v>
      </c>
      <c r="O56" s="40">
        <f>C56*Prislapp!$C$2+D56*Prislapp!$D$2+E56*Prislapp!$E$2+F56*Prislapp!$F$2+G56*Prislapp!$G$2+H56*Prislapp!$H$2+I56*Prislapp!$I$2+J56*Prislapp!$J$2+K56*Prislapp!$K$2+L56*Prislapp!$L$2+M56*Prislapp!$M$2+N56*Prislapp!$N$2</f>
        <v>20757</v>
      </c>
      <c r="P56" s="40">
        <f>C56*Prislapp!$C$3+D56*Prislapp!$D$3+E56*Prislapp!$E$3+F56*Prislapp!$F$3+G56*Prislapp!$G$3+H56*Prislapp!$H$3+I56*Prislapp!$I$3+J56*Prislapp!$J$3+K56*Prislapp!$K$3+M56*Prislapp!$M$3+N56*Prislapp!$N$3+L56*Prislapp!$L$3</f>
        <v>36082</v>
      </c>
      <c r="Q56" s="40">
        <f>C56*Prislapp!$C$5+D56*Prislapp!$D$5+E56*Prislapp!$E$5+F56*Prislapp!$F$5+G56*Prislapp!$G$5+H56*Prislapp!$H$5+I56*Prislapp!$I$5+J56*Prislapp!$J$5+K56*Prislapp!$K$5+L56*Prislapp!$L$5+M56*Prislapp!$M$5+N56*Prislapp!$N$5</f>
        <v>22600</v>
      </c>
      <c r="R56" s="9">
        <f>VLOOKUP(A56,'Ansvar kurs'!$A$2:$B$943,2,FALSE)</f>
        <v>5400</v>
      </c>
      <c r="S56" s="157"/>
      <c r="T56" s="157"/>
      <c r="U56" s="157"/>
      <c r="V56" s="157"/>
      <c r="W56" s="157"/>
      <c r="X56" s="157"/>
      <c r="Y56" s="157"/>
      <c r="Z56" s="157"/>
    </row>
    <row r="57" spans="1:26" x14ac:dyDescent="0.25">
      <c r="A57" s="31" t="s">
        <v>2060</v>
      </c>
      <c r="B57" s="31" t="s">
        <v>1062</v>
      </c>
      <c r="H57" s="31">
        <v>0.5</v>
      </c>
      <c r="J57" s="31">
        <v>0.5</v>
      </c>
      <c r="O57" s="40">
        <f>C57*Prislapp!$C$2+D57*Prislapp!$D$2+E57*Prislapp!$E$2+F57*Prislapp!$F$2+G57*Prislapp!$G$2+H57*Prislapp!$H$2+I57*Prislapp!$I$2+J57*Prislapp!$J$2+K57*Prislapp!$K$2+L57*Prislapp!$L$2+M57*Prislapp!$M$2+N57*Prislapp!$N$2</f>
        <v>20757</v>
      </c>
      <c r="P57" s="40">
        <f>C57*Prislapp!$C$3+D57*Prislapp!$D$3+E57*Prislapp!$E$3+F57*Prislapp!$F$3+G57*Prislapp!$G$3+H57*Prislapp!$H$3+I57*Prislapp!$I$3+J57*Prislapp!$J$3+K57*Prislapp!$K$3+M57*Prislapp!$M$3+N57*Prislapp!$N$3+L57*Prislapp!$L$3</f>
        <v>36082</v>
      </c>
      <c r="Q57" s="40">
        <f>C57*Prislapp!$C$5+D57*Prislapp!$D$5+E57*Prislapp!$E$5+F57*Prislapp!$F$5+G57*Prislapp!$G$5+H57*Prislapp!$H$5+I57*Prislapp!$I$5+J57*Prislapp!$J$5+K57*Prislapp!$K$5+L57*Prislapp!$L$5+M57*Prislapp!$M$5+N57*Prislapp!$N$5</f>
        <v>22600</v>
      </c>
      <c r="R57" s="9">
        <f>VLOOKUP(A57,'Ansvar kurs'!$A$2:$B$943,2,FALSE)</f>
        <v>5400</v>
      </c>
      <c r="S57" s="157"/>
      <c r="T57" s="157"/>
      <c r="U57" s="157"/>
      <c r="V57" s="157"/>
      <c r="W57" s="157"/>
      <c r="X57" s="157"/>
      <c r="Y57" s="157"/>
      <c r="Z57" s="157"/>
    </row>
    <row r="58" spans="1:26" x14ac:dyDescent="0.25">
      <c r="A58" s="60" t="s">
        <v>2033</v>
      </c>
      <c r="B58" s="57" t="s">
        <v>2034</v>
      </c>
      <c r="H58" s="31">
        <v>0.5</v>
      </c>
      <c r="J58" s="31">
        <v>0.5</v>
      </c>
      <c r="O58" s="40">
        <f>C58*Prislapp!$C$2+D58*Prislapp!$D$2+E58*Prislapp!$E$2+F58*Prislapp!$F$2+G58*Prislapp!$G$2+H58*Prislapp!$H$2+I58*Prislapp!$I$2+J58*Prislapp!$J$2+K58*Prislapp!$K$2+L58*Prislapp!$L$2+M58*Prislapp!$M$2+N58*Prislapp!$N$2</f>
        <v>20757</v>
      </c>
      <c r="P58" s="40">
        <f>C58*Prislapp!$C$3+D58*Prislapp!$D$3+E58*Prislapp!$E$3+F58*Prislapp!$F$3+G58*Prislapp!$G$3+H58*Prislapp!$H$3+I58*Prislapp!$I$3+J58*Prislapp!$J$3+K58*Prislapp!$K$3+M58*Prislapp!$M$3+N58*Prislapp!$N$3+L58*Prislapp!$L$3</f>
        <v>36082</v>
      </c>
      <c r="Q58" s="40">
        <f>C58*Prislapp!$C$5+D58*Prislapp!$D$5+E58*Prislapp!$E$5+F58*Prislapp!$F$5+G58*Prislapp!$G$5+H58*Prislapp!$H$5+I58*Prislapp!$I$5+J58*Prislapp!$J$5+K58*Prislapp!$K$5+L58*Prislapp!$L$5+M58*Prislapp!$M$5+N58*Prislapp!$N$5</f>
        <v>22600</v>
      </c>
      <c r="R58" s="9">
        <f>VLOOKUP(A58,'Ansvar kurs'!$A$2:$B$943,2,FALSE)</f>
        <v>5400</v>
      </c>
      <c r="S58" s="157"/>
      <c r="T58" s="157"/>
      <c r="U58" s="157"/>
      <c r="V58" s="157"/>
      <c r="W58" s="157"/>
      <c r="X58" s="157"/>
      <c r="Y58" s="157"/>
      <c r="Z58" s="157"/>
    </row>
    <row r="59" spans="1:26" x14ac:dyDescent="0.25">
      <c r="A59" s="60" t="s">
        <v>2159</v>
      </c>
      <c r="B59" s="57" t="s">
        <v>2166</v>
      </c>
      <c r="H59" s="31">
        <v>0.5</v>
      </c>
      <c r="J59" s="31">
        <v>0.5</v>
      </c>
      <c r="O59" s="40">
        <f>C59*Prislapp!$C$2+D59*Prislapp!$D$2+E59*Prislapp!$E$2+F59*Prislapp!$F$2+G59*Prislapp!$G$2+H59*Prislapp!$H$2+I59*Prislapp!$I$2+J59*Prislapp!$J$2+K59*Prislapp!$K$2+L59*Prislapp!$L$2+M59*Prislapp!$M$2+N59*Prislapp!$N$2</f>
        <v>20757</v>
      </c>
      <c r="P59" s="40">
        <f>C59*Prislapp!$C$3+D59*Prislapp!$D$3+E59*Prislapp!$E$3+F59*Prislapp!$F$3+G59*Prislapp!$G$3+H59*Prislapp!$H$3+I59*Prislapp!$I$3+J59*Prislapp!$J$3+K59*Prislapp!$K$3+M59*Prislapp!$M$3+N59*Prislapp!$N$3+L59*Prislapp!$L$3</f>
        <v>36082</v>
      </c>
      <c r="Q59" s="40">
        <f>C59*Prislapp!$C$5+D59*Prislapp!$D$5+E59*Prislapp!$E$5+F59*Prislapp!$F$5+G59*Prislapp!$G$5+H59*Prislapp!$H$5+I59*Prislapp!$I$5+J59*Prislapp!$J$5+K59*Prislapp!$K$5+L59*Prislapp!$L$5+M59*Prislapp!$M$5+N59*Prislapp!$N$5</f>
        <v>22600</v>
      </c>
      <c r="R59" s="9">
        <f>VLOOKUP(A59,'Ansvar kurs'!$A$2:$B$943,2,FALSE)</f>
        <v>5400</v>
      </c>
      <c r="S59" s="157"/>
      <c r="T59" s="157"/>
      <c r="U59" s="157"/>
      <c r="V59" s="157"/>
      <c r="W59" s="157"/>
      <c r="X59" s="157"/>
      <c r="Y59" s="157"/>
      <c r="Z59" s="157"/>
    </row>
    <row r="60" spans="1:26" x14ac:dyDescent="0.25">
      <c r="A60" s="60" t="s">
        <v>2125</v>
      </c>
      <c r="B60" s="57" t="s">
        <v>2126</v>
      </c>
      <c r="H60" s="57">
        <v>0.5</v>
      </c>
      <c r="I60" s="57"/>
      <c r="J60" s="57">
        <v>0.5</v>
      </c>
      <c r="O60" s="40">
        <f>C60*Prislapp!$C$2+D60*Prislapp!$D$2+E60*Prislapp!$E$2+F60*Prislapp!$F$2+G60*Prislapp!$G$2+H60*Prislapp!$H$2+I60*Prislapp!$I$2+J60*Prislapp!$J$2+K60*Prislapp!$K$2+L60*Prislapp!$L$2+M60*Prislapp!$M$2+N60*Prislapp!$N$2</f>
        <v>20757</v>
      </c>
      <c r="P60" s="40">
        <f>C60*Prislapp!$C$3+D60*Prislapp!$D$3+E60*Prislapp!$E$3+F60*Prislapp!$F$3+G60*Prislapp!$G$3+H60*Prislapp!$H$3+I60*Prislapp!$I$3+J60*Prislapp!$J$3+K60*Prislapp!$K$3+M60*Prislapp!$M$3+N60*Prislapp!$N$3+L60*Prislapp!$L$3</f>
        <v>36082</v>
      </c>
      <c r="Q60" s="40">
        <f>C60*Prislapp!$C$5+D60*Prislapp!$D$5+E60*Prislapp!$E$5+F60*Prislapp!$F$5+G60*Prislapp!$G$5+H60*Prislapp!$H$5+I60*Prislapp!$I$5+J60*Prislapp!$J$5+K60*Prislapp!$K$5+L60*Prislapp!$L$5+M60*Prislapp!$M$5+N60*Prislapp!$N$5</f>
        <v>22600</v>
      </c>
      <c r="R60" s="9">
        <f>VLOOKUP(A60,'Ansvar kurs'!$A$2:$B$943,2,FALSE)</f>
        <v>5400</v>
      </c>
      <c r="S60" s="157"/>
      <c r="T60" s="157"/>
      <c r="U60" s="157"/>
      <c r="V60" s="157"/>
      <c r="W60" s="157"/>
      <c r="X60" s="157"/>
      <c r="Y60" s="157"/>
      <c r="Z60" s="157"/>
    </row>
    <row r="61" spans="1:26" x14ac:dyDescent="0.25">
      <c r="A61" s="31" t="s">
        <v>1000</v>
      </c>
      <c r="B61" s="31" t="s">
        <v>1036</v>
      </c>
      <c r="J61" s="31">
        <v>1</v>
      </c>
      <c r="O61" s="40">
        <f>C61*Prislapp!$C$2+D61*Prislapp!$D$2+E61*Prislapp!$E$2+F61*Prislapp!$F$2+G61*Prislapp!$G$2+H61*Prislapp!$H$2+I61*Prislapp!$I$2+J61*Prislapp!$J$2+K61*Prislapp!$K$2+L61*Prislapp!$L$2+M61*Prislapp!$M$2+N61*Prislapp!$N$2</f>
        <v>20757</v>
      </c>
      <c r="P61" s="40">
        <f>C61*Prislapp!$C$3+D61*Prislapp!$D$3+E61*Prislapp!$E$3+F61*Prislapp!$F$3+G61*Prislapp!$G$3+H61*Prislapp!$H$3+I61*Prislapp!$I$3+J61*Prislapp!$J$3+K61*Prislapp!$K$3+M61*Prislapp!$M$3+N61*Prislapp!$N$3+L61*Prislapp!$L$3</f>
        <v>36082</v>
      </c>
      <c r="Q61" s="40">
        <f>C61*Prislapp!$C$5+D61*Prislapp!$D$5+E61*Prislapp!$E$5+F61*Prislapp!$F$5+G61*Prislapp!$G$5+H61*Prislapp!$H$5+I61*Prislapp!$I$5+J61*Prislapp!$J$5+K61*Prislapp!$K$5+L61*Prislapp!$L$5+M61*Prislapp!$M$5+N61*Prislapp!$N$5</f>
        <v>22600</v>
      </c>
      <c r="R61" s="9">
        <f>VLOOKUP(A61,'Ansvar kurs'!$A$2:$B$943,2,FALSE)</f>
        <v>5500</v>
      </c>
      <c r="S61" s="157"/>
      <c r="T61" s="157"/>
      <c r="U61" s="157"/>
      <c r="V61" s="157"/>
      <c r="W61" s="157"/>
      <c r="X61" s="157"/>
      <c r="Y61" s="157"/>
      <c r="Z61" s="157"/>
    </row>
    <row r="62" spans="1:26" x14ac:dyDescent="0.25">
      <c r="A62" s="31" t="s">
        <v>930</v>
      </c>
      <c r="B62" s="31" t="s">
        <v>352</v>
      </c>
      <c r="J62" s="31">
        <v>1</v>
      </c>
      <c r="O62" s="40">
        <f>C62*Prislapp!$C$2+D62*Prislapp!$D$2+E62*Prislapp!$E$2+F62*Prislapp!$F$2+G62*Prislapp!$G$2+H62*Prislapp!$H$2+I62*Prislapp!$I$2+J62*Prislapp!$J$2+K62*Prislapp!$K$2+L62*Prislapp!$L$2+M62*Prislapp!$M$2+N62*Prislapp!$N$2</f>
        <v>20757</v>
      </c>
      <c r="P62" s="40">
        <f>C62*Prislapp!$C$3+D62*Prislapp!$D$3+E62*Prislapp!$E$3+F62*Prislapp!$F$3+G62*Prislapp!$G$3+H62*Prislapp!$H$3+I62*Prislapp!$I$3+J62*Prislapp!$J$3+K62*Prislapp!$K$3+M62*Prislapp!$M$3+N62*Prislapp!$N$3+L62*Prislapp!$L$3</f>
        <v>36082</v>
      </c>
      <c r="Q62" s="40">
        <f>C62*Prislapp!$C$5+D62*Prislapp!$D$5+E62*Prislapp!$E$5+F62*Prislapp!$F$5+G62*Prislapp!$G$5+H62*Prislapp!$H$5+I62*Prislapp!$I$5+J62*Prislapp!$J$5+K62*Prislapp!$K$5+L62*Prislapp!$L$5+M62*Prislapp!$M$5+N62*Prislapp!$N$5</f>
        <v>22600</v>
      </c>
      <c r="R62" s="9">
        <f>VLOOKUP(A62,'Ansvar kurs'!$A$2:$B$943,2,FALSE)</f>
        <v>5500</v>
      </c>
      <c r="S62" s="157"/>
      <c r="T62" s="157"/>
      <c r="U62" s="157"/>
      <c r="V62" s="157"/>
      <c r="W62" s="157"/>
      <c r="X62" s="157"/>
      <c r="Y62" s="157"/>
      <c r="Z62" s="157"/>
    </row>
    <row r="63" spans="1:26" x14ac:dyDescent="0.25">
      <c r="A63" s="57" t="s">
        <v>1743</v>
      </c>
      <c r="B63" s="60" t="s">
        <v>1243</v>
      </c>
      <c r="J63" s="31">
        <v>1</v>
      </c>
      <c r="O63" s="40">
        <f>C63*Prislapp!$C$2+D63*Prislapp!$D$2+E63*Prislapp!$E$2+F63*Prislapp!$F$2+G63*Prislapp!$G$2+H63*Prislapp!$H$2+I63*Prislapp!$I$2+J63*Prislapp!$J$2+K63*Prislapp!$K$2+L63*Prislapp!$L$2+M63*Prislapp!$M$2+N63*Prislapp!$N$2</f>
        <v>20757</v>
      </c>
      <c r="P63" s="40">
        <f>C63*Prislapp!$C$3+D63*Prislapp!$D$3+E63*Prislapp!$E$3+F63*Prislapp!$F$3+G63*Prislapp!$G$3+H63*Prislapp!$H$3+I63*Prislapp!$I$3+J63*Prislapp!$J$3+K63*Prislapp!$K$3+M63*Prislapp!$M$3+N63*Prislapp!$N$3+L63*Prislapp!$L$3</f>
        <v>36082</v>
      </c>
      <c r="Q63" s="40">
        <f>C63*Prislapp!$C$5+D63*Prislapp!$D$5+E63*Prislapp!$E$5+F63*Prislapp!$F$5+G63*Prislapp!$G$5+H63*Prislapp!$H$5+I63*Prislapp!$I$5+J63*Prislapp!$J$5+K63*Prislapp!$K$5+L63*Prislapp!$L$5+M63*Prislapp!$M$5+N63*Prislapp!$N$5</f>
        <v>22600</v>
      </c>
      <c r="R63" s="9">
        <f>VLOOKUP(A63,'Ansvar kurs'!$A$2:$B$943,2,FALSE)</f>
        <v>5500</v>
      </c>
      <c r="S63" s="157"/>
      <c r="T63" s="157"/>
      <c r="U63" s="157"/>
      <c r="V63" s="157"/>
      <c r="W63" s="157"/>
      <c r="X63" s="157"/>
      <c r="Y63" s="157"/>
      <c r="Z63" s="157"/>
    </row>
    <row r="64" spans="1:26" x14ac:dyDescent="0.25">
      <c r="A64" s="57" t="s">
        <v>1793</v>
      </c>
      <c r="B64" s="60" t="s">
        <v>1812</v>
      </c>
      <c r="H64" s="31">
        <v>1</v>
      </c>
      <c r="O64" s="40">
        <f>C64*Prislapp!$C$2+D64*Prislapp!$D$2+E64*Prislapp!$E$2+F64*Prislapp!$F$2+G64*Prislapp!$G$2+H64*Prislapp!$H$2+I64*Prislapp!$I$2+J64*Prislapp!$J$2+K64*Prislapp!$K$2+L64*Prislapp!$L$2+M64*Prislapp!$M$2+N64*Prislapp!$N$2</f>
        <v>20757</v>
      </c>
      <c r="P64" s="40">
        <f>C64*Prislapp!$C$3+D64*Prislapp!$D$3+E64*Prislapp!$E$3+F64*Prislapp!$F$3+G64*Prislapp!$G$3+H64*Prislapp!$H$3+I64*Prislapp!$I$3+J64*Prislapp!$J$3+K64*Prislapp!$K$3+M64*Prislapp!$M$3+N64*Prislapp!$N$3+L64*Prislapp!$L$3</f>
        <v>36082</v>
      </c>
      <c r="Q64" s="40">
        <f>C64*Prislapp!$C$5+D64*Prislapp!$D$5+E64*Prislapp!$E$5+F64*Prislapp!$F$5+G64*Prislapp!$G$5+H64*Prislapp!$H$5+I64*Prislapp!$I$5+J64*Prislapp!$J$5+K64*Prislapp!$K$5+L64*Prislapp!$L$5+M64*Prislapp!$M$5+N64*Prislapp!$N$5</f>
        <v>22600</v>
      </c>
      <c r="R64" s="9">
        <f>VLOOKUP(A64,'Ansvar kurs'!$A$2:$B$943,2,FALSE)</f>
        <v>5500</v>
      </c>
      <c r="S64" s="157"/>
      <c r="T64" s="157"/>
      <c r="U64" s="157"/>
      <c r="V64" s="157"/>
      <c r="W64" s="157"/>
      <c r="X64" s="157"/>
      <c r="Y64" s="157"/>
      <c r="Z64" s="157"/>
    </row>
    <row r="65" spans="1:26" x14ac:dyDescent="0.25">
      <c r="A65" s="57" t="s">
        <v>1794</v>
      </c>
      <c r="B65" s="60" t="s">
        <v>1811</v>
      </c>
      <c r="H65" s="31">
        <v>1</v>
      </c>
      <c r="O65" s="40">
        <f>C65*Prislapp!$C$2+D65*Prislapp!$D$2+E65*Prislapp!$E$2+F65*Prislapp!$F$2+G65*Prislapp!$G$2+H65*Prislapp!$H$2+I65*Prislapp!$I$2+J65*Prislapp!$J$2+K65*Prislapp!$K$2+L65*Prislapp!$L$2+M65*Prislapp!$M$2+N65*Prislapp!$N$2</f>
        <v>20757</v>
      </c>
      <c r="P65" s="40">
        <f>C65*Prislapp!$C$3+D65*Prislapp!$D$3+E65*Prislapp!$E$3+F65*Prislapp!$F$3+G65*Prislapp!$G$3+H65*Prislapp!$H$3+I65*Prislapp!$I$3+J65*Prislapp!$J$3+K65*Prislapp!$K$3+M65*Prislapp!$M$3+N65*Prislapp!$N$3+L65*Prislapp!$L$3</f>
        <v>36082</v>
      </c>
      <c r="Q65" s="40">
        <f>C65*Prislapp!$C$5+D65*Prislapp!$D$5+E65*Prislapp!$E$5+F65*Prislapp!$F$5+G65*Prislapp!$G$5+H65*Prislapp!$H$5+I65*Prislapp!$I$5+J65*Prislapp!$J$5+K65*Prislapp!$K$5+L65*Prislapp!$L$5+M65*Prislapp!$M$5+N65*Prislapp!$N$5</f>
        <v>22600</v>
      </c>
      <c r="R65" s="9">
        <f>VLOOKUP(A65,'Ansvar kurs'!$A$2:$B$943,2,FALSE)</f>
        <v>5500</v>
      </c>
      <c r="S65" s="157"/>
      <c r="T65" s="157"/>
      <c r="U65" s="157"/>
      <c r="V65" s="157"/>
      <c r="W65" s="157"/>
      <c r="X65" s="157"/>
      <c r="Y65" s="157"/>
      <c r="Z65" s="157"/>
    </row>
    <row r="66" spans="1:26" x14ac:dyDescent="0.25">
      <c r="A66" s="31" t="s">
        <v>1001</v>
      </c>
      <c r="B66" s="31" t="s">
        <v>1037</v>
      </c>
      <c r="J66" s="31">
        <v>1</v>
      </c>
      <c r="O66" s="40">
        <f>C66*Prislapp!$C$2+D66*Prislapp!$D$2+E66*Prislapp!$E$2+F66*Prislapp!$F$2+G66*Prislapp!$G$2+H66*Prislapp!$H$2+I66*Prislapp!$I$2+J66*Prislapp!$J$2+K66*Prislapp!$K$2+L66*Prislapp!$L$2+M66*Prislapp!$M$2+N66*Prislapp!$N$2</f>
        <v>20757</v>
      </c>
      <c r="P66" s="40">
        <f>C66*Prislapp!$C$3+D66*Prislapp!$D$3+E66*Prislapp!$E$3+F66*Prislapp!$F$3+G66*Prislapp!$G$3+H66*Prislapp!$H$3+I66*Prislapp!$I$3+J66*Prislapp!$J$3+K66*Prislapp!$K$3+M66*Prislapp!$M$3+N66*Prislapp!$N$3+L66*Prislapp!$L$3</f>
        <v>36082</v>
      </c>
      <c r="Q66" s="40">
        <f>C66*Prislapp!$C$5+D66*Prislapp!$D$5+E66*Prislapp!$E$5+F66*Prislapp!$F$5+G66*Prislapp!$G$5+H66*Prislapp!$H$5+I66*Prislapp!$I$5+J66*Prislapp!$J$5+K66*Prislapp!$K$5+L66*Prislapp!$L$5+M66*Prislapp!$M$5+N66*Prislapp!$N$5</f>
        <v>22600</v>
      </c>
      <c r="R66" s="9">
        <f>VLOOKUP(A66,'Ansvar kurs'!$A$2:$B$943,2,FALSE)</f>
        <v>5500</v>
      </c>
      <c r="S66" s="157"/>
      <c r="T66" s="157"/>
      <c r="U66" s="157"/>
      <c r="V66" s="157"/>
      <c r="W66" s="157"/>
      <c r="X66" s="157"/>
      <c r="Y66" s="157"/>
      <c r="Z66" s="157"/>
    </row>
    <row r="67" spans="1:26" x14ac:dyDescent="0.25">
      <c r="A67" s="31" t="s">
        <v>931</v>
      </c>
      <c r="B67" s="31" t="s">
        <v>937</v>
      </c>
      <c r="H67" s="31">
        <v>1</v>
      </c>
      <c r="O67" s="40">
        <f>C67*Prislapp!$C$2+D67*Prislapp!$D$2+E67*Prislapp!$E$2+F67*Prislapp!$F$2+G67*Prislapp!$G$2+H67*Prislapp!$H$2+I67*Prislapp!$I$2+J67*Prislapp!$J$2+K67*Prislapp!$K$2+L67*Prislapp!$L$2+M67*Prislapp!$M$2+N67*Prislapp!$N$2</f>
        <v>20757</v>
      </c>
      <c r="P67" s="40">
        <f>C67*Prislapp!$C$3+D67*Prislapp!$D$3+E67*Prislapp!$E$3+F67*Prislapp!$F$3+G67*Prislapp!$G$3+H67*Prislapp!$H$3+I67*Prislapp!$I$3+J67*Prislapp!$J$3+K67*Prislapp!$K$3+M67*Prislapp!$M$3+N67*Prislapp!$N$3+L67*Prislapp!$L$3</f>
        <v>36082</v>
      </c>
      <c r="Q67" s="40">
        <f>C67*Prislapp!$C$5+D67*Prislapp!$D$5+E67*Prislapp!$E$5+F67*Prislapp!$F$5+G67*Prislapp!$G$5+H67*Prislapp!$H$5+I67*Prislapp!$I$5+J67*Prislapp!$J$5+K67*Prislapp!$K$5+L67*Prislapp!$L$5+M67*Prislapp!$M$5+N67*Prislapp!$N$5</f>
        <v>22600</v>
      </c>
      <c r="R67" s="9">
        <f>VLOOKUP(A67,'Ansvar kurs'!$A$2:$B$943,2,FALSE)</f>
        <v>5500</v>
      </c>
      <c r="S67" s="157"/>
      <c r="T67" s="157"/>
      <c r="U67" s="157"/>
      <c r="V67" s="157"/>
      <c r="W67" s="157"/>
      <c r="X67" s="157"/>
      <c r="Y67" s="157"/>
      <c r="Z67" s="157"/>
    </row>
    <row r="68" spans="1:26" x14ac:dyDescent="0.25">
      <c r="A68" s="31" t="s">
        <v>2062</v>
      </c>
      <c r="B68" s="31" t="s">
        <v>2067</v>
      </c>
      <c r="H68" s="31">
        <v>1</v>
      </c>
      <c r="O68" s="40">
        <f>C68*Prislapp!$C$2+D68*Prislapp!$D$2+E68*Prislapp!$E$2+F68*Prislapp!$F$2+G68*Prislapp!$G$2+H68*Prislapp!$H$2+I68*Prislapp!$I$2+J68*Prislapp!$J$2+K68*Prislapp!$K$2+L68*Prislapp!$L$2+M68*Prislapp!$M$2+N68*Prislapp!$N$2</f>
        <v>20757</v>
      </c>
      <c r="P68" s="40">
        <f>C68*Prislapp!$C$3+D68*Prislapp!$D$3+E68*Prislapp!$E$3+F68*Prislapp!$F$3+G68*Prislapp!$G$3+H68*Prislapp!$H$3+I68*Prislapp!$I$3+J68*Prislapp!$J$3+K68*Prislapp!$K$3+M68*Prislapp!$M$3+N68*Prislapp!$N$3+L68*Prislapp!$L$3</f>
        <v>36082</v>
      </c>
      <c r="Q68" s="40">
        <f>C68*Prislapp!$C$5+D68*Prislapp!$D$5+E68*Prislapp!$E$5+F68*Prislapp!$F$5+G68*Prislapp!$G$5+H68*Prislapp!$H$5+I68*Prislapp!$I$5+J68*Prislapp!$J$5+K68*Prislapp!$K$5+L68*Prislapp!$L$5+M68*Prislapp!$M$5+N68*Prislapp!$N$5</f>
        <v>22600</v>
      </c>
      <c r="R68" s="9">
        <f>VLOOKUP(A68,'Ansvar kurs'!$A$2:$B$943,2,FALSE)</f>
        <v>5500</v>
      </c>
      <c r="S68" s="157"/>
      <c r="T68" s="157"/>
      <c r="U68" s="157"/>
      <c r="V68" s="157"/>
      <c r="W68" s="157"/>
      <c r="X68" s="157"/>
      <c r="Y68" s="157"/>
      <c r="Z68" s="157"/>
    </row>
    <row r="69" spans="1:26" x14ac:dyDescent="0.25">
      <c r="A69" s="31" t="s">
        <v>1270</v>
      </c>
      <c r="B69" s="31" t="s">
        <v>1271</v>
      </c>
      <c r="H69" s="31">
        <v>1</v>
      </c>
      <c r="O69" s="40">
        <f>C69*Prislapp!$C$2+D69*Prislapp!$D$2+E69*Prislapp!$E$2+F69*Prislapp!$F$2+G69*Prislapp!$G$2+H69*Prislapp!$H$2+I69*Prislapp!$I$2+J69*Prislapp!$J$2+K69*Prislapp!$K$2+L69*Prislapp!$L$2+M69*Prislapp!$M$2+N69*Prislapp!$N$2</f>
        <v>20757</v>
      </c>
      <c r="P69" s="40">
        <f>C69*Prislapp!$C$3+D69*Prislapp!$D$3+E69*Prislapp!$E$3+F69*Prislapp!$F$3+G69*Prislapp!$G$3+H69*Prislapp!$H$3+I69*Prislapp!$I$3+J69*Prislapp!$J$3+K69*Prislapp!$K$3+M69*Prislapp!$M$3+N69*Prislapp!$N$3+L69*Prislapp!$L$3</f>
        <v>36082</v>
      </c>
      <c r="Q69" s="40">
        <f>C69*Prislapp!$C$5+D69*Prislapp!$D$5+E69*Prislapp!$E$5+F69*Prislapp!$F$5+G69*Prislapp!$G$5+H69*Prislapp!$H$5+I69*Prislapp!$I$5+J69*Prislapp!$J$5+K69*Prislapp!$K$5+L69*Prislapp!$L$5+M69*Prislapp!$M$5+N69*Prislapp!$N$5</f>
        <v>22600</v>
      </c>
      <c r="R69" s="9">
        <f>VLOOKUP(A69,'Ansvar kurs'!$A$2:$B$943,2,FALSE)</f>
        <v>5500</v>
      </c>
      <c r="S69" s="157"/>
      <c r="T69" s="157"/>
      <c r="U69" s="157"/>
      <c r="V69" s="157"/>
      <c r="W69" s="157"/>
      <c r="X69" s="157"/>
      <c r="Y69" s="157"/>
      <c r="Z69" s="157"/>
    </row>
    <row r="70" spans="1:26" x14ac:dyDescent="0.25">
      <c r="A70" s="31" t="s">
        <v>1795</v>
      </c>
      <c r="B70" s="31" t="s">
        <v>1813</v>
      </c>
      <c r="H70" s="31">
        <v>0.5</v>
      </c>
      <c r="J70" s="31">
        <v>0.5</v>
      </c>
      <c r="O70" s="40">
        <f>C70*Prislapp!$C$2+D70*Prislapp!$D$2+E70*Prislapp!$E$2+F70*Prislapp!$F$2+G70*Prislapp!$G$2+H70*Prislapp!$H$2+I70*Prislapp!$I$2+J70*Prislapp!$J$2+K70*Prislapp!$K$2+L70*Prislapp!$L$2+M70*Prislapp!$M$2+N70*Prislapp!$N$2</f>
        <v>20757</v>
      </c>
      <c r="P70" s="40">
        <f>C70*Prislapp!$C$3+D70*Prislapp!$D$3+E70*Prislapp!$E$3+F70*Prislapp!$F$3+G70*Prislapp!$G$3+H70*Prislapp!$H$3+I70*Prislapp!$I$3+J70*Prislapp!$J$3+K70*Prislapp!$K$3+M70*Prislapp!$M$3+N70*Prislapp!$N$3+L70*Prislapp!$L$3</f>
        <v>36082</v>
      </c>
      <c r="Q70" s="40">
        <f>C70*Prislapp!$C$5+D70*Prislapp!$D$5+E70*Prislapp!$E$5+F70*Prislapp!$F$5+G70*Prislapp!$G$5+H70*Prislapp!$H$5+I70*Prislapp!$I$5+J70*Prislapp!$J$5+K70*Prislapp!$K$5+L70*Prislapp!$L$5+M70*Prislapp!$M$5+N70*Prislapp!$N$5</f>
        <v>22600</v>
      </c>
      <c r="R70" s="9">
        <f>VLOOKUP(A70,'Ansvar kurs'!$A$2:$B$943,2,FALSE)</f>
        <v>5500</v>
      </c>
      <c r="S70" s="157"/>
      <c r="T70" s="157"/>
      <c r="U70" s="157"/>
      <c r="V70" s="157"/>
      <c r="W70" s="157"/>
      <c r="X70" s="157"/>
      <c r="Y70" s="157"/>
      <c r="Z70" s="157"/>
    </row>
    <row r="71" spans="1:26" x14ac:dyDescent="0.25">
      <c r="A71" s="31" t="s">
        <v>1892</v>
      </c>
      <c r="B71" s="31" t="s">
        <v>1906</v>
      </c>
      <c r="H71" s="31">
        <v>0.5</v>
      </c>
      <c r="J71" s="31">
        <v>0.5</v>
      </c>
      <c r="O71" s="40">
        <f>C71*Prislapp!$C$2+D71*Prislapp!$D$2+E71*Prislapp!$E$2+F71*Prislapp!$F$2+G71*Prislapp!$G$2+H71*Prislapp!$H$2+I71*Prislapp!$I$2+J71*Prislapp!$J$2+K71*Prislapp!$K$2+L71*Prislapp!$L$2+M71*Prislapp!$M$2+N71*Prislapp!$N$2</f>
        <v>20757</v>
      </c>
      <c r="P71" s="40">
        <f>C71*Prislapp!$C$3+D71*Prislapp!$D$3+E71*Prislapp!$E$3+F71*Prislapp!$F$3+G71*Prislapp!$G$3+H71*Prislapp!$H$3+I71*Prislapp!$I$3+J71*Prislapp!$J$3+K71*Prislapp!$K$3+M71*Prislapp!$M$3+N71*Prislapp!$N$3+L71*Prislapp!$L$3</f>
        <v>36082</v>
      </c>
      <c r="Q71" s="40">
        <f>C71*Prislapp!$C$5+D71*Prislapp!$D$5+E71*Prislapp!$E$5+F71*Prislapp!$F$5+G71*Prislapp!$G$5+H71*Prislapp!$H$5+I71*Prislapp!$I$5+J71*Prislapp!$J$5+K71*Prislapp!$K$5+L71*Prislapp!$L$5+M71*Prislapp!$M$5+N71*Prislapp!$N$5</f>
        <v>22600</v>
      </c>
      <c r="R71" s="9">
        <f>VLOOKUP(A71,'Ansvar kurs'!$A$2:$B$943,2,FALSE)</f>
        <v>5500</v>
      </c>
      <c r="S71" s="157"/>
      <c r="T71" s="157"/>
      <c r="U71" s="157"/>
      <c r="V71" s="157"/>
      <c r="W71" s="157"/>
      <c r="X71" s="157"/>
      <c r="Y71" s="157"/>
      <c r="Z71" s="157"/>
    </row>
    <row r="72" spans="1:26" x14ac:dyDescent="0.25">
      <c r="A72" s="60" t="s">
        <v>2035</v>
      </c>
      <c r="B72" s="60" t="s">
        <v>2036</v>
      </c>
      <c r="H72" s="31">
        <v>1</v>
      </c>
      <c r="O72" s="40">
        <f>C72*Prislapp!$C$2+D72*Prislapp!$D$2+E72*Prislapp!$E$2+F72*Prislapp!$F$2+G72*Prislapp!$G$2+H72*Prislapp!$H$2+I72*Prislapp!$I$2+J72*Prislapp!$J$2+K72*Prislapp!$K$2+L72*Prislapp!$L$2+M72*Prislapp!$M$2+N72*Prislapp!$N$2</f>
        <v>20757</v>
      </c>
      <c r="P72" s="40">
        <f>C72*Prislapp!$C$3+D72*Prislapp!$D$3+E72*Prislapp!$E$3+F72*Prislapp!$F$3+G72*Prislapp!$G$3+H72*Prislapp!$H$3+I72*Prislapp!$I$3+J72*Prislapp!$J$3+K72*Prislapp!$K$3+M72*Prislapp!$M$3+N72*Prislapp!$N$3+L72*Prislapp!$L$3</f>
        <v>36082</v>
      </c>
      <c r="Q72" s="40">
        <f>C72*Prislapp!$C$5+D72*Prislapp!$D$5+E72*Prislapp!$E$5+F72*Prislapp!$F$5+G72*Prislapp!$G$5+H72*Prislapp!$H$5+I72*Prislapp!$I$5+J72*Prislapp!$J$5+K72*Prislapp!$K$5+L72*Prislapp!$L$5+M72*Prislapp!$M$5+N72*Prislapp!$N$5</f>
        <v>22600</v>
      </c>
      <c r="R72" s="9">
        <f>VLOOKUP(A72,'Ansvar kurs'!$A$2:$B$943,2,FALSE)</f>
        <v>5500</v>
      </c>
      <c r="S72" s="157"/>
      <c r="T72" s="157"/>
      <c r="U72" s="157"/>
      <c r="V72" s="157"/>
      <c r="W72" s="157"/>
      <c r="X72" s="157"/>
      <c r="Y72" s="157"/>
      <c r="Z72" s="157"/>
    </row>
    <row r="73" spans="1:26" x14ac:dyDescent="0.25">
      <c r="A73" s="60" t="s">
        <v>2338</v>
      </c>
      <c r="B73" s="60" t="s">
        <v>2350</v>
      </c>
      <c r="H73" s="31">
        <v>0.5</v>
      </c>
      <c r="J73" s="31">
        <v>0.5</v>
      </c>
      <c r="O73" s="40">
        <f>C73*Prislapp!$C$2+D73*Prislapp!$D$2+E73*Prislapp!$E$2+F73*Prislapp!$F$2+G73*Prislapp!$G$2+H73*Prislapp!$H$2+I73*Prislapp!$I$2+J73*Prislapp!$J$2+K73*Prislapp!$K$2+L73*Prislapp!$L$2+M73*Prislapp!$M$2+N73*Prislapp!$N$2</f>
        <v>20757</v>
      </c>
      <c r="P73" s="40">
        <f>C73*Prislapp!$C$3+D73*Prislapp!$D$3+E73*Prislapp!$E$3+F73*Prislapp!$F$3+G73*Prislapp!$G$3+H73*Prislapp!$H$3+I73*Prislapp!$I$3+J73*Prislapp!$J$3+K73*Prislapp!$K$3+M73*Prislapp!$M$3+N73*Prislapp!$N$3+L73*Prislapp!$L$3</f>
        <v>36082</v>
      </c>
      <c r="Q73" s="40">
        <f>C73*Prislapp!$C$5+D73*Prislapp!$D$5+E73*Prislapp!$E$5+F73*Prislapp!$F$5+G73*Prislapp!$G$5+H73*Prislapp!$H$5+I73*Prislapp!$I$5+J73*Prislapp!$J$5+K73*Prislapp!$K$5+L73*Prislapp!$L$5+M73*Prislapp!$M$5+N73*Prislapp!$N$5</f>
        <v>22600</v>
      </c>
      <c r="R73" s="9">
        <f>VLOOKUP(A73,'Ansvar kurs'!$A$2:$B$943,2,FALSE)</f>
        <v>5500</v>
      </c>
      <c r="S73" s="157"/>
      <c r="T73" s="157"/>
      <c r="U73" s="157"/>
      <c r="V73" s="157"/>
      <c r="W73" s="157"/>
      <c r="X73" s="157"/>
      <c r="Y73" s="157"/>
      <c r="Z73" s="157"/>
    </row>
    <row r="74" spans="1:26" x14ac:dyDescent="0.25">
      <c r="A74" s="60" t="s">
        <v>2339</v>
      </c>
      <c r="B74" s="60" t="s">
        <v>2351</v>
      </c>
      <c r="H74" s="31">
        <v>0.5</v>
      </c>
      <c r="J74" s="31">
        <v>0.5</v>
      </c>
      <c r="O74" s="40">
        <f>C74*Prislapp!$C$2+D74*Prislapp!$D$2+E74*Prislapp!$E$2+F74*Prislapp!$F$2+G74*Prislapp!$G$2+H74*Prislapp!$H$2+I74*Prislapp!$I$2+J74*Prislapp!$J$2+K74*Prislapp!$K$2+L74*Prislapp!$L$2+M74*Prislapp!$M$2+N74*Prislapp!$N$2</f>
        <v>20757</v>
      </c>
      <c r="P74" s="40">
        <f>C74*Prislapp!$C$3+D74*Prislapp!$D$3+E74*Prislapp!$E$3+F74*Prislapp!$F$3+G74*Prislapp!$G$3+H74*Prislapp!$H$3+I74*Prislapp!$I$3+J74*Prislapp!$J$3+K74*Prislapp!$K$3+M74*Prislapp!$M$3+N74*Prislapp!$N$3+L74*Prislapp!$L$3</f>
        <v>36082</v>
      </c>
      <c r="Q74" s="40">
        <f>C74*Prislapp!$C$5+D74*Prislapp!$D$5+E74*Prislapp!$E$5+F74*Prislapp!$F$5+G74*Prislapp!$G$5+H74*Prislapp!$H$5+I74*Prislapp!$I$5+J74*Prislapp!$J$5+K74*Prislapp!$K$5+L74*Prislapp!$L$5+M74*Prislapp!$M$5+N74*Prislapp!$N$5</f>
        <v>22600</v>
      </c>
      <c r="R74" s="9">
        <f>VLOOKUP(A74,'Ansvar kurs'!$A$2:$B$943,2,FALSE)</f>
        <v>5500</v>
      </c>
      <c r="S74" s="157"/>
      <c r="T74" s="157"/>
      <c r="U74" s="157"/>
      <c r="V74" s="157"/>
      <c r="W74" s="157"/>
      <c r="X74" s="157"/>
      <c r="Y74" s="157"/>
      <c r="Z74" s="157"/>
    </row>
    <row r="75" spans="1:26" x14ac:dyDescent="0.25">
      <c r="A75" s="60" t="s">
        <v>2340</v>
      </c>
      <c r="B75" s="60" t="s">
        <v>2352</v>
      </c>
      <c r="H75" s="31">
        <v>0.5</v>
      </c>
      <c r="J75" s="31">
        <v>0.5</v>
      </c>
      <c r="O75" s="40">
        <f>C75*Prislapp!$C$2+D75*Prislapp!$D$2+E75*Prislapp!$E$2+F75*Prislapp!$F$2+G75*Prislapp!$G$2+H75*Prislapp!$H$2+I75*Prislapp!$I$2+J75*Prislapp!$J$2+K75*Prislapp!$K$2+L75*Prislapp!$L$2+M75*Prislapp!$M$2+N75*Prislapp!$N$2</f>
        <v>20757</v>
      </c>
      <c r="P75" s="40">
        <f>C75*Prislapp!$C$3+D75*Prislapp!$D$3+E75*Prislapp!$E$3+F75*Prislapp!$F$3+G75*Prislapp!$G$3+H75*Prislapp!$H$3+I75*Prislapp!$I$3+J75*Prislapp!$J$3+K75*Prislapp!$K$3+M75*Prislapp!$M$3+N75*Prislapp!$N$3+L75*Prislapp!$L$3</f>
        <v>36082</v>
      </c>
      <c r="Q75" s="40">
        <f>C75*Prislapp!$C$5+D75*Prislapp!$D$5+E75*Prislapp!$E$5+F75*Prislapp!$F$5+G75*Prislapp!$G$5+H75*Prislapp!$H$5+I75*Prislapp!$I$5+J75*Prislapp!$J$5+K75*Prislapp!$K$5+L75*Prislapp!$L$5+M75*Prislapp!$M$5+N75*Prislapp!$N$5</f>
        <v>22600</v>
      </c>
      <c r="R75" s="9">
        <f>VLOOKUP(A75,'Ansvar kurs'!$A$2:$B$943,2,FALSE)</f>
        <v>5500</v>
      </c>
      <c r="S75" s="157"/>
      <c r="T75" s="157"/>
      <c r="U75" s="157"/>
      <c r="V75" s="157"/>
      <c r="W75" s="157"/>
      <c r="X75" s="157"/>
      <c r="Y75" s="157"/>
      <c r="Z75" s="157"/>
    </row>
    <row r="76" spans="1:26" x14ac:dyDescent="0.25">
      <c r="A76" s="60" t="s">
        <v>1546</v>
      </c>
      <c r="B76" s="60" t="s">
        <v>1564</v>
      </c>
      <c r="H76" s="31">
        <v>0.5</v>
      </c>
      <c r="J76" s="31">
        <v>0.5</v>
      </c>
      <c r="O76" s="40">
        <f>C76*Prislapp!$C$2+D76*Prislapp!$D$2+E76*Prislapp!$E$2+F76*Prislapp!$F$2+G76*Prislapp!$G$2+H76*Prislapp!$H$2+I76*Prislapp!$I$2+J76*Prislapp!$J$2+K76*Prislapp!$K$2+L76*Prislapp!$L$2+M76*Prislapp!$M$2+N76*Prislapp!$N$2</f>
        <v>20757</v>
      </c>
      <c r="P76" s="40">
        <f>C76*Prislapp!$C$3+D76*Prislapp!$D$3+E76*Prislapp!$E$3+F76*Prislapp!$F$3+G76*Prislapp!$G$3+H76*Prislapp!$H$3+I76*Prislapp!$I$3+J76*Prislapp!$J$3+K76*Prislapp!$K$3+M76*Prislapp!$M$3+N76*Prislapp!$N$3+L76*Prislapp!$L$3</f>
        <v>36082</v>
      </c>
      <c r="Q76" s="40">
        <f>C76*Prislapp!$C$5+D76*Prislapp!$D$5+E76*Prislapp!$E$5+F76*Prislapp!$F$5+G76*Prislapp!$G$5+H76*Prislapp!$H$5+I76*Prislapp!$I$5+J76*Prislapp!$J$5+K76*Prislapp!$K$5+L76*Prislapp!$L$5+M76*Prislapp!$M$5+N76*Prislapp!$N$5</f>
        <v>22600</v>
      </c>
      <c r="R76" s="9">
        <f>VLOOKUP(A76,'Ansvar kurs'!$A$2:$B$943,2,FALSE)</f>
        <v>5730</v>
      </c>
      <c r="S76" s="157"/>
      <c r="T76" s="157"/>
      <c r="U76" s="157"/>
      <c r="V76" s="157"/>
      <c r="W76" s="157"/>
      <c r="X76" s="157"/>
      <c r="Y76" s="157"/>
      <c r="Z76" s="157"/>
    </row>
    <row r="77" spans="1:26" x14ac:dyDescent="0.25">
      <c r="A77" s="60" t="s">
        <v>2037</v>
      </c>
      <c r="B77" s="60" t="s">
        <v>431</v>
      </c>
      <c r="H77" s="31">
        <v>0.5</v>
      </c>
      <c r="J77" s="31">
        <v>0.5</v>
      </c>
      <c r="O77" s="40">
        <f>C77*Prislapp!$C$2+D77*Prislapp!$D$2+E77*Prislapp!$E$2+F77*Prislapp!$F$2+G77*Prislapp!$G$2+H77*Prislapp!$H$2+I77*Prislapp!$I$2+J77*Prislapp!$J$2+K77*Prislapp!$K$2+L77*Prislapp!$L$2+M77*Prislapp!$M$2+N77*Prislapp!$N$2</f>
        <v>20757</v>
      </c>
      <c r="P77" s="40">
        <f>C77*Prislapp!$C$3+D77*Prislapp!$D$3+E77*Prislapp!$E$3+F77*Prislapp!$F$3+G77*Prislapp!$G$3+H77*Prislapp!$H$3+I77*Prislapp!$I$3+J77*Prislapp!$J$3+K77*Prislapp!$K$3+M77*Prislapp!$M$3+N77*Prislapp!$N$3+L77*Prislapp!$L$3</f>
        <v>36082</v>
      </c>
      <c r="Q77" s="40">
        <f>C77*Prislapp!$C$5+D77*Prislapp!$D$5+E77*Prislapp!$E$5+F77*Prislapp!$F$5+G77*Prislapp!$G$5+H77*Prislapp!$H$5+I77*Prislapp!$I$5+J77*Prislapp!$J$5+K77*Prislapp!$K$5+L77*Prislapp!$L$5+M77*Prislapp!$M$5+N77*Prislapp!$N$5</f>
        <v>22600</v>
      </c>
      <c r="R77" s="9">
        <f>VLOOKUP(A77,'Ansvar kurs'!$A$2:$B$943,2,FALSE)</f>
        <v>5730</v>
      </c>
      <c r="S77" s="157"/>
      <c r="T77" s="157"/>
      <c r="U77" s="157"/>
      <c r="V77" s="157"/>
      <c r="W77" s="157"/>
      <c r="X77" s="157"/>
      <c r="Y77" s="157"/>
      <c r="Z77" s="157"/>
    </row>
    <row r="78" spans="1:26" x14ac:dyDescent="0.25">
      <c r="A78" s="60" t="s">
        <v>2382</v>
      </c>
      <c r="B78" s="60" t="s">
        <v>691</v>
      </c>
      <c r="H78" s="31">
        <v>0.5</v>
      </c>
      <c r="J78" s="31">
        <v>0.5</v>
      </c>
      <c r="O78" s="40">
        <f>C78*Prislapp!$C$2+D78*Prislapp!$D$2+E78*Prislapp!$E$2+F78*Prislapp!$F$2+G78*Prislapp!$G$2+H78*Prislapp!$H$2+I78*Prislapp!$I$2+J78*Prislapp!$J$2+K78*Prislapp!$K$2+L78*Prislapp!$L$2+M78*Prislapp!$M$2+N78*Prislapp!$N$2</f>
        <v>20757</v>
      </c>
      <c r="P78" s="40">
        <f>C78*Prislapp!$C$3+D78*Prislapp!$D$3+E78*Prislapp!$E$3+F78*Prislapp!$F$3+G78*Prislapp!$G$3+H78*Prislapp!$H$3+I78*Prislapp!$I$3+J78*Prislapp!$J$3+K78*Prislapp!$K$3+M78*Prislapp!$M$3+N78*Prislapp!$N$3+L78*Prislapp!$L$3</f>
        <v>36082</v>
      </c>
      <c r="Q78" s="40">
        <f>C78*Prislapp!$C$5+D78*Prislapp!$D$5+E78*Prislapp!$E$5+F78*Prislapp!$F$5+G78*Prislapp!$G$5+H78*Prislapp!$H$5+I78*Prislapp!$I$5+J78*Prislapp!$J$5+K78*Prislapp!$K$5+L78*Prislapp!$L$5+M78*Prislapp!$M$5+N78*Prislapp!$N$5</f>
        <v>22600</v>
      </c>
      <c r="R78" s="9">
        <f>VLOOKUP(A78,'Ansvar kurs'!$A$2:$B$943,2,FALSE)</f>
        <v>5730</v>
      </c>
      <c r="S78" s="157"/>
      <c r="T78" s="157"/>
      <c r="U78" s="157"/>
      <c r="V78" s="157"/>
      <c r="W78" s="157"/>
      <c r="X78" s="157"/>
      <c r="Y78" s="157"/>
      <c r="Z78" s="157"/>
    </row>
    <row r="79" spans="1:26" x14ac:dyDescent="0.25">
      <c r="A79" s="31" t="s">
        <v>1493</v>
      </c>
      <c r="B79" s="31" t="s">
        <v>1506</v>
      </c>
      <c r="H79" s="31">
        <v>0.5</v>
      </c>
      <c r="J79" s="31">
        <v>0.5</v>
      </c>
      <c r="O79" s="40">
        <f>C79*Prislapp!$C$2+D79*Prislapp!$D$2+E79*Prislapp!$E$2+F79*Prislapp!$F$2+G79*Prislapp!$G$2+H79*Prislapp!$H$2+I79*Prislapp!$I$2+J79*Prislapp!$J$2+K79*Prislapp!$K$2+L79*Prislapp!$L$2+M79*Prislapp!$M$2+N79*Prislapp!$N$2</f>
        <v>20757</v>
      </c>
      <c r="P79" s="40">
        <f>C79*Prislapp!$C$3+D79*Prislapp!$D$3+E79*Prislapp!$E$3+F79*Prislapp!$F$3+G79*Prislapp!$G$3+H79*Prislapp!$H$3+I79*Prislapp!$I$3+J79*Prislapp!$J$3+K79*Prislapp!$K$3+M79*Prislapp!$M$3+N79*Prislapp!$N$3+L79*Prislapp!$L$3</f>
        <v>36082</v>
      </c>
      <c r="Q79" s="40">
        <f>C79*Prislapp!$C$5+D79*Prislapp!$D$5+E79*Prislapp!$E$5+F79*Prislapp!$F$5+G79*Prislapp!$G$5+H79*Prislapp!$H$5+I79*Prislapp!$I$5+J79*Prislapp!$J$5+K79*Prislapp!$K$5+L79*Prislapp!$L$5+M79*Prislapp!$M$5+N79*Prislapp!$N$5</f>
        <v>22600</v>
      </c>
      <c r="R79" s="9">
        <f>VLOOKUP(A79,'Ansvar kurs'!$A$2:$B$943,2,FALSE)</f>
        <v>5730</v>
      </c>
      <c r="S79" s="157"/>
      <c r="T79" s="157"/>
      <c r="U79" s="157"/>
      <c r="V79" s="157"/>
      <c r="W79" s="157"/>
      <c r="X79" s="157"/>
      <c r="Y79" s="157"/>
      <c r="Z79" s="157"/>
    </row>
    <row r="80" spans="1:26" x14ac:dyDescent="0.25">
      <c r="A80" s="31" t="s">
        <v>1494</v>
      </c>
      <c r="B80" s="31" t="s">
        <v>1507</v>
      </c>
      <c r="H80" s="31">
        <v>0.5</v>
      </c>
      <c r="J80" s="31">
        <v>0.5</v>
      </c>
      <c r="O80" s="40">
        <f>C80*Prislapp!$C$2+D80*Prislapp!$D$2+E80*Prislapp!$E$2+F80*Prislapp!$F$2+G80*Prislapp!$G$2+H80*Prislapp!$H$2+I80*Prislapp!$I$2+J80*Prislapp!$J$2+K80*Prislapp!$K$2+L80*Prislapp!$L$2+M80*Prislapp!$M$2+N80*Prislapp!$N$2</f>
        <v>20757</v>
      </c>
      <c r="P80" s="40">
        <f>C80*Prislapp!$C$3+D80*Prislapp!$D$3+E80*Prislapp!$E$3+F80*Prislapp!$F$3+G80*Prislapp!$G$3+H80*Prislapp!$H$3+I80*Prislapp!$I$3+J80*Prislapp!$J$3+K80*Prislapp!$K$3+M80*Prislapp!$M$3+N80*Prislapp!$N$3+L80*Prislapp!$L$3</f>
        <v>36082</v>
      </c>
      <c r="Q80" s="40">
        <f>C80*Prislapp!$C$5+D80*Prislapp!$D$5+E80*Prislapp!$E$5+F80*Prislapp!$F$5+G80*Prislapp!$G$5+H80*Prislapp!$H$5+I80*Prislapp!$I$5+J80*Prislapp!$J$5+K80*Prislapp!$K$5+L80*Prislapp!$L$5+M80*Prislapp!$M$5+N80*Prislapp!$N$5</f>
        <v>22600</v>
      </c>
      <c r="R80" s="9">
        <f>VLOOKUP(A80,'Ansvar kurs'!$A$2:$B$943,2,FALSE)</f>
        <v>5730</v>
      </c>
      <c r="S80" s="157"/>
      <c r="T80" s="157"/>
      <c r="U80" s="157"/>
      <c r="V80" s="157"/>
      <c r="W80" s="157"/>
      <c r="X80" s="157"/>
      <c r="Y80" s="157"/>
      <c r="Z80" s="157"/>
    </row>
    <row r="81" spans="1:26" x14ac:dyDescent="0.25">
      <c r="A81" s="31" t="s">
        <v>1002</v>
      </c>
      <c r="B81" s="31" t="s">
        <v>1030</v>
      </c>
      <c r="H81" s="31">
        <v>1</v>
      </c>
      <c r="O81" s="40">
        <f>C81*Prislapp!$C$2+D81*Prislapp!$D$2+E81*Prislapp!$E$2+F81*Prislapp!$F$2+G81*Prislapp!$G$2+H81*Prislapp!$H$2+I81*Prislapp!$I$2+J81*Prislapp!$J$2+K81*Prislapp!$K$2+L81*Prislapp!$L$2+M81*Prislapp!$M$2+N81*Prislapp!$N$2</f>
        <v>20757</v>
      </c>
      <c r="P81" s="40">
        <f>C81*Prislapp!$C$3+D81*Prislapp!$D$3+E81*Prislapp!$E$3+F81*Prislapp!$F$3+G81*Prislapp!$G$3+H81*Prislapp!$H$3+I81*Prislapp!$I$3+J81*Prislapp!$J$3+K81*Prislapp!$K$3+M81*Prislapp!$M$3+N81*Prislapp!$N$3+L81*Prislapp!$L$3</f>
        <v>36082</v>
      </c>
      <c r="Q81" s="40">
        <f>C81*Prislapp!$C$5+D81*Prislapp!$D$5+E81*Prislapp!$E$5+F81*Prislapp!$F$5+G81*Prislapp!$G$5+H81*Prislapp!$H$5+I81*Prislapp!$I$5+J81*Prislapp!$J$5+K81*Prislapp!$K$5+L81*Prislapp!$L$5+M81*Prislapp!$M$5+N81*Prislapp!$N$5</f>
        <v>22600</v>
      </c>
      <c r="R81" s="9">
        <f>VLOOKUP(A81,'Ansvar kurs'!$A$2:$B$943,2,FALSE)</f>
        <v>5740</v>
      </c>
      <c r="S81" s="157"/>
      <c r="T81" s="157"/>
      <c r="U81" s="157"/>
      <c r="V81" s="157"/>
      <c r="W81" s="157"/>
      <c r="X81" s="157"/>
      <c r="Y81" s="157"/>
      <c r="Z81" s="157"/>
    </row>
    <row r="82" spans="1:26" x14ac:dyDescent="0.25">
      <c r="A82" s="31" t="s">
        <v>2068</v>
      </c>
      <c r="B82" s="31" t="s">
        <v>2083</v>
      </c>
      <c r="L82" s="31">
        <v>1</v>
      </c>
      <c r="O82" s="40">
        <f>C82*Prislapp!$C$2+D82*Prislapp!$D$2+E82*Prislapp!$E$2+F82*Prislapp!$F$2+G82*Prislapp!$G$2+H82*Prislapp!$H$2+I82*Prislapp!$I$2+J82*Prislapp!$J$2+K82*Prislapp!$K$2+L82*Prislapp!$L$2+M82*Prislapp!$M$2+N82*Prislapp!$N$2</f>
        <v>20766</v>
      </c>
      <c r="P82" s="40">
        <f>C82*Prislapp!$C$3+D82*Prislapp!$D$3+E82*Prislapp!$E$3+F82*Prislapp!$F$3+G82*Prislapp!$G$3+H82*Prislapp!$H$3+I82*Prislapp!$I$3+J82*Prislapp!$J$3+K82*Prislapp!$K$3+M82*Prislapp!$M$3+N82*Prislapp!$N$3+L82*Prislapp!$L$3</f>
        <v>17442</v>
      </c>
      <c r="Q82" s="40">
        <f>C82*Prislapp!$C$5+D82*Prislapp!$D$5+E82*Prislapp!$E$5+F82*Prislapp!$F$5+G82*Prislapp!$G$5+H82*Prislapp!$H$5+I82*Prislapp!$I$5+J82*Prislapp!$J$5+K82*Prislapp!$K$5+L82*Prislapp!$L$5+M82*Prislapp!$M$5+N82*Prislapp!$N$5</f>
        <v>6000</v>
      </c>
      <c r="R82" s="9">
        <f>VLOOKUP(A82,'Ansvar kurs'!$A$2:$B$943,2,FALSE)</f>
        <v>6000</v>
      </c>
      <c r="S82" s="157"/>
      <c r="T82" s="157"/>
      <c r="U82" s="157"/>
      <c r="V82" s="157"/>
      <c r="W82" s="157"/>
      <c r="X82" s="157"/>
      <c r="Y82" s="157"/>
      <c r="Z82" s="157"/>
    </row>
    <row r="83" spans="1:26" x14ac:dyDescent="0.25">
      <c r="A83" s="31" t="s">
        <v>2069</v>
      </c>
      <c r="B83" s="31" t="s">
        <v>2084</v>
      </c>
      <c r="L83" s="31">
        <v>1</v>
      </c>
      <c r="O83" s="40">
        <f>C83*Prislapp!$C$2+D83*Prislapp!$D$2+E83*Prislapp!$E$2+F83*Prislapp!$F$2+G83*Prislapp!$G$2+H83*Prislapp!$H$2+I83*Prislapp!$I$2+J83*Prislapp!$J$2+K83*Prislapp!$K$2+L83*Prislapp!$L$2+M83*Prislapp!$M$2+N83*Prislapp!$N$2</f>
        <v>20766</v>
      </c>
      <c r="P83" s="40">
        <f>C83*Prislapp!$C$3+D83*Prislapp!$D$3+E83*Prislapp!$E$3+F83*Prislapp!$F$3+G83*Prislapp!$G$3+H83*Prislapp!$H$3+I83*Prislapp!$I$3+J83*Prislapp!$J$3+K83*Prislapp!$K$3+M83*Prislapp!$M$3+N83*Prislapp!$N$3+L83*Prislapp!$L$3</f>
        <v>17442</v>
      </c>
      <c r="Q83" s="40">
        <f>C83*Prislapp!$C$5+D83*Prislapp!$D$5+E83*Prislapp!$E$5+F83*Prislapp!$F$5+G83*Prislapp!$G$5+H83*Prislapp!$H$5+I83*Prislapp!$I$5+J83*Prislapp!$J$5+K83*Prislapp!$K$5+L83*Prislapp!$L$5+M83*Prislapp!$M$5+N83*Prislapp!$N$5</f>
        <v>6000</v>
      </c>
      <c r="R83" s="9">
        <f>VLOOKUP(A83,'Ansvar kurs'!$A$2:$B$943,2,FALSE)</f>
        <v>6000</v>
      </c>
      <c r="S83" s="157"/>
      <c r="T83" s="157"/>
      <c r="U83" s="157"/>
      <c r="V83" s="157"/>
      <c r="W83" s="157"/>
      <c r="X83" s="157"/>
      <c r="Y83" s="157"/>
      <c r="Z83" s="157"/>
    </row>
    <row r="84" spans="1:26" x14ac:dyDescent="0.25">
      <c r="A84" s="60" t="s">
        <v>2198</v>
      </c>
      <c r="B84" s="31" t="s">
        <v>2223</v>
      </c>
      <c r="L84" s="31">
        <v>1</v>
      </c>
      <c r="O84" s="40">
        <f>C84*Prislapp!$C$2+D84*Prislapp!$D$2+E84*Prislapp!$E$2+F84*Prislapp!$F$2+G84*Prislapp!$G$2+H84*Prislapp!$H$2+I84*Prislapp!$I$2+J84*Prislapp!$J$2+K84*Prislapp!$K$2+L84*Prislapp!$L$2+M84*Prislapp!$M$2+N84*Prislapp!$N$2</f>
        <v>20766</v>
      </c>
      <c r="P84" s="40">
        <f>C84*Prislapp!$C$3+D84*Prislapp!$D$3+E84*Prislapp!$E$3+F84*Prislapp!$F$3+G84*Prislapp!$G$3+H84*Prislapp!$H$3+I84*Prislapp!$I$3+J84*Prislapp!$J$3+K84*Prislapp!$K$3+M84*Prislapp!$M$3+N84*Prislapp!$N$3+L84*Prislapp!$L$3</f>
        <v>17442</v>
      </c>
      <c r="Q84" s="40">
        <f>C84*Prislapp!$C$5+D84*Prislapp!$D$5+E84*Prislapp!$E$5+F84*Prislapp!$F$5+G84*Prislapp!$G$5+H84*Prislapp!$H$5+I84*Prislapp!$I$5+J84*Prislapp!$J$5+K84*Prislapp!$K$5+L84*Prislapp!$L$5+M84*Prislapp!$M$5+N84*Prislapp!$N$5</f>
        <v>6000</v>
      </c>
      <c r="R84" s="9">
        <f>VLOOKUP(A84,'Ansvar kurs'!$A$2:$B$943,2,FALSE)</f>
        <v>6000</v>
      </c>
      <c r="S84" s="157"/>
      <c r="T84" s="157"/>
      <c r="U84" s="157"/>
      <c r="V84" s="157"/>
      <c r="W84" s="157"/>
      <c r="X84" s="157"/>
      <c r="Y84" s="157"/>
      <c r="Z84" s="157"/>
    </row>
    <row r="85" spans="1:26" x14ac:dyDescent="0.25">
      <c r="A85" s="60" t="s">
        <v>1893</v>
      </c>
      <c r="B85" s="31" t="s">
        <v>2224</v>
      </c>
      <c r="L85" s="31">
        <v>1</v>
      </c>
      <c r="O85" s="40">
        <f>C85*Prislapp!$C$2+D85*Prislapp!$D$2+E85*Prislapp!$E$2+F85*Prislapp!$F$2+G85*Prislapp!$G$2+H85*Prislapp!$H$2+I85*Prislapp!$I$2+J85*Prislapp!$J$2+K85*Prislapp!$K$2+L85*Prislapp!$L$2+M85*Prislapp!$M$2+N85*Prislapp!$N$2</f>
        <v>20766</v>
      </c>
      <c r="P85" s="40">
        <f>C85*Prislapp!$C$3+D85*Prislapp!$D$3+E85*Prislapp!$E$3+F85*Prislapp!$F$3+G85*Prislapp!$G$3+H85*Prislapp!$H$3+I85*Prislapp!$I$3+J85*Prislapp!$J$3+K85*Prislapp!$K$3+M85*Prislapp!$M$3+N85*Prislapp!$N$3+L85*Prislapp!$L$3</f>
        <v>17442</v>
      </c>
      <c r="Q85" s="40">
        <f>C85*Prislapp!$C$5+D85*Prislapp!$D$5+E85*Prislapp!$E$5+F85*Prislapp!$F$5+G85*Prislapp!$G$5+H85*Prislapp!$H$5+I85*Prislapp!$I$5+J85*Prislapp!$J$5+K85*Prislapp!$K$5+L85*Prislapp!$L$5+M85*Prislapp!$M$5+N85*Prislapp!$N$5</f>
        <v>6000</v>
      </c>
      <c r="R85" s="9">
        <f>VLOOKUP(A85,'Ansvar kurs'!$A$2:$B$943,2,FALSE)</f>
        <v>6000</v>
      </c>
      <c r="S85" s="157"/>
      <c r="T85" s="157"/>
      <c r="U85" s="157"/>
      <c r="V85" s="157"/>
      <c r="W85" s="157"/>
      <c r="X85" s="157"/>
      <c r="Y85" s="157"/>
      <c r="Z85" s="157"/>
    </row>
    <row r="86" spans="1:26" x14ac:dyDescent="0.25">
      <c r="A86" s="60" t="s">
        <v>1449</v>
      </c>
      <c r="B86" s="60" t="s">
        <v>1450</v>
      </c>
      <c r="H86" s="31">
        <v>1</v>
      </c>
      <c r="O86" s="40">
        <f>C86*Prislapp!$C$2+D86*Prislapp!$D$2+E86*Prislapp!$E$2+F86*Prislapp!$F$2+G86*Prislapp!$G$2+H86*Prislapp!$H$2+I86*Prislapp!$I$2+J86*Prislapp!$J$2+K86*Prislapp!$K$2+L86*Prislapp!$L$2+M86*Prislapp!$M$2+N86*Prislapp!$N$2</f>
        <v>20757</v>
      </c>
      <c r="P86" s="40">
        <f>C86*Prislapp!$C$3+D86*Prislapp!$D$3+E86*Prislapp!$E$3+F86*Prislapp!$F$3+G86*Prislapp!$G$3+H86*Prislapp!$H$3+I86*Prislapp!$I$3+J86*Prislapp!$J$3+K86*Prislapp!$K$3+M86*Prislapp!$M$3+N86*Prislapp!$N$3+L86*Prislapp!$L$3</f>
        <v>36082</v>
      </c>
      <c r="Q86" s="40">
        <f>C86*Prislapp!$C$5+D86*Prislapp!$D$5+E86*Prislapp!$E$5+F86*Prislapp!$F$5+G86*Prislapp!$G$5+H86*Prislapp!$H$5+I86*Prislapp!$I$5+J86*Prislapp!$J$5+K86*Prislapp!$K$5+L86*Prislapp!$L$5+M86*Prislapp!$M$5+N86*Prislapp!$N$5</f>
        <v>22600</v>
      </c>
      <c r="R86" s="9">
        <f>VLOOKUP(A86,'Ansvar kurs'!$A$2:$B$943,2,FALSE)</f>
        <v>5740</v>
      </c>
      <c r="S86" s="157"/>
      <c r="T86" s="157"/>
      <c r="U86" s="157"/>
      <c r="V86" s="157"/>
      <c r="W86" s="157"/>
      <c r="X86" s="157"/>
      <c r="Y86" s="157"/>
      <c r="Z86" s="157"/>
    </row>
    <row r="87" spans="1:26" x14ac:dyDescent="0.25">
      <c r="A87" s="60" t="s">
        <v>1894</v>
      </c>
      <c r="B87" s="60" t="s">
        <v>1907</v>
      </c>
      <c r="K87" s="31">
        <v>1</v>
      </c>
      <c r="O87" s="40">
        <f>C87*Prislapp!$C$2+D87*Prislapp!$D$2+E87*Prislapp!$E$2+F87*Prislapp!$F$2+G87*Prislapp!$G$2+H87*Prislapp!$H$2+I87*Prislapp!$I$2+J87*Prislapp!$J$2+K87*Prislapp!$K$2+L87*Prislapp!$L$2+M87*Prislapp!$M$2+N87*Prislapp!$N$2</f>
        <v>25235</v>
      </c>
      <c r="P87" s="40">
        <f>C87*Prislapp!$C$3+D87*Prislapp!$D$3+E87*Prislapp!$E$3+F87*Prislapp!$F$3+G87*Prislapp!$G$3+H87*Prislapp!$H$3+I87*Prislapp!$I$3+J87*Prislapp!$J$3+K87*Prislapp!$K$3+M87*Prislapp!$M$3+N87*Prislapp!$N$3+L87*Prislapp!$L$3</f>
        <v>27976</v>
      </c>
      <c r="Q87" s="40">
        <f>C87*Prislapp!$C$5+D87*Prislapp!$D$5+E87*Prislapp!$E$5+F87*Prislapp!$F$5+G87*Prislapp!$G$5+H87*Prislapp!$H$5+I87*Prislapp!$I$5+J87*Prislapp!$J$5+K87*Prislapp!$K$5+L87*Prislapp!$L$5+M87*Prislapp!$M$5+N87*Prislapp!$N$5</f>
        <v>3600</v>
      </c>
      <c r="R87" s="9">
        <f>VLOOKUP(A87,'Ansvar kurs'!$A$2:$B$943,2,FALSE)</f>
        <v>5740</v>
      </c>
      <c r="S87" s="157"/>
      <c r="T87" s="157"/>
      <c r="U87" s="157"/>
      <c r="V87" s="157"/>
      <c r="W87" s="157"/>
      <c r="X87" s="157"/>
      <c r="Y87" s="157"/>
      <c r="Z87" s="157"/>
    </row>
    <row r="88" spans="1:26" x14ac:dyDescent="0.25">
      <c r="A88" s="60" t="s">
        <v>1883</v>
      </c>
      <c r="B88" s="60" t="s">
        <v>1889</v>
      </c>
      <c r="H88" s="31">
        <v>1</v>
      </c>
      <c r="O88" s="40">
        <f>C88*Prislapp!$C$2+D88*Prislapp!$D$2+E88*Prislapp!$E$2+F88*Prislapp!$F$2+G88*Prislapp!$G$2+H88*Prislapp!$H$2+I88*Prislapp!$I$2+J88*Prislapp!$J$2+K88*Prislapp!$K$2+L88*Prislapp!$L$2+M88*Prislapp!$M$2+N88*Prislapp!$N$2</f>
        <v>20757</v>
      </c>
      <c r="P88" s="40">
        <f>C88*Prislapp!$C$3+D88*Prislapp!$D$3+E88*Prislapp!$E$3+F88*Prislapp!$F$3+G88*Prislapp!$G$3+H88*Prislapp!$H$3+I88*Prislapp!$I$3+J88*Prislapp!$J$3+K88*Prislapp!$K$3+M88*Prislapp!$M$3+N88*Prislapp!$N$3+L88*Prislapp!$L$3</f>
        <v>36082</v>
      </c>
      <c r="Q88" s="40">
        <f>C88*Prislapp!$C$5+D88*Prislapp!$D$5+E88*Prislapp!$E$5+F88*Prislapp!$F$5+G88*Prislapp!$G$5+H88*Prislapp!$H$5+I88*Prislapp!$I$5+J88*Prislapp!$J$5+K88*Prislapp!$K$5+L88*Prislapp!$L$5+M88*Prislapp!$M$5+N88*Prislapp!$N$5</f>
        <v>22600</v>
      </c>
      <c r="R88" s="9">
        <f>VLOOKUP(A88,'Ansvar kurs'!$A$2:$B$943,2,FALSE)</f>
        <v>5100</v>
      </c>
      <c r="S88" s="157"/>
      <c r="T88" s="157"/>
      <c r="U88" s="157"/>
      <c r="V88" s="157"/>
      <c r="W88" s="157"/>
      <c r="X88" s="157"/>
      <c r="Y88" s="157"/>
      <c r="Z88" s="157"/>
    </row>
    <row r="89" spans="1:26" x14ac:dyDescent="0.25">
      <c r="A89" s="60" t="s">
        <v>1874</v>
      </c>
      <c r="B89" s="60" t="s">
        <v>1885</v>
      </c>
      <c r="H89" s="31">
        <v>1</v>
      </c>
      <c r="O89" s="40">
        <f>C89*Prislapp!$C$2+D89*Prislapp!$D$2+E89*Prislapp!$E$2+F89*Prislapp!$F$2+G89*Prislapp!$G$2+H89*Prislapp!$H$2+I89*Prislapp!$I$2+J89*Prislapp!$J$2+K89*Prislapp!$K$2+L89*Prislapp!$L$2+M89*Prislapp!$M$2+N89*Prislapp!$N$2</f>
        <v>20757</v>
      </c>
      <c r="P89" s="40">
        <f>C89*Prislapp!$C$3+D89*Prislapp!$D$3+E89*Prislapp!$E$3+F89*Prislapp!$F$3+G89*Prislapp!$G$3+H89*Prislapp!$H$3+I89*Prislapp!$I$3+J89*Prislapp!$J$3+K89*Prislapp!$K$3+M89*Prislapp!$M$3+N89*Prislapp!$N$3+L89*Prislapp!$L$3</f>
        <v>36082</v>
      </c>
      <c r="Q89" s="40">
        <f>C89*Prislapp!$C$5+D89*Prislapp!$D$5+E89*Prislapp!$E$5+F89*Prislapp!$F$5+G89*Prislapp!$G$5+H89*Prislapp!$H$5+I89*Prislapp!$I$5+J89*Prislapp!$J$5+K89*Prislapp!$K$5+L89*Prislapp!$L$5+M89*Prislapp!$M$5+N89*Prislapp!$N$5</f>
        <v>22600</v>
      </c>
      <c r="R89" s="9">
        <f>VLOOKUP(A89,'Ansvar kurs'!$A$2:$B$943,2,FALSE)</f>
        <v>5100</v>
      </c>
      <c r="S89" s="157"/>
      <c r="T89" s="157"/>
      <c r="U89" s="157"/>
      <c r="V89" s="157"/>
      <c r="W89" s="157"/>
      <c r="X89" s="157"/>
      <c r="Y89" s="157"/>
      <c r="Z89" s="157"/>
    </row>
    <row r="90" spans="1:26" x14ac:dyDescent="0.25">
      <c r="A90" s="394" t="s">
        <v>2144</v>
      </c>
      <c r="B90" s="60" t="s">
        <v>1885</v>
      </c>
      <c r="H90" s="31">
        <v>1</v>
      </c>
      <c r="O90" s="40">
        <f>C90*Prislapp!$C$2+D90*Prislapp!$D$2+E90*Prislapp!$E$2+F90*Prislapp!$F$2+G90*Prislapp!$G$2+H90*Prislapp!$H$2+I90*Prislapp!$I$2+J90*Prislapp!$J$2+K90*Prislapp!$K$2+L90*Prislapp!$L$2+M90*Prislapp!$M$2+N90*Prislapp!$N$2</f>
        <v>20757</v>
      </c>
      <c r="P90" s="40">
        <f>C90*Prislapp!$C$3+D90*Prislapp!$D$3+E90*Prislapp!$E$3+F90*Prislapp!$F$3+G90*Prislapp!$G$3+H90*Prislapp!$H$3+I90*Prislapp!$I$3+J90*Prislapp!$J$3+K90*Prislapp!$K$3+M90*Prislapp!$M$3+N90*Prislapp!$N$3+L90*Prislapp!$L$3</f>
        <v>36082</v>
      </c>
      <c r="Q90" s="40">
        <f>C90*Prislapp!$C$5+D90*Prislapp!$D$5+E90*Prislapp!$E$5+F90*Prislapp!$F$5+G90*Prislapp!$G$5+H90*Prislapp!$H$5+I90*Prislapp!$I$5+J90*Prislapp!$J$5+K90*Prislapp!$K$5+L90*Prislapp!$L$5+M90*Prislapp!$M$5+N90*Prislapp!$N$5</f>
        <v>22600</v>
      </c>
      <c r="R90" s="9">
        <f>VLOOKUP(A90,'Ansvar kurs'!$A$2:$B$943,2,FALSE)</f>
        <v>5100</v>
      </c>
      <c r="S90" s="157"/>
      <c r="T90" s="157"/>
      <c r="U90" s="157"/>
      <c r="V90" s="157"/>
      <c r="W90" s="157"/>
      <c r="X90" s="157"/>
      <c r="Y90" s="157"/>
      <c r="Z90" s="157"/>
    </row>
    <row r="91" spans="1:26" x14ac:dyDescent="0.25">
      <c r="A91" s="60" t="s">
        <v>2143</v>
      </c>
      <c r="B91" s="60" t="s">
        <v>934</v>
      </c>
      <c r="H91" s="31">
        <v>0.5</v>
      </c>
      <c r="J91" s="31">
        <v>0.5</v>
      </c>
      <c r="O91" s="40">
        <f>C91*Prislapp!$C$2+D91*Prislapp!$D$2+E91*Prislapp!$E$2+F91*Prislapp!$F$2+G91*Prislapp!$G$2+H91*Prislapp!$H$2+I91*Prislapp!$I$2+J91*Prislapp!$J$2+K91*Prislapp!$K$2+L91*Prislapp!$L$2+M91*Prislapp!$M$2+N91*Prislapp!$N$2</f>
        <v>20757</v>
      </c>
      <c r="P91" s="40">
        <f>C91*Prislapp!$C$3+D91*Prislapp!$D$3+E91*Prislapp!$E$3+F91*Prislapp!$F$3+G91*Prislapp!$G$3+H91*Prislapp!$H$3+I91*Prislapp!$I$3+J91*Prislapp!$J$3+K91*Prislapp!$K$3+M91*Prislapp!$M$3+N91*Prislapp!$N$3+L91*Prislapp!$L$3</f>
        <v>36082</v>
      </c>
      <c r="Q91" s="40">
        <f>C91*Prislapp!$C$5+D91*Prislapp!$D$5+E91*Prislapp!$E$5+F91*Prislapp!$F$5+G91*Prislapp!$G$5+H91*Prislapp!$H$5+I91*Prislapp!$I$5+J91*Prislapp!$J$5+K91*Prislapp!$K$5+L91*Prislapp!$L$5+M91*Prislapp!$M$5+N91*Prislapp!$N$5</f>
        <v>22600</v>
      </c>
      <c r="R91" s="9">
        <f>VLOOKUP(A91,'Ansvar kurs'!$A$2:$B$943,2,FALSE)</f>
        <v>5100</v>
      </c>
      <c r="S91" s="157"/>
      <c r="T91" s="157"/>
      <c r="U91" s="157"/>
      <c r="V91" s="157"/>
      <c r="W91" s="157"/>
      <c r="X91" s="157"/>
      <c r="Y91" s="157"/>
      <c r="Z91" s="157"/>
    </row>
    <row r="92" spans="1:26" x14ac:dyDescent="0.25">
      <c r="A92" s="222" t="s">
        <v>1459</v>
      </c>
      <c r="B92" s="31" t="s">
        <v>1093</v>
      </c>
      <c r="H92" s="31">
        <v>1</v>
      </c>
      <c r="O92" s="40">
        <f>C92*Prislapp!$C$2+D92*Prislapp!$D$2+E92*Prislapp!$E$2+F92*Prislapp!$F$2+G92*Prislapp!$G$2+H92*Prislapp!$H$2+I92*Prislapp!$I$2+J92*Prislapp!$J$2+K92*Prislapp!$K$2+L92*Prislapp!$L$2+M92*Prislapp!$M$2+N92*Prislapp!$N$2</f>
        <v>20757</v>
      </c>
      <c r="P92" s="40">
        <f>C92*Prislapp!$C$3+D92*Prislapp!$D$3+E92*Prislapp!$E$3+F92*Prislapp!$F$3+G92*Prislapp!$G$3+H92*Prislapp!$H$3+I92*Prislapp!$I$3+J92*Prislapp!$J$3+K92*Prislapp!$K$3+M92*Prislapp!$M$3+N92*Prislapp!$N$3+L92*Prislapp!$L$3</f>
        <v>36082</v>
      </c>
      <c r="Q92" s="40">
        <f>C92*Prislapp!$C$5+D92*Prislapp!$D$5+E92*Prislapp!$E$5+F92*Prislapp!$F$5+G92*Prislapp!$G$5+H92*Prislapp!$H$5+I92*Prislapp!$I$5+J92*Prislapp!$J$5+K92*Prislapp!$K$5+L92*Prislapp!$L$5+M92*Prislapp!$M$5+N92*Prislapp!$N$5</f>
        <v>22600</v>
      </c>
      <c r="R92" s="9">
        <f>VLOOKUP(A92,'Ansvar kurs'!$A$2:$B$943,2,FALSE)</f>
        <v>5740</v>
      </c>
      <c r="S92" s="157" t="s">
        <v>1260</v>
      </c>
    </row>
    <row r="93" spans="1:26" x14ac:dyDescent="0.25">
      <c r="A93" s="222" t="s">
        <v>1460</v>
      </c>
      <c r="B93" s="31" t="s">
        <v>1128</v>
      </c>
      <c r="H93" s="31">
        <v>1</v>
      </c>
      <c r="O93" s="40">
        <f>C93*Prislapp!$C$2+D93*Prislapp!$D$2+E93*Prislapp!$E$2+F93*Prislapp!$F$2+G93*Prislapp!$G$2+H93*Prislapp!$H$2+I93*Prislapp!$I$2+J93*Prislapp!$J$2+K93*Prislapp!$K$2+L93*Prislapp!$L$2+M93*Prislapp!$M$2+N93*Prislapp!$N$2</f>
        <v>20757</v>
      </c>
      <c r="P93" s="40">
        <f>C93*Prislapp!$C$3+D93*Prislapp!$D$3+E93*Prislapp!$E$3+F93*Prislapp!$F$3+G93*Prislapp!$G$3+H93*Prislapp!$H$3+I93*Prislapp!$I$3+J93*Prislapp!$J$3+K93*Prislapp!$K$3+M93*Prislapp!$M$3+N93*Prislapp!$N$3+L93*Prislapp!$L$3</f>
        <v>36082</v>
      </c>
      <c r="Q93" s="40">
        <f>C93*Prislapp!$C$5+D93*Prislapp!$D$5+E93*Prislapp!$E$5+F93*Prislapp!$F$5+G93*Prislapp!$G$5+H93*Prislapp!$H$5+I93*Prislapp!$I$5+J93*Prislapp!$J$5+K93*Prislapp!$K$5+L93*Prislapp!$L$5+M93*Prislapp!$M$5+N93*Prislapp!$N$5</f>
        <v>22600</v>
      </c>
      <c r="R93" s="9">
        <f>VLOOKUP(A93,'Ansvar kurs'!$A$2:$B$943,2,FALSE)</f>
        <v>5740</v>
      </c>
      <c r="S93" s="157" t="s">
        <v>1260</v>
      </c>
    </row>
    <row r="94" spans="1:26" x14ac:dyDescent="0.25">
      <c r="A94" s="222" t="s">
        <v>1461</v>
      </c>
      <c r="B94" s="31" t="s">
        <v>1129</v>
      </c>
      <c r="H94" s="31">
        <v>1</v>
      </c>
      <c r="O94" s="40">
        <f>C94*Prislapp!$C$2+D94*Prislapp!$D$2+E94*Prislapp!$E$2+F94*Prislapp!$F$2+G94*Prislapp!$G$2+H94*Prislapp!$H$2+I94*Prislapp!$I$2+J94*Prislapp!$J$2+K94*Prislapp!$K$2+L94*Prislapp!$L$2+M94*Prislapp!$M$2+N94*Prislapp!$N$2</f>
        <v>20757</v>
      </c>
      <c r="P94" s="40">
        <f>C94*Prislapp!$C$3+D94*Prislapp!$D$3+E94*Prislapp!$E$3+F94*Prislapp!$F$3+G94*Prislapp!$G$3+H94*Prislapp!$H$3+I94*Prislapp!$I$3+J94*Prislapp!$J$3+K94*Prislapp!$K$3+M94*Prislapp!$M$3+N94*Prislapp!$N$3+L94*Prislapp!$L$3</f>
        <v>36082</v>
      </c>
      <c r="Q94" s="40">
        <f>C94*Prislapp!$C$5+D94*Prislapp!$D$5+E94*Prislapp!$E$5+F94*Prislapp!$F$5+G94*Prislapp!$G$5+H94*Prislapp!$H$5+I94*Prislapp!$I$5+J94*Prislapp!$J$5+K94*Prislapp!$K$5+L94*Prislapp!$L$5+M94*Prislapp!$M$5+N94*Prislapp!$N$5</f>
        <v>22600</v>
      </c>
      <c r="R94" s="9">
        <f>VLOOKUP(A94,'Ansvar kurs'!$A$2:$B$943,2,FALSE)</f>
        <v>5740</v>
      </c>
      <c r="S94" s="157" t="s">
        <v>1260</v>
      </c>
    </row>
    <row r="95" spans="1:26" x14ac:dyDescent="0.25">
      <c r="A95" s="60" t="s">
        <v>1367</v>
      </c>
      <c r="B95" s="60" t="s">
        <v>1371</v>
      </c>
      <c r="F95" s="31">
        <v>1</v>
      </c>
      <c r="O95" s="40">
        <f>C95*Prislapp!$C$2+D95*Prislapp!$D$2+E95*Prislapp!$E$2+F95*Prislapp!$F$2+G95*Prislapp!$G$2+H95*Prislapp!$H$2+I95*Prislapp!$I$2+J95*Prislapp!$J$2+K95*Prislapp!$K$2+L95*Prislapp!$L$2+M95*Prislapp!$M$2+N95*Prislapp!$N$2</f>
        <v>26554</v>
      </c>
      <c r="P95" s="40">
        <f>C95*Prislapp!$C$3+D95*Prislapp!$D$3+E95*Prislapp!$E$3+F95*Prislapp!$F$3+G95*Prislapp!$G$3+H95*Prislapp!$H$3+I95*Prislapp!$I$3+J95*Prislapp!$J$3+K95*Prislapp!$K$3+M95*Prislapp!$M$3+N95*Prislapp!$N$3+L95*Prislapp!$L$3</f>
        <v>33465</v>
      </c>
      <c r="Q95" s="40">
        <f>C95*Prislapp!$C$5+D95*Prislapp!$D$5+E95*Prislapp!$E$5+F95*Prislapp!$F$5+G95*Prislapp!$G$5+H95*Prislapp!$H$5+I95*Prislapp!$I$5+J95*Prislapp!$J$5+K95*Prislapp!$K$5+L95*Prislapp!$L$5+M95*Prislapp!$M$5+N95*Prislapp!$N$5</f>
        <v>6000</v>
      </c>
      <c r="R95" s="9">
        <f>VLOOKUP(A95,'Ansvar kurs'!$A$2:$B$943,2,FALSE)</f>
        <v>5740</v>
      </c>
      <c r="S95" s="157"/>
      <c r="T95" s="157"/>
      <c r="U95" s="157"/>
      <c r="V95" s="157"/>
      <c r="W95" s="157"/>
      <c r="X95" s="157"/>
      <c r="Y95" s="157"/>
      <c r="Z95" s="157"/>
    </row>
    <row r="96" spans="1:26" x14ac:dyDescent="0.25">
      <c r="A96" s="60" t="s">
        <v>1368</v>
      </c>
      <c r="B96" s="60" t="s">
        <v>1372</v>
      </c>
      <c r="F96" s="31">
        <v>1</v>
      </c>
      <c r="O96" s="40">
        <f>C96*Prislapp!$C$2+D96*Prislapp!$D$2+E96*Prislapp!$E$2+F96*Prislapp!$F$2+G96*Prislapp!$G$2+H96*Prislapp!$H$2+I96*Prislapp!$I$2+J96*Prislapp!$J$2+K96*Prislapp!$K$2+L96*Prislapp!$L$2+M96*Prislapp!$M$2+N96*Prislapp!$N$2</f>
        <v>26554</v>
      </c>
      <c r="P96" s="40">
        <f>C96*Prislapp!$C$3+D96*Prislapp!$D$3+E96*Prislapp!$E$3+F96*Prislapp!$F$3+G96*Prislapp!$G$3+H96*Prislapp!$H$3+I96*Prislapp!$I$3+J96*Prislapp!$J$3+K96*Prislapp!$K$3+M96*Prislapp!$M$3+N96*Prislapp!$N$3+L96*Prislapp!$L$3</f>
        <v>33465</v>
      </c>
      <c r="Q96" s="40">
        <f>C96*Prislapp!$C$5+D96*Prislapp!$D$5+E96*Prislapp!$E$5+F96*Prislapp!$F$5+G96*Prislapp!$G$5+H96*Prislapp!$H$5+I96*Prislapp!$I$5+J96*Prislapp!$J$5+K96*Prislapp!$K$5+L96*Prislapp!$L$5+M96*Prislapp!$M$5+N96*Prislapp!$N$5</f>
        <v>6000</v>
      </c>
      <c r="R96" s="9">
        <f>VLOOKUP(A96,'Ansvar kurs'!$A$2:$B$943,2,FALSE)</f>
        <v>5740</v>
      </c>
      <c r="S96" s="157"/>
      <c r="T96" s="157"/>
      <c r="U96" s="157"/>
      <c r="V96" s="157"/>
      <c r="W96" s="157"/>
      <c r="X96" s="157"/>
      <c r="Y96" s="157"/>
      <c r="Z96" s="157"/>
    </row>
    <row r="97" spans="1:26" x14ac:dyDescent="0.25">
      <c r="A97" s="60" t="s">
        <v>1369</v>
      </c>
      <c r="B97" s="60" t="s">
        <v>1373</v>
      </c>
      <c r="F97" s="31">
        <v>1</v>
      </c>
      <c r="O97" s="40">
        <f>C97*Prislapp!$C$2+D97*Prislapp!$D$2+E97*Prislapp!$E$2+F97*Prislapp!$F$2+G97*Prislapp!$G$2+H97*Prislapp!$H$2+I97*Prislapp!$I$2+J97*Prislapp!$J$2+K97*Prislapp!$K$2+L97*Prislapp!$L$2+M97*Prislapp!$M$2+N97*Prislapp!$N$2</f>
        <v>26554</v>
      </c>
      <c r="P97" s="40">
        <f>C97*Prislapp!$C$3+D97*Prislapp!$D$3+E97*Prislapp!$E$3+F97*Prislapp!$F$3+G97*Prislapp!$G$3+H97*Prislapp!$H$3+I97*Prislapp!$I$3+J97*Prislapp!$J$3+K97*Prislapp!$K$3+M97*Prislapp!$M$3+N97*Prislapp!$N$3+L97*Prislapp!$L$3</f>
        <v>33465</v>
      </c>
      <c r="Q97" s="40">
        <f>C97*Prislapp!$C$5+D97*Prislapp!$D$5+E97*Prislapp!$E$5+F97*Prislapp!$F$5+G97*Prislapp!$G$5+H97*Prislapp!$H$5+I97*Prislapp!$I$5+J97*Prislapp!$J$5+K97*Prislapp!$K$5+L97*Prislapp!$L$5+M97*Prislapp!$M$5+N97*Prislapp!$N$5</f>
        <v>6000</v>
      </c>
      <c r="R97" s="9">
        <f>VLOOKUP(A97,'Ansvar kurs'!$A$2:$B$943,2,FALSE)</f>
        <v>5740</v>
      </c>
      <c r="S97" s="157"/>
      <c r="T97" s="157"/>
      <c r="U97" s="157"/>
      <c r="V97" s="157"/>
      <c r="W97" s="157"/>
      <c r="X97" s="157"/>
      <c r="Y97" s="157"/>
      <c r="Z97" s="157"/>
    </row>
    <row r="98" spans="1:26" x14ac:dyDescent="0.25">
      <c r="A98" s="60" t="s">
        <v>1370</v>
      </c>
      <c r="B98" s="60" t="s">
        <v>1374</v>
      </c>
      <c r="F98" s="31">
        <v>1</v>
      </c>
      <c r="O98" s="40">
        <f>C98*Prislapp!$C$2+D98*Prislapp!$D$2+E98*Prislapp!$E$2+F98*Prislapp!$F$2+G98*Prislapp!$G$2+H98*Prislapp!$H$2+I98*Prislapp!$I$2+J98*Prislapp!$J$2+K98*Prislapp!$K$2+L98*Prislapp!$L$2+M98*Prislapp!$M$2+N98*Prislapp!$N$2</f>
        <v>26554</v>
      </c>
      <c r="P98" s="40">
        <f>C98*Prislapp!$C$3+D98*Prislapp!$D$3+E98*Prislapp!$E$3+F98*Prislapp!$F$3+G98*Prislapp!$G$3+H98*Prislapp!$H$3+I98*Prislapp!$I$3+J98*Prislapp!$J$3+K98*Prislapp!$K$3+M98*Prislapp!$M$3+N98*Prislapp!$N$3+L98*Prislapp!$L$3</f>
        <v>33465</v>
      </c>
      <c r="Q98" s="40">
        <f>C98*Prislapp!$C$5+D98*Prislapp!$D$5+E98*Prislapp!$E$5+F98*Prislapp!$F$5+G98*Prislapp!$G$5+H98*Prislapp!$H$5+I98*Prislapp!$I$5+J98*Prislapp!$J$5+K98*Prislapp!$K$5+L98*Prislapp!$L$5+M98*Prislapp!$M$5+N98*Prislapp!$N$5</f>
        <v>6000</v>
      </c>
      <c r="R98" s="9">
        <f>VLOOKUP(A98,'Ansvar kurs'!$A$2:$B$943,2,FALSE)</f>
        <v>5740</v>
      </c>
      <c r="S98" s="157"/>
      <c r="T98" s="157"/>
      <c r="U98" s="157"/>
      <c r="V98" s="157"/>
      <c r="W98" s="157"/>
      <c r="X98" s="157"/>
      <c r="Y98" s="157"/>
      <c r="Z98" s="157"/>
    </row>
    <row r="99" spans="1:26" x14ac:dyDescent="0.25">
      <c r="A99" s="60" t="s">
        <v>1928</v>
      </c>
      <c r="B99" s="60" t="s">
        <v>1956</v>
      </c>
      <c r="H99" s="31">
        <v>0.5</v>
      </c>
      <c r="J99" s="57">
        <v>0.5</v>
      </c>
      <c r="O99" s="40">
        <f>C99*Prislapp!$C$2+D99*Prislapp!$D$2+E99*Prislapp!$E$2+F99*Prislapp!$F$2+G99*Prislapp!$G$2+H99*Prislapp!$H$2+I99*Prislapp!$I$2+J99*Prislapp!$J$2+K99*Prislapp!$K$2+L99*Prislapp!$L$2+M99*Prislapp!$M$2+N99*Prislapp!$N$2</f>
        <v>20757</v>
      </c>
      <c r="P99" s="40">
        <f>C99*Prislapp!$C$3+D99*Prislapp!$D$3+E99*Prislapp!$E$3+F99*Prislapp!$F$3+G99*Prislapp!$G$3+H99*Prislapp!$H$3+I99*Prislapp!$I$3+J99*Prislapp!$J$3+K99*Prislapp!$K$3+M99*Prislapp!$M$3+N99*Prislapp!$N$3+L99*Prislapp!$L$3</f>
        <v>36082</v>
      </c>
      <c r="Q99" s="40">
        <f>C99*Prislapp!$C$5+D99*Prislapp!$D$5+E99*Prislapp!$E$5+F99*Prislapp!$F$5+G99*Prislapp!$G$5+H99*Prislapp!$H$5+I99*Prislapp!$I$5+J99*Prislapp!$J$5+K99*Prislapp!$K$5+L99*Prislapp!$L$5+M99*Prislapp!$M$5+N99*Prislapp!$N$5</f>
        <v>22600</v>
      </c>
      <c r="R99" s="9">
        <f>VLOOKUP(A99,'Ansvar kurs'!$A$2:$B$943,2,FALSE)</f>
        <v>5700</v>
      </c>
      <c r="S99" s="176"/>
      <c r="T99" s="157"/>
      <c r="U99" s="157"/>
      <c r="V99" s="157"/>
      <c r="W99" s="157"/>
      <c r="X99" s="157"/>
      <c r="Y99" s="157"/>
      <c r="Z99" s="157"/>
    </row>
    <row r="100" spans="1:26" x14ac:dyDescent="0.25">
      <c r="A100" s="31" t="s">
        <v>66</v>
      </c>
      <c r="B100" s="31" t="s">
        <v>656</v>
      </c>
      <c r="D100" s="31">
        <v>0.5</v>
      </c>
      <c r="K100" s="31">
        <v>0.5</v>
      </c>
      <c r="O100" s="40">
        <f>C100*Prislapp!$C$2+D100*Prislapp!$D$2+E100*Prislapp!$E$2+F100*Prislapp!$F$2+G100*Prislapp!$G$2+H100*Prislapp!$H$2+I100*Prislapp!$I$2+J100*Prislapp!$J$2+K100*Prislapp!$K$2+L100*Prislapp!$L$2+M100*Prislapp!$M$2+N100*Prislapp!$N$2</f>
        <v>23000.5</v>
      </c>
      <c r="P100" s="40">
        <f>C100*Prislapp!$C$3+D100*Prislapp!$D$3+E100*Prislapp!$E$3+F100*Prislapp!$F$3+G100*Prislapp!$G$3+H100*Prislapp!$H$3+I100*Prislapp!$I$3+J100*Prislapp!$J$3+K100*Prislapp!$K$3+M100*Prislapp!$M$3+N100*Prislapp!$N$3+L100*Prislapp!$L$3</f>
        <v>22709</v>
      </c>
      <c r="Q100" s="40">
        <f>C100*Prislapp!$C$5+D100*Prislapp!$D$5+E100*Prislapp!$E$5+F100*Prislapp!$F$5+G100*Prislapp!$G$5+H100*Prislapp!$H$5+I100*Prislapp!$I$5+J100*Prislapp!$J$5+K100*Prislapp!$K$5+L100*Prislapp!$L$5+M100*Prislapp!$M$5+N100*Prislapp!$N$5</f>
        <v>4800</v>
      </c>
      <c r="R100" s="9">
        <f>VLOOKUP(A100,'Ansvar kurs'!$A$2:$B$943,2,FALSE)</f>
        <v>1620</v>
      </c>
      <c r="S100" s="157"/>
      <c r="T100" s="157"/>
      <c r="U100" s="157"/>
      <c r="V100" s="157"/>
      <c r="W100" s="157"/>
      <c r="X100" s="157"/>
      <c r="Y100" s="157"/>
      <c r="Z100" s="157"/>
    </row>
    <row r="101" spans="1:26" x14ac:dyDescent="0.25">
      <c r="A101" s="31" t="s">
        <v>89</v>
      </c>
      <c r="B101" s="31" t="s">
        <v>657</v>
      </c>
      <c r="D101" s="31">
        <v>0.5</v>
      </c>
      <c r="K101" s="31">
        <v>0.5</v>
      </c>
      <c r="O101" s="40">
        <f>C101*Prislapp!$C$2+D101*Prislapp!$D$2+E101*Prislapp!$E$2+F101*Prislapp!$F$2+G101*Prislapp!$G$2+H101*Prislapp!$H$2+I101*Prislapp!$I$2+J101*Prislapp!$J$2+K101*Prislapp!$K$2+L101*Prislapp!$L$2+M101*Prislapp!$M$2+N101*Prislapp!$N$2</f>
        <v>23000.5</v>
      </c>
      <c r="P101" s="40">
        <f>C101*Prislapp!$C$3+D101*Prislapp!$D$3+E101*Prislapp!$E$3+F101*Prislapp!$F$3+G101*Prislapp!$G$3+H101*Prislapp!$H$3+I101*Prislapp!$I$3+J101*Prislapp!$J$3+K101*Prislapp!$K$3+M101*Prislapp!$M$3+N101*Prislapp!$N$3+L101*Prislapp!$L$3</f>
        <v>22709</v>
      </c>
      <c r="Q101" s="40">
        <f>C101*Prislapp!$C$5+D101*Prislapp!$D$5+E101*Prislapp!$E$5+F101*Prislapp!$F$5+G101*Prislapp!$G$5+H101*Prislapp!$H$5+I101*Prislapp!$I$5+J101*Prislapp!$J$5+K101*Prislapp!$K$5+L101*Prislapp!$L$5+M101*Prislapp!$M$5+N101*Prislapp!$N$5</f>
        <v>4800</v>
      </c>
      <c r="R101" s="9">
        <f>VLOOKUP(A101,'Ansvar kurs'!$A$2:$B$943,2,FALSE)</f>
        <v>1620</v>
      </c>
      <c r="S101" s="157"/>
      <c r="T101" s="157"/>
      <c r="U101" s="157"/>
      <c r="V101" s="157"/>
      <c r="W101" s="157"/>
      <c r="X101" s="157"/>
      <c r="Y101" s="157"/>
      <c r="Z101" s="157"/>
    </row>
    <row r="102" spans="1:26" x14ac:dyDescent="0.25">
      <c r="A102" s="31" t="s">
        <v>486</v>
      </c>
      <c r="B102" s="31" t="s">
        <v>658</v>
      </c>
      <c r="D102" s="31">
        <v>1</v>
      </c>
      <c r="O102" s="40">
        <f>C102*Prislapp!$C$2+D102*Prislapp!$D$2+E102*Prislapp!$E$2+F102*Prislapp!$F$2+G102*Prislapp!$G$2+H102*Prislapp!$H$2+I102*Prislapp!$I$2+J102*Prislapp!$J$2+K102*Prislapp!$K$2+L102*Prislapp!$L$2+M102*Prislapp!$M$2+N102*Prislapp!$N$2</f>
        <v>20766</v>
      </c>
      <c r="P102" s="40">
        <f>C102*Prislapp!$C$3+D102*Prislapp!$D$3+E102*Prislapp!$E$3+F102*Prislapp!$F$3+G102*Prislapp!$G$3+H102*Prislapp!$H$3+I102*Prislapp!$I$3+J102*Prislapp!$J$3+K102*Prislapp!$K$3+M102*Prislapp!$M$3+N102*Prislapp!$N$3+L102*Prislapp!$L$3</f>
        <v>17442</v>
      </c>
      <c r="Q102" s="40">
        <f>C102*Prislapp!$C$5+D102*Prislapp!$D$5+E102*Prislapp!$E$5+F102*Prislapp!$F$5+G102*Prislapp!$G$5+H102*Prislapp!$H$5+I102*Prislapp!$I$5+J102*Prislapp!$J$5+K102*Prislapp!$K$5+L102*Prislapp!$L$5+M102*Prislapp!$M$5+N102*Prislapp!$N$5</f>
        <v>6000</v>
      </c>
      <c r="R102" s="9">
        <f>VLOOKUP(A102,'Ansvar kurs'!$A$2:$B$943,2,FALSE)</f>
        <v>1620</v>
      </c>
      <c r="S102" s="157" t="s">
        <v>1276</v>
      </c>
      <c r="T102" s="157"/>
      <c r="U102" s="157"/>
      <c r="V102" s="157"/>
      <c r="W102" s="157"/>
      <c r="X102" s="157"/>
      <c r="Y102" s="157"/>
      <c r="Z102" s="157"/>
    </row>
    <row r="103" spans="1:26" x14ac:dyDescent="0.25">
      <c r="A103" s="31" t="s">
        <v>487</v>
      </c>
      <c r="B103" s="31" t="s">
        <v>659</v>
      </c>
      <c r="D103" s="31">
        <v>1</v>
      </c>
      <c r="O103" s="40">
        <f>C103*Prislapp!$C$2+D103*Prislapp!$D$2+E103*Prislapp!$E$2+F103*Prislapp!$F$2+G103*Prislapp!$G$2+H103*Prislapp!$H$2+I103*Prislapp!$I$2+J103*Prislapp!$J$2+K103*Prislapp!$K$2+L103*Prislapp!$L$2+M103*Prislapp!$M$2+N103*Prislapp!$N$2</f>
        <v>20766</v>
      </c>
      <c r="P103" s="40">
        <f>C103*Prislapp!$C$3+D103*Prislapp!$D$3+E103*Prislapp!$E$3+F103*Prislapp!$F$3+G103*Prislapp!$G$3+H103*Prislapp!$H$3+I103*Prislapp!$I$3+J103*Prislapp!$J$3+K103*Prislapp!$K$3+M103*Prislapp!$M$3+N103*Prislapp!$N$3+L103*Prislapp!$L$3</f>
        <v>17442</v>
      </c>
      <c r="Q103" s="40">
        <f>C103*Prislapp!$C$5+D103*Prislapp!$D$5+E103*Prislapp!$E$5+F103*Prislapp!$F$5+G103*Prislapp!$G$5+H103*Prislapp!$H$5+I103*Prislapp!$I$5+J103*Prislapp!$J$5+K103*Prislapp!$K$5+L103*Prislapp!$L$5+M103*Prislapp!$M$5+N103*Prislapp!$N$5</f>
        <v>6000</v>
      </c>
      <c r="R103" s="9">
        <f>VLOOKUP(A103,'Ansvar kurs'!$A$2:$B$943,2,FALSE)</f>
        <v>1620</v>
      </c>
      <c r="S103" s="157" t="s">
        <v>1276</v>
      </c>
      <c r="T103" s="157"/>
      <c r="U103" s="157"/>
      <c r="V103" s="157"/>
      <c r="W103" s="157"/>
      <c r="X103" s="157"/>
      <c r="Y103" s="157"/>
      <c r="Z103" s="157"/>
    </row>
    <row r="104" spans="1:26" x14ac:dyDescent="0.25">
      <c r="A104" s="221" t="s">
        <v>488</v>
      </c>
      <c r="B104" s="31" t="s">
        <v>541</v>
      </c>
      <c r="D104" s="31">
        <v>1</v>
      </c>
      <c r="O104" s="40">
        <f>C104*Prislapp!$C$2+D104*Prislapp!$D$2+E104*Prislapp!$E$2+F104*Prislapp!$F$2+G104*Prislapp!$G$2+H104*Prislapp!$H$2+I104*Prislapp!$I$2+J104*Prislapp!$J$2+K104*Prislapp!$K$2+L104*Prislapp!$L$2+M104*Prislapp!$M$2+N104*Prislapp!$N$2</f>
        <v>20766</v>
      </c>
      <c r="P104" s="40">
        <f>C104*Prislapp!$C$3+D104*Prislapp!$D$3+E104*Prislapp!$E$3+F104*Prislapp!$F$3+G104*Prislapp!$G$3+H104*Prislapp!$H$3+I104*Prislapp!$I$3+J104*Prislapp!$J$3+K104*Prislapp!$K$3+M104*Prislapp!$M$3+N104*Prislapp!$N$3+L104*Prislapp!$L$3</f>
        <v>17442</v>
      </c>
      <c r="Q104" s="40">
        <f>C104*Prislapp!$C$5+D104*Prislapp!$D$5+E104*Prislapp!$E$5+F104*Prislapp!$F$5+G104*Prislapp!$G$5+H104*Prislapp!$H$5+I104*Prislapp!$I$5+J104*Prislapp!$J$5+K104*Prislapp!$K$5+L104*Prislapp!$L$5+M104*Prislapp!$M$5+N104*Prislapp!$N$5</f>
        <v>6000</v>
      </c>
      <c r="R104" s="9">
        <f>VLOOKUP(A104,'Ansvar kurs'!$A$2:$B$943,2,FALSE)</f>
        <v>1620</v>
      </c>
      <c r="S104" s="157" t="s">
        <v>1276</v>
      </c>
      <c r="T104" s="157"/>
      <c r="U104" s="157"/>
      <c r="V104" s="157"/>
      <c r="W104" s="157"/>
      <c r="X104" s="157"/>
      <c r="Y104" s="157"/>
      <c r="Z104" s="157"/>
    </row>
    <row r="105" spans="1:26" x14ac:dyDescent="0.25">
      <c r="A105" s="221" t="s">
        <v>489</v>
      </c>
      <c r="B105" s="31" t="s">
        <v>543</v>
      </c>
      <c r="D105" s="31">
        <v>1</v>
      </c>
      <c r="O105" s="40">
        <f>C105*Prislapp!$C$2+D105*Prislapp!$D$2+E105*Prislapp!$E$2+F105*Prislapp!$F$2+G105*Prislapp!$G$2+H105*Prislapp!$H$2+I105*Prislapp!$I$2+J105*Prislapp!$J$2+K105*Prislapp!$K$2+L105*Prislapp!$L$2+M105*Prislapp!$M$2+N105*Prislapp!$N$2</f>
        <v>20766</v>
      </c>
      <c r="P105" s="40">
        <f>C105*Prislapp!$C$3+D105*Prislapp!$D$3+E105*Prislapp!$E$3+F105*Prislapp!$F$3+G105*Prislapp!$G$3+H105*Prislapp!$H$3+I105*Prislapp!$I$3+J105*Prislapp!$J$3+K105*Prislapp!$K$3+M105*Prislapp!$M$3+N105*Prislapp!$N$3+L105*Prislapp!$L$3</f>
        <v>17442</v>
      </c>
      <c r="Q105" s="40">
        <f>C105*Prislapp!$C$5+D105*Prislapp!$D$5+E105*Prislapp!$E$5+F105*Prislapp!$F$5+G105*Prislapp!$G$5+H105*Prislapp!$H$5+I105*Prislapp!$I$5+J105*Prislapp!$J$5+K105*Prislapp!$K$5+L105*Prislapp!$L$5+M105*Prislapp!$M$5+N105*Prislapp!$N$5</f>
        <v>6000</v>
      </c>
      <c r="R105" s="9">
        <f>VLOOKUP(A105,'Ansvar kurs'!$A$2:$B$943,2,FALSE)</f>
        <v>1620</v>
      </c>
      <c r="S105" s="157" t="s">
        <v>1276</v>
      </c>
      <c r="T105" s="157"/>
      <c r="U105" s="157"/>
      <c r="V105" s="157"/>
      <c r="W105" s="157"/>
      <c r="X105" s="157"/>
      <c r="Y105" s="157"/>
      <c r="Z105" s="157"/>
    </row>
    <row r="106" spans="1:26" x14ac:dyDescent="0.25">
      <c r="A106" s="221" t="s">
        <v>577</v>
      </c>
      <c r="B106" s="31" t="s">
        <v>605</v>
      </c>
      <c r="D106" s="31">
        <v>1</v>
      </c>
      <c r="O106" s="40">
        <f>C106*Prislapp!$C$2+D106*Prislapp!$D$2+E106*Prislapp!$E$2+F106*Prislapp!$F$2+G106*Prislapp!$G$2+H106*Prislapp!$H$2+I106*Prislapp!$I$2+J106*Prislapp!$J$2+K106*Prislapp!$K$2+L106*Prislapp!$L$2+M106*Prislapp!$M$2+N106*Prislapp!$N$2</f>
        <v>20766</v>
      </c>
      <c r="P106" s="40">
        <f>C106*Prislapp!$C$3+D106*Prislapp!$D$3+E106*Prislapp!$E$3+F106*Prislapp!$F$3+G106*Prislapp!$G$3+H106*Prislapp!$H$3+I106*Prislapp!$I$3+J106*Prislapp!$J$3+K106*Prislapp!$K$3+M106*Prislapp!$M$3+N106*Prislapp!$N$3+L106*Prislapp!$L$3</f>
        <v>17442</v>
      </c>
      <c r="Q106" s="40">
        <f>C106*Prislapp!$C$5+D106*Prislapp!$D$5+E106*Prislapp!$E$5+F106*Prislapp!$F$5+G106*Prislapp!$G$5+H106*Prislapp!$H$5+I106*Prislapp!$I$5+J106*Prislapp!$J$5+K106*Prislapp!$K$5+L106*Prislapp!$L$5+M106*Prislapp!$M$5+N106*Prislapp!$N$5</f>
        <v>6000</v>
      </c>
      <c r="R106" s="9">
        <f>VLOOKUP(A106,'Ansvar kurs'!$A$2:$B$943,2,FALSE)</f>
        <v>1620</v>
      </c>
      <c r="S106" s="157" t="s">
        <v>1276</v>
      </c>
      <c r="T106" s="157"/>
      <c r="U106" s="157"/>
      <c r="V106" s="157"/>
      <c r="W106" s="157"/>
      <c r="X106" s="157"/>
      <c r="Y106" s="157"/>
      <c r="Z106" s="157"/>
    </row>
    <row r="107" spans="1:26" x14ac:dyDescent="0.25">
      <c r="A107" s="31" t="s">
        <v>490</v>
      </c>
      <c r="B107" s="31" t="s">
        <v>660</v>
      </c>
      <c r="D107" s="31">
        <v>1</v>
      </c>
      <c r="O107" s="40">
        <f>C107*Prislapp!$C$2+D107*Prislapp!$D$2+E107*Prislapp!$E$2+F107*Prislapp!$F$2+G107*Prislapp!$G$2+H107*Prislapp!$H$2+I107*Prislapp!$I$2+J107*Prislapp!$J$2+K107*Prislapp!$K$2+L107*Prislapp!$L$2+M107*Prislapp!$M$2+N107*Prislapp!$N$2</f>
        <v>20766</v>
      </c>
      <c r="P107" s="40">
        <f>C107*Prislapp!$C$3+D107*Prislapp!$D$3+E107*Prislapp!$E$3+F107*Prislapp!$F$3+G107*Prislapp!$G$3+H107*Prislapp!$H$3+I107*Prislapp!$I$3+J107*Prislapp!$J$3+K107*Prislapp!$K$3+M107*Prislapp!$M$3+N107*Prislapp!$N$3+L107*Prislapp!$L$3</f>
        <v>17442</v>
      </c>
      <c r="Q107" s="40">
        <f>C107*Prislapp!$C$5+D107*Prislapp!$D$5+E107*Prislapp!$E$5+F107*Prislapp!$F$5+G107*Prislapp!$G$5+H107*Prislapp!$H$5+I107*Prislapp!$I$5+J107*Prislapp!$J$5+K107*Prislapp!$K$5+L107*Prislapp!$L$5+M107*Prislapp!$M$5+N107*Prislapp!$N$5</f>
        <v>6000</v>
      </c>
      <c r="R107" s="9">
        <f>VLOOKUP(A107,'Ansvar kurs'!$A$2:$B$943,2,FALSE)</f>
        <v>1620</v>
      </c>
      <c r="S107" s="157" t="s">
        <v>1276</v>
      </c>
      <c r="T107" s="157"/>
      <c r="U107" s="157"/>
      <c r="V107" s="157"/>
      <c r="W107" s="157"/>
      <c r="X107" s="157"/>
      <c r="Y107" s="157"/>
      <c r="Z107" s="157"/>
    </row>
    <row r="108" spans="1:26" x14ac:dyDescent="0.25">
      <c r="A108" s="31" t="s">
        <v>491</v>
      </c>
      <c r="B108" s="31" t="s">
        <v>661</v>
      </c>
      <c r="D108" s="31">
        <v>1</v>
      </c>
      <c r="O108" s="40">
        <f>C108*Prislapp!$C$2+D108*Prislapp!$D$2+E108*Prislapp!$E$2+F108*Prislapp!$F$2+G108*Prislapp!$G$2+H108*Prislapp!$H$2+I108*Prislapp!$I$2+J108*Prislapp!$J$2+K108*Prislapp!$K$2+L108*Prislapp!$L$2+M108*Prislapp!$M$2+N108*Prislapp!$N$2</f>
        <v>20766</v>
      </c>
      <c r="P108" s="40">
        <f>C108*Prislapp!$C$3+D108*Prislapp!$D$3+E108*Prislapp!$E$3+F108*Prislapp!$F$3+G108*Prislapp!$G$3+H108*Prislapp!$H$3+I108*Prislapp!$I$3+J108*Prislapp!$J$3+K108*Prislapp!$K$3+M108*Prislapp!$M$3+N108*Prislapp!$N$3+L108*Prislapp!$L$3</f>
        <v>17442</v>
      </c>
      <c r="Q108" s="40">
        <f>C108*Prislapp!$C$5+D108*Prislapp!$D$5+E108*Prislapp!$E$5+F108*Prislapp!$F$5+G108*Prislapp!$G$5+H108*Prislapp!$H$5+I108*Prislapp!$I$5+J108*Prislapp!$J$5+K108*Prislapp!$K$5+L108*Prislapp!$L$5+M108*Prislapp!$M$5+N108*Prislapp!$N$5</f>
        <v>6000</v>
      </c>
      <c r="R108" s="9">
        <f>VLOOKUP(A108,'Ansvar kurs'!$A$2:$B$943,2,FALSE)</f>
        <v>1620</v>
      </c>
      <c r="S108" s="157" t="s">
        <v>1276</v>
      </c>
      <c r="T108" s="157"/>
      <c r="U108" s="157"/>
      <c r="V108" s="157"/>
      <c r="W108" s="157"/>
      <c r="X108" s="157"/>
      <c r="Y108" s="157"/>
      <c r="Z108" s="157"/>
    </row>
    <row r="109" spans="1:26" x14ac:dyDescent="0.25">
      <c r="A109" s="31" t="s">
        <v>578</v>
      </c>
      <c r="B109" s="31" t="s">
        <v>1134</v>
      </c>
      <c r="D109" s="31">
        <v>1</v>
      </c>
      <c r="O109" s="40">
        <f>C109*Prislapp!$C$2+D109*Prislapp!$D$2+E109*Prislapp!$E$2+F109*Prislapp!$F$2+G109*Prislapp!$G$2+H109*Prislapp!$H$2+I109*Prislapp!$I$2+J109*Prislapp!$J$2+K109*Prislapp!$K$2+L109*Prislapp!$L$2+M109*Prislapp!$M$2+N109*Prislapp!$N$2</f>
        <v>20766</v>
      </c>
      <c r="P109" s="40">
        <f>C109*Prislapp!$C$3+D109*Prislapp!$D$3+E109*Prislapp!$E$3+F109*Prislapp!$F$3+G109*Prislapp!$G$3+H109*Prislapp!$H$3+I109*Prislapp!$I$3+J109*Prislapp!$J$3+K109*Prislapp!$K$3+M109*Prislapp!$M$3+N109*Prislapp!$N$3+L109*Prislapp!$L$3</f>
        <v>17442</v>
      </c>
      <c r="Q109" s="40">
        <f>C109*Prislapp!$C$5+D109*Prislapp!$D$5+E109*Prislapp!$E$5+F109*Prislapp!$F$5+G109*Prislapp!$G$5+H109*Prislapp!$H$5+I109*Prislapp!$I$5+J109*Prislapp!$J$5+K109*Prislapp!$K$5+L109*Prislapp!$L$5+M109*Prislapp!$M$5+N109*Prislapp!$N$5</f>
        <v>6000</v>
      </c>
      <c r="R109" s="9">
        <f>VLOOKUP(A109,'Ansvar kurs'!$A$2:$B$943,2,FALSE)</f>
        <v>1620</v>
      </c>
      <c r="S109" s="157" t="s">
        <v>1276</v>
      </c>
      <c r="T109" s="157"/>
      <c r="U109" s="157"/>
      <c r="V109" s="157"/>
      <c r="W109" s="157"/>
      <c r="X109" s="157"/>
      <c r="Y109" s="157"/>
      <c r="Z109" s="157"/>
    </row>
    <row r="110" spans="1:26" x14ac:dyDescent="0.25">
      <c r="A110" s="31" t="s">
        <v>1004</v>
      </c>
      <c r="B110" s="31" t="s">
        <v>1135</v>
      </c>
      <c r="K110" s="31">
        <v>1</v>
      </c>
      <c r="O110" s="40">
        <f>C110*Prislapp!$C$2+D110*Prislapp!$D$2+E110*Prislapp!$E$2+F110*Prislapp!$F$2+G110*Prislapp!$G$2+H110*Prislapp!$H$2+I110*Prislapp!$I$2+J110*Prislapp!$J$2+K110*Prislapp!$K$2+L110*Prislapp!$L$2+M110*Prislapp!$M$2+N110*Prislapp!$N$2</f>
        <v>25235</v>
      </c>
      <c r="P110" s="40">
        <f>C110*Prislapp!$C$3+D110*Prislapp!$D$3+E110*Prislapp!$E$3+F110*Prislapp!$F$3+G110*Prislapp!$G$3+H110*Prislapp!$H$3+I110*Prislapp!$I$3+J110*Prislapp!$J$3+K110*Prislapp!$K$3+M110*Prislapp!$M$3+N110*Prislapp!$N$3+L110*Prislapp!$L$3</f>
        <v>27976</v>
      </c>
      <c r="Q110" s="40">
        <f>C110*Prislapp!$C$5+D110*Prislapp!$D$5+E110*Prislapp!$E$5+F110*Prislapp!$F$5+G110*Prislapp!$G$5+H110*Prislapp!$H$5+I110*Prislapp!$I$5+J110*Prislapp!$J$5+K110*Prislapp!$K$5+L110*Prislapp!$L$5+M110*Prislapp!$M$5+N110*Prislapp!$N$5</f>
        <v>3600</v>
      </c>
      <c r="R110" s="9">
        <f>VLOOKUP(A110,'Ansvar kurs'!$A$2:$B$943,2,FALSE)</f>
        <v>1620</v>
      </c>
      <c r="S110" s="157"/>
      <c r="T110" s="157"/>
      <c r="U110" s="157"/>
      <c r="V110" s="157"/>
      <c r="W110" s="157"/>
      <c r="X110" s="157"/>
      <c r="Y110" s="157"/>
      <c r="Z110" s="157"/>
    </row>
    <row r="111" spans="1:26" x14ac:dyDescent="0.25">
      <c r="A111" s="31" t="s">
        <v>1698</v>
      </c>
      <c r="B111" s="31" t="s">
        <v>1706</v>
      </c>
      <c r="D111" s="31">
        <v>1</v>
      </c>
      <c r="O111" s="40">
        <f>C111*Prislapp!$C$2+D111*Prislapp!$D$2+E111*Prislapp!$E$2+F111*Prislapp!$F$2+G111*Prislapp!$G$2+H111*Prislapp!$H$2+I111*Prislapp!$I$2+J111*Prislapp!$J$2+K111*Prislapp!$K$2+L111*Prislapp!$L$2+M111*Prislapp!$M$2+N111*Prislapp!$N$2</f>
        <v>20766</v>
      </c>
      <c r="P111" s="40">
        <f>C111*Prislapp!$C$3+D111*Prislapp!$D$3+E111*Prislapp!$E$3+F111*Prislapp!$F$3+G111*Prislapp!$G$3+H111*Prislapp!$H$3+I111*Prislapp!$I$3+J111*Prislapp!$J$3+K111*Prislapp!$K$3+M111*Prislapp!$M$3+N111*Prislapp!$N$3+L111*Prislapp!$L$3</f>
        <v>17442</v>
      </c>
      <c r="Q111" s="40">
        <f>C111*Prislapp!$C$5+D111*Prislapp!$D$5+E111*Prislapp!$E$5+F111*Prislapp!$F$5+G111*Prislapp!$G$5+H111*Prislapp!$H$5+I111*Prislapp!$I$5+J111*Prislapp!$J$5+K111*Prislapp!$K$5+L111*Prislapp!$L$5+M111*Prislapp!$M$5+N111*Prislapp!$N$5</f>
        <v>6000</v>
      </c>
      <c r="R111" s="9">
        <f>VLOOKUP(A111,'Ansvar kurs'!$A$2:$B$943,2,FALSE)</f>
        <v>1620</v>
      </c>
      <c r="S111" s="157"/>
      <c r="T111" s="157"/>
      <c r="U111" s="157"/>
      <c r="V111" s="157"/>
      <c r="W111" s="157"/>
      <c r="X111" s="157"/>
      <c r="Y111" s="157"/>
      <c r="Z111" s="157"/>
    </row>
    <row r="112" spans="1:26" x14ac:dyDescent="0.25">
      <c r="A112" s="31" t="s">
        <v>1699</v>
      </c>
      <c r="B112" s="31" t="s">
        <v>1707</v>
      </c>
      <c r="D112" s="31">
        <v>1</v>
      </c>
      <c r="O112" s="40">
        <f>C112*Prislapp!$C$2+D112*Prislapp!$D$2+E112*Prislapp!$E$2+F112*Prislapp!$F$2+G112*Prislapp!$G$2+H112*Prislapp!$H$2+I112*Prislapp!$I$2+J112*Prislapp!$J$2+K112*Prislapp!$K$2+L112*Prislapp!$L$2+M112*Prislapp!$M$2+N112*Prislapp!$N$2</f>
        <v>20766</v>
      </c>
      <c r="P112" s="40">
        <f>C112*Prislapp!$C$3+D112*Prislapp!$D$3+E112*Prislapp!$E$3+F112*Prislapp!$F$3+G112*Prislapp!$G$3+H112*Prislapp!$H$3+I112*Prislapp!$I$3+J112*Prislapp!$J$3+K112*Prislapp!$K$3+M112*Prislapp!$M$3+N112*Prislapp!$N$3+L112*Prislapp!$L$3</f>
        <v>17442</v>
      </c>
      <c r="Q112" s="40">
        <f>C112*Prislapp!$C$5+D112*Prislapp!$D$5+E112*Prislapp!$E$5+F112*Prislapp!$F$5+G112*Prislapp!$G$5+H112*Prislapp!$H$5+I112*Prislapp!$I$5+J112*Prislapp!$J$5+K112*Prislapp!$K$5+L112*Prislapp!$L$5+M112*Prislapp!$M$5+N112*Prislapp!$N$5</f>
        <v>6000</v>
      </c>
      <c r="R112" s="9">
        <f>VLOOKUP(A112,'Ansvar kurs'!$A$2:$B$943,2,FALSE)</f>
        <v>1620</v>
      </c>
      <c r="S112" s="157"/>
      <c r="T112" s="157"/>
      <c r="U112" s="157"/>
      <c r="V112" s="157"/>
      <c r="W112" s="157"/>
      <c r="X112" s="157"/>
      <c r="Y112" s="157"/>
      <c r="Z112" s="157"/>
    </row>
    <row r="113" spans="1:26" x14ac:dyDescent="0.25">
      <c r="A113" s="221" t="s">
        <v>1837</v>
      </c>
      <c r="B113" s="31" t="s">
        <v>1832</v>
      </c>
      <c r="K113" s="31">
        <v>1</v>
      </c>
      <c r="O113" s="40">
        <f>C113*Prislapp!$C$2+D113*Prislapp!$D$2+E113*Prislapp!$E$2+F113*Prislapp!$F$2+G113*Prislapp!$G$2+H113*Prislapp!$H$2+I113*Prislapp!$I$2+J113*Prislapp!$J$2+K113*Prislapp!$K$2+L113*Prislapp!$L$2+M113*Prislapp!$M$2+N113*Prislapp!$N$2</f>
        <v>25235</v>
      </c>
      <c r="P113" s="40">
        <f>C113*Prislapp!$C$3+D113*Prislapp!$D$3+E113*Prislapp!$E$3+F113*Prislapp!$F$3+G113*Prislapp!$G$3+H113*Prislapp!$H$3+I113*Prislapp!$I$3+J113*Prislapp!$J$3+K113*Prislapp!$K$3+M113*Prislapp!$M$3+N113*Prislapp!$N$3+L113*Prislapp!$L$3</f>
        <v>27976</v>
      </c>
      <c r="Q113" s="40">
        <f>C113*Prislapp!$C$5+D113*Prislapp!$D$5+E113*Prislapp!$E$5+F113*Prislapp!$F$5+G113*Prislapp!$G$5+H113*Prislapp!$H$5+I113*Prislapp!$I$5+J113*Prislapp!$J$5+K113*Prislapp!$K$5+L113*Prislapp!$L$5+M113*Prislapp!$M$5+N113*Prislapp!$N$5</f>
        <v>3600</v>
      </c>
      <c r="R113" s="9">
        <f>VLOOKUP(A113,'Ansvar kurs'!$A$2:$B$943,2,FALSE)</f>
        <v>1620</v>
      </c>
      <c r="S113" s="157"/>
      <c r="T113" s="157"/>
      <c r="U113" s="157"/>
      <c r="V113" s="157"/>
      <c r="W113" s="157"/>
      <c r="X113" s="157"/>
      <c r="Y113" s="157"/>
      <c r="Z113" s="157"/>
    </row>
    <row r="114" spans="1:26" x14ac:dyDescent="0.25">
      <c r="A114" s="31" t="s">
        <v>1855</v>
      </c>
      <c r="B114" s="31" t="s">
        <v>540</v>
      </c>
      <c r="D114" s="31">
        <v>1</v>
      </c>
      <c r="O114" s="40">
        <f>C114*Prislapp!$C$2+D114*Prislapp!$D$2+E114*Prislapp!$E$2+F114*Prislapp!$F$2+G114*Prislapp!$G$2+H114*Prislapp!$H$2+I114*Prislapp!$I$2+J114*Prislapp!$J$2+K114*Prislapp!$K$2+L114*Prislapp!$L$2+M114*Prislapp!$M$2+N114*Prislapp!$N$2</f>
        <v>20766</v>
      </c>
      <c r="P114" s="40">
        <f>C114*Prislapp!$C$3+D114*Prislapp!$D$3+E114*Prislapp!$E$3+F114*Prislapp!$F$3+G114*Prislapp!$G$3+H114*Prislapp!$H$3+I114*Prislapp!$I$3+J114*Prislapp!$J$3+K114*Prislapp!$K$3+M114*Prislapp!$M$3+N114*Prislapp!$N$3+L114*Prislapp!$L$3</f>
        <v>17442</v>
      </c>
      <c r="Q114" s="40">
        <f>C114*Prislapp!$C$5+D114*Prislapp!$D$5+E114*Prislapp!$E$5+F114*Prislapp!$F$5+G114*Prislapp!$G$5+H114*Prislapp!$H$5+I114*Prislapp!$I$5+J114*Prislapp!$J$5+K114*Prislapp!$K$5+L114*Prislapp!$L$5+M114*Prislapp!$M$5+N114*Prislapp!$N$5</f>
        <v>6000</v>
      </c>
      <c r="R114" s="9">
        <f>VLOOKUP(A114,'Ansvar kurs'!$A$2:$B$943,2,FALSE)</f>
        <v>1620</v>
      </c>
      <c r="S114" s="157" t="s">
        <v>1276</v>
      </c>
      <c r="T114" s="157"/>
      <c r="U114" s="157"/>
      <c r="V114" s="157"/>
      <c r="W114" s="157"/>
      <c r="X114" s="157"/>
      <c r="Y114" s="157"/>
      <c r="Z114" s="157"/>
    </row>
    <row r="115" spans="1:26" x14ac:dyDescent="0.25">
      <c r="A115" s="31" t="s">
        <v>1856</v>
      </c>
      <c r="B115" s="31" t="s">
        <v>542</v>
      </c>
      <c r="D115" s="31">
        <v>1</v>
      </c>
      <c r="O115" s="40">
        <f>C115*Prislapp!$C$2+D115*Prislapp!$D$2+E115*Prislapp!$E$2+F115*Prislapp!$F$2+G115*Prislapp!$G$2+H115*Prislapp!$H$2+I115*Prislapp!$I$2+J115*Prislapp!$J$2+K115*Prislapp!$K$2+L115*Prislapp!$L$2+M115*Prislapp!$M$2+N115*Prislapp!$N$2</f>
        <v>20766</v>
      </c>
      <c r="P115" s="40">
        <f>C115*Prislapp!$C$3+D115*Prislapp!$D$3+E115*Prislapp!$E$3+F115*Prislapp!$F$3+G115*Prislapp!$G$3+H115*Prislapp!$H$3+I115*Prislapp!$I$3+J115*Prislapp!$J$3+K115*Prislapp!$K$3+M115*Prislapp!$M$3+N115*Prislapp!$N$3+L115*Prislapp!$L$3</f>
        <v>17442</v>
      </c>
      <c r="Q115" s="40">
        <f>C115*Prislapp!$C$5+D115*Prislapp!$D$5+E115*Prislapp!$E$5+F115*Prislapp!$F$5+G115*Prislapp!$G$5+H115*Prislapp!$H$5+I115*Prislapp!$I$5+J115*Prislapp!$J$5+K115*Prislapp!$K$5+L115*Prislapp!$L$5+M115*Prislapp!$M$5+N115*Prislapp!$N$5</f>
        <v>6000</v>
      </c>
      <c r="R115" s="9">
        <f>VLOOKUP(A115,'Ansvar kurs'!$A$2:$B$943,2,FALSE)</f>
        <v>1620</v>
      </c>
      <c r="S115" s="157" t="s">
        <v>1276</v>
      </c>
      <c r="T115" s="157"/>
      <c r="U115" s="157"/>
      <c r="V115" s="157"/>
      <c r="W115" s="157"/>
      <c r="X115" s="157"/>
      <c r="Y115" s="157"/>
      <c r="Z115" s="157"/>
    </row>
    <row r="116" spans="1:26" x14ac:dyDescent="0.25">
      <c r="A116" s="31" t="s">
        <v>1924</v>
      </c>
      <c r="B116" s="31" t="s">
        <v>541</v>
      </c>
      <c r="D116" s="31">
        <v>1</v>
      </c>
      <c r="O116" s="40">
        <f>C116*Prislapp!$C$2+D116*Prislapp!$D$2+E116*Prislapp!$E$2+F116*Prislapp!$F$2+G116*Prislapp!$G$2+H116*Prislapp!$H$2+I116*Prislapp!$I$2+J116*Prislapp!$J$2+K116*Prislapp!$K$2+L116*Prislapp!$L$2+M116*Prislapp!$M$2+N116*Prislapp!$N$2</f>
        <v>20766</v>
      </c>
      <c r="P116" s="40">
        <f>C116*Prislapp!$C$3+D116*Prislapp!$D$3+E116*Prislapp!$E$3+F116*Prislapp!$F$3+G116*Prislapp!$G$3+H116*Prislapp!$H$3+I116*Prislapp!$I$3+J116*Prislapp!$J$3+K116*Prislapp!$K$3+M116*Prislapp!$M$3+N116*Prislapp!$N$3+L116*Prislapp!$L$3</f>
        <v>17442</v>
      </c>
      <c r="Q116" s="40">
        <f>C116*Prislapp!$C$5+D116*Prislapp!$D$5+E116*Prislapp!$E$5+F116*Prislapp!$F$5+G116*Prislapp!$G$5+H116*Prislapp!$H$5+I116*Prislapp!$I$5+J116*Prislapp!$J$5+K116*Prislapp!$K$5+L116*Prislapp!$L$5+M116*Prislapp!$M$5+N116*Prislapp!$N$5</f>
        <v>6000</v>
      </c>
      <c r="R116" s="9">
        <f>VLOOKUP(A116,'Ansvar kurs'!$A$2:$B$943,2,FALSE)</f>
        <v>1620</v>
      </c>
      <c r="S116" s="157"/>
      <c r="T116" s="157"/>
      <c r="U116" s="157"/>
      <c r="V116" s="157"/>
      <c r="W116" s="157"/>
      <c r="X116" s="157"/>
      <c r="Y116" s="157"/>
      <c r="Z116" s="157"/>
    </row>
    <row r="117" spans="1:26" x14ac:dyDescent="0.25">
      <c r="A117" s="31" t="s">
        <v>1925</v>
      </c>
      <c r="B117" s="31" t="s">
        <v>543</v>
      </c>
      <c r="D117" s="31">
        <v>1</v>
      </c>
      <c r="O117" s="40">
        <f>C117*Prislapp!$C$2+D117*Prislapp!$D$2+E117*Prislapp!$E$2+F117*Prislapp!$F$2+G117*Prislapp!$G$2+H117*Prislapp!$H$2+I117*Prislapp!$I$2+J117*Prislapp!$J$2+K117*Prislapp!$K$2+L117*Prislapp!$L$2+M117*Prislapp!$M$2+N117*Prislapp!$N$2</f>
        <v>20766</v>
      </c>
      <c r="P117" s="40">
        <f>C117*Prislapp!$C$3+D117*Prislapp!$D$3+E117*Prislapp!$E$3+F117*Prislapp!$F$3+G117*Prislapp!$G$3+H117*Prislapp!$H$3+I117*Prislapp!$I$3+J117*Prislapp!$J$3+K117*Prislapp!$K$3+M117*Prislapp!$M$3+N117*Prislapp!$N$3+L117*Prislapp!$L$3</f>
        <v>17442</v>
      </c>
      <c r="Q117" s="40">
        <f>C117*Prislapp!$C$5+D117*Prislapp!$D$5+E117*Prislapp!$E$5+F117*Prislapp!$F$5+G117*Prislapp!$G$5+H117*Prislapp!$H$5+I117*Prislapp!$I$5+J117*Prislapp!$J$5+K117*Prislapp!$K$5+L117*Prislapp!$L$5+M117*Prislapp!$M$5+N117*Prislapp!$N$5</f>
        <v>6000</v>
      </c>
      <c r="R117" s="9">
        <f>VLOOKUP(A117,'Ansvar kurs'!$A$2:$B$943,2,FALSE)</f>
        <v>1620</v>
      </c>
      <c r="S117" s="157"/>
      <c r="T117" s="157"/>
      <c r="U117" s="157"/>
      <c r="V117" s="157"/>
      <c r="W117" s="157"/>
      <c r="X117" s="157"/>
      <c r="Y117" s="157"/>
      <c r="Z117" s="157"/>
    </row>
    <row r="118" spans="1:26" x14ac:dyDescent="0.25">
      <c r="A118" s="31" t="s">
        <v>1926</v>
      </c>
      <c r="B118" s="31" t="s">
        <v>605</v>
      </c>
      <c r="D118" s="31">
        <v>1</v>
      </c>
      <c r="O118" s="40">
        <f>C118*Prislapp!$C$2+D118*Prislapp!$D$2+E118*Prislapp!$E$2+F118*Prislapp!$F$2+G118*Prislapp!$G$2+H118*Prislapp!$H$2+I118*Prislapp!$I$2+J118*Prislapp!$J$2+K118*Prislapp!$K$2+L118*Prislapp!$L$2+M118*Prislapp!$M$2+N118*Prislapp!$N$2</f>
        <v>20766</v>
      </c>
      <c r="P118" s="40">
        <f>C118*Prislapp!$C$3+D118*Prislapp!$D$3+E118*Prislapp!$E$3+F118*Prislapp!$F$3+G118*Prislapp!$G$3+H118*Prislapp!$H$3+I118*Prislapp!$I$3+J118*Prislapp!$J$3+K118*Prislapp!$K$3+M118*Prislapp!$M$3+N118*Prislapp!$N$3+L118*Prislapp!$L$3</f>
        <v>17442</v>
      </c>
      <c r="Q118" s="40">
        <f>C118*Prislapp!$C$5+D118*Prislapp!$D$5+E118*Prislapp!$E$5+F118*Prislapp!$F$5+G118*Prislapp!$G$5+H118*Prislapp!$H$5+I118*Prislapp!$I$5+J118*Prislapp!$J$5+K118*Prislapp!$K$5+L118*Prislapp!$L$5+M118*Prislapp!$M$5+N118*Prislapp!$N$5</f>
        <v>6000</v>
      </c>
      <c r="R118" s="9">
        <f>VLOOKUP(A118,'Ansvar kurs'!$A$2:$B$943,2,FALSE)</f>
        <v>1620</v>
      </c>
      <c r="S118" s="157"/>
      <c r="T118" s="157"/>
      <c r="U118" s="157"/>
      <c r="V118" s="157"/>
      <c r="W118" s="157"/>
      <c r="X118" s="157"/>
      <c r="Y118" s="157"/>
      <c r="Z118" s="157"/>
    </row>
    <row r="119" spans="1:26" x14ac:dyDescent="0.25">
      <c r="A119" s="31" t="s">
        <v>2118</v>
      </c>
      <c r="B119" s="31" t="s">
        <v>2120</v>
      </c>
      <c r="D119" s="31">
        <v>1</v>
      </c>
      <c r="O119" s="40">
        <f>C119*Prislapp!$C$2+D119*Prislapp!$D$2+E119*Prislapp!$E$2+F119*Prislapp!$F$2+G119*Prislapp!$G$2+H119*Prislapp!$H$2+I119*Prislapp!$I$2+J119*Prislapp!$J$2+K119*Prislapp!$K$2+L119*Prislapp!$L$2+M119*Prislapp!$M$2+N119*Prislapp!$N$2</f>
        <v>20766</v>
      </c>
      <c r="P119" s="40">
        <f>C119*Prislapp!$C$3+D119*Prislapp!$D$3+E119*Prislapp!$E$3+F119*Prislapp!$F$3+G119*Prislapp!$G$3+H119*Prislapp!$H$3+I119*Prislapp!$I$3+J119*Prislapp!$J$3+K119*Prislapp!$K$3+M119*Prislapp!$M$3+N119*Prislapp!$N$3+L119*Prislapp!$L$3</f>
        <v>17442</v>
      </c>
      <c r="Q119" s="40">
        <f>C119*Prislapp!$C$5+D119*Prislapp!$D$5+E119*Prislapp!$E$5+F119*Prislapp!$F$5+G119*Prislapp!$G$5+H119*Prislapp!$H$5+I119*Prislapp!$I$5+J119*Prislapp!$J$5+K119*Prislapp!$K$5+L119*Prislapp!$L$5+M119*Prislapp!$M$5+N119*Prislapp!$N$5</f>
        <v>6000</v>
      </c>
      <c r="R119" s="9">
        <f>VLOOKUP(A119,'Ansvar kurs'!$A$2:$B$943,2,FALSE)</f>
        <v>1620</v>
      </c>
      <c r="S119" s="157"/>
      <c r="T119" s="157"/>
      <c r="U119" s="157"/>
      <c r="V119" s="157"/>
      <c r="W119" s="157"/>
      <c r="X119" s="157"/>
      <c r="Y119" s="157"/>
      <c r="Z119" s="157"/>
    </row>
    <row r="120" spans="1:26" x14ac:dyDescent="0.25">
      <c r="A120" s="31" t="s">
        <v>2071</v>
      </c>
      <c r="B120" s="31" t="s">
        <v>2076</v>
      </c>
      <c r="D120" s="31">
        <v>1</v>
      </c>
      <c r="O120" s="40">
        <f>C120*Prislapp!$C$2+D120*Prislapp!$D$2+E120*Prislapp!$E$2+F120*Prislapp!$F$2+G120*Prislapp!$G$2+H120*Prislapp!$H$2+I120*Prislapp!$I$2+J120*Prislapp!$J$2+K120*Prislapp!$K$2+L120*Prislapp!$L$2+M120*Prislapp!$M$2+N120*Prislapp!$N$2</f>
        <v>20766</v>
      </c>
      <c r="P120" s="40">
        <f>C120*Prislapp!$C$3+D120*Prislapp!$D$3+E120*Prislapp!$E$3+F120*Prislapp!$F$3+G120*Prislapp!$G$3+H120*Prislapp!$H$3+I120*Prislapp!$I$3+J120*Prislapp!$J$3+K120*Prislapp!$K$3+M120*Prislapp!$M$3+N120*Prislapp!$N$3+L120*Prislapp!$L$3</f>
        <v>17442</v>
      </c>
      <c r="Q120" s="40">
        <f>C120*Prislapp!$C$5+D120*Prislapp!$D$5+E120*Prislapp!$E$5+F120*Prislapp!$F$5+G120*Prislapp!$G$5+H120*Prislapp!$H$5+I120*Prislapp!$I$5+J120*Prislapp!$J$5+K120*Prislapp!$K$5+L120*Prislapp!$L$5+M120*Prislapp!$M$5+N120*Prislapp!$N$5</f>
        <v>6000</v>
      </c>
      <c r="R120" s="9">
        <f>VLOOKUP(A120,'Ansvar kurs'!$A$2:$B$943,2,FALSE)</f>
        <v>1620</v>
      </c>
      <c r="S120" s="157"/>
      <c r="T120" s="157"/>
      <c r="U120" s="157"/>
      <c r="V120" s="157"/>
      <c r="W120" s="157"/>
      <c r="X120" s="157"/>
      <c r="Y120" s="157"/>
      <c r="Z120" s="157"/>
    </row>
    <row r="121" spans="1:26" x14ac:dyDescent="0.25">
      <c r="A121" s="31" t="s">
        <v>2228</v>
      </c>
      <c r="B121" s="31" t="s">
        <v>2262</v>
      </c>
      <c r="D121" s="31">
        <v>1</v>
      </c>
      <c r="O121" s="40">
        <f>C121*Prislapp!$C$2+D121*Prislapp!$D$2+E121*Prislapp!$E$2+F121*Prislapp!$F$2+G121*Prislapp!$G$2+H121*Prislapp!$H$2+I121*Prislapp!$I$2+J121*Prislapp!$J$2+K121*Prislapp!$K$2+L121*Prislapp!$L$2+M121*Prislapp!$M$2+N121*Prislapp!$N$2</f>
        <v>20766</v>
      </c>
      <c r="P121" s="40">
        <f>C121*Prislapp!$C$3+D121*Prislapp!$D$3+E121*Prislapp!$E$3+F121*Prislapp!$F$3+G121*Prislapp!$G$3+H121*Prislapp!$H$3+I121*Prislapp!$I$3+J121*Prislapp!$J$3+K121*Prislapp!$K$3+M121*Prislapp!$M$3+N121*Prislapp!$N$3+L121*Prislapp!$L$3</f>
        <v>17442</v>
      </c>
      <c r="Q121" s="40">
        <f>C121*Prislapp!$C$5+D121*Prislapp!$D$5+E121*Prislapp!$E$5+F121*Prislapp!$F$5+G121*Prislapp!$G$5+H121*Prislapp!$H$5+I121*Prislapp!$I$5+J121*Prislapp!$J$5+K121*Prislapp!$K$5+L121*Prislapp!$L$5+M121*Prislapp!$M$5+N121*Prislapp!$N$5</f>
        <v>6000</v>
      </c>
      <c r="R121" s="9">
        <f>VLOOKUP(A121,'Ansvar kurs'!$A$2:$B$943,2,FALSE)</f>
        <v>1620</v>
      </c>
      <c r="S121" s="157"/>
      <c r="T121" s="157"/>
      <c r="U121" s="157"/>
      <c r="V121" s="157"/>
      <c r="W121" s="157"/>
      <c r="X121" s="157"/>
      <c r="Y121" s="157"/>
      <c r="Z121" s="157"/>
    </row>
    <row r="122" spans="1:26" x14ac:dyDescent="0.25">
      <c r="A122" s="60" t="s">
        <v>1234</v>
      </c>
      <c r="B122" s="60" t="s">
        <v>1245</v>
      </c>
      <c r="F122" s="31">
        <v>1</v>
      </c>
      <c r="L122" s="31">
        <v>0</v>
      </c>
      <c r="O122" s="40">
        <f>C122*Prislapp!$C$2+D122*Prislapp!$D$2+E122*Prislapp!$E$2+F122*Prislapp!$F$2+G122*Prislapp!$G$2+H122*Prislapp!$H$2+I122*Prislapp!$I$2+J122*Prislapp!$J$2+K122*Prislapp!$K$2+L122*Prislapp!$L$2+M122*Prislapp!$M$2+N122*Prislapp!$N$2</f>
        <v>26554</v>
      </c>
      <c r="P122" s="40">
        <f>C122*Prislapp!$C$3+D122*Prislapp!$D$3+E122*Prislapp!$E$3+F122*Prislapp!$F$3+G122*Prislapp!$G$3+H122*Prislapp!$H$3+I122*Prislapp!$I$3+J122*Prislapp!$J$3+K122*Prislapp!$K$3+M122*Prislapp!$M$3+N122*Prislapp!$N$3+L122*Prislapp!$L$3</f>
        <v>33465</v>
      </c>
      <c r="Q122" s="40">
        <f>C122*Prislapp!$C$5+D122*Prislapp!$D$5+E122*Prislapp!$E$5+F122*Prislapp!$F$5+G122*Prislapp!$G$5+H122*Prislapp!$H$5+I122*Prislapp!$I$5+J122*Prislapp!$J$5+K122*Prislapp!$K$5+L122*Prislapp!$L$5+M122*Prislapp!$M$5+N122*Prislapp!$N$5</f>
        <v>6000</v>
      </c>
      <c r="R122" s="9">
        <f>VLOOKUP(A122,'Ansvar kurs'!$A$2:$B$943,2,FALSE)</f>
        <v>1620</v>
      </c>
      <c r="S122" s="157"/>
      <c r="T122" s="157"/>
      <c r="U122" s="157"/>
      <c r="V122" s="157"/>
      <c r="W122" s="157"/>
      <c r="X122" s="157"/>
      <c r="Y122" s="157"/>
      <c r="Z122" s="157"/>
    </row>
    <row r="123" spans="1:26" x14ac:dyDescent="0.25">
      <c r="A123" s="31" t="s">
        <v>67</v>
      </c>
      <c r="B123" s="31" t="s">
        <v>662</v>
      </c>
      <c r="C123" s="31">
        <v>0.75</v>
      </c>
      <c r="K123" s="157"/>
      <c r="L123" s="157"/>
      <c r="M123" s="157">
        <v>0.25</v>
      </c>
      <c r="O123" s="40">
        <f>C123*Prislapp!$C$2+D123*Prislapp!$D$2+E123*Prislapp!$E$2+F123*Prislapp!$F$2+G123*Prislapp!$G$2+H123*Prislapp!$H$2+I123*Prislapp!$I$2+J123*Prislapp!$J$2+K123*Prislapp!$K$2+L123*Prislapp!$L$2+M123*Prislapp!$M$2+N123*Prislapp!$N$2</f>
        <v>42751.5</v>
      </c>
      <c r="P123" s="40">
        <f>C123*Prislapp!$C$3+D123*Prislapp!$D$3+E123*Prislapp!$E$3+F123*Prislapp!$F$3+G123*Prislapp!$G$3+H123*Prislapp!$H$3+I123*Prislapp!$I$3+J123*Prislapp!$J$3+K123*Prislapp!$K$3+M123*Prislapp!$M$3+N123*Prislapp!$N$3+L123*Prislapp!$L$3</f>
        <v>51300.25</v>
      </c>
      <c r="Q123" s="40">
        <f>C123*Prislapp!$C$5+D123*Prislapp!$D$5+E123*Prislapp!$E$5+F123*Prislapp!$F$5+G123*Prislapp!$G$5+H123*Prislapp!$H$5+I123*Prislapp!$I$5+J123*Prislapp!$J$5+K123*Prislapp!$K$5+L123*Prislapp!$L$5+M123*Prislapp!$M$5+N123*Prislapp!$N$5</f>
        <v>58100</v>
      </c>
      <c r="R123" s="9">
        <f>VLOOKUP(A123,'Ansvar kurs'!$A$2:$B$943,2,FALSE)</f>
        <v>1650</v>
      </c>
      <c r="S123" s="157"/>
      <c r="T123" s="157"/>
      <c r="U123" s="157"/>
      <c r="V123" s="157"/>
      <c r="W123" s="157"/>
      <c r="X123" s="157"/>
      <c r="Y123" s="157"/>
      <c r="Z123" s="157"/>
    </row>
    <row r="124" spans="1:26" x14ac:dyDescent="0.25">
      <c r="A124" s="31" t="s">
        <v>83</v>
      </c>
      <c r="B124" s="31" t="s">
        <v>663</v>
      </c>
      <c r="C124" s="31">
        <v>1</v>
      </c>
      <c r="K124" s="157"/>
      <c r="L124" s="157"/>
      <c r="M124" s="157"/>
      <c r="O124" s="40">
        <f>C124*Prislapp!$C$2+D124*Prislapp!$D$2+E124*Prislapp!$E$2+F124*Prislapp!$F$2+G124*Prislapp!$G$2+H124*Prislapp!$H$2+I124*Prislapp!$I$2+J124*Prislapp!$J$2+K124*Prislapp!$K$2+L124*Prislapp!$L$2+M124*Prislapp!$M$2+N124*Prislapp!$N$2</f>
        <v>51362</v>
      </c>
      <c r="P124" s="40">
        <f>C124*Prislapp!$C$3+D124*Prislapp!$D$3+E124*Prislapp!$E$3+F124*Prislapp!$F$3+G124*Prislapp!$G$3+H124*Prislapp!$H$3+I124*Prislapp!$I$3+J124*Prislapp!$J$3+K124*Prislapp!$K$3+M124*Prislapp!$M$3+N124*Prislapp!$N$3+L124*Prislapp!$L$3</f>
        <v>59096</v>
      </c>
      <c r="Q124" s="40">
        <f>C124*Prislapp!$C$5+D124*Prislapp!$D$5+E124*Prislapp!$E$5+F124*Prislapp!$F$5+G124*Prislapp!$G$5+H124*Prislapp!$H$5+I124*Prislapp!$I$5+J124*Prislapp!$J$5+K124*Prislapp!$K$5+L124*Prislapp!$L$5+M124*Prislapp!$M$5+N124*Prislapp!$N$5</f>
        <v>71500</v>
      </c>
      <c r="R124" s="9">
        <f>VLOOKUP(A124,'Ansvar kurs'!$A$2:$B$943,2,FALSE)</f>
        <v>1650</v>
      </c>
      <c r="S124" s="157"/>
      <c r="T124" s="157"/>
      <c r="U124" s="157"/>
      <c r="V124" s="157"/>
      <c r="W124" s="157"/>
      <c r="X124" s="157"/>
      <c r="Y124" s="157"/>
      <c r="Z124" s="157"/>
    </row>
    <row r="125" spans="1:26" x14ac:dyDescent="0.25">
      <c r="A125" s="31" t="s">
        <v>336</v>
      </c>
      <c r="B125" s="31" t="s">
        <v>664</v>
      </c>
      <c r="C125" s="31">
        <v>0.75</v>
      </c>
      <c r="M125" s="31">
        <v>0.25</v>
      </c>
      <c r="O125" s="40">
        <f>C125*Prislapp!$C$2+D125*Prislapp!$D$2+E125*Prislapp!$E$2+F125*Prislapp!$F$2+G125*Prislapp!$G$2+H125*Prislapp!$H$2+I125*Prislapp!$I$2+J125*Prislapp!$J$2+K125*Prislapp!$K$2+L125*Prislapp!$L$2+M125*Prislapp!$M$2+N125*Prislapp!$N$2</f>
        <v>42751.5</v>
      </c>
      <c r="P125" s="40">
        <f>C125*Prislapp!$C$3+D125*Prislapp!$D$3+E125*Prislapp!$E$3+F125*Prislapp!$F$3+G125*Prislapp!$G$3+H125*Prislapp!$H$3+I125*Prislapp!$I$3+J125*Prislapp!$J$3+K125*Prislapp!$K$3+M125*Prislapp!$M$3+N125*Prislapp!$N$3+L125*Prislapp!$L$3</f>
        <v>51300.25</v>
      </c>
      <c r="Q125" s="40">
        <f>C125*Prislapp!$C$5+D125*Prislapp!$D$5+E125*Prislapp!$E$5+F125*Prislapp!$F$5+G125*Prislapp!$G$5+H125*Prislapp!$H$5+I125*Prislapp!$I$5+J125*Prislapp!$J$5+K125*Prislapp!$K$5+L125*Prislapp!$L$5+M125*Prislapp!$M$5+N125*Prislapp!$N$5</f>
        <v>58100</v>
      </c>
      <c r="R125" s="9">
        <f>VLOOKUP(A125,'Ansvar kurs'!$A$2:$B$943,2,FALSE)</f>
        <v>1650</v>
      </c>
      <c r="S125" s="157"/>
      <c r="T125" s="157"/>
      <c r="U125" s="157"/>
      <c r="V125" s="157"/>
      <c r="W125" s="157"/>
      <c r="X125" s="157"/>
      <c r="Y125" s="157"/>
      <c r="Z125" s="157"/>
    </row>
    <row r="126" spans="1:26" x14ac:dyDescent="0.25">
      <c r="A126" s="31" t="s">
        <v>65</v>
      </c>
      <c r="B126" s="31" t="s">
        <v>125</v>
      </c>
      <c r="I126" s="31">
        <v>1</v>
      </c>
      <c r="O126" s="40">
        <f>C126*Prislapp!$C$2+D126*Prislapp!$D$2+E126*Prislapp!$E$2+F126*Prislapp!$F$2+G126*Prislapp!$G$2+H126*Prislapp!$H$2+I126*Prislapp!$I$2+J126*Prislapp!$J$2+K126*Prislapp!$K$2+L126*Prislapp!$L$2+M126*Prislapp!$M$2+N126*Prislapp!$N$2</f>
        <v>20766</v>
      </c>
      <c r="P126" s="40">
        <f>C126*Prislapp!$C$3+D126*Prislapp!$D$3+E126*Prislapp!$E$3+F126*Prislapp!$F$3+G126*Prislapp!$G$3+H126*Prislapp!$H$3+I126*Prislapp!$I$3+J126*Prislapp!$J$3+K126*Prislapp!$K$3+M126*Prislapp!$M$3+N126*Prislapp!$N$3+L126*Prislapp!$L$3</f>
        <v>17442</v>
      </c>
      <c r="Q126" s="40">
        <f>C126*Prislapp!$C$5+D126*Prislapp!$D$5+E126*Prislapp!$E$5+F126*Prislapp!$F$5+G126*Prislapp!$G$5+H126*Prislapp!$H$5+I126*Prislapp!$I$5+J126*Prislapp!$J$5+K126*Prislapp!$K$5+L126*Prislapp!$L$5+M126*Prislapp!$M$5+N126*Prislapp!$N$5</f>
        <v>6000</v>
      </c>
      <c r="R126" s="9">
        <f>VLOOKUP(A126,'Ansvar kurs'!$A$2:$B$943,2,FALSE)</f>
        <v>1650</v>
      </c>
      <c r="S126" s="157"/>
      <c r="T126" s="157"/>
      <c r="U126" s="157"/>
      <c r="V126" s="157"/>
      <c r="W126" s="157"/>
      <c r="X126" s="157"/>
      <c r="Y126" s="157"/>
      <c r="Z126" s="157"/>
    </row>
    <row r="127" spans="1:26" x14ac:dyDescent="0.25">
      <c r="A127" s="60" t="s">
        <v>2104</v>
      </c>
      <c r="B127" s="60" t="s">
        <v>2116</v>
      </c>
      <c r="I127" s="370">
        <v>1</v>
      </c>
      <c r="O127" s="40">
        <f>C127*Prislapp!$C$2+D127*Prislapp!$D$2+E127*Prislapp!$E$2+F127*Prislapp!$F$2+G127*Prislapp!$G$2+H127*Prislapp!$H$2+I127*Prislapp!$I$2+J127*Prislapp!$J$2+K127*Prislapp!$K$2+L127*Prislapp!$L$2+M127*Prislapp!$M$2+N127*Prislapp!$N$2</f>
        <v>20766</v>
      </c>
      <c r="P127" s="40">
        <f>C127*Prislapp!$C$3+D127*Prislapp!$D$3+E127*Prislapp!$E$3+F127*Prislapp!$F$3+G127*Prislapp!$G$3+H127*Prislapp!$H$3+I127*Prislapp!$I$3+J127*Prislapp!$J$3+K127*Prislapp!$K$3+M127*Prislapp!$M$3+N127*Prislapp!$N$3+L127*Prislapp!$L$3</f>
        <v>17442</v>
      </c>
      <c r="Q127" s="40">
        <f>C127*Prislapp!$C$5+D127*Prislapp!$D$5+E127*Prislapp!$E$5+F127*Prislapp!$F$5+G127*Prislapp!$G$5+H127*Prislapp!$H$5+I127*Prislapp!$I$5+J127*Prislapp!$J$5+K127*Prislapp!$K$5+L127*Prislapp!$L$5+M127*Prislapp!$M$5+N127*Prislapp!$N$5</f>
        <v>6000</v>
      </c>
      <c r="R127" s="9">
        <f>VLOOKUP(A127,'Ansvar kurs'!$A$2:$B$943,2,FALSE)</f>
        <v>1650</v>
      </c>
      <c r="S127" s="157" t="s">
        <v>2135</v>
      </c>
      <c r="T127" s="157"/>
      <c r="U127" s="157"/>
      <c r="V127" s="157"/>
      <c r="W127" s="157"/>
      <c r="X127" s="157"/>
      <c r="Y127" s="157"/>
      <c r="Z127" s="157"/>
    </row>
    <row r="128" spans="1:26" x14ac:dyDescent="0.25">
      <c r="A128" s="31" t="s">
        <v>400</v>
      </c>
      <c r="B128" s="31" t="s">
        <v>665</v>
      </c>
      <c r="C128" s="31">
        <v>0.75</v>
      </c>
      <c r="D128" s="31">
        <v>0.25</v>
      </c>
      <c r="F128" s="31">
        <v>0</v>
      </c>
      <c r="O128" s="40">
        <f>C128*Prislapp!$C$2+D128*Prislapp!$D$2+E128*Prislapp!$E$2+F128*Prislapp!$F$2+G128*Prislapp!$G$2+H128*Prislapp!$H$2+I128*Prislapp!$I$2+J128*Prislapp!$J$2+K128*Prislapp!$K$2+L128*Prislapp!$L$2+M128*Prislapp!$M$2+N128*Prislapp!$N$2</f>
        <v>43713</v>
      </c>
      <c r="P128" s="40">
        <f>C128*Prislapp!$C$3+D128*Prislapp!$D$3+E128*Prislapp!$E$3+F128*Prislapp!$F$3+G128*Prislapp!$G$3+H128*Prislapp!$H$3+I128*Prislapp!$I$3+J128*Prislapp!$J$3+K128*Prislapp!$K$3+M128*Prislapp!$M$3+N128*Prislapp!$N$3+L128*Prislapp!$L$3</f>
        <v>48682.5</v>
      </c>
      <c r="Q128" s="40">
        <f>C128*Prislapp!$C$5+D128*Prislapp!$D$5+E128*Prislapp!$E$5+F128*Prislapp!$F$5+G128*Prislapp!$G$5+H128*Prislapp!$H$5+I128*Prislapp!$I$5+J128*Prislapp!$J$5+K128*Prislapp!$K$5+L128*Prislapp!$L$5+M128*Prislapp!$M$5+N128*Prislapp!$N$5</f>
        <v>55125</v>
      </c>
      <c r="R128" s="9">
        <f>VLOOKUP(A128,'Ansvar kurs'!$A$2:$B$943,2,FALSE)</f>
        <v>1650</v>
      </c>
      <c r="S128" s="176" t="s">
        <v>1401</v>
      </c>
      <c r="T128" s="157"/>
      <c r="U128" s="157"/>
      <c r="V128" s="157"/>
      <c r="W128" s="157"/>
      <c r="X128" s="157"/>
      <c r="Y128" s="157"/>
      <c r="Z128" s="157"/>
    </row>
    <row r="129" spans="1:26" x14ac:dyDescent="0.25">
      <c r="A129" s="31" t="s">
        <v>475</v>
      </c>
      <c r="B129" s="31" t="s">
        <v>666</v>
      </c>
      <c r="C129" s="31">
        <v>1</v>
      </c>
      <c r="O129" s="40">
        <f>C129*Prislapp!$C$2+D129*Prislapp!$D$2+E129*Prislapp!$E$2+F129*Prislapp!$F$2+G129*Prislapp!$G$2+H129*Prislapp!$H$2+I129*Prislapp!$I$2+J129*Prislapp!$J$2+K129*Prislapp!$K$2+L129*Prislapp!$L$2+M129*Prislapp!$M$2+N129*Prislapp!$N$2</f>
        <v>51362</v>
      </c>
      <c r="P129" s="40">
        <f>C129*Prislapp!$C$3+D129*Prislapp!$D$3+E129*Prislapp!$E$3+F129*Prislapp!$F$3+G129*Prislapp!$G$3+H129*Prislapp!$H$3+I129*Prislapp!$I$3+J129*Prislapp!$J$3+K129*Prislapp!$K$3+M129*Prislapp!$M$3+N129*Prislapp!$N$3+L129*Prislapp!$L$3</f>
        <v>59096</v>
      </c>
      <c r="Q129" s="40">
        <f>C129*Prislapp!$C$5+D129*Prislapp!$D$5+E129*Prislapp!$E$5+F129*Prislapp!$F$5+G129*Prislapp!$G$5+H129*Prislapp!$H$5+I129*Prislapp!$I$5+J129*Prislapp!$J$5+K129*Prislapp!$K$5+L129*Prislapp!$L$5+M129*Prislapp!$M$5+N129*Prislapp!$N$5</f>
        <v>71500</v>
      </c>
      <c r="R129" s="9">
        <f>VLOOKUP(A129,'Ansvar kurs'!$A$2:$B$943,2,FALSE)</f>
        <v>1650</v>
      </c>
      <c r="S129" s="157"/>
      <c r="T129" s="157"/>
      <c r="U129" s="157"/>
      <c r="V129" s="157"/>
      <c r="W129" s="157"/>
      <c r="X129" s="157"/>
      <c r="Y129" s="157"/>
      <c r="Z129" s="157"/>
    </row>
    <row r="130" spans="1:26" x14ac:dyDescent="0.25">
      <c r="A130" s="31" t="s">
        <v>524</v>
      </c>
      <c r="B130" s="31" t="s">
        <v>537</v>
      </c>
      <c r="C130" s="31">
        <v>1</v>
      </c>
      <c r="O130" s="40">
        <f>C130*Prislapp!$C$2+D130*Prislapp!$D$2+E130*Prislapp!$E$2+F130*Prislapp!$F$2+G130*Prislapp!$G$2+H130*Prislapp!$H$2+I130*Prislapp!$I$2+J130*Prislapp!$J$2+K130*Prislapp!$K$2+L130*Prislapp!$L$2+M130*Prislapp!$M$2+N130*Prislapp!$N$2</f>
        <v>51362</v>
      </c>
      <c r="P130" s="40">
        <f>C130*Prislapp!$C$3+D130*Prislapp!$D$3+E130*Prislapp!$E$3+F130*Prislapp!$F$3+G130*Prislapp!$G$3+H130*Prislapp!$H$3+I130*Prislapp!$I$3+J130*Prislapp!$J$3+K130*Prislapp!$K$3+M130*Prislapp!$M$3+N130*Prislapp!$N$3+L130*Prislapp!$L$3</f>
        <v>59096</v>
      </c>
      <c r="Q130" s="40">
        <f>C130*Prislapp!$C$5+D130*Prislapp!$D$5+E130*Prislapp!$E$5+F130*Prislapp!$F$5+G130*Prislapp!$G$5+H130*Prislapp!$H$5+I130*Prislapp!$I$5+J130*Prislapp!$J$5+K130*Prislapp!$K$5+L130*Prislapp!$L$5+M130*Prislapp!$M$5+N130*Prislapp!$N$5</f>
        <v>71500</v>
      </c>
      <c r="R130" s="9">
        <f>VLOOKUP(A130,'Ansvar kurs'!$A$2:$B$943,2,FALSE)</f>
        <v>1650</v>
      </c>
      <c r="S130" s="157"/>
      <c r="T130" s="157"/>
      <c r="U130" s="157"/>
      <c r="V130" s="157"/>
      <c r="W130" s="157"/>
      <c r="X130" s="157"/>
      <c r="Y130" s="157"/>
      <c r="Z130" s="157"/>
    </row>
    <row r="131" spans="1:26" x14ac:dyDescent="0.25">
      <c r="A131" s="60" t="s">
        <v>2085</v>
      </c>
      <c r="B131" s="60" t="s">
        <v>536</v>
      </c>
      <c r="C131" s="31">
        <v>1</v>
      </c>
      <c r="O131" s="40">
        <f>C131*Prislapp!$C$2+D131*Prislapp!$D$2+E131*Prislapp!$E$2+F131*Prislapp!$F$2+G131*Prislapp!$G$2+H131*Prislapp!$H$2+I131*Prislapp!$I$2+J131*Prislapp!$J$2+K131*Prislapp!$K$2+L131*Prislapp!$L$2+M131*Prislapp!$M$2+N131*Prislapp!$N$2</f>
        <v>51362</v>
      </c>
      <c r="P131" s="40">
        <f>C131*Prislapp!$C$3+D131*Prislapp!$D$3+E131*Prislapp!$E$3+F131*Prislapp!$F$3+G131*Prislapp!$G$3+H131*Prislapp!$H$3+I131*Prislapp!$I$3+J131*Prislapp!$J$3+K131*Prislapp!$K$3+M131*Prislapp!$M$3+N131*Prislapp!$N$3+L131*Prislapp!$L$3</f>
        <v>59096</v>
      </c>
      <c r="Q131" s="40">
        <f>C131*Prislapp!$C$5+D131*Prislapp!$D$5+E131*Prislapp!$E$5+F131*Prislapp!$F$5+G131*Prislapp!$G$5+H131*Prislapp!$H$5+I131*Prislapp!$I$5+J131*Prislapp!$J$5+K131*Prislapp!$K$5+L131*Prislapp!$L$5+M131*Prislapp!$M$5+N131*Prislapp!$N$5</f>
        <v>71500</v>
      </c>
      <c r="R131" s="9">
        <f>VLOOKUP(A131,'Ansvar kurs'!$A$2:$B$943,2,FALSE)</f>
        <v>1650</v>
      </c>
      <c r="S131" s="157"/>
      <c r="T131" s="157"/>
      <c r="U131" s="157"/>
      <c r="V131" s="157"/>
      <c r="W131" s="157"/>
      <c r="X131" s="157"/>
      <c r="Y131" s="157"/>
      <c r="Z131" s="157"/>
    </row>
    <row r="132" spans="1:26" x14ac:dyDescent="0.25">
      <c r="A132" s="31" t="s">
        <v>492</v>
      </c>
      <c r="B132" s="31" t="s">
        <v>534</v>
      </c>
      <c r="C132" s="31">
        <v>1</v>
      </c>
      <c r="O132" s="40">
        <f>C132*Prislapp!$C$2+D132*Prislapp!$D$2+E132*Prislapp!$E$2+F132*Prislapp!$F$2+G132*Prislapp!$G$2+H132*Prislapp!$H$2+I132*Prislapp!$I$2+J132*Prislapp!$J$2+K132*Prislapp!$K$2+L132*Prislapp!$L$2+M132*Prislapp!$M$2+N132*Prislapp!$N$2</f>
        <v>51362</v>
      </c>
      <c r="P132" s="40">
        <f>C132*Prislapp!$C$3+D132*Prislapp!$D$3+E132*Prislapp!$E$3+F132*Prislapp!$F$3+G132*Prislapp!$G$3+H132*Prislapp!$H$3+I132*Prislapp!$I$3+J132*Prislapp!$J$3+K132*Prislapp!$K$3+M132*Prislapp!$M$3+N132*Prislapp!$N$3+L132*Prislapp!$L$3</f>
        <v>59096</v>
      </c>
      <c r="Q132" s="40">
        <f>C132*Prislapp!$C$5+D132*Prislapp!$D$5+E132*Prislapp!$E$5+F132*Prislapp!$F$5+G132*Prislapp!$G$5+H132*Prislapp!$H$5+I132*Prislapp!$I$5+J132*Prislapp!$J$5+K132*Prislapp!$K$5+L132*Prislapp!$L$5+M132*Prislapp!$M$5+N132*Prislapp!$N$5</f>
        <v>71500</v>
      </c>
      <c r="R132" s="9">
        <f>VLOOKUP(A132,'Ansvar kurs'!$A$2:$B$943,2,FALSE)</f>
        <v>1650</v>
      </c>
      <c r="S132" s="157"/>
      <c r="T132" s="157"/>
      <c r="U132" s="157"/>
      <c r="V132" s="157"/>
      <c r="W132" s="157"/>
      <c r="X132" s="157"/>
      <c r="Y132" s="157"/>
      <c r="Z132" s="157"/>
    </row>
    <row r="133" spans="1:26" x14ac:dyDescent="0.25">
      <c r="A133" s="31" t="s">
        <v>493</v>
      </c>
      <c r="B133" s="31" t="s">
        <v>535</v>
      </c>
      <c r="C133" s="31">
        <v>1</v>
      </c>
      <c r="O133" s="40">
        <f>C133*Prislapp!$C$2+D133*Prislapp!$D$2+E133*Prislapp!$E$2+F133*Prislapp!$F$2+G133*Prislapp!$G$2+H133*Prislapp!$H$2+I133*Prislapp!$I$2+J133*Prislapp!$J$2+K133*Prislapp!$K$2+L133*Prislapp!$L$2+M133*Prislapp!$M$2+N133*Prislapp!$N$2</f>
        <v>51362</v>
      </c>
      <c r="P133" s="40">
        <f>C133*Prislapp!$C$3+D133*Prislapp!$D$3+E133*Prislapp!$E$3+F133*Prislapp!$F$3+G133*Prislapp!$G$3+H133*Prislapp!$H$3+I133*Prislapp!$I$3+J133*Prislapp!$J$3+K133*Prislapp!$K$3+M133*Prislapp!$M$3+N133*Prislapp!$N$3+L133*Prislapp!$L$3</f>
        <v>59096</v>
      </c>
      <c r="Q133" s="40">
        <f>C133*Prislapp!$C$5+D133*Prislapp!$D$5+E133*Prislapp!$E$5+F133*Prislapp!$F$5+G133*Prislapp!$G$5+H133*Prislapp!$H$5+I133*Prislapp!$I$5+J133*Prislapp!$J$5+K133*Prislapp!$K$5+L133*Prislapp!$L$5+M133*Prislapp!$M$5+N133*Prislapp!$N$5</f>
        <v>71500</v>
      </c>
      <c r="R133" s="9">
        <f>VLOOKUP(A133,'Ansvar kurs'!$A$2:$B$943,2,FALSE)</f>
        <v>1650</v>
      </c>
      <c r="S133" s="157"/>
      <c r="T133" s="157"/>
      <c r="U133" s="157"/>
      <c r="V133" s="157"/>
      <c r="W133" s="157"/>
      <c r="X133" s="157"/>
      <c r="Y133" s="157"/>
      <c r="Z133" s="157"/>
    </row>
    <row r="134" spans="1:26" x14ac:dyDescent="0.25">
      <c r="A134" s="221" t="s">
        <v>579</v>
      </c>
      <c r="B134" s="31" t="s">
        <v>606</v>
      </c>
      <c r="C134" s="31">
        <v>1</v>
      </c>
      <c r="O134" s="40">
        <f>C134*Prislapp!$C$2+D134*Prislapp!$D$2+E134*Prislapp!$E$2+F134*Prislapp!$F$2+G134*Prislapp!$G$2+H134*Prislapp!$H$2+I134*Prislapp!$I$2+J134*Prislapp!$J$2+K134*Prislapp!$K$2+L134*Prislapp!$L$2+M134*Prislapp!$M$2+N134*Prislapp!$N$2</f>
        <v>51362</v>
      </c>
      <c r="P134" s="40">
        <f>C134*Prislapp!$C$3+D134*Prislapp!$D$3+E134*Prislapp!$E$3+F134*Prislapp!$F$3+G134*Prislapp!$G$3+H134*Prislapp!$H$3+I134*Prislapp!$I$3+J134*Prislapp!$J$3+K134*Prislapp!$K$3+M134*Prislapp!$M$3+N134*Prislapp!$N$3+L134*Prislapp!$L$3</f>
        <v>59096</v>
      </c>
      <c r="Q134" s="40">
        <f>C134*Prislapp!$C$5+D134*Prislapp!$D$5+E134*Prislapp!$E$5+F134*Prislapp!$F$5+G134*Prislapp!$G$5+H134*Prislapp!$H$5+I134*Prislapp!$I$5+J134*Prislapp!$J$5+K134*Prislapp!$K$5+L134*Prislapp!$L$5+M134*Prislapp!$M$5+N134*Prislapp!$N$5</f>
        <v>71500</v>
      </c>
      <c r="R134" s="9">
        <f>VLOOKUP(A134,'Ansvar kurs'!$A$2:$B$943,2,FALSE)</f>
        <v>1650</v>
      </c>
      <c r="S134" s="157"/>
      <c r="T134" s="157"/>
      <c r="U134" s="157"/>
      <c r="V134" s="157"/>
      <c r="W134" s="157"/>
      <c r="X134" s="157"/>
      <c r="Y134" s="157"/>
      <c r="Z134" s="157"/>
    </row>
    <row r="135" spans="1:26" x14ac:dyDescent="0.25">
      <c r="A135" s="221" t="s">
        <v>1005</v>
      </c>
      <c r="B135" s="31" t="s">
        <v>1038</v>
      </c>
      <c r="K135" s="31">
        <v>1</v>
      </c>
      <c r="O135" s="40">
        <f>C135*Prislapp!$C$2+D135*Prislapp!$D$2+E135*Prislapp!$E$2+F135*Prislapp!$F$2+G135*Prislapp!$G$2+H135*Prislapp!$H$2+I135*Prislapp!$I$2+J135*Prislapp!$J$2+K135*Prislapp!$K$2+L135*Prislapp!$L$2+M135*Prislapp!$M$2+N135*Prislapp!$N$2</f>
        <v>25235</v>
      </c>
      <c r="P135" s="40">
        <f>C135*Prislapp!$C$3+D135*Prislapp!$D$3+E135*Prislapp!$E$3+F135*Prislapp!$F$3+G135*Prislapp!$G$3+H135*Prislapp!$H$3+I135*Prislapp!$I$3+J135*Prislapp!$J$3+K135*Prislapp!$K$3+M135*Prislapp!$M$3+N135*Prislapp!$N$3+L135*Prislapp!$L$3</f>
        <v>27976</v>
      </c>
      <c r="Q135" s="40">
        <f>C135*Prislapp!$C$5+D135*Prislapp!$D$5+E135*Prislapp!$E$5+F135*Prislapp!$F$5+G135*Prislapp!$G$5+H135*Prislapp!$H$5+I135*Prislapp!$I$5+J135*Prislapp!$J$5+K135*Prislapp!$K$5+L135*Prislapp!$L$5+M135*Prislapp!$M$5+N135*Prislapp!$N$5</f>
        <v>3600</v>
      </c>
      <c r="R135" s="9">
        <f>VLOOKUP(A135,'Ansvar kurs'!$A$2:$B$943,2,FALSE)</f>
        <v>1650</v>
      </c>
      <c r="S135" s="157" t="s">
        <v>1260</v>
      </c>
      <c r="T135" s="157" t="s">
        <v>1087</v>
      </c>
      <c r="U135" s="157"/>
      <c r="V135" s="157"/>
      <c r="W135" s="157"/>
      <c r="X135" s="157"/>
      <c r="Y135" s="157"/>
      <c r="Z135" s="157"/>
    </row>
    <row r="136" spans="1:26" x14ac:dyDescent="0.25">
      <c r="A136" s="221" t="s">
        <v>1006</v>
      </c>
      <c r="B136" s="31" t="s">
        <v>1136</v>
      </c>
      <c r="D136" s="31">
        <v>1</v>
      </c>
      <c r="O136" s="40">
        <f>C136*Prislapp!$C$2+D136*Prislapp!$D$2+E136*Prislapp!$E$2+F136*Prislapp!$F$2+G136*Prislapp!$G$2+H136*Prislapp!$H$2+I136*Prislapp!$I$2+J136*Prislapp!$J$2+K136*Prislapp!$K$2+L136*Prislapp!$L$2+M136*Prislapp!$M$2+N136*Prislapp!$N$2</f>
        <v>20766</v>
      </c>
      <c r="P136" s="40">
        <f>C136*Prislapp!$C$3+D136*Prislapp!$D$3+E136*Prislapp!$E$3+F136*Prislapp!$F$3+G136*Prislapp!$G$3+H136*Prislapp!$H$3+I136*Prislapp!$I$3+J136*Prislapp!$J$3+K136*Prislapp!$K$3+M136*Prislapp!$M$3+N136*Prislapp!$N$3+L136*Prislapp!$L$3</f>
        <v>17442</v>
      </c>
      <c r="Q136" s="40">
        <f>C136*Prislapp!$C$5+D136*Prislapp!$D$5+E136*Prislapp!$E$5+F136*Prislapp!$F$5+G136*Prislapp!$G$5+H136*Prislapp!$H$5+I136*Prislapp!$I$5+J136*Prislapp!$J$5+K136*Prislapp!$K$5+L136*Prislapp!$L$5+M136*Prislapp!$M$5+N136*Prislapp!$N$5</f>
        <v>6000</v>
      </c>
      <c r="R136" s="9">
        <f>VLOOKUP(A136,'Ansvar kurs'!$A$2:$B$943,2,FALSE)</f>
        <v>1650</v>
      </c>
      <c r="S136" s="157" t="s">
        <v>1276</v>
      </c>
      <c r="T136" s="157"/>
      <c r="U136" s="157"/>
      <c r="V136" s="157"/>
      <c r="W136" s="157"/>
      <c r="X136" s="157"/>
      <c r="Y136" s="157"/>
      <c r="Z136" s="157"/>
    </row>
    <row r="137" spans="1:26" x14ac:dyDescent="0.25">
      <c r="A137" s="222" t="s">
        <v>1235</v>
      </c>
      <c r="B137" s="60" t="s">
        <v>1246</v>
      </c>
      <c r="L137" s="31">
        <v>1</v>
      </c>
      <c r="O137" s="40">
        <f>C137*Prislapp!$C$2+D137*Prislapp!$D$2+E137*Prislapp!$E$2+F137*Prislapp!$F$2+G137*Prislapp!$G$2+H137*Prislapp!$H$2+I137*Prislapp!$I$2+J137*Prislapp!$J$2+K137*Prislapp!$K$2+L137*Prislapp!$L$2+M137*Prislapp!$M$2+N137*Prislapp!$N$2</f>
        <v>20766</v>
      </c>
      <c r="P137" s="40">
        <f>C137*Prislapp!$C$3+D137*Prislapp!$D$3+E137*Prislapp!$E$3+F137*Prislapp!$F$3+G137*Prislapp!$G$3+H137*Prislapp!$H$3+I137*Prislapp!$I$3+J137*Prislapp!$J$3+K137*Prislapp!$K$3+M137*Prislapp!$M$3+N137*Prislapp!$N$3+L137*Prislapp!$L$3</f>
        <v>17442</v>
      </c>
      <c r="Q137" s="40">
        <f>C137*Prislapp!$C$5+D137*Prislapp!$D$5+E137*Prislapp!$E$5+F137*Prislapp!$F$5+G137*Prislapp!$G$5+H137*Prislapp!$H$5+I137*Prislapp!$I$5+J137*Prislapp!$J$5+K137*Prislapp!$K$5+L137*Prislapp!$L$5+M137*Prislapp!$M$5+N137*Prislapp!$N$5</f>
        <v>6000</v>
      </c>
      <c r="R137" s="9">
        <f>VLOOKUP(A137,'Ansvar kurs'!$A$2:$B$943,2,FALSE)</f>
        <v>1650</v>
      </c>
      <c r="S137" s="157"/>
      <c r="T137" s="157"/>
      <c r="U137" s="157"/>
      <c r="V137" s="157"/>
      <c r="W137" s="157"/>
      <c r="X137" s="157"/>
      <c r="Y137" s="157"/>
      <c r="Z137" s="157"/>
    </row>
    <row r="138" spans="1:26" x14ac:dyDescent="0.25">
      <c r="A138" s="31" t="s">
        <v>580</v>
      </c>
      <c r="B138" s="31" t="s">
        <v>1137</v>
      </c>
      <c r="K138" s="31">
        <v>1</v>
      </c>
      <c r="O138" s="40">
        <f>C138*Prislapp!$C$2+D138*Prislapp!$D$2+E138*Prislapp!$E$2+F138*Prislapp!$F$2+G138*Prislapp!$G$2+H138*Prislapp!$H$2+I138*Prislapp!$I$2+J138*Prislapp!$J$2+K138*Prislapp!$K$2+L138*Prislapp!$L$2+M138*Prislapp!$M$2+N138*Prislapp!$N$2</f>
        <v>25235</v>
      </c>
      <c r="P138" s="40">
        <f>C138*Prislapp!$C$3+D138*Prislapp!$D$3+E138*Prislapp!$E$3+F138*Prislapp!$F$3+G138*Prislapp!$G$3+H138*Prislapp!$H$3+I138*Prislapp!$I$3+J138*Prislapp!$J$3+K138*Prislapp!$K$3+M138*Prislapp!$M$3+N138*Prislapp!$N$3+L138*Prislapp!$L$3</f>
        <v>27976</v>
      </c>
      <c r="Q138" s="40">
        <f>C138*Prislapp!$C$5+D138*Prislapp!$D$5+E138*Prislapp!$E$5+F138*Prislapp!$F$5+G138*Prislapp!$G$5+H138*Prislapp!$H$5+I138*Prislapp!$I$5+J138*Prislapp!$J$5+K138*Prislapp!$K$5+L138*Prislapp!$L$5+M138*Prislapp!$M$5+N138*Prislapp!$N$5</f>
        <v>3600</v>
      </c>
      <c r="R138" s="9">
        <f>VLOOKUP(A138,'Ansvar kurs'!$A$2:$B$943,2,FALSE)</f>
        <v>1650</v>
      </c>
      <c r="S138" s="157"/>
      <c r="T138" s="157"/>
      <c r="U138" s="157"/>
      <c r="V138" s="157"/>
      <c r="W138" s="157"/>
      <c r="X138" s="157"/>
      <c r="Y138" s="157"/>
      <c r="Z138" s="157"/>
    </row>
    <row r="139" spans="1:26" x14ac:dyDescent="0.25">
      <c r="A139" s="60" t="s">
        <v>823</v>
      </c>
      <c r="B139" s="31" t="s">
        <v>826</v>
      </c>
      <c r="M139" s="31">
        <v>1</v>
      </c>
      <c r="O139" s="40">
        <f>C139*Prislapp!$C$2+D139*Prislapp!$D$2+E139*Prislapp!$E$2+F139*Prislapp!$F$2+G139*Prislapp!$G$2+H139*Prislapp!$H$2+I139*Prislapp!$I$2+J139*Prislapp!$J$2+K139*Prislapp!$K$2+L139*Prislapp!$L$2+M139*Prislapp!$M$2+N139*Prislapp!$N$2</f>
        <v>16920</v>
      </c>
      <c r="P139" s="40">
        <f>C139*Prislapp!$C$3+D139*Prislapp!$D$3+E139*Prislapp!$E$3+F139*Prislapp!$F$3+G139*Prislapp!$G$3+H139*Prislapp!$H$3+I139*Prislapp!$I$3+J139*Prislapp!$J$3+K139*Prislapp!$K$3+M139*Prislapp!$M$3+N139*Prislapp!$N$3+L139*Prislapp!$L$3</f>
        <v>27913</v>
      </c>
      <c r="Q139" s="40">
        <f>C139*Prislapp!$C$5+D139*Prislapp!$D$5+E139*Prislapp!$E$5+F139*Prislapp!$F$5+G139*Prislapp!$G$5+H139*Prislapp!$H$5+I139*Prislapp!$I$5+J139*Prislapp!$J$5+K139*Prislapp!$K$5+L139*Prislapp!$L$5+M139*Prislapp!$M$5+N139*Prislapp!$N$5</f>
        <v>17900</v>
      </c>
      <c r="R139" s="9">
        <f>VLOOKUP(A139,'Ansvar kurs'!$A$2:$B$943,2,FALSE)</f>
        <v>1650</v>
      </c>
      <c r="S139" s="157"/>
      <c r="T139" s="157"/>
      <c r="U139" s="157"/>
      <c r="V139" s="157"/>
      <c r="W139" s="157"/>
      <c r="X139" s="157"/>
      <c r="Y139" s="157"/>
      <c r="Z139" s="157"/>
    </row>
    <row r="140" spans="1:26" x14ac:dyDescent="0.25">
      <c r="A140" s="60" t="s">
        <v>824</v>
      </c>
      <c r="B140" s="31" t="s">
        <v>827</v>
      </c>
      <c r="M140" s="31">
        <v>1</v>
      </c>
      <c r="O140" s="40">
        <f>C140*Prislapp!$C$2+D140*Prislapp!$D$2+E140*Prislapp!$E$2+F140*Prislapp!$F$2+G140*Prislapp!$G$2+H140*Prislapp!$H$2+I140*Prislapp!$I$2+J140*Prislapp!$J$2+K140*Prislapp!$K$2+L140*Prislapp!$L$2+M140*Prislapp!$M$2+N140*Prislapp!$N$2</f>
        <v>16920</v>
      </c>
      <c r="P140" s="40">
        <f>C140*Prislapp!$C$3+D140*Prislapp!$D$3+E140*Prislapp!$E$3+F140*Prislapp!$F$3+G140*Prislapp!$G$3+H140*Prislapp!$H$3+I140*Prislapp!$I$3+J140*Prislapp!$J$3+K140*Prislapp!$K$3+M140*Prislapp!$M$3+N140*Prislapp!$N$3+L140*Prislapp!$L$3</f>
        <v>27913</v>
      </c>
      <c r="Q140" s="40">
        <f>C140*Prislapp!$C$5+D140*Prislapp!$D$5+E140*Prislapp!$E$5+F140*Prislapp!$F$5+G140*Prislapp!$G$5+H140*Prislapp!$H$5+I140*Prislapp!$I$5+J140*Prislapp!$J$5+K140*Prislapp!$K$5+L140*Prislapp!$L$5+M140*Prislapp!$M$5+N140*Prislapp!$N$5</f>
        <v>17900</v>
      </c>
      <c r="R140" s="9">
        <f>VLOOKUP(A140,'Ansvar kurs'!$A$2:$B$943,2,FALSE)</f>
        <v>1650</v>
      </c>
      <c r="S140" s="157"/>
      <c r="T140" s="157"/>
      <c r="U140" s="157"/>
      <c r="V140" s="157"/>
      <c r="W140" s="157"/>
      <c r="X140" s="157"/>
      <c r="Y140" s="157"/>
      <c r="Z140" s="157"/>
    </row>
    <row r="141" spans="1:26" x14ac:dyDescent="0.25">
      <c r="A141" s="57" t="s">
        <v>839</v>
      </c>
      <c r="B141" s="31" t="s">
        <v>870</v>
      </c>
      <c r="M141" s="31">
        <v>1</v>
      </c>
      <c r="O141" s="40">
        <f>C141*Prislapp!$C$2+D141*Prislapp!$D$2+E141*Prislapp!$E$2+F141*Prislapp!$F$2+G141*Prislapp!$G$2+H141*Prislapp!$H$2+I141*Prislapp!$I$2+J141*Prislapp!$J$2+K141*Prislapp!$K$2+L141*Prislapp!$L$2+M141*Prislapp!$M$2+N141*Prislapp!$N$2</f>
        <v>16920</v>
      </c>
      <c r="P141" s="40">
        <f>C141*Prislapp!$C$3+D141*Prislapp!$D$3+E141*Prislapp!$E$3+F141*Prislapp!$F$3+G141*Prislapp!$G$3+H141*Prislapp!$H$3+I141*Prislapp!$I$3+J141*Prislapp!$J$3+K141*Prislapp!$K$3+M141*Prislapp!$M$3+N141*Prislapp!$N$3+L141*Prislapp!$L$3</f>
        <v>27913</v>
      </c>
      <c r="Q141" s="40">
        <f>C141*Prislapp!$C$5+D141*Prislapp!$D$5+E141*Prislapp!$E$5+F141*Prislapp!$F$5+G141*Prislapp!$G$5+H141*Prislapp!$H$5+I141*Prislapp!$I$5+J141*Prislapp!$J$5+K141*Prislapp!$K$5+L141*Prislapp!$L$5+M141*Prislapp!$M$5+N141*Prislapp!$N$5</f>
        <v>17900</v>
      </c>
      <c r="R141" s="9">
        <f>VLOOKUP(A141,'Ansvar kurs'!$A$2:$B$943,2,FALSE)</f>
        <v>1650</v>
      </c>
      <c r="S141" s="157"/>
      <c r="T141" s="157"/>
      <c r="U141" s="157"/>
      <c r="V141" s="157"/>
      <c r="W141" s="157"/>
      <c r="X141" s="157"/>
      <c r="Y141" s="157"/>
      <c r="Z141" s="157"/>
    </row>
    <row r="142" spans="1:26" x14ac:dyDescent="0.25">
      <c r="A142" s="57" t="s">
        <v>840</v>
      </c>
      <c r="B142" s="31" t="s">
        <v>875</v>
      </c>
      <c r="M142" s="31">
        <v>1</v>
      </c>
      <c r="O142" s="40">
        <f>C142*Prislapp!$C$2+D142*Prislapp!$D$2+E142*Prislapp!$E$2+F142*Prislapp!$F$2+G142*Prislapp!$G$2+H142*Prislapp!$H$2+I142*Prislapp!$I$2+J142*Prislapp!$J$2+K142*Prislapp!$K$2+L142*Prislapp!$L$2+M142*Prislapp!$M$2+N142*Prislapp!$N$2</f>
        <v>16920</v>
      </c>
      <c r="P142" s="40">
        <f>C142*Prislapp!$C$3+D142*Prislapp!$D$3+E142*Prislapp!$E$3+F142*Prislapp!$F$3+G142*Prislapp!$G$3+H142*Prislapp!$H$3+I142*Prislapp!$I$3+J142*Prislapp!$J$3+K142*Prislapp!$K$3+M142*Prislapp!$M$3+N142*Prislapp!$N$3+L142*Prislapp!$L$3</f>
        <v>27913</v>
      </c>
      <c r="Q142" s="40">
        <f>C142*Prislapp!$C$5+D142*Prislapp!$D$5+E142*Prislapp!$E$5+F142*Prislapp!$F$5+G142*Prislapp!$G$5+H142*Prislapp!$H$5+I142*Prislapp!$I$5+J142*Prislapp!$J$5+K142*Prislapp!$K$5+L142*Prislapp!$L$5+M142*Prislapp!$M$5+N142*Prislapp!$N$5</f>
        <v>17900</v>
      </c>
      <c r="R142" s="9">
        <f>VLOOKUP(A142,'Ansvar kurs'!$A$2:$B$943,2,FALSE)</f>
        <v>1650</v>
      </c>
      <c r="S142" s="157"/>
      <c r="T142" s="157"/>
      <c r="U142" s="157"/>
      <c r="V142" s="157"/>
      <c r="W142" s="157"/>
      <c r="X142" s="157"/>
      <c r="Y142" s="157"/>
      <c r="Z142" s="157"/>
    </row>
    <row r="143" spans="1:26" x14ac:dyDescent="0.25">
      <c r="A143" s="57" t="s">
        <v>1007</v>
      </c>
      <c r="B143" s="31" t="s">
        <v>1104</v>
      </c>
      <c r="C143" s="31">
        <v>1</v>
      </c>
      <c r="O143" s="40">
        <f>C143*Prislapp!$C$2+D143*Prislapp!$D$2+E143*Prislapp!$E$2+F143*Prislapp!$F$2+G143*Prislapp!$G$2+H143*Prislapp!$H$2+I143*Prislapp!$I$2+J143*Prislapp!$J$2+K143*Prislapp!$K$2+L143*Prislapp!$L$2+M143*Prislapp!$M$2+N143*Prislapp!$N$2</f>
        <v>51362</v>
      </c>
      <c r="P143" s="40">
        <f>C143*Prislapp!$C$3+D143*Prislapp!$D$3+E143*Prislapp!$E$3+F143*Prislapp!$F$3+G143*Prislapp!$G$3+H143*Prislapp!$H$3+I143*Prislapp!$I$3+J143*Prislapp!$J$3+K143*Prislapp!$K$3+M143*Prislapp!$M$3+N143*Prislapp!$N$3+L143*Prislapp!$L$3</f>
        <v>59096</v>
      </c>
      <c r="Q143" s="40">
        <f>C143*Prislapp!$C$5+D143*Prislapp!$D$5+E143*Prislapp!$E$5+F143*Prislapp!$F$5+G143*Prislapp!$G$5+H143*Prislapp!$H$5+I143*Prislapp!$I$5+J143*Prislapp!$J$5+K143*Prislapp!$K$5+L143*Prislapp!$L$5+M143*Prislapp!$M$5+N143*Prislapp!$N$5</f>
        <v>71500</v>
      </c>
      <c r="R143" s="9">
        <f>VLOOKUP(A143,'Ansvar kurs'!$A$2:$B$943,2,FALSE)</f>
        <v>1650</v>
      </c>
      <c r="S143" s="157"/>
      <c r="T143" s="157"/>
      <c r="U143" s="157"/>
      <c r="V143" s="157"/>
      <c r="W143" s="157"/>
      <c r="X143" s="157"/>
      <c r="Y143" s="157"/>
      <c r="Z143" s="157"/>
    </row>
    <row r="144" spans="1:26" x14ac:dyDescent="0.25">
      <c r="A144" s="57" t="s">
        <v>1008</v>
      </c>
      <c r="B144" s="57" t="s">
        <v>1039</v>
      </c>
      <c r="C144" s="31">
        <v>1</v>
      </c>
      <c r="D144" s="31">
        <v>0</v>
      </c>
      <c r="O144" s="40">
        <f>C144*Prislapp!$C$2+D144*Prislapp!$D$2+E144*Prislapp!$E$2+F144*Prislapp!$F$2+G144*Prislapp!$G$2+H144*Prislapp!$H$2+I144*Prislapp!$I$2+J144*Prislapp!$J$2+K144*Prislapp!$K$2+L144*Prislapp!$L$2+M144*Prislapp!$M$2+N144*Prislapp!$N$2</f>
        <v>51362</v>
      </c>
      <c r="P144" s="40">
        <f>C144*Prislapp!$C$3+D144*Prislapp!$D$3+E144*Prislapp!$E$3+F144*Prislapp!$F$3+G144*Prislapp!$G$3+H144*Prislapp!$H$3+I144*Prislapp!$I$3+J144*Prislapp!$J$3+K144*Prislapp!$K$3+M144*Prislapp!$M$3+N144*Prislapp!$N$3+L144*Prislapp!$L$3</f>
        <v>59096</v>
      </c>
      <c r="Q144" s="40">
        <f>C144*Prislapp!$C$5+D144*Prislapp!$D$5+E144*Prislapp!$E$5+F144*Prislapp!$F$5+G144*Prislapp!$G$5+H144*Prislapp!$H$5+I144*Prislapp!$I$5+J144*Prislapp!$J$5+K144*Prislapp!$K$5+L144*Prislapp!$L$5+M144*Prislapp!$M$5+N144*Prislapp!$N$5</f>
        <v>71500</v>
      </c>
      <c r="R144" s="9">
        <f>VLOOKUP(A144,'Ansvar kurs'!$A$2:$B$943,2,FALSE)</f>
        <v>1650</v>
      </c>
      <c r="S144" s="157" t="s">
        <v>1325</v>
      </c>
      <c r="T144" s="157"/>
      <c r="U144" s="157"/>
      <c r="V144" s="157"/>
      <c r="W144" s="157"/>
      <c r="X144" s="157"/>
      <c r="Y144" s="157"/>
      <c r="Z144" s="157"/>
    </row>
    <row r="145" spans="1:26" x14ac:dyDescent="0.25">
      <c r="A145" s="31" t="s">
        <v>494</v>
      </c>
      <c r="B145" s="31" t="s">
        <v>667</v>
      </c>
      <c r="M145" s="31">
        <v>1</v>
      </c>
      <c r="O145" s="40">
        <f>C145*Prislapp!$C$2+D145*Prislapp!$D$2+E145*Prislapp!$E$2+F145*Prislapp!$F$2+G145*Prislapp!$G$2+H145*Prislapp!$H$2+I145*Prislapp!$I$2+J145*Prislapp!$J$2+K145*Prislapp!$K$2+L145*Prislapp!$L$2+M145*Prislapp!$M$2+N145*Prislapp!$N$2</f>
        <v>16920</v>
      </c>
      <c r="P145" s="40">
        <f>C145*Prislapp!$C$3+D145*Prislapp!$D$3+E145*Prislapp!$E$3+F145*Prislapp!$F$3+G145*Prislapp!$G$3+H145*Prislapp!$H$3+I145*Prislapp!$I$3+J145*Prislapp!$J$3+K145*Prislapp!$K$3+M145*Prislapp!$M$3+N145*Prislapp!$N$3+L145*Prislapp!$L$3</f>
        <v>27913</v>
      </c>
      <c r="Q145" s="40">
        <f>C145*Prislapp!$C$5+D145*Prislapp!$D$5+E145*Prislapp!$E$5+F145*Prislapp!$F$5+G145*Prislapp!$G$5+H145*Prislapp!$H$5+I145*Prislapp!$I$5+J145*Prislapp!$J$5+K145*Prislapp!$K$5+L145*Prislapp!$L$5+M145*Prislapp!$M$5+N145*Prislapp!$N$5</f>
        <v>17900</v>
      </c>
      <c r="R145" s="9">
        <f>VLOOKUP(A145,'Ansvar kurs'!$A$2:$B$943,2,FALSE)</f>
        <v>1650</v>
      </c>
      <c r="S145" s="157"/>
      <c r="T145" s="157"/>
      <c r="U145" s="157"/>
      <c r="V145" s="157"/>
      <c r="W145" s="157"/>
      <c r="X145" s="157"/>
      <c r="Y145" s="157"/>
      <c r="Z145" s="157"/>
    </row>
    <row r="146" spans="1:26" x14ac:dyDescent="0.25">
      <c r="A146" s="31" t="s">
        <v>563</v>
      </c>
      <c r="B146" s="31" t="s">
        <v>668</v>
      </c>
      <c r="C146" s="31">
        <v>1</v>
      </c>
      <c r="O146" s="40">
        <f>C146*Prislapp!$C$2+D146*Prislapp!$D$2+E146*Prislapp!$E$2+F146*Prislapp!$F$2+G146*Prislapp!$G$2+H146*Prislapp!$H$2+I146*Prislapp!$I$2+J146*Prislapp!$J$2+K146*Prislapp!$K$2+L146*Prislapp!$L$2+M146*Prislapp!$M$2+N146*Prislapp!$N$2</f>
        <v>51362</v>
      </c>
      <c r="P146" s="40">
        <f>C146*Prislapp!$C$3+D146*Prislapp!$D$3+E146*Prislapp!$E$3+F146*Prislapp!$F$3+G146*Prislapp!$G$3+H146*Prislapp!$H$3+I146*Prislapp!$I$3+J146*Prislapp!$J$3+K146*Prislapp!$K$3+M146*Prislapp!$M$3+N146*Prislapp!$N$3+L146*Prislapp!$L$3</f>
        <v>59096</v>
      </c>
      <c r="Q146" s="40">
        <f>C146*Prislapp!$C$5+D146*Prislapp!$D$5+E146*Prislapp!$E$5+F146*Prislapp!$F$5+G146*Prislapp!$G$5+H146*Prislapp!$H$5+I146*Prislapp!$I$5+J146*Prislapp!$J$5+K146*Prislapp!$K$5+L146*Prislapp!$L$5+M146*Prislapp!$M$5+N146*Prislapp!$N$5</f>
        <v>71500</v>
      </c>
      <c r="R146" s="9">
        <f>VLOOKUP(A146,'Ansvar kurs'!$A$2:$B$943,2,FALSE)</f>
        <v>1650</v>
      </c>
      <c r="S146" s="157"/>
      <c r="T146" s="157"/>
      <c r="U146" s="157"/>
      <c r="V146" s="157"/>
      <c r="W146" s="157"/>
      <c r="X146" s="157"/>
      <c r="Y146" s="157"/>
      <c r="Z146" s="157"/>
    </row>
    <row r="147" spans="1:26" x14ac:dyDescent="0.25">
      <c r="A147" s="31" t="s">
        <v>2268</v>
      </c>
      <c r="B147" s="31" t="s">
        <v>759</v>
      </c>
      <c r="C147" s="31">
        <v>1</v>
      </c>
      <c r="O147" s="40">
        <f>C147*Prislapp!$C$2+D147*Prislapp!$D$2+E147*Prislapp!$E$2+F147*Prislapp!$F$2+G147*Prislapp!$G$2+H147*Prislapp!$H$2+I147*Prislapp!$I$2+J147*Prislapp!$J$2+K147*Prislapp!$K$2+L147*Prislapp!$L$2+M147*Prislapp!$M$2+N147*Prislapp!$N$2</f>
        <v>51362</v>
      </c>
      <c r="P147" s="40">
        <f>C147*Prislapp!$C$3+D147*Prislapp!$D$3+E147*Prislapp!$E$3+F147*Prislapp!$F$3+G147*Prislapp!$G$3+H147*Prislapp!$H$3+I147*Prislapp!$I$3+J147*Prislapp!$J$3+K147*Prislapp!$K$3+M147*Prislapp!$M$3+N147*Prislapp!$N$3+L147*Prislapp!$L$3</f>
        <v>59096</v>
      </c>
      <c r="Q147" s="40">
        <f>C147*Prislapp!$C$5+D147*Prislapp!$D$5+E147*Prislapp!$E$5+F147*Prislapp!$F$5+G147*Prislapp!$G$5+H147*Prislapp!$H$5+I147*Prislapp!$I$5+J147*Prislapp!$J$5+K147*Prislapp!$K$5+L147*Prislapp!$L$5+M147*Prislapp!$M$5+N147*Prislapp!$N$5</f>
        <v>71500</v>
      </c>
      <c r="R147" s="9">
        <f>VLOOKUP(A147,'Ansvar kurs'!$A$2:$B$943,2,FALSE)</f>
        <v>1650</v>
      </c>
      <c r="S147" s="157"/>
      <c r="T147" s="157"/>
      <c r="U147" s="157"/>
      <c r="V147" s="157"/>
      <c r="W147" s="157"/>
      <c r="X147" s="157"/>
      <c r="Y147" s="157"/>
      <c r="Z147" s="157"/>
    </row>
    <row r="148" spans="1:26" x14ac:dyDescent="0.25">
      <c r="A148" s="31" t="s">
        <v>654</v>
      </c>
      <c r="B148" s="31" t="s">
        <v>360</v>
      </c>
      <c r="D148" s="31">
        <v>1</v>
      </c>
      <c r="F148" s="31">
        <v>0</v>
      </c>
      <c r="O148" s="40">
        <f>C148*Prislapp!$C$2+D148*Prislapp!$D$2+E148*Prislapp!$E$2+F148*Prislapp!$F$2+G148*Prislapp!$G$2+H148*Prislapp!$H$2+I148*Prislapp!$I$2+J148*Prislapp!$J$2+K148*Prislapp!$K$2+L148*Prislapp!$L$2+M148*Prislapp!$M$2+N148*Prislapp!$N$2</f>
        <v>20766</v>
      </c>
      <c r="P148" s="40">
        <f>C148*Prislapp!$C$3+D148*Prislapp!$D$3+E148*Prislapp!$E$3+F148*Prislapp!$F$3+G148*Prislapp!$G$3+H148*Prislapp!$H$3+I148*Prislapp!$I$3+J148*Prislapp!$J$3+K148*Prislapp!$K$3+M148*Prislapp!$M$3+N148*Prislapp!$N$3+L148*Prislapp!$L$3</f>
        <v>17442</v>
      </c>
      <c r="Q148" s="40">
        <f>C148*Prislapp!$C$5+D148*Prislapp!$D$5+E148*Prislapp!$E$5+F148*Prislapp!$F$5+G148*Prislapp!$G$5+H148*Prislapp!$H$5+I148*Prislapp!$I$5+J148*Prislapp!$J$5+K148*Prislapp!$K$5+L148*Prislapp!$L$5+M148*Prislapp!$M$5+N148*Prislapp!$N$5</f>
        <v>6000</v>
      </c>
      <c r="R148" s="9">
        <f>VLOOKUP(A148,'Ansvar kurs'!$A$2:$B$943,2,FALSE)</f>
        <v>1650</v>
      </c>
      <c r="S148" s="176" t="s">
        <v>1401</v>
      </c>
      <c r="T148" s="157"/>
      <c r="U148" s="157"/>
      <c r="V148" s="157"/>
      <c r="W148" s="157"/>
      <c r="X148" s="157"/>
      <c r="Y148" s="157"/>
      <c r="Z148" s="157"/>
    </row>
    <row r="149" spans="1:26" x14ac:dyDescent="0.25">
      <c r="A149" s="31" t="s">
        <v>655</v>
      </c>
      <c r="B149" s="31" t="s">
        <v>1138</v>
      </c>
      <c r="D149" s="31">
        <v>1</v>
      </c>
      <c r="F149" s="31">
        <v>0</v>
      </c>
      <c r="O149" s="40">
        <f>C149*Prislapp!$C$2+D149*Prislapp!$D$2+E149*Prislapp!$E$2+F149*Prislapp!$F$2+G149*Prislapp!$G$2+H149*Prislapp!$H$2+I149*Prislapp!$I$2+J149*Prislapp!$J$2+K149*Prislapp!$K$2+L149*Prislapp!$L$2+M149*Prislapp!$M$2+N149*Prislapp!$N$2</f>
        <v>20766</v>
      </c>
      <c r="P149" s="40">
        <f>C149*Prislapp!$C$3+D149*Prislapp!$D$3+E149*Prislapp!$E$3+F149*Prislapp!$F$3+G149*Prislapp!$G$3+H149*Prislapp!$H$3+I149*Prislapp!$I$3+J149*Prislapp!$J$3+K149*Prislapp!$K$3+M149*Prislapp!$M$3+N149*Prislapp!$N$3+L149*Prislapp!$L$3</f>
        <v>17442</v>
      </c>
      <c r="Q149" s="40">
        <f>C149*Prislapp!$C$5+D149*Prislapp!$D$5+E149*Prislapp!$E$5+F149*Prislapp!$F$5+G149*Prislapp!$G$5+H149*Prislapp!$H$5+I149*Prislapp!$I$5+J149*Prislapp!$J$5+K149*Prislapp!$K$5+L149*Prislapp!$L$5+M149*Prislapp!$M$5+N149*Prislapp!$N$5</f>
        <v>6000</v>
      </c>
      <c r="R149" s="9">
        <f>VLOOKUP(A149,'Ansvar kurs'!$A$2:$B$943,2,FALSE)</f>
        <v>1650</v>
      </c>
      <c r="S149" s="176" t="s">
        <v>1401</v>
      </c>
      <c r="T149" s="157"/>
      <c r="U149" s="157"/>
      <c r="V149" s="157"/>
      <c r="W149" s="157"/>
      <c r="X149" s="157"/>
      <c r="Y149" s="157"/>
      <c r="Z149" s="157"/>
    </row>
    <row r="150" spans="1:26" x14ac:dyDescent="0.25">
      <c r="A150" s="221" t="s">
        <v>891</v>
      </c>
      <c r="B150" s="31" t="s">
        <v>892</v>
      </c>
      <c r="D150" s="31">
        <v>1</v>
      </c>
      <c r="O150" s="40">
        <f>C150*Prislapp!$C$2+D150*Prislapp!$D$2+E150*Prislapp!$E$2+F150*Prislapp!$F$2+G150*Prislapp!$G$2+H150*Prislapp!$H$2+I150*Prislapp!$I$2+J150*Prislapp!$J$2+K150*Prislapp!$K$2+L150*Prislapp!$L$2+M150*Prislapp!$M$2+N150*Prislapp!$N$2</f>
        <v>20766</v>
      </c>
      <c r="P150" s="40">
        <f>C150*Prislapp!$C$3+D150*Prislapp!$D$3+E150*Prislapp!$E$3+F150*Prislapp!$F$3+G150*Prislapp!$G$3+H150*Prislapp!$H$3+I150*Prislapp!$I$3+J150*Prislapp!$J$3+K150*Prislapp!$K$3+M150*Prislapp!$M$3+N150*Prislapp!$N$3+L150*Prislapp!$L$3</f>
        <v>17442</v>
      </c>
      <c r="Q150" s="40">
        <f>C150*Prislapp!$C$5+D150*Prislapp!$D$5+E150*Prislapp!$E$5+F150*Prislapp!$F$5+G150*Prislapp!$G$5+H150*Prislapp!$H$5+I150*Prislapp!$I$5+J150*Prislapp!$J$5+K150*Prislapp!$K$5+L150*Prislapp!$L$5+M150*Prislapp!$M$5+N150*Prislapp!$N$5</f>
        <v>6000</v>
      </c>
      <c r="R150" s="9">
        <f>VLOOKUP(A150,'Ansvar kurs'!$A$2:$B$943,2,FALSE)</f>
        <v>1650</v>
      </c>
      <c r="S150" s="157"/>
      <c r="T150" s="157"/>
      <c r="U150" s="157"/>
      <c r="V150" s="157"/>
      <c r="W150" s="157"/>
      <c r="X150" s="157"/>
      <c r="Y150" s="157"/>
      <c r="Z150" s="157"/>
    </row>
    <row r="151" spans="1:26" x14ac:dyDescent="0.25">
      <c r="A151" s="222" t="s">
        <v>1323</v>
      </c>
      <c r="B151" s="60" t="s">
        <v>1324</v>
      </c>
      <c r="C151" s="31">
        <v>1</v>
      </c>
      <c r="D151" s="31">
        <v>0</v>
      </c>
      <c r="L151" s="31">
        <v>0</v>
      </c>
      <c r="O151" s="40">
        <f>C151*Prislapp!$C$2+D151*Prislapp!$D$2+E151*Prislapp!$E$2+F151*Prislapp!$F$2+G151*Prislapp!$G$2+H151*Prislapp!$H$2+I151*Prislapp!$I$2+J151*Prislapp!$J$2+K151*Prislapp!$K$2+L151*Prislapp!$L$2+M151*Prislapp!$M$2+N151*Prislapp!$N$2</f>
        <v>51362</v>
      </c>
      <c r="P151" s="40">
        <f>C151*Prislapp!$C$3+D151*Prislapp!$D$3+E151*Prislapp!$E$3+F151*Prislapp!$F$3+G151*Prislapp!$G$3+H151*Prislapp!$H$3+I151*Prislapp!$I$3+J151*Prislapp!$J$3+K151*Prislapp!$K$3+M151*Prislapp!$M$3+N151*Prislapp!$N$3+L151*Prislapp!$L$3</f>
        <v>59096</v>
      </c>
      <c r="Q151" s="40">
        <f>C151*Prislapp!$C$5+D151*Prislapp!$D$5+E151*Prislapp!$E$5+F151*Prislapp!$F$5+G151*Prislapp!$G$5+H151*Prislapp!$H$5+I151*Prislapp!$I$5+J151*Prislapp!$J$5+K151*Prislapp!$K$5+L151*Prislapp!$L$5+M151*Prislapp!$M$5+N151*Prislapp!$N$5</f>
        <v>71500</v>
      </c>
      <c r="R151" s="9">
        <f>VLOOKUP(A151,'Ansvar kurs'!$A$2:$B$943,2,FALSE)</f>
        <v>1650</v>
      </c>
      <c r="S151" s="176" t="s">
        <v>1488</v>
      </c>
      <c r="T151" s="176"/>
      <c r="U151" s="157"/>
      <c r="V151" s="157"/>
      <c r="W151" s="157"/>
      <c r="X151" s="157"/>
      <c r="Y151" s="157"/>
      <c r="Z151" s="157"/>
    </row>
    <row r="152" spans="1:26" x14ac:dyDescent="0.25">
      <c r="A152" s="222" t="s">
        <v>1342</v>
      </c>
      <c r="B152" s="60" t="s">
        <v>1182</v>
      </c>
      <c r="K152" s="31">
        <v>1</v>
      </c>
      <c r="O152" s="40">
        <f>C152*Prislapp!$C$2+D152*Prislapp!$D$2+E152*Prislapp!$E$2+F152*Prislapp!$F$2+G152*Prislapp!$G$2+H152*Prislapp!$H$2+I152*Prislapp!$I$2+J152*Prislapp!$J$2+K152*Prislapp!$K$2+L152*Prislapp!$L$2+M152*Prislapp!$M$2+N152*Prislapp!$N$2</f>
        <v>25235</v>
      </c>
      <c r="P152" s="40">
        <f>C152*Prislapp!$C$3+D152*Prislapp!$D$3+E152*Prislapp!$E$3+F152*Prislapp!$F$3+G152*Prislapp!$G$3+H152*Prislapp!$H$3+I152*Prislapp!$I$3+J152*Prislapp!$J$3+K152*Prislapp!$K$3+M152*Prislapp!$M$3+N152*Prislapp!$N$3+L152*Prislapp!$L$3</f>
        <v>27976</v>
      </c>
      <c r="Q152" s="40">
        <f>C152*Prislapp!$C$5+D152*Prislapp!$D$5+E152*Prislapp!$E$5+F152*Prislapp!$F$5+G152*Prislapp!$G$5+H152*Prislapp!$H$5+I152*Prislapp!$I$5+J152*Prislapp!$J$5+K152*Prislapp!$K$5+L152*Prislapp!$L$5+M152*Prislapp!$M$5+N152*Prislapp!$N$5</f>
        <v>3600</v>
      </c>
      <c r="R152" s="9">
        <f>VLOOKUP(A152,'Ansvar kurs'!$A$2:$B$943,2,FALSE)</f>
        <v>1650</v>
      </c>
      <c r="S152" s="176" t="s">
        <v>1341</v>
      </c>
      <c r="T152" s="157"/>
      <c r="U152" s="157"/>
      <c r="V152" s="157"/>
      <c r="W152" s="157"/>
      <c r="X152" s="157"/>
      <c r="Y152" s="157"/>
      <c r="Z152" s="157"/>
    </row>
    <row r="153" spans="1:26" x14ac:dyDescent="0.25">
      <c r="A153" s="222" t="s">
        <v>1343</v>
      </c>
      <c r="B153" s="57" t="s">
        <v>1183</v>
      </c>
      <c r="K153" s="31">
        <v>1</v>
      </c>
      <c r="O153" s="40">
        <f>C153*Prislapp!$C$2+D153*Prislapp!$D$2+E153*Prislapp!$E$2+F153*Prislapp!$F$2+G153*Prislapp!$G$2+H153*Prislapp!$H$2+I153*Prislapp!$I$2+J153*Prislapp!$J$2+K153*Prislapp!$K$2+L153*Prislapp!$L$2+M153*Prislapp!$M$2+N153*Prislapp!$N$2</f>
        <v>25235</v>
      </c>
      <c r="P153" s="40">
        <f>C153*Prislapp!$C$3+D153*Prislapp!$D$3+E153*Prislapp!$E$3+F153*Prislapp!$F$3+G153*Prislapp!$G$3+H153*Prislapp!$H$3+I153*Prislapp!$I$3+J153*Prislapp!$J$3+K153*Prislapp!$K$3+M153*Prislapp!$M$3+N153*Prislapp!$N$3+L153*Prislapp!$L$3</f>
        <v>27976</v>
      </c>
      <c r="Q153" s="40">
        <f>C153*Prislapp!$C$5+D153*Prislapp!$D$5+E153*Prislapp!$E$5+F153*Prislapp!$F$5+G153*Prislapp!$G$5+H153*Prislapp!$H$5+I153*Prislapp!$I$5+J153*Prislapp!$J$5+K153*Prislapp!$K$5+L153*Prislapp!$L$5+M153*Prislapp!$M$5+N153*Prislapp!$N$5</f>
        <v>3600</v>
      </c>
      <c r="R153" s="9">
        <f>VLOOKUP(A153,'Ansvar kurs'!$A$2:$B$943,2,FALSE)</f>
        <v>1650</v>
      </c>
      <c r="S153" s="176" t="s">
        <v>1341</v>
      </c>
      <c r="T153" s="157"/>
      <c r="U153" s="157"/>
      <c r="V153" s="157"/>
      <c r="W153" s="157"/>
      <c r="X153" s="157"/>
      <c r="Y153" s="157"/>
      <c r="Z153" s="157"/>
    </row>
    <row r="154" spans="1:26" x14ac:dyDescent="0.25">
      <c r="A154" s="222" t="s">
        <v>1344</v>
      </c>
      <c r="B154" s="57" t="s">
        <v>1190</v>
      </c>
      <c r="F154" s="31">
        <v>1</v>
      </c>
      <c r="O154" s="40">
        <f>C154*Prislapp!$C$2+D154*Prislapp!$D$2+E154*Prislapp!$E$2+F154*Prislapp!$F$2+G154*Prislapp!$G$2+H154*Prislapp!$H$2+I154*Prislapp!$I$2+J154*Prislapp!$J$2+K154*Prislapp!$K$2+L154*Prislapp!$L$2+M154*Prislapp!$M$2+N154*Prislapp!$N$2</f>
        <v>26554</v>
      </c>
      <c r="P154" s="40">
        <f>C154*Prislapp!$C$3+D154*Prislapp!$D$3+E154*Prislapp!$E$3+F154*Prislapp!$F$3+G154*Prislapp!$G$3+H154*Prislapp!$H$3+I154*Prislapp!$I$3+J154*Prislapp!$J$3+K154*Prislapp!$K$3+M154*Prislapp!$M$3+N154*Prislapp!$N$3+L154*Prislapp!$L$3</f>
        <v>33465</v>
      </c>
      <c r="Q154" s="40">
        <f>C154*Prislapp!$C$5+D154*Prislapp!$D$5+E154*Prislapp!$E$5+F154*Prislapp!$F$5+G154*Prislapp!$G$5+H154*Prislapp!$H$5+I154*Prislapp!$I$5+J154*Prislapp!$J$5+K154*Prislapp!$K$5+L154*Prislapp!$L$5+M154*Prislapp!$M$5+N154*Prislapp!$N$5</f>
        <v>6000</v>
      </c>
      <c r="R154" s="9">
        <f>VLOOKUP(A154,'Ansvar kurs'!$A$2:$B$943,2,FALSE)</f>
        <v>1650</v>
      </c>
      <c r="S154" s="176" t="s">
        <v>1341</v>
      </c>
      <c r="T154" s="157"/>
      <c r="U154" s="157"/>
      <c r="V154" s="157"/>
      <c r="W154" s="157"/>
      <c r="X154" s="157"/>
      <c r="Y154" s="157"/>
      <c r="Z154" s="157"/>
    </row>
    <row r="155" spans="1:26" x14ac:dyDescent="0.25">
      <c r="A155" s="222" t="s">
        <v>2269</v>
      </c>
      <c r="B155" s="57" t="s">
        <v>1304</v>
      </c>
      <c r="C155" s="31">
        <v>1</v>
      </c>
      <c r="O155" s="40">
        <f>C155*Prislapp!$C$2+D155*Prislapp!$D$2+E155*Prislapp!$E$2+F155*Prislapp!$F$2+G155*Prislapp!$G$2+H155*Prislapp!$H$2+I155*Prislapp!$I$2+J155*Prislapp!$J$2+K155*Prislapp!$K$2+L155*Prislapp!$L$2+M155*Prislapp!$M$2+N155*Prislapp!$N$2</f>
        <v>51362</v>
      </c>
      <c r="P155" s="40">
        <f>C155*Prislapp!$C$3+D155*Prislapp!$D$3+E155*Prislapp!$E$3+F155*Prislapp!$F$3+G155*Prislapp!$G$3+H155*Prislapp!$H$3+I155*Prislapp!$I$3+J155*Prislapp!$J$3+K155*Prislapp!$K$3+M155*Prislapp!$M$3+N155*Prislapp!$N$3+L155*Prislapp!$L$3</f>
        <v>59096</v>
      </c>
      <c r="Q155" s="40">
        <f>C155*Prislapp!$C$5+D155*Prislapp!$D$5+E155*Prislapp!$E$5+F155*Prislapp!$F$5+G155*Prislapp!$G$5+H155*Prislapp!$H$5+I155*Prislapp!$I$5+J155*Prislapp!$J$5+K155*Prislapp!$K$5+L155*Prislapp!$L$5+M155*Prislapp!$M$5+N155*Prislapp!$N$5</f>
        <v>71500</v>
      </c>
      <c r="R155" s="9">
        <f>VLOOKUP(A155,'Ansvar kurs'!$A$2:$B$943,2,FALSE)</f>
        <v>1650</v>
      </c>
      <c r="S155" s="176"/>
      <c r="T155" s="157"/>
      <c r="U155" s="157"/>
      <c r="V155" s="157"/>
      <c r="W155" s="157"/>
      <c r="X155" s="157"/>
      <c r="Y155" s="157"/>
      <c r="Z155" s="157"/>
    </row>
    <row r="156" spans="1:26" x14ac:dyDescent="0.25">
      <c r="A156" t="s">
        <v>1590</v>
      </c>
      <c r="B156" s="60" t="s">
        <v>1305</v>
      </c>
      <c r="C156" s="31">
        <v>1</v>
      </c>
      <c r="O156" s="40">
        <f>C156*Prislapp!$C$2+D156*Prislapp!$D$2+E156*Prislapp!$E$2+F156*Prislapp!$F$2+G156*Prislapp!$G$2+H156*Prislapp!$H$2+I156*Prislapp!$I$2+J156*Prislapp!$J$2+K156*Prislapp!$K$2+L156*Prislapp!$L$2+M156*Prislapp!$M$2+N156*Prislapp!$N$2</f>
        <v>51362</v>
      </c>
      <c r="P156" s="40">
        <f>C156*Prislapp!$C$3+D156*Prislapp!$D$3+E156*Prislapp!$E$3+F156*Prislapp!$F$3+G156*Prislapp!$G$3+H156*Prislapp!$H$3+I156*Prislapp!$I$3+J156*Prislapp!$J$3+K156*Prislapp!$K$3+M156*Prislapp!$M$3+N156*Prislapp!$N$3+L156*Prislapp!$L$3</f>
        <v>59096</v>
      </c>
      <c r="Q156" s="40">
        <f>C156*Prislapp!$C$5+D156*Prislapp!$D$5+E156*Prislapp!$E$5+F156*Prislapp!$F$5+G156*Prislapp!$G$5+H156*Prislapp!$H$5+I156*Prislapp!$I$5+J156*Prislapp!$J$5+K156*Prislapp!$K$5+L156*Prislapp!$L$5+M156*Prislapp!$M$5+N156*Prislapp!$N$5</f>
        <v>71500</v>
      </c>
      <c r="R156" s="9">
        <f>VLOOKUP(A156,'Ansvar kurs'!$A$2:$B$943,2,FALSE)</f>
        <v>1650</v>
      </c>
      <c r="S156" s="157" t="s">
        <v>1844</v>
      </c>
      <c r="T156" s="157"/>
      <c r="U156" s="157"/>
      <c r="V156" s="157"/>
      <c r="W156" s="157"/>
      <c r="X156" s="157"/>
      <c r="Y156" s="157"/>
      <c r="Z156" s="157"/>
    </row>
    <row r="157" spans="1:26" x14ac:dyDescent="0.25">
      <c r="A157" s="222" t="s">
        <v>1591</v>
      </c>
      <c r="B157" s="60" t="s">
        <v>1623</v>
      </c>
      <c r="D157" s="31">
        <v>1</v>
      </c>
      <c r="O157" s="40">
        <f>C157*Prislapp!$C$2+D157*Prislapp!$D$2+E157*Prislapp!$E$2+F157*Prislapp!$F$2+G157*Prislapp!$G$2+H157*Prislapp!$H$2+I157*Prislapp!$I$2+J157*Prislapp!$J$2+K157*Prislapp!$K$2+L157*Prislapp!$L$2+M157*Prislapp!$M$2+N157*Prislapp!$N$2</f>
        <v>20766</v>
      </c>
      <c r="P157" s="40">
        <f>C157*Prislapp!$C$3+D157*Prislapp!$D$3+E157*Prislapp!$E$3+F157*Prislapp!$F$3+G157*Prislapp!$G$3+H157*Prislapp!$H$3+I157*Prislapp!$I$3+J157*Prislapp!$J$3+K157*Prislapp!$K$3+M157*Prislapp!$M$3+N157*Prislapp!$N$3+L157*Prislapp!$L$3</f>
        <v>17442</v>
      </c>
      <c r="Q157" s="40">
        <f>C157*Prislapp!$C$5+D157*Prislapp!$D$5+E157*Prislapp!$E$5+F157*Prislapp!$F$5+G157*Prislapp!$G$5+H157*Prislapp!$H$5+I157*Prislapp!$I$5+J157*Prislapp!$J$5+K157*Prislapp!$K$5+L157*Prislapp!$L$5+M157*Prislapp!$M$5+N157*Prislapp!$N$5</f>
        <v>6000</v>
      </c>
      <c r="R157" s="9">
        <f>VLOOKUP(A157,'Ansvar kurs'!$A$2:$B$943,2,FALSE)</f>
        <v>1650</v>
      </c>
      <c r="S157" s="157"/>
      <c r="T157" s="157"/>
      <c r="U157" s="157"/>
      <c r="V157" s="157"/>
      <c r="W157" s="157"/>
      <c r="X157" s="157"/>
      <c r="Y157" s="157"/>
      <c r="Z157" s="157"/>
    </row>
    <row r="158" spans="1:26" x14ac:dyDescent="0.25">
      <c r="A158" s="57" t="s">
        <v>1532</v>
      </c>
      <c r="B158" s="57" t="s">
        <v>1565</v>
      </c>
      <c r="M158" s="31">
        <v>1</v>
      </c>
      <c r="O158" s="40">
        <f>C158*Prislapp!$C$2+D158*Prislapp!$D$2+E158*Prislapp!$E$2+F158*Prislapp!$F$2+G158*Prislapp!$G$2+H158*Prislapp!$H$2+I158*Prislapp!$I$2+J158*Prislapp!$J$2+K158*Prislapp!$K$2+L158*Prislapp!$L$2+M158*Prislapp!$M$2+N158*Prislapp!$N$2</f>
        <v>16920</v>
      </c>
      <c r="P158" s="40">
        <f>C158*Prislapp!$C$3+D158*Prislapp!$D$3+E158*Prislapp!$E$3+F158*Prislapp!$F$3+G158*Prislapp!$G$3+H158*Prislapp!$H$3+I158*Prislapp!$I$3+J158*Prislapp!$J$3+K158*Prislapp!$K$3+M158*Prislapp!$M$3+N158*Prislapp!$N$3+L158*Prislapp!$L$3</f>
        <v>27913</v>
      </c>
      <c r="Q158" s="40">
        <f>C158*Prislapp!$C$5+D158*Prislapp!$D$5+E158*Prislapp!$E$5+F158*Prislapp!$F$5+G158*Prislapp!$G$5+H158*Prislapp!$H$5+I158*Prislapp!$I$5+J158*Prislapp!$J$5+K158*Prislapp!$K$5+L158*Prislapp!$L$5+M158*Prislapp!$M$5+N158*Prislapp!$N$5</f>
        <v>17900</v>
      </c>
      <c r="R158" s="9">
        <f>VLOOKUP(A158,'Ansvar kurs'!$A$2:$B$943,2,FALSE)</f>
        <v>1650</v>
      </c>
    </row>
    <row r="159" spans="1:26" x14ac:dyDescent="0.25">
      <c r="A159" s="222" t="s">
        <v>1430</v>
      </c>
      <c r="B159" s="274" t="s">
        <v>1433</v>
      </c>
      <c r="D159" s="31">
        <v>0</v>
      </c>
      <c r="M159" s="31">
        <v>1</v>
      </c>
      <c r="O159" s="40">
        <f>C159*Prislapp!$C$2+D159*Prislapp!$D$2+E159*Prislapp!$E$2+F159*Prislapp!$F$2+G159*Prislapp!$G$2+H159*Prislapp!$H$2+I159*Prislapp!$I$2+J159*Prislapp!$J$2+K159*Prislapp!$K$2+L159*Prislapp!$L$2+M159*Prislapp!$M$2+N159*Prislapp!$N$2</f>
        <v>16920</v>
      </c>
      <c r="P159" s="40">
        <f>C159*Prislapp!$C$3+D159*Prislapp!$D$3+E159*Prislapp!$E$3+F159*Prislapp!$F$3+G159*Prislapp!$G$3+H159*Prislapp!$H$3+I159*Prislapp!$I$3+J159*Prislapp!$J$3+K159*Prislapp!$K$3+M159*Prislapp!$M$3+N159*Prislapp!$N$3+L159*Prislapp!$L$3</f>
        <v>27913</v>
      </c>
      <c r="Q159" s="40">
        <f>C159*Prislapp!$C$5+D159*Prislapp!$D$5+E159*Prislapp!$E$5+F159*Prislapp!$F$5+G159*Prislapp!$G$5+H159*Prislapp!$H$5+I159*Prislapp!$I$5+J159*Prislapp!$J$5+K159*Prislapp!$K$5+L159*Prislapp!$L$5+M159*Prislapp!$M$5+N159*Prislapp!$N$5</f>
        <v>17900</v>
      </c>
      <c r="R159" s="9">
        <f>VLOOKUP(A159,'Ansvar kurs'!$A$2:$B$943,2,FALSE)</f>
        <v>1650</v>
      </c>
      <c r="S159" s="176" t="s">
        <v>1674</v>
      </c>
      <c r="T159" s="157"/>
      <c r="U159" s="157"/>
      <c r="V159" s="157"/>
      <c r="W159" s="157"/>
      <c r="X159" s="157"/>
      <c r="Y159" s="157"/>
      <c r="Z159" s="157"/>
    </row>
    <row r="160" spans="1:26" x14ac:dyDescent="0.25">
      <c r="A160" s="222" t="s">
        <v>1431</v>
      </c>
      <c r="B160" s="274" t="s">
        <v>1434</v>
      </c>
      <c r="M160" s="31">
        <v>1</v>
      </c>
      <c r="O160" s="40">
        <f>C160*Prislapp!$C$2+D160*Prislapp!$D$2+E160*Prislapp!$E$2+F160*Prislapp!$F$2+G160*Prislapp!$G$2+H160*Prislapp!$H$2+I160*Prislapp!$I$2+J160*Prislapp!$J$2+K160*Prislapp!$K$2+L160*Prislapp!$L$2+M160*Prislapp!$M$2+N160*Prislapp!$N$2</f>
        <v>16920</v>
      </c>
      <c r="P160" s="40">
        <f>C160*Prislapp!$C$3+D160*Prislapp!$D$3+E160*Prislapp!$E$3+F160*Prislapp!$F$3+G160*Prislapp!$G$3+H160*Prislapp!$H$3+I160*Prislapp!$I$3+J160*Prislapp!$J$3+K160*Prislapp!$K$3+M160*Prislapp!$M$3+N160*Prislapp!$N$3+L160*Prislapp!$L$3</f>
        <v>27913</v>
      </c>
      <c r="Q160" s="40">
        <f>C160*Prislapp!$C$5+D160*Prislapp!$D$5+E160*Prislapp!$E$5+F160*Prislapp!$F$5+G160*Prislapp!$G$5+H160*Prislapp!$H$5+I160*Prislapp!$I$5+J160*Prislapp!$J$5+K160*Prislapp!$K$5+L160*Prislapp!$L$5+M160*Prislapp!$M$5+N160*Prislapp!$N$5</f>
        <v>17900</v>
      </c>
      <c r="R160" s="9">
        <f>VLOOKUP(A160,'Ansvar kurs'!$A$2:$B$943,2,FALSE)</f>
        <v>1650</v>
      </c>
      <c r="S160" s="176"/>
      <c r="T160" s="157"/>
      <c r="U160" s="157"/>
      <c r="V160" s="157"/>
      <c r="W160" s="157"/>
      <c r="X160" s="157"/>
      <c r="Y160" s="157"/>
      <c r="Z160" s="157"/>
    </row>
    <row r="161" spans="1:26" x14ac:dyDescent="0.25">
      <c r="A161" s="222" t="s">
        <v>1432</v>
      </c>
      <c r="B161" s="274" t="s">
        <v>1396</v>
      </c>
      <c r="D161" s="31">
        <v>0</v>
      </c>
      <c r="M161" s="31">
        <v>1</v>
      </c>
      <c r="O161" s="40">
        <f>C161*Prislapp!$C$2+D161*Prislapp!$D$2+E161*Prislapp!$E$2+F161*Prislapp!$F$2+G161*Prislapp!$G$2+H161*Prislapp!$H$2+I161*Prislapp!$I$2+J161*Prislapp!$J$2+K161*Prislapp!$K$2+L161*Prislapp!$L$2+M161*Prislapp!$M$2+N161*Prislapp!$N$2</f>
        <v>16920</v>
      </c>
      <c r="P161" s="40">
        <f>C161*Prislapp!$C$3+D161*Prislapp!$D$3+E161*Prislapp!$E$3+F161*Prislapp!$F$3+G161*Prislapp!$G$3+H161*Prislapp!$H$3+I161*Prislapp!$I$3+J161*Prislapp!$J$3+K161*Prislapp!$K$3+M161*Prislapp!$M$3+N161*Prislapp!$N$3+L161*Prislapp!$L$3</f>
        <v>27913</v>
      </c>
      <c r="Q161" s="40">
        <f>C161*Prislapp!$C$5+D161*Prislapp!$D$5+E161*Prislapp!$E$5+F161*Prislapp!$F$5+G161*Prislapp!$G$5+H161*Prislapp!$H$5+I161*Prislapp!$I$5+J161*Prislapp!$J$5+K161*Prislapp!$K$5+L161*Prislapp!$L$5+M161*Prislapp!$M$5+N161*Prislapp!$N$5</f>
        <v>17900</v>
      </c>
      <c r="R161" s="9">
        <f>VLOOKUP(A161,'Ansvar kurs'!$A$2:$B$943,2,FALSE)</f>
        <v>1650</v>
      </c>
      <c r="S161" s="176" t="s">
        <v>1674</v>
      </c>
      <c r="T161" s="157"/>
      <c r="U161" s="157"/>
      <c r="V161" s="157"/>
      <c r="W161" s="157"/>
      <c r="X161" s="157"/>
      <c r="Y161" s="157"/>
      <c r="Z161" s="157"/>
    </row>
    <row r="162" spans="1:26" x14ac:dyDescent="0.25">
      <c r="A162" s="222" t="s">
        <v>1588</v>
      </c>
      <c r="B162" s="60" t="s">
        <v>1789</v>
      </c>
      <c r="D162" s="31">
        <v>1</v>
      </c>
      <c r="O162" s="40">
        <f>C162*Prislapp!$C$2+D162*Prislapp!$D$2+E162*Prislapp!$E$2+F162*Prislapp!$F$2+G162*Prislapp!$G$2+H162*Prislapp!$H$2+I162*Prislapp!$I$2+J162*Prislapp!$J$2+K162*Prislapp!$K$2+L162*Prislapp!$L$2+M162*Prislapp!$M$2+N162*Prislapp!$N$2</f>
        <v>20766</v>
      </c>
      <c r="P162" s="40">
        <f>C162*Prislapp!$C$3+D162*Prislapp!$D$3+E162*Prislapp!$E$3+F162*Prislapp!$F$3+G162*Prislapp!$G$3+H162*Prislapp!$H$3+I162*Prislapp!$I$3+J162*Prislapp!$J$3+K162*Prislapp!$K$3+M162*Prislapp!$M$3+N162*Prislapp!$N$3+L162*Prislapp!$L$3</f>
        <v>17442</v>
      </c>
      <c r="Q162" s="40">
        <f>C162*Prislapp!$C$5+D162*Prislapp!$D$5+E162*Prislapp!$E$5+F162*Prislapp!$F$5+G162*Prislapp!$G$5+H162*Prislapp!$H$5+I162*Prislapp!$I$5+J162*Prislapp!$J$5+K162*Prislapp!$K$5+L162*Prislapp!$L$5+M162*Prislapp!$M$5+N162*Prislapp!$N$5</f>
        <v>6000</v>
      </c>
      <c r="R162" s="9">
        <f>VLOOKUP(A162,'Ansvar kurs'!$A$2:$B$943,2,FALSE)</f>
        <v>1650</v>
      </c>
      <c r="S162" s="176"/>
      <c r="T162" s="157"/>
      <c r="U162" s="157"/>
      <c r="V162" s="157"/>
      <c r="W162" s="157"/>
      <c r="X162" s="157"/>
      <c r="Y162" s="157"/>
      <c r="Z162" s="157"/>
    </row>
    <row r="163" spans="1:26" x14ac:dyDescent="0.25">
      <c r="A163" s="222" t="s">
        <v>1675</v>
      </c>
      <c r="B163" s="274" t="s">
        <v>1399</v>
      </c>
      <c r="M163" s="31">
        <v>1</v>
      </c>
      <c r="O163" s="40">
        <f>C163*Prislapp!$C$2+D163*Prislapp!$D$2+E163*Prislapp!$E$2+F163*Prislapp!$F$2+G163*Prislapp!$G$2+H163*Prislapp!$H$2+I163*Prislapp!$I$2+J163*Prislapp!$J$2+K163*Prislapp!$K$2+L163*Prislapp!$L$2+M163*Prislapp!$M$2+N163*Prislapp!$N$2</f>
        <v>16920</v>
      </c>
      <c r="P163" s="40">
        <f>C163*Prislapp!$C$3+D163*Prislapp!$D$3+E163*Prislapp!$E$3+F163*Prislapp!$F$3+G163*Prislapp!$G$3+H163*Prislapp!$H$3+I163*Prislapp!$I$3+J163*Prislapp!$J$3+K163*Prislapp!$K$3+M163*Prislapp!$M$3+N163*Prislapp!$N$3+L163*Prislapp!$L$3</f>
        <v>27913</v>
      </c>
      <c r="Q163" s="40">
        <f>C163*Prislapp!$C$5+D163*Prislapp!$D$5+E163*Prislapp!$E$5+F163*Prislapp!$F$5+G163*Prislapp!$G$5+H163*Prislapp!$H$5+I163*Prislapp!$I$5+J163*Prislapp!$J$5+K163*Prislapp!$K$5+L163*Prislapp!$L$5+M163*Prislapp!$M$5+N163*Prislapp!$N$5</f>
        <v>17900</v>
      </c>
      <c r="R163" s="9">
        <f>VLOOKUP(A163,'Ansvar kurs'!$A$2:$B$943,2,FALSE)</f>
        <v>1650</v>
      </c>
      <c r="S163" s="176" t="s">
        <v>1674</v>
      </c>
      <c r="T163" s="157"/>
      <c r="U163" s="157"/>
      <c r="V163" s="157"/>
      <c r="W163" s="157"/>
      <c r="X163" s="157"/>
      <c r="Y163" s="157"/>
      <c r="Z163" s="157"/>
    </row>
    <row r="164" spans="1:26" x14ac:dyDescent="0.25">
      <c r="A164" s="222" t="s">
        <v>1624</v>
      </c>
      <c r="B164" s="60" t="s">
        <v>1625</v>
      </c>
      <c r="D164" s="31">
        <v>1</v>
      </c>
      <c r="O164" s="40">
        <f>C164*Prislapp!$C$2+D164*Prislapp!$D$2+E164*Prislapp!$E$2+F164*Prislapp!$F$2+G164*Prislapp!$G$2+H164*Prislapp!$H$2+I164*Prislapp!$I$2+J164*Prislapp!$J$2+K164*Prislapp!$K$2+L164*Prislapp!$L$2+M164*Prislapp!$M$2+N164*Prislapp!$N$2</f>
        <v>20766</v>
      </c>
      <c r="P164" s="40">
        <f>C164*Prislapp!$C$3+D164*Prislapp!$D$3+E164*Prislapp!$E$3+F164*Prislapp!$F$3+G164*Prislapp!$G$3+H164*Prislapp!$H$3+I164*Prislapp!$I$3+J164*Prislapp!$J$3+K164*Prislapp!$K$3+M164*Prislapp!$M$3+N164*Prislapp!$N$3+L164*Prislapp!$L$3</f>
        <v>17442</v>
      </c>
      <c r="Q164" s="40">
        <f>C164*Prislapp!$C$5+D164*Prislapp!$D$5+E164*Prislapp!$E$5+F164*Prislapp!$F$5+G164*Prislapp!$G$5+H164*Prislapp!$H$5+I164*Prislapp!$I$5+J164*Prislapp!$J$5+K164*Prislapp!$K$5+L164*Prislapp!$L$5+M164*Prislapp!$M$5+N164*Prislapp!$N$5</f>
        <v>6000</v>
      </c>
      <c r="R164" s="9">
        <f>VLOOKUP(A164,'Ansvar kurs'!$A$2:$B$943,2,FALSE)</f>
        <v>1650</v>
      </c>
      <c r="S164" s="176"/>
      <c r="T164" s="157"/>
      <c r="U164" s="157"/>
      <c r="V164" s="157"/>
      <c r="W164" s="157"/>
      <c r="X164" s="157"/>
      <c r="Y164" s="157"/>
      <c r="Z164" s="157"/>
    </row>
    <row r="165" spans="1:26" x14ac:dyDescent="0.25">
      <c r="A165" s="222" t="s">
        <v>1688</v>
      </c>
      <c r="B165" t="s">
        <v>1689</v>
      </c>
      <c r="D165" s="31">
        <v>1</v>
      </c>
      <c r="O165" s="40">
        <f>C165*Prislapp!$C$2+D165*Prislapp!$D$2+E165*Prislapp!$E$2+F165*Prislapp!$F$2+G165*Prislapp!$G$2+H165*Prislapp!$H$2+I165*Prislapp!$I$2+J165*Prislapp!$J$2+K165*Prislapp!$K$2+L165*Prislapp!$L$2+M165*Prislapp!$M$2+N165*Prislapp!$N$2</f>
        <v>20766</v>
      </c>
      <c r="P165" s="40">
        <f>C165*Prislapp!$C$3+D165*Prislapp!$D$3+E165*Prislapp!$E$3+F165*Prislapp!$F$3+G165*Prislapp!$G$3+H165*Prislapp!$H$3+I165*Prislapp!$I$3+J165*Prislapp!$J$3+K165*Prislapp!$K$3+M165*Prislapp!$M$3+N165*Prislapp!$N$3+L165*Prislapp!$L$3</f>
        <v>17442</v>
      </c>
      <c r="Q165" s="40">
        <f>C165*Prislapp!$C$5+D165*Prislapp!$D$5+E165*Prislapp!$E$5+F165*Prislapp!$F$5+G165*Prislapp!$G$5+H165*Prislapp!$H$5+I165*Prislapp!$I$5+J165*Prislapp!$J$5+K165*Prislapp!$K$5+L165*Prislapp!$L$5+M165*Prislapp!$M$5+N165*Prislapp!$N$5</f>
        <v>6000</v>
      </c>
      <c r="R165" s="9">
        <f>VLOOKUP(A165,'Ansvar kurs'!$A$2:$B$943,2,FALSE)</f>
        <v>1650</v>
      </c>
      <c r="S165" s="157"/>
      <c r="T165" s="157"/>
      <c r="U165" s="157"/>
      <c r="V165" s="157"/>
      <c r="W165" s="157"/>
      <c r="X165" s="157"/>
      <c r="Y165" s="157"/>
      <c r="Z165" s="157"/>
    </row>
    <row r="166" spans="1:26" x14ac:dyDescent="0.25">
      <c r="A166" s="222" t="s">
        <v>1681</v>
      </c>
      <c r="B166" s="60" t="s">
        <v>1683</v>
      </c>
      <c r="K166" s="31">
        <v>1</v>
      </c>
      <c r="O166" s="40">
        <f>C166*Prislapp!$C$2+D166*Prislapp!$D$2+E166*Prislapp!$E$2+F166*Prislapp!$F$2+G166*Prislapp!$G$2+H166*Prislapp!$H$2+I166*Prislapp!$I$2+J166*Prislapp!$J$2+K166*Prislapp!$K$2+L166*Prislapp!$L$2+M166*Prislapp!$M$2+N166*Prislapp!$N$2</f>
        <v>25235</v>
      </c>
      <c r="P166" s="40">
        <f>C166*Prislapp!$C$3+D166*Prislapp!$D$3+E166*Prislapp!$E$3+F166*Prislapp!$F$3+G166*Prislapp!$G$3+H166*Prislapp!$H$3+I166*Prislapp!$I$3+J166*Prislapp!$J$3+K166*Prislapp!$K$3+M166*Prislapp!$M$3+N166*Prislapp!$N$3+L166*Prislapp!$L$3</f>
        <v>27976</v>
      </c>
      <c r="Q166" s="40">
        <f>C166*Prislapp!$C$5+D166*Prislapp!$D$5+E166*Prislapp!$E$5+F166*Prislapp!$F$5+G166*Prislapp!$G$5+H166*Prislapp!$H$5+I166*Prislapp!$I$5+J166*Prislapp!$J$5+K166*Prislapp!$K$5+L166*Prislapp!$L$5+M166*Prislapp!$M$5+N166*Prislapp!$N$5</f>
        <v>3600</v>
      </c>
      <c r="R166" s="9">
        <f>VLOOKUP(A166,'Ansvar kurs'!$A$2:$B$943,2,FALSE)</f>
        <v>1650</v>
      </c>
      <c r="S166" s="176"/>
      <c r="T166" s="157"/>
      <c r="U166" s="157"/>
      <c r="V166" s="157"/>
      <c r="W166" s="157"/>
      <c r="X166" s="157"/>
      <c r="Y166" s="157"/>
      <c r="Z166" s="157"/>
    </row>
    <row r="167" spans="1:26" x14ac:dyDescent="0.25">
      <c r="A167" s="222" t="s">
        <v>1704</v>
      </c>
      <c r="B167" s="60" t="s">
        <v>1712</v>
      </c>
      <c r="M167" s="31">
        <v>1</v>
      </c>
      <c r="O167" s="40">
        <f>C167*Prislapp!$C$2+D167*Prislapp!$D$2+E167*Prislapp!$E$2+F167*Prislapp!$F$2+G167*Prislapp!$G$2+H167*Prislapp!$H$2+I167*Prislapp!$I$2+J167*Prislapp!$J$2+K167*Prislapp!$K$2+L167*Prislapp!$L$2+M167*Prislapp!$M$2+N167*Prislapp!$N$2</f>
        <v>16920</v>
      </c>
      <c r="P167" s="40">
        <f>C167*Prislapp!$C$3+D167*Prislapp!$D$3+E167*Prislapp!$E$3+F167*Prislapp!$F$3+G167*Prislapp!$G$3+H167*Prislapp!$H$3+I167*Prislapp!$I$3+J167*Prislapp!$J$3+K167*Prislapp!$K$3+M167*Prislapp!$M$3+N167*Prislapp!$N$3+L167*Prislapp!$L$3</f>
        <v>27913</v>
      </c>
      <c r="Q167" s="40">
        <f>C167*Prislapp!$C$5+D167*Prislapp!$D$5+E167*Prislapp!$E$5+F167*Prislapp!$F$5+G167*Prislapp!$G$5+H167*Prislapp!$H$5+I167*Prislapp!$I$5+J167*Prislapp!$J$5+K167*Prislapp!$K$5+L167*Prislapp!$L$5+M167*Prislapp!$M$5+N167*Prislapp!$N$5</f>
        <v>17900</v>
      </c>
      <c r="R167" s="9">
        <f>VLOOKUP(A167,'Ansvar kurs'!$A$2:$B$943,2,FALSE)</f>
        <v>1650</v>
      </c>
      <c r="S167" s="176"/>
      <c r="T167" s="157"/>
      <c r="U167" s="157"/>
      <c r="V167" s="157"/>
      <c r="W167" s="157"/>
      <c r="X167" s="157"/>
      <c r="Y167" s="157"/>
      <c r="Z167" s="157"/>
    </row>
    <row r="168" spans="1:26" x14ac:dyDescent="0.25">
      <c r="A168" s="222" t="s">
        <v>1763</v>
      </c>
      <c r="B168" s="60" t="s">
        <v>1773</v>
      </c>
      <c r="C168" s="31">
        <v>1</v>
      </c>
      <c r="D168" s="31">
        <v>0</v>
      </c>
      <c r="O168" s="40">
        <f>C168*Prislapp!$C$2+D168*Prislapp!$D$2+E168*Prislapp!$E$2+F168*Prislapp!$F$2+G168*Prislapp!$G$2+H168*Prislapp!$H$2+I168*Prislapp!$I$2+J168*Prislapp!$J$2+K168*Prislapp!$K$2+L168*Prislapp!$L$2+M168*Prislapp!$M$2+N168*Prislapp!$N$2</f>
        <v>51362</v>
      </c>
      <c r="P168" s="40">
        <f>C168*Prislapp!$C$3+D168*Prislapp!$D$3+E168*Prislapp!$E$3+F168*Prislapp!$F$3+G168*Prislapp!$G$3+H168*Prislapp!$H$3+I168*Prislapp!$I$3+J168*Prislapp!$J$3+K168*Prislapp!$K$3+M168*Prislapp!$M$3+N168*Prislapp!$N$3+L168*Prislapp!$L$3</f>
        <v>59096</v>
      </c>
      <c r="Q168" s="40">
        <f>C168*Prislapp!$C$5+D168*Prislapp!$D$5+E168*Prislapp!$E$5+F168*Prislapp!$F$5+G168*Prislapp!$G$5+H168*Prislapp!$H$5+I168*Prislapp!$I$5+J168*Prislapp!$J$5+K168*Prislapp!$K$5+L168*Prislapp!$L$5+M168*Prislapp!$M$5+N168*Prislapp!$N$5</f>
        <v>71500</v>
      </c>
      <c r="R168" s="9">
        <f>VLOOKUP(A168,'Ansvar kurs'!$A$2:$B$943,2,FALSE)</f>
        <v>1650</v>
      </c>
      <c r="S168" s="157" t="s">
        <v>1848</v>
      </c>
      <c r="T168" s="157"/>
      <c r="U168" s="157"/>
      <c r="V168" s="157"/>
      <c r="W168" s="157"/>
      <c r="X168" s="157"/>
      <c r="Y168" s="157"/>
      <c r="Z168" s="157"/>
    </row>
    <row r="169" spans="1:26" x14ac:dyDescent="0.25">
      <c r="A169" s="358" t="s">
        <v>1796</v>
      </c>
      <c r="B169" s="60" t="s">
        <v>1815</v>
      </c>
      <c r="C169" s="31">
        <v>1</v>
      </c>
      <c r="O169" s="40">
        <f>C169*Prislapp!$C$2+D169*Prislapp!$D$2+E169*Prislapp!$E$2+F169*Prislapp!$F$2+G169*Prislapp!$G$2+H169*Prislapp!$H$2+I169*Prislapp!$I$2+J169*Prislapp!$J$2+K169*Prislapp!$K$2+L169*Prislapp!$L$2+M169*Prislapp!$M$2+N169*Prislapp!$N$2</f>
        <v>51362</v>
      </c>
      <c r="P169" s="40">
        <f>C169*Prislapp!$C$3+D169*Prislapp!$D$3+E169*Prislapp!$E$3+F169*Prislapp!$F$3+G169*Prislapp!$G$3+H169*Prislapp!$H$3+I169*Prislapp!$I$3+J169*Prislapp!$J$3+K169*Prislapp!$K$3+M169*Prislapp!$M$3+N169*Prislapp!$N$3+L169*Prislapp!$L$3</f>
        <v>59096</v>
      </c>
      <c r="Q169" s="40">
        <f>C169*Prislapp!$C$5+D169*Prislapp!$D$5+E169*Prislapp!$E$5+F169*Prislapp!$F$5+G169*Prislapp!$G$5+H169*Prislapp!$H$5+I169*Prislapp!$I$5+J169*Prislapp!$J$5+K169*Prislapp!$K$5+L169*Prislapp!$L$5+M169*Prislapp!$M$5+N169*Prislapp!$N$5</f>
        <v>71500</v>
      </c>
      <c r="R169" s="9">
        <f>VLOOKUP(A169,'Ansvar kurs'!$A$2:$B$943,2,FALSE)</f>
        <v>1650</v>
      </c>
      <c r="S169" s="157"/>
      <c r="T169" s="157"/>
      <c r="U169" s="157"/>
      <c r="V169" s="157"/>
      <c r="W169" s="157"/>
      <c r="X169" s="157"/>
      <c r="Y169" s="157"/>
      <c r="Z169" s="157"/>
    </row>
    <row r="170" spans="1:26" x14ac:dyDescent="0.25">
      <c r="A170" s="157" t="s">
        <v>1824</v>
      </c>
      <c r="B170" s="31" t="s">
        <v>1790</v>
      </c>
      <c r="D170" s="31">
        <v>1</v>
      </c>
      <c r="O170" s="40">
        <f>C170*Prislapp!$C$2+D170*Prislapp!$D$2+E170*Prislapp!$E$2+F170*Prislapp!$F$2+G170*Prislapp!$G$2+H170*Prislapp!$H$2+I170*Prislapp!$I$2+J170*Prislapp!$J$2+K170*Prislapp!$K$2+L170*Prislapp!$L$2+M170*Prislapp!$M$2+N170*Prislapp!$N$2</f>
        <v>20766</v>
      </c>
      <c r="P170" s="40">
        <f>C170*Prislapp!$C$3+D170*Prislapp!$D$3+E170*Prislapp!$E$3+F170*Prislapp!$F$3+G170*Prislapp!$G$3+H170*Prislapp!$H$3+I170*Prislapp!$I$3+J170*Prislapp!$J$3+K170*Prislapp!$K$3+M170*Prislapp!$M$3+N170*Prislapp!$N$3+L170*Prislapp!$L$3</f>
        <v>17442</v>
      </c>
      <c r="Q170" s="40">
        <f>C170*Prislapp!$C$5+D170*Prislapp!$D$5+E170*Prislapp!$E$5+F170*Prislapp!$F$5+G170*Prislapp!$G$5+H170*Prislapp!$H$5+I170*Prislapp!$I$5+J170*Prislapp!$J$5+K170*Prislapp!$K$5+L170*Prislapp!$L$5+M170*Prislapp!$M$5+N170*Prislapp!$N$5</f>
        <v>6000</v>
      </c>
      <c r="R170" s="9">
        <f>VLOOKUP(A170,'Ansvar kurs'!$A$2:$B$943,2,FALSE)</f>
        <v>1650</v>
      </c>
      <c r="S170" s="157"/>
      <c r="T170" s="157"/>
      <c r="U170" s="157"/>
      <c r="V170" s="157"/>
      <c r="W170" s="157"/>
      <c r="X170" s="157"/>
      <c r="Y170" s="157"/>
      <c r="Z170" s="157"/>
    </row>
    <row r="171" spans="1:26" x14ac:dyDescent="0.25">
      <c r="A171" s="157" t="s">
        <v>1822</v>
      </c>
      <c r="B171" s="31" t="s">
        <v>1783</v>
      </c>
      <c r="C171" s="31">
        <v>1</v>
      </c>
      <c r="O171" s="40">
        <f>C171*Prislapp!$C$2+D171*Prislapp!$D$2+E171*Prislapp!$E$2+F171*Prislapp!$F$2+G171*Prislapp!$G$2+H171*Prislapp!$H$2+I171*Prislapp!$I$2+J171*Prislapp!$J$2+K171*Prislapp!$K$2+L171*Prislapp!$L$2+M171*Prislapp!$M$2+N171*Prislapp!$N$2</f>
        <v>51362</v>
      </c>
      <c r="P171" s="40">
        <f>C171*Prislapp!$C$3+D171*Prislapp!$D$3+E171*Prislapp!$E$3+F171*Prislapp!$F$3+G171*Prislapp!$G$3+H171*Prislapp!$H$3+I171*Prislapp!$I$3+J171*Prislapp!$J$3+K171*Prislapp!$K$3+M171*Prislapp!$M$3+N171*Prislapp!$N$3+L171*Prislapp!$L$3</f>
        <v>59096</v>
      </c>
      <c r="Q171" s="40">
        <f>C171*Prislapp!$C$5+D171*Prislapp!$D$5+E171*Prislapp!$E$5+F171*Prislapp!$F$5+G171*Prislapp!$G$5+H171*Prislapp!$H$5+I171*Prislapp!$I$5+J171*Prislapp!$J$5+K171*Prislapp!$K$5+L171*Prislapp!$L$5+M171*Prislapp!$M$5+N171*Prislapp!$N$5</f>
        <v>71500</v>
      </c>
      <c r="R171" s="9">
        <f>VLOOKUP(A171,'Ansvar kurs'!$A$2:$B$943,2,FALSE)</f>
        <v>1650</v>
      </c>
      <c r="S171" s="157"/>
      <c r="T171" s="157"/>
      <c r="U171" s="157"/>
      <c r="V171" s="157"/>
      <c r="W171" s="157"/>
      <c r="X171" s="157"/>
      <c r="Y171" s="157"/>
      <c r="Z171" s="157"/>
    </row>
    <row r="172" spans="1:26" x14ac:dyDescent="0.25">
      <c r="A172" s="157" t="s">
        <v>1823</v>
      </c>
      <c r="B172" s="31" t="s">
        <v>1784</v>
      </c>
      <c r="C172" s="31">
        <v>1</v>
      </c>
      <c r="O172" s="40">
        <f>C172*Prislapp!$C$2+D172*Prislapp!$D$2+E172*Prislapp!$E$2+F172*Prislapp!$F$2+G172*Prislapp!$G$2+H172*Prislapp!$H$2+I172*Prislapp!$I$2+J172*Prislapp!$J$2+K172*Prislapp!$K$2+L172*Prislapp!$L$2+M172*Prislapp!$M$2+N172*Prislapp!$N$2</f>
        <v>51362</v>
      </c>
      <c r="P172" s="40">
        <f>C172*Prislapp!$C$3+D172*Prislapp!$D$3+E172*Prislapp!$E$3+F172*Prislapp!$F$3+G172*Prislapp!$G$3+H172*Prislapp!$H$3+I172*Prislapp!$I$3+J172*Prislapp!$J$3+K172*Prislapp!$K$3+M172*Prislapp!$M$3+N172*Prislapp!$N$3+L172*Prislapp!$L$3</f>
        <v>59096</v>
      </c>
      <c r="Q172" s="40">
        <f>C172*Prislapp!$C$5+D172*Prislapp!$D$5+E172*Prislapp!$E$5+F172*Prislapp!$F$5+G172*Prislapp!$G$5+H172*Prislapp!$H$5+I172*Prislapp!$I$5+J172*Prislapp!$J$5+K172*Prislapp!$K$5+L172*Prislapp!$L$5+M172*Prislapp!$M$5+N172*Prislapp!$N$5</f>
        <v>71500</v>
      </c>
      <c r="R172" s="9">
        <f>VLOOKUP(A172,'Ansvar kurs'!$A$2:$B$943,2,FALSE)</f>
        <v>1650</v>
      </c>
      <c r="S172" s="157"/>
      <c r="T172" s="157"/>
      <c r="U172" s="157"/>
      <c r="V172" s="157"/>
      <c r="W172" s="157"/>
      <c r="X172" s="157"/>
      <c r="Y172" s="157"/>
      <c r="Z172" s="157"/>
    </row>
    <row r="173" spans="1:26" x14ac:dyDescent="0.25">
      <c r="A173" s="176" t="s">
        <v>1940</v>
      </c>
      <c r="B173" s="57" t="s">
        <v>1965</v>
      </c>
      <c r="D173" s="31">
        <v>1</v>
      </c>
      <c r="O173" s="40">
        <f>C173*Prislapp!$C$2+D173*Prislapp!$D$2+E173*Prislapp!$E$2+F173*Prislapp!$F$2+G173*Prislapp!$G$2+H173*Prislapp!$H$2+I173*Prislapp!$I$2+J173*Prislapp!$J$2+K173*Prislapp!$K$2+L173*Prislapp!$L$2+M173*Prislapp!$M$2+N173*Prislapp!$N$2</f>
        <v>20766</v>
      </c>
      <c r="P173" s="40">
        <f>C173*Prislapp!$C$3+D173*Prislapp!$D$3+E173*Prislapp!$E$3+F173*Prislapp!$F$3+G173*Prislapp!$G$3+H173*Prislapp!$H$3+I173*Prislapp!$I$3+J173*Prislapp!$J$3+K173*Prislapp!$K$3+M173*Prislapp!$M$3+N173*Prislapp!$N$3+L173*Prislapp!$L$3</f>
        <v>17442</v>
      </c>
      <c r="Q173" s="40">
        <f>C173*Prislapp!$C$5+D173*Prislapp!$D$5+E173*Prislapp!$E$5+F173*Prislapp!$F$5+G173*Prislapp!$G$5+H173*Prislapp!$H$5+I173*Prislapp!$I$5+J173*Prislapp!$J$5+K173*Prislapp!$K$5+L173*Prislapp!$L$5+M173*Prislapp!$M$5+N173*Prislapp!$N$5</f>
        <v>6000</v>
      </c>
      <c r="R173" s="9">
        <f>VLOOKUP(A173,'Ansvar kurs'!$A$2:$B$943,2,FALSE)</f>
        <v>1650</v>
      </c>
      <c r="S173" s="176" t="s">
        <v>1970</v>
      </c>
      <c r="T173" s="157"/>
      <c r="U173" s="157"/>
      <c r="V173" s="157"/>
      <c r="W173" s="157"/>
      <c r="X173" s="157"/>
      <c r="Y173" s="157"/>
      <c r="Z173" s="157"/>
    </row>
    <row r="174" spans="1:26" x14ac:dyDescent="0.25">
      <c r="A174" s="31" t="s">
        <v>1988</v>
      </c>
      <c r="B174" s="31" t="s">
        <v>1814</v>
      </c>
      <c r="C174" s="31">
        <v>1</v>
      </c>
      <c r="O174" s="40">
        <f>C174*Prislapp!$C$2+D174*Prislapp!$D$2+E174*Prislapp!$E$2+F174*Prislapp!$F$2+G174*Prislapp!$G$2+H174*Prislapp!$H$2+I174*Prislapp!$I$2+J174*Prislapp!$J$2+K174*Prislapp!$K$2+L174*Prislapp!$L$2+M174*Prislapp!$M$2+N174*Prislapp!$N$2</f>
        <v>51362</v>
      </c>
      <c r="P174" s="40">
        <f>C174*Prislapp!$C$3+D174*Prislapp!$D$3+E174*Prislapp!$E$3+F174*Prislapp!$F$3+G174*Prislapp!$G$3+H174*Prislapp!$H$3+I174*Prislapp!$I$3+J174*Prislapp!$J$3+K174*Prislapp!$K$3+M174*Prislapp!$M$3+N174*Prislapp!$N$3+L174*Prislapp!$L$3</f>
        <v>59096</v>
      </c>
      <c r="Q174" s="40">
        <f>C174*Prislapp!$C$5+D174*Prislapp!$D$5+E174*Prislapp!$E$5+F174*Prislapp!$F$5+G174*Prislapp!$G$5+H174*Prislapp!$H$5+I174*Prislapp!$I$5+J174*Prislapp!$J$5+K174*Prislapp!$K$5+L174*Prislapp!$L$5+M174*Prislapp!$M$5+N174*Prislapp!$N$5</f>
        <v>71500</v>
      </c>
      <c r="R174" s="9">
        <f>VLOOKUP(A174,'Ansvar kurs'!$A$2:$B$943,2,FALSE)</f>
        <v>1650</v>
      </c>
      <c r="S174" s="157"/>
      <c r="T174" s="157"/>
      <c r="U174" s="157"/>
      <c r="V174" s="157"/>
      <c r="W174" s="157"/>
      <c r="X174" s="157"/>
      <c r="Y174" s="157"/>
      <c r="Z174" s="157"/>
    </row>
    <row r="175" spans="1:26" x14ac:dyDescent="0.25">
      <c r="A175" s="222" t="s">
        <v>1939</v>
      </c>
      <c r="B175" s="31" t="s">
        <v>1595</v>
      </c>
      <c r="C175" s="31">
        <v>1</v>
      </c>
      <c r="O175" s="40">
        <f>C175*Prislapp!$C$2+D175*Prislapp!$D$2+E175*Prislapp!$E$2+F175*Prislapp!$F$2+G175*Prislapp!$G$2+H175*Prislapp!$H$2+I175*Prislapp!$I$2+J175*Prislapp!$J$2+K175*Prislapp!$K$2+L175*Prislapp!$L$2+M175*Prislapp!$M$2+N175*Prislapp!$N$2</f>
        <v>51362</v>
      </c>
      <c r="P175" s="40">
        <f>C175*Prislapp!$C$3+D175*Prislapp!$D$3+E175*Prislapp!$E$3+F175*Prislapp!$F$3+G175*Prislapp!$G$3+H175*Prislapp!$H$3+I175*Prislapp!$I$3+J175*Prislapp!$J$3+K175*Prislapp!$K$3+M175*Prislapp!$M$3+N175*Prislapp!$N$3+L175*Prislapp!$L$3</f>
        <v>59096</v>
      </c>
      <c r="Q175" s="40">
        <f>C175*Prislapp!$C$5+D175*Prislapp!$D$5+E175*Prislapp!$E$5+F175*Prislapp!$F$5+G175*Prislapp!$G$5+H175*Prislapp!$H$5+I175*Prislapp!$I$5+J175*Prislapp!$J$5+K175*Prislapp!$K$5+L175*Prislapp!$L$5+M175*Prislapp!$M$5+N175*Prislapp!$N$5</f>
        <v>71500</v>
      </c>
      <c r="R175" s="9">
        <f>VLOOKUP(A175,'Ansvar kurs'!$A$2:$B$943,2,FALSE)</f>
        <v>1650</v>
      </c>
      <c r="S175" s="157" t="s">
        <v>1971</v>
      </c>
      <c r="T175" s="157"/>
      <c r="U175" s="157"/>
      <c r="V175" s="157"/>
      <c r="W175" s="157"/>
      <c r="X175" s="157"/>
      <c r="Y175" s="157"/>
      <c r="Z175" s="157"/>
    </row>
    <row r="176" spans="1:26" x14ac:dyDescent="0.25">
      <c r="A176" s="222" t="s">
        <v>2089</v>
      </c>
      <c r="B176" s="60" t="s">
        <v>668</v>
      </c>
      <c r="C176" s="57">
        <v>1</v>
      </c>
      <c r="O176" s="40">
        <f>C176*Prislapp!$C$2+D176*Prislapp!$D$2+E176*Prislapp!$E$2+F176*Prislapp!$F$2+G176*Prislapp!$G$2+H176*Prislapp!$H$2+I176*Prislapp!$I$2+J176*Prislapp!$J$2+K176*Prislapp!$K$2+L176*Prislapp!$L$2+M176*Prislapp!$M$2+N176*Prislapp!$N$2</f>
        <v>51362</v>
      </c>
      <c r="P176" s="40">
        <f>C176*Prislapp!$C$3+D176*Prislapp!$D$3+E176*Prislapp!$E$3+F176*Prislapp!$F$3+G176*Prislapp!$G$3+H176*Prislapp!$H$3+I176*Prislapp!$I$3+J176*Prislapp!$J$3+K176*Prislapp!$K$3+M176*Prislapp!$M$3+N176*Prislapp!$N$3+L176*Prislapp!$L$3</f>
        <v>59096</v>
      </c>
      <c r="Q176" s="40">
        <f>C176*Prislapp!$C$5+D176*Prislapp!$D$5+E176*Prislapp!$E$5+F176*Prislapp!$F$5+G176*Prislapp!$G$5+H176*Prislapp!$H$5+I176*Prislapp!$I$5+J176*Prislapp!$J$5+K176*Prislapp!$K$5+L176*Prislapp!$L$5+M176*Prislapp!$M$5+N176*Prislapp!$N$5</f>
        <v>71500</v>
      </c>
      <c r="R176" s="9">
        <f>VLOOKUP(A176,'Ansvar kurs'!$A$2:$B$943,2,FALSE)</f>
        <v>1650</v>
      </c>
      <c r="S176" s="157"/>
      <c r="T176" s="157"/>
      <c r="U176" s="157"/>
      <c r="V176" s="157"/>
      <c r="W176" s="157"/>
      <c r="X176" s="157"/>
      <c r="Y176" s="157"/>
      <c r="Z176" s="157"/>
    </row>
    <row r="177" spans="1:26" x14ac:dyDescent="0.25">
      <c r="A177" s="31" t="s">
        <v>2039</v>
      </c>
      <c r="B177" s="31" t="s">
        <v>759</v>
      </c>
      <c r="C177" s="31">
        <v>1</v>
      </c>
      <c r="O177" s="40">
        <f>C177*Prislapp!$C$2+D177*Prislapp!$D$2+E177*Prislapp!$E$2+F177*Prislapp!$F$2+G177*Prislapp!$G$2+H177*Prislapp!$H$2+I177*Prislapp!$I$2+J177*Prislapp!$J$2+K177*Prislapp!$K$2+L177*Prislapp!$L$2+M177*Prislapp!$M$2+N177*Prislapp!$N$2</f>
        <v>51362</v>
      </c>
      <c r="P177" s="40">
        <f>C177*Prislapp!$C$3+D177*Prislapp!$D$3+E177*Prislapp!$E$3+F177*Prislapp!$F$3+G177*Prislapp!$G$3+H177*Prislapp!$H$3+I177*Prislapp!$I$3+J177*Prislapp!$J$3+K177*Prislapp!$K$3+M177*Prislapp!$M$3+N177*Prislapp!$N$3+L177*Prislapp!$L$3</f>
        <v>59096</v>
      </c>
      <c r="Q177" s="40">
        <f>C177*Prislapp!$C$5+D177*Prislapp!$D$5+E177*Prislapp!$E$5+F177*Prislapp!$F$5+G177*Prislapp!$G$5+H177*Prislapp!$H$5+I177*Prislapp!$I$5+J177*Prislapp!$J$5+K177*Prislapp!$K$5+L177*Prislapp!$L$5+M177*Prislapp!$M$5+N177*Prislapp!$N$5</f>
        <v>71500</v>
      </c>
      <c r="R177" s="9">
        <f>VLOOKUP(A177,'Ansvar kurs'!$A$2:$B$943,2,FALSE)</f>
        <v>1650</v>
      </c>
      <c r="S177" s="157"/>
      <c r="T177" s="157"/>
      <c r="U177" s="157"/>
      <c r="V177" s="157"/>
      <c r="W177" s="157"/>
      <c r="X177" s="157"/>
      <c r="Y177" s="157"/>
      <c r="Z177" s="157"/>
    </row>
    <row r="178" spans="1:26" x14ac:dyDescent="0.25">
      <c r="A178" s="222" t="s">
        <v>1989</v>
      </c>
      <c r="B178" s="31" t="s">
        <v>534</v>
      </c>
      <c r="C178" s="31">
        <v>1</v>
      </c>
      <c r="O178" s="40">
        <f>C178*Prislapp!$C$2+D178*Prislapp!$D$2+E178*Prislapp!$E$2+F178*Prislapp!$F$2+G178*Prislapp!$G$2+H178*Prislapp!$H$2+I178*Prislapp!$I$2+J178*Prislapp!$J$2+K178*Prislapp!$K$2+L178*Prislapp!$L$2+M178*Prislapp!$M$2+N178*Prislapp!$N$2</f>
        <v>51362</v>
      </c>
      <c r="P178" s="40">
        <f>C178*Prislapp!$C$3+D178*Prislapp!$D$3+E178*Prislapp!$E$3+F178*Prislapp!$F$3+G178*Prislapp!$G$3+H178*Prislapp!$H$3+I178*Prislapp!$I$3+J178*Prislapp!$J$3+K178*Prislapp!$K$3+M178*Prislapp!$M$3+N178*Prislapp!$N$3+L178*Prislapp!$L$3</f>
        <v>59096</v>
      </c>
      <c r="Q178" s="40">
        <f>C178*Prislapp!$C$5+D178*Prislapp!$D$5+E178*Prislapp!$E$5+F178*Prislapp!$F$5+G178*Prislapp!$G$5+H178*Prislapp!$H$5+I178*Prislapp!$I$5+J178*Prislapp!$J$5+K178*Prislapp!$K$5+L178*Prislapp!$L$5+M178*Prislapp!$M$5+N178*Prislapp!$N$5</f>
        <v>71500</v>
      </c>
      <c r="R178" s="9">
        <f>VLOOKUP(A178,'Ansvar kurs'!$A$2:$B$943,2,FALSE)</f>
        <v>1650</v>
      </c>
      <c r="S178" s="157"/>
      <c r="T178" s="157"/>
      <c r="U178" s="157"/>
      <c r="V178" s="157"/>
      <c r="W178" s="157"/>
      <c r="X178" s="157"/>
      <c r="Y178" s="157"/>
      <c r="Z178" s="157"/>
    </row>
    <row r="179" spans="1:26" x14ac:dyDescent="0.25">
      <c r="A179" s="222" t="s">
        <v>1990</v>
      </c>
      <c r="B179" s="31" t="s">
        <v>535</v>
      </c>
      <c r="C179" s="31">
        <v>1</v>
      </c>
      <c r="O179" s="40">
        <f>C179*Prislapp!$C$2+D179*Prislapp!$D$2+E179*Prislapp!$E$2+F179*Prislapp!$F$2+G179*Prislapp!$G$2+H179*Prislapp!$H$2+I179*Prislapp!$I$2+J179*Prislapp!$J$2+K179*Prislapp!$K$2+L179*Prislapp!$L$2+M179*Prislapp!$M$2+N179*Prislapp!$N$2</f>
        <v>51362</v>
      </c>
      <c r="P179" s="40">
        <f>C179*Prislapp!$C$3+D179*Prislapp!$D$3+E179*Prislapp!$E$3+F179*Prislapp!$F$3+G179*Prislapp!$G$3+H179*Prislapp!$H$3+I179*Prislapp!$I$3+J179*Prislapp!$J$3+K179*Prislapp!$K$3+M179*Prislapp!$M$3+N179*Prislapp!$N$3+L179*Prislapp!$L$3</f>
        <v>59096</v>
      </c>
      <c r="Q179" s="40">
        <f>C179*Prislapp!$C$5+D179*Prislapp!$D$5+E179*Prislapp!$E$5+F179*Prislapp!$F$5+G179*Prislapp!$G$5+H179*Prislapp!$H$5+I179*Prislapp!$I$5+J179*Prislapp!$J$5+K179*Prislapp!$K$5+L179*Prislapp!$L$5+M179*Prislapp!$M$5+N179*Prislapp!$N$5</f>
        <v>71500</v>
      </c>
      <c r="R179" s="9">
        <f>VLOOKUP(A179,'Ansvar kurs'!$A$2:$B$943,2,FALSE)</f>
        <v>1650</v>
      </c>
      <c r="S179" s="157"/>
      <c r="T179" s="157"/>
      <c r="U179" s="157"/>
      <c r="V179" s="157"/>
      <c r="W179" s="157"/>
      <c r="X179" s="157"/>
      <c r="Y179" s="157"/>
      <c r="Z179" s="157"/>
    </row>
    <row r="180" spans="1:26" x14ac:dyDescent="0.25">
      <c r="A180" s="60" t="s">
        <v>1979</v>
      </c>
      <c r="B180" s="31" t="s">
        <v>1392</v>
      </c>
      <c r="M180" s="31">
        <v>1</v>
      </c>
      <c r="O180" s="40">
        <f>C180*Prislapp!$C$2+D180*Prislapp!$D$2+E180*Prislapp!$E$2+F180*Prislapp!$F$2+G180*Prislapp!$G$2+H180*Prislapp!$H$2+I180*Prislapp!$I$2+J180*Prislapp!$J$2+K180*Prislapp!$K$2+L180*Prislapp!$L$2+M180*Prislapp!$M$2+N180*Prislapp!$N$2</f>
        <v>16920</v>
      </c>
      <c r="P180" s="40">
        <f>C180*Prislapp!$C$3+D180*Prislapp!$D$3+E180*Prislapp!$E$3+F180*Prislapp!$F$3+G180*Prislapp!$G$3+H180*Prislapp!$H$3+I180*Prislapp!$I$3+J180*Prislapp!$J$3+K180*Prislapp!$K$3+M180*Prislapp!$M$3+N180*Prislapp!$N$3+L180*Prislapp!$L$3</f>
        <v>27913</v>
      </c>
      <c r="Q180" s="40">
        <f>C180*Prislapp!$C$5+D180*Prislapp!$D$5+E180*Prislapp!$E$5+F180*Prislapp!$F$5+G180*Prislapp!$G$5+H180*Prislapp!$H$5+I180*Prislapp!$I$5+J180*Prislapp!$J$5+K180*Prislapp!$K$5+L180*Prislapp!$L$5+M180*Prislapp!$M$5+N180*Prislapp!$N$5</f>
        <v>17900</v>
      </c>
      <c r="R180" s="9">
        <f>VLOOKUP(A180,'Ansvar kurs'!$A$2:$B$943,2,FALSE)</f>
        <v>1650</v>
      </c>
    </row>
    <row r="181" spans="1:26" x14ac:dyDescent="0.25">
      <c r="A181" s="222" t="s">
        <v>1991</v>
      </c>
      <c r="B181" s="31" t="s">
        <v>1994</v>
      </c>
      <c r="K181" s="31">
        <v>1</v>
      </c>
      <c r="O181" s="40">
        <f>C181*Prislapp!$C$2+D181*Prislapp!$D$2+E181*Prislapp!$E$2+F181*Prislapp!$F$2+G181*Prislapp!$G$2+H181*Prislapp!$H$2+I181*Prislapp!$I$2+J181*Prislapp!$J$2+K181*Prislapp!$K$2+L181*Prislapp!$L$2+M181*Prislapp!$M$2+N181*Prislapp!$N$2</f>
        <v>25235</v>
      </c>
      <c r="P181" s="40">
        <f>C181*Prislapp!$C$3+D181*Prislapp!$D$3+E181*Prislapp!$E$3+F181*Prislapp!$F$3+G181*Prislapp!$G$3+H181*Prislapp!$H$3+I181*Prislapp!$I$3+J181*Prislapp!$J$3+K181*Prislapp!$K$3+M181*Prislapp!$M$3+N181*Prislapp!$N$3+L181*Prislapp!$L$3</f>
        <v>27976</v>
      </c>
      <c r="Q181" s="40">
        <f>C181*Prislapp!$C$5+D181*Prislapp!$D$5+E181*Prislapp!$E$5+F181*Prislapp!$F$5+G181*Prislapp!$G$5+H181*Prislapp!$H$5+I181*Prislapp!$I$5+J181*Prislapp!$J$5+K181*Prislapp!$K$5+L181*Prislapp!$L$5+M181*Prislapp!$M$5+N181*Prislapp!$N$5</f>
        <v>3600</v>
      </c>
      <c r="R181" s="9">
        <f>VLOOKUP(A181,'Ansvar kurs'!$A$2:$B$943,2,FALSE)</f>
        <v>1650</v>
      </c>
    </row>
    <row r="182" spans="1:26" x14ac:dyDescent="0.25">
      <c r="A182" s="222" t="s">
        <v>2072</v>
      </c>
      <c r="B182" s="31" t="s">
        <v>2077</v>
      </c>
      <c r="K182" s="31">
        <v>1</v>
      </c>
      <c r="O182" s="40">
        <f>C182*Prislapp!$C$2+D182*Prislapp!$D$2+E182*Prislapp!$E$2+F182*Prislapp!$F$2+G182*Prislapp!$G$2+H182*Prislapp!$H$2+I182*Prislapp!$I$2+J182*Prislapp!$J$2+K182*Prislapp!$K$2+L182*Prislapp!$L$2+M182*Prislapp!$M$2+N182*Prislapp!$N$2</f>
        <v>25235</v>
      </c>
      <c r="P182" s="40">
        <f>C182*Prislapp!$C$3+D182*Prislapp!$D$3+E182*Prislapp!$E$3+F182*Prislapp!$F$3+G182*Prislapp!$G$3+H182*Prislapp!$H$3+I182*Prislapp!$I$3+J182*Prislapp!$J$3+K182*Prislapp!$K$3+M182*Prislapp!$M$3+N182*Prislapp!$N$3+L182*Prislapp!$L$3</f>
        <v>27976</v>
      </c>
      <c r="Q182" s="40">
        <f>C182*Prislapp!$C$5+D182*Prislapp!$D$5+E182*Prislapp!$E$5+F182*Prislapp!$F$5+G182*Prislapp!$G$5+H182*Prislapp!$H$5+I182*Prislapp!$I$5+J182*Prislapp!$J$5+K182*Prislapp!$K$5+L182*Prislapp!$L$5+M182*Prislapp!$M$5+N182*Prislapp!$N$5</f>
        <v>3600</v>
      </c>
      <c r="R182" s="9">
        <f>VLOOKUP(A182,'Ansvar kurs'!$A$2:$B$943,2,FALSE)</f>
        <v>1650</v>
      </c>
    </row>
    <row r="183" spans="1:26" x14ac:dyDescent="0.25">
      <c r="A183" s="222" t="s">
        <v>1992</v>
      </c>
      <c r="B183" s="31" t="s">
        <v>1995</v>
      </c>
      <c r="K183" s="31">
        <v>1</v>
      </c>
      <c r="O183" s="40">
        <f>C183*Prislapp!$C$2+D183*Prislapp!$D$2+E183*Prislapp!$E$2+F183*Prislapp!$F$2+G183*Prislapp!$G$2+H183*Prislapp!$H$2+I183*Prislapp!$I$2+J183*Prislapp!$J$2+K183*Prislapp!$K$2+L183*Prislapp!$L$2+M183*Prislapp!$M$2+N183*Prislapp!$N$2</f>
        <v>25235</v>
      </c>
      <c r="P183" s="40">
        <f>C183*Prislapp!$C$3+D183*Prislapp!$D$3+E183*Prislapp!$E$3+F183*Prislapp!$F$3+G183*Prislapp!$G$3+H183*Prislapp!$H$3+I183*Prislapp!$I$3+J183*Prislapp!$J$3+K183*Prislapp!$K$3+M183*Prislapp!$M$3+N183*Prislapp!$N$3+L183*Prislapp!$L$3</f>
        <v>27976</v>
      </c>
      <c r="Q183" s="40">
        <f>C183*Prislapp!$C$5+D183*Prislapp!$D$5+E183*Prislapp!$E$5+F183*Prislapp!$F$5+G183*Prislapp!$G$5+H183*Prislapp!$H$5+I183*Prislapp!$I$5+J183*Prislapp!$J$5+K183*Prislapp!$K$5+L183*Prislapp!$L$5+M183*Prislapp!$M$5+N183*Prislapp!$N$5</f>
        <v>3600</v>
      </c>
      <c r="R183" s="9">
        <f>VLOOKUP(A183,'Ansvar kurs'!$A$2:$B$943,2,FALSE)</f>
        <v>1650</v>
      </c>
    </row>
    <row r="184" spans="1:26" x14ac:dyDescent="0.25">
      <c r="A184" s="157" t="s">
        <v>2020</v>
      </c>
      <c r="B184" s="57" t="s">
        <v>2021</v>
      </c>
      <c r="D184" s="375">
        <v>1</v>
      </c>
      <c r="O184" s="40">
        <f>C184*Prislapp!$C$2+D184*Prislapp!$D$2+E184*Prislapp!$E$2+F184*Prislapp!$F$2+G184*Prislapp!$G$2+H184*Prislapp!$H$2+I184*Prislapp!$I$2+J184*Prislapp!$J$2+K184*Prislapp!$K$2+L184*Prislapp!$L$2+M184*Prislapp!$M$2+N184*Prislapp!$N$2</f>
        <v>20766</v>
      </c>
      <c r="P184" s="40">
        <f>C184*Prislapp!$C$3+D184*Prislapp!$D$3+E184*Prislapp!$E$3+F184*Prislapp!$F$3+G184*Prislapp!$G$3+H184*Prislapp!$H$3+I184*Prislapp!$I$3+J184*Prislapp!$J$3+K184*Prislapp!$K$3+M184*Prislapp!$M$3+N184*Prislapp!$N$3+L184*Prislapp!$L$3</f>
        <v>17442</v>
      </c>
      <c r="Q184" s="40">
        <f>C184*Prislapp!$C$5+D184*Prislapp!$D$5+E184*Prislapp!$E$5+F184*Prislapp!$F$5+G184*Prislapp!$G$5+H184*Prislapp!$H$5+I184*Prislapp!$I$5+J184*Prislapp!$J$5+K184*Prislapp!$K$5+L184*Prislapp!$L$5+M184*Prislapp!$M$5+N184*Prislapp!$N$5</f>
        <v>6000</v>
      </c>
      <c r="R184" s="9">
        <f>VLOOKUP(A184,'Ansvar kurs'!$A$2:$B$943,2,FALSE)</f>
        <v>1650</v>
      </c>
      <c r="S184" s="176" t="s">
        <v>1953</v>
      </c>
      <c r="T184" s="157"/>
      <c r="U184" s="157"/>
      <c r="V184" s="157"/>
      <c r="W184" s="157"/>
      <c r="X184" s="157"/>
      <c r="Y184" s="157"/>
      <c r="Z184" s="157"/>
    </row>
    <row r="185" spans="1:26" x14ac:dyDescent="0.25">
      <c r="A185" s="57" t="s">
        <v>2015</v>
      </c>
      <c r="B185" s="31" t="s">
        <v>536</v>
      </c>
      <c r="C185" s="31">
        <v>1</v>
      </c>
      <c r="O185" s="40">
        <f>C185*Prislapp!$C$2+D185*Prislapp!$D$2+E185*Prislapp!$E$2+F185*Prislapp!$F$2+G185*Prislapp!$G$2+H185*Prislapp!$H$2+I185*Prislapp!$I$2+J185*Prislapp!$J$2+K185*Prislapp!$K$2+L185*Prislapp!$L$2+M185*Prislapp!$M$2+N185*Prislapp!$N$2</f>
        <v>51362</v>
      </c>
      <c r="P185" s="40">
        <f>C185*Prislapp!$C$3+D185*Prislapp!$D$3+E185*Prislapp!$E$3+F185*Prislapp!$F$3+G185*Prislapp!$G$3+H185*Prislapp!$H$3+I185*Prislapp!$I$3+J185*Prislapp!$J$3+K185*Prislapp!$K$3+M185*Prislapp!$M$3+N185*Prislapp!$N$3+L185*Prislapp!$L$3</f>
        <v>59096</v>
      </c>
      <c r="Q185" s="40">
        <f>C185*Prislapp!$C$5+D185*Prislapp!$D$5+E185*Prislapp!$E$5+F185*Prislapp!$F$5+G185*Prislapp!$G$5+H185*Prislapp!$H$5+I185*Prislapp!$I$5+J185*Prislapp!$J$5+K185*Prislapp!$K$5+L185*Prislapp!$L$5+M185*Prislapp!$M$5+N185*Prislapp!$N$5</f>
        <v>71500</v>
      </c>
      <c r="R185" s="9">
        <f>VLOOKUP(A185,'Ansvar kurs'!$A$2:$B$943,2,FALSE)</f>
        <v>1650</v>
      </c>
      <c r="S185" s="157"/>
      <c r="T185" s="157"/>
      <c r="U185" s="157"/>
      <c r="V185" s="157"/>
      <c r="W185" s="157"/>
      <c r="X185" s="157"/>
      <c r="Y185" s="157"/>
      <c r="Z185" s="157"/>
    </row>
    <row r="186" spans="1:26" x14ac:dyDescent="0.25">
      <c r="A186" s="18" t="s">
        <v>2040</v>
      </c>
      <c r="B186" s="60" t="s">
        <v>1304</v>
      </c>
      <c r="C186" s="31">
        <v>1</v>
      </c>
      <c r="O186" s="40">
        <f>C186*Prislapp!$C$2+D186*Prislapp!$D$2+E186*Prislapp!$E$2+F186*Prislapp!$F$2+G186*Prislapp!$G$2+H186*Prislapp!$H$2+I186*Prislapp!$I$2+J186*Prislapp!$J$2+K186*Prislapp!$K$2+L186*Prislapp!$L$2+M186*Prislapp!$M$2+N186*Prislapp!$N$2</f>
        <v>51362</v>
      </c>
      <c r="P186" s="40">
        <f>C186*Prislapp!$C$3+D186*Prislapp!$D$3+E186*Prislapp!$E$3+F186*Prislapp!$F$3+G186*Prislapp!$G$3+H186*Prislapp!$H$3+I186*Prislapp!$I$3+J186*Prislapp!$J$3+K186*Prislapp!$K$3+M186*Prislapp!$M$3+N186*Prislapp!$N$3+L186*Prislapp!$L$3</f>
        <v>59096</v>
      </c>
      <c r="Q186" s="40">
        <f>C186*Prislapp!$C$5+D186*Prislapp!$D$5+E186*Prislapp!$E$5+F186*Prislapp!$F$5+G186*Prislapp!$G$5+H186*Prislapp!$H$5+I186*Prislapp!$I$5+J186*Prislapp!$J$5+K186*Prislapp!$K$5+L186*Prislapp!$L$5+M186*Prislapp!$M$5+N186*Prislapp!$N$5</f>
        <v>71500</v>
      </c>
      <c r="R186" s="9">
        <f>VLOOKUP(A186,'Ansvar kurs'!$A$2:$B$943,2,FALSE)</f>
        <v>1650</v>
      </c>
      <c r="S186" s="157"/>
      <c r="T186" s="157"/>
      <c r="U186" s="157"/>
      <c r="V186" s="157"/>
      <c r="W186" s="157"/>
      <c r="X186" s="157"/>
      <c r="Y186" s="157"/>
      <c r="Z186" s="157"/>
    </row>
    <row r="187" spans="1:26" x14ac:dyDescent="0.25">
      <c r="A187" s="157" t="s">
        <v>2025</v>
      </c>
      <c r="B187" s="31" t="s">
        <v>1964</v>
      </c>
      <c r="D187" s="57">
        <v>1</v>
      </c>
      <c r="O187" s="40">
        <f>C187*Prislapp!$C$2+D187*Prislapp!$D$2+E187*Prislapp!$E$2+F187*Prislapp!$F$2+G187*Prislapp!$G$2+H187*Prislapp!$H$2+I187*Prislapp!$I$2+J187*Prislapp!$J$2+K187*Prislapp!$K$2+L187*Prislapp!$L$2+M187*Prislapp!$M$2+N187*Prislapp!$N$2</f>
        <v>20766</v>
      </c>
      <c r="P187" s="40">
        <f>C187*Prislapp!$C$3+D187*Prislapp!$D$3+E187*Prislapp!$E$3+F187*Prislapp!$F$3+G187*Prislapp!$G$3+H187*Prislapp!$H$3+I187*Prislapp!$I$3+J187*Prislapp!$J$3+K187*Prislapp!$K$3+M187*Prislapp!$M$3+N187*Prislapp!$N$3+L187*Prislapp!$L$3</f>
        <v>17442</v>
      </c>
      <c r="Q187" s="40">
        <f>C187*Prislapp!$C$5+D187*Prislapp!$D$5+E187*Prislapp!$E$5+F187*Prislapp!$F$5+G187*Prislapp!$G$5+H187*Prislapp!$H$5+I187*Prislapp!$I$5+J187*Prislapp!$J$5+K187*Prislapp!$K$5+L187*Prislapp!$L$5+M187*Prislapp!$M$5+N187*Prislapp!$N$5</f>
        <v>6000</v>
      </c>
      <c r="R187" s="9">
        <f>VLOOKUP(A187,'Ansvar kurs'!$A$2:$B$943,2,FALSE)</f>
        <v>1650</v>
      </c>
      <c r="S187" s="176"/>
      <c r="T187" s="157"/>
      <c r="U187" s="157"/>
      <c r="V187" s="157"/>
      <c r="W187" s="157"/>
      <c r="X187" s="157"/>
      <c r="Y187" s="157"/>
      <c r="Z187" s="157"/>
    </row>
    <row r="188" spans="1:26" x14ac:dyDescent="0.25">
      <c r="A188" s="31" t="s">
        <v>1977</v>
      </c>
      <c r="B188" s="31" t="s">
        <v>1919</v>
      </c>
      <c r="C188" s="31">
        <v>1</v>
      </c>
      <c r="O188" s="40">
        <f>C188*Prislapp!$C$2+D188*Prislapp!$D$2+E188*Prislapp!$E$2+F188*Prislapp!$F$2+G188*Prislapp!$G$2+H188*Prislapp!$H$2+I188*Prislapp!$I$2+J188*Prislapp!$J$2+K188*Prislapp!$K$2+L188*Prislapp!$L$2+M188*Prislapp!$M$2+N188*Prislapp!$N$2</f>
        <v>51362</v>
      </c>
      <c r="P188" s="40">
        <f>C188*Prislapp!$C$3+D188*Prislapp!$D$3+E188*Prislapp!$E$3+F188*Prislapp!$F$3+G188*Prislapp!$G$3+H188*Prislapp!$H$3+I188*Prislapp!$I$3+J188*Prislapp!$J$3+K188*Prislapp!$K$3+M188*Prislapp!$M$3+N188*Prislapp!$N$3+L188*Prislapp!$L$3</f>
        <v>59096</v>
      </c>
      <c r="Q188" s="40">
        <f>C188*Prislapp!$C$5+D188*Prislapp!$D$5+E188*Prislapp!$E$5+F188*Prislapp!$F$5+G188*Prislapp!$G$5+H188*Prislapp!$H$5+I188*Prislapp!$I$5+J188*Prislapp!$J$5+K188*Prislapp!$K$5+L188*Prislapp!$L$5+M188*Prislapp!$M$5+N188*Prislapp!$N$5</f>
        <v>71500</v>
      </c>
      <c r="R188" s="9">
        <f>VLOOKUP(A188,'Ansvar kurs'!$A$2:$B$943,2,FALSE)</f>
        <v>1650</v>
      </c>
      <c r="S188" s="157"/>
      <c r="T188" s="157"/>
      <c r="U188" s="157"/>
      <c r="V188" s="157"/>
      <c r="W188" s="157"/>
      <c r="X188" s="157"/>
      <c r="Y188" s="157"/>
      <c r="Z188" s="157"/>
    </row>
    <row r="189" spans="1:26" x14ac:dyDescent="0.25">
      <c r="A189" s="157" t="s">
        <v>2024</v>
      </c>
      <c r="B189" s="31" t="s">
        <v>1963</v>
      </c>
      <c r="C189" s="31">
        <v>1</v>
      </c>
      <c r="O189" s="40">
        <f>C189*Prislapp!$C$2+D189*Prislapp!$D$2+E189*Prislapp!$E$2+F189*Prislapp!$F$2+G189*Prislapp!$G$2+H189*Prislapp!$H$2+I189*Prislapp!$I$2+J189*Prislapp!$J$2+K189*Prislapp!$K$2+L189*Prislapp!$L$2+M189*Prislapp!$M$2+N189*Prislapp!$N$2</f>
        <v>51362</v>
      </c>
      <c r="P189" s="40">
        <f>C189*Prislapp!$C$3+D189*Prislapp!$D$3+E189*Prislapp!$E$3+F189*Prislapp!$F$3+G189*Prislapp!$G$3+H189*Prislapp!$H$3+I189*Prislapp!$I$3+J189*Prislapp!$J$3+K189*Prislapp!$K$3+M189*Prislapp!$M$3+N189*Prislapp!$N$3+L189*Prislapp!$L$3</f>
        <v>59096</v>
      </c>
      <c r="Q189" s="40">
        <f>C189*Prislapp!$C$5+D189*Prislapp!$D$5+E189*Prislapp!$E$5+F189*Prislapp!$F$5+G189*Prislapp!$G$5+H189*Prislapp!$H$5+I189*Prislapp!$I$5+J189*Prislapp!$J$5+K189*Prislapp!$K$5+L189*Prislapp!$L$5+M189*Prislapp!$M$5+N189*Prislapp!$N$5</f>
        <v>71500</v>
      </c>
      <c r="R189" s="9">
        <f>VLOOKUP(A189,'Ansvar kurs'!$A$2:$B$943,2,FALSE)</f>
        <v>1650</v>
      </c>
      <c r="S189" s="157"/>
      <c r="T189" s="157"/>
      <c r="U189" s="157"/>
      <c r="V189" s="157"/>
      <c r="W189" s="157"/>
      <c r="X189" s="157"/>
      <c r="Y189" s="157"/>
      <c r="Z189" s="157"/>
    </row>
    <row r="190" spans="1:26" x14ac:dyDescent="0.25">
      <c r="A190" s="157" t="s">
        <v>2038</v>
      </c>
      <c r="B190" s="31" t="s">
        <v>606</v>
      </c>
      <c r="C190" s="31">
        <v>1</v>
      </c>
      <c r="O190" s="40">
        <f>C190*Prislapp!$C$2+D190*Prislapp!$D$2+E190*Prislapp!$E$2+F190*Prislapp!$F$2+G190*Prislapp!$G$2+H190*Prislapp!$H$2+I190*Prislapp!$I$2+J190*Prislapp!$J$2+K190*Prislapp!$K$2+L190*Prislapp!$L$2+M190*Prislapp!$M$2+N190*Prislapp!$N$2</f>
        <v>51362</v>
      </c>
      <c r="P190" s="40">
        <f>C190*Prislapp!$C$3+D190*Prislapp!$D$3+E190*Prislapp!$E$3+F190*Prislapp!$F$3+G190*Prislapp!$G$3+H190*Prislapp!$H$3+I190*Prislapp!$I$3+J190*Prislapp!$J$3+K190*Prislapp!$K$3+M190*Prislapp!$M$3+N190*Prislapp!$N$3+L190*Prislapp!$L$3</f>
        <v>59096</v>
      </c>
      <c r="Q190" s="40">
        <f>C190*Prislapp!$C$5+D190*Prislapp!$D$5+E190*Prislapp!$E$5+F190*Prislapp!$F$5+G190*Prislapp!$G$5+H190*Prislapp!$H$5+I190*Prislapp!$I$5+J190*Prislapp!$J$5+K190*Prislapp!$K$5+L190*Prislapp!$L$5+M190*Prislapp!$M$5+N190*Prislapp!$N$5</f>
        <v>71500</v>
      </c>
      <c r="R190" s="9">
        <f>VLOOKUP(A190,'Ansvar kurs'!$A$2:$B$943,2,FALSE)</f>
        <v>1650</v>
      </c>
      <c r="S190" s="157"/>
      <c r="T190" s="157"/>
      <c r="U190" s="157"/>
      <c r="V190" s="157"/>
      <c r="W190" s="157"/>
      <c r="X190" s="157"/>
      <c r="Y190" s="157"/>
      <c r="Z190" s="157"/>
    </row>
    <row r="191" spans="1:26" x14ac:dyDescent="0.25">
      <c r="A191" s="358" t="s">
        <v>2229</v>
      </c>
      <c r="B191" s="31" t="s">
        <v>2263</v>
      </c>
      <c r="J191" s="31">
        <v>1</v>
      </c>
      <c r="O191" s="40">
        <f>C191*Prislapp!$C$2+D191*Prislapp!$D$2+E191*Prislapp!$E$2+F191*Prislapp!$F$2+G191*Prislapp!$G$2+H191*Prislapp!$H$2+I191*Prislapp!$I$2+J191*Prislapp!$J$2+K191*Prislapp!$K$2+L191*Prislapp!$L$2+M191*Prislapp!$M$2+N191*Prislapp!$N$2</f>
        <v>20757</v>
      </c>
      <c r="P191" s="40">
        <f>C191*Prislapp!$C$3+D191*Prislapp!$D$3+E191*Prislapp!$E$3+F191*Prislapp!$F$3+G191*Prislapp!$G$3+H191*Prislapp!$H$3+I191*Prislapp!$I$3+J191*Prislapp!$J$3+K191*Prislapp!$K$3+M191*Prislapp!$M$3+N191*Prislapp!$N$3+L191*Prislapp!$L$3</f>
        <v>36082</v>
      </c>
      <c r="Q191" s="40">
        <f>C191*Prislapp!$C$5+D191*Prislapp!$D$5+E191*Prislapp!$E$5+F191*Prislapp!$F$5+G191*Prislapp!$G$5+H191*Prislapp!$H$5+I191*Prislapp!$I$5+J191*Prislapp!$J$5+K191*Prislapp!$K$5+L191*Prislapp!$L$5+M191*Prislapp!$M$5+N191*Prislapp!$N$5</f>
        <v>22600</v>
      </c>
      <c r="R191" s="9">
        <f>VLOOKUP(A191,'Ansvar kurs'!$A$2:$B$943,2,FALSE)</f>
        <v>1650</v>
      </c>
      <c r="S191" s="157"/>
      <c r="T191" s="157"/>
      <c r="U191" s="157"/>
      <c r="V191" s="157"/>
      <c r="W191" s="157"/>
      <c r="X191" s="157"/>
      <c r="Y191" s="157"/>
      <c r="Z191" s="157"/>
    </row>
    <row r="192" spans="1:26" x14ac:dyDescent="0.25">
      <c r="A192" s="397" t="s">
        <v>2090</v>
      </c>
      <c r="B192" s="60" t="s">
        <v>665</v>
      </c>
      <c r="C192" s="489">
        <v>0.75</v>
      </c>
      <c r="D192" s="57">
        <v>0.25</v>
      </c>
      <c r="O192" s="40">
        <f>C192*Prislapp!$C$2+D192*Prislapp!$D$2+E192*Prislapp!$E$2+F192*Prislapp!$F$2+G192*Prislapp!$G$2+H192*Prislapp!$H$2+I192*Prislapp!$I$2+J192*Prislapp!$J$2+K192*Prislapp!$K$2+L192*Prislapp!$L$2+M192*Prislapp!$M$2+N192*Prislapp!$N$2</f>
        <v>43713</v>
      </c>
      <c r="P192" s="40">
        <f>C192*Prislapp!$C$3+D192*Prislapp!$D$3+E192*Prislapp!$E$3+F192*Prislapp!$F$3+G192*Prislapp!$G$3+H192*Prislapp!$H$3+I192*Prislapp!$I$3+J192*Prislapp!$J$3+K192*Prislapp!$K$3+M192*Prislapp!$M$3+N192*Prislapp!$N$3+L192*Prislapp!$L$3</f>
        <v>48682.5</v>
      </c>
      <c r="Q192" s="40">
        <f>C192*Prislapp!$C$5+D192*Prislapp!$D$5+E192*Prislapp!$E$5+F192*Prislapp!$F$5+G192*Prislapp!$G$5+H192*Prislapp!$H$5+I192*Prislapp!$I$5+J192*Prislapp!$J$5+K192*Prislapp!$K$5+L192*Prislapp!$L$5+M192*Prislapp!$M$5+N192*Prislapp!$N$5</f>
        <v>55125</v>
      </c>
      <c r="R192" s="9">
        <f>VLOOKUP(A192,'Ansvar kurs'!$A$2:$B$943,2,FALSE)</f>
        <v>1650</v>
      </c>
      <c r="S192" s="176"/>
      <c r="T192" s="157"/>
      <c r="U192" s="157"/>
      <c r="V192" s="157"/>
      <c r="W192" s="157"/>
      <c r="X192" s="157"/>
      <c r="Y192" s="157"/>
      <c r="Z192" s="157"/>
    </row>
    <row r="193" spans="1:26" x14ac:dyDescent="0.25">
      <c r="A193" s="397" t="s">
        <v>2464</v>
      </c>
      <c r="B193" s="60" t="s">
        <v>2476</v>
      </c>
      <c r="C193" s="489"/>
      <c r="D193" s="57"/>
      <c r="K193" s="31">
        <v>1</v>
      </c>
      <c r="O193" s="40">
        <f>C193*Prislapp!$C$2+D193*Prislapp!$D$2+E193*Prislapp!$E$2+F193*Prislapp!$F$2+G193*Prislapp!$G$2+H193*Prislapp!$H$2+I193*Prislapp!$I$2+J193*Prislapp!$J$2+K193*Prislapp!$K$2+L193*Prislapp!$L$2+M193*Prislapp!$M$2+N193*Prislapp!$N$2</f>
        <v>25235</v>
      </c>
      <c r="P193" s="40">
        <f>C193*Prislapp!$C$3+D193*Prislapp!$D$3+E193*Prislapp!$E$3+F193*Prislapp!$F$3+G193*Prislapp!$G$3+H193*Prislapp!$H$3+I193*Prislapp!$I$3+J193*Prislapp!$J$3+K193*Prislapp!$K$3+M193*Prislapp!$M$3+N193*Prislapp!$N$3+L193*Prislapp!$L$3</f>
        <v>27976</v>
      </c>
      <c r="Q193" s="40">
        <f>C193*Prislapp!$C$5+D193*Prislapp!$D$5+E193*Prislapp!$E$5+F193*Prislapp!$F$5+G193*Prislapp!$G$5+H193*Prislapp!$H$5+I193*Prislapp!$I$5+J193*Prislapp!$J$5+K193*Prislapp!$K$5+L193*Prislapp!$L$5+M193*Prislapp!$M$5+N193*Prislapp!$N$5</f>
        <v>3600</v>
      </c>
      <c r="R193" s="9">
        <f>VLOOKUP(A193,'Ansvar kurs'!$A$2:$B$943,2,FALSE)</f>
        <v>1650</v>
      </c>
      <c r="S193" s="176"/>
      <c r="T193" s="157"/>
      <c r="U193" s="157"/>
      <c r="V193" s="157"/>
      <c r="W193" s="157"/>
      <c r="X193" s="157"/>
      <c r="Y193" s="157"/>
      <c r="Z193" s="157"/>
    </row>
    <row r="194" spans="1:26" x14ac:dyDescent="0.25">
      <c r="A194" s="397" t="s">
        <v>2383</v>
      </c>
      <c r="B194" s="60" t="s">
        <v>2406</v>
      </c>
      <c r="C194" s="489"/>
      <c r="D194" s="57">
        <v>1</v>
      </c>
      <c r="O194" s="40">
        <f>C194*Prislapp!$C$2+D194*Prislapp!$D$2+E194*Prislapp!$E$2+F194*Prislapp!$F$2+G194*Prislapp!$G$2+H194*Prislapp!$H$2+I194*Prislapp!$I$2+J194*Prislapp!$J$2+K194*Prislapp!$K$2+L194*Prislapp!$L$2+M194*Prislapp!$M$2+N194*Prislapp!$N$2</f>
        <v>20766</v>
      </c>
      <c r="P194" s="40">
        <f>C194*Prislapp!$C$3+D194*Prislapp!$D$3+E194*Prislapp!$E$3+F194*Prislapp!$F$3+G194*Prislapp!$G$3+H194*Prislapp!$H$3+I194*Prislapp!$I$3+J194*Prislapp!$J$3+K194*Prislapp!$K$3+M194*Prislapp!$M$3+N194*Prislapp!$N$3+L194*Prislapp!$L$3</f>
        <v>17442</v>
      </c>
      <c r="Q194" s="40">
        <f>C194*Prislapp!$C$5+D194*Prislapp!$D$5+E194*Prislapp!$E$5+F194*Prislapp!$F$5+G194*Prislapp!$G$5+H194*Prislapp!$H$5+I194*Prislapp!$I$5+J194*Prislapp!$J$5+K194*Prislapp!$K$5+L194*Prislapp!$L$5+M194*Prislapp!$M$5+N194*Prislapp!$N$5</f>
        <v>6000</v>
      </c>
      <c r="R194" s="9">
        <f>VLOOKUP(A194,'Ansvar kurs'!$A$2:$B$943,2,FALSE)</f>
        <v>1650</v>
      </c>
      <c r="S194" s="176"/>
      <c r="T194" s="157"/>
      <c r="U194" s="157"/>
      <c r="V194" s="157"/>
      <c r="W194" s="157"/>
      <c r="X194" s="157"/>
      <c r="Y194" s="157"/>
      <c r="Z194" s="157"/>
    </row>
    <row r="195" spans="1:26" x14ac:dyDescent="0.25">
      <c r="A195" s="397" t="s">
        <v>2465</v>
      </c>
      <c r="B195" s="60" t="s">
        <v>2477</v>
      </c>
      <c r="C195" s="489"/>
      <c r="D195" s="57"/>
      <c r="J195" s="31">
        <v>1</v>
      </c>
      <c r="O195" s="40">
        <f>C195*Prislapp!$C$2+D195*Prislapp!$D$2+E195*Prislapp!$E$2+F195*Prislapp!$F$2+G195*Prislapp!$G$2+H195*Prislapp!$H$2+I195*Prislapp!$I$2+J195*Prislapp!$J$2+K195*Prislapp!$K$2+L195*Prislapp!$L$2+M195*Prislapp!$M$2+N195*Prislapp!$N$2</f>
        <v>20757</v>
      </c>
      <c r="P195" s="40">
        <f>C195*Prislapp!$C$3+D195*Prislapp!$D$3+E195*Prislapp!$E$3+F195*Prislapp!$F$3+G195*Prislapp!$G$3+H195*Prislapp!$H$3+I195*Prislapp!$I$3+J195*Prislapp!$J$3+K195*Prislapp!$K$3+M195*Prislapp!$M$3+N195*Prislapp!$N$3+L195*Prislapp!$L$3</f>
        <v>36082</v>
      </c>
      <c r="Q195" s="40">
        <f>C195*Prislapp!$C$5+D195*Prislapp!$D$5+E195*Prislapp!$E$5+F195*Prislapp!$F$5+G195*Prislapp!$G$5+H195*Prislapp!$H$5+I195*Prislapp!$I$5+J195*Prislapp!$J$5+K195*Prislapp!$K$5+L195*Prislapp!$L$5+M195*Prislapp!$M$5+N195*Prislapp!$N$5</f>
        <v>22600</v>
      </c>
      <c r="R195" s="9">
        <f>VLOOKUP(A195,'Ansvar kurs'!$A$2:$B$943,2,FALSE)</f>
        <v>1650</v>
      </c>
      <c r="S195" s="176"/>
      <c r="T195" s="157"/>
      <c r="U195" s="157"/>
      <c r="V195" s="157"/>
      <c r="W195" s="157"/>
      <c r="X195" s="157"/>
      <c r="Y195" s="157"/>
      <c r="Z195" s="157"/>
    </row>
    <row r="196" spans="1:26" x14ac:dyDescent="0.25">
      <c r="A196" s="397" t="s">
        <v>2466</v>
      </c>
      <c r="B196" s="60" t="s">
        <v>2478</v>
      </c>
      <c r="C196" s="489"/>
      <c r="D196" s="57"/>
      <c r="K196" s="31">
        <v>1</v>
      </c>
      <c r="O196" s="40">
        <f>C196*Prislapp!$C$2+D196*Prislapp!$D$2+E196*Prislapp!$E$2+F196*Prislapp!$F$2+G196*Prislapp!$G$2+H196*Prislapp!$H$2+I196*Prislapp!$I$2+J196*Prislapp!$J$2+K196*Prislapp!$K$2+L196*Prislapp!$L$2+M196*Prislapp!$M$2+N196*Prislapp!$N$2</f>
        <v>25235</v>
      </c>
      <c r="P196" s="40">
        <f>C196*Prislapp!$C$3+D196*Prislapp!$D$3+E196*Prislapp!$E$3+F196*Prislapp!$F$3+G196*Prislapp!$G$3+H196*Prislapp!$H$3+I196*Prislapp!$I$3+J196*Prislapp!$J$3+K196*Prislapp!$K$3+M196*Prislapp!$M$3+N196*Prislapp!$N$3+L196*Prislapp!$L$3</f>
        <v>27976</v>
      </c>
      <c r="Q196" s="40">
        <f>C196*Prislapp!$C$5+D196*Prislapp!$D$5+E196*Prislapp!$E$5+F196*Prislapp!$F$5+G196*Prislapp!$G$5+H196*Prislapp!$H$5+I196*Prislapp!$I$5+J196*Prislapp!$J$5+K196*Prislapp!$K$5+L196*Prislapp!$L$5+M196*Prislapp!$M$5+N196*Prislapp!$N$5</f>
        <v>3600</v>
      </c>
      <c r="R196" s="9">
        <f>VLOOKUP(A196,'Ansvar kurs'!$A$2:$B$943,2,FALSE)</f>
        <v>1650</v>
      </c>
      <c r="S196" s="176"/>
      <c r="T196" s="157"/>
      <c r="U196" s="157"/>
      <c r="V196" s="157"/>
      <c r="W196" s="157"/>
      <c r="X196" s="157"/>
      <c r="Y196" s="157"/>
      <c r="Z196" s="157"/>
    </row>
    <row r="197" spans="1:26" x14ac:dyDescent="0.25">
      <c r="A197" s="397" t="s">
        <v>2467</v>
      </c>
      <c r="B197" s="60" t="s">
        <v>2479</v>
      </c>
      <c r="C197" s="489"/>
      <c r="D197" s="57"/>
      <c r="K197" s="31">
        <v>1</v>
      </c>
      <c r="O197" s="40">
        <f>C197*Prislapp!$C$2+D197*Prislapp!$D$2+E197*Prislapp!$E$2+F197*Prislapp!$F$2+G197*Prislapp!$G$2+H197*Prislapp!$H$2+I197*Prislapp!$I$2+J197*Prislapp!$J$2+K197*Prislapp!$K$2+L197*Prislapp!$L$2+M197*Prislapp!$M$2+N197*Prislapp!$N$2</f>
        <v>25235</v>
      </c>
      <c r="P197" s="40">
        <f>C197*Prislapp!$C$3+D197*Prislapp!$D$3+E197*Prislapp!$E$3+F197*Prislapp!$F$3+G197*Prislapp!$G$3+H197*Prislapp!$H$3+I197*Prislapp!$I$3+J197*Prislapp!$J$3+K197*Prislapp!$K$3+M197*Prislapp!$M$3+N197*Prislapp!$N$3+L197*Prislapp!$L$3</f>
        <v>27976</v>
      </c>
      <c r="Q197" s="40">
        <f>C197*Prislapp!$C$5+D197*Prislapp!$D$5+E197*Prislapp!$E$5+F197*Prislapp!$F$5+G197*Prislapp!$G$5+H197*Prislapp!$H$5+I197*Prislapp!$I$5+J197*Prislapp!$J$5+K197*Prislapp!$K$5+L197*Prislapp!$L$5+M197*Prislapp!$M$5+N197*Prislapp!$N$5</f>
        <v>3600</v>
      </c>
      <c r="R197" s="9">
        <f>VLOOKUP(A197,'Ansvar kurs'!$A$2:$B$943,2,FALSE)</f>
        <v>1650</v>
      </c>
      <c r="S197" s="176"/>
      <c r="T197" s="157"/>
      <c r="U197" s="157"/>
      <c r="V197" s="157"/>
      <c r="W197" s="157"/>
      <c r="X197" s="157"/>
      <c r="Y197" s="157"/>
      <c r="Z197" s="157"/>
    </row>
    <row r="198" spans="1:26" x14ac:dyDescent="0.25">
      <c r="A198" s="397" t="s">
        <v>2373</v>
      </c>
      <c r="B198" s="60" t="s">
        <v>2374</v>
      </c>
      <c r="C198" s="489"/>
      <c r="D198" s="57"/>
      <c r="M198" s="31">
        <v>1</v>
      </c>
      <c r="O198" s="40">
        <f>C198*Prislapp!$C$2+D198*Prislapp!$D$2+E198*Prislapp!$E$2+F198*Prislapp!$F$2+G198*Prislapp!$G$2+H198*Prislapp!$H$2+I198*Prislapp!$I$2+J198*Prislapp!$J$2+K198*Prislapp!$K$2+L198*Prislapp!$L$2+M198*Prislapp!$M$2+N198*Prislapp!$N$2</f>
        <v>16920</v>
      </c>
      <c r="P198" s="40">
        <f>C198*Prislapp!$C$3+D198*Prislapp!$D$3+E198*Prislapp!$E$3+F198*Prislapp!$F$3+G198*Prislapp!$G$3+H198*Prislapp!$H$3+I198*Prislapp!$I$3+J198*Prislapp!$J$3+K198*Prislapp!$K$3+M198*Prislapp!$M$3+N198*Prislapp!$N$3+L198*Prislapp!$L$3</f>
        <v>27913</v>
      </c>
      <c r="Q198" s="40">
        <f>C198*Prislapp!$C$5+D198*Prislapp!$D$5+E198*Prislapp!$E$5+F198*Prislapp!$F$5+G198*Prislapp!$G$5+H198*Prislapp!$H$5+I198*Prislapp!$I$5+J198*Prislapp!$J$5+K198*Prislapp!$K$5+L198*Prislapp!$L$5+M198*Prislapp!$M$5+N198*Prislapp!$N$5</f>
        <v>17900</v>
      </c>
      <c r="R198" s="9">
        <f>VLOOKUP(A198,'Ansvar kurs'!$A$2:$B$943,2,FALSE)</f>
        <v>1650</v>
      </c>
      <c r="S198" s="176"/>
      <c r="T198" s="157"/>
      <c r="U198" s="157"/>
      <c r="V198" s="157"/>
      <c r="W198" s="157"/>
      <c r="X198" s="157"/>
      <c r="Y198" s="157"/>
      <c r="Z198" s="157"/>
    </row>
    <row r="199" spans="1:26" x14ac:dyDescent="0.25">
      <c r="A199" s="397" t="s">
        <v>2372</v>
      </c>
      <c r="B199" s="60" t="s">
        <v>1565</v>
      </c>
      <c r="C199" s="489"/>
      <c r="D199" s="57"/>
      <c r="M199" s="31">
        <v>1</v>
      </c>
      <c r="O199" s="40">
        <f>C199*Prislapp!$C$2+D199*Prislapp!$D$2+E199*Prislapp!$E$2+F199*Prislapp!$F$2+G199*Prislapp!$G$2+H199*Prislapp!$H$2+I199*Prislapp!$I$2+J199*Prislapp!$J$2+K199*Prislapp!$K$2+L199*Prislapp!$L$2+M199*Prislapp!$M$2+N199*Prislapp!$N$2</f>
        <v>16920</v>
      </c>
      <c r="P199" s="40">
        <f>C199*Prislapp!$C$3+D199*Prislapp!$D$3+E199*Prislapp!$E$3+F199*Prislapp!$F$3+G199*Prislapp!$G$3+H199*Prislapp!$H$3+I199*Prislapp!$I$3+J199*Prislapp!$J$3+K199*Prislapp!$K$3+M199*Prislapp!$M$3+N199*Prislapp!$N$3+L199*Prislapp!$L$3</f>
        <v>27913</v>
      </c>
      <c r="Q199" s="40">
        <f>C199*Prislapp!$C$5+D199*Prislapp!$D$5+E199*Prislapp!$E$5+F199*Prislapp!$F$5+G199*Prislapp!$G$5+H199*Prislapp!$H$5+I199*Prislapp!$I$5+J199*Prislapp!$J$5+K199*Prislapp!$K$5+L199*Prislapp!$L$5+M199*Prislapp!$M$5+N199*Prislapp!$N$5</f>
        <v>17900</v>
      </c>
      <c r="R199" s="9">
        <f>VLOOKUP(A199,'Ansvar kurs'!$A$2:$B$943,2,FALSE)</f>
        <v>1650</v>
      </c>
      <c r="S199" s="176"/>
      <c r="T199" s="157"/>
      <c r="U199" s="157"/>
      <c r="V199" s="157"/>
      <c r="W199" s="157"/>
      <c r="X199" s="157"/>
      <c r="Y199" s="157"/>
      <c r="Z199" s="157"/>
    </row>
    <row r="200" spans="1:26" x14ac:dyDescent="0.25">
      <c r="A200" s="358" t="s">
        <v>1236</v>
      </c>
      <c r="B200" s="60" t="s">
        <v>1247</v>
      </c>
      <c r="L200" s="31">
        <v>1</v>
      </c>
      <c r="O200" s="40">
        <f>C200*Prislapp!$C$2+D200*Prislapp!$D$2+E200*Prislapp!$E$2+F200*Prislapp!$F$2+G200*Prislapp!$G$2+H200*Prislapp!$H$2+I200*Prislapp!$I$2+J200*Prislapp!$J$2+K200*Prislapp!$K$2+L200*Prislapp!$L$2+M200*Prislapp!$M$2+N200*Prislapp!$N$2</f>
        <v>20766</v>
      </c>
      <c r="P200" s="40">
        <f>C200*Prislapp!$C$3+D200*Prislapp!$D$3+E200*Prislapp!$E$3+F200*Prislapp!$F$3+G200*Prislapp!$G$3+H200*Prislapp!$H$3+I200*Prislapp!$I$3+J200*Prislapp!$J$3+K200*Prislapp!$K$3+M200*Prislapp!$M$3+N200*Prislapp!$N$3+L200*Prislapp!$L$3</f>
        <v>17442</v>
      </c>
      <c r="Q200" s="40">
        <f>C200*Prislapp!$C$5+D200*Prislapp!$D$5+E200*Prislapp!$E$5+F200*Prislapp!$F$5+G200*Prislapp!$G$5+H200*Prislapp!$H$5+I200*Prislapp!$I$5+J200*Prislapp!$J$5+K200*Prislapp!$K$5+L200*Prislapp!$L$5+M200*Prislapp!$M$5+N200*Prislapp!$N$5</f>
        <v>6000</v>
      </c>
      <c r="R200" s="9">
        <f>VLOOKUP(A200,'Ansvar kurs'!$A$2:$B$943,2,FALSE)</f>
        <v>6000</v>
      </c>
      <c r="S200" s="157"/>
      <c r="T200" s="157"/>
      <c r="U200" s="157"/>
      <c r="V200" s="157"/>
      <c r="W200" s="157"/>
      <c r="X200" s="157"/>
      <c r="Y200" s="157"/>
      <c r="Z200" s="157"/>
    </row>
    <row r="201" spans="1:26" x14ac:dyDescent="0.25">
      <c r="A201" s="222" t="s">
        <v>1744</v>
      </c>
      <c r="B201" s="60" t="s">
        <v>1752</v>
      </c>
      <c r="L201" s="31">
        <v>1</v>
      </c>
      <c r="O201" s="40">
        <f>C201*Prislapp!$C$2+D201*Prislapp!$D$2+E201*Prislapp!$E$2+F201*Prislapp!$F$2+G201*Prislapp!$G$2+H201*Prislapp!$H$2+I201*Prislapp!$I$2+J201*Prislapp!$J$2+K201*Prislapp!$K$2+L201*Prislapp!$L$2+M201*Prislapp!$M$2+N201*Prislapp!$N$2</f>
        <v>20766</v>
      </c>
      <c r="P201" s="40">
        <f>C201*Prislapp!$C$3+D201*Prislapp!$D$3+E201*Prislapp!$E$3+F201*Prislapp!$F$3+G201*Prislapp!$G$3+H201*Prislapp!$H$3+I201*Prislapp!$I$3+J201*Prislapp!$J$3+K201*Prislapp!$K$3+M201*Prislapp!$M$3+N201*Prislapp!$N$3+L201*Prislapp!$L$3</f>
        <v>17442</v>
      </c>
      <c r="Q201" s="40">
        <f>C201*Prislapp!$C$5+D201*Prislapp!$D$5+E201*Prislapp!$E$5+F201*Prislapp!$F$5+G201*Prislapp!$G$5+H201*Prislapp!$H$5+I201*Prislapp!$I$5+J201*Prislapp!$J$5+K201*Prislapp!$K$5+L201*Prislapp!$L$5+M201*Prislapp!$M$5+N201*Prislapp!$N$5</f>
        <v>6000</v>
      </c>
      <c r="R201" s="9">
        <f>VLOOKUP(A201,'Ansvar kurs'!$A$2:$B$943,2,FALSE)</f>
        <v>6000</v>
      </c>
      <c r="S201" s="157"/>
      <c r="T201" s="157"/>
      <c r="U201" s="157"/>
      <c r="V201" s="157"/>
      <c r="W201" s="157"/>
      <c r="X201" s="157"/>
      <c r="Y201" s="157"/>
      <c r="Z201" s="157"/>
    </row>
    <row r="202" spans="1:26" x14ac:dyDescent="0.25">
      <c r="A202" s="221" t="s">
        <v>522</v>
      </c>
      <c r="B202" s="31" t="s">
        <v>330</v>
      </c>
      <c r="F202" s="31">
        <v>1</v>
      </c>
      <c r="O202" s="40">
        <f>C202*Prislapp!$C$2+D202*Prislapp!$D$2+E202*Prislapp!$E$2+F202*Prislapp!$F$2+G202*Prislapp!$G$2+H202*Prislapp!$H$2+I202*Prislapp!$I$2+J202*Prislapp!$J$2+K202*Prislapp!$K$2+L202*Prislapp!$L$2+M202*Prislapp!$M$2+N202*Prislapp!$N$2</f>
        <v>26554</v>
      </c>
      <c r="P202" s="40">
        <f>C202*Prislapp!$C$3+D202*Prislapp!$D$3+E202*Prislapp!$E$3+F202*Prislapp!$F$3+G202*Prislapp!$G$3+H202*Prislapp!$H$3+I202*Prislapp!$I$3+J202*Prislapp!$J$3+K202*Prislapp!$K$3+M202*Prislapp!$M$3+N202*Prislapp!$N$3+L202*Prislapp!$L$3</f>
        <v>33465</v>
      </c>
      <c r="Q202" s="40">
        <f>C202*Prislapp!$C$5+D202*Prislapp!$D$5+E202*Prislapp!$E$5+F202*Prislapp!$F$5+G202*Prislapp!$G$5+H202*Prislapp!$H$5+I202*Prislapp!$I$5+J202*Prislapp!$J$5+K202*Prislapp!$K$5+L202*Prislapp!$L$5+M202*Prislapp!$M$5+N202*Prislapp!$N$5</f>
        <v>6000</v>
      </c>
      <c r="R202" s="9">
        <f>VLOOKUP(A202,'Ansvar kurs'!$A$2:$B$943,2,FALSE)</f>
        <v>6000</v>
      </c>
      <c r="S202" s="157"/>
      <c r="T202" s="157"/>
      <c r="U202" s="157"/>
      <c r="V202" s="157"/>
      <c r="W202" s="157"/>
      <c r="X202" s="157"/>
      <c r="Y202" s="157"/>
      <c r="Z202" s="157"/>
    </row>
    <row r="203" spans="1:26" x14ac:dyDescent="0.25">
      <c r="A203" s="221" t="s">
        <v>2087</v>
      </c>
      <c r="B203" s="31" t="s">
        <v>2088</v>
      </c>
      <c r="I203" s="370">
        <v>1</v>
      </c>
      <c r="O203" s="40">
        <f>C203*Prislapp!$C$2+D203*Prislapp!$D$2+E203*Prislapp!$E$2+F203*Prislapp!$F$2+G203*Prislapp!$G$2+H203*Prislapp!$H$2+I203*Prislapp!$I$2+J203*Prislapp!$J$2+K203*Prislapp!$K$2+L203*Prislapp!$L$2+M203*Prislapp!$M$2+N203*Prislapp!$N$2</f>
        <v>20766</v>
      </c>
      <c r="P203" s="40">
        <f>C203*Prislapp!$C$3+D203*Prislapp!$D$3+E203*Prislapp!$E$3+F203*Prislapp!$F$3+G203*Prislapp!$G$3+H203*Prislapp!$H$3+I203*Prislapp!$I$3+J203*Prislapp!$J$3+K203*Prislapp!$K$3+M203*Prislapp!$M$3+N203*Prislapp!$N$3+L203*Prislapp!$L$3</f>
        <v>17442</v>
      </c>
      <c r="Q203" s="40">
        <f>C203*Prislapp!$C$5+D203*Prislapp!$D$5+E203*Prislapp!$E$5+F203*Prislapp!$F$5+G203*Prislapp!$G$5+H203*Prislapp!$H$5+I203*Prislapp!$I$5+J203*Prislapp!$J$5+K203*Prislapp!$K$5+L203*Prislapp!$L$5+M203*Prislapp!$M$5+N203*Prislapp!$N$5</f>
        <v>6000</v>
      </c>
      <c r="R203" s="9">
        <f>VLOOKUP(A203,'Ansvar kurs'!$A$2:$B$943,2,FALSE)</f>
        <v>6000</v>
      </c>
      <c r="S203" s="157"/>
      <c r="T203" s="157"/>
      <c r="U203" s="157"/>
      <c r="V203" s="157"/>
      <c r="W203" s="157"/>
      <c r="X203" s="157"/>
      <c r="Y203" s="157"/>
      <c r="Z203" s="157"/>
    </row>
    <row r="204" spans="1:26" x14ac:dyDescent="0.25">
      <c r="A204" s="222" t="s">
        <v>841</v>
      </c>
      <c r="B204" s="31" t="s">
        <v>1139</v>
      </c>
      <c r="D204" s="31">
        <v>0.5</v>
      </c>
      <c r="K204" s="31">
        <v>0.5</v>
      </c>
      <c r="O204" s="40">
        <f>C204*Prislapp!$C$2+D204*Prislapp!$D$2+E204*Prislapp!$E$2+F204*Prislapp!$F$2+G204*Prislapp!$G$2+H204*Prislapp!$H$2+I204*Prislapp!$I$2+J204*Prislapp!$J$2+K204*Prislapp!$K$2+L204*Prislapp!$L$2+M204*Prislapp!$M$2+N204*Prislapp!$N$2</f>
        <v>23000.5</v>
      </c>
      <c r="P204" s="40">
        <f>C204*Prislapp!$C$3+D204*Prislapp!$D$3+E204*Prislapp!$E$3+F204*Prislapp!$F$3+G204*Prislapp!$G$3+H204*Prislapp!$H$3+I204*Prislapp!$I$3+J204*Prislapp!$J$3+K204*Prislapp!$K$3+M204*Prislapp!$M$3+N204*Prislapp!$N$3+L204*Prislapp!$L$3</f>
        <v>22709</v>
      </c>
      <c r="Q204" s="40">
        <f>C204*Prislapp!$C$5+D204*Prislapp!$D$5+E204*Prislapp!$E$5+F204*Prislapp!$F$5+G204*Prislapp!$G$5+H204*Prislapp!$H$5+I204*Prislapp!$I$5+J204*Prislapp!$J$5+K204*Prislapp!$K$5+L204*Prislapp!$L$5+M204*Prislapp!$M$5+N204*Prislapp!$N$5</f>
        <v>4800</v>
      </c>
      <c r="R204" s="9">
        <f>VLOOKUP(A204,'Ansvar kurs'!$A$2:$B$943,2,FALSE)</f>
        <v>1620</v>
      </c>
      <c r="S204" s="157"/>
      <c r="T204" s="157"/>
      <c r="U204" s="157"/>
      <c r="V204" s="157"/>
      <c r="W204" s="157"/>
      <c r="X204" s="157"/>
      <c r="Y204" s="157"/>
      <c r="Z204" s="157"/>
    </row>
    <row r="205" spans="1:26" x14ac:dyDescent="0.25">
      <c r="A205" s="31" t="s">
        <v>88</v>
      </c>
      <c r="B205" s="31" t="s">
        <v>818</v>
      </c>
      <c r="D205" s="31">
        <v>0.5</v>
      </c>
      <c r="K205" s="31">
        <v>0.5</v>
      </c>
      <c r="O205" s="40">
        <f>C205*Prislapp!$C$2+D205*Prislapp!$D$2+E205*Prislapp!$E$2+F205*Prislapp!$F$2+G205*Prislapp!$G$2+H205*Prislapp!$H$2+I205*Prislapp!$I$2+J205*Prislapp!$J$2+K205*Prislapp!$K$2+L205*Prislapp!$L$2+M205*Prislapp!$M$2+N205*Prislapp!$N$2</f>
        <v>23000.5</v>
      </c>
      <c r="P205" s="40">
        <f>C205*Prislapp!$C$3+D205*Prislapp!$D$3+E205*Prislapp!$E$3+F205*Prislapp!$F$3+G205*Prislapp!$G$3+H205*Prislapp!$H$3+I205*Prislapp!$I$3+J205*Prislapp!$J$3+K205*Prislapp!$K$3+M205*Prislapp!$M$3+N205*Prislapp!$N$3+L205*Prislapp!$L$3</f>
        <v>22709</v>
      </c>
      <c r="Q205" s="40">
        <f>C205*Prislapp!$C$5+D205*Prislapp!$D$5+E205*Prislapp!$E$5+F205*Prislapp!$F$5+G205*Prislapp!$G$5+H205*Prislapp!$H$5+I205*Prislapp!$I$5+J205*Prislapp!$J$5+K205*Prislapp!$K$5+L205*Prislapp!$L$5+M205*Prislapp!$M$5+N205*Prislapp!$N$5</f>
        <v>4800</v>
      </c>
      <c r="R205" s="9">
        <f>VLOOKUP(A205,'Ansvar kurs'!$A$2:$B$943,2,FALSE)</f>
        <v>1620</v>
      </c>
      <c r="S205" s="157"/>
      <c r="T205" s="157"/>
      <c r="U205" s="157"/>
      <c r="V205" s="157"/>
      <c r="W205" s="157"/>
      <c r="X205" s="157"/>
      <c r="Y205" s="157"/>
      <c r="Z205" s="157"/>
    </row>
    <row r="206" spans="1:26" x14ac:dyDescent="0.25">
      <c r="A206" s="31" t="s">
        <v>144</v>
      </c>
      <c r="B206" s="31" t="s">
        <v>669</v>
      </c>
      <c r="D206" s="31">
        <v>0.5</v>
      </c>
      <c r="K206" s="31">
        <v>0.5</v>
      </c>
      <c r="O206" s="40">
        <f>C206*Prislapp!$C$2+D206*Prislapp!$D$2+E206*Prislapp!$E$2+F206*Prislapp!$F$2+G206*Prislapp!$G$2+H206*Prislapp!$H$2+I206*Prislapp!$I$2+J206*Prislapp!$J$2+K206*Prislapp!$K$2+L206*Prislapp!$L$2+M206*Prislapp!$M$2+N206*Prislapp!$N$2</f>
        <v>23000.5</v>
      </c>
      <c r="P206" s="40">
        <f>C206*Prislapp!$C$3+D206*Prislapp!$D$3+E206*Prislapp!$E$3+F206*Prislapp!$F$3+G206*Prislapp!$G$3+H206*Prislapp!$H$3+I206*Prislapp!$I$3+J206*Prislapp!$J$3+K206*Prislapp!$K$3+M206*Prislapp!$M$3+N206*Prislapp!$N$3+L206*Prislapp!$L$3</f>
        <v>22709</v>
      </c>
      <c r="Q206" s="40">
        <f>C206*Prislapp!$C$5+D206*Prislapp!$D$5+E206*Prislapp!$E$5+F206*Prislapp!$F$5+G206*Prislapp!$G$5+H206*Prislapp!$H$5+I206*Prislapp!$I$5+J206*Prislapp!$J$5+K206*Prislapp!$K$5+L206*Prislapp!$L$5+M206*Prislapp!$M$5+N206*Prislapp!$N$5</f>
        <v>4800</v>
      </c>
      <c r="R206" s="9">
        <f>VLOOKUP(A206,'Ansvar kurs'!$A$2:$B$943,2,FALSE)</f>
        <v>1620</v>
      </c>
      <c r="S206" s="157"/>
      <c r="T206" s="157"/>
      <c r="U206" s="157"/>
      <c r="V206" s="157"/>
      <c r="W206" s="157"/>
      <c r="X206" s="157"/>
      <c r="Y206" s="157"/>
      <c r="Z206" s="157"/>
    </row>
    <row r="207" spans="1:26" x14ac:dyDescent="0.25">
      <c r="A207" s="222" t="s">
        <v>2074</v>
      </c>
      <c r="B207" s="31" t="s">
        <v>2081</v>
      </c>
      <c r="D207" s="31">
        <v>1</v>
      </c>
      <c r="O207" s="40">
        <f>C207*Prislapp!$C$2+D207*Prislapp!$D$2+E207*Prislapp!$E$2+F207*Prislapp!$F$2+G207*Prislapp!$G$2+H207*Prislapp!$H$2+I207*Prislapp!$I$2+J207*Prislapp!$J$2+K207*Prislapp!$K$2+L207*Prislapp!$L$2+M207*Prislapp!$M$2+N207*Prislapp!$N$2</f>
        <v>20766</v>
      </c>
      <c r="P207" s="40">
        <f>C207*Prislapp!$C$3+D207*Prislapp!$D$3+E207*Prislapp!$E$3+F207*Prislapp!$F$3+G207*Prislapp!$G$3+H207*Prislapp!$H$3+I207*Prislapp!$I$3+J207*Prislapp!$J$3+K207*Prislapp!$K$3+M207*Prislapp!$M$3+N207*Prislapp!$N$3+L207*Prislapp!$L$3</f>
        <v>17442</v>
      </c>
      <c r="Q207" s="40">
        <f>C207*Prislapp!$C$5+D207*Prislapp!$D$5+E207*Prislapp!$E$5+F207*Prislapp!$F$5+G207*Prislapp!$G$5+H207*Prislapp!$H$5+I207*Prislapp!$I$5+J207*Prislapp!$J$5+K207*Prislapp!$K$5+L207*Prislapp!$L$5+M207*Prislapp!$M$5+N207*Prislapp!$N$5</f>
        <v>6000</v>
      </c>
      <c r="R207" s="9">
        <f>VLOOKUP(A207,'Ansvar kurs'!$A$2:$B$943,2,FALSE)</f>
        <v>1620</v>
      </c>
      <c r="S207" s="157"/>
      <c r="T207" s="157"/>
      <c r="U207" s="157"/>
      <c r="V207" s="157"/>
      <c r="W207" s="157"/>
      <c r="X207" s="157"/>
      <c r="Y207" s="157"/>
      <c r="Z207" s="157"/>
    </row>
    <row r="208" spans="1:26" x14ac:dyDescent="0.25">
      <c r="A208" s="222" t="s">
        <v>842</v>
      </c>
      <c r="B208" s="31" t="s">
        <v>1140</v>
      </c>
      <c r="D208" s="31">
        <v>1</v>
      </c>
      <c r="O208" s="40">
        <f>C208*Prislapp!$C$2+D208*Prislapp!$D$2+E208*Prislapp!$E$2+F208*Prislapp!$F$2+G208*Prislapp!$G$2+H208*Prislapp!$H$2+I208*Prislapp!$I$2+J208*Prislapp!$J$2+K208*Prislapp!$K$2+L208*Prislapp!$L$2+M208*Prislapp!$M$2+N208*Prislapp!$N$2</f>
        <v>20766</v>
      </c>
      <c r="P208" s="40">
        <f>C208*Prislapp!$C$3+D208*Prislapp!$D$3+E208*Prislapp!$E$3+F208*Prislapp!$F$3+G208*Prislapp!$G$3+H208*Prislapp!$H$3+I208*Prislapp!$I$3+J208*Prislapp!$J$3+K208*Prislapp!$K$3+M208*Prislapp!$M$3+N208*Prislapp!$N$3+L208*Prislapp!$L$3</f>
        <v>17442</v>
      </c>
      <c r="Q208" s="40">
        <f>C208*Prislapp!$C$5+D208*Prislapp!$D$5+E208*Prislapp!$E$5+F208*Prislapp!$F$5+G208*Prislapp!$G$5+H208*Prislapp!$H$5+I208*Prislapp!$I$5+J208*Prislapp!$J$5+K208*Prislapp!$K$5+L208*Prislapp!$L$5+M208*Prislapp!$M$5+N208*Prislapp!$N$5</f>
        <v>6000</v>
      </c>
      <c r="R208" s="9">
        <f>VLOOKUP(A208,'Ansvar kurs'!$A$2:$B$943,2,FALSE)</f>
        <v>1620</v>
      </c>
      <c r="S208" s="157"/>
      <c r="T208" s="157"/>
      <c r="U208" s="157"/>
      <c r="V208" s="157"/>
      <c r="W208" s="157"/>
      <c r="X208" s="157"/>
      <c r="Y208" s="157"/>
      <c r="Z208" s="157"/>
    </row>
    <row r="209" spans="1:26" x14ac:dyDescent="0.25">
      <c r="A209" s="222" t="s">
        <v>1009</v>
      </c>
      <c r="B209" s="31" t="s">
        <v>1040</v>
      </c>
      <c r="D209" s="31">
        <v>1</v>
      </c>
      <c r="O209" s="40">
        <f>C209*Prislapp!$C$2+D209*Prislapp!$D$2+E209*Prislapp!$E$2+F209*Prislapp!$F$2+G209*Prislapp!$G$2+H209*Prislapp!$H$2+I209*Prislapp!$I$2+J209*Prislapp!$J$2+K209*Prislapp!$K$2+L209*Prislapp!$L$2+M209*Prislapp!$M$2+N209*Prislapp!$N$2</f>
        <v>20766</v>
      </c>
      <c r="P209" s="40">
        <f>C209*Prislapp!$C$3+D209*Prislapp!$D$3+E209*Prislapp!$E$3+F209*Prislapp!$F$3+G209*Prislapp!$G$3+H209*Prislapp!$H$3+I209*Prislapp!$I$3+J209*Prislapp!$J$3+K209*Prislapp!$K$3+M209*Prislapp!$M$3+N209*Prislapp!$N$3+L209*Prislapp!$L$3</f>
        <v>17442</v>
      </c>
      <c r="Q209" s="40">
        <f>C209*Prislapp!$C$5+D209*Prislapp!$D$5+E209*Prislapp!$E$5+F209*Prislapp!$F$5+G209*Prislapp!$G$5+H209*Prislapp!$H$5+I209*Prislapp!$I$5+J209*Prislapp!$J$5+K209*Prislapp!$K$5+L209*Prislapp!$L$5+M209*Prislapp!$M$5+N209*Prislapp!$N$5</f>
        <v>6000</v>
      </c>
      <c r="R209" s="9">
        <f>VLOOKUP(A209,'Ansvar kurs'!$A$2:$B$943,2,FALSE)</f>
        <v>1620</v>
      </c>
      <c r="S209" s="157"/>
      <c r="T209" s="157"/>
      <c r="U209" s="157"/>
      <c r="V209" s="157"/>
      <c r="W209" s="157"/>
      <c r="X209" s="157"/>
      <c r="Y209" s="157"/>
      <c r="Z209" s="157"/>
    </row>
    <row r="210" spans="1:26" x14ac:dyDescent="0.25">
      <c r="A210" s="222" t="s">
        <v>1842</v>
      </c>
      <c r="B210" s="31" t="s">
        <v>1843</v>
      </c>
      <c r="K210" s="31">
        <v>1</v>
      </c>
      <c r="O210" s="40">
        <f>C210*Prislapp!$C$2+D210*Prislapp!$D$2+E210*Prislapp!$E$2+F210*Prislapp!$F$2+G210*Prislapp!$G$2+H210*Prislapp!$H$2+I210*Prislapp!$I$2+J210*Prislapp!$J$2+K210*Prislapp!$K$2+L210*Prislapp!$L$2+M210*Prislapp!$M$2+N210*Prislapp!$N$2</f>
        <v>25235</v>
      </c>
      <c r="P210" s="40">
        <f>C210*Prislapp!$C$3+D210*Prislapp!$D$3+E210*Prislapp!$E$3+F210*Prislapp!$F$3+G210*Prislapp!$G$3+H210*Prislapp!$H$3+I210*Prislapp!$I$3+J210*Prislapp!$J$3+K210*Prislapp!$K$3+M210*Prislapp!$M$3+N210*Prislapp!$N$3+L210*Prislapp!$L$3</f>
        <v>27976</v>
      </c>
      <c r="Q210" s="40">
        <f>C210*Prislapp!$C$5+D210*Prislapp!$D$5+E210*Prislapp!$E$5+F210*Prislapp!$F$5+G210*Prislapp!$G$5+H210*Prislapp!$H$5+I210*Prislapp!$I$5+J210*Prislapp!$J$5+K210*Prislapp!$K$5+L210*Prislapp!$L$5+M210*Prislapp!$M$5+N210*Prislapp!$N$5</f>
        <v>3600</v>
      </c>
      <c r="R210" s="9">
        <f>VLOOKUP(A210,'Ansvar kurs'!$A$2:$B$943,2,FALSE)</f>
        <v>1620</v>
      </c>
      <c r="S210" s="157"/>
      <c r="T210" s="157"/>
      <c r="U210" s="157"/>
      <c r="V210" s="157"/>
      <c r="W210" s="157"/>
      <c r="X210" s="157"/>
      <c r="Y210" s="157"/>
      <c r="Z210" s="157"/>
    </row>
    <row r="211" spans="1:26" x14ac:dyDescent="0.25">
      <c r="A211" s="18" t="s">
        <v>2041</v>
      </c>
      <c r="B211" t="s">
        <v>2042</v>
      </c>
      <c r="D211" s="31">
        <v>1</v>
      </c>
      <c r="O211" s="40">
        <f>C211*Prislapp!$C$2+D211*Prislapp!$D$2+E211*Prislapp!$E$2+F211*Prislapp!$F$2+G211*Prislapp!$G$2+H211*Prislapp!$H$2+I211*Prislapp!$I$2+J211*Prislapp!$J$2+K211*Prislapp!$K$2+L211*Prislapp!$L$2+M211*Prislapp!$M$2+N211*Prislapp!$N$2</f>
        <v>20766</v>
      </c>
      <c r="P211" s="40">
        <f>C211*Prislapp!$C$3+D211*Prislapp!$D$3+E211*Prislapp!$E$3+F211*Prislapp!$F$3+G211*Prislapp!$G$3+H211*Prislapp!$H$3+I211*Prislapp!$I$3+J211*Prislapp!$J$3+K211*Prislapp!$K$3+M211*Prislapp!$M$3+N211*Prislapp!$N$3+L211*Prislapp!$L$3</f>
        <v>17442</v>
      </c>
      <c r="Q211" s="40">
        <f>C211*Prislapp!$C$5+D211*Prislapp!$D$5+E211*Prislapp!$E$5+F211*Prislapp!$F$5+G211*Prislapp!$G$5+H211*Prislapp!$H$5+I211*Prislapp!$I$5+J211*Prislapp!$J$5+K211*Prislapp!$K$5+L211*Prislapp!$L$5+M211*Prislapp!$M$5+N211*Prislapp!$N$5</f>
        <v>6000</v>
      </c>
      <c r="R211" s="9">
        <f>VLOOKUP(A211,'Ansvar kurs'!$A$2:$B$943,2,FALSE)</f>
        <v>1620</v>
      </c>
      <c r="S211" s="157"/>
      <c r="T211" s="157"/>
      <c r="U211" s="157"/>
      <c r="V211" s="157"/>
      <c r="W211" s="157"/>
      <c r="X211" s="157"/>
      <c r="Y211" s="157"/>
      <c r="Z211" s="157"/>
    </row>
    <row r="212" spans="1:26" x14ac:dyDescent="0.25">
      <c r="A212" s="358" t="s">
        <v>2073</v>
      </c>
      <c r="B212" t="s">
        <v>2078</v>
      </c>
      <c r="D212" s="31">
        <v>1</v>
      </c>
      <c r="O212" s="40">
        <f>C212*Prislapp!$C$2+D212*Prislapp!$D$2+E212*Prislapp!$E$2+F212*Prislapp!$F$2+G212*Prislapp!$G$2+H212*Prislapp!$H$2+I212*Prislapp!$I$2+J212*Prislapp!$J$2+K212*Prislapp!$K$2+L212*Prislapp!$L$2+M212*Prislapp!$M$2+N212*Prislapp!$N$2</f>
        <v>20766</v>
      </c>
      <c r="P212" s="40">
        <f>C212*Prislapp!$C$3+D212*Prislapp!$D$3+E212*Prislapp!$E$3+F212*Prislapp!$F$3+G212*Prislapp!$G$3+H212*Prislapp!$H$3+I212*Prislapp!$I$3+J212*Prislapp!$J$3+K212*Prislapp!$K$3+M212*Prislapp!$M$3+N212*Prislapp!$N$3+L212*Prislapp!$L$3</f>
        <v>17442</v>
      </c>
      <c r="Q212" s="40">
        <f>C212*Prislapp!$C$5+D212*Prislapp!$D$5+E212*Prislapp!$E$5+F212*Prislapp!$F$5+G212*Prislapp!$G$5+H212*Prislapp!$H$5+I212*Prislapp!$I$5+J212*Prislapp!$J$5+K212*Prislapp!$K$5+L212*Prislapp!$L$5+M212*Prislapp!$M$5+N212*Prislapp!$N$5</f>
        <v>6000</v>
      </c>
      <c r="R212" s="9">
        <f>VLOOKUP(A212,'Ansvar kurs'!$A$2:$B$943,2,FALSE)</f>
        <v>1620</v>
      </c>
      <c r="S212" s="157"/>
      <c r="T212" s="157"/>
      <c r="U212" s="157"/>
      <c r="V212" s="157"/>
      <c r="W212" s="157"/>
      <c r="X212" s="157"/>
      <c r="Y212" s="157"/>
      <c r="Z212" s="157"/>
    </row>
    <row r="213" spans="1:26" x14ac:dyDescent="0.25">
      <c r="A213" s="358" t="s">
        <v>2099</v>
      </c>
      <c r="B213" t="s">
        <v>2113</v>
      </c>
      <c r="D213" s="31">
        <v>1</v>
      </c>
      <c r="O213" s="40">
        <f>C213*Prislapp!$C$2+D213*Prislapp!$D$2+E213*Prislapp!$E$2+F213*Prislapp!$F$2+G213*Prislapp!$G$2+H213*Prislapp!$H$2+I213*Prislapp!$I$2+J213*Prislapp!$J$2+K213*Prislapp!$K$2+L213*Prislapp!$L$2+M213*Prislapp!$M$2+N213*Prislapp!$N$2</f>
        <v>20766</v>
      </c>
      <c r="P213" s="40">
        <f>C213*Prislapp!$C$3+D213*Prislapp!$D$3+E213*Prislapp!$E$3+F213*Prislapp!$F$3+G213*Prislapp!$G$3+H213*Prislapp!$H$3+I213*Prislapp!$I$3+J213*Prislapp!$J$3+K213*Prislapp!$K$3+M213*Prislapp!$M$3+N213*Prislapp!$N$3+L213*Prislapp!$L$3</f>
        <v>17442</v>
      </c>
      <c r="Q213" s="40">
        <f>C213*Prislapp!$C$5+D213*Prislapp!$D$5+E213*Prislapp!$E$5+F213*Prislapp!$F$5+G213*Prislapp!$G$5+H213*Prislapp!$H$5+I213*Prislapp!$I$5+J213*Prislapp!$J$5+K213*Prislapp!$K$5+L213*Prislapp!$L$5+M213*Prislapp!$M$5+N213*Prislapp!$N$5</f>
        <v>6000</v>
      </c>
      <c r="R213" s="9">
        <f>VLOOKUP(A213,'Ansvar kurs'!$A$2:$B$943,2,FALSE)</f>
        <v>1620</v>
      </c>
      <c r="S213" s="157"/>
      <c r="T213" s="157"/>
      <c r="U213" s="157"/>
      <c r="V213" s="157"/>
      <c r="W213" s="157"/>
      <c r="X213" s="157"/>
      <c r="Y213" s="157"/>
      <c r="Z213" s="157"/>
    </row>
    <row r="214" spans="1:26" x14ac:dyDescent="0.25">
      <c r="A214" s="358" t="s">
        <v>2451</v>
      </c>
      <c r="B214" s="31" t="s">
        <v>2480</v>
      </c>
      <c r="L214" s="31">
        <v>1</v>
      </c>
      <c r="O214" s="40">
        <f>C214*Prislapp!$C$2+D214*Prislapp!$D$2+E214*Prislapp!$E$2+F214*Prislapp!$F$2+G214*Prislapp!$G$2+H214*Prislapp!$H$2+I214*Prislapp!$I$2+J214*Prislapp!$J$2+K214*Prislapp!$K$2+L214*Prislapp!$L$2+M214*Prislapp!$M$2+N214*Prislapp!$N$2</f>
        <v>20766</v>
      </c>
      <c r="P214" s="40">
        <f>C214*Prislapp!$C$3+D214*Prislapp!$D$3+E214*Prislapp!$E$3+F214*Prislapp!$F$3+G214*Prislapp!$G$3+H214*Prislapp!$H$3+I214*Prislapp!$I$3+J214*Prislapp!$J$3+K214*Prislapp!$K$3+M214*Prislapp!$M$3+N214*Prislapp!$N$3+L214*Prislapp!$L$3</f>
        <v>17442</v>
      </c>
      <c r="Q214" s="40">
        <f>C214*Prislapp!$C$5+D214*Prislapp!$D$5+E214*Prislapp!$E$5+F214*Prislapp!$F$5+G214*Prislapp!$G$5+H214*Prislapp!$H$5+I214*Prislapp!$I$5+J214*Prislapp!$J$5+K214*Prislapp!$K$5+L214*Prislapp!$L$5+M214*Prislapp!$M$5+N214*Prislapp!$N$5</f>
        <v>6000</v>
      </c>
      <c r="R214" s="9">
        <f>VLOOKUP(A214,'Ansvar kurs'!$A$2:$B$943,2,FALSE)</f>
        <v>6000</v>
      </c>
      <c r="S214" s="157"/>
      <c r="T214" s="157"/>
      <c r="U214" s="157"/>
      <c r="V214" s="157"/>
      <c r="W214" s="157"/>
      <c r="X214" s="157"/>
      <c r="Y214" s="157"/>
      <c r="Z214" s="157"/>
    </row>
    <row r="215" spans="1:26" x14ac:dyDescent="0.25">
      <c r="A215" s="358" t="s">
        <v>1737</v>
      </c>
      <c r="B215" s="31" t="s">
        <v>1738</v>
      </c>
      <c r="L215" s="31">
        <v>1</v>
      </c>
      <c r="O215" s="40">
        <f>C215*Prislapp!$C$2+D215*Prislapp!$D$2+E215*Prislapp!$E$2+F215*Prislapp!$F$2+G215*Prislapp!$G$2+H215*Prislapp!$H$2+I215*Prislapp!$I$2+J215*Prislapp!$J$2+K215*Prislapp!$K$2+L215*Prislapp!$L$2+M215*Prislapp!$M$2+N215*Prislapp!$N$2</f>
        <v>20766</v>
      </c>
      <c r="P215" s="40">
        <f>C215*Prislapp!$C$3+D215*Prislapp!$D$3+E215*Prislapp!$E$3+F215*Prislapp!$F$3+G215*Prislapp!$G$3+H215*Prislapp!$H$3+I215*Prislapp!$I$3+J215*Prislapp!$J$3+K215*Prislapp!$K$3+M215*Prislapp!$M$3+N215*Prislapp!$N$3+L215*Prislapp!$L$3</f>
        <v>17442</v>
      </c>
      <c r="Q215" s="40">
        <f>C215*Prislapp!$C$5+D215*Prislapp!$D$5+E215*Prislapp!$E$5+F215*Prislapp!$F$5+G215*Prislapp!$G$5+H215*Prislapp!$H$5+I215*Prislapp!$I$5+J215*Prislapp!$J$5+K215*Prislapp!$K$5+L215*Prislapp!$L$5+M215*Prislapp!$M$5+N215*Prislapp!$N$5</f>
        <v>6000</v>
      </c>
      <c r="R215" s="9">
        <f>VLOOKUP(A215,'Ansvar kurs'!$A$2:$B$943,2,FALSE)</f>
        <v>6000</v>
      </c>
      <c r="S215" s="157"/>
      <c r="T215" s="157"/>
      <c r="U215" s="157"/>
      <c r="V215" s="157"/>
      <c r="W215" s="157"/>
      <c r="X215" s="157"/>
      <c r="Y215" s="157"/>
      <c r="Z215" s="157"/>
    </row>
    <row r="216" spans="1:26" x14ac:dyDescent="0.25">
      <c r="A216" s="358" t="s">
        <v>2278</v>
      </c>
      <c r="B216" s="31" t="s">
        <v>2279</v>
      </c>
      <c r="D216" s="370">
        <v>0.25</v>
      </c>
      <c r="J216" s="370">
        <v>0.75</v>
      </c>
      <c r="O216" s="40">
        <f>C216*Prislapp!$C$2+D216*Prislapp!$D$2+E216*Prislapp!$E$2+F216*Prislapp!$F$2+G216*Prislapp!$G$2+H216*Prislapp!$H$2+I216*Prislapp!$I$2+J216*Prislapp!$J$2+K216*Prislapp!$K$2+L216*Prislapp!$L$2+M216*Prislapp!$M$2+N216*Prislapp!$N$2</f>
        <v>20759.25</v>
      </c>
      <c r="P216" s="40">
        <f>C216*Prislapp!$C$3+D216*Prislapp!$D$3+E216*Prislapp!$E$3+F216*Prislapp!$F$3+G216*Prislapp!$G$3+H216*Prislapp!$H$3+I216*Prislapp!$I$3+J216*Prislapp!$J$3+K216*Prislapp!$K$3+M216*Prislapp!$M$3+N216*Prislapp!$N$3+L216*Prislapp!$L$3</f>
        <v>31422</v>
      </c>
      <c r="Q216" s="40">
        <f>C216*Prislapp!$C$5+D216*Prislapp!$D$5+E216*Prislapp!$E$5+F216*Prislapp!$F$5+G216*Prislapp!$G$5+H216*Prislapp!$H$5+I216*Prislapp!$I$5+J216*Prislapp!$J$5+K216*Prislapp!$K$5+L216*Prislapp!$L$5+M216*Prislapp!$M$5+N216*Prislapp!$N$5</f>
        <v>18450</v>
      </c>
      <c r="R216" s="9">
        <f>VLOOKUP(A216,'Ansvar kurs'!$A$2:$B$943,2,FALSE)</f>
        <v>1650</v>
      </c>
      <c r="S216" s="157"/>
      <c r="T216" s="157"/>
      <c r="U216" s="157"/>
      <c r="V216" s="157"/>
      <c r="W216" s="157"/>
      <c r="X216" s="157"/>
      <c r="Y216" s="157"/>
      <c r="Z216" s="157"/>
    </row>
    <row r="217" spans="1:26" x14ac:dyDescent="0.25">
      <c r="A217" s="358" t="s">
        <v>2128</v>
      </c>
      <c r="B217" s="31" t="s">
        <v>2129</v>
      </c>
      <c r="H217" s="370">
        <v>1</v>
      </c>
      <c r="O217" s="40">
        <f>C217*Prislapp!$C$2+D217*Prislapp!$D$2+E217*Prislapp!$E$2+F217*Prislapp!$F$2+G217*Prislapp!$G$2+H217*Prislapp!$H$2+I217*Prislapp!$I$2+J217*Prislapp!$J$2+K217*Prislapp!$K$2+L217*Prislapp!$L$2+M217*Prislapp!$M$2+N217*Prislapp!$N$2</f>
        <v>20757</v>
      </c>
      <c r="P217" s="40">
        <f>C217*Prislapp!$C$3+D217*Prislapp!$D$3+E217*Prislapp!$E$3+F217*Prislapp!$F$3+G217*Prislapp!$G$3+H217*Prislapp!$H$3+I217*Prislapp!$I$3+J217*Prislapp!$J$3+K217*Prislapp!$K$3+M217*Prislapp!$M$3+N217*Prislapp!$N$3+L217*Prislapp!$L$3</f>
        <v>36082</v>
      </c>
      <c r="Q217" s="40">
        <f>C217*Prislapp!$C$5+D217*Prislapp!$D$5+E217*Prislapp!$E$5+F217*Prislapp!$F$5+G217*Prislapp!$G$5+H217*Prislapp!$H$5+I217*Prislapp!$I$5+J217*Prislapp!$J$5+K217*Prislapp!$K$5+L217*Prislapp!$L$5+M217*Prislapp!$M$5+N217*Prislapp!$N$5</f>
        <v>22600</v>
      </c>
      <c r="R217" s="9">
        <f>VLOOKUP(A217,'Ansvar kurs'!$A$2:$B$943,2,FALSE)</f>
        <v>2650</v>
      </c>
      <c r="S217" s="362" t="s">
        <v>1854</v>
      </c>
      <c r="T217" s="157"/>
      <c r="U217" s="157"/>
      <c r="V217" s="157"/>
      <c r="W217" s="157"/>
      <c r="X217" s="157"/>
      <c r="Y217" s="157"/>
      <c r="Z217" s="157"/>
    </row>
    <row r="218" spans="1:26" x14ac:dyDescent="0.25">
      <c r="A218" s="222" t="s">
        <v>1786</v>
      </c>
      <c r="B218" s="57" t="s">
        <v>2293</v>
      </c>
      <c r="D218" s="370">
        <v>1</v>
      </c>
      <c r="O218" s="40">
        <f>C218*Prislapp!$C$2+D218*Prislapp!$D$2+E218*Prislapp!$E$2+F218*Prislapp!$F$2+G218*Prislapp!$G$2+H218*Prislapp!$H$2+I218*Prislapp!$I$2+J218*Prislapp!$J$2+K218*Prislapp!$K$2+L218*Prislapp!$L$2+M218*Prislapp!$M$2+N218*Prislapp!$N$2</f>
        <v>20766</v>
      </c>
      <c r="P218" s="40">
        <f>C218*Prislapp!$C$3+D218*Prislapp!$D$3+E218*Prislapp!$E$3+F218*Prislapp!$F$3+G218*Prislapp!$G$3+H218*Prislapp!$H$3+I218*Prislapp!$I$3+J218*Prislapp!$J$3+K218*Prislapp!$K$3+M218*Prislapp!$M$3+N218*Prislapp!$N$3+L218*Prislapp!$L$3</f>
        <v>17442</v>
      </c>
      <c r="Q218" s="40">
        <f>C218*Prislapp!$C$5+D218*Prislapp!$D$5+E218*Prislapp!$E$5+F218*Prislapp!$F$5+G218*Prislapp!$G$5+H218*Prislapp!$H$5+I218*Prislapp!$I$5+J218*Prislapp!$J$5+K218*Prislapp!$K$5+L218*Prislapp!$L$5+M218*Prislapp!$M$5+N218*Prislapp!$N$5</f>
        <v>6000</v>
      </c>
      <c r="R218" s="9">
        <f>VLOOKUP(A218,'Ansvar kurs'!$A$2:$B$943,2,FALSE)</f>
        <v>1620</v>
      </c>
      <c r="S218" s="157"/>
      <c r="T218" s="157"/>
      <c r="U218" s="157"/>
      <c r="V218" s="157"/>
      <c r="W218" s="157"/>
      <c r="X218" s="157"/>
      <c r="Y218" s="157"/>
      <c r="Z218" s="157"/>
    </row>
    <row r="219" spans="1:26" x14ac:dyDescent="0.25">
      <c r="A219" s="222" t="s">
        <v>2315</v>
      </c>
      <c r="B219" s="421" t="s">
        <v>2317</v>
      </c>
      <c r="D219" s="370">
        <v>1</v>
      </c>
      <c r="O219" s="40">
        <f>C219*Prislapp!$C$2+D219*Prislapp!$D$2+E219*Prislapp!$E$2+F219*Prislapp!$F$2+G219*Prislapp!$G$2+H219*Prislapp!$H$2+I219*Prislapp!$I$2+J219*Prislapp!$J$2+K219*Prislapp!$K$2+L219*Prislapp!$L$2+M219*Prislapp!$M$2+N219*Prislapp!$N$2</f>
        <v>20766</v>
      </c>
      <c r="P219" s="40">
        <f>C219*Prislapp!$C$3+D219*Prislapp!$D$3+E219*Prislapp!$E$3+F219*Prislapp!$F$3+G219*Prislapp!$G$3+H219*Prislapp!$H$3+I219*Prislapp!$I$3+J219*Prislapp!$J$3+K219*Prislapp!$K$3+M219*Prislapp!$M$3+N219*Prislapp!$N$3+L219*Prislapp!$L$3</f>
        <v>17442</v>
      </c>
      <c r="Q219" s="40">
        <f>C219*Prislapp!$C$5+D219*Prislapp!$D$5+E219*Prislapp!$E$5+F219*Prislapp!$F$5+G219*Prislapp!$G$5+H219*Prislapp!$H$5+I219*Prislapp!$I$5+J219*Prislapp!$J$5+K219*Prislapp!$K$5+L219*Prislapp!$L$5+M219*Prislapp!$M$5+N219*Prislapp!$N$5</f>
        <v>6000</v>
      </c>
      <c r="R219" s="9">
        <f>VLOOKUP(A219,'Ansvar kurs'!$A$2:$B$943,2,FALSE)</f>
        <v>1620</v>
      </c>
      <c r="S219" s="176"/>
      <c r="T219" s="157"/>
      <c r="U219" s="157"/>
      <c r="V219" s="157"/>
      <c r="W219" s="157"/>
      <c r="X219" s="157"/>
      <c r="Y219" s="157"/>
      <c r="Z219" s="157"/>
    </row>
    <row r="220" spans="1:26" x14ac:dyDescent="0.25">
      <c r="A220" s="222" t="s">
        <v>2316</v>
      </c>
      <c r="B220" s="421" t="s">
        <v>2318</v>
      </c>
      <c r="D220" s="370">
        <v>1</v>
      </c>
      <c r="O220" s="40">
        <f>C220*Prislapp!$C$2+D220*Prislapp!$D$2+E220*Prislapp!$E$2+F220*Prislapp!$F$2+G220*Prislapp!$G$2+H220*Prislapp!$H$2+I220*Prislapp!$I$2+J220*Prislapp!$J$2+K220*Prislapp!$K$2+L220*Prislapp!$L$2+M220*Prislapp!$M$2+N220*Prislapp!$N$2</f>
        <v>20766</v>
      </c>
      <c r="P220" s="40">
        <f>C220*Prislapp!$C$3+D220*Prislapp!$D$3+E220*Prislapp!$E$3+F220*Prislapp!$F$3+G220*Prislapp!$G$3+H220*Prislapp!$H$3+I220*Prislapp!$I$3+J220*Prislapp!$J$3+K220*Prislapp!$K$3+M220*Prislapp!$M$3+N220*Prislapp!$N$3+L220*Prislapp!$L$3</f>
        <v>17442</v>
      </c>
      <c r="Q220" s="40">
        <f>C220*Prislapp!$C$5+D220*Prislapp!$D$5+E220*Prislapp!$E$5+F220*Prislapp!$F$5+G220*Prislapp!$G$5+H220*Prislapp!$H$5+I220*Prislapp!$I$5+J220*Prislapp!$J$5+K220*Prislapp!$K$5+L220*Prislapp!$L$5+M220*Prislapp!$M$5+N220*Prislapp!$N$5</f>
        <v>6000</v>
      </c>
      <c r="R220" s="9">
        <f>VLOOKUP(A220,'Ansvar kurs'!$A$2:$B$943,2,FALSE)</f>
        <v>1620</v>
      </c>
      <c r="S220" s="176"/>
      <c r="T220" s="157"/>
      <c r="U220" s="157"/>
      <c r="V220" s="157"/>
      <c r="W220" s="157"/>
      <c r="X220" s="157"/>
      <c r="Y220" s="157"/>
      <c r="Z220" s="157"/>
    </row>
    <row r="221" spans="1:26" x14ac:dyDescent="0.25">
      <c r="A221" s="222" t="s">
        <v>2122</v>
      </c>
      <c r="B221" s="421" t="s">
        <v>2294</v>
      </c>
      <c r="D221" s="370">
        <v>1</v>
      </c>
      <c r="O221" s="40">
        <f>C221*Prislapp!$C$2+D221*Prislapp!$D$2+E221*Prislapp!$E$2+F221*Prislapp!$F$2+G221*Prislapp!$G$2+H221*Prislapp!$H$2+I221*Prislapp!$I$2+J221*Prislapp!$J$2+K221*Prislapp!$K$2+L221*Prislapp!$L$2+M221*Prislapp!$M$2+N221*Prislapp!$N$2</f>
        <v>20766</v>
      </c>
      <c r="P221" s="40">
        <f>C221*Prislapp!$C$3+D221*Prislapp!$D$3+E221*Prislapp!$E$3+F221*Prislapp!$F$3+G221*Prislapp!$G$3+H221*Prislapp!$H$3+I221*Prislapp!$I$3+J221*Prislapp!$J$3+K221*Prislapp!$K$3+M221*Prislapp!$M$3+N221*Prislapp!$N$3+L221*Prislapp!$L$3</f>
        <v>17442</v>
      </c>
      <c r="Q221" s="40">
        <f>C221*Prislapp!$C$5+D221*Prislapp!$D$5+E221*Prislapp!$E$5+F221*Prislapp!$F$5+G221*Prislapp!$G$5+H221*Prislapp!$H$5+I221*Prislapp!$I$5+J221*Prislapp!$J$5+K221*Prislapp!$K$5+L221*Prislapp!$L$5+M221*Prislapp!$M$5+N221*Prislapp!$N$5</f>
        <v>6000</v>
      </c>
      <c r="R221" s="9">
        <f>VLOOKUP(A221,'Ansvar kurs'!$A$2:$B$943,2,FALSE)</f>
        <v>1620</v>
      </c>
      <c r="S221" s="176"/>
      <c r="T221" s="157"/>
      <c r="U221" s="157"/>
      <c r="V221" s="157"/>
      <c r="W221" s="157"/>
      <c r="X221" s="157"/>
      <c r="Y221" s="157"/>
      <c r="Z221" s="157"/>
    </row>
    <row r="222" spans="1:26" x14ac:dyDescent="0.25">
      <c r="A222" s="222" t="s">
        <v>2123</v>
      </c>
      <c r="B222" s="421" t="s">
        <v>2295</v>
      </c>
      <c r="D222" s="370">
        <v>1</v>
      </c>
      <c r="O222" s="40">
        <f>C222*Prislapp!$C$2+D222*Prislapp!$D$2+E222*Prislapp!$E$2+F222*Prislapp!$F$2+G222*Prislapp!$G$2+H222*Prislapp!$H$2+I222*Prislapp!$I$2+J222*Prislapp!$J$2+K222*Prislapp!$K$2+L222*Prislapp!$L$2+M222*Prislapp!$M$2+N222*Prislapp!$N$2</f>
        <v>20766</v>
      </c>
      <c r="P222" s="40">
        <f>C222*Prislapp!$C$3+D222*Prislapp!$D$3+E222*Prislapp!$E$3+F222*Prislapp!$F$3+G222*Prislapp!$G$3+H222*Prislapp!$H$3+I222*Prislapp!$I$3+J222*Prislapp!$J$3+K222*Prislapp!$K$3+M222*Prislapp!$M$3+N222*Prislapp!$N$3+L222*Prislapp!$L$3</f>
        <v>17442</v>
      </c>
      <c r="Q222" s="40">
        <f>C222*Prislapp!$C$5+D222*Prislapp!$D$5+E222*Prislapp!$E$5+F222*Prislapp!$F$5+G222*Prislapp!$G$5+H222*Prislapp!$H$5+I222*Prislapp!$I$5+J222*Prislapp!$J$5+K222*Prislapp!$K$5+L222*Prislapp!$L$5+M222*Prislapp!$M$5+N222*Prislapp!$N$5</f>
        <v>6000</v>
      </c>
      <c r="R222" s="9">
        <f>VLOOKUP(A222,'Ansvar kurs'!$A$2:$B$943,2,FALSE)</f>
        <v>1620</v>
      </c>
      <c r="S222" s="176"/>
      <c r="T222" s="157"/>
      <c r="U222" s="157"/>
      <c r="V222" s="157"/>
      <c r="W222" s="157"/>
      <c r="X222" s="157"/>
      <c r="Y222" s="157"/>
      <c r="Z222" s="157"/>
    </row>
    <row r="223" spans="1:26" x14ac:dyDescent="0.25">
      <c r="A223" s="222" t="s">
        <v>2292</v>
      </c>
      <c r="B223" s="421" t="s">
        <v>2124</v>
      </c>
      <c r="D223" s="370">
        <v>1</v>
      </c>
      <c r="O223" s="40">
        <f>C223*Prislapp!$C$2+D223*Prislapp!$D$2+E223*Prislapp!$E$2+F223*Prislapp!$F$2+G223*Prislapp!$G$2+H223*Prislapp!$H$2+I223*Prislapp!$I$2+J223*Prislapp!$J$2+K223*Prislapp!$K$2+L223*Prislapp!$L$2+M223*Prislapp!$M$2+N223*Prislapp!$N$2</f>
        <v>20766</v>
      </c>
      <c r="P223" s="40">
        <f>C223*Prislapp!$C$3+D223*Prislapp!$D$3+E223*Prislapp!$E$3+F223*Prislapp!$F$3+G223*Prislapp!$G$3+H223*Prislapp!$H$3+I223*Prislapp!$I$3+J223*Prislapp!$J$3+K223*Prislapp!$K$3+M223*Prislapp!$M$3+N223*Prislapp!$N$3+L223*Prislapp!$L$3</f>
        <v>17442</v>
      </c>
      <c r="Q223" s="40">
        <f>C223*Prislapp!$C$5+D223*Prislapp!$D$5+E223*Prislapp!$E$5+F223*Prislapp!$F$5+G223*Prislapp!$G$5+H223*Prislapp!$H$5+I223*Prislapp!$I$5+J223*Prislapp!$J$5+K223*Prislapp!$K$5+L223*Prislapp!$L$5+M223*Prislapp!$M$5+N223*Prislapp!$N$5</f>
        <v>6000</v>
      </c>
      <c r="R223" s="9">
        <f>VLOOKUP(A223,'Ansvar kurs'!$A$2:$B$943,2,FALSE)</f>
        <v>1620</v>
      </c>
      <c r="S223" s="176"/>
      <c r="T223" s="157"/>
      <c r="U223" s="157"/>
      <c r="V223" s="157"/>
      <c r="W223" s="157"/>
      <c r="X223" s="157"/>
      <c r="Y223" s="157"/>
      <c r="Z223" s="157"/>
    </row>
    <row r="224" spans="1:26" x14ac:dyDescent="0.25">
      <c r="A224" s="222" t="s">
        <v>1452</v>
      </c>
      <c r="B224" s="60" t="s">
        <v>1451</v>
      </c>
      <c r="H224" s="31">
        <v>1</v>
      </c>
      <c r="O224" s="40">
        <f>C224*Prislapp!$C$2+D224*Prislapp!$D$2+E224*Prislapp!$E$2+F224*Prislapp!$F$2+G224*Prislapp!$G$2+H224*Prislapp!$H$2+I224*Prislapp!$I$2+J224*Prislapp!$J$2+K224*Prislapp!$K$2+L224*Prislapp!$L$2+M224*Prislapp!$M$2+N224*Prislapp!$N$2</f>
        <v>20757</v>
      </c>
      <c r="P224" s="40">
        <f>C224*Prislapp!$C$3+D224*Prislapp!$D$3+E224*Prislapp!$E$3+F224*Prislapp!$F$3+G224*Prislapp!$G$3+H224*Prislapp!$H$3+I224*Prislapp!$I$3+J224*Prislapp!$J$3+K224*Prislapp!$K$3+M224*Prislapp!$M$3+N224*Prislapp!$N$3+L224*Prislapp!$L$3</f>
        <v>36082</v>
      </c>
      <c r="Q224" s="40">
        <f>C224*Prislapp!$C$5+D224*Prislapp!$D$5+E224*Prislapp!$E$5+F224*Prislapp!$F$5+G224*Prislapp!$G$5+H224*Prislapp!$H$5+I224*Prislapp!$I$5+J224*Prislapp!$J$5+K224*Prislapp!$K$5+L224*Prislapp!$L$5+M224*Prislapp!$M$5+N224*Prislapp!$N$5</f>
        <v>22600</v>
      </c>
      <c r="R224" s="9">
        <f>VLOOKUP(A224,'Ansvar kurs'!$A$2:$B$943,2,FALSE)</f>
        <v>5740</v>
      </c>
      <c r="S224" s="157"/>
      <c r="T224" s="157"/>
      <c r="U224" s="157"/>
      <c r="V224" s="157"/>
      <c r="W224" s="157"/>
      <c r="X224" s="157"/>
      <c r="Y224" s="157"/>
      <c r="Z224" s="157"/>
    </row>
    <row r="225" spans="1:26" x14ac:dyDescent="0.25">
      <c r="A225" s="222" t="s">
        <v>1697</v>
      </c>
      <c r="B225" s="60" t="s">
        <v>1563</v>
      </c>
      <c r="H225" s="31">
        <v>0.5</v>
      </c>
      <c r="J225" s="31">
        <v>0.5</v>
      </c>
      <c r="O225" s="40">
        <f>C225*Prislapp!$C$2+D225*Prislapp!$D$2+E225*Prislapp!$E$2+F225*Prislapp!$F$2+G225*Prislapp!$G$2+H225*Prislapp!$H$2+I225*Prislapp!$I$2+J225*Prislapp!$J$2+K225*Prislapp!$K$2+L225*Prislapp!$L$2+M225*Prislapp!$M$2+N225*Prislapp!$N$2</f>
        <v>20757</v>
      </c>
      <c r="P225" s="40">
        <f>C225*Prislapp!$C$3+D225*Prislapp!$D$3+E225*Prislapp!$E$3+F225*Prislapp!$F$3+G225*Prislapp!$G$3+H225*Prislapp!$H$3+I225*Prislapp!$I$3+J225*Prislapp!$J$3+K225*Prislapp!$K$3+M225*Prislapp!$M$3+N225*Prislapp!$N$3+L225*Prislapp!$L$3</f>
        <v>36082</v>
      </c>
      <c r="Q225" s="40">
        <f>C225*Prislapp!$C$5+D225*Prislapp!$D$5+E225*Prislapp!$E$5+F225*Prislapp!$F$5+G225*Prislapp!$G$5+H225*Prislapp!$H$5+I225*Prislapp!$I$5+J225*Prislapp!$J$5+K225*Prislapp!$K$5+L225*Prislapp!$L$5+M225*Prislapp!$M$5+N225*Prislapp!$N$5</f>
        <v>22600</v>
      </c>
      <c r="R225" s="9">
        <f>VLOOKUP(A225,'Ansvar kurs'!$A$2:$B$943,2,FALSE)</f>
        <v>5400</v>
      </c>
      <c r="S225" s="157"/>
      <c r="T225" s="157"/>
      <c r="U225" s="157"/>
      <c r="V225" s="157"/>
      <c r="W225" s="157"/>
      <c r="X225" s="157"/>
      <c r="Y225" s="157"/>
      <c r="Z225" s="157"/>
    </row>
    <row r="226" spans="1:26" x14ac:dyDescent="0.25">
      <c r="A226" s="222" t="s">
        <v>1797</v>
      </c>
      <c r="B226" s="60" t="s">
        <v>1816</v>
      </c>
      <c r="H226" s="31">
        <v>1</v>
      </c>
      <c r="O226" s="40">
        <f>C226*Prislapp!$C$2+D226*Prislapp!$D$2+E226*Prislapp!$E$2+F226*Prislapp!$F$2+G226*Prislapp!$G$2+H226*Prislapp!$H$2+I226*Prislapp!$I$2+J226*Prislapp!$J$2+K226*Prislapp!$K$2+L226*Prislapp!$L$2+M226*Prislapp!$M$2+N226*Prislapp!$N$2</f>
        <v>20757</v>
      </c>
      <c r="P226" s="40">
        <f>C226*Prislapp!$C$3+D226*Prislapp!$D$3+E226*Prislapp!$E$3+F226*Prislapp!$F$3+G226*Prislapp!$G$3+H226*Prislapp!$H$3+I226*Prislapp!$I$3+J226*Prislapp!$J$3+K226*Prislapp!$K$3+M226*Prislapp!$M$3+N226*Prislapp!$N$3+L226*Prislapp!$L$3</f>
        <v>36082</v>
      </c>
      <c r="Q226" s="40">
        <f>C226*Prislapp!$C$5+D226*Prislapp!$D$5+E226*Prislapp!$E$5+F226*Prislapp!$F$5+G226*Prislapp!$G$5+H226*Prislapp!$H$5+I226*Prislapp!$I$5+J226*Prislapp!$J$5+K226*Prislapp!$K$5+L226*Prislapp!$L$5+M226*Prislapp!$M$5+N226*Prislapp!$N$5</f>
        <v>22600</v>
      </c>
      <c r="R226" s="9">
        <f>VLOOKUP(A226,'Ansvar kurs'!$A$2:$B$943,2,FALSE)</f>
        <v>5400</v>
      </c>
      <c r="S226" s="157"/>
      <c r="T226" s="157"/>
      <c r="U226" s="157"/>
      <c r="V226" s="157"/>
      <c r="W226" s="157"/>
      <c r="X226" s="157"/>
      <c r="Y226" s="157"/>
      <c r="Z226" s="157"/>
    </row>
    <row r="227" spans="1:26" x14ac:dyDescent="0.25">
      <c r="A227" s="222" t="s">
        <v>1798</v>
      </c>
      <c r="B227" s="60" t="s">
        <v>1718</v>
      </c>
      <c r="H227" s="31">
        <v>0</v>
      </c>
      <c r="J227" s="31">
        <v>1</v>
      </c>
      <c r="O227" s="40">
        <f>C227*Prislapp!$C$2+D227*Prislapp!$D$2+E227*Prislapp!$E$2+F227*Prislapp!$F$2+G227*Prislapp!$G$2+H227*Prislapp!$H$2+I227*Prislapp!$I$2+J227*Prislapp!$J$2+K227*Prislapp!$K$2+L227*Prislapp!$L$2+M227*Prislapp!$M$2+N227*Prislapp!$N$2</f>
        <v>20757</v>
      </c>
      <c r="P227" s="40">
        <f>C227*Prislapp!$C$3+D227*Prislapp!$D$3+E227*Prislapp!$E$3+F227*Prislapp!$F$3+G227*Prislapp!$G$3+H227*Prislapp!$H$3+I227*Prislapp!$I$3+J227*Prislapp!$J$3+K227*Prislapp!$K$3+M227*Prislapp!$M$3+N227*Prislapp!$N$3+L227*Prislapp!$L$3</f>
        <v>36082</v>
      </c>
      <c r="Q227" s="40">
        <f>C227*Prislapp!$C$5+D227*Prislapp!$D$5+E227*Prislapp!$E$5+F227*Prislapp!$F$5+G227*Prislapp!$G$5+H227*Prislapp!$H$5+I227*Prislapp!$I$5+J227*Prislapp!$J$5+K227*Prislapp!$K$5+L227*Prislapp!$L$5+M227*Prislapp!$M$5+N227*Prislapp!$N$5</f>
        <v>22600</v>
      </c>
      <c r="R227" s="9">
        <f>VLOOKUP(A227,'Ansvar kurs'!$A$2:$B$943,2,FALSE)</f>
        <v>5400</v>
      </c>
      <c r="S227" s="157" t="s">
        <v>1844</v>
      </c>
      <c r="T227" s="157"/>
      <c r="U227" s="157"/>
      <c r="V227" s="157"/>
      <c r="W227" s="157"/>
      <c r="X227" s="157"/>
      <c r="Y227" s="157"/>
      <c r="Z227" s="157"/>
    </row>
    <row r="228" spans="1:26" x14ac:dyDescent="0.25">
      <c r="A228" s="222" t="s">
        <v>1465</v>
      </c>
      <c r="B228" s="31" t="s">
        <v>1094</v>
      </c>
      <c r="H228" s="31">
        <v>1</v>
      </c>
      <c r="O228" s="40">
        <f>C228*Prislapp!$C$2+D228*Prislapp!$D$2+E228*Prislapp!$E$2+F228*Prislapp!$F$2+G228*Prislapp!$G$2+H228*Prislapp!$H$2+I228*Prislapp!$I$2+J228*Prislapp!$J$2+K228*Prislapp!$K$2+L228*Prislapp!$L$2+M228*Prislapp!$M$2+N228*Prislapp!$N$2</f>
        <v>20757</v>
      </c>
      <c r="P228" s="40">
        <f>C228*Prislapp!$C$3+D228*Prislapp!$D$3+E228*Prislapp!$E$3+F228*Prislapp!$F$3+G228*Prislapp!$G$3+H228*Prislapp!$H$3+I228*Prislapp!$I$3+J228*Prislapp!$J$3+K228*Prislapp!$K$3+M228*Prislapp!$M$3+N228*Prislapp!$N$3+L228*Prislapp!$L$3</f>
        <v>36082</v>
      </c>
      <c r="Q228" s="40">
        <f>C228*Prislapp!$C$5+D228*Prislapp!$D$5+E228*Prislapp!$E$5+F228*Prislapp!$F$5+G228*Prislapp!$G$5+H228*Prislapp!$H$5+I228*Prislapp!$I$5+J228*Prislapp!$J$5+K228*Prislapp!$K$5+L228*Prislapp!$L$5+M228*Prislapp!$M$5+N228*Prislapp!$N$5</f>
        <v>22600</v>
      </c>
      <c r="R228" s="9">
        <f>VLOOKUP(A228,'Ansvar kurs'!$A$2:$B$943,2,FALSE)</f>
        <v>5740</v>
      </c>
      <c r="S228" s="157" t="s">
        <v>1260</v>
      </c>
    </row>
    <row r="229" spans="1:26" x14ac:dyDescent="0.25">
      <c r="A229" s="222" t="s">
        <v>1466</v>
      </c>
      <c r="B229" s="31" t="s">
        <v>1130</v>
      </c>
      <c r="H229" s="31">
        <v>1</v>
      </c>
      <c r="O229" s="40">
        <f>C229*Prislapp!$C$2+D229*Prislapp!$D$2+E229*Prislapp!$E$2+F229*Prislapp!$F$2+G229*Prislapp!$G$2+H229*Prislapp!$H$2+I229*Prislapp!$I$2+J229*Prislapp!$J$2+K229*Prislapp!$K$2+L229*Prislapp!$L$2+M229*Prislapp!$M$2+N229*Prislapp!$N$2</f>
        <v>20757</v>
      </c>
      <c r="P229" s="40">
        <f>C229*Prislapp!$C$3+D229*Prislapp!$D$3+E229*Prislapp!$E$3+F229*Prislapp!$F$3+G229*Prislapp!$G$3+H229*Prislapp!$H$3+I229*Prislapp!$I$3+J229*Prislapp!$J$3+K229*Prislapp!$K$3+M229*Prislapp!$M$3+N229*Prislapp!$N$3+L229*Prislapp!$L$3</f>
        <v>36082</v>
      </c>
      <c r="Q229" s="40">
        <f>C229*Prislapp!$C$5+D229*Prislapp!$D$5+E229*Prislapp!$E$5+F229*Prislapp!$F$5+G229*Prislapp!$G$5+H229*Prislapp!$H$5+I229*Prislapp!$I$5+J229*Prislapp!$J$5+K229*Prislapp!$K$5+L229*Prislapp!$L$5+M229*Prislapp!$M$5+N229*Prislapp!$N$5</f>
        <v>22600</v>
      </c>
      <c r="R229" s="9">
        <f>VLOOKUP(A229,'Ansvar kurs'!$A$2:$B$943,2,FALSE)</f>
        <v>5740</v>
      </c>
      <c r="S229" s="157" t="s">
        <v>1260</v>
      </c>
    </row>
    <row r="230" spans="1:26" x14ac:dyDescent="0.25">
      <c r="A230" s="358" t="s">
        <v>1467</v>
      </c>
      <c r="B230" s="31" t="s">
        <v>1131</v>
      </c>
      <c r="H230" s="31">
        <v>1</v>
      </c>
      <c r="O230" s="40">
        <f>C230*Prislapp!$C$2+D230*Prislapp!$D$2+E230*Prislapp!$E$2+F230*Prislapp!$F$2+G230*Prislapp!$G$2+H230*Prislapp!$H$2+I230*Prislapp!$I$2+J230*Prislapp!$J$2+K230*Prislapp!$K$2+L230*Prislapp!$L$2+M230*Prislapp!$M$2+N230*Prislapp!$N$2</f>
        <v>20757</v>
      </c>
      <c r="P230" s="40">
        <f>C230*Prislapp!$C$3+D230*Prislapp!$D$3+E230*Prislapp!$E$3+F230*Prislapp!$F$3+G230*Prislapp!$G$3+H230*Prislapp!$H$3+I230*Prislapp!$I$3+J230*Prislapp!$J$3+K230*Prislapp!$K$3+M230*Prislapp!$M$3+N230*Prislapp!$N$3+L230*Prislapp!$L$3</f>
        <v>36082</v>
      </c>
      <c r="Q230" s="40">
        <f>C230*Prislapp!$C$5+D230*Prislapp!$D$5+E230*Prislapp!$E$5+F230*Prislapp!$F$5+G230*Prislapp!$G$5+H230*Prislapp!$H$5+I230*Prislapp!$I$5+J230*Prislapp!$J$5+K230*Prislapp!$K$5+L230*Prislapp!$L$5+M230*Prislapp!$M$5+N230*Prislapp!$N$5</f>
        <v>22600</v>
      </c>
      <c r="R230" s="9">
        <f>VLOOKUP(A230,'Ansvar kurs'!$A$2:$B$943,2,FALSE)</f>
        <v>5740</v>
      </c>
      <c r="S230" s="157" t="s">
        <v>1260</v>
      </c>
    </row>
    <row r="231" spans="1:26" x14ac:dyDescent="0.25">
      <c r="A231" s="9" t="s">
        <v>1876</v>
      </c>
      <c r="B231" s="31" t="s">
        <v>1559</v>
      </c>
      <c r="H231" s="31">
        <v>1</v>
      </c>
      <c r="O231" s="40">
        <f>C231*Prislapp!$C$2+D231*Prislapp!$D$2+E231*Prislapp!$E$2+F231*Prislapp!$F$2+G231*Prislapp!$G$2+H231*Prislapp!$H$2+I231*Prislapp!$I$2+J231*Prislapp!$J$2+K231*Prislapp!$K$2+L231*Prislapp!$L$2+M231*Prislapp!$M$2+N231*Prislapp!$N$2</f>
        <v>20757</v>
      </c>
      <c r="P231" s="40">
        <f>C231*Prislapp!$C$3+D231*Prislapp!$D$3+E231*Prislapp!$E$3+F231*Prislapp!$F$3+G231*Prislapp!$G$3+H231*Prislapp!$H$3+I231*Prislapp!$I$3+J231*Prislapp!$J$3+K231*Prislapp!$K$3+M231*Prislapp!$M$3+N231*Prislapp!$N$3+L231*Prislapp!$L$3</f>
        <v>36082</v>
      </c>
      <c r="Q231" s="40">
        <f>C231*Prislapp!$C$5+D231*Prislapp!$D$5+E231*Prislapp!$E$5+F231*Prislapp!$F$5+G231*Prislapp!$G$5+H231*Prislapp!$H$5+I231*Prislapp!$I$5+J231*Prislapp!$J$5+K231*Prislapp!$K$5+L231*Prislapp!$L$5+M231*Prislapp!$M$5+N231*Prislapp!$N$5</f>
        <v>22600</v>
      </c>
      <c r="R231" s="9">
        <f>VLOOKUP(A231,'Ansvar kurs'!$A$2:$B$943,2,FALSE)</f>
        <v>5100</v>
      </c>
      <c r="S231" s="157"/>
      <c r="T231" s="157"/>
      <c r="U231" s="157"/>
      <c r="V231" s="157"/>
      <c r="W231" s="157"/>
      <c r="X231" s="157"/>
      <c r="Y231" s="157"/>
      <c r="Z231" s="157"/>
    </row>
    <row r="232" spans="1:26" x14ac:dyDescent="0.25">
      <c r="A232" s="358" t="s">
        <v>1799</v>
      </c>
      <c r="B232" s="31" t="s">
        <v>1758</v>
      </c>
      <c r="H232" s="31">
        <v>1</v>
      </c>
      <c r="O232" s="40">
        <f>C232*Prislapp!$C$2+D232*Prislapp!$D$2+E232*Prislapp!$E$2+F232*Prislapp!$F$2+G232*Prislapp!$G$2+H232*Prislapp!$H$2+I232*Prislapp!$I$2+J232*Prislapp!$J$2+K232*Prislapp!$K$2+L232*Prislapp!$L$2+M232*Prislapp!$M$2+N232*Prislapp!$N$2</f>
        <v>20757</v>
      </c>
      <c r="P232" s="40">
        <f>C232*Prislapp!$C$3+D232*Prislapp!$D$3+E232*Prislapp!$E$3+F232*Prislapp!$F$3+G232*Prislapp!$G$3+H232*Prislapp!$H$3+I232*Prislapp!$I$3+J232*Prislapp!$J$3+K232*Prislapp!$K$3+M232*Prislapp!$M$3+N232*Prislapp!$N$3+L232*Prislapp!$L$3</f>
        <v>36082</v>
      </c>
      <c r="Q232" s="40">
        <f>C232*Prislapp!$C$5+D232*Prislapp!$D$5+E232*Prislapp!$E$5+F232*Prislapp!$F$5+G232*Prislapp!$G$5+H232*Prislapp!$H$5+I232*Prislapp!$I$5+J232*Prislapp!$J$5+K232*Prislapp!$K$5+L232*Prislapp!$L$5+M232*Prislapp!$M$5+N232*Prislapp!$N$5</f>
        <v>22600</v>
      </c>
      <c r="R232" s="9">
        <f>VLOOKUP(A232,'Ansvar kurs'!$A$2:$B$943,2,FALSE)</f>
        <v>5100</v>
      </c>
      <c r="S232" s="157"/>
      <c r="T232" s="157"/>
      <c r="U232" s="157"/>
      <c r="V232" s="157"/>
      <c r="W232" s="157"/>
      <c r="X232" s="157"/>
      <c r="Y232" s="157"/>
      <c r="Z232" s="157"/>
    </row>
    <row r="233" spans="1:26" x14ac:dyDescent="0.25">
      <c r="A233" s="9" t="s">
        <v>1877</v>
      </c>
      <c r="B233" s="31" t="s">
        <v>1761</v>
      </c>
      <c r="H233" s="31">
        <v>1</v>
      </c>
      <c r="O233" s="40">
        <f>C233*Prislapp!$C$2+D233*Prislapp!$D$2+E233*Prislapp!$E$2+F233*Prislapp!$F$2+G233*Prislapp!$G$2+H233*Prislapp!$H$2+I233*Prislapp!$I$2+J233*Prislapp!$J$2+K233*Prislapp!$K$2+L233*Prislapp!$L$2+M233*Prislapp!$M$2+N233*Prislapp!$N$2</f>
        <v>20757</v>
      </c>
      <c r="P233" s="40">
        <f>C233*Prislapp!$C$3+D233*Prislapp!$D$3+E233*Prislapp!$E$3+F233*Prislapp!$F$3+G233*Prislapp!$G$3+H233*Prislapp!$H$3+I233*Prislapp!$I$3+J233*Prislapp!$J$3+K233*Prislapp!$K$3+M233*Prislapp!$M$3+N233*Prislapp!$N$3+L233*Prislapp!$L$3</f>
        <v>36082</v>
      </c>
      <c r="Q233" s="40">
        <f>C233*Prislapp!$C$5+D233*Prislapp!$D$5+E233*Prislapp!$E$5+F233*Prislapp!$F$5+G233*Prislapp!$G$5+H233*Prislapp!$H$5+I233*Prislapp!$I$5+J233*Prislapp!$J$5+K233*Prislapp!$K$5+L233*Prislapp!$L$5+M233*Prislapp!$M$5+N233*Prislapp!$N$5</f>
        <v>22600</v>
      </c>
      <c r="R233" s="9">
        <f>VLOOKUP(A233,'Ansvar kurs'!$A$2:$B$943,2,FALSE)</f>
        <v>5100</v>
      </c>
      <c r="S233" s="157"/>
      <c r="T233" s="157"/>
      <c r="U233" s="157"/>
      <c r="V233" s="157"/>
      <c r="W233" s="157"/>
      <c r="X233" s="157"/>
      <c r="Y233" s="157"/>
      <c r="Z233" s="157"/>
    </row>
    <row r="234" spans="1:26" x14ac:dyDescent="0.25">
      <c r="A234" s="358" t="s">
        <v>1980</v>
      </c>
      <c r="B234" s="31" t="s">
        <v>1917</v>
      </c>
      <c r="H234" s="31">
        <v>1</v>
      </c>
      <c r="O234" s="40">
        <f>C234*Prislapp!$C$2+D234*Prislapp!$D$2+E234*Prislapp!$E$2+F234*Prislapp!$F$2+G234*Prislapp!$G$2+H234*Prislapp!$H$2+I234*Prislapp!$I$2+J234*Prislapp!$J$2+K234*Prislapp!$K$2+L234*Prislapp!$L$2+M234*Prislapp!$M$2+N234*Prislapp!$N$2</f>
        <v>20757</v>
      </c>
      <c r="P234" s="40">
        <f>C234*Prislapp!$C$3+D234*Prislapp!$D$3+E234*Prislapp!$E$3+F234*Prislapp!$F$3+G234*Prislapp!$G$3+H234*Prislapp!$H$3+I234*Prislapp!$I$3+J234*Prislapp!$J$3+K234*Prislapp!$K$3+M234*Prislapp!$M$3+N234*Prislapp!$N$3+L234*Prislapp!$L$3</f>
        <v>36082</v>
      </c>
      <c r="Q234" s="40">
        <f>C234*Prislapp!$C$5+D234*Prislapp!$D$5+E234*Prislapp!$E$5+F234*Prislapp!$F$5+G234*Prislapp!$G$5+H234*Prislapp!$H$5+I234*Prislapp!$I$5+J234*Prislapp!$J$5+K234*Prislapp!$K$5+L234*Prislapp!$L$5+M234*Prislapp!$M$5+N234*Prislapp!$N$5</f>
        <v>22600</v>
      </c>
      <c r="R234" s="9">
        <f>VLOOKUP(A234,'Ansvar kurs'!$A$2:$B$943,2,FALSE)</f>
        <v>5100</v>
      </c>
      <c r="S234" s="176"/>
    </row>
    <row r="235" spans="1:26" x14ac:dyDescent="0.25">
      <c r="A235" s="157" t="s">
        <v>95</v>
      </c>
      <c r="B235" s="31" t="s">
        <v>670</v>
      </c>
      <c r="D235" s="31">
        <v>0.75</v>
      </c>
      <c r="K235" s="31">
        <v>0.25</v>
      </c>
      <c r="O235" s="40">
        <f>C235*Prislapp!$C$2+D235*Prislapp!$D$2+E235*Prislapp!$E$2+F235*Prislapp!$F$2+G235*Prislapp!$G$2+H235*Prislapp!$H$2+I235*Prislapp!$I$2+J235*Prislapp!$J$2+K235*Prislapp!$K$2+L235*Prislapp!$L$2+M235*Prislapp!$M$2+N235*Prislapp!$N$2</f>
        <v>21883.25</v>
      </c>
      <c r="P235" s="40">
        <f>C235*Prislapp!$C$3+D235*Prislapp!$D$3+E235*Prislapp!$E$3+F235*Prislapp!$F$3+G235*Prislapp!$G$3+H235*Prislapp!$H$3+I235*Prislapp!$I$3+J235*Prislapp!$J$3+K235*Prislapp!$K$3+M235*Prislapp!$M$3+N235*Prislapp!$N$3+L235*Prislapp!$L$3</f>
        <v>20075.5</v>
      </c>
      <c r="Q235" s="40">
        <f>C235*Prislapp!$C$5+D235*Prislapp!$D$5+E235*Prislapp!$E$5+F235*Prislapp!$F$5+G235*Prislapp!$G$5+H235*Prislapp!$H$5+I235*Prislapp!$I$5+J235*Prislapp!$J$5+K235*Prislapp!$K$5+L235*Prislapp!$L$5+M235*Prislapp!$M$5+N235*Prislapp!$N$5</f>
        <v>5400</v>
      </c>
      <c r="R235" s="9">
        <f>VLOOKUP(A235,'Ansvar kurs'!$A$2:$B$943,2,FALSE)</f>
        <v>1630</v>
      </c>
      <c r="S235" s="157"/>
      <c r="T235" s="157"/>
      <c r="U235" s="157"/>
      <c r="V235" s="157"/>
      <c r="W235" s="157"/>
      <c r="X235" s="157"/>
      <c r="Y235" s="157"/>
      <c r="Z235" s="157"/>
    </row>
    <row r="236" spans="1:26" x14ac:dyDescent="0.25">
      <c r="A236" s="31" t="s">
        <v>99</v>
      </c>
      <c r="B236" s="31" t="s">
        <v>671</v>
      </c>
      <c r="D236" s="31">
        <v>1</v>
      </c>
      <c r="O236" s="40">
        <f>C236*Prislapp!$C$2+D236*Prislapp!$D$2+E236*Prislapp!$E$2+F236*Prislapp!$F$2+G236*Prislapp!$G$2+H236*Prislapp!$H$2+I236*Prislapp!$I$2+J236*Prislapp!$J$2+K236*Prislapp!$K$2+L236*Prislapp!$L$2+M236*Prislapp!$M$2+N236*Prislapp!$N$2</f>
        <v>20766</v>
      </c>
      <c r="P236" s="40">
        <f>C236*Prislapp!$C$3+D236*Prislapp!$D$3+E236*Prislapp!$E$3+F236*Prislapp!$F$3+G236*Prislapp!$G$3+H236*Prislapp!$H$3+I236*Prislapp!$I$3+J236*Prislapp!$J$3+K236*Prislapp!$K$3+M236*Prislapp!$M$3+N236*Prislapp!$N$3+L236*Prislapp!$L$3</f>
        <v>17442</v>
      </c>
      <c r="Q236" s="40">
        <f>C236*Prislapp!$C$5+D236*Prislapp!$D$5+E236*Prislapp!$E$5+F236*Prislapp!$F$5+G236*Prislapp!$G$5+H236*Prislapp!$H$5+I236*Prislapp!$I$5+J236*Prislapp!$J$5+K236*Prislapp!$K$5+L236*Prislapp!$L$5+M236*Prislapp!$M$5+N236*Prislapp!$N$5</f>
        <v>6000</v>
      </c>
      <c r="R236" s="9">
        <f>VLOOKUP(A236,'Ansvar kurs'!$A$2:$B$943,2,FALSE)</f>
        <v>1630</v>
      </c>
      <c r="S236" s="157"/>
      <c r="T236" s="157"/>
      <c r="U236" s="157"/>
      <c r="V236" s="157"/>
      <c r="W236" s="157"/>
      <c r="X236" s="157"/>
      <c r="Y236" s="157"/>
      <c r="Z236" s="157"/>
    </row>
    <row r="237" spans="1:26" x14ac:dyDescent="0.25">
      <c r="A237" s="31" t="s">
        <v>391</v>
      </c>
      <c r="B237" s="31" t="s">
        <v>359</v>
      </c>
      <c r="F237" s="31">
        <v>1</v>
      </c>
      <c r="O237" s="40">
        <f>C237*Prislapp!$C$2+D237*Prislapp!$D$2+E237*Prislapp!$E$2+F237*Prislapp!$F$2+G237*Prislapp!$G$2+H237*Prislapp!$H$2+I237*Prislapp!$I$2+J237*Prislapp!$J$2+K237*Prislapp!$K$2+L237*Prislapp!$L$2+M237*Prislapp!$M$2+N237*Prislapp!$N$2</f>
        <v>26554</v>
      </c>
      <c r="P237" s="40">
        <f>C237*Prislapp!$C$3+D237*Prislapp!$D$3+E237*Prislapp!$E$3+F237*Prislapp!$F$3+G237*Prislapp!$G$3+H237*Prislapp!$H$3+I237*Prislapp!$I$3+J237*Prislapp!$J$3+K237*Prislapp!$K$3+M237*Prislapp!$M$3+N237*Prislapp!$N$3+L237*Prislapp!$L$3</f>
        <v>33465</v>
      </c>
      <c r="Q237" s="40">
        <f>C237*Prislapp!$C$5+D237*Prislapp!$D$5+E237*Prislapp!$E$5+F237*Prislapp!$F$5+G237*Prislapp!$G$5+H237*Prislapp!$H$5+I237*Prislapp!$I$5+J237*Prislapp!$J$5+K237*Prislapp!$K$5+L237*Prislapp!$L$5+M237*Prislapp!$M$5+N237*Prislapp!$N$5</f>
        <v>6000</v>
      </c>
      <c r="R237" s="9">
        <f>VLOOKUP(A237,'Ansvar kurs'!$A$2:$B$943,2,FALSE)</f>
        <v>1630</v>
      </c>
      <c r="S237" s="157"/>
      <c r="T237" s="157"/>
      <c r="U237" s="157"/>
      <c r="V237" s="157"/>
      <c r="W237" s="157"/>
      <c r="X237" s="157"/>
      <c r="Y237" s="157"/>
      <c r="Z237" s="157"/>
    </row>
    <row r="238" spans="1:26" x14ac:dyDescent="0.25">
      <c r="A238" s="60" t="s">
        <v>844</v>
      </c>
      <c r="B238" s="31" t="s">
        <v>1141</v>
      </c>
      <c r="D238" s="31">
        <v>1</v>
      </c>
      <c r="O238" s="40">
        <f>C238*Prislapp!$C$2+D238*Prislapp!$D$2+E238*Prislapp!$E$2+F238*Prislapp!$F$2+G238*Prislapp!$G$2+H238*Prislapp!$H$2+I238*Prislapp!$I$2+J238*Prislapp!$J$2+K238*Prislapp!$K$2+L238*Prislapp!$L$2+M238*Prislapp!$M$2+N238*Prislapp!$N$2</f>
        <v>20766</v>
      </c>
      <c r="P238" s="40">
        <f>C238*Prislapp!$C$3+D238*Prislapp!$D$3+E238*Prislapp!$E$3+F238*Prislapp!$F$3+G238*Prislapp!$G$3+H238*Prislapp!$H$3+I238*Prislapp!$I$3+J238*Prislapp!$J$3+K238*Prislapp!$K$3+M238*Prislapp!$M$3+N238*Prislapp!$N$3+L238*Prislapp!$L$3</f>
        <v>17442</v>
      </c>
      <c r="Q238" s="40">
        <f>C238*Prislapp!$C$5+D238*Prislapp!$D$5+E238*Prislapp!$E$5+F238*Prislapp!$F$5+G238*Prislapp!$G$5+H238*Prislapp!$H$5+I238*Prislapp!$I$5+J238*Prislapp!$J$5+K238*Prislapp!$K$5+L238*Prislapp!$L$5+M238*Prislapp!$M$5+N238*Prislapp!$N$5</f>
        <v>6000</v>
      </c>
      <c r="R238" s="9">
        <f>VLOOKUP(A238,'Ansvar kurs'!$A$2:$B$943,2,FALSE)</f>
        <v>1630</v>
      </c>
      <c r="S238" s="157"/>
      <c r="T238" s="157"/>
      <c r="U238" s="157"/>
      <c r="V238" s="157"/>
      <c r="W238" s="157"/>
      <c r="X238" s="157"/>
      <c r="Y238" s="157"/>
      <c r="Z238" s="157"/>
    </row>
    <row r="239" spans="1:26" x14ac:dyDescent="0.25">
      <c r="A239" s="31" t="s">
        <v>495</v>
      </c>
      <c r="B239" s="31" t="s">
        <v>544</v>
      </c>
      <c r="D239" s="31">
        <v>1</v>
      </c>
      <c r="O239" s="40">
        <f>C239*Prislapp!$C$2+D239*Prislapp!$D$2+E239*Prislapp!$E$2+F239*Prislapp!$F$2+G239*Prislapp!$G$2+H239*Prislapp!$H$2+I239*Prislapp!$I$2+J239*Prislapp!$J$2+K239*Prislapp!$K$2+L239*Prislapp!$L$2+M239*Prislapp!$M$2+N239*Prislapp!$N$2</f>
        <v>20766</v>
      </c>
      <c r="P239" s="40">
        <f>C239*Prislapp!$C$3+D239*Prislapp!$D$3+E239*Prislapp!$E$3+F239*Prislapp!$F$3+G239*Prislapp!$G$3+H239*Prislapp!$H$3+I239*Prislapp!$I$3+J239*Prislapp!$J$3+K239*Prislapp!$K$3+M239*Prislapp!$M$3+N239*Prislapp!$N$3+L239*Prislapp!$L$3</f>
        <v>17442</v>
      </c>
      <c r="Q239" s="40">
        <f>C239*Prislapp!$C$5+D239*Prislapp!$D$5+E239*Prislapp!$E$5+F239*Prislapp!$F$5+G239*Prislapp!$G$5+H239*Prislapp!$H$5+I239*Prislapp!$I$5+J239*Prislapp!$J$5+K239*Prislapp!$K$5+L239*Prislapp!$L$5+M239*Prislapp!$M$5+N239*Prislapp!$N$5</f>
        <v>6000</v>
      </c>
      <c r="R239" s="9">
        <f>VLOOKUP(A239,'Ansvar kurs'!$A$2:$B$943,2,FALSE)</f>
        <v>1630</v>
      </c>
      <c r="S239" s="157"/>
      <c r="T239" s="157"/>
      <c r="U239" s="157"/>
      <c r="V239" s="157"/>
      <c r="W239" s="157"/>
      <c r="X239" s="157"/>
      <c r="Y239" s="157"/>
      <c r="Z239" s="157"/>
    </row>
    <row r="240" spans="1:26" x14ac:dyDescent="0.25">
      <c r="A240" s="31" t="s">
        <v>607</v>
      </c>
      <c r="B240" s="31" t="s">
        <v>672</v>
      </c>
      <c r="D240" s="31">
        <v>1</v>
      </c>
      <c r="O240" s="40">
        <f>C240*Prislapp!$C$2+D240*Prislapp!$D$2+E240*Prislapp!$E$2+F240*Prislapp!$F$2+G240*Prislapp!$G$2+H240*Prislapp!$H$2+I240*Prislapp!$I$2+J240*Prislapp!$J$2+K240*Prislapp!$K$2+L240*Prislapp!$L$2+M240*Prislapp!$M$2+N240*Prislapp!$N$2</f>
        <v>20766</v>
      </c>
      <c r="P240" s="40">
        <f>C240*Prislapp!$C$3+D240*Prislapp!$D$3+E240*Prislapp!$E$3+F240*Prislapp!$F$3+G240*Prislapp!$G$3+H240*Prislapp!$H$3+I240*Prislapp!$I$3+J240*Prislapp!$J$3+K240*Prislapp!$K$3+M240*Prislapp!$M$3+N240*Prislapp!$N$3+L240*Prislapp!$L$3</f>
        <v>17442</v>
      </c>
      <c r="Q240" s="40">
        <f>C240*Prislapp!$C$5+D240*Prislapp!$D$5+E240*Prislapp!$E$5+F240*Prislapp!$F$5+G240*Prislapp!$G$5+H240*Prislapp!$H$5+I240*Prislapp!$I$5+J240*Prislapp!$J$5+K240*Prislapp!$K$5+L240*Prislapp!$L$5+M240*Prislapp!$M$5+N240*Prislapp!$N$5</f>
        <v>6000</v>
      </c>
      <c r="R240" s="9">
        <f>VLOOKUP(A240,'Ansvar kurs'!$A$2:$B$943,2,FALSE)</f>
        <v>1630</v>
      </c>
      <c r="S240" s="157"/>
      <c r="T240" s="157"/>
      <c r="U240" s="157"/>
      <c r="V240" s="157"/>
      <c r="W240" s="157"/>
      <c r="X240" s="157"/>
      <c r="Y240" s="157"/>
      <c r="Z240" s="157"/>
    </row>
    <row r="241" spans="1:26" x14ac:dyDescent="0.25">
      <c r="A241" s="31" t="s">
        <v>771</v>
      </c>
      <c r="B241" s="31" t="s">
        <v>774</v>
      </c>
      <c r="D241" s="31">
        <v>1</v>
      </c>
      <c r="O241" s="40">
        <f>C241*Prislapp!$C$2+D241*Prislapp!$D$2+E241*Prislapp!$E$2+F241*Prislapp!$F$2+G241*Prislapp!$G$2+H241*Prislapp!$H$2+I241*Prislapp!$I$2+J241*Prislapp!$J$2+K241*Prislapp!$K$2+L241*Prislapp!$L$2+M241*Prislapp!$M$2+N241*Prislapp!$N$2</f>
        <v>20766</v>
      </c>
      <c r="P241" s="40">
        <f>C241*Prislapp!$C$3+D241*Prislapp!$D$3+E241*Prislapp!$E$3+F241*Prislapp!$F$3+G241*Prislapp!$G$3+H241*Prislapp!$H$3+I241*Prislapp!$I$3+J241*Prislapp!$J$3+K241*Prislapp!$K$3+M241*Prislapp!$M$3+N241*Prislapp!$N$3+L241*Prislapp!$L$3</f>
        <v>17442</v>
      </c>
      <c r="Q241" s="40">
        <f>C241*Prislapp!$C$5+D241*Prislapp!$D$5+E241*Prislapp!$E$5+F241*Prislapp!$F$5+G241*Prislapp!$G$5+H241*Prislapp!$H$5+I241*Prislapp!$I$5+J241*Prislapp!$J$5+K241*Prislapp!$K$5+L241*Prislapp!$L$5+M241*Prislapp!$M$5+N241*Prislapp!$N$5</f>
        <v>6000</v>
      </c>
      <c r="R241" s="9">
        <f>VLOOKUP(A241,'Ansvar kurs'!$A$2:$B$943,2,FALSE)</f>
        <v>1630</v>
      </c>
      <c r="S241" s="157"/>
      <c r="T241" s="157"/>
      <c r="U241" s="157"/>
      <c r="V241" s="157"/>
      <c r="W241" s="157"/>
      <c r="X241" s="157"/>
      <c r="Y241" s="157"/>
      <c r="Z241" s="157"/>
    </row>
    <row r="242" spans="1:26" x14ac:dyDescent="0.25">
      <c r="A242" s="31" t="s">
        <v>1237</v>
      </c>
      <c r="B242" s="31" t="s">
        <v>1135</v>
      </c>
      <c r="K242" s="31">
        <v>1</v>
      </c>
      <c r="O242" s="40">
        <f>C242*Prislapp!$C$2+D242*Prislapp!$D$2+E242*Prislapp!$E$2+F242*Prislapp!$F$2+G242*Prislapp!$G$2+H242*Prislapp!$H$2+I242*Prislapp!$I$2+J242*Prislapp!$J$2+K242*Prislapp!$K$2+L242*Prislapp!$L$2+M242*Prislapp!$M$2+N242*Prislapp!$N$2</f>
        <v>25235</v>
      </c>
      <c r="P242" s="40">
        <f>C242*Prislapp!$C$3+D242*Prislapp!$D$3+E242*Prislapp!$E$3+F242*Prislapp!$F$3+G242*Prislapp!$G$3+H242*Prislapp!$H$3+I242*Prislapp!$I$3+J242*Prislapp!$J$3+K242*Prislapp!$K$3+M242*Prislapp!$M$3+N242*Prislapp!$N$3+L242*Prislapp!$L$3</f>
        <v>27976</v>
      </c>
      <c r="Q242" s="40">
        <f>C242*Prislapp!$C$5+D242*Prislapp!$D$5+E242*Prislapp!$E$5+F242*Prislapp!$F$5+G242*Prislapp!$G$5+H242*Prislapp!$H$5+I242*Prislapp!$I$5+J242*Prislapp!$J$5+K242*Prislapp!$K$5+L242*Prislapp!$L$5+M242*Prislapp!$M$5+N242*Prislapp!$N$5</f>
        <v>3600</v>
      </c>
      <c r="R242" s="9">
        <f>VLOOKUP(A242,'Ansvar kurs'!$A$2:$B$943,2,FALSE)</f>
        <v>1630</v>
      </c>
      <c r="S242" s="157"/>
      <c r="T242" s="157"/>
      <c r="U242" s="157"/>
      <c r="V242" s="157"/>
      <c r="W242" s="157"/>
      <c r="X242" s="157"/>
      <c r="Y242" s="157"/>
      <c r="Z242" s="157"/>
    </row>
    <row r="243" spans="1:26" x14ac:dyDescent="0.25">
      <c r="A243" s="31" t="s">
        <v>1011</v>
      </c>
      <c r="B243" s="31" t="s">
        <v>758</v>
      </c>
      <c r="K243" s="31">
        <v>1</v>
      </c>
      <c r="O243" s="40">
        <f>C243*Prislapp!$C$2+D243*Prislapp!$D$2+E243*Prislapp!$E$2+F243*Prislapp!$F$2+G243*Prislapp!$G$2+H243*Prislapp!$H$2+I243*Prislapp!$I$2+J243*Prislapp!$J$2+K243*Prislapp!$K$2+L243*Prislapp!$L$2+M243*Prislapp!$M$2+N243*Prislapp!$N$2</f>
        <v>25235</v>
      </c>
      <c r="P243" s="40">
        <f>C243*Prislapp!$C$3+D243*Prislapp!$D$3+E243*Prislapp!$E$3+F243*Prislapp!$F$3+G243*Prislapp!$G$3+H243*Prislapp!$H$3+I243*Prislapp!$I$3+J243*Prislapp!$J$3+K243*Prislapp!$K$3+M243*Prislapp!$M$3+N243*Prislapp!$N$3+L243*Prislapp!$L$3</f>
        <v>27976</v>
      </c>
      <c r="Q243" s="40">
        <f>C243*Prislapp!$C$5+D243*Prislapp!$D$5+E243*Prislapp!$E$5+F243*Prislapp!$F$5+G243*Prislapp!$G$5+H243*Prislapp!$H$5+I243*Prislapp!$I$5+J243*Prislapp!$J$5+K243*Prislapp!$K$5+L243*Prislapp!$L$5+M243*Prislapp!$M$5+N243*Prislapp!$N$5</f>
        <v>3600</v>
      </c>
      <c r="R243" s="9">
        <f>VLOOKUP(A243,'Ansvar kurs'!$A$2:$B$943,2,FALSE)</f>
        <v>1630</v>
      </c>
      <c r="S243" s="157"/>
      <c r="T243" s="157"/>
      <c r="U243" s="157"/>
      <c r="V243" s="157"/>
      <c r="W243" s="157"/>
      <c r="X243" s="157"/>
      <c r="Y243" s="157"/>
      <c r="Z243" s="157"/>
    </row>
    <row r="244" spans="1:26" x14ac:dyDescent="0.25">
      <c r="A244" s="31" t="s">
        <v>1055</v>
      </c>
      <c r="B244" s="31" t="s">
        <v>1508</v>
      </c>
      <c r="K244" s="31">
        <v>1</v>
      </c>
      <c r="O244" s="40">
        <f>C244*Prislapp!$C$2+D244*Prislapp!$D$2+E244*Prislapp!$E$2+F244*Prislapp!$F$2+G244*Prislapp!$G$2+H244*Prislapp!$H$2+I244*Prislapp!$I$2+J244*Prislapp!$J$2+K244*Prislapp!$K$2+L244*Prislapp!$L$2+M244*Prislapp!$M$2+N244*Prislapp!$N$2</f>
        <v>25235</v>
      </c>
      <c r="P244" s="40">
        <f>C244*Prislapp!$C$3+D244*Prislapp!$D$3+E244*Prislapp!$E$3+F244*Prislapp!$F$3+G244*Prislapp!$G$3+H244*Prislapp!$H$3+I244*Prislapp!$I$3+J244*Prislapp!$J$3+K244*Prislapp!$K$3+M244*Prislapp!$M$3+N244*Prislapp!$N$3+L244*Prislapp!$L$3</f>
        <v>27976</v>
      </c>
      <c r="Q244" s="40">
        <f>C244*Prislapp!$C$5+D244*Prislapp!$D$5+E244*Prislapp!$E$5+F244*Prislapp!$F$5+G244*Prislapp!$G$5+H244*Prislapp!$H$5+I244*Prislapp!$I$5+J244*Prislapp!$J$5+K244*Prislapp!$K$5+L244*Prislapp!$L$5+M244*Prislapp!$M$5+N244*Prislapp!$N$5</f>
        <v>3600</v>
      </c>
      <c r="R244" s="9">
        <f>VLOOKUP(A244,'Ansvar kurs'!$A$2:$B$943,2,FALSE)</f>
        <v>1630</v>
      </c>
      <c r="S244" s="157"/>
      <c r="T244" s="157"/>
      <c r="U244" s="157"/>
      <c r="V244" s="157"/>
      <c r="W244" s="157"/>
      <c r="X244" s="157"/>
      <c r="Y244" s="157"/>
      <c r="Z244" s="157"/>
    </row>
    <row r="245" spans="1:26" x14ac:dyDescent="0.25">
      <c r="A245" s="222" t="s">
        <v>1056</v>
      </c>
      <c r="B245" s="31" t="s">
        <v>1142</v>
      </c>
      <c r="D245" s="31">
        <v>1</v>
      </c>
      <c r="O245" s="40">
        <f>C245*Prislapp!$C$2+D245*Prislapp!$D$2+E245*Prislapp!$E$2+F245*Prislapp!$F$2+G245*Prislapp!$G$2+H245*Prislapp!$H$2+I245*Prislapp!$I$2+J245*Prislapp!$J$2+K245*Prislapp!$K$2+L245*Prislapp!$L$2+M245*Prislapp!$M$2+N245*Prislapp!$N$2</f>
        <v>20766</v>
      </c>
      <c r="P245" s="40">
        <f>C245*Prislapp!$C$3+D245*Prislapp!$D$3+E245*Prislapp!$E$3+F245*Prislapp!$F$3+G245*Prislapp!$G$3+H245*Prislapp!$H$3+I245*Prislapp!$I$3+J245*Prislapp!$J$3+K245*Prislapp!$K$3+M245*Prislapp!$M$3+N245*Prislapp!$N$3+L245*Prislapp!$L$3</f>
        <v>17442</v>
      </c>
      <c r="Q245" s="40">
        <f>C245*Prislapp!$C$5+D245*Prislapp!$D$5+E245*Prislapp!$E$5+F245*Prislapp!$F$5+G245*Prislapp!$G$5+H245*Prislapp!$H$5+I245*Prislapp!$I$5+J245*Prislapp!$J$5+K245*Prislapp!$K$5+L245*Prislapp!$L$5+M245*Prislapp!$M$5+N245*Prislapp!$N$5</f>
        <v>6000</v>
      </c>
      <c r="R245" s="9">
        <f>VLOOKUP(A245,'Ansvar kurs'!$A$2:$B$943,2,FALSE)</f>
        <v>1630</v>
      </c>
      <c r="S245" s="31" t="s">
        <v>1088</v>
      </c>
      <c r="T245" s="157" t="s">
        <v>1060</v>
      </c>
      <c r="U245" s="157"/>
      <c r="V245" s="157"/>
      <c r="W245" s="157"/>
      <c r="X245" s="157"/>
      <c r="Y245" s="157"/>
      <c r="Z245" s="157"/>
    </row>
    <row r="246" spans="1:26" x14ac:dyDescent="0.25">
      <c r="A246" s="222" t="s">
        <v>1439</v>
      </c>
      <c r="B246" s="31" t="s">
        <v>1440</v>
      </c>
      <c r="D246" s="31">
        <v>1</v>
      </c>
      <c r="O246" s="40">
        <f>C246*Prislapp!$C$2+D246*Prislapp!$D$2+E246*Prislapp!$E$2+F246*Prislapp!$F$2+G246*Prislapp!$G$2+H246*Prislapp!$H$2+I246*Prislapp!$I$2+J246*Prislapp!$J$2+K246*Prislapp!$K$2+L246*Prislapp!$L$2+M246*Prislapp!$M$2+N246*Prislapp!$N$2</f>
        <v>20766</v>
      </c>
      <c r="P246" s="40">
        <f>C246*Prislapp!$C$3+D246*Prislapp!$D$3+E246*Prislapp!$E$3+F246*Prislapp!$F$3+G246*Prislapp!$G$3+H246*Prislapp!$H$3+I246*Prislapp!$I$3+J246*Prislapp!$J$3+K246*Prislapp!$K$3+M246*Prislapp!$M$3+N246*Prislapp!$N$3+L246*Prislapp!$L$3</f>
        <v>17442</v>
      </c>
      <c r="Q246" s="40">
        <f>C246*Prislapp!$C$5+D246*Prislapp!$D$5+E246*Prislapp!$E$5+F246*Prislapp!$F$5+G246*Prislapp!$G$5+H246*Prislapp!$H$5+I246*Prislapp!$I$5+J246*Prislapp!$J$5+K246*Prislapp!$K$5+L246*Prislapp!$L$5+M246*Prislapp!$M$5+N246*Prislapp!$N$5</f>
        <v>6000</v>
      </c>
      <c r="R246" s="9">
        <f>VLOOKUP(A246,'Ansvar kurs'!$A$2:$B$943,2,FALSE)</f>
        <v>1630</v>
      </c>
      <c r="T246" s="157"/>
      <c r="U246" s="157"/>
      <c r="V246" s="157"/>
      <c r="W246" s="157"/>
      <c r="X246" s="157"/>
      <c r="Y246" s="157"/>
      <c r="Z246" s="157"/>
    </row>
    <row r="247" spans="1:26" x14ac:dyDescent="0.25">
      <c r="A247" s="222" t="s">
        <v>956</v>
      </c>
      <c r="B247" s="31" t="s">
        <v>957</v>
      </c>
      <c r="K247" s="31">
        <v>1</v>
      </c>
      <c r="O247" s="40">
        <f>C247*Prislapp!$C$2+D247*Prislapp!$D$2+E247*Prislapp!$E$2+F247*Prislapp!$F$2+G247*Prislapp!$G$2+H247*Prislapp!$H$2+I247*Prislapp!$I$2+J247*Prislapp!$J$2+K247*Prislapp!$K$2+L247*Prislapp!$L$2+M247*Prislapp!$M$2+N247*Prislapp!$N$2</f>
        <v>25235</v>
      </c>
      <c r="P247" s="40">
        <f>C247*Prislapp!$C$3+D247*Prislapp!$D$3+E247*Prislapp!$E$3+F247*Prislapp!$F$3+G247*Prislapp!$G$3+H247*Prislapp!$H$3+I247*Prislapp!$I$3+J247*Prislapp!$J$3+K247*Prislapp!$K$3+M247*Prislapp!$M$3+N247*Prislapp!$N$3+L247*Prislapp!$L$3</f>
        <v>27976</v>
      </c>
      <c r="Q247" s="40">
        <f>C247*Prislapp!$C$5+D247*Prislapp!$D$5+E247*Prislapp!$E$5+F247*Prislapp!$F$5+G247*Prislapp!$G$5+H247*Prislapp!$H$5+I247*Prislapp!$I$5+J247*Prislapp!$J$5+K247*Prislapp!$K$5+L247*Prislapp!$L$5+M247*Prislapp!$M$5+N247*Prislapp!$N$5</f>
        <v>3600</v>
      </c>
      <c r="R247" s="9">
        <f>VLOOKUP(A247,'Ansvar kurs'!$A$2:$B$943,2,FALSE)</f>
        <v>1630</v>
      </c>
      <c r="S247" s="157" t="s">
        <v>958</v>
      </c>
      <c r="T247" s="157"/>
      <c r="U247" s="157"/>
      <c r="V247" s="157"/>
      <c r="W247" s="157"/>
      <c r="X247" s="157"/>
      <c r="Y247" s="157"/>
      <c r="Z247" s="157"/>
    </row>
    <row r="248" spans="1:26" x14ac:dyDescent="0.25">
      <c r="A248" s="60" t="s">
        <v>1490</v>
      </c>
      <c r="B248" s="60" t="s">
        <v>1135</v>
      </c>
      <c r="K248" s="31">
        <v>1</v>
      </c>
      <c r="O248" s="40">
        <f>C248*Prislapp!$C$2+D248*Prislapp!$D$2+E248*Prislapp!$E$2+F248*Prislapp!$F$2+G248*Prislapp!$G$2+H248*Prislapp!$H$2+I248*Prislapp!$I$2+J248*Prislapp!$J$2+K248*Prislapp!$K$2+L248*Prislapp!$L$2+M248*Prislapp!$M$2+N248*Prislapp!$N$2</f>
        <v>25235</v>
      </c>
      <c r="P248" s="40">
        <f>C248*Prislapp!$C$3+D248*Prislapp!$D$3+E248*Prislapp!$E$3+F248*Prislapp!$F$3+G248*Prislapp!$G$3+H248*Prislapp!$H$3+I248*Prislapp!$I$3+J248*Prislapp!$J$3+K248*Prislapp!$K$3+M248*Prislapp!$M$3+N248*Prislapp!$N$3+L248*Prislapp!$L$3</f>
        <v>27976</v>
      </c>
      <c r="Q248" s="40">
        <f>C248*Prislapp!$C$5+D248*Prislapp!$D$5+E248*Prislapp!$E$5+F248*Prislapp!$F$5+G248*Prislapp!$G$5+H248*Prislapp!$H$5+I248*Prislapp!$I$5+J248*Prislapp!$J$5+K248*Prislapp!$K$5+L248*Prislapp!$L$5+M248*Prislapp!$M$5+N248*Prislapp!$N$5</f>
        <v>3600</v>
      </c>
      <c r="R248" s="9">
        <f>VLOOKUP(A248,'Ansvar kurs'!$A$2:$B$943,2,FALSE)</f>
        <v>1630</v>
      </c>
      <c r="S248" s="176"/>
      <c r="T248" s="157"/>
      <c r="U248" s="157"/>
      <c r="V248" s="157"/>
      <c r="W248" s="157"/>
      <c r="X248" s="157"/>
      <c r="Y248" s="157"/>
      <c r="Z248" s="157"/>
    </row>
    <row r="249" spans="1:26" x14ac:dyDescent="0.25">
      <c r="A249" s="222" t="s">
        <v>1896</v>
      </c>
      <c r="B249" s="60" t="s">
        <v>1908</v>
      </c>
      <c r="K249" s="31">
        <v>1</v>
      </c>
      <c r="O249" s="40">
        <f>C249*Prislapp!$C$2+D249*Prislapp!$D$2+E249*Prislapp!$E$2+F249*Prislapp!$F$2+G249*Prislapp!$G$2+H249*Prislapp!$H$2+I249*Prislapp!$I$2+J249*Prislapp!$J$2+K249*Prislapp!$K$2+L249*Prislapp!$L$2+M249*Prislapp!$M$2+N249*Prislapp!$N$2</f>
        <v>25235</v>
      </c>
      <c r="P249" s="40">
        <f>C249*Prislapp!$C$3+D249*Prislapp!$D$3+E249*Prislapp!$E$3+F249*Prislapp!$F$3+G249*Prislapp!$G$3+H249*Prislapp!$H$3+I249*Prislapp!$I$3+J249*Prislapp!$J$3+K249*Prislapp!$K$3+M249*Prislapp!$M$3+N249*Prislapp!$N$3+L249*Prislapp!$L$3</f>
        <v>27976</v>
      </c>
      <c r="Q249" s="40">
        <f>C249*Prislapp!$C$5+D249*Prislapp!$D$5+E249*Prislapp!$E$5+F249*Prislapp!$F$5+G249*Prislapp!$G$5+H249*Prislapp!$H$5+I249*Prislapp!$I$5+J249*Prislapp!$J$5+K249*Prislapp!$K$5+L249*Prislapp!$L$5+M249*Prislapp!$M$5+N249*Prislapp!$N$5</f>
        <v>3600</v>
      </c>
      <c r="R249" s="9">
        <f>VLOOKUP(A249,'Ansvar kurs'!$A$2:$B$943,2,FALSE)</f>
        <v>1630</v>
      </c>
      <c r="S249" s="176"/>
      <c r="T249" s="157"/>
      <c r="U249" s="157"/>
      <c r="V249" s="157"/>
      <c r="W249" s="157"/>
      <c r="X249" s="157"/>
      <c r="Y249" s="157"/>
      <c r="Z249" s="157"/>
    </row>
    <row r="250" spans="1:26" x14ac:dyDescent="0.25">
      <c r="A250" s="222" t="s">
        <v>1879</v>
      </c>
      <c r="B250" s="488" t="s">
        <v>1886</v>
      </c>
      <c r="D250" s="31">
        <v>1</v>
      </c>
      <c r="O250" s="40">
        <f>C250*Prislapp!$C$2+D250*Prislapp!$D$2+E250*Prislapp!$E$2+F250*Prislapp!$F$2+G250*Prislapp!$G$2+H250*Prislapp!$H$2+I250*Prislapp!$I$2+J250*Prislapp!$J$2+K250*Prislapp!$K$2+L250*Prislapp!$L$2+M250*Prislapp!$M$2+N250*Prislapp!$N$2</f>
        <v>20766</v>
      </c>
      <c r="P250" s="40">
        <f>C250*Prislapp!$C$3+D250*Prislapp!$D$3+E250*Prislapp!$E$3+F250*Prislapp!$F$3+G250*Prislapp!$G$3+H250*Prislapp!$H$3+I250*Prislapp!$I$3+J250*Prislapp!$J$3+K250*Prislapp!$K$3+M250*Prislapp!$M$3+N250*Prislapp!$N$3+L250*Prislapp!$L$3</f>
        <v>17442</v>
      </c>
      <c r="Q250" s="40">
        <f>C250*Prislapp!$C$5+D250*Prislapp!$D$5+E250*Prislapp!$E$5+F250*Prislapp!$F$5+G250*Prislapp!$G$5+H250*Prislapp!$H$5+I250*Prislapp!$I$5+J250*Prislapp!$J$5+K250*Prislapp!$K$5+L250*Prislapp!$L$5+M250*Prislapp!$M$5+N250*Prislapp!$N$5</f>
        <v>6000</v>
      </c>
      <c r="R250" s="9">
        <f>VLOOKUP(A250,'Ansvar kurs'!$A$2:$B$943,2,FALSE)</f>
        <v>1630</v>
      </c>
      <c r="S250" s="176"/>
      <c r="T250" s="157"/>
      <c r="U250" s="157"/>
      <c r="V250" s="157"/>
      <c r="W250" s="157"/>
      <c r="X250" s="157"/>
      <c r="Y250" s="157"/>
      <c r="Z250" s="157"/>
    </row>
    <row r="251" spans="1:26" x14ac:dyDescent="0.25">
      <c r="A251" s="222" t="s">
        <v>1981</v>
      </c>
      <c r="B251" s="488" t="s">
        <v>1996</v>
      </c>
      <c r="D251" s="31">
        <v>1</v>
      </c>
      <c r="O251" s="40">
        <f>C251*Prislapp!$C$2+D251*Prislapp!$D$2+E251*Prislapp!$E$2+F251*Prislapp!$F$2+G251*Prislapp!$G$2+H251*Prislapp!$H$2+I251*Prislapp!$I$2+J251*Prislapp!$J$2+K251*Prislapp!$K$2+L251*Prislapp!$L$2+M251*Prislapp!$M$2+N251*Prislapp!$N$2</f>
        <v>20766</v>
      </c>
      <c r="P251" s="40">
        <f>C251*Prislapp!$C$3+D251*Prislapp!$D$3+E251*Prislapp!$E$3+F251*Prislapp!$F$3+G251*Prislapp!$G$3+H251*Prislapp!$H$3+I251*Prislapp!$I$3+J251*Prislapp!$J$3+K251*Prislapp!$K$3+M251*Prislapp!$M$3+N251*Prislapp!$N$3+L251*Prislapp!$L$3</f>
        <v>17442</v>
      </c>
      <c r="Q251" s="40">
        <f>C251*Prislapp!$C$5+D251*Prislapp!$D$5+E251*Prislapp!$E$5+F251*Prislapp!$F$5+G251*Prislapp!$G$5+H251*Prislapp!$H$5+I251*Prislapp!$I$5+J251*Prislapp!$J$5+K251*Prislapp!$K$5+L251*Prislapp!$L$5+M251*Prislapp!$M$5+N251*Prislapp!$N$5</f>
        <v>6000</v>
      </c>
      <c r="R251" s="9">
        <f>VLOOKUP(A251,'Ansvar kurs'!$A$2:$B$943,2,FALSE)</f>
        <v>1630</v>
      </c>
      <c r="S251" s="176"/>
      <c r="T251" s="157"/>
      <c r="U251" s="157"/>
      <c r="V251" s="157"/>
      <c r="W251" s="157"/>
      <c r="X251" s="157"/>
      <c r="Y251" s="157"/>
      <c r="Z251" s="157"/>
    </row>
    <row r="252" spans="1:26" x14ac:dyDescent="0.25">
      <c r="A252" s="222" t="s">
        <v>1982</v>
      </c>
      <c r="B252" s="260" t="s">
        <v>1997</v>
      </c>
      <c r="D252" s="31">
        <v>1</v>
      </c>
      <c r="O252" s="40">
        <f>C252*Prislapp!$C$2+D252*Prislapp!$D$2+E252*Prislapp!$E$2+F252*Prislapp!$F$2+G252*Prislapp!$G$2+H252*Prislapp!$H$2+I252*Prislapp!$I$2+J252*Prislapp!$J$2+K252*Prislapp!$K$2+L252*Prislapp!$L$2+M252*Prislapp!$M$2+N252*Prislapp!$N$2</f>
        <v>20766</v>
      </c>
      <c r="P252" s="40">
        <f>C252*Prislapp!$C$3+D252*Prislapp!$D$3+E252*Prislapp!$E$3+F252*Prislapp!$F$3+G252*Prislapp!$G$3+H252*Prislapp!$H$3+I252*Prislapp!$I$3+J252*Prislapp!$J$3+K252*Prislapp!$K$3+M252*Prislapp!$M$3+N252*Prislapp!$N$3+L252*Prislapp!$L$3</f>
        <v>17442</v>
      </c>
      <c r="Q252" s="40">
        <f>C252*Prislapp!$C$5+D252*Prislapp!$D$5+E252*Prislapp!$E$5+F252*Prislapp!$F$5+G252*Prislapp!$G$5+H252*Prislapp!$H$5+I252*Prislapp!$I$5+J252*Prislapp!$J$5+K252*Prislapp!$K$5+L252*Prislapp!$L$5+M252*Prislapp!$M$5+N252*Prislapp!$N$5</f>
        <v>6000</v>
      </c>
      <c r="R252" s="9">
        <f>VLOOKUP(A252,'Ansvar kurs'!$A$2:$B$943,2,FALSE)</f>
        <v>1630</v>
      </c>
      <c r="S252" s="176"/>
      <c r="T252" s="157"/>
      <c r="U252" s="157"/>
      <c r="V252" s="157"/>
      <c r="W252" s="157"/>
      <c r="X252" s="157"/>
      <c r="Y252" s="157"/>
      <c r="Z252" s="157"/>
    </row>
    <row r="253" spans="1:26" x14ac:dyDescent="0.25">
      <c r="A253" s="31" t="s">
        <v>92</v>
      </c>
      <c r="B253" s="31" t="s">
        <v>323</v>
      </c>
      <c r="F253" s="31">
        <v>1</v>
      </c>
      <c r="O253" s="40">
        <f>C253*Prislapp!$C$2+D253*Prislapp!$D$2+E253*Prislapp!$E$2+F253*Prislapp!$F$2+G253*Prislapp!$G$2+H253*Prislapp!$H$2+I253*Prislapp!$I$2+J253*Prislapp!$J$2+K253*Prislapp!$K$2+L253*Prislapp!$L$2+M253*Prislapp!$M$2+N253*Prislapp!$N$2</f>
        <v>26554</v>
      </c>
      <c r="P253" s="40">
        <f>C253*Prislapp!$C$3+D253*Prislapp!$D$3+E253*Prislapp!$E$3+F253*Prislapp!$F$3+G253*Prislapp!$G$3+H253*Prislapp!$H$3+I253*Prislapp!$I$3+J253*Prislapp!$J$3+K253*Prislapp!$K$3+M253*Prislapp!$M$3+N253*Prislapp!$N$3+L253*Prislapp!$L$3</f>
        <v>33465</v>
      </c>
      <c r="Q253" s="40">
        <f>C253*Prislapp!$C$5+D253*Prislapp!$D$5+E253*Prislapp!$E$5+F253*Prislapp!$F$5+G253*Prislapp!$G$5+H253*Prislapp!$H$5+I253*Prislapp!$I$5+J253*Prislapp!$J$5+K253*Prislapp!$K$5+L253*Prislapp!$L$5+M253*Prislapp!$M$5+N253*Prislapp!$N$5</f>
        <v>6000</v>
      </c>
      <c r="R253" s="9">
        <f>VLOOKUP(A253,'Ansvar kurs'!$A$2:$B$943,2,FALSE)</f>
        <v>1630</v>
      </c>
      <c r="S253" s="157"/>
      <c r="T253" s="157"/>
      <c r="U253" s="157"/>
      <c r="V253" s="157"/>
      <c r="W253" s="157"/>
      <c r="X253" s="157"/>
      <c r="Y253" s="157"/>
      <c r="Z253" s="157"/>
    </row>
    <row r="254" spans="1:26" x14ac:dyDescent="0.25">
      <c r="A254" s="222" t="s">
        <v>1098</v>
      </c>
      <c r="B254" s="31" t="s">
        <v>1143</v>
      </c>
      <c r="E254" s="31">
        <v>1</v>
      </c>
      <c r="O254" s="40">
        <f>C254*Prislapp!$C$2+D254*Prislapp!$D$2+E254*Prislapp!$E$2+F254*Prislapp!$F$2+G254*Prislapp!$G$2+H254*Prislapp!$H$2+I254*Prislapp!$I$2+J254*Prislapp!$J$2+K254*Prislapp!$K$2+L254*Prislapp!$L$2+M254*Prislapp!$M$2+N254*Prislapp!$N$2</f>
        <v>47928</v>
      </c>
      <c r="P254" s="40">
        <f>C254*Prislapp!$C$3+D254*Prislapp!$D$3+E254*Prislapp!$E$3+F254*Prislapp!$F$3+G254*Prislapp!$G$3+H254*Prislapp!$H$3+I254*Prislapp!$I$3+J254*Prislapp!$J$3+K254*Prislapp!$K$3+M254*Prislapp!$M$3+N254*Prislapp!$N$3+L254*Prislapp!$L$3</f>
        <v>35430</v>
      </c>
      <c r="Q254" s="40">
        <f>C254*Prislapp!$C$5+D254*Prislapp!$D$5+E254*Prislapp!$E$5+F254*Prislapp!$F$5+G254*Prislapp!$G$5+H254*Prislapp!$H$5+I254*Prislapp!$I$5+J254*Prislapp!$J$5+K254*Prislapp!$K$5+L254*Prislapp!$L$5+M254*Prislapp!$M$5+N254*Prislapp!$N$5</f>
        <v>35700</v>
      </c>
      <c r="R254" s="9">
        <f>VLOOKUP(A254,'Ansvar kurs'!$A$2:$B$943,2,FALSE)</f>
        <v>2180</v>
      </c>
      <c r="S254" s="31" t="s">
        <v>1261</v>
      </c>
      <c r="T254" s="176" t="s">
        <v>1100</v>
      </c>
      <c r="U254" s="157"/>
      <c r="V254" s="157"/>
      <c r="W254" s="157"/>
      <c r="X254" s="157"/>
      <c r="Y254" s="157"/>
      <c r="Z254" s="157"/>
    </row>
    <row r="255" spans="1:26" x14ac:dyDescent="0.25">
      <c r="A255" s="222" t="s">
        <v>1099</v>
      </c>
      <c r="B255" s="31" t="s">
        <v>1144</v>
      </c>
      <c r="E255" s="31">
        <v>1</v>
      </c>
      <c r="O255" s="40">
        <f>C255*Prislapp!$C$2+D255*Prislapp!$D$2+E255*Prislapp!$E$2+F255*Prislapp!$F$2+G255*Prislapp!$G$2+H255*Prislapp!$H$2+I255*Prislapp!$I$2+J255*Prislapp!$J$2+K255*Prislapp!$K$2+L255*Prislapp!$L$2+M255*Prislapp!$M$2+N255*Prislapp!$N$2</f>
        <v>47928</v>
      </c>
      <c r="P255" s="40">
        <f>C255*Prislapp!$C$3+D255*Prislapp!$D$3+E255*Prislapp!$E$3+F255*Prislapp!$F$3+G255*Prislapp!$G$3+H255*Prislapp!$H$3+I255*Prislapp!$I$3+J255*Prislapp!$J$3+K255*Prislapp!$K$3+M255*Prislapp!$M$3+N255*Prislapp!$N$3+L255*Prislapp!$L$3</f>
        <v>35430</v>
      </c>
      <c r="Q255" s="40">
        <f>C255*Prislapp!$C$5+D255*Prislapp!$D$5+E255*Prislapp!$E$5+F255*Prislapp!$F$5+G255*Prislapp!$G$5+H255*Prislapp!$H$5+I255*Prislapp!$I$5+J255*Prislapp!$J$5+K255*Prislapp!$K$5+L255*Prislapp!$L$5+M255*Prislapp!$M$5+N255*Prislapp!$N$5</f>
        <v>35700</v>
      </c>
      <c r="R255" s="9">
        <f>VLOOKUP(A255,'Ansvar kurs'!$A$2:$B$943,2,FALSE)</f>
        <v>2180</v>
      </c>
      <c r="S255" s="31" t="s">
        <v>1261</v>
      </c>
      <c r="T255" s="176" t="s">
        <v>1101</v>
      </c>
      <c r="U255" s="157"/>
      <c r="V255" s="157"/>
      <c r="W255" s="157"/>
      <c r="X255" s="157"/>
      <c r="Y255" s="157"/>
      <c r="Z255" s="157"/>
    </row>
    <row r="256" spans="1:26" x14ac:dyDescent="0.25">
      <c r="A256" s="222" t="s">
        <v>1521</v>
      </c>
      <c r="B256" s="60" t="s">
        <v>1522</v>
      </c>
      <c r="I256" s="31">
        <v>1</v>
      </c>
      <c r="O256" s="40">
        <f>C256*Prislapp!$C$2+D256*Prislapp!$D$2+E256*Prislapp!$E$2+F256*Prislapp!$F$2+G256*Prislapp!$G$2+H256*Prislapp!$H$2+I256*Prislapp!$I$2+J256*Prislapp!$J$2+K256*Prislapp!$K$2+L256*Prislapp!$L$2+M256*Prislapp!$M$2+N256*Prislapp!$N$2</f>
        <v>20766</v>
      </c>
      <c r="P256" s="40">
        <f>C256*Prislapp!$C$3+D256*Prislapp!$D$3+E256*Prislapp!$E$3+F256*Prislapp!$F$3+G256*Prislapp!$G$3+H256*Prislapp!$H$3+I256*Prislapp!$I$3+J256*Prislapp!$J$3+K256*Prislapp!$K$3+M256*Prislapp!$M$3+N256*Prislapp!$N$3+L256*Prislapp!$L$3</f>
        <v>17442</v>
      </c>
      <c r="Q256" s="40">
        <f>C256*Prislapp!$C$5+D256*Prislapp!$D$5+E256*Prislapp!$E$5+F256*Prislapp!$F$5+G256*Prislapp!$G$5+H256*Prislapp!$H$5+I256*Prislapp!$I$5+J256*Prislapp!$J$5+K256*Prislapp!$K$5+L256*Prislapp!$L$5+M256*Prislapp!$M$5+N256*Prislapp!$N$5</f>
        <v>6000</v>
      </c>
      <c r="R256" s="9">
        <f>VLOOKUP(A256,'Ansvar kurs'!$A$2:$B$943,2,FALSE)</f>
        <v>2180</v>
      </c>
      <c r="T256" s="176"/>
      <c r="U256" s="157"/>
      <c r="V256" s="157"/>
      <c r="W256" s="157"/>
      <c r="X256" s="157"/>
      <c r="Y256" s="157"/>
      <c r="Z256" s="157"/>
    </row>
    <row r="257" spans="1:26" x14ac:dyDescent="0.25">
      <c r="A257" s="222" t="s">
        <v>1445</v>
      </c>
      <c r="B257" s="31" t="s">
        <v>1400</v>
      </c>
      <c r="E257" s="31">
        <v>0</v>
      </c>
      <c r="M257" s="31">
        <v>1</v>
      </c>
      <c r="O257" s="40">
        <f>C257*Prislapp!$C$2+D257*Prislapp!$D$2+E257*Prislapp!$E$2+F257*Prislapp!$F$2+G257*Prislapp!$G$2+H257*Prislapp!$H$2+I257*Prislapp!$I$2+J257*Prislapp!$J$2+K257*Prislapp!$K$2+L257*Prislapp!$L$2+M257*Prislapp!$M$2+N257*Prislapp!$N$2</f>
        <v>16920</v>
      </c>
      <c r="P257" s="40">
        <f>C257*Prislapp!$C$3+D257*Prislapp!$D$3+E257*Prislapp!$E$3+F257*Prislapp!$F$3+G257*Prislapp!$G$3+H257*Prislapp!$H$3+I257*Prislapp!$I$3+J257*Prislapp!$J$3+K257*Prislapp!$K$3+M257*Prislapp!$M$3+N257*Prislapp!$N$3+L257*Prislapp!$L$3</f>
        <v>27913</v>
      </c>
      <c r="Q257" s="40">
        <f>C257*Prislapp!$C$5+D257*Prislapp!$D$5+E257*Prislapp!$E$5+F257*Prislapp!$F$5+G257*Prislapp!$G$5+H257*Prislapp!$H$5+I257*Prislapp!$I$5+J257*Prislapp!$J$5+K257*Prislapp!$K$5+L257*Prislapp!$L$5+M257*Prislapp!$M$5+N257*Prislapp!$N$5</f>
        <v>17900</v>
      </c>
      <c r="R257" s="9">
        <f>VLOOKUP(A257,'Ansvar kurs'!$A$2:$B$943,2,FALSE)</f>
        <v>2180</v>
      </c>
      <c r="S257" s="31" t="s">
        <v>1724</v>
      </c>
      <c r="T257" s="31" t="s">
        <v>1723</v>
      </c>
      <c r="U257" s="157"/>
      <c r="V257" s="157"/>
      <c r="W257" s="157"/>
      <c r="X257" s="157"/>
      <c r="Y257" s="157"/>
      <c r="Z257" s="157"/>
    </row>
    <row r="258" spans="1:26" x14ac:dyDescent="0.25">
      <c r="A258" s="222" t="s">
        <v>1435</v>
      </c>
      <c r="B258" s="274" t="s">
        <v>1397</v>
      </c>
      <c r="E258" s="31">
        <v>0</v>
      </c>
      <c r="M258" s="31">
        <v>1</v>
      </c>
      <c r="O258" s="40">
        <f>C258*Prislapp!$C$2+D258*Prislapp!$D$2+E258*Prislapp!$E$2+F258*Prislapp!$F$2+G258*Prislapp!$G$2+H258*Prislapp!$H$2+I258*Prislapp!$I$2+J258*Prislapp!$J$2+K258*Prislapp!$K$2+L258*Prislapp!$L$2+M258*Prislapp!$M$2+N258*Prislapp!$N$2</f>
        <v>16920</v>
      </c>
      <c r="P258" s="40">
        <f>C258*Prislapp!$C$3+D258*Prislapp!$D$3+E258*Prislapp!$E$3+F258*Prislapp!$F$3+G258*Prislapp!$G$3+H258*Prislapp!$H$3+I258*Prislapp!$I$3+J258*Prislapp!$J$3+K258*Prislapp!$K$3+M258*Prislapp!$M$3+N258*Prislapp!$N$3+L258*Prislapp!$L$3</f>
        <v>27913</v>
      </c>
      <c r="Q258" s="40">
        <f>C258*Prislapp!$C$5+D258*Prislapp!$D$5+E258*Prislapp!$E$5+F258*Prislapp!$F$5+G258*Prislapp!$G$5+H258*Prislapp!$H$5+I258*Prislapp!$I$5+J258*Prislapp!$J$5+K258*Prislapp!$K$5+L258*Prislapp!$L$5+M258*Prislapp!$M$5+N258*Prislapp!$N$5</f>
        <v>17900</v>
      </c>
      <c r="R258" s="9">
        <f>VLOOKUP(A258,'Ansvar kurs'!$A$2:$B$943,2,FALSE)</f>
        <v>2180</v>
      </c>
      <c r="S258" s="31" t="s">
        <v>1724</v>
      </c>
      <c r="T258" s="31" t="s">
        <v>1723</v>
      </c>
      <c r="U258" s="157"/>
      <c r="V258" s="157"/>
      <c r="W258" s="157"/>
      <c r="X258" s="157"/>
      <c r="Y258" s="157"/>
      <c r="Z258" s="157"/>
    </row>
    <row r="259" spans="1:26" x14ac:dyDescent="0.25">
      <c r="A259" s="57" t="s">
        <v>1550</v>
      </c>
      <c r="B259" s="57" t="s">
        <v>1566</v>
      </c>
      <c r="E259" s="31">
        <v>1</v>
      </c>
      <c r="O259" s="40">
        <f>C259*Prislapp!$C$2+D259*Prislapp!$D$2+E259*Prislapp!$E$2+F259*Prislapp!$F$2+G259*Prislapp!$G$2+H259*Prislapp!$H$2+I259*Prislapp!$I$2+J259*Prislapp!$J$2+K259*Prislapp!$K$2+L259*Prislapp!$L$2+M259*Prislapp!$M$2+N259*Prislapp!$N$2</f>
        <v>47928</v>
      </c>
      <c r="P259" s="40">
        <f>C259*Prislapp!$C$3+D259*Prislapp!$D$3+E259*Prislapp!$E$3+F259*Prislapp!$F$3+G259*Prislapp!$G$3+H259*Prislapp!$H$3+I259*Prislapp!$I$3+J259*Prislapp!$J$3+K259*Prislapp!$K$3+M259*Prislapp!$M$3+N259*Prislapp!$N$3+L259*Prislapp!$L$3</f>
        <v>35430</v>
      </c>
      <c r="Q259" s="40">
        <f>C259*Prislapp!$C$5+D259*Prislapp!$D$5+E259*Prislapp!$E$5+F259*Prislapp!$F$5+G259*Prislapp!$G$5+H259*Prislapp!$H$5+I259*Prislapp!$I$5+J259*Prislapp!$J$5+K259*Prislapp!$K$5+L259*Prislapp!$L$5+M259*Prislapp!$M$5+N259*Prislapp!$N$5</f>
        <v>35700</v>
      </c>
      <c r="R259" s="9">
        <f>VLOOKUP(A259,'Ansvar kurs'!$A$2:$B$943,2,FALSE)</f>
        <v>2180</v>
      </c>
      <c r="S259" s="157"/>
      <c r="T259" s="157"/>
      <c r="U259" s="157"/>
      <c r="V259" s="157"/>
      <c r="W259" s="157"/>
      <c r="X259" s="157"/>
      <c r="Y259" s="157"/>
      <c r="Z259" s="157"/>
    </row>
    <row r="260" spans="1:26" x14ac:dyDescent="0.25">
      <c r="A260" s="222" t="s">
        <v>1764</v>
      </c>
      <c r="B260" s="57" t="s">
        <v>1774</v>
      </c>
      <c r="E260" s="31">
        <v>1</v>
      </c>
      <c r="O260" s="40">
        <f>C260*Prislapp!$C$2+D260*Prislapp!$D$2+E260*Prislapp!$E$2+F260*Prislapp!$F$2+G260*Prislapp!$G$2+H260*Prislapp!$H$2+I260*Prislapp!$I$2+J260*Prislapp!$J$2+K260*Prislapp!$K$2+L260*Prislapp!$L$2+M260*Prislapp!$M$2+N260*Prislapp!$N$2</f>
        <v>47928</v>
      </c>
      <c r="P260" s="40">
        <f>C260*Prislapp!$C$3+D260*Prislapp!$D$3+E260*Prislapp!$E$3+F260*Prislapp!$F$3+G260*Prislapp!$G$3+H260*Prislapp!$H$3+I260*Prislapp!$I$3+J260*Prislapp!$J$3+K260*Prislapp!$K$3+M260*Prislapp!$M$3+N260*Prislapp!$N$3+L260*Prislapp!$L$3</f>
        <v>35430</v>
      </c>
      <c r="Q260" s="40">
        <f>C260*Prislapp!$C$5+D260*Prislapp!$D$5+E260*Prislapp!$E$5+F260*Prislapp!$F$5+G260*Prislapp!$G$5+H260*Prislapp!$H$5+I260*Prislapp!$I$5+J260*Prislapp!$J$5+K260*Prislapp!$K$5+L260*Prislapp!$L$5+M260*Prislapp!$M$5+N260*Prislapp!$N$5</f>
        <v>35700</v>
      </c>
      <c r="R260" s="9">
        <f>VLOOKUP(A260,'Ansvar kurs'!$A$2:$B$943,2,FALSE)</f>
        <v>2180</v>
      </c>
      <c r="S260" s="157"/>
      <c r="T260" s="157" t="s">
        <v>1826</v>
      </c>
      <c r="U260" s="157"/>
      <c r="V260" s="157"/>
      <c r="W260" s="157"/>
      <c r="X260" s="157"/>
      <c r="Y260" s="157"/>
      <c r="Z260" s="157"/>
    </row>
    <row r="261" spans="1:26" x14ac:dyDescent="0.25">
      <c r="A261" s="222" t="s">
        <v>2096</v>
      </c>
      <c r="B261" s="57" t="s">
        <v>1787</v>
      </c>
      <c r="I261" s="57">
        <v>1</v>
      </c>
      <c r="O261" s="40">
        <f>C261*Prislapp!$C$2+D261*Prislapp!$D$2+E261*Prislapp!$E$2+F261*Prislapp!$F$2+G261*Prislapp!$G$2+H261*Prislapp!$H$2+I261*Prislapp!$I$2+J261*Prislapp!$J$2+K261*Prislapp!$K$2+L261*Prislapp!$L$2+M261*Prislapp!$M$2+N261*Prislapp!$N$2</f>
        <v>20766</v>
      </c>
      <c r="P261" s="40">
        <f>C261*Prislapp!$C$3+D261*Prislapp!$D$3+E261*Prislapp!$E$3+F261*Prislapp!$F$3+G261*Prislapp!$G$3+H261*Prislapp!$H$3+I261*Prislapp!$I$3+J261*Prislapp!$J$3+K261*Prislapp!$K$3+M261*Prislapp!$M$3+N261*Prislapp!$N$3+L261*Prislapp!$L$3</f>
        <v>17442</v>
      </c>
      <c r="Q261" s="40">
        <f>C261*Prislapp!$C$5+D261*Prislapp!$D$5+E261*Prislapp!$E$5+F261*Prislapp!$F$5+G261*Prislapp!$G$5+H261*Prislapp!$H$5+I261*Prislapp!$I$5+J261*Prislapp!$J$5+K261*Prislapp!$K$5+L261*Prislapp!$L$5+M261*Prislapp!$M$5+N261*Prislapp!$N$5</f>
        <v>6000</v>
      </c>
      <c r="R261" s="9">
        <f>VLOOKUP(A261,'Ansvar kurs'!$A$2:$B$943,2,FALSE)</f>
        <v>2180</v>
      </c>
      <c r="S261" s="157"/>
      <c r="T261" s="157"/>
      <c r="U261" s="157"/>
      <c r="V261" s="157"/>
      <c r="W261" s="157"/>
      <c r="X261" s="157"/>
      <c r="Y261" s="157"/>
      <c r="Z261" s="157"/>
    </row>
    <row r="262" spans="1:26" ht="15.75" x14ac:dyDescent="0.25">
      <c r="A262" s="392" t="s">
        <v>2325</v>
      </c>
      <c r="B262" s="31" t="s">
        <v>2326</v>
      </c>
      <c r="E262" s="31">
        <v>1</v>
      </c>
      <c r="O262" s="40">
        <f>C262*Prislapp!$C$2+D262*Prislapp!$D$2+E262*Prislapp!$E$2+F262*Prislapp!$F$2+G262*Prislapp!$G$2+H262*Prislapp!$H$2+I262*Prislapp!$I$2+J262*Prislapp!$J$2+K262*Prislapp!$K$2+L262*Prislapp!$L$2+M262*Prislapp!$M$2+N262*Prislapp!$N$2</f>
        <v>47928</v>
      </c>
      <c r="P262" s="40">
        <f>C262*Prislapp!$C$3+D262*Prislapp!$D$3+E262*Prislapp!$E$3+F262*Prislapp!$F$3+G262*Prislapp!$G$3+H262*Prislapp!$H$3+I262*Prislapp!$I$3+J262*Prislapp!$J$3+K262*Prislapp!$K$3+M262*Prislapp!$M$3+N262*Prislapp!$N$3+L262*Prislapp!$L$3</f>
        <v>35430</v>
      </c>
      <c r="Q262" s="40">
        <f>C262*Prislapp!$C$5+D262*Prislapp!$D$5+E262*Prislapp!$E$5+F262*Prislapp!$F$5+G262*Prislapp!$G$5+H262*Prislapp!$H$5+I262*Prislapp!$I$5+J262*Prislapp!$J$5+K262*Prislapp!$K$5+L262*Prislapp!$L$5+M262*Prislapp!$M$5+N262*Prislapp!$N$5</f>
        <v>35700</v>
      </c>
      <c r="R262" s="9">
        <f>VLOOKUP(A262,'Ansvar kurs'!$A$2:$B$943,2,FALSE)</f>
        <v>2180</v>
      </c>
      <c r="S262" s="157"/>
      <c r="T262" s="157"/>
      <c r="U262" s="157"/>
      <c r="V262" s="157"/>
      <c r="W262" s="157"/>
      <c r="X262" s="157"/>
      <c r="Y262" s="157"/>
      <c r="Z262" s="157"/>
    </row>
    <row r="263" spans="1:26" x14ac:dyDescent="0.25">
      <c r="A263" s="358" t="s">
        <v>2481</v>
      </c>
      <c r="B263" s="31" t="s">
        <v>2288</v>
      </c>
      <c r="H263" s="375"/>
      <c r="I263" s="57">
        <v>1</v>
      </c>
      <c r="O263" s="40">
        <f>C263*Prislapp!$C$2+D263*Prislapp!$D$2+E263*Prislapp!$E$2+F263*Prislapp!$F$2+G263*Prislapp!$G$2+H263*Prislapp!$H$2+I263*Prislapp!$I$2+J263*Prislapp!$J$2+K263*Prislapp!$K$2+L263*Prislapp!$L$2+M263*Prislapp!$M$2+N263*Prislapp!$N$2</f>
        <v>20766</v>
      </c>
      <c r="P263" s="40">
        <f>C263*Prislapp!$C$3+D263*Prislapp!$D$3+E263*Prislapp!$E$3+F263*Prislapp!$F$3+G263*Prislapp!$G$3+H263*Prislapp!$H$3+I263*Prislapp!$I$3+J263*Prislapp!$J$3+K263*Prislapp!$K$3+M263*Prislapp!$M$3+N263*Prislapp!$N$3+L263*Prislapp!$L$3</f>
        <v>17442</v>
      </c>
      <c r="Q263" s="40">
        <f>C263*Prislapp!$C$5+D263*Prislapp!$D$5+E263*Prislapp!$E$5+F263*Prislapp!$F$5+G263*Prislapp!$G$5+H263*Prislapp!$H$5+I263*Prislapp!$I$5+J263*Prislapp!$J$5+K263*Prislapp!$K$5+L263*Prislapp!$L$5+M263*Prislapp!$M$5+N263*Prislapp!$N$5</f>
        <v>6000</v>
      </c>
      <c r="R263" s="9">
        <f>VLOOKUP(A263,'Ansvar kurs'!$A$2:$B$943,2,FALSE)</f>
        <v>2180</v>
      </c>
      <c r="S263" s="176"/>
      <c r="T263" s="157"/>
      <c r="U263" s="157"/>
      <c r="V263" s="157"/>
      <c r="W263" s="157"/>
      <c r="X263" s="157"/>
      <c r="Y263" s="157"/>
      <c r="Z263" s="157"/>
    </row>
    <row r="264" spans="1:26" x14ac:dyDescent="0.25">
      <c r="A264" s="31" t="s">
        <v>496</v>
      </c>
      <c r="B264" s="31" t="s">
        <v>673</v>
      </c>
      <c r="E264" s="31">
        <v>1</v>
      </c>
      <c r="O264" s="40">
        <f>C264*Prislapp!$C$2+D264*Prislapp!$D$2+E264*Prislapp!$E$2+F264*Prislapp!$F$2+G264*Prislapp!$G$2+H264*Prislapp!$H$2+I264*Prislapp!$I$2+J264*Prislapp!$J$2+K264*Prislapp!$K$2+L264*Prislapp!$L$2+M264*Prislapp!$M$2+N264*Prislapp!$N$2</f>
        <v>47928</v>
      </c>
      <c r="P264" s="40">
        <f>C264*Prislapp!$C$3+D264*Prislapp!$D$3+E264*Prislapp!$E$3+F264*Prislapp!$F$3+G264*Prislapp!$G$3+H264*Prislapp!$H$3+I264*Prislapp!$I$3+J264*Prislapp!$J$3+K264*Prislapp!$K$3+M264*Prislapp!$M$3+N264*Prislapp!$N$3+L264*Prislapp!$L$3</f>
        <v>35430</v>
      </c>
      <c r="Q264" s="40">
        <f>C264*Prislapp!$C$5+D264*Prislapp!$D$5+E264*Prislapp!$E$5+F264*Prislapp!$F$5+G264*Prislapp!$G$5+H264*Prislapp!$H$5+I264*Prislapp!$I$5+J264*Prislapp!$J$5+K264*Prislapp!$K$5+L264*Prislapp!$L$5+M264*Prislapp!$M$5+N264*Prislapp!$N$5</f>
        <v>35700</v>
      </c>
      <c r="R264" s="9">
        <f>VLOOKUP(A264,'Ansvar kurs'!$A$2:$B$943,2,FALSE)</f>
        <v>2180</v>
      </c>
      <c r="S264" s="157"/>
      <c r="T264" s="157"/>
      <c r="U264" s="157"/>
      <c r="V264" s="157"/>
      <c r="W264" s="157"/>
      <c r="X264" s="157"/>
      <c r="Y264" s="157"/>
      <c r="Z264" s="157"/>
    </row>
    <row r="265" spans="1:26" x14ac:dyDescent="0.25">
      <c r="A265" s="221" t="s">
        <v>581</v>
      </c>
      <c r="B265" s="31" t="s">
        <v>608</v>
      </c>
      <c r="E265" s="31">
        <v>1</v>
      </c>
      <c r="O265" s="40">
        <f>C265*Prislapp!$C$2+D265*Prislapp!$D$2+E265*Prislapp!$E$2+F265*Prislapp!$F$2+G265*Prislapp!$G$2+H265*Prislapp!$H$2+I265*Prislapp!$I$2+J265*Prislapp!$J$2+K265*Prislapp!$K$2+L265*Prislapp!$L$2+M265*Prislapp!$M$2+N265*Prislapp!$N$2</f>
        <v>47928</v>
      </c>
      <c r="P265" s="40">
        <f>C265*Prislapp!$C$3+D265*Prislapp!$D$3+E265*Prislapp!$E$3+F265*Prislapp!$F$3+G265*Prislapp!$G$3+H265*Prislapp!$H$3+I265*Prislapp!$I$3+J265*Prislapp!$J$3+K265*Prislapp!$K$3+M265*Prislapp!$M$3+N265*Prislapp!$N$3+L265*Prislapp!$L$3</f>
        <v>35430</v>
      </c>
      <c r="Q265" s="40">
        <f>C265*Prislapp!$C$5+D265*Prislapp!$D$5+E265*Prislapp!$E$5+F265*Prislapp!$F$5+G265*Prislapp!$G$5+H265*Prislapp!$H$5+I265*Prislapp!$I$5+J265*Prislapp!$J$5+K265*Prislapp!$K$5+L265*Prislapp!$L$5+M265*Prislapp!$M$5+N265*Prislapp!$N$5</f>
        <v>35700</v>
      </c>
      <c r="R265" s="9">
        <f>VLOOKUP(A265,'Ansvar kurs'!$A$2:$B$943,2,FALSE)</f>
        <v>2180</v>
      </c>
      <c r="S265" s="157"/>
      <c r="T265" s="157"/>
      <c r="U265" s="157"/>
      <c r="V265" s="157"/>
      <c r="W265" s="157"/>
      <c r="X265" s="157"/>
      <c r="Y265" s="157"/>
      <c r="Z265" s="157"/>
    </row>
    <row r="266" spans="1:26" x14ac:dyDescent="0.25">
      <c r="A266" s="221" t="s">
        <v>582</v>
      </c>
      <c r="B266" s="31" t="s">
        <v>1145</v>
      </c>
      <c r="K266" s="31">
        <v>1</v>
      </c>
      <c r="O266" s="40">
        <f>C266*Prislapp!$C$2+D266*Prislapp!$D$2+E266*Prislapp!$E$2+F266*Prislapp!$F$2+G266*Prislapp!$G$2+H266*Prislapp!$H$2+I266*Prislapp!$I$2+J266*Prislapp!$J$2+K266*Prislapp!$K$2+L266*Prislapp!$L$2+M266*Prislapp!$M$2+N266*Prislapp!$N$2</f>
        <v>25235</v>
      </c>
      <c r="P266" s="40">
        <f>C266*Prislapp!$C$3+D266*Prislapp!$D$3+E266*Prislapp!$E$3+F266*Prislapp!$F$3+G266*Prislapp!$G$3+H266*Prislapp!$H$3+I266*Prislapp!$I$3+J266*Prislapp!$J$3+K266*Prislapp!$K$3+M266*Prislapp!$M$3+N266*Prislapp!$N$3+L266*Prislapp!$L$3</f>
        <v>27976</v>
      </c>
      <c r="Q266" s="40">
        <f>C266*Prislapp!$C$5+D266*Prislapp!$D$5+E266*Prislapp!$E$5+F266*Prislapp!$F$5+G266*Prislapp!$G$5+H266*Prislapp!$H$5+I266*Prislapp!$I$5+J266*Prislapp!$J$5+K266*Prislapp!$K$5+L266*Prislapp!$L$5+M266*Prislapp!$M$5+N266*Prislapp!$N$5</f>
        <v>3600</v>
      </c>
      <c r="R266" s="9">
        <f>VLOOKUP(A266,'Ansvar kurs'!$A$2:$B$943,2,FALSE)</f>
        <v>2180</v>
      </c>
      <c r="S266" s="157"/>
      <c r="T266" s="157"/>
      <c r="U266" s="157"/>
      <c r="V266" s="157"/>
      <c r="W266" s="157"/>
      <c r="X266" s="157"/>
      <c r="Y266" s="157"/>
      <c r="Z266" s="157"/>
    </row>
    <row r="267" spans="1:26" x14ac:dyDescent="0.25">
      <c r="A267" s="221" t="s">
        <v>1013</v>
      </c>
      <c r="B267" s="31" t="s">
        <v>1041</v>
      </c>
      <c r="F267" s="31">
        <v>1</v>
      </c>
      <c r="O267" s="40">
        <f>C267*Prislapp!$C$2+D267*Prislapp!$D$2+E267*Prislapp!$E$2+F267*Prislapp!$F$2+G267*Prislapp!$G$2+H267*Prislapp!$H$2+I267*Prislapp!$I$2+J267*Prislapp!$J$2+K267*Prislapp!$K$2+L267*Prislapp!$L$2+M267*Prislapp!$M$2+N267*Prislapp!$N$2</f>
        <v>26554</v>
      </c>
      <c r="P267" s="40">
        <f>C267*Prislapp!$C$3+D267*Prislapp!$D$3+E267*Prislapp!$E$3+F267*Prislapp!$F$3+G267*Prislapp!$G$3+H267*Prislapp!$H$3+I267*Prislapp!$I$3+J267*Prislapp!$J$3+K267*Prislapp!$K$3+M267*Prislapp!$M$3+N267*Prislapp!$N$3+L267*Prislapp!$L$3</f>
        <v>33465</v>
      </c>
      <c r="Q267" s="40">
        <f>C267*Prislapp!$C$5+D267*Prislapp!$D$5+E267*Prislapp!$E$5+F267*Prislapp!$F$5+G267*Prislapp!$G$5+H267*Prislapp!$H$5+I267*Prislapp!$I$5+J267*Prislapp!$J$5+K267*Prislapp!$K$5+L267*Prislapp!$L$5+M267*Prislapp!$M$5+N267*Prislapp!$N$5</f>
        <v>6000</v>
      </c>
      <c r="R267" s="9">
        <f>VLOOKUP(A267,'Ansvar kurs'!$A$2:$B$943,2,FALSE)</f>
        <v>2180</v>
      </c>
      <c r="S267" s="157"/>
      <c r="T267" s="157"/>
      <c r="U267" s="157"/>
      <c r="V267" s="157"/>
      <c r="W267" s="157"/>
      <c r="X267" s="157"/>
      <c r="Y267" s="157"/>
      <c r="Z267" s="157"/>
    </row>
    <row r="268" spans="1:26" x14ac:dyDescent="0.25">
      <c r="A268" s="221" t="s">
        <v>1014</v>
      </c>
      <c r="B268" s="31" t="s">
        <v>1042</v>
      </c>
      <c r="K268" s="31">
        <v>1</v>
      </c>
      <c r="O268" s="40">
        <f>C268*Prislapp!$C$2+D268*Prislapp!$D$2+E268*Prislapp!$E$2+F268*Prislapp!$F$2+G268*Prislapp!$G$2+H268*Prislapp!$H$2+I268*Prislapp!$I$2+J268*Prislapp!$J$2+K268*Prislapp!$K$2+L268*Prislapp!$L$2+M268*Prislapp!$M$2+N268*Prislapp!$N$2</f>
        <v>25235</v>
      </c>
      <c r="P268" s="40">
        <f>C268*Prislapp!$C$3+D268*Prislapp!$D$3+E268*Prislapp!$E$3+F268*Prislapp!$F$3+G268*Prislapp!$G$3+H268*Prislapp!$H$3+I268*Prislapp!$I$3+J268*Prislapp!$J$3+K268*Prislapp!$K$3+M268*Prislapp!$M$3+N268*Prislapp!$N$3+L268*Prislapp!$L$3</f>
        <v>27976</v>
      </c>
      <c r="Q268" s="40">
        <f>C268*Prislapp!$C$5+D268*Prislapp!$D$5+E268*Prislapp!$E$5+F268*Prislapp!$F$5+G268*Prislapp!$G$5+H268*Prislapp!$H$5+I268*Prislapp!$I$5+J268*Prislapp!$J$5+K268*Prislapp!$K$5+L268*Prislapp!$L$5+M268*Prislapp!$M$5+N268*Prislapp!$N$5</f>
        <v>3600</v>
      </c>
      <c r="R268" s="9">
        <f>VLOOKUP(A268,'Ansvar kurs'!$A$2:$B$943,2,FALSE)</f>
        <v>2180</v>
      </c>
      <c r="S268" s="157"/>
      <c r="T268" s="157"/>
      <c r="U268" s="157"/>
      <c r="V268" s="157"/>
      <c r="W268" s="157"/>
      <c r="X268" s="157"/>
      <c r="Y268" s="157"/>
      <c r="Z268" s="157"/>
    </row>
    <row r="269" spans="1:26" x14ac:dyDescent="0.25">
      <c r="A269" s="221" t="s">
        <v>1015</v>
      </c>
      <c r="B269" s="31" t="s">
        <v>1146</v>
      </c>
      <c r="F269" s="31">
        <v>0</v>
      </c>
      <c r="I269" s="31">
        <v>1</v>
      </c>
      <c r="O269" s="40">
        <f>C269*Prislapp!$C$2+D269*Prislapp!$D$2+E269*Prislapp!$E$2+F269*Prislapp!$F$2+G269*Prislapp!$G$2+H269*Prislapp!$H$2+I269*Prislapp!$I$2+J269*Prislapp!$J$2+K269*Prislapp!$K$2+L269*Prislapp!$L$2+M269*Prislapp!$M$2+N269*Prislapp!$N$2</f>
        <v>20766</v>
      </c>
      <c r="P269" s="40">
        <f>C269*Prislapp!$C$3+D269*Prislapp!$D$3+E269*Prislapp!$E$3+F269*Prislapp!$F$3+G269*Prislapp!$G$3+H269*Prislapp!$H$3+I269*Prislapp!$I$3+J269*Prislapp!$J$3+K269*Prislapp!$K$3+M269*Prislapp!$M$3+N269*Prislapp!$N$3+L269*Prislapp!$L$3</f>
        <v>17442</v>
      </c>
      <c r="Q269" s="40">
        <f>C269*Prislapp!$C$5+D269*Prislapp!$D$5+E269*Prislapp!$E$5+F269*Prislapp!$F$5+G269*Prislapp!$G$5+H269*Prislapp!$H$5+I269*Prislapp!$I$5+J269*Prislapp!$J$5+K269*Prislapp!$K$5+L269*Prislapp!$L$5+M269*Prislapp!$M$5+N269*Prislapp!$N$5</f>
        <v>6000</v>
      </c>
      <c r="R269" s="9">
        <f>VLOOKUP(A269,'Ansvar kurs'!$A$2:$B$943,2,FALSE)</f>
        <v>2180</v>
      </c>
      <c r="S269" s="157" t="s">
        <v>1276</v>
      </c>
      <c r="T269" s="157"/>
      <c r="U269" s="157"/>
      <c r="V269" s="157"/>
      <c r="W269" s="157"/>
      <c r="X269" s="157"/>
      <c r="Y269" s="157"/>
      <c r="Z269" s="157"/>
    </row>
    <row r="270" spans="1:26" x14ac:dyDescent="0.25">
      <c r="A270" s="222" t="s">
        <v>845</v>
      </c>
      <c r="B270" s="31" t="s">
        <v>1147</v>
      </c>
      <c r="E270" s="31">
        <v>1</v>
      </c>
      <c r="O270" s="40">
        <f>C270*Prislapp!$C$2+D270*Prislapp!$D$2+E270*Prislapp!$E$2+F270*Prislapp!$F$2+G270*Prislapp!$G$2+H270*Prislapp!$H$2+I270*Prislapp!$I$2+J270*Prislapp!$J$2+K270*Prislapp!$K$2+L270*Prislapp!$L$2+M270*Prislapp!$M$2+N270*Prislapp!$N$2</f>
        <v>47928</v>
      </c>
      <c r="P270" s="40">
        <f>C270*Prislapp!$C$3+D270*Prislapp!$D$3+E270*Prislapp!$E$3+F270*Prislapp!$F$3+G270*Prislapp!$G$3+H270*Prislapp!$H$3+I270*Prislapp!$I$3+J270*Prislapp!$J$3+K270*Prislapp!$K$3+M270*Prislapp!$M$3+N270*Prislapp!$N$3+L270*Prislapp!$L$3</f>
        <v>35430</v>
      </c>
      <c r="Q270" s="40">
        <f>C270*Prislapp!$C$5+D270*Prislapp!$D$5+E270*Prislapp!$E$5+F270*Prislapp!$F$5+G270*Prislapp!$G$5+H270*Prislapp!$H$5+I270*Prislapp!$I$5+J270*Prislapp!$J$5+K270*Prislapp!$K$5+L270*Prislapp!$L$5+M270*Prislapp!$M$5+N270*Prislapp!$N$5</f>
        <v>35700</v>
      </c>
      <c r="R270" s="9">
        <f>VLOOKUP(A270,'Ansvar kurs'!$A$2:$B$943,2,FALSE)</f>
        <v>2180</v>
      </c>
      <c r="S270" s="157" t="s">
        <v>939</v>
      </c>
      <c r="T270" s="157"/>
      <c r="U270" s="157"/>
      <c r="V270" s="157"/>
      <c r="W270" s="157"/>
      <c r="X270" s="157"/>
      <c r="Y270" s="157"/>
      <c r="Z270" s="157"/>
    </row>
    <row r="271" spans="1:26" x14ac:dyDescent="0.25">
      <c r="A271" s="222" t="s">
        <v>846</v>
      </c>
      <c r="B271" s="31" t="s">
        <v>1148</v>
      </c>
      <c r="E271" s="31">
        <v>1</v>
      </c>
      <c r="O271" s="40">
        <f>C271*Prislapp!$C$2+D271*Prislapp!$D$2+E271*Prislapp!$E$2+F271*Prislapp!$F$2+G271*Prislapp!$G$2+H271*Prislapp!$H$2+I271*Prislapp!$I$2+J271*Prislapp!$J$2+K271*Prislapp!$K$2+L271*Prislapp!$L$2+M271*Prislapp!$M$2+N271*Prislapp!$N$2</f>
        <v>47928</v>
      </c>
      <c r="P271" s="40">
        <f>C271*Prislapp!$C$3+D271*Prislapp!$D$3+E271*Prislapp!$E$3+F271*Prislapp!$F$3+G271*Prislapp!$G$3+H271*Prislapp!$H$3+I271*Prislapp!$I$3+J271*Prislapp!$J$3+K271*Prislapp!$K$3+M271*Prislapp!$M$3+N271*Prislapp!$N$3+L271*Prislapp!$L$3</f>
        <v>35430</v>
      </c>
      <c r="Q271" s="40">
        <f>C271*Prislapp!$C$5+D271*Prislapp!$D$5+E271*Prislapp!$E$5+F271*Prislapp!$F$5+G271*Prislapp!$G$5+H271*Prislapp!$H$5+I271*Prislapp!$I$5+J271*Prislapp!$J$5+K271*Prislapp!$K$5+L271*Prislapp!$L$5+M271*Prislapp!$M$5+N271*Prislapp!$N$5</f>
        <v>35700</v>
      </c>
      <c r="R271" s="9">
        <f>VLOOKUP(A271,'Ansvar kurs'!$A$2:$B$943,2,FALSE)</f>
        <v>2180</v>
      </c>
      <c r="S271" s="157" t="s">
        <v>939</v>
      </c>
      <c r="T271" s="157"/>
      <c r="U271" s="157"/>
      <c r="V271" s="157"/>
      <c r="W271" s="157"/>
      <c r="X271" s="157"/>
      <c r="Y271" s="157"/>
      <c r="Z271" s="157"/>
    </row>
    <row r="272" spans="1:26" x14ac:dyDescent="0.25">
      <c r="A272" s="222" t="s">
        <v>976</v>
      </c>
      <c r="B272" s="31" t="s">
        <v>1149</v>
      </c>
      <c r="E272" s="31">
        <v>1</v>
      </c>
      <c r="O272" s="40">
        <f>C272*Prislapp!$C$2+D272*Prislapp!$D$2+E272*Prislapp!$E$2+F272*Prislapp!$F$2+G272*Prislapp!$G$2+H272*Prislapp!$H$2+I272*Prislapp!$I$2+J272*Prislapp!$J$2+K272*Prislapp!$K$2+L272*Prislapp!$L$2+M272*Prislapp!$M$2+N272*Prislapp!$N$2</f>
        <v>47928</v>
      </c>
      <c r="P272" s="40">
        <f>C272*Prislapp!$C$3+D272*Prislapp!$D$3+E272*Prislapp!$E$3+F272*Prislapp!$F$3+G272*Prislapp!$G$3+H272*Prislapp!$H$3+I272*Prislapp!$I$3+J272*Prislapp!$J$3+K272*Prislapp!$K$3+M272*Prislapp!$M$3+N272*Prislapp!$N$3+L272*Prislapp!$L$3</f>
        <v>35430</v>
      </c>
      <c r="Q272" s="40">
        <f>C272*Prislapp!$C$5+D272*Prislapp!$D$5+E272*Prislapp!$E$5+F272*Prislapp!$F$5+G272*Prislapp!$G$5+H272*Prislapp!$H$5+I272*Prislapp!$I$5+J272*Prislapp!$J$5+K272*Prislapp!$K$5+L272*Prislapp!$L$5+M272*Prislapp!$M$5+N272*Prislapp!$N$5</f>
        <v>35700</v>
      </c>
      <c r="R272" s="9">
        <f>VLOOKUP(A272,'Ansvar kurs'!$A$2:$B$943,2,FALSE)</f>
        <v>2180</v>
      </c>
      <c r="S272" s="157" t="s">
        <v>1049</v>
      </c>
      <c r="T272" s="157" t="s">
        <v>978</v>
      </c>
      <c r="U272" s="157"/>
      <c r="V272" s="157"/>
      <c r="W272" s="157"/>
      <c r="X272" s="157"/>
      <c r="Y272" s="157"/>
      <c r="Z272" s="157"/>
    </row>
    <row r="273" spans="1:26" x14ac:dyDescent="0.25">
      <c r="A273" s="222" t="s">
        <v>977</v>
      </c>
      <c r="B273" s="31" t="s">
        <v>1150</v>
      </c>
      <c r="E273" s="31">
        <v>1</v>
      </c>
      <c r="O273" s="40">
        <f>C273*Prislapp!$C$2+D273*Prislapp!$D$2+E273*Prislapp!$E$2+F273*Prislapp!$F$2+G273*Prislapp!$G$2+H273*Prislapp!$H$2+I273*Prislapp!$I$2+J273*Prislapp!$J$2+K273*Prislapp!$K$2+L273*Prislapp!$L$2+M273*Prislapp!$M$2+N273*Prislapp!$N$2</f>
        <v>47928</v>
      </c>
      <c r="P273" s="40">
        <f>C273*Prislapp!$C$3+D273*Prislapp!$D$3+E273*Prislapp!$E$3+F273*Prislapp!$F$3+G273*Prislapp!$G$3+H273*Prislapp!$H$3+I273*Prislapp!$I$3+J273*Prislapp!$J$3+K273*Prislapp!$K$3+M273*Prislapp!$M$3+N273*Prislapp!$N$3+L273*Prislapp!$L$3</f>
        <v>35430</v>
      </c>
      <c r="Q273" s="40">
        <f>C273*Prislapp!$C$5+D273*Prislapp!$D$5+E273*Prislapp!$E$5+F273*Prislapp!$F$5+G273*Prislapp!$G$5+H273*Prislapp!$H$5+I273*Prislapp!$I$5+J273*Prislapp!$J$5+K273*Prislapp!$K$5+L273*Prislapp!$L$5+M273*Prislapp!$M$5+N273*Prislapp!$N$5</f>
        <v>35700</v>
      </c>
      <c r="R273" s="9">
        <f>VLOOKUP(A273,'Ansvar kurs'!$A$2:$B$943,2,FALSE)</f>
        <v>2180</v>
      </c>
      <c r="S273" s="157" t="s">
        <v>1049</v>
      </c>
      <c r="T273" s="157" t="s">
        <v>979</v>
      </c>
      <c r="U273" s="157"/>
      <c r="V273" s="157"/>
      <c r="W273" s="157"/>
      <c r="X273" s="157"/>
      <c r="Y273" s="157"/>
      <c r="Z273" s="157"/>
    </row>
    <row r="274" spans="1:26" x14ac:dyDescent="0.25">
      <c r="A274" s="222" t="s">
        <v>1667</v>
      </c>
      <c r="B274" t="s">
        <v>1620</v>
      </c>
      <c r="I274" s="31">
        <v>1</v>
      </c>
      <c r="O274" s="40">
        <f>C274*Prislapp!$C$2+D274*Prislapp!$D$2+E274*Prislapp!$E$2+F274*Prislapp!$F$2+G274*Prislapp!$G$2+H274*Prislapp!$H$2+I274*Prislapp!$I$2+J274*Prislapp!$J$2+K274*Prislapp!$K$2+L274*Prislapp!$L$2+M274*Prislapp!$M$2+N274*Prislapp!$N$2</f>
        <v>20766</v>
      </c>
      <c r="P274" s="40">
        <f>C274*Prislapp!$C$3+D274*Prislapp!$D$3+E274*Prislapp!$E$3+F274*Prislapp!$F$3+G274*Prislapp!$G$3+H274*Prislapp!$H$3+I274*Prislapp!$I$3+J274*Prislapp!$J$3+K274*Prislapp!$K$3+M274*Prislapp!$M$3+N274*Prislapp!$N$3+L274*Prislapp!$L$3</f>
        <v>17442</v>
      </c>
      <c r="Q274" s="40">
        <f>C274*Prislapp!$C$5+D274*Prislapp!$D$5+E274*Prislapp!$E$5+F274*Prislapp!$F$5+G274*Prislapp!$G$5+H274*Prislapp!$H$5+I274*Prislapp!$I$5+J274*Prislapp!$J$5+K274*Prislapp!$K$5+L274*Prislapp!$L$5+M274*Prislapp!$M$5+N274*Prislapp!$N$5</f>
        <v>6000</v>
      </c>
      <c r="R274" s="9">
        <f>VLOOKUP(A274,'Ansvar kurs'!$A$2:$B$943,2,FALSE)</f>
        <v>2193</v>
      </c>
      <c r="S274" s="157"/>
      <c r="T274" s="157"/>
      <c r="U274" s="157"/>
      <c r="V274" s="157"/>
      <c r="W274" s="157"/>
      <c r="X274" s="157"/>
      <c r="Y274" s="157"/>
      <c r="Z274" s="157"/>
    </row>
    <row r="275" spans="1:26" x14ac:dyDescent="0.25">
      <c r="A275" s="222" t="s">
        <v>1666</v>
      </c>
      <c r="B275" t="s">
        <v>1619</v>
      </c>
      <c r="I275" s="31">
        <v>1</v>
      </c>
      <c r="O275" s="40">
        <f>C275*Prislapp!$C$2+D275*Prislapp!$D$2+E275*Prislapp!$E$2+F275*Prislapp!$F$2+G275*Prislapp!$G$2+H275*Prislapp!$H$2+I275*Prislapp!$I$2+J275*Prislapp!$J$2+K275*Prislapp!$K$2+L275*Prislapp!$L$2+M275*Prislapp!$M$2+N275*Prislapp!$N$2</f>
        <v>20766</v>
      </c>
      <c r="P275" s="40">
        <f>C275*Prislapp!$C$3+D275*Prislapp!$D$3+E275*Prislapp!$E$3+F275*Prislapp!$F$3+G275*Prislapp!$G$3+H275*Prislapp!$H$3+I275*Prislapp!$I$3+J275*Prislapp!$J$3+K275*Prislapp!$K$3+M275*Prislapp!$M$3+N275*Prislapp!$N$3+L275*Prislapp!$L$3</f>
        <v>17442</v>
      </c>
      <c r="Q275" s="40">
        <f>C275*Prislapp!$C$5+D275*Prislapp!$D$5+E275*Prislapp!$E$5+F275*Prislapp!$F$5+G275*Prislapp!$G$5+H275*Prislapp!$H$5+I275*Prislapp!$I$5+J275*Prislapp!$J$5+K275*Prislapp!$K$5+L275*Prislapp!$L$5+M275*Prislapp!$M$5+N275*Prislapp!$N$5</f>
        <v>6000</v>
      </c>
      <c r="R275" s="9">
        <f>VLOOKUP(A275,'Ansvar kurs'!$A$2:$B$943,2,FALSE)</f>
        <v>2193</v>
      </c>
      <c r="S275" s="157"/>
      <c r="T275" s="157"/>
      <c r="U275" s="157"/>
      <c r="V275" s="157"/>
      <c r="W275" s="157"/>
      <c r="X275" s="157"/>
      <c r="Y275" s="157"/>
      <c r="Z275" s="157"/>
    </row>
    <row r="276" spans="1:26" x14ac:dyDescent="0.25">
      <c r="A276" s="9" t="s">
        <v>2139</v>
      </c>
      <c r="B276" s="60" t="s">
        <v>1954</v>
      </c>
      <c r="I276" s="31">
        <v>1</v>
      </c>
      <c r="O276" s="40">
        <f>C276*Prislapp!$C$2+D276*Prislapp!$D$2+E276*Prislapp!$E$2+F276*Prislapp!$F$2+G276*Prislapp!$G$2+H276*Prislapp!$H$2+I276*Prislapp!$I$2+J276*Prislapp!$J$2+K276*Prislapp!$K$2+L276*Prislapp!$L$2+M276*Prislapp!$M$2+N276*Prislapp!$N$2</f>
        <v>20766</v>
      </c>
      <c r="P276" s="40">
        <f>C276*Prislapp!$C$3+D276*Prislapp!$D$3+E276*Prislapp!$E$3+F276*Prislapp!$F$3+G276*Prislapp!$G$3+H276*Prislapp!$H$3+I276*Prislapp!$I$3+J276*Prislapp!$J$3+K276*Prislapp!$K$3+M276*Prislapp!$M$3+N276*Prislapp!$N$3+L276*Prislapp!$L$3</f>
        <v>17442</v>
      </c>
      <c r="Q276" s="40">
        <f>C276*Prislapp!$C$5+D276*Prislapp!$D$5+E276*Prislapp!$E$5+F276*Prislapp!$F$5+G276*Prislapp!$G$5+H276*Prislapp!$H$5+I276*Prislapp!$I$5+J276*Prislapp!$J$5+K276*Prislapp!$K$5+L276*Prislapp!$L$5+M276*Prislapp!$M$5+N276*Prislapp!$N$5</f>
        <v>6000</v>
      </c>
      <c r="R276" s="9">
        <f>VLOOKUP(A276,'Ansvar kurs'!$A$2:$B$943,2,FALSE)</f>
        <v>2193</v>
      </c>
      <c r="S276" s="157"/>
      <c r="T276" s="157"/>
      <c r="U276" s="157"/>
      <c r="V276" s="157"/>
      <c r="W276" s="157"/>
      <c r="X276" s="157"/>
      <c r="Y276" s="157"/>
      <c r="Z276" s="157"/>
    </row>
    <row r="277" spans="1:26" x14ac:dyDescent="0.25">
      <c r="A277" s="31" t="s">
        <v>940</v>
      </c>
      <c r="B277" s="31" t="s">
        <v>941</v>
      </c>
      <c r="I277" s="31">
        <v>1</v>
      </c>
      <c r="O277" s="40">
        <f>C277*Prislapp!$C$2+D277*Prislapp!$D$2+E277*Prislapp!$E$2+F277*Prislapp!$F$2+G277*Prislapp!$G$2+H277*Prislapp!$H$2+I277*Prislapp!$I$2+J277*Prislapp!$J$2+K277*Prislapp!$K$2+L277*Prislapp!$L$2+M277*Prislapp!$M$2+N277*Prislapp!$N$2</f>
        <v>20766</v>
      </c>
      <c r="P277" s="40">
        <f>C277*Prislapp!$C$3+D277*Prislapp!$D$3+E277*Prislapp!$E$3+F277*Prislapp!$F$3+G277*Prislapp!$G$3+H277*Prislapp!$H$3+I277*Prislapp!$I$3+J277*Prislapp!$J$3+K277*Prislapp!$K$3+M277*Prislapp!$M$3+N277*Prislapp!$N$3+L277*Prislapp!$L$3</f>
        <v>17442</v>
      </c>
      <c r="Q277" s="40">
        <f>C277*Prislapp!$C$5+D277*Prislapp!$D$5+E277*Prislapp!$E$5+F277*Prislapp!$F$5+G277*Prislapp!$G$5+H277*Prislapp!$H$5+I277*Prislapp!$I$5+J277*Prislapp!$J$5+K277*Prislapp!$K$5+L277*Prislapp!$L$5+M277*Prislapp!$M$5+N277*Prislapp!$N$5</f>
        <v>6000</v>
      </c>
      <c r="R277" s="9">
        <f>VLOOKUP(A277,'Ansvar kurs'!$A$2:$B$943,2,FALSE)</f>
        <v>2300</v>
      </c>
      <c r="S277" s="157" t="s">
        <v>942</v>
      </c>
      <c r="T277" s="157"/>
      <c r="U277" s="157"/>
      <c r="V277" s="157"/>
      <c r="W277" s="157"/>
      <c r="X277" s="157"/>
      <c r="Y277" s="157"/>
      <c r="Z277" s="157"/>
    </row>
    <row r="278" spans="1:26" x14ac:dyDescent="0.25">
      <c r="A278" s="60" t="s">
        <v>1279</v>
      </c>
      <c r="B278" s="60" t="s">
        <v>1280</v>
      </c>
      <c r="D278" s="31">
        <v>1</v>
      </c>
      <c r="O278" s="40">
        <f>C278*Prislapp!$C$2+D278*Prislapp!$D$2+E278*Prislapp!$E$2+F278*Prislapp!$F$2+G278*Prislapp!$G$2+H278*Prislapp!$H$2+I278*Prislapp!$I$2+J278*Prislapp!$J$2+K278*Prislapp!$K$2+L278*Prislapp!$L$2+M278*Prislapp!$M$2+N278*Prislapp!$N$2</f>
        <v>20766</v>
      </c>
      <c r="P278" s="40">
        <f>C278*Prislapp!$C$3+D278*Prislapp!$D$3+E278*Prislapp!$E$3+F278*Prislapp!$F$3+G278*Prislapp!$G$3+H278*Prislapp!$H$3+I278*Prislapp!$I$3+J278*Prislapp!$J$3+K278*Prislapp!$K$3+M278*Prislapp!$M$3+N278*Prislapp!$N$3+L278*Prislapp!$L$3</f>
        <v>17442</v>
      </c>
      <c r="Q278" s="40">
        <f>C278*Prislapp!$C$5+D278*Prislapp!$D$5+E278*Prislapp!$E$5+F278*Prislapp!$F$5+G278*Prislapp!$G$5+H278*Prislapp!$H$5+I278*Prislapp!$I$5+J278*Prislapp!$J$5+K278*Prislapp!$K$5+L278*Prislapp!$L$5+M278*Prislapp!$M$5+N278*Prislapp!$N$5</f>
        <v>6000</v>
      </c>
      <c r="R278" s="9">
        <f>VLOOKUP(A278,'Ansvar kurs'!$A$2:$B$943,2,FALSE)</f>
        <v>1640</v>
      </c>
      <c r="S278" s="157"/>
      <c r="T278" s="157"/>
      <c r="U278" s="157"/>
      <c r="V278" s="157"/>
      <c r="W278" s="157"/>
      <c r="X278" s="157"/>
      <c r="Y278" s="157"/>
      <c r="Z278" s="157"/>
    </row>
    <row r="279" spans="1:26" x14ac:dyDescent="0.25">
      <c r="A279" s="60" t="s">
        <v>1281</v>
      </c>
      <c r="B279" s="60" t="s">
        <v>1282</v>
      </c>
      <c r="D279" s="31">
        <v>1</v>
      </c>
      <c r="O279" s="40">
        <f>C279*Prislapp!$C$2+D279*Prislapp!$D$2+E279*Prislapp!$E$2+F279*Prislapp!$F$2+G279*Prislapp!$G$2+H279*Prislapp!$H$2+I279*Prislapp!$I$2+J279*Prislapp!$J$2+K279*Prislapp!$K$2+L279*Prislapp!$L$2+M279*Prislapp!$M$2+N279*Prislapp!$N$2</f>
        <v>20766</v>
      </c>
      <c r="P279" s="40">
        <f>C279*Prislapp!$C$3+D279*Prislapp!$D$3+E279*Prislapp!$E$3+F279*Prislapp!$F$3+G279*Prislapp!$G$3+H279*Prislapp!$H$3+I279*Prislapp!$I$3+J279*Prislapp!$J$3+K279*Prislapp!$K$3+M279*Prislapp!$M$3+N279*Prislapp!$N$3+L279*Prislapp!$L$3</f>
        <v>17442</v>
      </c>
      <c r="Q279" s="40">
        <f>C279*Prislapp!$C$5+D279*Prislapp!$D$5+E279*Prislapp!$E$5+F279*Prislapp!$F$5+G279*Prislapp!$G$5+H279*Prislapp!$H$5+I279*Prislapp!$I$5+J279*Prislapp!$J$5+K279*Prislapp!$K$5+L279*Prislapp!$L$5+M279*Prislapp!$M$5+N279*Prislapp!$N$5</f>
        <v>6000</v>
      </c>
      <c r="R279" s="9">
        <f>VLOOKUP(A279,'Ansvar kurs'!$A$2:$B$943,2,FALSE)</f>
        <v>1640</v>
      </c>
      <c r="S279" s="157"/>
      <c r="T279" s="157"/>
      <c r="U279" s="157"/>
      <c r="V279" s="157"/>
      <c r="W279" s="157"/>
      <c r="X279" s="157"/>
      <c r="Y279" s="157"/>
      <c r="Z279" s="157"/>
    </row>
    <row r="280" spans="1:26" x14ac:dyDescent="0.25">
      <c r="A280" s="222" t="s">
        <v>1454</v>
      </c>
      <c r="B280" s="60" t="s">
        <v>1453</v>
      </c>
      <c r="H280" s="31">
        <v>1</v>
      </c>
      <c r="O280" s="40">
        <f>C280*Prislapp!$C$2+D280*Prislapp!$D$2+E280*Prislapp!$E$2+F280*Prislapp!$F$2+G280*Prislapp!$G$2+H280*Prislapp!$H$2+I280*Prislapp!$I$2+J280*Prislapp!$J$2+K280*Prislapp!$K$2+L280*Prislapp!$L$2+M280*Prislapp!$M$2+N280*Prislapp!$N$2</f>
        <v>20757</v>
      </c>
      <c r="P280" s="40">
        <f>C280*Prislapp!$C$3+D280*Prislapp!$D$3+E280*Prislapp!$E$3+F280*Prislapp!$F$3+G280*Prislapp!$G$3+H280*Prislapp!$H$3+I280*Prislapp!$I$3+J280*Prislapp!$J$3+K280*Prislapp!$K$3+M280*Prislapp!$M$3+N280*Prislapp!$N$3+L280*Prislapp!$L$3</f>
        <v>36082</v>
      </c>
      <c r="Q280" s="40">
        <f>C280*Prislapp!$C$5+D280*Prislapp!$D$5+E280*Prislapp!$E$5+F280*Prislapp!$F$5+G280*Prislapp!$G$5+H280*Prislapp!$H$5+I280*Prislapp!$I$5+J280*Prislapp!$J$5+K280*Prislapp!$K$5+L280*Prislapp!$L$5+M280*Prislapp!$M$5+N280*Prislapp!$N$5</f>
        <v>22600</v>
      </c>
      <c r="R280" s="9">
        <f>VLOOKUP(A280,'Ansvar kurs'!$A$2:$B$943,2,FALSE)</f>
        <v>5740</v>
      </c>
      <c r="S280" s="157"/>
      <c r="T280" s="157"/>
      <c r="U280" s="157"/>
      <c r="V280" s="157"/>
      <c r="W280" s="157"/>
      <c r="X280" s="157"/>
      <c r="Y280" s="157"/>
      <c r="Z280" s="157"/>
    </row>
    <row r="281" spans="1:26" x14ac:dyDescent="0.25">
      <c r="A281" s="222" t="s">
        <v>1462</v>
      </c>
      <c r="B281" s="31" t="s">
        <v>1095</v>
      </c>
      <c r="H281" s="31">
        <v>1</v>
      </c>
      <c r="O281" s="40">
        <f>C281*Prislapp!$C$2+D281*Prislapp!$D$2+E281*Prislapp!$E$2+F281*Prislapp!$F$2+G281*Prislapp!$G$2+H281*Prislapp!$H$2+I281*Prislapp!$I$2+J281*Prislapp!$J$2+K281*Prislapp!$K$2+L281*Prislapp!$L$2+M281*Prislapp!$M$2+N281*Prislapp!$N$2</f>
        <v>20757</v>
      </c>
      <c r="P281" s="40">
        <f>C281*Prislapp!$C$3+D281*Prislapp!$D$3+E281*Prislapp!$E$3+F281*Prislapp!$F$3+G281*Prislapp!$G$3+H281*Prislapp!$H$3+I281*Prislapp!$I$3+J281*Prislapp!$J$3+K281*Prislapp!$K$3+M281*Prislapp!$M$3+N281*Prislapp!$N$3+L281*Prislapp!$L$3</f>
        <v>36082</v>
      </c>
      <c r="Q281" s="40">
        <f>C281*Prislapp!$C$5+D281*Prislapp!$D$5+E281*Prislapp!$E$5+F281*Prislapp!$F$5+G281*Prislapp!$G$5+H281*Prislapp!$H$5+I281*Prislapp!$I$5+J281*Prislapp!$J$5+K281*Prislapp!$K$5+L281*Prislapp!$L$5+M281*Prislapp!$M$5+N281*Prislapp!$N$5</f>
        <v>22600</v>
      </c>
      <c r="R281" s="9">
        <f>VLOOKUP(A281,'Ansvar kurs'!$A$2:$B$943,2,FALSE)</f>
        <v>5740</v>
      </c>
      <c r="S281" s="157" t="s">
        <v>1260</v>
      </c>
      <c r="U281" s="157"/>
      <c r="V281" s="157"/>
      <c r="W281" s="157"/>
      <c r="X281" s="157"/>
      <c r="Y281" s="157"/>
      <c r="Z281" s="157"/>
    </row>
    <row r="282" spans="1:26" x14ac:dyDescent="0.25">
      <c r="A282" s="222" t="s">
        <v>1463</v>
      </c>
      <c r="B282" s="31" t="s">
        <v>1132</v>
      </c>
      <c r="H282" s="31">
        <v>1</v>
      </c>
      <c r="O282" s="40">
        <f>C282*Prislapp!$C$2+D282*Prislapp!$D$2+E282*Prislapp!$E$2+F282*Prislapp!$F$2+G282*Prislapp!$G$2+H282*Prislapp!$H$2+I282*Prislapp!$I$2+J282*Prislapp!$J$2+K282*Prislapp!$K$2+L282*Prislapp!$L$2+M282*Prislapp!$M$2+N282*Prislapp!$N$2</f>
        <v>20757</v>
      </c>
      <c r="P282" s="40">
        <f>C282*Prislapp!$C$3+D282*Prislapp!$D$3+E282*Prislapp!$E$3+F282*Prislapp!$F$3+G282*Prislapp!$G$3+H282*Prislapp!$H$3+I282*Prislapp!$I$3+J282*Prislapp!$J$3+K282*Prislapp!$K$3+M282*Prislapp!$M$3+N282*Prislapp!$N$3+L282*Prislapp!$L$3</f>
        <v>36082</v>
      </c>
      <c r="Q282" s="40">
        <f>C282*Prislapp!$C$5+D282*Prislapp!$D$5+E282*Prislapp!$E$5+F282*Prislapp!$F$5+G282*Prislapp!$G$5+H282*Prislapp!$H$5+I282*Prislapp!$I$5+J282*Prislapp!$J$5+K282*Prislapp!$K$5+L282*Prislapp!$L$5+M282*Prislapp!$M$5+N282*Prislapp!$N$5</f>
        <v>22600</v>
      </c>
      <c r="R282" s="9">
        <f>VLOOKUP(A282,'Ansvar kurs'!$A$2:$B$943,2,FALSE)</f>
        <v>5740</v>
      </c>
      <c r="S282" s="157" t="s">
        <v>1260</v>
      </c>
      <c r="U282" s="157"/>
      <c r="V282" s="157"/>
      <c r="W282" s="157"/>
      <c r="X282" s="157"/>
      <c r="Y282" s="157"/>
      <c r="Z282" s="157"/>
    </row>
    <row r="283" spans="1:26" x14ac:dyDescent="0.25">
      <c r="A283" s="222" t="s">
        <v>1464</v>
      </c>
      <c r="B283" s="31" t="s">
        <v>1133</v>
      </c>
      <c r="H283" s="31">
        <v>1</v>
      </c>
      <c r="O283" s="40">
        <f>C283*Prislapp!$C$2+D283*Prislapp!$D$2+E283*Prislapp!$E$2+F283*Prislapp!$F$2+G283*Prislapp!$G$2+H283*Prislapp!$H$2+I283*Prislapp!$I$2+J283*Prislapp!$J$2+K283*Prislapp!$K$2+L283*Prislapp!$L$2+M283*Prislapp!$M$2+N283*Prislapp!$N$2</f>
        <v>20757</v>
      </c>
      <c r="P283" s="40">
        <f>C283*Prislapp!$C$3+D283*Prislapp!$D$3+E283*Prislapp!$E$3+F283*Prislapp!$F$3+G283*Prislapp!$G$3+H283*Prislapp!$H$3+I283*Prislapp!$I$3+J283*Prislapp!$J$3+K283*Prislapp!$K$3+M283*Prislapp!$M$3+N283*Prislapp!$N$3+L283*Prislapp!$L$3</f>
        <v>36082</v>
      </c>
      <c r="Q283" s="40">
        <f>C283*Prislapp!$C$5+D283*Prislapp!$D$5+E283*Prislapp!$E$5+F283*Prislapp!$F$5+G283*Prislapp!$G$5+H283*Prislapp!$H$5+I283*Prislapp!$I$5+J283*Prislapp!$J$5+K283*Prislapp!$K$5+L283*Prislapp!$L$5+M283*Prislapp!$M$5+N283*Prislapp!$N$5</f>
        <v>22600</v>
      </c>
      <c r="R283" s="9">
        <f>VLOOKUP(A283,'Ansvar kurs'!$A$2:$B$943,2,FALSE)</f>
        <v>5740</v>
      </c>
      <c r="S283" s="157" t="s">
        <v>1260</v>
      </c>
    </row>
    <row r="284" spans="1:26" x14ac:dyDescent="0.25">
      <c r="A284" s="222" t="s">
        <v>1897</v>
      </c>
      <c r="B284" s="31" t="s">
        <v>1923</v>
      </c>
      <c r="H284" s="370">
        <v>1</v>
      </c>
      <c r="O284" s="40">
        <f>C284*Prislapp!$C$2+D284*Prislapp!$D$2+E284*Prislapp!$E$2+F284*Prislapp!$F$2+G284*Prislapp!$G$2+H284*Prislapp!$H$2+I284*Prislapp!$I$2+J284*Prislapp!$J$2+K284*Prislapp!$K$2+L284*Prislapp!$L$2+M284*Prislapp!$M$2+N284*Prislapp!$N$2</f>
        <v>20757</v>
      </c>
      <c r="P284" s="40">
        <f>C284*Prislapp!$C$3+D284*Prislapp!$D$3+E284*Prislapp!$E$3+F284*Prislapp!$F$3+G284*Prislapp!$G$3+H284*Prislapp!$H$3+I284*Prislapp!$I$3+J284*Prislapp!$J$3+K284*Prislapp!$K$3+M284*Prislapp!$M$3+N284*Prislapp!$N$3+L284*Prislapp!$L$3</f>
        <v>36082</v>
      </c>
      <c r="Q284" s="40">
        <f>C284*Prislapp!$C$5+D284*Prislapp!$D$5+E284*Prislapp!$E$5+F284*Prislapp!$F$5+G284*Prislapp!$G$5+H284*Prislapp!$H$5+I284*Prislapp!$I$5+J284*Prislapp!$J$5+K284*Prislapp!$K$5+L284*Prislapp!$L$5+M284*Prislapp!$M$5+N284*Prislapp!$N$5</f>
        <v>22600</v>
      </c>
      <c r="R284" s="9">
        <f>VLOOKUP(A284,'Ansvar kurs'!$A$2:$B$943,2,FALSE)</f>
        <v>5500</v>
      </c>
      <c r="S284" s="283" t="s">
        <v>1922</v>
      </c>
    </row>
    <row r="285" spans="1:26" x14ac:dyDescent="0.25">
      <c r="A285" s="222" t="s">
        <v>847</v>
      </c>
      <c r="B285" s="31" t="s">
        <v>1921</v>
      </c>
      <c r="H285" s="370">
        <v>1</v>
      </c>
      <c r="O285" s="40">
        <f>C285*Prislapp!$C$2+D285*Prislapp!$D$2+E285*Prislapp!$E$2+F285*Prislapp!$F$2+G285*Prislapp!$G$2+H285*Prislapp!$H$2+I285*Prislapp!$I$2+J285*Prislapp!$J$2+K285*Prislapp!$K$2+L285*Prislapp!$L$2+M285*Prislapp!$M$2+N285*Prislapp!$N$2</f>
        <v>20757</v>
      </c>
      <c r="P285" s="40">
        <f>C285*Prislapp!$C$3+D285*Prislapp!$D$3+E285*Prislapp!$E$3+F285*Prislapp!$F$3+G285*Prislapp!$G$3+H285*Prislapp!$H$3+I285*Prislapp!$I$3+J285*Prislapp!$J$3+K285*Prislapp!$K$3+M285*Prislapp!$M$3+N285*Prislapp!$N$3+L285*Prislapp!$L$3</f>
        <v>36082</v>
      </c>
      <c r="Q285" s="40">
        <f>C285*Prislapp!$C$5+D285*Prislapp!$D$5+E285*Prislapp!$E$5+F285*Prislapp!$F$5+G285*Prislapp!$G$5+H285*Prislapp!$H$5+I285*Prislapp!$I$5+J285*Prislapp!$J$5+K285*Prislapp!$K$5+L285*Prislapp!$L$5+M285*Prislapp!$M$5+N285*Prislapp!$N$5</f>
        <v>22600</v>
      </c>
      <c r="R285" s="9">
        <f>VLOOKUP(A285,'Ansvar kurs'!$A$2:$B$943,2,FALSE)</f>
        <v>5500</v>
      </c>
      <c r="S285" s="283" t="s">
        <v>1922</v>
      </c>
    </row>
    <row r="286" spans="1:26" x14ac:dyDescent="0.25">
      <c r="A286" s="31" t="s">
        <v>772</v>
      </c>
      <c r="B286" s="31" t="s">
        <v>775</v>
      </c>
      <c r="I286" s="31">
        <v>1</v>
      </c>
      <c r="O286" s="40">
        <f>C286*Prislapp!$C$2+D286*Prislapp!$D$2+E286*Prislapp!$E$2+F286*Prislapp!$F$2+G286*Prislapp!$G$2+H286*Prislapp!$H$2+I286*Prislapp!$I$2+J286*Prislapp!$J$2+K286*Prislapp!$K$2+L286*Prislapp!$L$2+M286*Prislapp!$M$2+N286*Prislapp!$N$2</f>
        <v>20766</v>
      </c>
      <c r="P286" s="40">
        <f>C286*Prislapp!$C$3+D286*Prislapp!$D$3+E286*Prislapp!$E$3+F286*Prislapp!$F$3+G286*Prislapp!$G$3+H286*Prislapp!$H$3+I286*Prislapp!$I$3+J286*Prislapp!$J$3+K286*Prislapp!$K$3+M286*Prislapp!$M$3+N286*Prislapp!$N$3+L286*Prislapp!$L$3</f>
        <v>17442</v>
      </c>
      <c r="Q286" s="40">
        <f>C286*Prislapp!$C$5+D286*Prislapp!$D$5+E286*Prislapp!$E$5+F286*Prislapp!$F$5+G286*Prislapp!$G$5+H286*Prislapp!$H$5+I286*Prislapp!$I$5+J286*Prislapp!$J$5+K286*Prislapp!$K$5+L286*Prislapp!$L$5+M286*Prislapp!$M$5+N286*Prislapp!$N$5</f>
        <v>6000</v>
      </c>
      <c r="R286" s="9">
        <f>VLOOKUP(A286,'Ansvar kurs'!$A$2:$B$943,2,FALSE)</f>
        <v>2500</v>
      </c>
      <c r="S286" s="157" t="s">
        <v>925</v>
      </c>
      <c r="T286" s="157"/>
    </row>
    <row r="287" spans="1:26" x14ac:dyDescent="0.25">
      <c r="A287" s="31" t="s">
        <v>924</v>
      </c>
      <c r="B287" s="31" t="s">
        <v>1151</v>
      </c>
      <c r="H287" s="31">
        <v>0.5</v>
      </c>
      <c r="I287" s="31">
        <v>0.5</v>
      </c>
      <c r="O287" s="40">
        <f>C287*Prislapp!$C$2+D287*Prislapp!$D$2+E287*Prislapp!$E$2+F287*Prislapp!$F$2+G287*Prislapp!$G$2+H287*Prislapp!$H$2+I287*Prislapp!$I$2+J287*Prislapp!$J$2+K287*Prislapp!$K$2+L287*Prislapp!$L$2+M287*Prislapp!$M$2+N287*Prislapp!$N$2</f>
        <v>20761.5</v>
      </c>
      <c r="P287" s="40">
        <f>C287*Prislapp!$C$3+D287*Prislapp!$D$3+E287*Prislapp!$E$3+F287*Prislapp!$F$3+G287*Prislapp!$G$3+H287*Prislapp!$H$3+I287*Prislapp!$I$3+J287*Prislapp!$J$3+K287*Prislapp!$K$3+M287*Prislapp!$M$3+N287*Prislapp!$N$3+L287*Prislapp!$L$3</f>
        <v>26762</v>
      </c>
      <c r="Q287" s="40">
        <f>C287*Prislapp!$C$5+D287*Prislapp!$D$5+E287*Prislapp!$E$5+F287*Prislapp!$F$5+G287*Prislapp!$G$5+H287*Prislapp!$H$5+I287*Prislapp!$I$5+J287*Prislapp!$J$5+K287*Prislapp!$K$5+L287*Prislapp!$L$5+M287*Prislapp!$M$5+N287*Prislapp!$N$5</f>
        <v>14300</v>
      </c>
      <c r="R287" s="9">
        <f>VLOOKUP(A287,'Ansvar kurs'!$A$2:$B$943,2,FALSE)</f>
        <v>2500</v>
      </c>
      <c r="S287" s="157" t="s">
        <v>1049</v>
      </c>
      <c r="T287" s="157"/>
    </row>
    <row r="288" spans="1:26" x14ac:dyDescent="0.25">
      <c r="A288" s="358" t="s">
        <v>1983</v>
      </c>
      <c r="B288" s="31" t="s">
        <v>1916</v>
      </c>
      <c r="H288" s="31">
        <v>0.25</v>
      </c>
      <c r="I288" s="31">
        <v>0.75</v>
      </c>
      <c r="O288" s="40">
        <f>C288*Prislapp!$C$2+D288*Prislapp!$D$2+E288*Prislapp!$E$2+F288*Prislapp!$F$2+G288*Prislapp!$G$2+H288*Prislapp!$H$2+I288*Prislapp!$I$2+J288*Prislapp!$J$2+K288*Prislapp!$K$2+L288*Prislapp!$L$2+M288*Prislapp!$M$2+N288*Prislapp!$N$2</f>
        <v>20763.75</v>
      </c>
      <c r="P288" s="40">
        <f>C288*Prislapp!$C$3+D288*Prislapp!$D$3+E288*Prislapp!$E$3+F288*Prislapp!$F$3+G288*Prislapp!$G$3+H288*Prislapp!$H$3+I288*Prislapp!$I$3+J288*Prislapp!$J$3+K288*Prislapp!$K$3+M288*Prislapp!$M$3+N288*Prislapp!$N$3+L288*Prislapp!$L$3</f>
        <v>22102</v>
      </c>
      <c r="Q288" s="40">
        <f>C288*Prislapp!$C$5+D288*Prislapp!$D$5+E288*Prislapp!$E$5+F288*Prislapp!$F$5+G288*Prislapp!$G$5+H288*Prislapp!$H$5+I288*Prislapp!$I$5+J288*Prislapp!$J$5+K288*Prislapp!$K$5+L288*Prislapp!$L$5+M288*Prislapp!$M$5+N288*Prislapp!$N$5</f>
        <v>10150</v>
      </c>
      <c r="R288" s="9">
        <f>VLOOKUP(A288,'Ansvar kurs'!$A$2:$B$943,2,FALSE)</f>
        <v>2500</v>
      </c>
      <c r="S288" s="157"/>
      <c r="U288" s="157"/>
      <c r="V288" s="157"/>
      <c r="W288" s="157"/>
      <c r="X288" s="157"/>
      <c r="Y288" s="157"/>
      <c r="Z288" s="157"/>
    </row>
    <row r="289" spans="1:26" x14ac:dyDescent="0.25">
      <c r="A289" s="222" t="s">
        <v>1800</v>
      </c>
      <c r="B289" s="31" t="s">
        <v>1757</v>
      </c>
      <c r="I289" s="31">
        <v>1</v>
      </c>
      <c r="O289" s="40">
        <f>C289*Prislapp!$C$2+D289*Prislapp!$D$2+E289*Prislapp!$E$2+F289*Prislapp!$F$2+G289*Prislapp!$G$2+H289*Prislapp!$H$2+I289*Prislapp!$I$2+J289*Prislapp!$J$2+K289*Prislapp!$K$2+L289*Prislapp!$L$2+M289*Prislapp!$M$2+N289*Prislapp!$N$2</f>
        <v>20766</v>
      </c>
      <c r="P289" s="40">
        <f>C289*Prislapp!$C$3+D289*Prislapp!$D$3+E289*Prislapp!$E$3+F289*Prislapp!$F$3+G289*Prislapp!$G$3+H289*Prislapp!$H$3+I289*Prislapp!$I$3+J289*Prislapp!$J$3+K289*Prislapp!$K$3+M289*Prislapp!$M$3+N289*Prislapp!$N$3+L289*Prislapp!$L$3</f>
        <v>17442</v>
      </c>
      <c r="Q289" s="40">
        <f>C289*Prislapp!$C$5+D289*Prislapp!$D$5+E289*Prislapp!$E$5+F289*Prislapp!$F$5+G289*Prislapp!$G$5+H289*Prislapp!$H$5+I289*Prislapp!$I$5+J289*Prislapp!$J$5+K289*Prislapp!$K$5+L289*Prislapp!$L$5+M289*Prislapp!$M$5+N289*Prislapp!$N$5</f>
        <v>6000</v>
      </c>
      <c r="R289" s="9">
        <f>VLOOKUP(A289,'Ansvar kurs'!$A$2:$B$943,2,FALSE)</f>
        <v>2500</v>
      </c>
      <c r="S289" s="157"/>
      <c r="T289" s="157"/>
      <c r="U289" s="157"/>
      <c r="V289" s="157"/>
      <c r="W289" s="157"/>
      <c r="X289" s="157"/>
      <c r="Y289" s="157"/>
      <c r="Z289" s="157"/>
    </row>
    <row r="290" spans="1:26" x14ac:dyDescent="0.25">
      <c r="A290" s="222" t="s">
        <v>1801</v>
      </c>
      <c r="B290" s="31" t="s">
        <v>1759</v>
      </c>
      <c r="H290" s="31">
        <v>0.25</v>
      </c>
      <c r="I290" s="31">
        <v>0.75</v>
      </c>
      <c r="O290" s="40">
        <f>C290*Prislapp!$C$2+D290*Prislapp!$D$2+E290*Prislapp!$E$2+F290*Prislapp!$F$2+G290*Prislapp!$G$2+H290*Prislapp!$H$2+I290*Prislapp!$I$2+J290*Prislapp!$J$2+K290*Prislapp!$K$2+L290*Prislapp!$L$2+M290*Prislapp!$M$2+N290*Prislapp!$N$2</f>
        <v>20763.75</v>
      </c>
      <c r="P290" s="40">
        <f>C290*Prislapp!$C$3+D290*Prislapp!$D$3+E290*Prislapp!$E$3+F290*Prislapp!$F$3+G290*Prislapp!$G$3+H290*Prislapp!$H$3+I290*Prislapp!$I$3+J290*Prislapp!$J$3+K290*Prislapp!$K$3+M290*Prislapp!$M$3+N290*Prislapp!$N$3+L290*Prislapp!$L$3</f>
        <v>22102</v>
      </c>
      <c r="Q290" s="40">
        <f>C290*Prislapp!$C$5+D290*Prislapp!$D$5+E290*Prislapp!$E$5+F290*Prislapp!$F$5+G290*Prislapp!$G$5+H290*Prislapp!$H$5+I290*Prislapp!$I$5+J290*Prislapp!$J$5+K290*Prislapp!$K$5+L290*Prislapp!$L$5+M290*Prislapp!$M$5+N290*Prislapp!$N$5</f>
        <v>10150</v>
      </c>
      <c r="R290" s="9">
        <f>VLOOKUP(A290,'Ansvar kurs'!$A$2:$B$943,2,FALSE)</f>
        <v>2500</v>
      </c>
      <c r="S290" s="157"/>
      <c r="T290" s="157"/>
    </row>
    <row r="291" spans="1:26" ht="15.75" x14ac:dyDescent="0.25">
      <c r="A291" s="369" t="s">
        <v>1875</v>
      </c>
      <c r="B291" s="31" t="s">
        <v>1760</v>
      </c>
      <c r="H291" s="31">
        <v>0.5</v>
      </c>
      <c r="I291" s="31">
        <v>0.5</v>
      </c>
      <c r="O291" s="40">
        <f>C291*Prislapp!$C$2+D291*Prislapp!$D$2+E291*Prislapp!$E$2+F291*Prislapp!$F$2+G291*Prislapp!$G$2+H291*Prislapp!$H$2+I291*Prislapp!$I$2+J291*Prislapp!$J$2+K291*Prislapp!$K$2+L291*Prislapp!$L$2+M291*Prislapp!$M$2+N291*Prislapp!$N$2</f>
        <v>20761.5</v>
      </c>
      <c r="P291" s="40">
        <f>C291*Prislapp!$C$3+D291*Prislapp!$D$3+E291*Prislapp!$E$3+F291*Prislapp!$F$3+G291*Prislapp!$G$3+H291*Prislapp!$H$3+I291*Prislapp!$I$3+J291*Prislapp!$J$3+K291*Prislapp!$K$3+M291*Prislapp!$M$3+N291*Prislapp!$N$3+L291*Prislapp!$L$3</f>
        <v>26762</v>
      </c>
      <c r="Q291" s="40">
        <f>C291*Prislapp!$C$5+D291*Prislapp!$D$5+E291*Prislapp!$E$5+F291*Prislapp!$F$5+G291*Prislapp!$G$5+H291*Prislapp!$H$5+I291*Prislapp!$I$5+J291*Prislapp!$J$5+K291*Prislapp!$K$5+L291*Prislapp!$L$5+M291*Prislapp!$M$5+N291*Prislapp!$N$5</f>
        <v>14300</v>
      </c>
      <c r="R291" s="9">
        <f>VLOOKUP(A291,'Ansvar kurs'!$A$2:$B$943,2,FALSE)</f>
        <v>2500</v>
      </c>
      <c r="S291" s="157"/>
      <c r="T291" s="157"/>
      <c r="U291" s="157"/>
      <c r="V291" s="157"/>
      <c r="W291" s="157"/>
      <c r="X291" s="157"/>
      <c r="Y291" s="157"/>
      <c r="Z291" s="157"/>
    </row>
    <row r="292" spans="1:26" ht="15.75" x14ac:dyDescent="0.25">
      <c r="A292" s="369" t="s">
        <v>1878</v>
      </c>
      <c r="B292" s="31" t="s">
        <v>1762</v>
      </c>
      <c r="I292" s="31">
        <v>1</v>
      </c>
      <c r="O292" s="40">
        <f>C292*Prislapp!$C$2+D292*Prislapp!$D$2+E292*Prislapp!$E$2+F292*Prislapp!$F$2+G292*Prislapp!$G$2+H292*Prislapp!$H$2+I292*Prislapp!$I$2+J292*Prislapp!$J$2+K292*Prislapp!$K$2+L292*Prislapp!$L$2+M292*Prislapp!$M$2+N292*Prislapp!$N$2</f>
        <v>20766</v>
      </c>
      <c r="P292" s="40">
        <f>C292*Prislapp!$C$3+D292*Prislapp!$D$3+E292*Prislapp!$E$3+F292*Prislapp!$F$3+G292*Prislapp!$G$3+H292*Prislapp!$H$3+I292*Prislapp!$I$3+J292*Prislapp!$J$3+K292*Prislapp!$K$3+M292*Prislapp!$M$3+N292*Prislapp!$N$3+L292*Prislapp!$L$3</f>
        <v>17442</v>
      </c>
      <c r="Q292" s="40">
        <f>C292*Prislapp!$C$5+D292*Prislapp!$D$5+E292*Prislapp!$E$5+F292*Prislapp!$F$5+G292*Prislapp!$G$5+H292*Prislapp!$H$5+I292*Prislapp!$I$5+J292*Prislapp!$J$5+K292*Prislapp!$K$5+L292*Prislapp!$L$5+M292*Prislapp!$M$5+N292*Prislapp!$N$5</f>
        <v>6000</v>
      </c>
      <c r="R292" s="9">
        <f>VLOOKUP(A292,'Ansvar kurs'!$A$2:$B$943,2,FALSE)</f>
        <v>2500</v>
      </c>
      <c r="S292" s="157"/>
      <c r="T292" s="157"/>
      <c r="U292" s="157"/>
      <c r="V292" s="157"/>
      <c r="W292" s="157"/>
      <c r="X292" s="157"/>
      <c r="Y292" s="157"/>
      <c r="Z292" s="157"/>
    </row>
    <row r="293" spans="1:26" x14ac:dyDescent="0.25">
      <c r="A293" s="358" t="s">
        <v>1984</v>
      </c>
      <c r="B293" s="31" t="s">
        <v>1918</v>
      </c>
      <c r="I293" s="31">
        <v>1</v>
      </c>
      <c r="O293" s="40">
        <f>C293*Prislapp!$C$2+D293*Prislapp!$D$2+E293*Prislapp!$E$2+F293*Prislapp!$F$2+G293*Prislapp!$G$2+H293*Prislapp!$H$2+I293*Prislapp!$I$2+J293*Prislapp!$J$2+K293*Prislapp!$K$2+L293*Prislapp!$L$2+M293*Prislapp!$M$2+N293*Prislapp!$N$2</f>
        <v>20766</v>
      </c>
      <c r="P293" s="40">
        <f>C293*Prislapp!$C$3+D293*Prislapp!$D$3+E293*Prislapp!$E$3+F293*Prislapp!$F$3+G293*Prislapp!$G$3+H293*Prislapp!$H$3+I293*Prislapp!$I$3+J293*Prislapp!$J$3+K293*Prislapp!$K$3+M293*Prislapp!$M$3+N293*Prislapp!$N$3+L293*Prislapp!$L$3</f>
        <v>17442</v>
      </c>
      <c r="Q293" s="40">
        <f>C293*Prislapp!$C$5+D293*Prislapp!$D$5+E293*Prislapp!$E$5+F293*Prislapp!$F$5+G293*Prislapp!$G$5+H293*Prislapp!$H$5+I293*Prislapp!$I$5+J293*Prislapp!$J$5+K293*Prislapp!$K$5+L293*Prislapp!$L$5+M293*Prislapp!$M$5+N293*Prislapp!$N$5</f>
        <v>6000</v>
      </c>
      <c r="R293" s="9">
        <f>VLOOKUP(A293,'Ansvar kurs'!$A$2:$B$943,2,FALSE)</f>
        <v>2500</v>
      </c>
      <c r="S293" s="157"/>
    </row>
    <row r="294" spans="1:26" ht="15.75" x14ac:dyDescent="0.25">
      <c r="A294" s="392" t="s">
        <v>2028</v>
      </c>
      <c r="B294" s="31" t="s">
        <v>1920</v>
      </c>
      <c r="K294" s="31">
        <v>1</v>
      </c>
      <c r="O294" s="40">
        <f>C294*Prislapp!$C$2+D294*Prislapp!$D$2+E294*Prislapp!$E$2+F294*Prislapp!$F$2+G294*Prislapp!$G$2+H294*Prislapp!$H$2+I294*Prislapp!$I$2+J294*Prislapp!$J$2+K294*Prislapp!$K$2+L294*Prislapp!$L$2+M294*Prislapp!$M$2+N294*Prislapp!$N$2</f>
        <v>25235</v>
      </c>
      <c r="P294" s="40">
        <f>C294*Prislapp!$C$3+D294*Prislapp!$D$3+E294*Prislapp!$E$3+F294*Prislapp!$F$3+G294*Prislapp!$G$3+H294*Prislapp!$H$3+I294*Prislapp!$I$3+J294*Prislapp!$J$3+K294*Prislapp!$K$3+M294*Prislapp!$M$3+N294*Prislapp!$N$3+L294*Prislapp!$L$3</f>
        <v>27976</v>
      </c>
      <c r="Q294" s="40">
        <f>C294*Prislapp!$C$5+D294*Prislapp!$D$5+E294*Prislapp!$E$5+F294*Prislapp!$F$5+G294*Prislapp!$G$5+H294*Prislapp!$H$5+I294*Prislapp!$I$5+J294*Prislapp!$J$5+K294*Prislapp!$K$5+L294*Prislapp!$L$5+M294*Prislapp!$M$5+N294*Prislapp!$N$5</f>
        <v>3600</v>
      </c>
      <c r="R294" s="9">
        <f>VLOOKUP(A294,'Ansvar kurs'!$A$2:$B$943,2,FALSE)</f>
        <v>2500</v>
      </c>
      <c r="S294" s="157"/>
    </row>
    <row r="295" spans="1:26" ht="15.75" x14ac:dyDescent="0.25">
      <c r="A295" s="392" t="s">
        <v>2341</v>
      </c>
      <c r="B295" s="31" t="s">
        <v>2353</v>
      </c>
      <c r="I295" s="31">
        <v>1</v>
      </c>
      <c r="O295" s="40">
        <f>C295*Prislapp!$C$2+D295*Prislapp!$D$2+E295*Prislapp!$E$2+F295*Prislapp!$F$2+G295*Prislapp!$G$2+H295*Prislapp!$H$2+I295*Prislapp!$I$2+J295*Prislapp!$J$2+K295*Prislapp!$K$2+L295*Prislapp!$L$2+M295*Prislapp!$M$2+N295*Prislapp!$N$2</f>
        <v>20766</v>
      </c>
      <c r="P295" s="40">
        <f>C295*Prislapp!$C$3+D295*Prislapp!$D$3+E295*Prislapp!$E$3+F295*Prislapp!$F$3+G295*Prislapp!$G$3+H295*Prislapp!$H$3+I295*Prislapp!$I$3+J295*Prislapp!$J$3+K295*Prislapp!$K$3+M295*Prislapp!$M$3+N295*Prislapp!$N$3+L295*Prislapp!$L$3</f>
        <v>17442</v>
      </c>
      <c r="Q295" s="40">
        <f>C295*Prislapp!$C$5+D295*Prislapp!$D$5+E295*Prislapp!$E$5+F295*Prislapp!$F$5+G295*Prislapp!$G$5+H295*Prislapp!$H$5+I295*Prislapp!$I$5+J295*Prislapp!$J$5+K295*Prislapp!$K$5+L295*Prislapp!$L$5+M295*Prislapp!$M$5+N295*Prislapp!$N$5</f>
        <v>6000</v>
      </c>
      <c r="R295" s="9">
        <f>VLOOKUP(A295,'Ansvar kurs'!$A$2:$B$943,2,FALSE)</f>
        <v>2500</v>
      </c>
      <c r="S295" s="157"/>
    </row>
    <row r="296" spans="1:26" x14ac:dyDescent="0.25">
      <c r="A296" s="31" t="s">
        <v>104</v>
      </c>
      <c r="B296" s="31" t="s">
        <v>674</v>
      </c>
      <c r="H296" s="31">
        <v>1</v>
      </c>
      <c r="O296" s="40">
        <f>C296*Prislapp!$C$2+D296*Prislapp!$D$2+E296*Prislapp!$E$2+F296*Prislapp!$F$2+G296*Prislapp!$G$2+H296*Prislapp!$H$2+I296*Prislapp!$I$2+J296*Prislapp!$J$2+K296*Prislapp!$K$2+L296*Prislapp!$L$2+M296*Prislapp!$M$2+N296*Prislapp!$N$2</f>
        <v>20757</v>
      </c>
      <c r="P296" s="40">
        <f>C296*Prislapp!$C$3+D296*Prislapp!$D$3+E296*Prislapp!$E$3+F296*Prislapp!$F$3+G296*Prislapp!$G$3+H296*Prislapp!$H$3+I296*Prislapp!$I$3+J296*Prislapp!$J$3+K296*Prislapp!$K$3+M296*Prislapp!$M$3+N296*Prislapp!$N$3+L296*Prislapp!$L$3</f>
        <v>36082</v>
      </c>
      <c r="Q296" s="40">
        <f>C296*Prislapp!$C$5+D296*Prislapp!$D$5+E296*Prislapp!$E$5+F296*Prislapp!$F$5+G296*Prislapp!$G$5+H296*Prislapp!$H$5+I296*Prislapp!$I$5+J296*Prislapp!$J$5+K296*Prislapp!$K$5+L296*Prislapp!$L$5+M296*Prislapp!$M$5+N296*Prislapp!$N$5</f>
        <v>22600</v>
      </c>
      <c r="R296" s="9">
        <f>VLOOKUP(A296,'Ansvar kurs'!$A$2:$B$943,2,FALSE)</f>
        <v>2650</v>
      </c>
      <c r="S296" s="157"/>
      <c r="T296" s="157"/>
      <c r="U296" s="157"/>
      <c r="V296" s="157"/>
      <c r="W296" s="157"/>
      <c r="X296" s="157"/>
      <c r="Y296" s="157"/>
      <c r="Z296" s="157"/>
    </row>
    <row r="297" spans="1:26" x14ac:dyDescent="0.25">
      <c r="A297" s="31" t="s">
        <v>329</v>
      </c>
      <c r="B297" s="31" t="s">
        <v>675</v>
      </c>
      <c r="H297" s="31">
        <v>1</v>
      </c>
      <c r="O297" s="40">
        <f>C297*Prislapp!$C$2+D297*Prislapp!$D$2+E297*Prislapp!$E$2+F297*Prislapp!$F$2+G297*Prislapp!$G$2+H297*Prislapp!$H$2+I297*Prislapp!$I$2+J297*Prislapp!$J$2+K297*Prislapp!$K$2+L297*Prislapp!$L$2+M297*Prislapp!$M$2+N297*Prislapp!$N$2</f>
        <v>20757</v>
      </c>
      <c r="P297" s="40">
        <f>C297*Prislapp!$C$3+D297*Prislapp!$D$3+E297*Prislapp!$E$3+F297*Prislapp!$F$3+G297*Prislapp!$G$3+H297*Prislapp!$H$3+I297*Prislapp!$I$3+J297*Prislapp!$J$3+K297*Prislapp!$K$3+M297*Prislapp!$M$3+N297*Prislapp!$N$3+L297*Prislapp!$L$3</f>
        <v>36082</v>
      </c>
      <c r="Q297" s="40">
        <f>C297*Prislapp!$C$5+D297*Prislapp!$D$5+E297*Prislapp!$E$5+F297*Prislapp!$F$5+G297*Prislapp!$G$5+H297*Prislapp!$H$5+I297*Prislapp!$I$5+J297*Prislapp!$J$5+K297*Prislapp!$K$5+L297*Prislapp!$L$5+M297*Prislapp!$M$5+N297*Prislapp!$N$5</f>
        <v>22600</v>
      </c>
      <c r="R297" s="9">
        <f>VLOOKUP(A297,'Ansvar kurs'!$A$2:$B$943,2,FALSE)</f>
        <v>2650</v>
      </c>
      <c r="S297" s="157"/>
      <c r="T297" s="157"/>
      <c r="U297" s="157"/>
      <c r="V297" s="157"/>
      <c r="W297" s="157"/>
      <c r="X297" s="157"/>
      <c r="Y297" s="157"/>
      <c r="Z297" s="157"/>
    </row>
    <row r="298" spans="1:26" x14ac:dyDescent="0.25">
      <c r="A298" s="60" t="s">
        <v>848</v>
      </c>
      <c r="B298" s="31" t="s">
        <v>359</v>
      </c>
      <c r="F298" s="31">
        <v>1</v>
      </c>
      <c r="O298" s="40">
        <f>C298*Prislapp!$C$2+D298*Prislapp!$D$2+E298*Prislapp!$E$2+F298*Prislapp!$F$2+G298*Prislapp!$G$2+H298*Prislapp!$H$2+I298*Prislapp!$I$2+J298*Prislapp!$J$2+K298*Prislapp!$K$2+L298*Prislapp!$L$2+M298*Prislapp!$M$2+N298*Prislapp!$N$2</f>
        <v>26554</v>
      </c>
      <c r="P298" s="40">
        <f>C298*Prislapp!$C$3+D298*Prislapp!$D$3+E298*Prislapp!$E$3+F298*Prislapp!$F$3+G298*Prislapp!$G$3+H298*Prislapp!$H$3+I298*Prislapp!$I$3+J298*Prislapp!$J$3+K298*Prislapp!$K$3+M298*Prislapp!$M$3+N298*Prislapp!$N$3+L298*Prislapp!$L$3</f>
        <v>33465</v>
      </c>
      <c r="Q298" s="40">
        <f>C298*Prislapp!$C$5+D298*Prislapp!$D$5+E298*Prislapp!$E$5+F298*Prislapp!$F$5+G298*Prislapp!$G$5+H298*Prislapp!$H$5+I298*Prislapp!$I$5+J298*Prislapp!$J$5+K298*Prislapp!$K$5+L298*Prislapp!$L$5+M298*Prislapp!$M$5+N298*Prislapp!$N$5</f>
        <v>6000</v>
      </c>
      <c r="R298" s="9">
        <f>VLOOKUP(A298,'Ansvar kurs'!$A$2:$B$943,2,FALSE)</f>
        <v>2650</v>
      </c>
      <c r="S298" s="157"/>
      <c r="T298" s="157"/>
      <c r="U298" s="157"/>
      <c r="V298" s="157"/>
      <c r="W298" s="157"/>
      <c r="X298" s="157"/>
      <c r="Y298" s="157"/>
      <c r="Z298" s="157"/>
    </row>
    <row r="299" spans="1:26" x14ac:dyDescent="0.25">
      <c r="A299" s="31" t="s">
        <v>497</v>
      </c>
      <c r="B299" s="31" t="s">
        <v>676</v>
      </c>
      <c r="H299" s="31">
        <v>1</v>
      </c>
      <c r="O299" s="40">
        <f>C299*Prislapp!$C$2+D299*Prislapp!$D$2+E299*Prislapp!$E$2+F299*Prislapp!$F$2+G299*Prislapp!$G$2+H299*Prislapp!$H$2+I299*Prislapp!$I$2+J299*Prislapp!$J$2+K299*Prislapp!$K$2+L299*Prislapp!$L$2+M299*Prislapp!$M$2+N299*Prislapp!$N$2</f>
        <v>20757</v>
      </c>
      <c r="P299" s="40">
        <f>C299*Prislapp!$C$3+D299*Prislapp!$D$3+E299*Prislapp!$E$3+F299*Prislapp!$F$3+G299*Prislapp!$G$3+H299*Prislapp!$H$3+I299*Prislapp!$I$3+J299*Prislapp!$J$3+K299*Prislapp!$K$3+M299*Prislapp!$M$3+N299*Prislapp!$N$3+L299*Prislapp!$L$3</f>
        <v>36082</v>
      </c>
      <c r="Q299" s="40">
        <f>C299*Prislapp!$C$5+D299*Prislapp!$D$5+E299*Prislapp!$E$5+F299*Prislapp!$F$5+G299*Prislapp!$G$5+H299*Prislapp!$H$5+I299*Prislapp!$I$5+J299*Prislapp!$J$5+K299*Prislapp!$K$5+L299*Prislapp!$L$5+M299*Prislapp!$M$5+N299*Prislapp!$N$5</f>
        <v>22600</v>
      </c>
      <c r="R299" s="9">
        <f>VLOOKUP(A299,'Ansvar kurs'!$A$2:$B$943,2,FALSE)</f>
        <v>2650</v>
      </c>
      <c r="S299" s="157"/>
      <c r="T299" s="157"/>
      <c r="U299" s="157"/>
      <c r="V299" s="157"/>
      <c r="W299" s="157"/>
      <c r="X299" s="157"/>
      <c r="Y299" s="157"/>
      <c r="Z299" s="157"/>
    </row>
    <row r="300" spans="1:26" x14ac:dyDescent="0.25">
      <c r="A300" s="31" t="s">
        <v>528</v>
      </c>
      <c r="B300" s="31" t="s">
        <v>545</v>
      </c>
      <c r="H300" s="31">
        <v>1</v>
      </c>
      <c r="O300" s="40">
        <f>C300*Prislapp!$C$2+D300*Prislapp!$D$2+E300*Prislapp!$E$2+F300*Prislapp!$F$2+G300*Prislapp!$G$2+H300*Prislapp!$H$2+I300*Prislapp!$I$2+J300*Prislapp!$J$2+K300*Prislapp!$K$2+L300*Prislapp!$L$2+M300*Prislapp!$M$2+N300*Prislapp!$N$2</f>
        <v>20757</v>
      </c>
      <c r="P300" s="40">
        <f>C300*Prislapp!$C$3+D300*Prislapp!$D$3+E300*Prislapp!$E$3+F300*Prislapp!$F$3+G300*Prislapp!$G$3+H300*Prislapp!$H$3+I300*Prislapp!$I$3+J300*Prislapp!$J$3+K300*Prislapp!$K$3+M300*Prislapp!$M$3+N300*Prislapp!$N$3+L300*Prislapp!$L$3</f>
        <v>36082</v>
      </c>
      <c r="Q300" s="40">
        <f>C300*Prislapp!$C$5+D300*Prislapp!$D$5+E300*Prislapp!$E$5+F300*Prislapp!$F$5+G300*Prislapp!$G$5+H300*Prislapp!$H$5+I300*Prislapp!$I$5+J300*Prislapp!$J$5+K300*Prislapp!$K$5+L300*Prislapp!$L$5+M300*Prislapp!$M$5+N300*Prislapp!$N$5</f>
        <v>22600</v>
      </c>
      <c r="R300" s="9">
        <f>VLOOKUP(A300,'Ansvar kurs'!$A$2:$B$943,2,FALSE)</f>
        <v>2650</v>
      </c>
      <c r="S300" s="157"/>
      <c r="T300" s="157"/>
      <c r="U300" s="157"/>
      <c r="V300" s="157"/>
      <c r="W300" s="157"/>
      <c r="X300" s="157"/>
      <c r="Y300" s="157"/>
      <c r="Z300" s="157"/>
    </row>
    <row r="301" spans="1:26" x14ac:dyDescent="0.25">
      <c r="A301" s="31" t="s">
        <v>648</v>
      </c>
      <c r="B301" s="31" t="s">
        <v>678</v>
      </c>
      <c r="H301" s="31">
        <v>1</v>
      </c>
      <c r="O301" s="40">
        <f>C301*Prislapp!$C$2+D301*Prislapp!$D$2+E301*Prislapp!$E$2+F301*Prislapp!$F$2+G301*Prislapp!$G$2+H301*Prislapp!$H$2+I301*Prislapp!$I$2+J301*Prislapp!$J$2+K301*Prislapp!$K$2+L301*Prislapp!$L$2+M301*Prislapp!$M$2+N301*Prislapp!$N$2</f>
        <v>20757</v>
      </c>
      <c r="P301" s="40">
        <f>C301*Prislapp!$C$3+D301*Prislapp!$D$3+E301*Prislapp!$E$3+F301*Prislapp!$F$3+G301*Prislapp!$G$3+H301*Prislapp!$H$3+I301*Prislapp!$I$3+J301*Prislapp!$J$3+K301*Prislapp!$K$3+M301*Prislapp!$M$3+N301*Prislapp!$N$3+L301*Prislapp!$L$3</f>
        <v>36082</v>
      </c>
      <c r="Q301" s="40">
        <f>C301*Prislapp!$C$5+D301*Prislapp!$D$5+E301*Prislapp!$E$5+F301*Prislapp!$F$5+G301*Prislapp!$G$5+H301*Prislapp!$H$5+I301*Prislapp!$I$5+J301*Prislapp!$J$5+K301*Prislapp!$K$5+L301*Prislapp!$L$5+M301*Prislapp!$M$5+N301*Prislapp!$N$5</f>
        <v>22600</v>
      </c>
      <c r="R301" s="9">
        <f>VLOOKUP(A301,'Ansvar kurs'!$A$2:$B$943,2,FALSE)</f>
        <v>2650</v>
      </c>
      <c r="S301" s="157"/>
      <c r="T301" s="157"/>
      <c r="U301" s="157"/>
      <c r="V301" s="157"/>
      <c r="W301" s="157"/>
      <c r="X301" s="157"/>
      <c r="Y301" s="157"/>
      <c r="Z301" s="157"/>
    </row>
    <row r="302" spans="1:26" x14ac:dyDescent="0.25">
      <c r="A302" s="60" t="s">
        <v>825</v>
      </c>
      <c r="B302" s="31" t="s">
        <v>828</v>
      </c>
      <c r="H302" s="31">
        <v>1</v>
      </c>
      <c r="O302" s="40">
        <f>C302*Prislapp!$C$2+D302*Prislapp!$D$2+E302*Prislapp!$E$2+F302*Prislapp!$F$2+G302*Prislapp!$G$2+H302*Prislapp!$H$2+I302*Prislapp!$I$2+J302*Prislapp!$J$2+K302*Prislapp!$K$2+L302*Prislapp!$L$2+M302*Prislapp!$M$2+N302*Prislapp!$N$2</f>
        <v>20757</v>
      </c>
      <c r="P302" s="40">
        <f>C302*Prislapp!$C$3+D302*Prislapp!$D$3+E302*Prislapp!$E$3+F302*Prislapp!$F$3+G302*Prislapp!$G$3+H302*Prislapp!$H$3+I302*Prislapp!$I$3+J302*Prislapp!$J$3+K302*Prislapp!$K$3+M302*Prislapp!$M$3+N302*Prislapp!$N$3+L302*Prislapp!$L$3</f>
        <v>36082</v>
      </c>
      <c r="Q302" s="40">
        <f>C302*Prislapp!$C$5+D302*Prislapp!$D$5+E302*Prislapp!$E$5+F302*Prislapp!$F$5+G302*Prislapp!$G$5+H302*Prislapp!$H$5+I302*Prislapp!$I$5+J302*Prislapp!$J$5+K302*Prislapp!$K$5+L302*Prislapp!$L$5+M302*Prislapp!$M$5+N302*Prislapp!$N$5</f>
        <v>22600</v>
      </c>
      <c r="R302" s="9">
        <f>VLOOKUP(A302,'Ansvar kurs'!$A$2:$B$943,2,FALSE)</f>
        <v>2650</v>
      </c>
      <c r="S302" s="157"/>
      <c r="T302" s="157"/>
      <c r="U302" s="157"/>
      <c r="V302" s="157"/>
      <c r="W302" s="157"/>
      <c r="X302" s="157"/>
      <c r="Y302" s="157"/>
      <c r="Z302" s="157"/>
    </row>
    <row r="303" spans="1:26" x14ac:dyDescent="0.25">
      <c r="A303" s="222" t="s">
        <v>817</v>
      </c>
      <c r="B303" s="31" t="s">
        <v>1152</v>
      </c>
      <c r="K303" s="31">
        <v>1</v>
      </c>
      <c r="O303" s="40">
        <f>C303*Prislapp!$C$2+D303*Prislapp!$D$2+E303*Prislapp!$E$2+F303*Prislapp!$F$2+G303*Prislapp!$G$2+H303*Prislapp!$H$2+I303*Prislapp!$I$2+J303*Prislapp!$J$2+K303*Prislapp!$K$2+L303*Prislapp!$L$2+M303*Prislapp!$M$2+N303*Prislapp!$N$2</f>
        <v>25235</v>
      </c>
      <c r="P303" s="40">
        <f>C303*Prislapp!$C$3+D303*Prislapp!$D$3+E303*Prislapp!$E$3+F303*Prislapp!$F$3+G303*Prislapp!$G$3+H303*Prislapp!$H$3+I303*Prislapp!$I$3+J303*Prislapp!$J$3+K303*Prislapp!$K$3+M303*Prislapp!$M$3+N303*Prislapp!$N$3+L303*Prislapp!$L$3</f>
        <v>27976</v>
      </c>
      <c r="Q303" s="40">
        <f>C303*Prislapp!$C$5+D303*Prislapp!$D$5+E303*Prislapp!$E$5+F303*Prislapp!$F$5+G303*Prislapp!$G$5+H303*Prislapp!$H$5+I303*Prislapp!$I$5+J303*Prislapp!$J$5+K303*Prislapp!$K$5+L303*Prislapp!$L$5+M303*Prislapp!$M$5+N303*Prislapp!$N$5</f>
        <v>3600</v>
      </c>
      <c r="R303" s="9">
        <f>VLOOKUP(A303,'Ansvar kurs'!$A$2:$B$943,2,FALSE)</f>
        <v>2650</v>
      </c>
      <c r="S303" s="157"/>
      <c r="T303" s="157"/>
      <c r="U303" s="157"/>
      <c r="V303" s="157"/>
      <c r="W303" s="157"/>
      <c r="X303" s="157"/>
      <c r="Y303" s="157"/>
      <c r="Z303" s="157"/>
    </row>
    <row r="304" spans="1:26" x14ac:dyDescent="0.25">
      <c r="A304" s="222" t="s">
        <v>1070</v>
      </c>
      <c r="B304" s="31" t="s">
        <v>1073</v>
      </c>
      <c r="I304" s="31">
        <v>1</v>
      </c>
      <c r="O304" s="40">
        <f>C304*Prislapp!$C$2+D304*Prislapp!$D$2+E304*Prislapp!$E$2+F304*Prislapp!$F$2+G304*Prislapp!$G$2+H304*Prislapp!$H$2+I304*Prislapp!$I$2+J304*Prislapp!$J$2+K304*Prislapp!$K$2+L304*Prislapp!$L$2+M304*Prislapp!$M$2+N304*Prislapp!$N$2</f>
        <v>20766</v>
      </c>
      <c r="P304" s="40">
        <f>C304*Prislapp!$C$3+D304*Prislapp!$D$3+E304*Prislapp!$E$3+F304*Prislapp!$F$3+G304*Prislapp!$G$3+H304*Prislapp!$H$3+I304*Prislapp!$I$3+J304*Prislapp!$J$3+K304*Prislapp!$K$3+M304*Prislapp!$M$3+N304*Prislapp!$N$3+L304*Prislapp!$L$3</f>
        <v>17442</v>
      </c>
      <c r="Q304" s="40">
        <f>C304*Prislapp!$C$5+D304*Prislapp!$D$5+E304*Prislapp!$E$5+F304*Prislapp!$F$5+G304*Prislapp!$G$5+H304*Prislapp!$H$5+I304*Prislapp!$I$5+J304*Prislapp!$J$5+K304*Prislapp!$K$5+L304*Prislapp!$L$5+M304*Prislapp!$M$5+N304*Prislapp!$N$5</f>
        <v>6000</v>
      </c>
      <c r="R304" s="9">
        <f>VLOOKUP(A304,'Ansvar kurs'!$A$2:$B$943,2,FALSE)</f>
        <v>2650</v>
      </c>
      <c r="S304" s="157"/>
      <c r="T304" s="157"/>
      <c r="U304" s="157"/>
      <c r="V304" s="157"/>
      <c r="W304" s="157"/>
      <c r="X304" s="157"/>
      <c r="Y304" s="157"/>
      <c r="Z304" s="157"/>
    </row>
    <row r="305" spans="1:26" x14ac:dyDescent="0.25">
      <c r="A305" s="222" t="s">
        <v>1069</v>
      </c>
      <c r="B305" s="31" t="s">
        <v>1074</v>
      </c>
      <c r="H305" s="31">
        <v>1</v>
      </c>
      <c r="O305" s="40">
        <f>C305*Prislapp!$C$2+D305*Prislapp!$D$2+E305*Prislapp!$E$2+F305*Prislapp!$F$2+G305*Prislapp!$G$2+H305*Prislapp!$H$2+I305*Prislapp!$I$2+J305*Prislapp!$J$2+K305*Prislapp!$K$2+L305*Prislapp!$L$2+M305*Prislapp!$M$2+N305*Prislapp!$N$2</f>
        <v>20757</v>
      </c>
      <c r="P305" s="40">
        <f>C305*Prislapp!$C$3+D305*Prislapp!$D$3+E305*Prislapp!$E$3+F305*Prislapp!$F$3+G305*Prislapp!$G$3+H305*Prislapp!$H$3+I305*Prislapp!$I$3+J305*Prislapp!$J$3+K305*Prislapp!$K$3+M305*Prislapp!$M$3+N305*Prislapp!$N$3+L305*Prislapp!$L$3</f>
        <v>36082</v>
      </c>
      <c r="Q305" s="40">
        <f>C305*Prislapp!$C$5+D305*Prislapp!$D$5+E305*Prislapp!$E$5+F305*Prislapp!$F$5+G305*Prislapp!$G$5+H305*Prislapp!$H$5+I305*Prislapp!$I$5+J305*Prislapp!$J$5+K305*Prislapp!$K$5+L305*Prislapp!$L$5+M305*Prislapp!$M$5+N305*Prislapp!$N$5</f>
        <v>22600</v>
      </c>
      <c r="R305" s="9">
        <f>VLOOKUP(A305,'Ansvar kurs'!$A$2:$B$943,2,FALSE)</f>
        <v>2650</v>
      </c>
      <c r="S305" s="157"/>
      <c r="T305" s="157"/>
      <c r="U305" s="157"/>
      <c r="V305" s="157"/>
      <c r="W305" s="157"/>
      <c r="X305" s="157"/>
      <c r="Y305" s="157"/>
      <c r="Z305" s="157"/>
    </row>
    <row r="306" spans="1:26" x14ac:dyDescent="0.25">
      <c r="A306" s="222" t="s">
        <v>1283</v>
      </c>
      <c r="B306" s="60" t="s">
        <v>1310</v>
      </c>
      <c r="I306" s="31">
        <v>1</v>
      </c>
      <c r="O306" s="40">
        <f>C306*Prislapp!$C$2+D306*Prislapp!$D$2+E306*Prislapp!$E$2+F306*Prislapp!$F$2+G306*Prislapp!$G$2+H306*Prislapp!$H$2+I306*Prislapp!$I$2+J306*Prislapp!$J$2+K306*Prislapp!$K$2+L306*Prislapp!$L$2+M306*Prislapp!$M$2+N306*Prislapp!$N$2</f>
        <v>20766</v>
      </c>
      <c r="P306" s="40">
        <f>C306*Prislapp!$C$3+D306*Prislapp!$D$3+E306*Prislapp!$E$3+F306*Prislapp!$F$3+G306*Prislapp!$G$3+H306*Prislapp!$H$3+I306*Prislapp!$I$3+J306*Prislapp!$J$3+K306*Prislapp!$K$3+M306*Prislapp!$M$3+N306*Prislapp!$N$3+L306*Prislapp!$L$3</f>
        <v>17442</v>
      </c>
      <c r="Q306" s="40">
        <f>C306*Prislapp!$C$5+D306*Prislapp!$D$5+E306*Prislapp!$E$5+F306*Prislapp!$F$5+G306*Prislapp!$G$5+H306*Prislapp!$H$5+I306*Prislapp!$I$5+J306*Prislapp!$J$5+K306*Prislapp!$K$5+L306*Prislapp!$L$5+M306*Prislapp!$M$5+N306*Prislapp!$N$5</f>
        <v>6000</v>
      </c>
      <c r="R306" s="9">
        <f>VLOOKUP(A306,'Ansvar kurs'!$A$2:$B$943,2,FALSE)</f>
        <v>2650</v>
      </c>
      <c r="S306" s="157"/>
      <c r="T306" s="157"/>
      <c r="U306" s="157"/>
      <c r="V306" s="157"/>
      <c r="W306" s="157"/>
      <c r="X306" s="157"/>
      <c r="Y306" s="157"/>
      <c r="Z306" s="157"/>
    </row>
    <row r="307" spans="1:26" x14ac:dyDescent="0.25">
      <c r="A307" s="221" t="s">
        <v>1329</v>
      </c>
      <c r="B307" s="31" t="s">
        <v>1043</v>
      </c>
      <c r="K307" s="31">
        <v>1</v>
      </c>
      <c r="O307" s="40">
        <f>C307*Prislapp!$C$2+D307*Prislapp!$D$2+E307*Prislapp!$E$2+F307*Prislapp!$F$2+G307*Prislapp!$G$2+H307*Prislapp!$H$2+I307*Prislapp!$I$2+J307*Prislapp!$J$2+K307*Prislapp!$K$2+L307*Prislapp!$L$2+M307*Prislapp!$M$2+N307*Prislapp!$N$2</f>
        <v>25235</v>
      </c>
      <c r="P307" s="40">
        <f>C307*Prislapp!$C$3+D307*Prislapp!$D$3+E307*Prislapp!$E$3+F307*Prislapp!$F$3+G307*Prislapp!$G$3+H307*Prislapp!$H$3+I307*Prislapp!$I$3+J307*Prislapp!$J$3+K307*Prislapp!$K$3+M307*Prislapp!$M$3+N307*Prislapp!$N$3+L307*Prislapp!$L$3</f>
        <v>27976</v>
      </c>
      <c r="Q307" s="40">
        <f>C307*Prislapp!$C$5+D307*Prislapp!$D$5+E307*Prislapp!$E$5+F307*Prislapp!$F$5+G307*Prislapp!$G$5+H307*Prislapp!$H$5+I307*Prislapp!$I$5+J307*Prislapp!$J$5+K307*Prislapp!$K$5+L307*Prislapp!$L$5+M307*Prislapp!$M$5+N307*Prislapp!$N$5</f>
        <v>3600</v>
      </c>
      <c r="R307" s="9">
        <f>VLOOKUP(A307,'Ansvar kurs'!$A$2:$B$943,2,FALSE)</f>
        <v>2650</v>
      </c>
      <c r="S307" s="157"/>
      <c r="T307" s="157"/>
      <c r="U307" s="157"/>
      <c r="V307" s="157"/>
      <c r="W307" s="157"/>
      <c r="X307" s="157"/>
      <c r="Y307" s="157"/>
      <c r="Z307" s="157"/>
    </row>
    <row r="308" spans="1:26" x14ac:dyDescent="0.25">
      <c r="A308" s="221" t="s">
        <v>1415</v>
      </c>
      <c r="B308" s="31" t="s">
        <v>1416</v>
      </c>
      <c r="I308" s="31">
        <v>1</v>
      </c>
      <c r="O308" s="40">
        <f>C308*Prislapp!$C$2+D308*Prislapp!$D$2+E308*Prislapp!$E$2+F308*Prislapp!$F$2+G308*Prislapp!$G$2+H308*Prislapp!$H$2+I308*Prislapp!$I$2+J308*Prislapp!$J$2+K308*Prislapp!$K$2+L308*Prislapp!$L$2+M308*Prislapp!$M$2+N308*Prislapp!$N$2</f>
        <v>20766</v>
      </c>
      <c r="P308" s="40">
        <f>C308*Prislapp!$C$3+D308*Prislapp!$D$3+E308*Prislapp!$E$3+F308*Prislapp!$F$3+G308*Prislapp!$G$3+H308*Prislapp!$H$3+I308*Prislapp!$I$3+J308*Prislapp!$J$3+K308*Prislapp!$K$3+M308*Prislapp!$M$3+N308*Prislapp!$N$3+L308*Prislapp!$L$3</f>
        <v>17442</v>
      </c>
      <c r="Q308" s="40">
        <f>C308*Prislapp!$C$5+D308*Prislapp!$D$5+E308*Prislapp!$E$5+F308*Prislapp!$F$5+G308*Prislapp!$G$5+H308*Prislapp!$H$5+I308*Prislapp!$I$5+J308*Prislapp!$J$5+K308*Prislapp!$K$5+L308*Prislapp!$L$5+M308*Prislapp!$M$5+N308*Prislapp!$N$5</f>
        <v>6000</v>
      </c>
      <c r="R308" s="9">
        <f>VLOOKUP(A308,'Ansvar kurs'!$A$2:$B$943,2,FALSE)</f>
        <v>2650</v>
      </c>
      <c r="S308" s="176" t="s">
        <v>1405</v>
      </c>
      <c r="T308" s="157" t="s">
        <v>1417</v>
      </c>
      <c r="U308" s="157"/>
      <c r="V308" s="157"/>
      <c r="W308" s="157"/>
      <c r="X308" s="157"/>
      <c r="Y308" s="157"/>
      <c r="Z308" s="157"/>
    </row>
    <row r="309" spans="1:26" x14ac:dyDescent="0.25">
      <c r="A309" s="31" t="s">
        <v>2006</v>
      </c>
      <c r="B309" s="31" t="s">
        <v>677</v>
      </c>
      <c r="H309" s="31">
        <v>1</v>
      </c>
      <c r="O309" s="40">
        <f>C309*Prislapp!$C$2+D309*Prislapp!$D$2+E309*Prislapp!$E$2+F309*Prislapp!$F$2+G309*Prislapp!$G$2+H309*Prislapp!$H$2+I309*Prislapp!$I$2+J309*Prislapp!$J$2+K309*Prislapp!$K$2+L309*Prislapp!$L$2+M309*Prislapp!$M$2+N309*Prislapp!$N$2</f>
        <v>20757</v>
      </c>
      <c r="P309" s="40">
        <f>C309*Prislapp!$C$3+D309*Prislapp!$D$3+E309*Prislapp!$E$3+F309*Prislapp!$F$3+G309*Prislapp!$G$3+H309*Prislapp!$H$3+I309*Prislapp!$I$3+J309*Prislapp!$J$3+K309*Prislapp!$K$3+M309*Prislapp!$M$3+N309*Prislapp!$N$3+L309*Prislapp!$L$3</f>
        <v>36082</v>
      </c>
      <c r="Q309" s="40">
        <f>C309*Prislapp!$C$5+D309*Prislapp!$D$5+E309*Prislapp!$E$5+F309*Prislapp!$F$5+G309*Prislapp!$G$5+H309*Prislapp!$H$5+I309*Prislapp!$I$5+J309*Prislapp!$J$5+K309*Prislapp!$K$5+L309*Prislapp!$L$5+M309*Prislapp!$M$5+N309*Prislapp!$N$5</f>
        <v>22600</v>
      </c>
      <c r="R309" s="9">
        <f>VLOOKUP(A309,'Ansvar kurs'!$A$2:$B$943,2,FALSE)</f>
        <v>2650</v>
      </c>
      <c r="S309" s="157"/>
      <c r="T309" s="157"/>
      <c r="U309" s="157"/>
      <c r="V309" s="157"/>
      <c r="W309" s="157"/>
      <c r="X309" s="157"/>
      <c r="Y309" s="157"/>
      <c r="Z309" s="157"/>
    </row>
    <row r="310" spans="1:26" x14ac:dyDescent="0.25">
      <c r="A310" s="284" t="s">
        <v>2281</v>
      </c>
      <c r="B310" s="60" t="s">
        <v>2282</v>
      </c>
      <c r="I310" s="370">
        <v>1</v>
      </c>
      <c r="O310" s="40">
        <f>C310*Prislapp!$C$2+D310*Prislapp!$D$2+E310*Prislapp!$E$2+F310*Prislapp!$F$2+G310*Prislapp!$G$2+H310*Prislapp!$H$2+I310*Prislapp!$I$2+J310*Prislapp!$J$2+K310*Prislapp!$K$2+L310*Prislapp!$L$2+M310*Prislapp!$M$2+N310*Prislapp!$N$2</f>
        <v>20766</v>
      </c>
      <c r="P310" s="40">
        <f>C310*Prislapp!$C$3+D310*Prislapp!$D$3+E310*Prislapp!$E$3+F310*Prislapp!$F$3+G310*Prislapp!$G$3+H310*Prislapp!$H$3+I310*Prislapp!$I$3+J310*Prislapp!$J$3+K310*Prislapp!$K$3+M310*Prislapp!$M$3+N310*Prislapp!$N$3+L310*Prislapp!$L$3</f>
        <v>17442</v>
      </c>
      <c r="Q310" s="40">
        <f>C310*Prislapp!$C$5+D310*Prislapp!$D$5+E310*Prislapp!$E$5+F310*Prislapp!$F$5+G310*Prislapp!$G$5+H310*Prislapp!$H$5+I310*Prislapp!$I$5+J310*Prislapp!$J$5+K310*Prislapp!$K$5+L310*Prislapp!$L$5+M310*Prislapp!$M$5+N310*Prislapp!$N$5</f>
        <v>6000</v>
      </c>
      <c r="R310" s="9">
        <f>VLOOKUP(A310,'Ansvar kurs'!$A$2:$B$943,2,FALSE)</f>
        <v>2650</v>
      </c>
      <c r="S310" s="157"/>
      <c r="T310" s="157"/>
      <c r="U310" s="157"/>
      <c r="V310" s="157"/>
      <c r="W310" s="157"/>
      <c r="X310" s="157"/>
      <c r="Y310" s="157"/>
      <c r="Z310" s="157"/>
    </row>
    <row r="311" spans="1:26" x14ac:dyDescent="0.25">
      <c r="A311" s="284" t="s">
        <v>2097</v>
      </c>
      <c r="B311" s="31" t="s">
        <v>678</v>
      </c>
      <c r="H311" s="57">
        <v>1</v>
      </c>
      <c r="O311" s="40">
        <f>C311*Prislapp!$C$2+D311*Prislapp!$D$2+E311*Prislapp!$E$2+F311*Prislapp!$F$2+G311*Prislapp!$G$2+H311*Prislapp!$H$2+I311*Prislapp!$I$2+J311*Prislapp!$J$2+K311*Prislapp!$K$2+L311*Prislapp!$L$2+M311*Prislapp!$M$2+N311*Prislapp!$N$2</f>
        <v>20757</v>
      </c>
      <c r="P311" s="40">
        <f>C311*Prislapp!$C$3+D311*Prislapp!$D$3+E311*Prislapp!$E$3+F311*Prislapp!$F$3+G311*Prislapp!$G$3+H311*Prislapp!$H$3+I311*Prislapp!$I$3+J311*Prislapp!$J$3+K311*Prislapp!$K$3+M311*Prislapp!$M$3+N311*Prislapp!$N$3+L311*Prislapp!$L$3</f>
        <v>36082</v>
      </c>
      <c r="Q311" s="40">
        <f>C311*Prislapp!$C$5+D311*Prislapp!$D$5+E311*Prislapp!$E$5+F311*Prislapp!$F$5+G311*Prislapp!$G$5+H311*Prislapp!$H$5+I311*Prislapp!$I$5+J311*Prislapp!$J$5+K311*Prislapp!$K$5+L311*Prislapp!$L$5+M311*Prislapp!$M$5+N311*Prislapp!$N$5</f>
        <v>22600</v>
      </c>
      <c r="R311" s="9">
        <f>VLOOKUP(A311,'Ansvar kurs'!$A$2:$B$943,2,FALSE)</f>
        <v>2650</v>
      </c>
      <c r="S311" s="157"/>
      <c r="T311" s="157"/>
      <c r="U311" s="157"/>
      <c r="V311" s="157"/>
      <c r="W311" s="157"/>
      <c r="X311" s="157"/>
      <c r="Y311" s="157"/>
      <c r="Z311" s="157"/>
    </row>
    <row r="312" spans="1:26" x14ac:dyDescent="0.25">
      <c r="A312" s="284" t="s">
        <v>2098</v>
      </c>
      <c r="B312" s="31" t="s">
        <v>1074</v>
      </c>
      <c r="H312" s="57">
        <v>1</v>
      </c>
      <c r="O312" s="40">
        <f>C312*Prislapp!$C$2+D312*Prislapp!$D$2+E312*Prislapp!$E$2+F312*Prislapp!$F$2+G312*Prislapp!$G$2+H312*Prislapp!$H$2+I312*Prislapp!$I$2+J312*Prislapp!$J$2+K312*Prislapp!$K$2+L312*Prislapp!$L$2+M312*Prislapp!$M$2+N312*Prislapp!$N$2</f>
        <v>20757</v>
      </c>
      <c r="P312" s="40">
        <f>C312*Prislapp!$C$3+D312*Prislapp!$D$3+E312*Prislapp!$E$3+F312*Prislapp!$F$3+G312*Prislapp!$G$3+H312*Prislapp!$H$3+I312*Prislapp!$I$3+J312*Prislapp!$J$3+K312*Prislapp!$K$3+M312*Prislapp!$M$3+N312*Prislapp!$N$3+L312*Prislapp!$L$3</f>
        <v>36082</v>
      </c>
      <c r="Q312" s="40">
        <f>C312*Prislapp!$C$5+D312*Prislapp!$D$5+E312*Prislapp!$E$5+F312*Prislapp!$F$5+G312*Prislapp!$G$5+H312*Prislapp!$H$5+I312*Prislapp!$I$5+J312*Prislapp!$J$5+K312*Prislapp!$K$5+L312*Prislapp!$L$5+M312*Prislapp!$M$5+N312*Prislapp!$N$5</f>
        <v>22600</v>
      </c>
      <c r="R312" s="9">
        <f>VLOOKUP(A312,'Ansvar kurs'!$A$2:$B$943,2,FALSE)</f>
        <v>2650</v>
      </c>
      <c r="S312" s="157"/>
      <c r="T312" s="157"/>
      <c r="U312" s="157"/>
      <c r="V312" s="157"/>
      <c r="W312" s="157"/>
      <c r="X312" s="157"/>
      <c r="Y312" s="157"/>
      <c r="Z312" s="157"/>
    </row>
    <row r="313" spans="1:26" x14ac:dyDescent="0.25">
      <c r="A313" s="222" t="s">
        <v>2384</v>
      </c>
      <c r="B313" s="31" t="s">
        <v>2167</v>
      </c>
      <c r="H313" s="57"/>
      <c r="I313" s="31">
        <v>1</v>
      </c>
      <c r="O313" s="40">
        <f>C313*Prislapp!$C$2+D313*Prislapp!$D$2+E313*Prislapp!$E$2+F313*Prislapp!$F$2+G313*Prislapp!$G$2+H313*Prislapp!$H$2+I313*Prislapp!$I$2+J313*Prislapp!$J$2+K313*Prislapp!$K$2+L313*Prislapp!$L$2+M313*Prislapp!$M$2+N313*Prislapp!$N$2</f>
        <v>20766</v>
      </c>
      <c r="P313" s="40">
        <f>C313*Prislapp!$C$3+D313*Prislapp!$D$3+E313*Prislapp!$E$3+F313*Prislapp!$F$3+G313*Prislapp!$G$3+H313*Prislapp!$H$3+I313*Prislapp!$I$3+J313*Prislapp!$J$3+K313*Prislapp!$K$3+M313*Prislapp!$M$3+N313*Prislapp!$N$3+L313*Prislapp!$L$3</f>
        <v>17442</v>
      </c>
      <c r="Q313" s="40">
        <f>C313*Prislapp!$C$5+D313*Prislapp!$D$5+E313*Prislapp!$E$5+F313*Prislapp!$F$5+G313*Prislapp!$G$5+H313*Prislapp!$H$5+I313*Prislapp!$I$5+J313*Prislapp!$J$5+K313*Prislapp!$K$5+L313*Prislapp!$L$5+M313*Prislapp!$M$5+N313*Prislapp!$N$5</f>
        <v>6000</v>
      </c>
      <c r="R313" s="9">
        <f>VLOOKUP(A313,'Ansvar kurs'!$A$2:$B$943,2,FALSE)</f>
        <v>2650</v>
      </c>
      <c r="S313" s="157"/>
      <c r="T313" s="157"/>
      <c r="U313" s="157"/>
      <c r="V313" s="157"/>
      <c r="W313" s="157"/>
      <c r="X313" s="157"/>
      <c r="Y313" s="157"/>
      <c r="Z313" s="157"/>
    </row>
    <row r="314" spans="1:26" x14ac:dyDescent="0.25">
      <c r="A314" s="284" t="s">
        <v>2160</v>
      </c>
      <c r="B314" s="31" t="s">
        <v>2168</v>
      </c>
      <c r="H314" s="57"/>
      <c r="I314" s="31">
        <v>1</v>
      </c>
      <c r="O314" s="40">
        <f>C314*Prislapp!$C$2+D314*Prislapp!$D$2+E314*Prislapp!$E$2+F314*Prislapp!$F$2+G314*Prislapp!$G$2+H314*Prislapp!$H$2+I314*Prislapp!$I$2+J314*Prislapp!$J$2+K314*Prislapp!$K$2+L314*Prislapp!$L$2+M314*Prislapp!$M$2+N314*Prislapp!$N$2</f>
        <v>20766</v>
      </c>
      <c r="P314" s="40">
        <f>C314*Prislapp!$C$3+D314*Prislapp!$D$3+E314*Prislapp!$E$3+F314*Prislapp!$F$3+G314*Prislapp!$G$3+H314*Prislapp!$H$3+I314*Prislapp!$I$3+J314*Prislapp!$J$3+K314*Prislapp!$K$3+M314*Prislapp!$M$3+N314*Prislapp!$N$3+L314*Prislapp!$L$3</f>
        <v>17442</v>
      </c>
      <c r="Q314" s="40">
        <f>C314*Prislapp!$C$5+D314*Prislapp!$D$5+E314*Prislapp!$E$5+F314*Prislapp!$F$5+G314*Prislapp!$G$5+H314*Prislapp!$H$5+I314*Prislapp!$I$5+J314*Prislapp!$J$5+K314*Prislapp!$K$5+L314*Prislapp!$L$5+M314*Prislapp!$M$5+N314*Prislapp!$N$5</f>
        <v>6000</v>
      </c>
      <c r="R314" s="9">
        <f>VLOOKUP(A314,'Ansvar kurs'!$A$2:$B$943,2,FALSE)</f>
        <v>2650</v>
      </c>
      <c r="S314" s="157"/>
      <c r="T314" s="157"/>
      <c r="U314" s="157"/>
      <c r="V314" s="157"/>
      <c r="W314" s="157"/>
      <c r="X314" s="157"/>
      <c r="Y314" s="157"/>
      <c r="Z314" s="157"/>
    </row>
    <row r="315" spans="1:26" x14ac:dyDescent="0.25">
      <c r="A315" s="222" t="s">
        <v>2161</v>
      </c>
      <c r="B315" s="31" t="s">
        <v>2169</v>
      </c>
      <c r="H315" s="57"/>
      <c r="I315" s="31">
        <v>1</v>
      </c>
      <c r="O315" s="40">
        <f>C315*Prislapp!$C$2+D315*Prislapp!$D$2+E315*Prislapp!$E$2+F315*Prislapp!$F$2+G315*Prislapp!$G$2+H315*Prislapp!$H$2+I315*Prislapp!$I$2+J315*Prislapp!$J$2+K315*Prislapp!$K$2+L315*Prislapp!$L$2+M315*Prislapp!$M$2+N315*Prislapp!$N$2</f>
        <v>20766</v>
      </c>
      <c r="P315" s="40">
        <f>C315*Prislapp!$C$3+D315*Prislapp!$D$3+E315*Prislapp!$E$3+F315*Prislapp!$F$3+G315*Prislapp!$G$3+H315*Prislapp!$H$3+I315*Prislapp!$I$3+J315*Prislapp!$J$3+K315*Prislapp!$K$3+M315*Prislapp!$M$3+N315*Prislapp!$N$3+L315*Prislapp!$L$3</f>
        <v>17442</v>
      </c>
      <c r="Q315" s="40">
        <f>C315*Prislapp!$C$5+D315*Prislapp!$D$5+E315*Prislapp!$E$5+F315*Prislapp!$F$5+G315*Prislapp!$G$5+H315*Prislapp!$H$5+I315*Prislapp!$I$5+J315*Prislapp!$J$5+K315*Prislapp!$K$5+L315*Prislapp!$L$5+M315*Prislapp!$M$5+N315*Prislapp!$N$5</f>
        <v>6000</v>
      </c>
      <c r="R315" s="9">
        <f>VLOOKUP(A315,'Ansvar kurs'!$A$2:$B$943,2,FALSE)</f>
        <v>2650</v>
      </c>
      <c r="S315" s="157"/>
      <c r="T315" s="157"/>
      <c r="U315" s="157"/>
      <c r="V315" s="157"/>
      <c r="W315" s="157"/>
      <c r="X315" s="157"/>
      <c r="Y315" s="157"/>
      <c r="Z315" s="157"/>
    </row>
    <row r="316" spans="1:26" x14ac:dyDescent="0.25">
      <c r="A316" s="500" t="s">
        <v>1284</v>
      </c>
      <c r="B316" t="s">
        <v>1311</v>
      </c>
      <c r="D316" s="31">
        <v>1</v>
      </c>
      <c r="O316" s="40">
        <f>C316*Prislapp!$C$2+D316*Prislapp!$D$2+E316*Prislapp!$E$2+F316*Prislapp!$F$2+G316*Prislapp!$G$2+H316*Prislapp!$H$2+I316*Prislapp!$I$2+J316*Prislapp!$J$2+K316*Prislapp!$K$2+L316*Prislapp!$L$2+M316*Prislapp!$M$2+N316*Prislapp!$N$2</f>
        <v>20766</v>
      </c>
      <c r="P316" s="40">
        <f>C316*Prislapp!$C$3+D316*Prislapp!$D$3+E316*Prislapp!$E$3+F316*Prislapp!$F$3+G316*Prislapp!$G$3+H316*Prislapp!$H$3+I316*Prislapp!$I$3+J316*Prislapp!$J$3+K316*Prislapp!$K$3+M316*Prislapp!$M$3+N316*Prislapp!$N$3+L316*Prislapp!$L$3</f>
        <v>17442</v>
      </c>
      <c r="Q316" s="40">
        <f>C316*Prislapp!$C$5+D316*Prislapp!$D$5+E316*Prislapp!$E$5+F316*Prislapp!$F$5+G316*Prislapp!$G$5+H316*Prislapp!$H$5+I316*Prislapp!$I$5+J316*Prislapp!$J$5+K316*Prislapp!$K$5+L316*Prislapp!$L$5+M316*Prislapp!$M$5+N316*Prislapp!$N$5</f>
        <v>6000</v>
      </c>
      <c r="R316" s="9">
        <f>VLOOKUP(A316,'Ansvar kurs'!$A$2:$B$943,2,FALSE)</f>
        <v>1640</v>
      </c>
      <c r="S316" s="157"/>
      <c r="T316" s="157"/>
      <c r="U316" s="157"/>
      <c r="V316" s="157"/>
      <c r="W316" s="157"/>
      <c r="X316" s="157"/>
      <c r="Y316" s="157"/>
      <c r="Z316" s="157"/>
    </row>
    <row r="317" spans="1:26" x14ac:dyDescent="0.25">
      <c r="A317" s="18" t="s">
        <v>2149</v>
      </c>
      <c r="B317" s="37" t="s">
        <v>2213</v>
      </c>
      <c r="F317" s="31">
        <v>1</v>
      </c>
      <c r="O317" s="40">
        <f>C317*Prislapp!$C$2+D317*Prislapp!$D$2+E317*Prislapp!$E$2+F317*Prislapp!$F$2+G317*Prislapp!$G$2+H317*Prislapp!$H$2+I317*Prislapp!$I$2+J317*Prislapp!$J$2+K317*Prislapp!$K$2+L317*Prislapp!$L$2+M317*Prislapp!$M$2+N317*Prislapp!$N$2</f>
        <v>26554</v>
      </c>
      <c r="P317" s="40">
        <f>C317*Prislapp!$C$3+D317*Prislapp!$D$3+E317*Prislapp!$E$3+F317*Prislapp!$F$3+G317*Prislapp!$G$3+H317*Prislapp!$H$3+I317*Prislapp!$I$3+J317*Prislapp!$J$3+K317*Prislapp!$K$3+M317*Prislapp!$M$3+N317*Prislapp!$N$3+L317*Prislapp!$L$3</f>
        <v>33465</v>
      </c>
      <c r="Q317" s="40">
        <f>C317*Prislapp!$C$5+D317*Prislapp!$D$5+E317*Prislapp!$E$5+F317*Prislapp!$F$5+G317*Prislapp!$G$5+H317*Prislapp!$H$5+I317*Prislapp!$I$5+J317*Prislapp!$J$5+K317*Prislapp!$K$5+L317*Prislapp!$L$5+M317*Prislapp!$M$5+N317*Prislapp!$N$5</f>
        <v>6000</v>
      </c>
      <c r="R317" s="9">
        <f>VLOOKUP(A317,'Ansvar kurs'!$A$2:$B$943,2,FALSE)</f>
        <v>2180</v>
      </c>
      <c r="S317" s="157"/>
      <c r="T317" s="157"/>
      <c r="U317" s="157"/>
      <c r="V317" s="157"/>
      <c r="W317" s="157"/>
      <c r="X317" s="157"/>
      <c r="Y317" s="157"/>
      <c r="Z317" s="157"/>
    </row>
    <row r="318" spans="1:26" x14ac:dyDescent="0.25">
      <c r="A318" s="62" t="s">
        <v>2150</v>
      </c>
      <c r="B318" t="s">
        <v>2214</v>
      </c>
      <c r="F318" s="31">
        <v>1</v>
      </c>
      <c r="O318" s="40">
        <f>C318*Prislapp!$C$2+D318*Prislapp!$D$2+E318*Prislapp!$E$2+F318*Prislapp!$F$2+G318*Prislapp!$G$2+H318*Prislapp!$H$2+I318*Prislapp!$I$2+J318*Prislapp!$J$2+K318*Prislapp!$K$2+L318*Prislapp!$L$2+M318*Prislapp!$M$2+N318*Prislapp!$N$2</f>
        <v>26554</v>
      </c>
      <c r="P318" s="40">
        <f>C318*Prislapp!$C$3+D318*Prislapp!$D$3+E318*Prislapp!$E$3+F318*Prislapp!$F$3+G318*Prislapp!$G$3+H318*Prislapp!$H$3+I318*Prislapp!$I$3+J318*Prislapp!$J$3+K318*Prislapp!$K$3+M318*Prislapp!$M$3+N318*Prislapp!$N$3+L318*Prislapp!$L$3</f>
        <v>33465</v>
      </c>
      <c r="Q318" s="40">
        <f>C318*Prislapp!$C$5+D318*Prislapp!$D$5+E318*Prislapp!$E$5+F318*Prislapp!$F$5+G318*Prislapp!$G$5+H318*Prislapp!$H$5+I318*Prislapp!$I$5+J318*Prislapp!$J$5+K318*Prislapp!$K$5+L318*Prislapp!$L$5+M318*Prislapp!$M$5+N318*Prislapp!$N$5</f>
        <v>6000</v>
      </c>
      <c r="R318" s="9">
        <f>VLOOKUP(A318,'Ansvar kurs'!$A$2:$B$943,2,FALSE)</f>
        <v>1630</v>
      </c>
      <c r="S318" s="157"/>
      <c r="T318" s="157"/>
      <c r="U318" s="157"/>
      <c r="V318" s="157"/>
      <c r="W318" s="157"/>
      <c r="X318" s="157"/>
      <c r="Y318" s="157"/>
      <c r="Z318" s="157"/>
    </row>
    <row r="319" spans="1:26" x14ac:dyDescent="0.25">
      <c r="A319" s="62" t="s">
        <v>2253</v>
      </c>
      <c r="B319" t="s">
        <v>2216</v>
      </c>
      <c r="F319" s="31">
        <v>1</v>
      </c>
      <c r="O319" s="40">
        <f>C319*Prislapp!$C$2+D319*Prislapp!$D$2+E319*Prislapp!$E$2+F319*Prislapp!$F$2+G319*Prislapp!$G$2+H319*Prislapp!$H$2+I319*Prislapp!$I$2+J319*Prislapp!$J$2+K319*Prislapp!$K$2+L319*Prislapp!$L$2+M319*Prislapp!$M$2+N319*Prislapp!$N$2</f>
        <v>26554</v>
      </c>
      <c r="P319" s="40">
        <f>C319*Prislapp!$C$3+D319*Prislapp!$D$3+E319*Prislapp!$E$3+F319*Prislapp!$F$3+G319*Prislapp!$G$3+H319*Prislapp!$H$3+I319*Prislapp!$I$3+J319*Prislapp!$J$3+K319*Prislapp!$K$3+M319*Prislapp!$M$3+N319*Prislapp!$N$3+L319*Prislapp!$L$3</f>
        <v>33465</v>
      </c>
      <c r="Q319" s="40">
        <f>C319*Prislapp!$C$5+D319*Prislapp!$D$5+E319*Prislapp!$E$5+F319*Prislapp!$F$5+G319*Prislapp!$G$5+H319*Prislapp!$H$5+I319*Prislapp!$I$5+J319*Prislapp!$J$5+K319*Prislapp!$K$5+L319*Prislapp!$L$5+M319*Prislapp!$M$5+N319*Prislapp!$N$5</f>
        <v>6000</v>
      </c>
      <c r="R319" s="9">
        <f>VLOOKUP(A319,'Ansvar kurs'!$A$2:$B$943,2,FALSE)</f>
        <v>5740</v>
      </c>
      <c r="S319" s="157"/>
      <c r="T319" s="157"/>
      <c r="U319" s="157"/>
      <c r="V319" s="157"/>
      <c r="W319" s="157"/>
      <c r="X319" s="157"/>
      <c r="Y319" s="157"/>
      <c r="Z319" s="157"/>
    </row>
    <row r="320" spans="1:26" x14ac:dyDescent="0.25">
      <c r="A320" s="513" t="s">
        <v>2254</v>
      </c>
      <c r="B320" t="s">
        <v>2215</v>
      </c>
      <c r="K320" s="31">
        <v>1</v>
      </c>
      <c r="O320" s="40">
        <f>C320*Prislapp!$C$2+D320*Prislapp!$D$2+E320*Prislapp!$E$2+F320*Prislapp!$F$2+G320*Prislapp!$G$2+H320*Prislapp!$H$2+I320*Prislapp!$I$2+J320*Prislapp!$J$2+K320*Prislapp!$K$2+L320*Prislapp!$L$2+M320*Prislapp!$M$2+N320*Prislapp!$N$2</f>
        <v>25235</v>
      </c>
      <c r="P320" s="40">
        <f>C320*Prislapp!$C$3+D320*Prislapp!$D$3+E320*Prislapp!$E$3+F320*Prislapp!$F$3+G320*Prislapp!$G$3+H320*Prislapp!$H$3+I320*Prislapp!$I$3+J320*Prislapp!$J$3+K320*Prislapp!$K$3+M320*Prislapp!$M$3+N320*Prislapp!$N$3+L320*Prislapp!$L$3</f>
        <v>27976</v>
      </c>
      <c r="Q320" s="40">
        <f>C320*Prislapp!$C$5+D320*Prislapp!$D$5+E320*Prislapp!$E$5+F320*Prislapp!$F$5+G320*Prislapp!$G$5+H320*Prislapp!$H$5+I320*Prislapp!$I$5+J320*Prislapp!$J$5+K320*Prislapp!$K$5+L320*Prislapp!$L$5+M320*Prislapp!$M$5+N320*Prislapp!$N$5</f>
        <v>3600</v>
      </c>
      <c r="R320" s="9">
        <f>VLOOKUP(A320,'Ansvar kurs'!$A$2:$B$943,2,FALSE)</f>
        <v>1650</v>
      </c>
      <c r="S320" s="157"/>
      <c r="T320" s="157"/>
      <c r="U320" s="157"/>
      <c r="V320" s="157"/>
      <c r="W320" s="157"/>
      <c r="X320" s="157"/>
      <c r="Y320" s="157"/>
      <c r="Z320" s="157"/>
    </row>
    <row r="321" spans="1:26" x14ac:dyDescent="0.25">
      <c r="A321" s="513" t="s">
        <v>2414</v>
      </c>
      <c r="B321" t="s">
        <v>2413</v>
      </c>
      <c r="F321" s="31">
        <v>1</v>
      </c>
      <c r="O321" s="40">
        <f>C321*Prislapp!$C$2+D321*Prislapp!$D$2+E321*Prislapp!$E$2+F321*Prislapp!$F$2+G321*Prislapp!$G$2+H321*Prislapp!$H$2+I321*Prislapp!$I$2+J321*Prislapp!$J$2+K321*Prislapp!$K$2+L321*Prislapp!$L$2+M321*Prislapp!$M$2+N321*Prislapp!$N$2</f>
        <v>26554</v>
      </c>
      <c r="P321" s="40">
        <f>C321*Prislapp!$C$3+D321*Prislapp!$D$3+E321*Prislapp!$E$3+F321*Prislapp!$F$3+G321*Prislapp!$G$3+H321*Prislapp!$H$3+I321*Prislapp!$I$3+J321*Prislapp!$J$3+K321*Prislapp!$K$3+M321*Prislapp!$M$3+N321*Prislapp!$N$3+L321*Prislapp!$L$3</f>
        <v>33465</v>
      </c>
      <c r="Q321" s="40">
        <f>C321*Prislapp!$C$5+D321*Prislapp!$D$5+E321*Prislapp!$E$5+F321*Prislapp!$F$5+G321*Prislapp!$G$5+H321*Prislapp!$H$5+I321*Prislapp!$I$5+J321*Prislapp!$J$5+K321*Prislapp!$K$5+L321*Prislapp!$L$5+M321*Prislapp!$M$5+N321*Prislapp!$N$5</f>
        <v>6000</v>
      </c>
      <c r="R321" s="9">
        <f>VLOOKUP(A321,'Ansvar kurs'!$A$2:$B$943,2,FALSE)</f>
        <v>5740</v>
      </c>
      <c r="S321" s="157"/>
      <c r="T321" s="157"/>
      <c r="U321" s="157"/>
      <c r="V321" s="157"/>
      <c r="W321" s="157"/>
      <c r="X321" s="157"/>
      <c r="Y321" s="157"/>
      <c r="Z321" s="157"/>
    </row>
    <row r="322" spans="1:26" x14ac:dyDescent="0.25">
      <c r="A322" s="513" t="s">
        <v>2415</v>
      </c>
      <c r="B322" t="s">
        <v>2416</v>
      </c>
      <c r="F322" s="31">
        <v>1</v>
      </c>
      <c r="O322" s="40">
        <f>C322*Prislapp!$C$2+D322*Prislapp!$D$2+E322*Prislapp!$E$2+F322*Prislapp!$F$2+G322*Prislapp!$G$2+H322*Prislapp!$H$2+I322*Prislapp!$I$2+J322*Prislapp!$J$2+K322*Prislapp!$K$2+L322*Prislapp!$L$2+M322*Prislapp!$M$2+N322*Prislapp!$N$2</f>
        <v>26554</v>
      </c>
      <c r="P322" s="40">
        <f>C322*Prislapp!$C$3+D322*Prislapp!$D$3+E322*Prislapp!$E$3+F322*Prislapp!$F$3+G322*Prislapp!$G$3+H322*Prislapp!$H$3+I322*Prislapp!$I$3+J322*Prislapp!$J$3+K322*Prislapp!$K$3+M322*Prislapp!$M$3+N322*Prislapp!$N$3+L322*Prislapp!$L$3</f>
        <v>33465</v>
      </c>
      <c r="Q322" s="40">
        <f>C322*Prislapp!$C$5+D322*Prislapp!$D$5+E322*Prislapp!$E$5+F322*Prislapp!$F$5+G322*Prislapp!$G$5+H322*Prislapp!$H$5+I322*Prislapp!$I$5+J322*Prislapp!$J$5+K322*Prislapp!$K$5+L322*Prislapp!$L$5+M322*Prislapp!$M$5+N322*Prislapp!$N$5</f>
        <v>6000</v>
      </c>
      <c r="R322" s="9">
        <f>VLOOKUP(A322,'Ansvar kurs'!$A$2:$B$943,2,FALSE)</f>
        <v>5740</v>
      </c>
      <c r="S322" s="157"/>
      <c r="T322" s="157"/>
      <c r="U322" s="157"/>
      <c r="V322" s="157"/>
      <c r="W322" s="157"/>
      <c r="X322" s="157"/>
      <c r="Y322" s="157"/>
      <c r="Z322" s="157"/>
    </row>
    <row r="323" spans="1:26" x14ac:dyDescent="0.25">
      <c r="A323" s="513" t="s">
        <v>2417</v>
      </c>
      <c r="B323" t="s">
        <v>2418</v>
      </c>
      <c r="F323" s="31">
        <v>1</v>
      </c>
      <c r="O323" s="40">
        <f>C323*Prislapp!$C$2+D323*Prislapp!$D$2+E323*Prislapp!$E$2+F323*Prislapp!$F$2+G323*Prislapp!$G$2+H323*Prislapp!$H$2+I323*Prislapp!$I$2+J323*Prislapp!$J$2+K323*Prislapp!$K$2+L323*Prislapp!$L$2+M323*Prislapp!$M$2+N323*Prislapp!$N$2</f>
        <v>26554</v>
      </c>
      <c r="P323" s="40">
        <f>C323*Prislapp!$C$3+D323*Prislapp!$D$3+E323*Prislapp!$E$3+F323*Prislapp!$F$3+G323*Prislapp!$G$3+H323*Prislapp!$H$3+I323*Prislapp!$I$3+J323*Prislapp!$J$3+K323*Prislapp!$K$3+M323*Prislapp!$M$3+N323*Prislapp!$N$3+L323*Prislapp!$L$3</f>
        <v>33465</v>
      </c>
      <c r="Q323" s="40">
        <f>C323*Prislapp!$C$5+D323*Prislapp!$D$5+E323*Prislapp!$E$5+F323*Prislapp!$F$5+G323*Prislapp!$G$5+H323*Prislapp!$H$5+I323*Prislapp!$I$5+J323*Prislapp!$J$5+K323*Prislapp!$K$5+L323*Prislapp!$L$5+M323*Prislapp!$M$5+N323*Prislapp!$N$5</f>
        <v>6000</v>
      </c>
      <c r="R323" s="9">
        <f>VLOOKUP(A323,'Ansvar kurs'!$A$2:$B$943,2,FALSE)</f>
        <v>2180</v>
      </c>
      <c r="S323" s="157"/>
      <c r="T323" s="157"/>
      <c r="U323" s="157"/>
      <c r="V323" s="157"/>
      <c r="W323" s="157"/>
      <c r="X323" s="157"/>
      <c r="Y323" s="157"/>
      <c r="Z323" s="157"/>
    </row>
    <row r="324" spans="1:26" x14ac:dyDescent="0.25">
      <c r="A324" s="513" t="s">
        <v>2419</v>
      </c>
      <c r="B324" t="s">
        <v>2426</v>
      </c>
      <c r="K324" s="31">
        <v>1</v>
      </c>
      <c r="O324" s="40">
        <f>C324*Prislapp!$C$2+D324*Prislapp!$D$2+E324*Prislapp!$E$2+F324*Prislapp!$F$2+G324*Prislapp!$G$2+H324*Prislapp!$H$2+I324*Prislapp!$I$2+J324*Prislapp!$J$2+K324*Prislapp!$K$2+L324*Prislapp!$L$2+M324*Prislapp!$M$2+N324*Prislapp!$N$2</f>
        <v>25235</v>
      </c>
      <c r="P324" s="40">
        <f>C324*Prislapp!$C$3+D324*Prislapp!$D$3+E324*Prislapp!$E$3+F324*Prislapp!$F$3+G324*Prislapp!$G$3+H324*Prislapp!$H$3+I324*Prislapp!$I$3+J324*Prislapp!$J$3+K324*Prislapp!$K$3+M324*Prislapp!$M$3+N324*Prislapp!$N$3+L324*Prislapp!$L$3</f>
        <v>27976</v>
      </c>
      <c r="Q324" s="40">
        <f>C324*Prislapp!$C$5+D324*Prislapp!$D$5+E324*Prislapp!$E$5+F324*Prislapp!$F$5+G324*Prislapp!$G$5+H324*Prislapp!$H$5+I324*Prislapp!$I$5+J324*Prislapp!$J$5+K324*Prislapp!$K$5+L324*Prislapp!$L$5+M324*Prislapp!$M$5+N324*Prislapp!$N$5</f>
        <v>3600</v>
      </c>
      <c r="R324" s="9">
        <f>VLOOKUP(A324,'Ansvar kurs'!$A$2:$B$943,2,FALSE)</f>
        <v>1650</v>
      </c>
      <c r="S324" s="157"/>
      <c r="T324" s="157"/>
      <c r="U324" s="157"/>
      <c r="V324" s="157"/>
      <c r="W324" s="157"/>
      <c r="X324" s="157"/>
      <c r="Y324" s="157"/>
      <c r="Z324" s="157"/>
    </row>
    <row r="325" spans="1:26" x14ac:dyDescent="0.25">
      <c r="A325" s="513" t="s">
        <v>2420</v>
      </c>
      <c r="B325" t="s">
        <v>2427</v>
      </c>
      <c r="F325" s="31">
        <v>1</v>
      </c>
      <c r="O325" s="40">
        <f>C325*Prislapp!$C$2+D325*Prislapp!$D$2+E325*Prislapp!$E$2+F325*Prislapp!$F$2+G325*Prislapp!$G$2+H325*Prislapp!$H$2+I325*Prislapp!$I$2+J325*Prislapp!$J$2+K325*Prislapp!$K$2+L325*Prislapp!$L$2+M325*Prislapp!$M$2+N325*Prislapp!$N$2</f>
        <v>26554</v>
      </c>
      <c r="P325" s="40">
        <f>C325*Prislapp!$C$3+D325*Prislapp!$D$3+E325*Prislapp!$E$3+F325*Prislapp!$F$3+G325*Prislapp!$G$3+H325*Prislapp!$H$3+I325*Prislapp!$I$3+J325*Prislapp!$J$3+K325*Prislapp!$K$3+M325*Prislapp!$M$3+N325*Prislapp!$N$3+L325*Prislapp!$L$3</f>
        <v>33465</v>
      </c>
      <c r="Q325" s="40">
        <f>C325*Prislapp!$C$5+D325*Prislapp!$D$5+E325*Prislapp!$E$5+F325*Prislapp!$F$5+G325*Prislapp!$G$5+H325*Prislapp!$H$5+I325*Prislapp!$I$5+J325*Prislapp!$J$5+K325*Prislapp!$K$5+L325*Prislapp!$L$5+M325*Prislapp!$M$5+N325*Prislapp!$N$5</f>
        <v>6000</v>
      </c>
      <c r="R325" s="9">
        <f>VLOOKUP(A325,'Ansvar kurs'!$A$2:$B$943,2,FALSE)</f>
        <v>1620</v>
      </c>
      <c r="S325" s="157"/>
      <c r="T325" s="157"/>
      <c r="U325" s="157"/>
      <c r="V325" s="157"/>
      <c r="W325" s="157"/>
      <c r="X325" s="157"/>
      <c r="Y325" s="157"/>
      <c r="Z325" s="157"/>
    </row>
    <row r="326" spans="1:26" x14ac:dyDescent="0.25">
      <c r="A326" s="513" t="s">
        <v>2421</v>
      </c>
      <c r="B326" t="s">
        <v>2413</v>
      </c>
      <c r="F326" s="31">
        <v>1</v>
      </c>
      <c r="O326" s="40">
        <f>C326*Prislapp!$C$2+D326*Prislapp!$D$2+E326*Prislapp!$E$2+F326*Prislapp!$F$2+G326*Prislapp!$G$2+H326*Prislapp!$H$2+I326*Prislapp!$I$2+J326*Prislapp!$J$2+K326*Prislapp!$K$2+L326*Prislapp!$L$2+M326*Prislapp!$M$2+N326*Prislapp!$N$2</f>
        <v>26554</v>
      </c>
      <c r="P326" s="40">
        <f>C326*Prislapp!$C$3+D326*Prislapp!$D$3+E326*Prislapp!$E$3+F326*Prislapp!$F$3+G326*Prislapp!$G$3+H326*Prislapp!$H$3+I326*Prislapp!$I$3+J326*Prislapp!$J$3+K326*Prislapp!$K$3+M326*Prislapp!$M$3+N326*Prislapp!$N$3+L326*Prislapp!$L$3</f>
        <v>33465</v>
      </c>
      <c r="Q326" s="40">
        <f>C326*Prislapp!$C$5+D326*Prislapp!$D$5+E326*Prislapp!$E$5+F326*Prislapp!$F$5+G326*Prislapp!$G$5+H326*Prislapp!$H$5+I326*Prislapp!$I$5+J326*Prislapp!$J$5+K326*Prislapp!$K$5+L326*Prislapp!$L$5+M326*Prislapp!$M$5+N326*Prislapp!$N$5</f>
        <v>6000</v>
      </c>
      <c r="R326" s="9">
        <f>VLOOKUP(A326,'Ansvar kurs'!$A$2:$B$943,2,FALSE)</f>
        <v>1620</v>
      </c>
      <c r="S326" s="157"/>
      <c r="T326" s="157"/>
      <c r="U326" s="157"/>
      <c r="V326" s="157"/>
      <c r="W326" s="157"/>
      <c r="X326" s="157"/>
      <c r="Y326" s="157"/>
      <c r="Z326" s="157"/>
    </row>
    <row r="327" spans="1:26" x14ac:dyDescent="0.25">
      <c r="A327" s="513" t="s">
        <v>2422</v>
      </c>
      <c r="B327" t="s">
        <v>2413</v>
      </c>
      <c r="F327" s="31">
        <v>1</v>
      </c>
      <c r="O327" s="40">
        <f>C327*Prislapp!$C$2+D327*Prislapp!$D$2+E327*Prislapp!$E$2+F327*Prislapp!$F$2+G327*Prislapp!$G$2+H327*Prislapp!$H$2+I327*Prislapp!$I$2+J327*Prislapp!$J$2+K327*Prislapp!$K$2+L327*Prislapp!$L$2+M327*Prislapp!$M$2+N327*Prislapp!$N$2</f>
        <v>26554</v>
      </c>
      <c r="P327" s="40">
        <f>C327*Prislapp!$C$3+D327*Prislapp!$D$3+E327*Prislapp!$E$3+F327*Prislapp!$F$3+G327*Prislapp!$G$3+H327*Prislapp!$H$3+I327*Prislapp!$I$3+J327*Prislapp!$J$3+K327*Prislapp!$K$3+M327*Prislapp!$M$3+N327*Prislapp!$N$3+L327*Prislapp!$L$3</f>
        <v>33465</v>
      </c>
      <c r="Q327" s="40">
        <f>C327*Prislapp!$C$5+D327*Prislapp!$D$5+E327*Prislapp!$E$5+F327*Prislapp!$F$5+G327*Prislapp!$G$5+H327*Prislapp!$H$5+I327*Prislapp!$I$5+J327*Prislapp!$J$5+K327*Prislapp!$K$5+L327*Prislapp!$L$5+M327*Prislapp!$M$5+N327*Prislapp!$N$5</f>
        <v>6000</v>
      </c>
      <c r="R327" s="9">
        <f>VLOOKUP(A327,'Ansvar kurs'!$A$2:$B$943,2,FALSE)</f>
        <v>2650</v>
      </c>
      <c r="S327" s="157"/>
      <c r="T327" s="157"/>
      <c r="U327" s="157"/>
      <c r="V327" s="157"/>
      <c r="W327" s="157"/>
      <c r="X327" s="157"/>
      <c r="Y327" s="157"/>
      <c r="Z327" s="157"/>
    </row>
    <row r="328" spans="1:26" x14ac:dyDescent="0.25">
      <c r="A328" s="513" t="s">
        <v>2423</v>
      </c>
      <c r="B328" t="s">
        <v>2428</v>
      </c>
      <c r="K328" s="31">
        <v>1</v>
      </c>
      <c r="O328" s="40">
        <f>C328*Prislapp!$C$2+D328*Prislapp!$D$2+E328*Prislapp!$E$2+F328*Prislapp!$F$2+G328*Prislapp!$G$2+H328*Prislapp!$H$2+I328*Prislapp!$I$2+J328*Prislapp!$J$2+K328*Prislapp!$K$2+L328*Prislapp!$L$2+M328*Prislapp!$M$2+N328*Prislapp!$N$2</f>
        <v>25235</v>
      </c>
      <c r="P328" s="40">
        <f>C328*Prislapp!$C$3+D328*Prislapp!$D$3+E328*Prislapp!$E$3+F328*Prislapp!$F$3+G328*Prislapp!$G$3+H328*Prislapp!$H$3+I328*Prislapp!$I$3+J328*Prislapp!$J$3+K328*Prislapp!$K$3+M328*Prislapp!$M$3+N328*Prislapp!$N$3+L328*Prislapp!$L$3</f>
        <v>27976</v>
      </c>
      <c r="Q328" s="40">
        <f>C328*Prislapp!$C$5+D328*Prislapp!$D$5+E328*Prislapp!$E$5+F328*Prislapp!$F$5+G328*Prislapp!$G$5+H328*Prislapp!$H$5+I328*Prislapp!$I$5+J328*Prislapp!$J$5+K328*Prislapp!$K$5+L328*Prislapp!$L$5+M328*Prislapp!$M$5+N328*Prislapp!$N$5</f>
        <v>3600</v>
      </c>
      <c r="R328" s="9">
        <f>VLOOKUP(A328,'Ansvar kurs'!$A$2:$B$943,2,FALSE)</f>
        <v>1650</v>
      </c>
      <c r="S328" s="157"/>
      <c r="T328" s="157"/>
      <c r="U328" s="157"/>
      <c r="V328" s="157"/>
      <c r="W328" s="157"/>
      <c r="X328" s="157"/>
      <c r="Y328" s="157"/>
      <c r="Z328" s="157"/>
    </row>
    <row r="329" spans="1:26" x14ac:dyDescent="0.25">
      <c r="A329" s="513" t="s">
        <v>2424</v>
      </c>
      <c r="B329" t="s">
        <v>2427</v>
      </c>
      <c r="F329" s="31">
        <v>1</v>
      </c>
      <c r="O329" s="40">
        <f>C329*Prislapp!$C$2+D329*Prislapp!$D$2+E329*Prislapp!$E$2+F329*Prislapp!$F$2+G329*Prislapp!$G$2+H329*Prislapp!$H$2+I329*Prislapp!$I$2+J329*Prislapp!$J$2+K329*Prislapp!$K$2+L329*Prislapp!$L$2+M329*Prislapp!$M$2+N329*Prislapp!$N$2</f>
        <v>26554</v>
      </c>
      <c r="P329" s="40">
        <f>C329*Prislapp!$C$3+D329*Prislapp!$D$3+E329*Prislapp!$E$3+F329*Prislapp!$F$3+G329*Prislapp!$G$3+H329*Prislapp!$H$3+I329*Prislapp!$I$3+J329*Prislapp!$J$3+K329*Prislapp!$K$3+M329*Prislapp!$M$3+N329*Prislapp!$N$3+L329*Prislapp!$L$3</f>
        <v>33465</v>
      </c>
      <c r="Q329" s="40">
        <f>C329*Prislapp!$C$5+D329*Prislapp!$D$5+E329*Prislapp!$E$5+F329*Prislapp!$F$5+G329*Prislapp!$G$5+H329*Prislapp!$H$5+I329*Prislapp!$I$5+J329*Prislapp!$J$5+K329*Prislapp!$K$5+L329*Prislapp!$L$5+M329*Prislapp!$M$5+N329*Prislapp!$N$5</f>
        <v>6000</v>
      </c>
      <c r="R329" s="9">
        <f>VLOOKUP(A329,'Ansvar kurs'!$A$2:$B$943,2,FALSE)</f>
        <v>1650</v>
      </c>
      <c r="S329" s="157"/>
      <c r="T329" s="157"/>
      <c r="U329" s="157"/>
      <c r="V329" s="157"/>
      <c r="W329" s="157"/>
      <c r="X329" s="157"/>
      <c r="Y329" s="157"/>
      <c r="Z329" s="157"/>
    </row>
    <row r="330" spans="1:26" x14ac:dyDescent="0.25">
      <c r="A330" s="513" t="s">
        <v>2425</v>
      </c>
      <c r="B330" t="s">
        <v>2418</v>
      </c>
      <c r="F330" s="31">
        <v>1</v>
      </c>
      <c r="O330" s="40">
        <f>C330*Prislapp!$C$2+D330*Prislapp!$D$2+E330*Prislapp!$E$2+F330*Prislapp!$F$2+G330*Prislapp!$G$2+H330*Prislapp!$H$2+I330*Prislapp!$I$2+J330*Prislapp!$J$2+K330*Prislapp!$K$2+L330*Prislapp!$L$2+M330*Prislapp!$M$2+N330*Prislapp!$N$2</f>
        <v>26554</v>
      </c>
      <c r="P330" s="40">
        <f>C330*Prislapp!$C$3+D330*Prislapp!$D$3+E330*Prislapp!$E$3+F330*Prislapp!$F$3+G330*Prislapp!$G$3+H330*Prislapp!$H$3+I330*Prislapp!$I$3+J330*Prislapp!$J$3+K330*Prislapp!$K$3+M330*Prislapp!$M$3+N330*Prislapp!$N$3+L330*Prislapp!$L$3</f>
        <v>33465</v>
      </c>
      <c r="Q330" s="40">
        <f>C330*Prislapp!$C$5+D330*Prislapp!$D$5+E330*Prislapp!$E$5+F330*Prislapp!$F$5+G330*Prislapp!$G$5+H330*Prislapp!$H$5+I330*Prislapp!$I$5+J330*Prislapp!$J$5+K330*Prislapp!$K$5+L330*Prislapp!$L$5+M330*Prislapp!$M$5+N330*Prislapp!$N$5</f>
        <v>6000</v>
      </c>
      <c r="R330" s="9">
        <f>VLOOKUP(A330,'Ansvar kurs'!$A$2:$B$943,2,FALSE)</f>
        <v>1650</v>
      </c>
      <c r="S330" s="157"/>
      <c r="T330" s="157"/>
      <c r="U330" s="157"/>
      <c r="V330" s="157"/>
      <c r="W330" s="157"/>
      <c r="X330" s="157"/>
      <c r="Y330" s="157"/>
      <c r="Z330" s="157"/>
    </row>
    <row r="331" spans="1:26" x14ac:dyDescent="0.25">
      <c r="A331" s="513" t="s">
        <v>2217</v>
      </c>
      <c r="B331" t="s">
        <v>2219</v>
      </c>
      <c r="F331" s="31">
        <v>1</v>
      </c>
      <c r="O331" s="40">
        <f>C331*Prislapp!$C$2+D331*Prislapp!$D$2+E331*Prislapp!$E$2+F331*Prislapp!$F$2+G331*Prislapp!$G$2+H331*Prislapp!$H$2+I331*Prislapp!$I$2+J331*Prislapp!$J$2+K331*Prislapp!$K$2+L331*Prislapp!$L$2+M331*Prislapp!$M$2+N331*Prislapp!$N$2</f>
        <v>26554</v>
      </c>
      <c r="P331" s="40">
        <f>C331*Prislapp!$C$3+D331*Prislapp!$D$3+E331*Prislapp!$E$3+F331*Prislapp!$F$3+G331*Prislapp!$G$3+H331*Prislapp!$H$3+I331*Prislapp!$I$3+J331*Prislapp!$J$3+K331*Prislapp!$K$3+M331*Prislapp!$M$3+N331*Prislapp!$N$3+L331*Prislapp!$L$3</f>
        <v>33465</v>
      </c>
      <c r="Q331" s="40">
        <f>C331*Prislapp!$C$5+D331*Prislapp!$D$5+E331*Prislapp!$E$5+F331*Prislapp!$F$5+G331*Prislapp!$G$5+H331*Prislapp!$H$5+I331*Prislapp!$I$5+J331*Prislapp!$J$5+K331*Prislapp!$K$5+L331*Prislapp!$L$5+M331*Prislapp!$M$5+N331*Prislapp!$N$5</f>
        <v>6000</v>
      </c>
      <c r="R331" s="9">
        <f>VLOOKUP(A331,'Ansvar kurs'!$A$2:$B$943,2,FALSE)</f>
        <v>6000</v>
      </c>
      <c r="S331" s="157"/>
      <c r="T331" s="157"/>
      <c r="U331" s="157"/>
      <c r="V331" s="157"/>
      <c r="W331" s="157"/>
      <c r="X331" s="157"/>
      <c r="Y331" s="157"/>
      <c r="Z331" s="157"/>
    </row>
    <row r="332" spans="1:26" x14ac:dyDescent="0.25">
      <c r="A332" s="513" t="s">
        <v>2255</v>
      </c>
      <c r="B332" t="s">
        <v>2218</v>
      </c>
      <c r="K332" s="31">
        <v>1</v>
      </c>
      <c r="O332" s="40">
        <f>C332*Prislapp!$C$2+D332*Prislapp!$D$2+E332*Prislapp!$E$2+F332*Prislapp!$F$2+G332*Prislapp!$G$2+H332*Prislapp!$H$2+I332*Prislapp!$I$2+J332*Prislapp!$J$2+K332*Prislapp!$K$2+L332*Prislapp!$L$2+M332*Prislapp!$M$2+N332*Prislapp!$N$2</f>
        <v>25235</v>
      </c>
      <c r="P332" s="40">
        <f>C332*Prislapp!$C$3+D332*Prislapp!$D$3+E332*Prislapp!$E$3+F332*Prislapp!$F$3+G332*Prislapp!$G$3+H332*Prislapp!$H$3+I332*Prislapp!$I$3+J332*Prislapp!$J$3+K332*Prislapp!$K$3+M332*Prislapp!$M$3+N332*Prislapp!$N$3+L332*Prislapp!$L$3</f>
        <v>27976</v>
      </c>
      <c r="Q332" s="40">
        <f>C332*Prislapp!$C$5+D332*Prislapp!$D$5+E332*Prislapp!$E$5+F332*Prislapp!$F$5+G332*Prislapp!$G$5+H332*Prislapp!$H$5+I332*Prislapp!$I$5+J332*Prislapp!$J$5+K332*Prislapp!$K$5+L332*Prislapp!$L$5+M332*Prislapp!$M$5+N332*Prislapp!$N$5</f>
        <v>3600</v>
      </c>
      <c r="R332" s="9">
        <f>VLOOKUP(A332,'Ansvar kurs'!$A$2:$B$943,2,FALSE)</f>
        <v>1650</v>
      </c>
      <c r="S332" s="157"/>
      <c r="T332" s="157"/>
      <c r="U332" s="157"/>
      <c r="V332" s="157"/>
      <c r="W332" s="157"/>
      <c r="X332" s="157"/>
      <c r="Y332" s="157"/>
      <c r="Z332" s="157"/>
    </row>
    <row r="333" spans="1:26" x14ac:dyDescent="0.25">
      <c r="A333" s="157" t="s">
        <v>767</v>
      </c>
      <c r="B333" s="31" t="s">
        <v>1153</v>
      </c>
      <c r="D333" s="31">
        <v>1</v>
      </c>
      <c r="O333" s="40">
        <f>C333*Prislapp!$C$2+D333*Prislapp!$D$2+E333*Prislapp!$E$2+F333*Prislapp!$F$2+G333*Prislapp!$G$2+H333*Prislapp!$H$2+I333*Prislapp!$I$2+J333*Prislapp!$J$2+K333*Prislapp!$K$2+L333*Prislapp!$L$2+M333*Prislapp!$M$2+N333*Prislapp!$N$2</f>
        <v>20766</v>
      </c>
      <c r="P333" s="40">
        <f>C333*Prislapp!$C$3+D333*Prislapp!$D$3+E333*Prislapp!$E$3+F333*Prislapp!$F$3+G333*Prislapp!$G$3+H333*Prislapp!$H$3+I333*Prislapp!$I$3+J333*Prislapp!$J$3+K333*Prislapp!$K$3+M333*Prislapp!$M$3+N333*Prislapp!$N$3+L333*Prislapp!$L$3</f>
        <v>17442</v>
      </c>
      <c r="Q333" s="40">
        <f>C333*Prislapp!$C$5+D333*Prislapp!$D$5+E333*Prislapp!$E$5+F333*Prislapp!$F$5+G333*Prislapp!$G$5+H333*Prislapp!$H$5+I333*Prislapp!$I$5+J333*Prislapp!$J$5+K333*Prislapp!$K$5+L333*Prislapp!$L$5+M333*Prislapp!$M$5+N333*Prislapp!$N$5</f>
        <v>6000</v>
      </c>
      <c r="R333" s="9">
        <f>VLOOKUP(A333,'Ansvar kurs'!$A$2:$B$943,2,FALSE)</f>
        <v>1620</v>
      </c>
      <c r="S333" s="157" t="s">
        <v>1276</v>
      </c>
      <c r="T333" s="157"/>
      <c r="U333" s="157"/>
      <c r="V333" s="157"/>
      <c r="W333" s="157"/>
      <c r="X333" s="157"/>
      <c r="Y333" s="157"/>
      <c r="Z333" s="157"/>
    </row>
    <row r="334" spans="1:26" x14ac:dyDescent="0.25">
      <c r="A334" s="157" t="s">
        <v>1057</v>
      </c>
      <c r="B334" s="31" t="s">
        <v>711</v>
      </c>
      <c r="D334" s="31">
        <v>1</v>
      </c>
      <c r="O334" s="40">
        <f>C334*Prislapp!$C$2+D334*Prislapp!$D$2+E334*Prislapp!$E$2+F334*Prislapp!$F$2+G334*Prislapp!$G$2+H334*Prislapp!$H$2+I334*Prislapp!$I$2+J334*Prislapp!$J$2+K334*Prislapp!$K$2+L334*Prislapp!$L$2+M334*Prislapp!$M$2+N334*Prislapp!$N$2</f>
        <v>20766</v>
      </c>
      <c r="P334" s="40">
        <f>C334*Prislapp!$C$3+D334*Prislapp!$D$3+E334*Prislapp!$E$3+F334*Prislapp!$F$3+G334*Prislapp!$G$3+H334*Prislapp!$H$3+I334*Prislapp!$I$3+J334*Prislapp!$J$3+K334*Prislapp!$K$3+M334*Prislapp!$M$3+N334*Prislapp!$N$3+L334*Prislapp!$L$3</f>
        <v>17442</v>
      </c>
      <c r="Q334" s="40">
        <f>C334*Prislapp!$C$5+D334*Prislapp!$D$5+E334*Prislapp!$E$5+F334*Prislapp!$F$5+G334*Prislapp!$G$5+H334*Prislapp!$H$5+I334*Prislapp!$I$5+J334*Prislapp!$J$5+K334*Prislapp!$K$5+L334*Prislapp!$L$5+M334*Prislapp!$M$5+N334*Prislapp!$N$5</f>
        <v>6000</v>
      </c>
      <c r="R334" s="9">
        <f>VLOOKUP(A334,'Ansvar kurs'!$A$2:$B$943,2,FALSE)</f>
        <v>1620</v>
      </c>
      <c r="S334" s="157"/>
      <c r="T334" s="157"/>
      <c r="U334" s="157"/>
      <c r="V334" s="157"/>
      <c r="W334" s="157"/>
      <c r="X334" s="157"/>
      <c r="Y334" s="157"/>
      <c r="Z334" s="157"/>
    </row>
    <row r="335" spans="1:26" x14ac:dyDescent="0.25">
      <c r="A335" s="31" t="s">
        <v>1442</v>
      </c>
      <c r="B335" s="31" t="s">
        <v>1441</v>
      </c>
      <c r="D335" s="31">
        <v>1</v>
      </c>
      <c r="O335" s="40">
        <f>C335*Prislapp!$C$2+D335*Prislapp!$D$2+E335*Prislapp!$E$2+F335*Prislapp!$F$2+G335*Prislapp!$G$2+H335*Prislapp!$H$2+I335*Prislapp!$I$2+J335*Prislapp!$J$2+K335*Prislapp!$K$2+L335*Prislapp!$L$2+M335*Prislapp!$M$2+N335*Prislapp!$N$2</f>
        <v>20766</v>
      </c>
      <c r="P335" s="40">
        <f>C335*Prislapp!$C$3+D335*Prislapp!$D$3+E335*Prislapp!$E$3+F335*Prislapp!$F$3+G335*Prislapp!$G$3+H335*Prislapp!$H$3+I335*Prislapp!$I$3+J335*Prislapp!$J$3+K335*Prislapp!$K$3+M335*Prislapp!$M$3+N335*Prislapp!$N$3+L335*Prislapp!$L$3</f>
        <v>17442</v>
      </c>
      <c r="Q335" s="40">
        <f>C335*Prislapp!$C$5+D335*Prislapp!$D$5+E335*Prislapp!$E$5+F335*Prislapp!$F$5+G335*Prislapp!$G$5+H335*Prislapp!$H$5+I335*Prislapp!$I$5+J335*Prislapp!$J$5+K335*Prislapp!$K$5+L335*Prislapp!$L$5+M335*Prislapp!$M$5+N335*Prislapp!$N$5</f>
        <v>6000</v>
      </c>
      <c r="R335" s="9">
        <f>VLOOKUP(A335,'Ansvar kurs'!$A$2:$B$943,2,FALSE)</f>
        <v>1620</v>
      </c>
      <c r="S335" s="157"/>
      <c r="T335" s="157"/>
      <c r="U335" s="157"/>
      <c r="V335" s="157"/>
      <c r="W335" s="157"/>
      <c r="X335" s="157"/>
      <c r="Y335" s="157"/>
      <c r="Z335" s="157"/>
    </row>
    <row r="336" spans="1:26" x14ac:dyDescent="0.25">
      <c r="A336" s="222" t="s">
        <v>1663</v>
      </c>
      <c r="B336" t="s">
        <v>1614</v>
      </c>
      <c r="D336" s="31">
        <v>1</v>
      </c>
      <c r="O336" s="40">
        <f>C336*Prislapp!$C$2+D336*Prislapp!$D$2+E336*Prislapp!$E$2+F336*Prislapp!$F$2+G336*Prislapp!$G$2+H336*Prislapp!$H$2+I336*Prislapp!$I$2+J336*Prislapp!$J$2+K336*Prislapp!$K$2+L336*Prislapp!$L$2+M336*Prislapp!$M$2+N336*Prislapp!$N$2</f>
        <v>20766</v>
      </c>
      <c r="P336" s="40">
        <f>C336*Prislapp!$C$3+D336*Prislapp!$D$3+E336*Prislapp!$E$3+F336*Prislapp!$F$3+G336*Prislapp!$G$3+H336*Prislapp!$H$3+I336*Prislapp!$I$3+J336*Prislapp!$J$3+K336*Prislapp!$K$3+M336*Prislapp!$M$3+N336*Prislapp!$N$3+L336*Prislapp!$L$3</f>
        <v>17442</v>
      </c>
      <c r="Q336" s="40">
        <f>C336*Prislapp!$C$5+D336*Prislapp!$D$5+E336*Prislapp!$E$5+F336*Prislapp!$F$5+G336*Prislapp!$G$5+H336*Prislapp!$H$5+I336*Prislapp!$I$5+J336*Prislapp!$J$5+K336*Prislapp!$K$5+L336*Prislapp!$L$5+M336*Prislapp!$M$5+N336*Prislapp!$N$5</f>
        <v>6000</v>
      </c>
      <c r="R336" s="9">
        <f>VLOOKUP(A336,'Ansvar kurs'!$A$2:$B$943,2,FALSE)</f>
        <v>1620</v>
      </c>
      <c r="S336" s="157"/>
      <c r="T336" s="157"/>
      <c r="U336" s="197"/>
      <c r="V336" s="197"/>
      <c r="W336" s="197"/>
      <c r="X336" s="197"/>
      <c r="Y336" s="197"/>
      <c r="Z336" s="191"/>
    </row>
    <row r="337" spans="1:26" x14ac:dyDescent="0.25">
      <c r="A337" s="222" t="s">
        <v>1771</v>
      </c>
      <c r="B337" t="s">
        <v>1791</v>
      </c>
      <c r="D337" s="31">
        <v>1</v>
      </c>
      <c r="O337" s="40">
        <f>C337*Prislapp!$C$2+D337*Prislapp!$D$2+E337*Prislapp!$E$2+F337*Prislapp!$F$2+G337*Prislapp!$G$2+H337*Prislapp!$H$2+I337*Prislapp!$I$2+J337*Prislapp!$J$2+K337*Prislapp!$K$2+L337*Prislapp!$L$2+M337*Prislapp!$M$2+N337*Prislapp!$N$2</f>
        <v>20766</v>
      </c>
      <c r="P337" s="40">
        <f>C337*Prislapp!$C$3+D337*Prislapp!$D$3+E337*Prislapp!$E$3+F337*Prislapp!$F$3+G337*Prislapp!$G$3+H337*Prislapp!$H$3+I337*Prislapp!$I$3+J337*Prislapp!$J$3+K337*Prislapp!$K$3+M337*Prislapp!$M$3+N337*Prislapp!$N$3+L337*Prislapp!$L$3</f>
        <v>17442</v>
      </c>
      <c r="Q337" s="40">
        <f>C337*Prislapp!$C$5+D337*Prislapp!$D$5+E337*Prislapp!$E$5+F337*Prislapp!$F$5+G337*Prislapp!$G$5+H337*Prislapp!$H$5+I337*Prislapp!$I$5+J337*Prislapp!$J$5+K337*Prislapp!$K$5+L337*Prislapp!$L$5+M337*Prislapp!$M$5+N337*Prislapp!$N$5</f>
        <v>6000</v>
      </c>
      <c r="R337" s="9">
        <f>VLOOKUP(A337,'Ansvar kurs'!$A$2:$B$943,2,FALSE)</f>
        <v>1620</v>
      </c>
      <c r="S337" s="157"/>
      <c r="T337" s="157"/>
      <c r="U337" s="197"/>
      <c r="V337" s="197"/>
      <c r="W337" s="197"/>
      <c r="X337" s="197"/>
      <c r="Y337" s="197"/>
      <c r="Z337" s="191"/>
    </row>
    <row r="338" spans="1:26" x14ac:dyDescent="0.25">
      <c r="A338" s="222" t="s">
        <v>1772</v>
      </c>
      <c r="B338" t="s">
        <v>1792</v>
      </c>
      <c r="D338" s="31">
        <v>1</v>
      </c>
      <c r="O338" s="40">
        <f>C338*Prislapp!$C$2+D338*Prislapp!$D$2+E338*Prislapp!$E$2+F338*Prislapp!$F$2+G338*Prislapp!$G$2+H338*Prislapp!$H$2+I338*Prislapp!$I$2+J338*Prislapp!$J$2+K338*Prislapp!$K$2+L338*Prislapp!$L$2+M338*Prislapp!$M$2+N338*Prislapp!$N$2</f>
        <v>20766</v>
      </c>
      <c r="P338" s="40">
        <f>C338*Prislapp!$C$3+D338*Prislapp!$D$3+E338*Prislapp!$E$3+F338*Prislapp!$F$3+G338*Prislapp!$G$3+H338*Prislapp!$H$3+I338*Prislapp!$I$3+J338*Prislapp!$J$3+K338*Prislapp!$K$3+M338*Prislapp!$M$3+N338*Prislapp!$N$3+L338*Prislapp!$L$3</f>
        <v>17442</v>
      </c>
      <c r="Q338" s="40">
        <f>C338*Prislapp!$C$5+D338*Prislapp!$D$5+E338*Prislapp!$E$5+F338*Prislapp!$F$5+G338*Prislapp!$G$5+H338*Prislapp!$H$5+I338*Prislapp!$I$5+J338*Prislapp!$J$5+K338*Prislapp!$K$5+L338*Prislapp!$L$5+M338*Prislapp!$M$5+N338*Prislapp!$N$5</f>
        <v>6000</v>
      </c>
      <c r="R338" s="9">
        <f>VLOOKUP(A338,'Ansvar kurs'!$A$2:$B$943,2,FALSE)</f>
        <v>1620</v>
      </c>
      <c r="S338" s="157"/>
      <c r="T338" s="157"/>
      <c r="U338" s="197"/>
      <c r="V338" s="197"/>
      <c r="W338" s="197"/>
      <c r="X338" s="197"/>
      <c r="Y338" s="197"/>
      <c r="Z338" s="191"/>
    </row>
    <row r="339" spans="1:26" x14ac:dyDescent="0.25">
      <c r="A339" s="222" t="s">
        <v>1672</v>
      </c>
      <c r="B339" t="s">
        <v>1671</v>
      </c>
      <c r="D339" s="31">
        <v>1</v>
      </c>
      <c r="O339" s="40">
        <f>C339*Prislapp!$C$2+D339*Prislapp!$D$2+E339*Prislapp!$E$2+F339*Prislapp!$F$2+G339*Prislapp!$G$2+H339*Prislapp!$H$2+I339*Prislapp!$I$2+J339*Prislapp!$J$2+K339*Prislapp!$K$2+L339*Prislapp!$L$2+M339*Prislapp!$M$2+N339*Prislapp!$N$2</f>
        <v>20766</v>
      </c>
      <c r="P339" s="40">
        <f>C339*Prislapp!$C$3+D339*Prislapp!$D$3+E339*Prislapp!$E$3+F339*Prislapp!$F$3+G339*Prislapp!$G$3+H339*Prislapp!$H$3+I339*Prislapp!$I$3+J339*Prislapp!$J$3+K339*Prislapp!$K$3+M339*Prislapp!$M$3+N339*Prislapp!$N$3+L339*Prislapp!$L$3</f>
        <v>17442</v>
      </c>
      <c r="Q339" s="40">
        <f>C339*Prislapp!$C$5+D339*Prislapp!$D$5+E339*Prislapp!$E$5+F339*Prislapp!$F$5+G339*Prislapp!$G$5+H339*Prislapp!$H$5+I339*Prislapp!$I$5+J339*Prislapp!$J$5+K339*Prislapp!$K$5+L339*Prislapp!$L$5+M339*Prislapp!$M$5+N339*Prislapp!$N$5</f>
        <v>6000</v>
      </c>
      <c r="R339" s="9">
        <f>VLOOKUP(A339,'Ansvar kurs'!$A$2:$B$943,2,FALSE)</f>
        <v>1620</v>
      </c>
      <c r="S339" s="157" t="s">
        <v>1670</v>
      </c>
      <c r="T339" s="157"/>
      <c r="U339" s="157"/>
      <c r="V339" s="157"/>
      <c r="W339" s="157"/>
      <c r="X339" s="157"/>
      <c r="Y339" s="157"/>
      <c r="Z339" s="157"/>
    </row>
    <row r="340" spans="1:26" x14ac:dyDescent="0.25">
      <c r="A340" s="222" t="s">
        <v>1891</v>
      </c>
      <c r="B340" t="s">
        <v>1153</v>
      </c>
      <c r="D340" s="31">
        <v>1</v>
      </c>
      <c r="O340" s="40">
        <f>C340*Prislapp!$C$2+D340*Prislapp!$D$2+E340*Prislapp!$E$2+F340*Prislapp!$F$2+G340*Prislapp!$G$2+H340*Prislapp!$H$2+I340*Prislapp!$I$2+J340*Prislapp!$J$2+K340*Prislapp!$K$2+L340*Prislapp!$L$2+M340*Prislapp!$M$2+N340*Prislapp!$N$2</f>
        <v>20766</v>
      </c>
      <c r="P340" s="40">
        <f>C340*Prislapp!$C$3+D340*Prislapp!$D$3+E340*Prislapp!$E$3+F340*Prislapp!$F$3+G340*Prislapp!$G$3+H340*Prislapp!$H$3+I340*Prislapp!$I$3+J340*Prislapp!$J$3+K340*Prislapp!$K$3+M340*Prislapp!$M$3+N340*Prislapp!$N$3+L340*Prislapp!$L$3</f>
        <v>17442</v>
      </c>
      <c r="Q340" s="40">
        <f>C340*Prislapp!$C$5+D340*Prislapp!$D$5+E340*Prislapp!$E$5+F340*Prislapp!$F$5+G340*Prislapp!$G$5+H340*Prislapp!$H$5+I340*Prislapp!$I$5+J340*Prislapp!$J$5+K340*Prislapp!$K$5+L340*Prislapp!$L$5+M340*Prislapp!$M$5+N340*Prislapp!$N$5</f>
        <v>6000</v>
      </c>
      <c r="R340" s="9">
        <f>VLOOKUP(A340,'Ansvar kurs'!$A$2:$B$943,2,FALSE)</f>
        <v>1620</v>
      </c>
      <c r="S340" s="157"/>
      <c r="T340" s="157"/>
      <c r="U340" s="157"/>
      <c r="V340" s="157"/>
      <c r="W340" s="157"/>
      <c r="X340" s="157"/>
      <c r="Y340" s="157"/>
      <c r="Z340" s="157"/>
    </row>
    <row r="341" spans="1:26" x14ac:dyDescent="0.25">
      <c r="A341" s="221" t="s">
        <v>470</v>
      </c>
      <c r="B341" s="31" t="s">
        <v>473</v>
      </c>
      <c r="F341" s="31">
        <v>1</v>
      </c>
      <c r="O341" s="40">
        <f>C341*Prislapp!$C$2+D341*Prislapp!$D$2+E341*Prislapp!$E$2+F341*Prislapp!$F$2+G341*Prislapp!$G$2+H341*Prislapp!$H$2+I341*Prislapp!$I$2+J341*Prislapp!$J$2+K341*Prislapp!$K$2+L341*Prislapp!$L$2+M341*Prislapp!$M$2+N341*Prislapp!$N$2</f>
        <v>26554</v>
      </c>
      <c r="P341" s="40">
        <f>C341*Prislapp!$C$3+D341*Prislapp!$D$3+E341*Prislapp!$E$3+F341*Prislapp!$F$3+G341*Prislapp!$G$3+H341*Prislapp!$H$3+I341*Prislapp!$I$3+J341*Prislapp!$J$3+K341*Prislapp!$K$3+M341*Prislapp!$M$3+N341*Prislapp!$N$3+L341*Prislapp!$L$3</f>
        <v>33465</v>
      </c>
      <c r="Q341" s="40">
        <f>C341*Prislapp!$C$5+D341*Prislapp!$D$5+E341*Prislapp!$E$5+F341*Prislapp!$F$5+G341*Prislapp!$G$5+H341*Prislapp!$H$5+I341*Prislapp!$I$5+J341*Prislapp!$J$5+K341*Prislapp!$K$5+L341*Prislapp!$L$5+M341*Prislapp!$M$5+N341*Prislapp!$N$5</f>
        <v>6000</v>
      </c>
      <c r="R341" s="9">
        <f>VLOOKUP(A341,'Ansvar kurs'!$A$2:$B$943,2,FALSE)</f>
        <v>1630</v>
      </c>
      <c r="S341" s="157"/>
      <c r="T341" s="157"/>
      <c r="U341" s="157"/>
      <c r="V341" s="157"/>
      <c r="W341" s="157"/>
      <c r="X341" s="157"/>
      <c r="Y341" s="157"/>
      <c r="Z341" s="157"/>
    </row>
    <row r="342" spans="1:26" x14ac:dyDescent="0.25">
      <c r="A342" s="60" t="s">
        <v>849</v>
      </c>
      <c r="B342" s="31" t="s">
        <v>1154</v>
      </c>
      <c r="D342" s="31">
        <v>1</v>
      </c>
      <c r="O342" s="40">
        <f>C342*Prislapp!$C$2+D342*Prislapp!$D$2+E342*Prislapp!$E$2+F342*Prislapp!$F$2+G342*Prislapp!$G$2+H342*Prislapp!$H$2+I342*Prislapp!$I$2+J342*Prislapp!$J$2+K342*Prislapp!$K$2+L342*Prislapp!$L$2+M342*Prislapp!$M$2+N342*Prislapp!$N$2</f>
        <v>20766</v>
      </c>
      <c r="P342" s="40">
        <f>C342*Prislapp!$C$3+D342*Prislapp!$D$3+E342*Prislapp!$E$3+F342*Prislapp!$F$3+G342*Prislapp!$G$3+H342*Prislapp!$H$3+I342*Prislapp!$I$3+J342*Prislapp!$J$3+K342*Prislapp!$K$3+M342*Prislapp!$M$3+N342*Prislapp!$N$3+L342*Prislapp!$L$3</f>
        <v>17442</v>
      </c>
      <c r="Q342" s="40">
        <f>C342*Prislapp!$C$5+D342*Prislapp!$D$5+E342*Prislapp!$E$5+F342*Prislapp!$F$5+G342*Prislapp!$G$5+H342*Prislapp!$H$5+I342*Prislapp!$I$5+J342*Prislapp!$J$5+K342*Prislapp!$K$5+L342*Prislapp!$L$5+M342*Prislapp!$M$5+N342*Prislapp!$N$5</f>
        <v>6000</v>
      </c>
      <c r="R342" s="9">
        <f>VLOOKUP(A342,'Ansvar kurs'!$A$2:$B$943,2,FALSE)</f>
        <v>1630</v>
      </c>
      <c r="S342" s="157" t="s">
        <v>1276</v>
      </c>
      <c r="T342" s="157"/>
      <c r="U342" s="157"/>
      <c r="V342" s="157"/>
      <c r="W342" s="157"/>
      <c r="X342" s="157"/>
      <c r="Y342" s="157"/>
      <c r="Z342" s="157"/>
    </row>
    <row r="343" spans="1:26" x14ac:dyDescent="0.25">
      <c r="A343" s="60" t="s">
        <v>1124</v>
      </c>
      <c r="B343" s="60" t="s">
        <v>1110</v>
      </c>
      <c r="F343" s="31">
        <v>1</v>
      </c>
      <c r="O343" s="40">
        <f>C343*Prislapp!$C$2+D343*Prislapp!$D$2+E343*Prislapp!$E$2+F343*Prislapp!$F$2+G343*Prislapp!$G$2+H343*Prislapp!$H$2+I343*Prislapp!$I$2+J343*Prislapp!$J$2+K343*Prislapp!$K$2+L343*Prislapp!$L$2+M343*Prislapp!$M$2+N343*Prislapp!$N$2</f>
        <v>26554</v>
      </c>
      <c r="P343" s="40">
        <f>C343*Prislapp!$C$3+D343*Prislapp!$D$3+E343*Prislapp!$E$3+F343*Prislapp!$F$3+G343*Prislapp!$G$3+H343*Prislapp!$H$3+I343*Prislapp!$I$3+J343*Prislapp!$J$3+K343*Prislapp!$K$3+M343*Prislapp!$M$3+N343*Prislapp!$N$3+L343*Prislapp!$L$3</f>
        <v>33465</v>
      </c>
      <c r="Q343" s="40">
        <f>C343*Prislapp!$C$5+D343*Prislapp!$D$5+E343*Prislapp!$E$5+F343*Prislapp!$F$5+G343*Prislapp!$G$5+H343*Prislapp!$H$5+I343*Prislapp!$I$5+J343*Prislapp!$J$5+K343*Prislapp!$K$5+L343*Prislapp!$L$5+M343*Prislapp!$M$5+N343*Prislapp!$N$5</f>
        <v>6000</v>
      </c>
      <c r="R343" s="9">
        <f>VLOOKUP(A343,'Ansvar kurs'!$A$2:$B$943,2,FALSE)</f>
        <v>1630</v>
      </c>
      <c r="S343" s="31" t="s">
        <v>1260</v>
      </c>
      <c r="T343" s="31" t="s">
        <v>1108</v>
      </c>
    </row>
    <row r="344" spans="1:26" x14ac:dyDescent="0.25">
      <c r="A344" s="60" t="s">
        <v>1126</v>
      </c>
      <c r="B344" s="60" t="s">
        <v>1111</v>
      </c>
      <c r="F344" s="31">
        <v>1</v>
      </c>
      <c r="O344" s="40">
        <f>C344*Prislapp!$C$2+D344*Prislapp!$D$2+E344*Prislapp!$E$2+F344*Prislapp!$F$2+G344*Prislapp!$G$2+H344*Prislapp!$H$2+I344*Prislapp!$I$2+J344*Prislapp!$J$2+K344*Prislapp!$K$2+L344*Prislapp!$L$2+M344*Prislapp!$M$2+N344*Prislapp!$N$2</f>
        <v>26554</v>
      </c>
      <c r="P344" s="40">
        <f>C344*Prislapp!$C$3+D344*Prislapp!$D$3+E344*Prislapp!$E$3+F344*Prislapp!$F$3+G344*Prislapp!$G$3+H344*Prislapp!$H$3+I344*Prislapp!$I$3+J344*Prislapp!$J$3+K344*Prislapp!$K$3+M344*Prislapp!$M$3+N344*Prislapp!$N$3+L344*Prislapp!$L$3</f>
        <v>33465</v>
      </c>
      <c r="Q344" s="40">
        <f>C344*Prislapp!$C$5+D344*Prislapp!$D$5+E344*Prislapp!$E$5+F344*Prislapp!$F$5+G344*Prislapp!$G$5+H344*Prislapp!$H$5+I344*Prislapp!$I$5+J344*Prislapp!$J$5+K344*Prislapp!$K$5+L344*Prislapp!$L$5+M344*Prislapp!$M$5+N344*Prislapp!$N$5</f>
        <v>6000</v>
      </c>
      <c r="R344" s="9">
        <f>VLOOKUP(A344,'Ansvar kurs'!$A$2:$B$943,2,FALSE)</f>
        <v>1630</v>
      </c>
      <c r="S344" s="31" t="s">
        <v>1260</v>
      </c>
      <c r="T344" s="31" t="s">
        <v>1108</v>
      </c>
    </row>
    <row r="345" spans="1:26" x14ac:dyDescent="0.25">
      <c r="A345" s="60" t="s">
        <v>2180</v>
      </c>
      <c r="B345" s="60" t="s">
        <v>2181</v>
      </c>
      <c r="F345" s="31">
        <v>1</v>
      </c>
      <c r="O345" s="40">
        <f>C345*Prislapp!$C$2+D345*Prislapp!$D$2+E345*Prislapp!$E$2+F345*Prislapp!$F$2+G345*Prislapp!$G$2+H345*Prislapp!$H$2+I345*Prislapp!$I$2+J345*Prislapp!$J$2+K345*Prislapp!$K$2+L345*Prislapp!$L$2+M345*Prislapp!$M$2+N345*Prislapp!$N$2</f>
        <v>26554</v>
      </c>
      <c r="P345" s="40">
        <f>C345*Prislapp!$C$3+D345*Prislapp!$D$3+E345*Prislapp!$E$3+F345*Prislapp!$F$3+G345*Prislapp!$G$3+H345*Prislapp!$H$3+I345*Prislapp!$I$3+J345*Prislapp!$J$3+K345*Prislapp!$K$3+M345*Prislapp!$M$3+N345*Prislapp!$N$3+L345*Prislapp!$L$3</f>
        <v>33465</v>
      </c>
      <c r="Q345" s="40">
        <f>C345*Prislapp!$C$5+D345*Prislapp!$D$5+E345*Prislapp!$E$5+F345*Prislapp!$F$5+G345*Prislapp!$G$5+H345*Prislapp!$H$5+I345*Prislapp!$I$5+J345*Prislapp!$J$5+K345*Prislapp!$K$5+L345*Prislapp!$L$5+M345*Prislapp!$M$5+N345*Prislapp!$N$5</f>
        <v>6000</v>
      </c>
      <c r="R345" s="9">
        <f>VLOOKUP(A345,'Ansvar kurs'!$A$2:$B$943,2,FALSE)</f>
        <v>1630</v>
      </c>
    </row>
    <row r="346" spans="1:26" x14ac:dyDescent="0.25">
      <c r="A346" s="393" t="s">
        <v>2210</v>
      </c>
      <c r="B346" s="31" t="s">
        <v>2212</v>
      </c>
      <c r="F346" s="31">
        <v>1</v>
      </c>
      <c r="O346" s="40">
        <f>C346*Prislapp!$C$2+D346*Prislapp!$D$2+E346*Prislapp!$E$2+F346*Prislapp!$F$2+G346*Prislapp!$G$2+H346*Prislapp!$H$2+I346*Prislapp!$I$2+J346*Prislapp!$J$2+K346*Prislapp!$K$2+L346*Prislapp!$L$2+M346*Prislapp!$M$2+N346*Prislapp!$N$2</f>
        <v>26554</v>
      </c>
      <c r="P346" s="40">
        <f>C346*Prislapp!$C$3+D346*Prislapp!$D$3+E346*Prislapp!$E$3+F346*Prislapp!$F$3+G346*Prislapp!$G$3+H346*Prislapp!$H$3+I346*Prislapp!$I$3+J346*Prislapp!$J$3+K346*Prislapp!$K$3+M346*Prislapp!$M$3+N346*Prislapp!$N$3+L346*Prislapp!$L$3</f>
        <v>33465</v>
      </c>
      <c r="Q346" s="40">
        <f>C346*Prislapp!$C$5+D346*Prislapp!$D$5+E346*Prislapp!$E$5+F346*Prislapp!$F$5+G346*Prislapp!$G$5+H346*Prislapp!$H$5+I346*Prislapp!$I$5+J346*Prislapp!$J$5+K346*Prislapp!$K$5+L346*Prislapp!$L$5+M346*Prislapp!$M$5+N346*Prislapp!$N$5</f>
        <v>6000</v>
      </c>
      <c r="R346" s="9">
        <f>VLOOKUP(A346,'Ansvar kurs'!$A$2:$B$943,2,FALSE)</f>
        <v>1630</v>
      </c>
      <c r="S346" s="157"/>
      <c r="T346" s="157"/>
      <c r="U346" s="157"/>
      <c r="W346" s="157"/>
      <c r="X346" s="157"/>
      <c r="Y346" s="157"/>
      <c r="Z346" s="157"/>
    </row>
    <row r="347" spans="1:26" x14ac:dyDescent="0.25">
      <c r="A347" s="31" t="s">
        <v>368</v>
      </c>
      <c r="B347" s="31" t="s">
        <v>359</v>
      </c>
      <c r="F347" s="31">
        <v>1</v>
      </c>
      <c r="O347" s="40">
        <f>C347*Prislapp!$C$2+D347*Prislapp!$D$2+E347*Prislapp!$E$2+F347*Prislapp!$F$2+G347*Prislapp!$G$2+H347*Prislapp!$H$2+I347*Prislapp!$I$2+J347*Prislapp!$J$2+K347*Prislapp!$K$2+L347*Prislapp!$L$2+M347*Prislapp!$M$2+N347*Prislapp!$N$2</f>
        <v>26554</v>
      </c>
      <c r="P347" s="40">
        <f>C347*Prislapp!$C$3+D347*Prislapp!$D$3+E347*Prislapp!$E$3+F347*Prislapp!$F$3+G347*Prislapp!$G$3+H347*Prislapp!$H$3+I347*Prislapp!$I$3+J347*Prislapp!$J$3+K347*Prislapp!$K$3+M347*Prislapp!$M$3+N347*Prislapp!$N$3+L347*Prislapp!$L$3</f>
        <v>33465</v>
      </c>
      <c r="Q347" s="40">
        <f>C347*Prislapp!$C$5+D347*Prislapp!$D$5+E347*Prislapp!$E$5+F347*Prislapp!$F$5+G347*Prislapp!$G$5+H347*Prislapp!$H$5+I347*Prislapp!$I$5+J347*Prislapp!$J$5+K347*Prislapp!$K$5+L347*Prislapp!$L$5+M347*Prislapp!$M$5+N347*Prislapp!$N$5</f>
        <v>6000</v>
      </c>
      <c r="R347" s="9">
        <f>VLOOKUP(A347,'Ansvar kurs'!$A$2:$B$943,2,FALSE)</f>
        <v>1640</v>
      </c>
      <c r="S347" s="157"/>
      <c r="T347" s="157"/>
      <c r="U347" s="157"/>
      <c r="V347" s="157"/>
      <c r="W347" s="157"/>
      <c r="X347" s="157"/>
      <c r="Y347" s="157"/>
      <c r="Z347" s="157"/>
    </row>
    <row r="348" spans="1:26" x14ac:dyDescent="0.25">
      <c r="A348" s="31" t="s">
        <v>1097</v>
      </c>
      <c r="B348" s="31" t="s">
        <v>1155</v>
      </c>
      <c r="D348" s="31">
        <v>1</v>
      </c>
      <c r="O348" s="40">
        <f>C348*Prislapp!$C$2+D348*Prislapp!$D$2+E348*Prislapp!$E$2+F348*Prislapp!$F$2+G348*Prislapp!$G$2+H348*Prislapp!$H$2+I348*Prislapp!$I$2+J348*Prislapp!$J$2+K348*Prislapp!$K$2+L348*Prislapp!$L$2+M348*Prislapp!$M$2+N348*Prislapp!$N$2</f>
        <v>20766</v>
      </c>
      <c r="P348" s="40">
        <f>C348*Prislapp!$C$3+D348*Prislapp!$D$3+E348*Prislapp!$E$3+F348*Prislapp!$F$3+G348*Prislapp!$G$3+H348*Prislapp!$H$3+I348*Prislapp!$I$3+J348*Prislapp!$J$3+K348*Prislapp!$K$3+M348*Prislapp!$M$3+N348*Prislapp!$N$3+L348*Prislapp!$L$3</f>
        <v>17442</v>
      </c>
      <c r="Q348" s="40">
        <f>C348*Prislapp!$C$5+D348*Prislapp!$D$5+E348*Prislapp!$E$5+F348*Prislapp!$F$5+G348*Prislapp!$G$5+H348*Prislapp!$H$5+I348*Prislapp!$I$5+J348*Prislapp!$J$5+K348*Prislapp!$K$5+L348*Prislapp!$L$5+M348*Prislapp!$M$5+N348*Prislapp!$N$5</f>
        <v>6000</v>
      </c>
      <c r="R348" s="9">
        <f>VLOOKUP(A348,'Ansvar kurs'!$A$2:$B$943,2,FALSE)</f>
        <v>1640</v>
      </c>
      <c r="S348" s="31" t="s">
        <v>1260</v>
      </c>
      <c r="U348" s="157"/>
      <c r="V348" s="157"/>
      <c r="W348" s="157"/>
      <c r="X348" s="157"/>
      <c r="Y348" s="157"/>
      <c r="Z348" s="157"/>
    </row>
    <row r="349" spans="1:26" x14ac:dyDescent="0.25">
      <c r="A349" s="31" t="s">
        <v>1285</v>
      </c>
      <c r="B349" t="s">
        <v>1312</v>
      </c>
      <c r="D349" s="31">
        <v>1</v>
      </c>
      <c r="O349" s="40">
        <f>C349*Prislapp!$C$2+D349*Prislapp!$D$2+E349*Prislapp!$E$2+F349*Prislapp!$F$2+G349*Prislapp!$G$2+H349*Prislapp!$H$2+I349*Prislapp!$I$2+J349*Prislapp!$J$2+K349*Prislapp!$K$2+L349*Prislapp!$L$2+M349*Prislapp!$M$2+N349*Prislapp!$N$2</f>
        <v>20766</v>
      </c>
      <c r="P349" s="40">
        <f>C349*Prislapp!$C$3+D349*Prislapp!$D$3+E349*Prislapp!$E$3+F349*Prislapp!$F$3+G349*Prislapp!$G$3+H349*Prislapp!$H$3+I349*Prislapp!$I$3+J349*Prislapp!$J$3+K349*Prislapp!$K$3+M349*Prislapp!$M$3+N349*Prislapp!$N$3+L349*Prislapp!$L$3</f>
        <v>17442</v>
      </c>
      <c r="Q349" s="40">
        <f>C349*Prislapp!$C$5+D349*Prislapp!$D$5+E349*Prislapp!$E$5+F349*Prislapp!$F$5+G349*Prislapp!$G$5+H349*Prislapp!$H$5+I349*Prislapp!$I$5+J349*Prislapp!$J$5+K349*Prislapp!$K$5+L349*Prislapp!$L$5+M349*Prislapp!$M$5+N349*Prislapp!$N$5</f>
        <v>6000</v>
      </c>
      <c r="R349" s="9">
        <f>VLOOKUP(A349,'Ansvar kurs'!$A$2:$B$943,2,FALSE)</f>
        <v>1640</v>
      </c>
      <c r="U349" s="157"/>
      <c r="V349" s="157"/>
      <c r="W349" s="157"/>
      <c r="X349" s="157"/>
      <c r="Y349" s="157"/>
      <c r="Z349" s="157"/>
    </row>
    <row r="350" spans="1:26" x14ac:dyDescent="0.25">
      <c r="A350" s="31" t="s">
        <v>1286</v>
      </c>
      <c r="B350" t="s">
        <v>1287</v>
      </c>
      <c r="D350" s="31">
        <v>1</v>
      </c>
      <c r="O350" s="40">
        <f>C350*Prislapp!$C$2+D350*Prislapp!$D$2+E350*Prislapp!$E$2+F350*Prislapp!$F$2+G350*Prislapp!$G$2+H350*Prislapp!$H$2+I350*Prislapp!$I$2+J350*Prislapp!$J$2+K350*Prislapp!$K$2+L350*Prislapp!$L$2+M350*Prislapp!$M$2+N350*Prislapp!$N$2</f>
        <v>20766</v>
      </c>
      <c r="P350" s="40">
        <f>C350*Prislapp!$C$3+D350*Prislapp!$D$3+E350*Prislapp!$E$3+F350*Prislapp!$F$3+G350*Prislapp!$G$3+H350*Prislapp!$H$3+I350*Prislapp!$I$3+J350*Prislapp!$J$3+K350*Prislapp!$K$3+M350*Prislapp!$M$3+N350*Prislapp!$N$3+L350*Prislapp!$L$3</f>
        <v>17442</v>
      </c>
      <c r="Q350" s="40">
        <f>C350*Prislapp!$C$5+D350*Prislapp!$D$5+E350*Prislapp!$E$5+F350*Prislapp!$F$5+G350*Prislapp!$G$5+H350*Prislapp!$H$5+I350*Prislapp!$I$5+J350*Prislapp!$J$5+K350*Prislapp!$K$5+L350*Prislapp!$L$5+M350*Prislapp!$M$5+N350*Prislapp!$N$5</f>
        <v>6000</v>
      </c>
      <c r="R350" s="9">
        <f>VLOOKUP(A350,'Ansvar kurs'!$A$2:$B$943,2,FALSE)</f>
        <v>1640</v>
      </c>
      <c r="U350" s="157"/>
      <c r="V350" s="157"/>
      <c r="W350" s="157"/>
      <c r="X350" s="157"/>
      <c r="Y350" s="157"/>
      <c r="Z350" s="157"/>
    </row>
    <row r="351" spans="1:26" x14ac:dyDescent="0.25">
      <c r="A351" s="31" t="s">
        <v>143</v>
      </c>
      <c r="B351" s="31" t="s">
        <v>681</v>
      </c>
      <c r="D351" s="31">
        <v>0.5</v>
      </c>
      <c r="K351" s="31">
        <v>0.5</v>
      </c>
      <c r="O351" s="40">
        <f>C351*Prislapp!$C$2+D351*Prislapp!$D$2+E351*Prislapp!$E$2+F351*Prislapp!$F$2+G351*Prislapp!$G$2+H351*Prislapp!$H$2+I351*Prislapp!$I$2+J351*Prislapp!$J$2+K351*Prislapp!$K$2+L351*Prislapp!$L$2+M351*Prislapp!$M$2+N351*Prislapp!$N$2</f>
        <v>23000.5</v>
      </c>
      <c r="P351" s="40">
        <f>C351*Prislapp!$C$3+D351*Prislapp!$D$3+E351*Prislapp!$E$3+F351*Prislapp!$F$3+G351*Prislapp!$G$3+H351*Prislapp!$H$3+I351*Prislapp!$I$3+J351*Prislapp!$J$3+K351*Prislapp!$K$3+M351*Prislapp!$M$3+N351*Prislapp!$N$3+L351*Prislapp!$L$3</f>
        <v>22709</v>
      </c>
      <c r="Q351" s="40">
        <f>C351*Prislapp!$C$5+D351*Prislapp!$D$5+E351*Prislapp!$E$5+F351*Prislapp!$F$5+G351*Prislapp!$G$5+H351*Prislapp!$H$5+I351*Prislapp!$I$5+J351*Prislapp!$J$5+K351*Prislapp!$K$5+L351*Prislapp!$L$5+M351*Prislapp!$M$5+N351*Prislapp!$N$5</f>
        <v>4800</v>
      </c>
      <c r="R351" s="9">
        <f>VLOOKUP(A351,'Ansvar kurs'!$A$2:$B$943,2,FALSE)</f>
        <v>1620</v>
      </c>
      <c r="S351" s="157"/>
      <c r="T351" s="157"/>
      <c r="U351" s="157"/>
      <c r="V351" s="157"/>
      <c r="W351" s="157"/>
      <c r="X351" s="157"/>
      <c r="Y351" s="157"/>
      <c r="Z351" s="157"/>
    </row>
    <row r="352" spans="1:26" x14ac:dyDescent="0.25">
      <c r="A352" s="31" t="s">
        <v>93</v>
      </c>
      <c r="B352" s="31" t="s">
        <v>682</v>
      </c>
      <c r="I352" s="31">
        <v>1</v>
      </c>
      <c r="O352" s="40">
        <f>C352*Prislapp!$C$2+D352*Prislapp!$D$2+E352*Prislapp!$E$2+F352*Prislapp!$F$2+G352*Prislapp!$G$2+H352*Prislapp!$H$2+I352*Prislapp!$I$2+J352*Prislapp!$J$2+K352*Prislapp!$K$2+L352*Prislapp!$L$2+M352*Prislapp!$M$2+N352*Prislapp!$N$2</f>
        <v>20766</v>
      </c>
      <c r="P352" s="40">
        <f>C352*Prislapp!$C$3+D352*Prislapp!$D$3+E352*Prislapp!$E$3+F352*Prislapp!$F$3+G352*Prislapp!$G$3+H352*Prislapp!$H$3+I352*Prislapp!$I$3+J352*Prislapp!$J$3+K352*Prislapp!$K$3+M352*Prislapp!$M$3+N352*Prislapp!$N$3+L352*Prislapp!$L$3</f>
        <v>17442</v>
      </c>
      <c r="Q352" s="40">
        <f>C352*Prislapp!$C$5+D352*Prislapp!$D$5+E352*Prislapp!$E$5+F352*Prislapp!$F$5+G352*Prislapp!$G$5+H352*Prislapp!$H$5+I352*Prislapp!$I$5+J352*Prislapp!$J$5+K352*Prislapp!$K$5+L352*Prislapp!$L$5+M352*Prislapp!$M$5+N352*Prislapp!$N$5</f>
        <v>6000</v>
      </c>
      <c r="R352" s="9">
        <f>VLOOKUP(A352,'Ansvar kurs'!$A$2:$B$943,2,FALSE)</f>
        <v>2193</v>
      </c>
      <c r="S352" s="157"/>
      <c r="T352" s="157"/>
      <c r="U352" s="157"/>
      <c r="V352" s="157"/>
      <c r="W352" s="157"/>
      <c r="X352" s="157"/>
      <c r="Y352" s="157"/>
      <c r="Z352" s="157"/>
    </row>
    <row r="353" spans="1:26" x14ac:dyDescent="0.25">
      <c r="A353" s="31" t="s">
        <v>94</v>
      </c>
      <c r="B353" s="31" t="s">
        <v>683</v>
      </c>
      <c r="F353" s="31">
        <v>0.5</v>
      </c>
      <c r="K353" s="31">
        <v>0.5</v>
      </c>
      <c r="O353" s="40">
        <f>C353*Prislapp!$C$2+D353*Prislapp!$D$2+E353*Prislapp!$E$2+F353*Prislapp!$F$2+G353*Prislapp!$G$2+H353*Prislapp!$H$2+I353*Prislapp!$I$2+J353*Prislapp!$J$2+K353*Prislapp!$K$2+L353*Prislapp!$L$2+M353*Prislapp!$M$2+N353*Prislapp!$N$2</f>
        <v>25894.5</v>
      </c>
      <c r="P353" s="40">
        <f>C353*Prislapp!$C$3+D353*Prislapp!$D$3+E353*Prislapp!$E$3+F353*Prislapp!$F$3+G353*Prislapp!$G$3+H353*Prislapp!$H$3+I353*Prislapp!$I$3+J353*Prislapp!$J$3+K353*Prislapp!$K$3+M353*Prislapp!$M$3+N353*Prislapp!$N$3+L353*Prislapp!$L$3</f>
        <v>30720.5</v>
      </c>
      <c r="Q353" s="40">
        <f>C353*Prislapp!$C$5+D353*Prislapp!$D$5+E353*Prislapp!$E$5+F353*Prislapp!$F$5+G353*Prislapp!$G$5+H353*Prislapp!$H$5+I353*Prislapp!$I$5+J353*Prislapp!$J$5+K353*Prislapp!$K$5+L353*Prislapp!$L$5+M353*Prislapp!$M$5+N353*Prislapp!$N$5</f>
        <v>4800</v>
      </c>
      <c r="R353" s="9">
        <f>VLOOKUP(A353,'Ansvar kurs'!$A$2:$B$943,2,FALSE)</f>
        <v>2193</v>
      </c>
      <c r="S353" s="157" t="s">
        <v>916</v>
      </c>
      <c r="U353" s="157"/>
      <c r="W353" s="157"/>
      <c r="X353" s="157"/>
      <c r="Y353" s="157"/>
      <c r="Z353" s="157"/>
    </row>
    <row r="354" spans="1:26" x14ac:dyDescent="0.25">
      <c r="A354" s="31" t="s">
        <v>392</v>
      </c>
      <c r="B354" s="31" t="s">
        <v>684</v>
      </c>
      <c r="F354" s="31">
        <v>1</v>
      </c>
      <c r="O354" s="40">
        <f>C354*Prislapp!$C$2+D354*Prislapp!$D$2+E354*Prislapp!$E$2+F354*Prislapp!$F$2+G354*Prislapp!$G$2+H354*Prislapp!$H$2+I354*Prislapp!$I$2+J354*Prislapp!$J$2+K354*Prislapp!$K$2+L354*Prislapp!$L$2+M354*Prislapp!$M$2+N354*Prislapp!$N$2</f>
        <v>26554</v>
      </c>
      <c r="P354" s="40">
        <f>C354*Prislapp!$C$3+D354*Prislapp!$D$3+E354*Prislapp!$E$3+F354*Prislapp!$F$3+G354*Prislapp!$G$3+H354*Prislapp!$H$3+I354*Prislapp!$I$3+J354*Prislapp!$J$3+K354*Prislapp!$K$3+M354*Prislapp!$M$3+N354*Prislapp!$N$3+L354*Prislapp!$L$3</f>
        <v>33465</v>
      </c>
      <c r="Q354" s="40">
        <f>C354*Prislapp!$C$5+D354*Prislapp!$D$5+E354*Prislapp!$E$5+F354*Prislapp!$F$5+G354*Prislapp!$G$5+H354*Prislapp!$H$5+I354*Prislapp!$I$5+J354*Prislapp!$J$5+K354*Prislapp!$K$5+L354*Prislapp!$L$5+M354*Prislapp!$M$5+N354*Prislapp!$N$5</f>
        <v>6000</v>
      </c>
      <c r="R354" s="9">
        <f>VLOOKUP(A354,'Ansvar kurs'!$A$2:$B$943,2,FALSE)</f>
        <v>2193</v>
      </c>
      <c r="S354" s="157"/>
      <c r="T354" s="157"/>
      <c r="U354" s="157"/>
      <c r="V354" s="157"/>
      <c r="W354" s="157"/>
      <c r="X354" s="157"/>
      <c r="Y354" s="157"/>
      <c r="Z354" s="157"/>
    </row>
    <row r="355" spans="1:26" x14ac:dyDescent="0.25">
      <c r="A355" s="60" t="s">
        <v>820</v>
      </c>
      <c r="B355" s="31" t="s">
        <v>616</v>
      </c>
      <c r="F355" s="31">
        <v>1</v>
      </c>
      <c r="O355" s="40">
        <f>C355*Prislapp!$C$2+D355*Prislapp!$D$2+E355*Prislapp!$E$2+F355*Prislapp!$F$2+G355*Prislapp!$G$2+H355*Prislapp!$H$2+I355*Prislapp!$I$2+J355*Prislapp!$J$2+K355*Prislapp!$K$2+L355*Prislapp!$L$2+M355*Prislapp!$M$2+N355*Prislapp!$N$2</f>
        <v>26554</v>
      </c>
      <c r="P355" s="40">
        <f>C355*Prislapp!$C$3+D355*Prislapp!$D$3+E355*Prislapp!$E$3+F355*Prislapp!$F$3+G355*Prislapp!$G$3+H355*Prislapp!$H$3+I355*Prislapp!$I$3+J355*Prislapp!$J$3+K355*Prislapp!$K$3+M355*Prislapp!$M$3+N355*Prislapp!$N$3+L355*Prislapp!$L$3</f>
        <v>33465</v>
      </c>
      <c r="Q355" s="40">
        <f>C355*Prislapp!$C$5+D355*Prislapp!$D$5+E355*Prislapp!$E$5+F355*Prislapp!$F$5+G355*Prislapp!$G$5+H355*Prislapp!$H$5+I355*Prislapp!$I$5+J355*Prislapp!$J$5+K355*Prislapp!$K$5+L355*Prislapp!$L$5+M355*Prislapp!$M$5+N355*Prislapp!$N$5</f>
        <v>6000</v>
      </c>
      <c r="R355" s="9">
        <f>VLOOKUP(A355,'Ansvar kurs'!$A$2:$B$943,2,FALSE)</f>
        <v>1620</v>
      </c>
      <c r="S355" s="157"/>
      <c r="T355" s="157"/>
      <c r="U355" s="157"/>
      <c r="V355" s="157"/>
      <c r="W355" s="157"/>
      <c r="X355" s="157"/>
      <c r="Y355" s="157"/>
      <c r="Z355" s="157"/>
    </row>
    <row r="356" spans="1:26" x14ac:dyDescent="0.25">
      <c r="A356" s="221" t="s">
        <v>815</v>
      </c>
      <c r="B356" s="31" t="s">
        <v>618</v>
      </c>
      <c r="K356" s="31">
        <v>1</v>
      </c>
      <c r="O356" s="40">
        <f>C356*Prislapp!$C$2+D356*Prislapp!$D$2+E356*Prislapp!$E$2+F356*Prislapp!$F$2+G356*Prislapp!$G$2+H356*Prislapp!$H$2+I356*Prislapp!$I$2+J356*Prislapp!$J$2+K356*Prislapp!$K$2+L356*Prislapp!$L$2+M356*Prislapp!$M$2+N356*Prislapp!$N$2</f>
        <v>25235</v>
      </c>
      <c r="P356" s="40">
        <f>C356*Prislapp!$C$3+D356*Prislapp!$D$3+E356*Prislapp!$E$3+F356*Prislapp!$F$3+G356*Prislapp!$G$3+H356*Prislapp!$H$3+I356*Prislapp!$I$3+J356*Prislapp!$J$3+K356*Prislapp!$K$3+M356*Prislapp!$M$3+N356*Prislapp!$N$3+L356*Prislapp!$L$3</f>
        <v>27976</v>
      </c>
      <c r="Q356" s="40">
        <f>C356*Prislapp!$C$5+D356*Prislapp!$D$5+E356*Prislapp!$E$5+F356*Prislapp!$F$5+G356*Prislapp!$G$5+H356*Prislapp!$H$5+I356*Prislapp!$I$5+J356*Prislapp!$J$5+K356*Prislapp!$K$5+L356*Prislapp!$L$5+M356*Prislapp!$M$5+N356*Prislapp!$N$5</f>
        <v>3600</v>
      </c>
      <c r="R356" s="9">
        <f>VLOOKUP(A356,'Ansvar kurs'!$A$2:$B$943,2,FALSE)</f>
        <v>1620</v>
      </c>
      <c r="U356" s="157"/>
      <c r="V356" s="157"/>
      <c r="W356" s="157"/>
      <c r="X356" s="157"/>
      <c r="Y356" s="157"/>
      <c r="Z356" s="157"/>
    </row>
    <row r="357" spans="1:26" x14ac:dyDescent="0.25">
      <c r="A357" s="222" t="s">
        <v>821</v>
      </c>
      <c r="B357" s="31" t="s">
        <v>1156</v>
      </c>
      <c r="F357" s="31">
        <v>1</v>
      </c>
      <c r="O357" s="40">
        <f>C357*Prislapp!$C$2+D357*Prislapp!$D$2+E357*Prislapp!$E$2+F357*Prislapp!$F$2+G357*Prislapp!$G$2+H357*Prislapp!$H$2+I357*Prislapp!$I$2+J357*Prislapp!$J$2+K357*Prislapp!$K$2+L357*Prislapp!$L$2+M357*Prislapp!$M$2+N357*Prislapp!$N$2</f>
        <v>26554</v>
      </c>
      <c r="P357" s="40">
        <f>C357*Prislapp!$C$3+D357*Prislapp!$D$3+E357*Prislapp!$E$3+F357*Prislapp!$F$3+G357*Prislapp!$G$3+H357*Prislapp!$H$3+I357*Prislapp!$I$3+J357*Prislapp!$J$3+K357*Prislapp!$K$3+M357*Prislapp!$M$3+N357*Prislapp!$N$3+L357*Prislapp!$L$3</f>
        <v>33465</v>
      </c>
      <c r="Q357" s="40">
        <f>C357*Prislapp!$C$5+D357*Prislapp!$D$5+E357*Prislapp!$E$5+F357*Prislapp!$F$5+G357*Prislapp!$G$5+H357*Prislapp!$H$5+I357*Prislapp!$I$5+J357*Prislapp!$J$5+K357*Prislapp!$K$5+L357*Prislapp!$L$5+M357*Prislapp!$M$5+N357*Prislapp!$N$5</f>
        <v>6000</v>
      </c>
      <c r="R357" s="9">
        <f>VLOOKUP(A357,'Ansvar kurs'!$A$2:$B$943,2,FALSE)</f>
        <v>1620</v>
      </c>
      <c r="U357" s="157"/>
      <c r="V357" s="157"/>
      <c r="W357" s="157"/>
      <c r="X357" s="157"/>
      <c r="Y357" s="157"/>
      <c r="Z357" s="157"/>
    </row>
    <row r="358" spans="1:26" x14ac:dyDescent="0.25">
      <c r="A358" s="221" t="s">
        <v>814</v>
      </c>
      <c r="B358" s="31" t="s">
        <v>617</v>
      </c>
      <c r="K358" s="31">
        <v>1</v>
      </c>
      <c r="O358" s="40">
        <f>C358*Prislapp!$C$2+D358*Prislapp!$D$2+E358*Prislapp!$E$2+F358*Prislapp!$F$2+G358*Prislapp!$G$2+H358*Prislapp!$H$2+I358*Prislapp!$I$2+J358*Prislapp!$J$2+K358*Prislapp!$K$2+L358*Prislapp!$L$2+M358*Prislapp!$M$2+N358*Prislapp!$N$2</f>
        <v>25235</v>
      </c>
      <c r="P358" s="40">
        <f>C358*Prislapp!$C$3+D358*Prislapp!$D$3+E358*Prislapp!$E$3+F358*Prislapp!$F$3+G358*Prislapp!$G$3+H358*Prislapp!$H$3+I358*Prislapp!$I$3+J358*Prislapp!$J$3+K358*Prislapp!$K$3+M358*Prislapp!$M$3+N358*Prislapp!$N$3+L358*Prislapp!$L$3</f>
        <v>27976</v>
      </c>
      <c r="Q358" s="40">
        <f>C358*Prislapp!$C$5+D358*Prislapp!$D$5+E358*Prislapp!$E$5+F358*Prislapp!$F$5+G358*Prislapp!$G$5+H358*Prislapp!$H$5+I358*Prislapp!$I$5+J358*Prislapp!$J$5+K358*Prislapp!$K$5+L358*Prislapp!$L$5+M358*Prislapp!$M$5+N358*Prislapp!$N$5</f>
        <v>3600</v>
      </c>
      <c r="R358" s="9">
        <f>VLOOKUP(A358,'Ansvar kurs'!$A$2:$B$943,2,FALSE)</f>
        <v>1620</v>
      </c>
      <c r="U358" s="157"/>
      <c r="V358" s="157"/>
      <c r="W358" s="157"/>
      <c r="X358" s="157"/>
      <c r="Y358" s="157"/>
      <c r="Z358" s="157"/>
    </row>
    <row r="359" spans="1:26" x14ac:dyDescent="0.25">
      <c r="A359" s="222" t="s">
        <v>964</v>
      </c>
      <c r="B359" s="31" t="s">
        <v>1157</v>
      </c>
      <c r="D359" s="31">
        <v>1</v>
      </c>
      <c r="O359" s="40">
        <f>C359*Prislapp!$C$2+D359*Prislapp!$D$2+E359*Prislapp!$E$2+F359*Prislapp!$F$2+G359*Prislapp!$G$2+H359*Prislapp!$H$2+I359*Prislapp!$I$2+J359*Prislapp!$J$2+K359*Prislapp!$K$2+L359*Prislapp!$L$2+M359*Prislapp!$M$2+N359*Prislapp!$N$2</f>
        <v>20766</v>
      </c>
      <c r="P359" s="40">
        <f>C359*Prislapp!$C$3+D359*Prislapp!$D$3+E359*Prislapp!$E$3+F359*Prislapp!$F$3+G359*Prislapp!$G$3+H359*Prislapp!$H$3+I359*Prislapp!$I$3+J359*Prislapp!$J$3+K359*Prislapp!$K$3+M359*Prislapp!$M$3+N359*Prislapp!$N$3+L359*Prislapp!$L$3</f>
        <v>17442</v>
      </c>
      <c r="Q359" s="40">
        <f>C359*Prislapp!$C$5+D359*Prislapp!$D$5+E359*Prislapp!$E$5+F359*Prislapp!$F$5+G359*Prislapp!$G$5+H359*Prislapp!$H$5+I359*Prislapp!$I$5+J359*Prislapp!$J$5+K359*Prislapp!$K$5+L359*Prislapp!$L$5+M359*Prislapp!$M$5+N359*Prislapp!$N$5</f>
        <v>6000</v>
      </c>
      <c r="R359" s="9">
        <f>VLOOKUP(A359,'Ansvar kurs'!$A$2:$B$943,2,FALSE)</f>
        <v>1620</v>
      </c>
      <c r="S359" s="57" t="s">
        <v>966</v>
      </c>
      <c r="U359" s="157"/>
      <c r="V359" s="157"/>
      <c r="W359" s="157"/>
      <c r="X359" s="157"/>
      <c r="Y359" s="157"/>
      <c r="Z359" s="157"/>
    </row>
    <row r="360" spans="1:26" x14ac:dyDescent="0.25">
      <c r="A360" s="222" t="s">
        <v>965</v>
      </c>
      <c r="B360" s="31" t="s">
        <v>1158</v>
      </c>
      <c r="D360" s="31">
        <v>1</v>
      </c>
      <c r="O360" s="40">
        <f>C360*Prislapp!$C$2+D360*Prislapp!$D$2+E360*Prislapp!$E$2+F360*Prislapp!$F$2+G360*Prislapp!$G$2+H360*Prislapp!$H$2+I360*Prislapp!$I$2+J360*Prislapp!$J$2+K360*Prislapp!$K$2+L360*Prislapp!$L$2+M360*Prislapp!$M$2+N360*Prislapp!$N$2</f>
        <v>20766</v>
      </c>
      <c r="P360" s="40">
        <f>C360*Prislapp!$C$3+D360*Prislapp!$D$3+E360*Prislapp!$E$3+F360*Prislapp!$F$3+G360*Prislapp!$G$3+H360*Prislapp!$H$3+I360*Prislapp!$I$3+J360*Prislapp!$J$3+K360*Prislapp!$K$3+M360*Prislapp!$M$3+N360*Prislapp!$N$3+L360*Prislapp!$L$3</f>
        <v>17442</v>
      </c>
      <c r="Q360" s="40">
        <f>C360*Prislapp!$C$5+D360*Prislapp!$D$5+E360*Prislapp!$E$5+F360*Prislapp!$F$5+G360*Prislapp!$G$5+H360*Prislapp!$H$5+I360*Prislapp!$I$5+J360*Prislapp!$J$5+K360*Prislapp!$K$5+L360*Prislapp!$L$5+M360*Prislapp!$M$5+N360*Prislapp!$N$5</f>
        <v>6000</v>
      </c>
      <c r="R360" s="9">
        <f>VLOOKUP(A360,'Ansvar kurs'!$A$2:$B$943,2,FALSE)</f>
        <v>1620</v>
      </c>
      <c r="S360" s="57" t="s">
        <v>967</v>
      </c>
      <c r="U360" s="157"/>
      <c r="V360" s="157"/>
      <c r="W360" s="157"/>
      <c r="X360" s="157"/>
      <c r="Y360" s="157"/>
      <c r="Z360" s="157"/>
    </row>
    <row r="361" spans="1:26" x14ac:dyDescent="0.25">
      <c r="A361" s="222" t="s">
        <v>1085</v>
      </c>
      <c r="B361" s="31" t="s">
        <v>1159</v>
      </c>
      <c r="D361" s="31">
        <v>1</v>
      </c>
      <c r="O361" s="40">
        <f>C361*Prislapp!$C$2+D361*Prislapp!$D$2+E361*Prislapp!$E$2+F361*Prislapp!$F$2+G361*Prislapp!$G$2+H361*Prislapp!$H$2+I361*Prislapp!$I$2+J361*Prislapp!$J$2+K361*Prislapp!$K$2+L361*Prislapp!$L$2+M361*Prislapp!$M$2+N361*Prislapp!$N$2</f>
        <v>20766</v>
      </c>
      <c r="P361" s="40">
        <f>C361*Prislapp!$C$3+D361*Prislapp!$D$3+E361*Prislapp!$E$3+F361*Prislapp!$F$3+G361*Prislapp!$G$3+H361*Prislapp!$H$3+I361*Prislapp!$I$3+J361*Prislapp!$J$3+K361*Prislapp!$K$3+M361*Prislapp!$M$3+N361*Prislapp!$N$3+L361*Prislapp!$L$3</f>
        <v>17442</v>
      </c>
      <c r="Q361" s="40">
        <f>C361*Prislapp!$C$5+D361*Prislapp!$D$5+E361*Prislapp!$E$5+F361*Prislapp!$F$5+G361*Prislapp!$G$5+H361*Prislapp!$H$5+I361*Prislapp!$I$5+J361*Prislapp!$J$5+K361*Prislapp!$K$5+L361*Prislapp!$L$5+M361*Prislapp!$M$5+N361*Prislapp!$N$5</f>
        <v>6000</v>
      </c>
      <c r="R361" s="9">
        <f>VLOOKUP(A361,'Ansvar kurs'!$A$2:$B$943,2,FALSE)</f>
        <v>1620</v>
      </c>
      <c r="S361" s="57" t="s">
        <v>1088</v>
      </c>
      <c r="U361" s="157"/>
      <c r="V361" s="157"/>
      <c r="W361" s="157"/>
      <c r="X361" s="157"/>
      <c r="Y361" s="157"/>
      <c r="Z361" s="157"/>
    </row>
    <row r="362" spans="1:26" x14ac:dyDescent="0.25">
      <c r="A362" s="31" t="s">
        <v>1272</v>
      </c>
      <c r="B362" s="31" t="s">
        <v>1274</v>
      </c>
      <c r="K362" s="31">
        <v>1</v>
      </c>
      <c r="O362" s="40">
        <f>C362*Prislapp!$C$2+D362*Prislapp!$D$2+E362*Prislapp!$E$2+F362*Prislapp!$F$2+G362*Prislapp!$G$2+H362*Prislapp!$H$2+I362*Prislapp!$I$2+J362*Prislapp!$J$2+K362*Prislapp!$K$2+L362*Prislapp!$L$2+M362*Prislapp!$M$2+N362*Prislapp!$N$2</f>
        <v>25235</v>
      </c>
      <c r="P362" s="40">
        <f>C362*Prislapp!$C$3+D362*Prislapp!$D$3+E362*Prislapp!$E$3+F362*Prislapp!$F$3+G362*Prislapp!$G$3+H362*Prislapp!$H$3+I362*Prislapp!$I$3+J362*Prislapp!$J$3+K362*Prislapp!$K$3+M362*Prislapp!$M$3+N362*Prislapp!$N$3+L362*Prislapp!$L$3</f>
        <v>27976</v>
      </c>
      <c r="Q362" s="40">
        <f>C362*Prislapp!$C$5+D362*Prislapp!$D$5+E362*Prislapp!$E$5+F362*Prislapp!$F$5+G362*Prislapp!$G$5+H362*Prislapp!$H$5+I362*Prislapp!$I$5+J362*Prislapp!$J$5+K362*Prislapp!$K$5+L362*Prislapp!$L$5+M362*Prislapp!$M$5+N362*Prislapp!$N$5</f>
        <v>3600</v>
      </c>
      <c r="R362" s="9">
        <f>VLOOKUP(A362,'Ansvar kurs'!$A$2:$B$943,2,FALSE)</f>
        <v>1620</v>
      </c>
      <c r="S362" s="157" t="s">
        <v>1088</v>
      </c>
      <c r="T362" s="157"/>
      <c r="U362" s="157"/>
      <c r="V362" s="157"/>
      <c r="W362" s="157"/>
      <c r="X362" s="157"/>
      <c r="Y362" s="157"/>
      <c r="Z362" s="157"/>
    </row>
    <row r="363" spans="1:26" x14ac:dyDescent="0.25">
      <c r="A363" s="222" t="s">
        <v>1273</v>
      </c>
      <c r="B363" s="31" t="s">
        <v>1275</v>
      </c>
      <c r="K363" s="31">
        <v>1</v>
      </c>
      <c r="O363" s="40">
        <f>C363*Prislapp!$C$2+D363*Prislapp!$D$2+E363*Prislapp!$E$2+F363*Prislapp!$F$2+G363*Prislapp!$G$2+H363*Prislapp!$H$2+I363*Prislapp!$I$2+J363*Prislapp!$J$2+K363*Prislapp!$K$2+L363*Prislapp!$L$2+M363*Prislapp!$M$2+N363*Prislapp!$N$2</f>
        <v>25235</v>
      </c>
      <c r="P363" s="40">
        <f>C363*Prislapp!$C$3+D363*Prislapp!$D$3+E363*Prislapp!$E$3+F363*Prislapp!$F$3+G363*Prislapp!$G$3+H363*Prislapp!$H$3+I363*Prislapp!$I$3+J363*Prislapp!$J$3+K363*Prislapp!$K$3+M363*Prislapp!$M$3+N363*Prislapp!$N$3+L363*Prislapp!$L$3</f>
        <v>27976</v>
      </c>
      <c r="Q363" s="40">
        <f>C363*Prislapp!$C$5+D363*Prislapp!$D$5+E363*Prislapp!$E$5+F363*Prislapp!$F$5+G363*Prislapp!$G$5+H363*Prislapp!$H$5+I363*Prislapp!$I$5+J363*Prislapp!$J$5+K363*Prislapp!$K$5+L363*Prislapp!$L$5+M363*Prislapp!$M$5+N363*Prislapp!$N$5</f>
        <v>3600</v>
      </c>
      <c r="R363" s="9">
        <f>VLOOKUP(A363,'Ansvar kurs'!$A$2:$B$943,2,FALSE)</f>
        <v>1620</v>
      </c>
      <c r="S363" s="157" t="s">
        <v>1088</v>
      </c>
      <c r="T363" s="157" t="s">
        <v>1059</v>
      </c>
    </row>
    <row r="364" spans="1:26" x14ac:dyDescent="0.25">
      <c r="A364" s="57" t="s">
        <v>1529</v>
      </c>
      <c r="B364" s="57" t="s">
        <v>1558</v>
      </c>
      <c r="D364" s="31">
        <v>1</v>
      </c>
      <c r="O364" s="40">
        <f>C364*Prislapp!$C$2+D364*Prislapp!$D$2+E364*Prislapp!$E$2+F364*Prislapp!$F$2+G364*Prislapp!$G$2+H364*Prislapp!$H$2+I364*Prislapp!$I$2+J364*Prislapp!$J$2+K364*Prislapp!$K$2+L364*Prislapp!$L$2+M364*Prislapp!$M$2+N364*Prislapp!$N$2</f>
        <v>20766</v>
      </c>
      <c r="P364" s="40">
        <f>C364*Prislapp!$C$3+D364*Prislapp!$D$3+E364*Prislapp!$E$3+F364*Prislapp!$F$3+G364*Prislapp!$G$3+H364*Prislapp!$H$3+I364*Prislapp!$I$3+J364*Prislapp!$J$3+K364*Prislapp!$K$3+M364*Prislapp!$M$3+N364*Prislapp!$N$3+L364*Prislapp!$L$3</f>
        <v>17442</v>
      </c>
      <c r="Q364" s="40">
        <f>C364*Prislapp!$C$5+D364*Prislapp!$D$5+E364*Prislapp!$E$5+F364*Prislapp!$F$5+G364*Prislapp!$G$5+H364*Prislapp!$H$5+I364*Prislapp!$I$5+J364*Prislapp!$J$5+K364*Prislapp!$K$5+L364*Prislapp!$L$5+M364*Prislapp!$M$5+N364*Prislapp!$N$5</f>
        <v>6000</v>
      </c>
      <c r="R364" s="9">
        <f>VLOOKUP(A364,'Ansvar kurs'!$A$2:$B$943,2,FALSE)</f>
        <v>1620</v>
      </c>
    </row>
    <row r="365" spans="1:26" x14ac:dyDescent="0.25">
      <c r="A365" s="60" t="s">
        <v>1634</v>
      </c>
      <c r="B365" s="31" t="s">
        <v>1635</v>
      </c>
      <c r="D365" s="31">
        <v>1</v>
      </c>
      <c r="O365" s="40">
        <f>C365*Prislapp!$C$2+D365*Prislapp!$D$2+E365*Prislapp!$E$2+F365*Prislapp!$F$2+G365*Prislapp!$G$2+H365*Prislapp!$H$2+I365*Prislapp!$I$2+J365*Prislapp!$J$2+K365*Prislapp!$K$2+L365*Prislapp!$L$2+M365*Prislapp!$M$2+N365*Prislapp!$N$2</f>
        <v>20766</v>
      </c>
      <c r="P365" s="40">
        <f>C365*Prislapp!$C$3+D365*Prislapp!$D$3+E365*Prislapp!$E$3+F365*Prislapp!$F$3+G365*Prislapp!$G$3+H365*Prislapp!$H$3+I365*Prislapp!$I$3+J365*Prislapp!$J$3+K365*Prislapp!$K$3+M365*Prislapp!$M$3+N365*Prislapp!$N$3+L365*Prislapp!$L$3</f>
        <v>17442</v>
      </c>
      <c r="Q365" s="40">
        <f>C365*Prislapp!$C$5+D365*Prislapp!$D$5+E365*Prislapp!$E$5+F365*Prislapp!$F$5+G365*Prislapp!$G$5+H365*Prislapp!$H$5+I365*Prislapp!$I$5+J365*Prislapp!$J$5+K365*Prislapp!$K$5+L365*Prislapp!$L$5+M365*Prislapp!$M$5+N365*Prislapp!$N$5</f>
        <v>6000</v>
      </c>
      <c r="R365" s="9">
        <f>VLOOKUP(A365,'Ansvar kurs'!$A$2:$B$943,2,FALSE)</f>
        <v>1620</v>
      </c>
    </row>
    <row r="366" spans="1:26" x14ac:dyDescent="0.25">
      <c r="A366" s="176" t="s">
        <v>2199</v>
      </c>
      <c r="B366" s="60" t="s">
        <v>2127</v>
      </c>
      <c r="D366" s="375"/>
      <c r="K366" s="31">
        <v>1</v>
      </c>
      <c r="O366" s="40">
        <f>C366*Prislapp!$C$2+D366*Prislapp!$D$2+E366*Prislapp!$E$2+F366*Prislapp!$F$2+G366*Prislapp!$G$2+H366*Prislapp!$H$2+I366*Prislapp!$I$2+J366*Prislapp!$J$2+K366*Prislapp!$K$2+L366*Prislapp!$L$2+M366*Prislapp!$M$2+N366*Prislapp!$N$2</f>
        <v>25235</v>
      </c>
      <c r="P366" s="40">
        <f>C366*Prislapp!$C$3+D366*Prislapp!$D$3+E366*Prislapp!$E$3+F366*Prislapp!$F$3+G366*Prislapp!$G$3+H366*Prislapp!$H$3+I366*Prislapp!$I$3+J366*Prislapp!$J$3+K366*Prislapp!$K$3+M366*Prislapp!$M$3+N366*Prislapp!$N$3+L366*Prislapp!$L$3</f>
        <v>27976</v>
      </c>
      <c r="Q366" s="40">
        <f>C366*Prislapp!$C$5+D366*Prislapp!$D$5+E366*Prislapp!$E$5+F366*Prislapp!$F$5+G366*Prislapp!$G$5+H366*Prislapp!$H$5+I366*Prislapp!$I$5+J366*Prislapp!$J$5+K366*Prislapp!$K$5+L366*Prislapp!$L$5+M366*Prislapp!$M$5+N366*Prislapp!$N$5</f>
        <v>3600</v>
      </c>
      <c r="R366" s="9">
        <f>VLOOKUP(A366,'Ansvar kurs'!$A$2:$B$943,2,FALSE)</f>
        <v>1620</v>
      </c>
    </row>
    <row r="367" spans="1:26" x14ac:dyDescent="0.25">
      <c r="A367" s="222" t="s">
        <v>2200</v>
      </c>
      <c r="B367" s="31" t="s">
        <v>2080</v>
      </c>
      <c r="K367" s="31">
        <v>1</v>
      </c>
      <c r="O367" s="40">
        <f>C367*Prislapp!$C$2+D367*Prislapp!$D$2+E367*Prislapp!$E$2+F367*Prislapp!$F$2+G367*Prislapp!$G$2+H367*Prislapp!$H$2+I367*Prislapp!$I$2+J367*Prislapp!$J$2+K367*Prislapp!$K$2+L367*Prislapp!$L$2+M367*Prislapp!$M$2+N367*Prislapp!$N$2</f>
        <v>25235</v>
      </c>
      <c r="P367" s="40">
        <f>C367*Prislapp!$C$3+D367*Prislapp!$D$3+E367*Prislapp!$E$3+F367*Prislapp!$F$3+G367*Prislapp!$G$3+H367*Prislapp!$H$3+I367*Prislapp!$I$3+J367*Prislapp!$J$3+K367*Prislapp!$K$3+M367*Prislapp!$M$3+N367*Prislapp!$N$3+L367*Prislapp!$L$3</f>
        <v>27976</v>
      </c>
      <c r="Q367" s="40">
        <f>C367*Prislapp!$C$5+D367*Prislapp!$D$5+E367*Prislapp!$E$5+F367*Prislapp!$F$5+G367*Prislapp!$G$5+H367*Prislapp!$H$5+I367*Prislapp!$I$5+J367*Prislapp!$J$5+K367*Prislapp!$K$5+L367*Prislapp!$L$5+M367*Prislapp!$M$5+N367*Prislapp!$N$5</f>
        <v>3600</v>
      </c>
      <c r="R367" s="9">
        <f>VLOOKUP(A367,'Ansvar kurs'!$A$2:$B$943,2,FALSE)</f>
        <v>1620</v>
      </c>
      <c r="T367" s="157"/>
      <c r="U367" s="197"/>
      <c r="V367" s="197"/>
      <c r="W367" s="197"/>
      <c r="X367" s="197"/>
      <c r="Y367" s="197"/>
      <c r="Z367" s="191"/>
    </row>
    <row r="368" spans="1:26" ht="15.75" x14ac:dyDescent="0.25">
      <c r="A368" s="392" t="s">
        <v>2201</v>
      </c>
      <c r="B368" s="57" t="s">
        <v>2079</v>
      </c>
      <c r="K368" s="31">
        <v>1</v>
      </c>
      <c r="O368" s="40">
        <f>C368*Prislapp!$C$2+D368*Prislapp!$D$2+E368*Prislapp!$E$2+F368*Prislapp!$F$2+G368*Prislapp!$G$2+H368*Prislapp!$H$2+I368*Prislapp!$I$2+J368*Prislapp!$J$2+K368*Prislapp!$K$2+L368*Prislapp!$L$2+M368*Prislapp!$M$2+N368*Prislapp!$N$2</f>
        <v>25235</v>
      </c>
      <c r="P368" s="40">
        <f>C368*Prislapp!$C$3+D368*Prislapp!$D$3+E368*Prislapp!$E$3+F368*Prislapp!$F$3+G368*Prislapp!$G$3+H368*Prislapp!$H$3+I368*Prislapp!$I$3+J368*Prislapp!$J$3+K368*Prislapp!$K$3+M368*Prislapp!$M$3+N368*Prislapp!$N$3+L368*Prislapp!$L$3</f>
        <v>27976</v>
      </c>
      <c r="Q368" s="40">
        <f>C368*Prislapp!$C$5+D368*Prislapp!$D$5+E368*Prislapp!$E$5+F368*Prislapp!$F$5+G368*Prislapp!$G$5+H368*Prislapp!$H$5+I368*Prislapp!$I$5+J368*Prislapp!$J$5+K368*Prislapp!$K$5+L368*Prislapp!$L$5+M368*Prislapp!$M$5+N368*Prislapp!$N$5</f>
        <v>3600</v>
      </c>
      <c r="R368" s="9">
        <f>VLOOKUP(A368,'Ansvar kurs'!$A$2:$B$943,2,FALSE)</f>
        <v>1620</v>
      </c>
    </row>
    <row r="369" spans="1:26" x14ac:dyDescent="0.25">
      <c r="A369" s="60" t="s">
        <v>2134</v>
      </c>
      <c r="B369" s="31" t="s">
        <v>2142</v>
      </c>
      <c r="D369" s="31">
        <v>1</v>
      </c>
      <c r="O369" s="40">
        <f>C369*Prislapp!$C$2+D369*Prislapp!$D$2+E369*Prislapp!$E$2+F369*Prislapp!$F$2+G369*Prislapp!$G$2+H369*Prislapp!$H$2+I369*Prislapp!$I$2+J369*Prislapp!$J$2+K369*Prislapp!$K$2+L369*Prislapp!$L$2+M369*Prislapp!$M$2+N369*Prislapp!$N$2</f>
        <v>20766</v>
      </c>
      <c r="P369" s="40">
        <f>C369*Prislapp!$C$3+D369*Prislapp!$D$3+E369*Prislapp!$E$3+F369*Prislapp!$F$3+G369*Prislapp!$G$3+H369*Prislapp!$H$3+I369*Prislapp!$I$3+J369*Prislapp!$J$3+K369*Prislapp!$K$3+M369*Prislapp!$M$3+N369*Prislapp!$N$3+L369*Prislapp!$L$3</f>
        <v>17442</v>
      </c>
      <c r="Q369" s="40">
        <f>C369*Prislapp!$C$5+D369*Prislapp!$D$5+E369*Prislapp!$E$5+F369*Prislapp!$F$5+G369*Prislapp!$G$5+H369*Prislapp!$H$5+I369*Prislapp!$I$5+J369*Prislapp!$J$5+K369*Prislapp!$K$5+L369*Prislapp!$L$5+M369*Prislapp!$M$5+N369*Prislapp!$N$5</f>
        <v>6000</v>
      </c>
      <c r="R369" s="9">
        <f>VLOOKUP(A369,'Ansvar kurs'!$A$2:$B$943,2,FALSE)</f>
        <v>1620</v>
      </c>
    </row>
    <row r="370" spans="1:26" x14ac:dyDescent="0.25">
      <c r="A370" s="222" t="s">
        <v>2290</v>
      </c>
      <c r="B370" s="31" t="s">
        <v>2298</v>
      </c>
      <c r="D370" s="31">
        <v>1</v>
      </c>
      <c r="O370" s="40">
        <f>C370*Prislapp!$C$2+D370*Prislapp!$D$2+E370*Prislapp!$E$2+F370*Prislapp!$F$2+G370*Prislapp!$G$2+H370*Prislapp!$H$2+I370*Prislapp!$I$2+J370*Prislapp!$J$2+K370*Prislapp!$K$2+L370*Prislapp!$L$2+M370*Prislapp!$M$2+N370*Prislapp!$N$2</f>
        <v>20766</v>
      </c>
      <c r="P370" s="40">
        <f>C370*Prislapp!$C$3+D370*Prislapp!$D$3+E370*Prislapp!$E$3+F370*Prislapp!$F$3+G370*Prislapp!$G$3+H370*Prislapp!$H$3+I370*Prislapp!$I$3+J370*Prislapp!$J$3+K370*Prislapp!$K$3+M370*Prislapp!$M$3+N370*Prislapp!$N$3+L370*Prislapp!$L$3</f>
        <v>17442</v>
      </c>
      <c r="Q370" s="40">
        <f>C370*Prislapp!$C$5+D370*Prislapp!$D$5+E370*Prislapp!$E$5+F370*Prislapp!$F$5+G370*Prislapp!$G$5+H370*Prislapp!$H$5+I370*Prislapp!$I$5+J370*Prislapp!$J$5+K370*Prislapp!$K$5+L370*Prislapp!$L$5+M370*Prislapp!$M$5+N370*Prislapp!$N$5</f>
        <v>6000</v>
      </c>
      <c r="R370" s="9">
        <f>VLOOKUP(A370,'Ansvar kurs'!$A$2:$B$943,2,FALSE)</f>
        <v>1620</v>
      </c>
    </row>
    <row r="371" spans="1:26" ht="15.75" x14ac:dyDescent="0.25">
      <c r="A371" s="392" t="s">
        <v>2291</v>
      </c>
      <c r="B371" s="31" t="s">
        <v>2299</v>
      </c>
      <c r="D371" s="31">
        <v>1</v>
      </c>
      <c r="O371" s="40">
        <f>C371*Prislapp!$C$2+D371*Prislapp!$D$2+E371*Prislapp!$E$2+F371*Prislapp!$F$2+G371*Prislapp!$G$2+H371*Prislapp!$H$2+I371*Prislapp!$I$2+J371*Prislapp!$J$2+K371*Prislapp!$K$2+L371*Prislapp!$L$2+M371*Prislapp!$M$2+N371*Prislapp!$N$2</f>
        <v>20766</v>
      </c>
      <c r="P371" s="40">
        <f>C371*Prislapp!$C$3+D371*Prislapp!$D$3+E371*Prislapp!$E$3+F371*Prislapp!$F$3+G371*Prislapp!$G$3+H371*Prislapp!$H$3+I371*Prislapp!$I$3+J371*Prislapp!$J$3+K371*Prislapp!$K$3+M371*Prislapp!$M$3+N371*Prislapp!$N$3+L371*Prislapp!$L$3</f>
        <v>17442</v>
      </c>
      <c r="Q371" s="40">
        <f>C371*Prislapp!$C$5+D371*Prislapp!$D$5+E371*Prislapp!$E$5+F371*Prislapp!$F$5+G371*Prislapp!$G$5+H371*Prislapp!$H$5+I371*Prislapp!$I$5+J371*Prislapp!$J$5+K371*Prislapp!$K$5+L371*Prislapp!$L$5+M371*Prislapp!$M$5+N371*Prislapp!$N$5</f>
        <v>6000</v>
      </c>
      <c r="R371" s="9">
        <f>VLOOKUP(A371,'Ansvar kurs'!$A$2:$B$943,2,FALSE)</f>
        <v>1620</v>
      </c>
    </row>
    <row r="372" spans="1:26" x14ac:dyDescent="0.25">
      <c r="A372" s="176" t="s">
        <v>2358</v>
      </c>
      <c r="B372" s="382" t="s">
        <v>2363</v>
      </c>
      <c r="D372" s="57">
        <v>1</v>
      </c>
      <c r="O372" s="40">
        <f>C372*Prislapp!$C$2+D372*Prislapp!$D$2+E372*Prislapp!$E$2+F372*Prislapp!$F$2+G372*Prislapp!$G$2+H372*Prislapp!$H$2+I372*Prislapp!$I$2+J372*Prislapp!$J$2+K372*Prislapp!$K$2+L372*Prislapp!$L$2+M372*Prislapp!$M$2+N372*Prislapp!$N$2</f>
        <v>20766</v>
      </c>
      <c r="P372" s="40">
        <f>C372*Prislapp!$C$3+D372*Prislapp!$D$3+E372*Prislapp!$E$3+F372*Prislapp!$F$3+G372*Prislapp!$G$3+H372*Prislapp!$H$3+I372*Prislapp!$I$3+J372*Prislapp!$J$3+K372*Prislapp!$K$3+M372*Prislapp!$M$3+N372*Prislapp!$N$3+L372*Prislapp!$L$3</f>
        <v>17442</v>
      </c>
      <c r="Q372" s="40">
        <f>C372*Prislapp!$C$5+D372*Prislapp!$D$5+E372*Prislapp!$E$5+F372*Prislapp!$F$5+G372*Prislapp!$G$5+H372*Prislapp!$H$5+I372*Prislapp!$I$5+J372*Prislapp!$J$5+K372*Prislapp!$K$5+L372*Prislapp!$L$5+M372*Prislapp!$M$5+N372*Prislapp!$N$5</f>
        <v>6000</v>
      </c>
      <c r="R372" s="9">
        <f>VLOOKUP(A372,'Ansvar kurs'!$A$2:$B$943,2,FALSE)</f>
        <v>1620</v>
      </c>
      <c r="S372" s="176"/>
      <c r="T372" s="157"/>
      <c r="U372" s="157"/>
      <c r="V372" s="157"/>
      <c r="W372" s="157"/>
      <c r="X372" s="157"/>
      <c r="Y372" s="157"/>
      <c r="Z372" s="157"/>
    </row>
    <row r="373" spans="1:26" x14ac:dyDescent="0.25">
      <c r="A373" s="157" t="s">
        <v>2359</v>
      </c>
      <c r="B373" s="421" t="s">
        <v>2364</v>
      </c>
      <c r="D373" s="57">
        <v>1</v>
      </c>
      <c r="O373" s="40">
        <f>C373*Prislapp!$C$2+D373*Prislapp!$D$2+E373*Prislapp!$E$2+F373*Prislapp!$F$2+G373*Prislapp!$G$2+H373*Prislapp!$H$2+I373*Prislapp!$I$2+J373*Prislapp!$J$2+K373*Prislapp!$K$2+L373*Prislapp!$L$2+M373*Prislapp!$M$2+N373*Prislapp!$N$2</f>
        <v>20766</v>
      </c>
      <c r="P373" s="40">
        <f>C373*Prislapp!$C$3+D373*Prislapp!$D$3+E373*Prislapp!$E$3+F373*Prislapp!$F$3+G373*Prislapp!$G$3+H373*Prislapp!$H$3+I373*Prislapp!$I$3+J373*Prislapp!$J$3+K373*Prislapp!$K$3+M373*Prislapp!$M$3+N373*Prislapp!$N$3+L373*Prislapp!$L$3</f>
        <v>17442</v>
      </c>
      <c r="Q373" s="40">
        <f>C373*Prislapp!$C$5+D373*Prislapp!$D$5+E373*Prislapp!$E$5+F373*Prislapp!$F$5+G373*Prislapp!$G$5+H373*Prislapp!$H$5+I373*Prislapp!$I$5+J373*Prislapp!$J$5+K373*Prislapp!$K$5+L373*Prislapp!$L$5+M373*Prislapp!$M$5+N373*Prislapp!$N$5</f>
        <v>6000</v>
      </c>
      <c r="R373" s="9">
        <f>VLOOKUP(A373,'Ansvar kurs'!$A$2:$B$943,2,FALSE)</f>
        <v>1620</v>
      </c>
      <c r="S373" s="176"/>
      <c r="T373" s="157"/>
      <c r="U373" s="157"/>
      <c r="V373" s="157"/>
      <c r="W373" s="157"/>
      <c r="X373" s="157"/>
      <c r="Y373" s="157"/>
      <c r="Z373" s="157"/>
    </row>
    <row r="374" spans="1:26" x14ac:dyDescent="0.25">
      <c r="A374" s="222" t="s">
        <v>2405</v>
      </c>
      <c r="B374" s="382" t="s">
        <v>2486</v>
      </c>
      <c r="D374" s="57">
        <v>1</v>
      </c>
      <c r="O374" s="40">
        <f>C374*Prislapp!$C$2+D374*Prislapp!$D$2+E374*Prislapp!$E$2+F374*Prislapp!$F$2+G374*Prislapp!$G$2+H374*Prislapp!$H$2+I374*Prislapp!$I$2+J374*Prislapp!$J$2+K374*Prislapp!$K$2+L374*Prislapp!$L$2+M374*Prislapp!$M$2+N374*Prislapp!$N$2</f>
        <v>20766</v>
      </c>
      <c r="P374" s="40">
        <f>C374*Prislapp!$C$3+D374*Prislapp!$D$3+E374*Prislapp!$E$3+F374*Prislapp!$F$3+G374*Prislapp!$G$3+H374*Prislapp!$H$3+I374*Prislapp!$I$3+J374*Prislapp!$J$3+K374*Prislapp!$K$3+M374*Prislapp!$M$3+N374*Prislapp!$N$3+L374*Prislapp!$L$3</f>
        <v>17442</v>
      </c>
      <c r="Q374" s="40">
        <f>C374*Prislapp!$C$5+D374*Prislapp!$D$5+E374*Prislapp!$E$5+F374*Prislapp!$F$5+G374*Prislapp!$G$5+H374*Prislapp!$H$5+I374*Prislapp!$I$5+J374*Prislapp!$J$5+K374*Prislapp!$K$5+L374*Prislapp!$L$5+M374*Prislapp!$M$5+N374*Prislapp!$N$5</f>
        <v>6000</v>
      </c>
      <c r="R374" s="9">
        <f>VLOOKUP(A374,'Ansvar kurs'!$A$2:$B$943,2,FALSE)</f>
        <v>1620</v>
      </c>
      <c r="S374" s="176"/>
      <c r="T374" s="157"/>
      <c r="U374" s="157"/>
      <c r="V374" s="157"/>
      <c r="W374" s="157"/>
      <c r="X374" s="157"/>
      <c r="Y374" s="157"/>
      <c r="Z374" s="157"/>
    </row>
    <row r="375" spans="1:26" x14ac:dyDescent="0.25">
      <c r="A375" s="31" t="s">
        <v>90</v>
      </c>
      <c r="B375" s="31" t="s">
        <v>685</v>
      </c>
      <c r="F375" s="31">
        <v>1</v>
      </c>
      <c r="O375" s="40">
        <f>C375*Prislapp!$C$2+D375*Prislapp!$D$2+E375*Prislapp!$E$2+F375*Prislapp!$F$2+G375*Prislapp!$G$2+H375*Prislapp!$H$2+I375*Prislapp!$I$2+J375*Prislapp!$J$2+K375*Prislapp!$K$2+L375*Prislapp!$L$2+M375*Prislapp!$M$2+N375*Prislapp!$N$2</f>
        <v>26554</v>
      </c>
      <c r="P375" s="40">
        <f>C375*Prislapp!$C$3+D375*Prislapp!$D$3+E375*Prislapp!$E$3+F375*Prislapp!$F$3+G375*Prislapp!$G$3+H375*Prislapp!$H$3+I375*Prislapp!$I$3+J375*Prislapp!$J$3+K375*Prislapp!$K$3+M375*Prislapp!$M$3+N375*Prislapp!$N$3+L375*Prislapp!$L$3</f>
        <v>33465</v>
      </c>
      <c r="Q375" s="40">
        <f>C375*Prislapp!$C$5+D375*Prislapp!$D$5+E375*Prislapp!$E$5+F375*Prislapp!$F$5+G375*Prislapp!$G$5+H375*Prislapp!$H$5+I375*Prislapp!$I$5+J375*Prislapp!$J$5+K375*Prislapp!$K$5+L375*Prislapp!$L$5+M375*Prislapp!$M$5+N375*Prislapp!$N$5</f>
        <v>6000</v>
      </c>
      <c r="R375" s="9">
        <f>VLOOKUP(A375,'Ansvar kurs'!$A$2:$B$943,2,FALSE)</f>
        <v>5730</v>
      </c>
      <c r="S375" s="157"/>
      <c r="T375" s="157"/>
      <c r="U375" s="157"/>
      <c r="V375" s="157"/>
      <c r="W375" s="157"/>
      <c r="X375" s="157"/>
      <c r="Y375" s="157"/>
      <c r="Z375" s="157"/>
    </row>
    <row r="376" spans="1:26" x14ac:dyDescent="0.25">
      <c r="A376" s="31" t="s">
        <v>568</v>
      </c>
      <c r="B376" s="31" t="s">
        <v>686</v>
      </c>
      <c r="H376" s="31">
        <v>1</v>
      </c>
      <c r="O376" s="40">
        <f>C376*Prislapp!$C$2+D376*Prislapp!$D$2+E376*Prislapp!$E$2+F376*Prislapp!$F$2+G376*Prislapp!$G$2+H376*Prislapp!$H$2+I376*Prislapp!$I$2+J376*Prislapp!$J$2+K376*Prislapp!$K$2+L376*Prislapp!$L$2+M376*Prislapp!$M$2+N376*Prislapp!$N$2</f>
        <v>20757</v>
      </c>
      <c r="P376" s="40">
        <f>C376*Prislapp!$C$3+D376*Prislapp!$D$3+E376*Prislapp!$E$3+F376*Prislapp!$F$3+G376*Prislapp!$G$3+H376*Prislapp!$H$3+I376*Prislapp!$I$3+J376*Prislapp!$J$3+K376*Prislapp!$K$3+M376*Prislapp!$M$3+N376*Prislapp!$N$3+L376*Prislapp!$L$3</f>
        <v>36082</v>
      </c>
      <c r="Q376" s="40">
        <f>C376*Prislapp!$C$5+D376*Prislapp!$D$5+E376*Prislapp!$E$5+F376*Prislapp!$F$5+G376*Prislapp!$G$5+H376*Prislapp!$H$5+I376*Prislapp!$I$5+J376*Prislapp!$J$5+K376*Prislapp!$K$5+L376*Prislapp!$L$5+M376*Prislapp!$M$5+N376*Prislapp!$N$5</f>
        <v>22600</v>
      </c>
      <c r="R376" s="9">
        <f>VLOOKUP(A376,'Ansvar kurs'!$A$2:$B$943,2,FALSE)</f>
        <v>5730</v>
      </c>
      <c r="S376" s="157"/>
      <c r="T376" s="157"/>
      <c r="U376" s="157"/>
      <c r="V376" s="157"/>
      <c r="W376" s="157"/>
      <c r="X376" s="157"/>
      <c r="Y376" s="157"/>
      <c r="Z376" s="157"/>
    </row>
    <row r="377" spans="1:26" x14ac:dyDescent="0.25">
      <c r="A377" s="31" t="s">
        <v>355</v>
      </c>
      <c r="B377" s="31" t="s">
        <v>359</v>
      </c>
      <c r="F377" s="31">
        <v>1</v>
      </c>
      <c r="O377" s="40">
        <f>C377*Prislapp!$C$2+D377*Prislapp!$D$2+E377*Prislapp!$E$2+F377*Prislapp!$F$2+G377*Prislapp!$G$2+H377*Prislapp!$H$2+I377*Prislapp!$I$2+J377*Prislapp!$J$2+K377*Prislapp!$K$2+L377*Prislapp!$L$2+M377*Prislapp!$M$2+N377*Prislapp!$N$2</f>
        <v>26554</v>
      </c>
      <c r="P377" s="40">
        <f>C377*Prislapp!$C$3+D377*Prislapp!$D$3+E377*Prislapp!$E$3+F377*Prislapp!$F$3+G377*Prislapp!$G$3+H377*Prislapp!$H$3+I377*Prislapp!$I$3+J377*Prislapp!$J$3+K377*Prislapp!$K$3+M377*Prislapp!$M$3+N377*Prislapp!$N$3+L377*Prislapp!$L$3</f>
        <v>33465</v>
      </c>
      <c r="Q377" s="40">
        <f>C377*Prislapp!$C$5+D377*Prislapp!$D$5+E377*Prislapp!$E$5+F377*Prislapp!$F$5+G377*Prislapp!$G$5+H377*Prislapp!$H$5+I377*Prislapp!$I$5+J377*Prislapp!$J$5+K377*Prislapp!$K$5+L377*Prislapp!$L$5+M377*Prislapp!$M$5+N377*Prislapp!$N$5</f>
        <v>6000</v>
      </c>
      <c r="R377" s="9">
        <f>VLOOKUP(A377,'Ansvar kurs'!$A$2:$B$943,2,FALSE)</f>
        <v>5730</v>
      </c>
      <c r="S377" s="157"/>
      <c r="T377" s="157"/>
    </row>
    <row r="378" spans="1:26" x14ac:dyDescent="0.25">
      <c r="A378" s="31" t="s">
        <v>338</v>
      </c>
      <c r="B378" s="31" t="s">
        <v>687</v>
      </c>
      <c r="H378" s="31">
        <v>1</v>
      </c>
      <c r="O378" s="40">
        <f>C378*Prislapp!$C$2+D378*Prislapp!$D$2+E378*Prislapp!$E$2+F378*Prislapp!$F$2+G378*Prislapp!$G$2+H378*Prislapp!$H$2+I378*Prislapp!$I$2+J378*Prislapp!$J$2+K378*Prislapp!$K$2+L378*Prislapp!$L$2+M378*Prislapp!$M$2+N378*Prislapp!$N$2</f>
        <v>20757</v>
      </c>
      <c r="P378" s="40">
        <f>C378*Prislapp!$C$3+D378*Prislapp!$D$3+E378*Prislapp!$E$3+F378*Prislapp!$F$3+G378*Prislapp!$G$3+H378*Prislapp!$H$3+I378*Prislapp!$I$3+J378*Prislapp!$J$3+K378*Prislapp!$K$3+M378*Prislapp!$M$3+N378*Prislapp!$N$3+L378*Prislapp!$L$3</f>
        <v>36082</v>
      </c>
      <c r="Q378" s="40">
        <f>C378*Prislapp!$C$5+D378*Prislapp!$D$5+E378*Prislapp!$E$5+F378*Prislapp!$F$5+G378*Prislapp!$G$5+H378*Prislapp!$H$5+I378*Prislapp!$I$5+J378*Prislapp!$J$5+K378*Prislapp!$K$5+L378*Prislapp!$L$5+M378*Prislapp!$M$5+N378*Prislapp!$N$5</f>
        <v>22600</v>
      </c>
      <c r="R378" s="9">
        <f>VLOOKUP(A378,'Ansvar kurs'!$A$2:$B$943,2,FALSE)</f>
        <v>5730</v>
      </c>
      <c r="S378" s="157"/>
      <c r="T378" s="157"/>
    </row>
    <row r="379" spans="1:26" x14ac:dyDescent="0.25">
      <c r="A379" s="31" t="s">
        <v>567</v>
      </c>
      <c r="B379" s="31" t="s">
        <v>690</v>
      </c>
      <c r="H379" s="31">
        <v>1</v>
      </c>
      <c r="O379" s="40">
        <f>C379*Prislapp!$C$2+D379*Prislapp!$D$2+E379*Prislapp!$E$2+F379*Prislapp!$F$2+G379*Prislapp!$G$2+H379*Prislapp!$H$2+I379*Prislapp!$I$2+J379*Prislapp!$J$2+K379*Prislapp!$K$2+L379*Prislapp!$L$2+M379*Prislapp!$M$2+N379*Prislapp!$N$2</f>
        <v>20757</v>
      </c>
      <c r="P379" s="40">
        <f>C379*Prislapp!$C$3+D379*Prislapp!$D$3+E379*Prislapp!$E$3+F379*Prislapp!$F$3+G379*Prislapp!$G$3+H379*Prislapp!$H$3+I379*Prislapp!$I$3+J379*Prislapp!$J$3+K379*Prislapp!$K$3+M379*Prislapp!$M$3+N379*Prislapp!$N$3+L379*Prislapp!$L$3</f>
        <v>36082</v>
      </c>
      <c r="Q379" s="40">
        <f>C379*Prislapp!$C$5+D379*Prislapp!$D$5+E379*Prislapp!$E$5+F379*Prislapp!$F$5+G379*Prislapp!$G$5+H379*Prislapp!$H$5+I379*Prislapp!$I$5+J379*Prislapp!$J$5+K379*Prislapp!$K$5+L379*Prislapp!$L$5+M379*Prislapp!$M$5+N379*Prislapp!$N$5</f>
        <v>22600</v>
      </c>
      <c r="R379" s="9">
        <f>VLOOKUP(A379,'Ansvar kurs'!$A$2:$B$943,2,FALSE)</f>
        <v>5730</v>
      </c>
      <c r="S379" s="157"/>
      <c r="T379" s="157"/>
      <c r="U379" s="157"/>
      <c r="V379" s="157"/>
      <c r="W379" s="157"/>
      <c r="X379" s="157"/>
      <c r="Y379" s="157"/>
      <c r="Z379" s="157"/>
    </row>
    <row r="380" spans="1:26" x14ac:dyDescent="0.25">
      <c r="A380" s="31" t="s">
        <v>569</v>
      </c>
      <c r="B380" s="260" t="s">
        <v>691</v>
      </c>
      <c r="H380" s="31">
        <v>1</v>
      </c>
      <c r="O380" s="40">
        <f>C380*Prislapp!$C$2+D380*Prislapp!$D$2+E380*Prislapp!$E$2+F380*Prislapp!$F$2+G380*Prislapp!$G$2+H380*Prislapp!$H$2+I380*Prislapp!$I$2+J380*Prislapp!$J$2+K380*Prislapp!$K$2+L380*Prislapp!$L$2+M380*Prislapp!$M$2+N380*Prislapp!$N$2</f>
        <v>20757</v>
      </c>
      <c r="P380" s="40">
        <f>C380*Prislapp!$C$3+D380*Prislapp!$D$3+E380*Prislapp!$E$3+F380*Prislapp!$F$3+G380*Prislapp!$G$3+H380*Prislapp!$H$3+I380*Prislapp!$I$3+J380*Prislapp!$J$3+K380*Prislapp!$K$3+M380*Prislapp!$M$3+N380*Prislapp!$N$3+L380*Prislapp!$L$3</f>
        <v>36082</v>
      </c>
      <c r="Q380" s="40">
        <f>C380*Prislapp!$C$5+D380*Prislapp!$D$5+E380*Prislapp!$E$5+F380*Prislapp!$F$5+G380*Prislapp!$G$5+H380*Prislapp!$H$5+I380*Prislapp!$I$5+J380*Prislapp!$J$5+K380*Prislapp!$K$5+L380*Prislapp!$L$5+M380*Prislapp!$M$5+N380*Prislapp!$N$5</f>
        <v>22600</v>
      </c>
      <c r="R380" s="9">
        <f>VLOOKUP(A380,'Ansvar kurs'!$A$2:$B$943,2,FALSE)</f>
        <v>5730</v>
      </c>
      <c r="S380" s="157"/>
      <c r="T380" s="157"/>
      <c r="U380" s="157"/>
      <c r="V380" s="157"/>
      <c r="W380" s="157"/>
      <c r="X380" s="157"/>
      <c r="Y380" s="157"/>
      <c r="Z380" s="157"/>
    </row>
    <row r="381" spans="1:26" x14ac:dyDescent="0.25">
      <c r="A381" s="31" t="s">
        <v>570</v>
      </c>
      <c r="B381" s="31" t="s">
        <v>548</v>
      </c>
      <c r="H381" s="31">
        <v>1</v>
      </c>
      <c r="O381" s="40">
        <f>C381*Prislapp!$C$2+D381*Prislapp!$D$2+E381*Prislapp!$E$2+F381*Prislapp!$F$2+G381*Prislapp!$G$2+H381*Prislapp!$H$2+I381*Prislapp!$I$2+J381*Prislapp!$J$2+K381*Prislapp!$K$2+L381*Prislapp!$L$2+M381*Prislapp!$M$2+N381*Prislapp!$N$2</f>
        <v>20757</v>
      </c>
      <c r="P381" s="40">
        <f>C381*Prislapp!$C$3+D381*Prislapp!$D$3+E381*Prislapp!$E$3+F381*Prislapp!$F$3+G381*Prislapp!$G$3+H381*Prislapp!$H$3+I381*Prislapp!$I$3+J381*Prislapp!$J$3+K381*Prislapp!$K$3+M381*Prislapp!$M$3+N381*Prislapp!$N$3+L381*Prislapp!$L$3</f>
        <v>36082</v>
      </c>
      <c r="Q381" s="40">
        <f>C381*Prislapp!$C$5+D381*Prislapp!$D$5+E381*Prislapp!$E$5+F381*Prislapp!$F$5+G381*Prislapp!$G$5+H381*Prislapp!$H$5+I381*Prislapp!$I$5+J381*Prislapp!$J$5+K381*Prislapp!$K$5+L381*Prislapp!$L$5+M381*Prislapp!$M$5+N381*Prislapp!$N$5</f>
        <v>22600</v>
      </c>
      <c r="R381" s="9">
        <f>VLOOKUP(A381,'Ansvar kurs'!$A$2:$B$943,2,FALSE)</f>
        <v>5730</v>
      </c>
      <c r="S381" s="157"/>
      <c r="T381" s="157"/>
      <c r="U381" s="157"/>
      <c r="V381" s="157"/>
      <c r="W381" s="157"/>
      <c r="X381" s="157"/>
      <c r="Y381" s="157"/>
      <c r="Z381" s="157"/>
    </row>
    <row r="382" spans="1:26" x14ac:dyDescent="0.25">
      <c r="A382" s="31" t="s">
        <v>585</v>
      </c>
      <c r="B382" s="31" t="s">
        <v>609</v>
      </c>
      <c r="H382" s="31">
        <v>1</v>
      </c>
      <c r="O382" s="40">
        <f>C382*Prislapp!$C$2+D382*Prislapp!$D$2+E382*Prislapp!$E$2+F382*Prislapp!$F$2+G382*Prislapp!$G$2+H382*Prislapp!$H$2+I382*Prislapp!$I$2+J382*Prislapp!$J$2+K382*Prislapp!$K$2+L382*Prislapp!$L$2+M382*Prislapp!$M$2+N382*Prislapp!$N$2</f>
        <v>20757</v>
      </c>
      <c r="P382" s="40">
        <f>C382*Prislapp!$C$3+D382*Prislapp!$D$3+E382*Prislapp!$E$3+F382*Prislapp!$F$3+G382*Prislapp!$G$3+H382*Prislapp!$H$3+I382*Prislapp!$I$3+J382*Prislapp!$J$3+K382*Prislapp!$K$3+M382*Prislapp!$M$3+N382*Prislapp!$N$3+L382*Prislapp!$L$3</f>
        <v>36082</v>
      </c>
      <c r="Q382" s="40">
        <f>C382*Prislapp!$C$5+D382*Prislapp!$D$5+E382*Prislapp!$E$5+F382*Prislapp!$F$5+G382*Prislapp!$G$5+H382*Prislapp!$H$5+I382*Prislapp!$I$5+J382*Prislapp!$J$5+K382*Prislapp!$K$5+L382*Prislapp!$L$5+M382*Prislapp!$M$5+N382*Prislapp!$N$5</f>
        <v>22600</v>
      </c>
      <c r="R382" s="9">
        <f>VLOOKUP(A382,'Ansvar kurs'!$A$2:$B$943,2,FALSE)</f>
        <v>5730</v>
      </c>
      <c r="S382" s="157"/>
      <c r="T382" s="157"/>
      <c r="U382" s="157"/>
      <c r="V382" s="157"/>
      <c r="W382" s="157"/>
      <c r="X382" s="157"/>
      <c r="Y382" s="157"/>
      <c r="Z382" s="157"/>
    </row>
    <row r="383" spans="1:26" x14ac:dyDescent="0.25">
      <c r="A383" s="31" t="s">
        <v>586</v>
      </c>
      <c r="B383" s="31" t="s">
        <v>621</v>
      </c>
      <c r="H383" s="31">
        <v>1</v>
      </c>
      <c r="O383" s="40">
        <f>C383*Prislapp!$C$2+D383*Prislapp!$D$2+E383*Prislapp!$E$2+F383*Prislapp!$F$2+G383*Prislapp!$G$2+H383*Prislapp!$H$2+I383*Prislapp!$I$2+J383*Prislapp!$J$2+K383*Prislapp!$K$2+L383*Prislapp!$L$2+M383*Prislapp!$M$2+N383*Prislapp!$N$2</f>
        <v>20757</v>
      </c>
      <c r="P383" s="40">
        <f>C383*Prislapp!$C$3+D383*Prislapp!$D$3+E383*Prislapp!$E$3+F383*Prislapp!$F$3+G383*Prislapp!$G$3+H383*Prislapp!$H$3+I383*Prislapp!$I$3+J383*Prislapp!$J$3+K383*Prislapp!$K$3+M383*Prislapp!$M$3+N383*Prislapp!$N$3+L383*Prislapp!$L$3</f>
        <v>36082</v>
      </c>
      <c r="Q383" s="40">
        <f>C383*Prislapp!$C$5+D383*Prislapp!$D$5+E383*Prislapp!$E$5+F383*Prislapp!$F$5+G383*Prislapp!$G$5+H383*Prislapp!$H$5+I383*Prislapp!$I$5+J383*Prislapp!$J$5+K383*Prislapp!$K$5+L383*Prislapp!$L$5+M383*Prislapp!$M$5+N383*Prislapp!$N$5</f>
        <v>22600</v>
      </c>
      <c r="R383" s="9">
        <f>VLOOKUP(A383,'Ansvar kurs'!$A$2:$B$943,2,FALSE)</f>
        <v>5730</v>
      </c>
      <c r="S383" s="157"/>
      <c r="T383" s="157"/>
      <c r="U383" s="157"/>
      <c r="V383" s="157"/>
      <c r="W383" s="157"/>
      <c r="X383" s="157"/>
      <c r="Y383" s="157"/>
      <c r="Z383" s="157"/>
    </row>
    <row r="384" spans="1:26" x14ac:dyDescent="0.25">
      <c r="A384" s="31" t="s">
        <v>587</v>
      </c>
      <c r="B384" s="31" t="s">
        <v>622</v>
      </c>
      <c r="H384" s="31">
        <v>1</v>
      </c>
      <c r="O384" s="40">
        <f>C384*Prislapp!$C$2+D384*Prislapp!$D$2+E384*Prislapp!$E$2+F384*Prislapp!$F$2+G384*Prislapp!$G$2+H384*Prislapp!$H$2+I384*Prislapp!$I$2+J384*Prislapp!$J$2+K384*Prislapp!$K$2+L384*Prislapp!$L$2+M384*Prislapp!$M$2+N384*Prislapp!$N$2</f>
        <v>20757</v>
      </c>
      <c r="P384" s="40">
        <f>C384*Prislapp!$C$3+D384*Prislapp!$D$3+E384*Prislapp!$E$3+F384*Prislapp!$F$3+G384*Prislapp!$G$3+H384*Prislapp!$H$3+I384*Prislapp!$I$3+J384*Prislapp!$J$3+K384*Prislapp!$K$3+M384*Prislapp!$M$3+N384*Prislapp!$N$3+L384*Prislapp!$L$3</f>
        <v>36082</v>
      </c>
      <c r="Q384" s="40">
        <f>C384*Prislapp!$C$5+D384*Prislapp!$D$5+E384*Prislapp!$E$5+F384*Prislapp!$F$5+G384*Prislapp!$G$5+H384*Prislapp!$H$5+I384*Prislapp!$I$5+J384*Prislapp!$J$5+K384*Prislapp!$K$5+L384*Prislapp!$L$5+M384*Prislapp!$M$5+N384*Prislapp!$N$5</f>
        <v>22600</v>
      </c>
      <c r="R384" s="9">
        <f>VLOOKUP(A384,'Ansvar kurs'!$A$2:$B$943,2,FALSE)</f>
        <v>5730</v>
      </c>
      <c r="S384" s="157"/>
      <c r="T384" s="157"/>
      <c r="U384" s="157"/>
      <c r="V384" s="157"/>
      <c r="W384" s="157"/>
      <c r="X384" s="157"/>
      <c r="Y384" s="157"/>
      <c r="Z384" s="157"/>
    </row>
    <row r="385" spans="1:16372" x14ac:dyDescent="0.25">
      <c r="A385" s="31" t="s">
        <v>640</v>
      </c>
      <c r="B385" s="31" t="s">
        <v>431</v>
      </c>
      <c r="H385" s="31">
        <v>1</v>
      </c>
      <c r="O385" s="40">
        <f>C385*Prislapp!$C$2+D385*Prislapp!$D$2+E385*Prislapp!$E$2+F385*Prislapp!$F$2+G385*Prislapp!$G$2+H385*Prislapp!$H$2+I385*Prislapp!$I$2+J385*Prislapp!$J$2+K385*Prislapp!$K$2+L385*Prislapp!$L$2+M385*Prislapp!$M$2+N385*Prislapp!$N$2</f>
        <v>20757</v>
      </c>
      <c r="P385" s="40">
        <f>C385*Prislapp!$C$3+D385*Prislapp!$D$3+E385*Prislapp!$E$3+F385*Prislapp!$F$3+G385*Prislapp!$G$3+H385*Prislapp!$H$3+I385*Prislapp!$I$3+J385*Prislapp!$J$3+K385*Prislapp!$K$3+M385*Prislapp!$M$3+N385*Prislapp!$N$3+L385*Prislapp!$L$3</f>
        <v>36082</v>
      </c>
      <c r="Q385" s="40">
        <f>C385*Prislapp!$C$5+D385*Prislapp!$D$5+E385*Prislapp!$E$5+F385*Prislapp!$F$5+G385*Prislapp!$G$5+H385*Prislapp!$H$5+I385*Prislapp!$I$5+J385*Prislapp!$J$5+K385*Prislapp!$K$5+L385*Prislapp!$L$5+M385*Prislapp!$M$5+N385*Prislapp!$N$5</f>
        <v>22600</v>
      </c>
      <c r="R385" s="9">
        <f>VLOOKUP(A385,'Ansvar kurs'!$A$2:$B$943,2,FALSE)</f>
        <v>5730</v>
      </c>
      <c r="S385" s="157"/>
      <c r="T385" s="157"/>
      <c r="U385" s="157"/>
      <c r="V385" s="157"/>
      <c r="W385" s="157"/>
      <c r="X385" s="157"/>
      <c r="Y385" s="157"/>
      <c r="Z385" s="157"/>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c r="CR385" s="102"/>
      <c r="CS385" s="102"/>
      <c r="CT385" s="102"/>
      <c r="CU385" s="102"/>
      <c r="CV385" s="102"/>
      <c r="CW385" s="102"/>
      <c r="CX385" s="102"/>
      <c r="CY385" s="102"/>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02"/>
      <c r="EA385" s="102"/>
      <c r="EB385" s="102"/>
      <c r="EC385" s="102"/>
      <c r="ED385" s="102"/>
      <c r="EE385" s="102"/>
      <c r="EF385" s="102"/>
      <c r="EG385" s="102"/>
      <c r="EH385" s="102"/>
      <c r="EI385" s="102"/>
      <c r="EJ385" s="102"/>
      <c r="EK385" s="102"/>
      <c r="EL385" s="102"/>
      <c r="EM385" s="102"/>
      <c r="EN385" s="102"/>
      <c r="EO385" s="102"/>
      <c r="EP385" s="102"/>
      <c r="EQ385" s="102"/>
      <c r="ER385" s="102"/>
      <c r="ES385" s="102"/>
      <c r="ET385" s="102"/>
      <c r="EU385" s="102"/>
      <c r="EV385" s="102"/>
      <c r="EW385" s="102"/>
      <c r="EX385" s="102"/>
      <c r="EY385" s="102"/>
      <c r="EZ385" s="102"/>
      <c r="FA385" s="102"/>
      <c r="FB385" s="102"/>
      <c r="FC385" s="102"/>
      <c r="FD385" s="102"/>
      <c r="FE385" s="102"/>
      <c r="FF385" s="102"/>
      <c r="FG385" s="102"/>
      <c r="FH385" s="102"/>
      <c r="FI385" s="102"/>
      <c r="FJ385" s="102"/>
      <c r="FK385" s="102"/>
      <c r="FL385" s="102"/>
      <c r="FM385" s="102"/>
      <c r="FN385" s="102"/>
      <c r="FO385" s="102"/>
      <c r="FP385" s="102"/>
      <c r="FQ385" s="102"/>
      <c r="FR385" s="102"/>
      <c r="FS385" s="102"/>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02"/>
      <c r="GV385" s="102"/>
      <c r="GW385" s="102"/>
      <c r="GX385" s="102"/>
      <c r="GY385" s="102"/>
      <c r="GZ385" s="102"/>
      <c r="HA385" s="102"/>
      <c r="HB385" s="102"/>
      <c r="HC385" s="102"/>
      <c r="HD385" s="102"/>
      <c r="HE385" s="102"/>
      <c r="HF385" s="102"/>
      <c r="HG385" s="102"/>
      <c r="HH385" s="102"/>
      <c r="HI385" s="102"/>
      <c r="HJ385" s="102"/>
      <c r="HK385" s="102"/>
      <c r="HL385" s="102"/>
      <c r="HM385" s="102"/>
      <c r="HN385" s="102"/>
      <c r="HO385" s="102"/>
      <c r="HP385" s="102"/>
      <c r="HQ385" s="102"/>
      <c r="HR385" s="102"/>
      <c r="HS385" s="102"/>
      <c r="HT385" s="102"/>
      <c r="HU385" s="102"/>
      <c r="HV385" s="102"/>
      <c r="HW385" s="102"/>
      <c r="HX385" s="102"/>
      <c r="HY385" s="102"/>
      <c r="HZ385" s="102"/>
      <c r="IA385" s="102"/>
      <c r="IB385" s="102"/>
      <c r="IC385" s="102"/>
      <c r="ID385" s="102"/>
      <c r="IE385" s="102"/>
      <c r="IF385" s="102"/>
      <c r="IG385" s="102"/>
      <c r="IH385" s="102"/>
      <c r="II385" s="102"/>
      <c r="IJ385" s="102"/>
      <c r="IK385" s="102"/>
      <c r="IL385" s="102"/>
      <c r="IM385" s="102"/>
      <c r="IN385" s="102"/>
      <c r="IO385" s="102"/>
      <c r="IP385" s="102"/>
      <c r="IQ385" s="102"/>
      <c r="IR385" s="102"/>
      <c r="IS385" s="102"/>
      <c r="IT385" s="102"/>
      <c r="IU385" s="102"/>
      <c r="IV385" s="102"/>
      <c r="IW385" s="102"/>
      <c r="IX385" s="102"/>
      <c r="IY385" s="102"/>
      <c r="IZ385" s="102"/>
      <c r="JA385" s="102"/>
      <c r="JB385" s="102"/>
      <c r="JC385" s="102"/>
      <c r="JD385" s="102"/>
      <c r="JE385" s="102"/>
      <c r="JF385" s="102"/>
      <c r="JG385" s="102"/>
      <c r="JH385" s="102"/>
      <c r="JI385" s="102"/>
      <c r="JJ385" s="102"/>
      <c r="JK385" s="102"/>
      <c r="JL385" s="102"/>
      <c r="JM385" s="102"/>
      <c r="JN385" s="102"/>
      <c r="JO385" s="102"/>
      <c r="JP385" s="102"/>
      <c r="JQ385" s="102"/>
      <c r="JR385" s="102"/>
      <c r="JS385" s="102"/>
      <c r="JT385" s="102"/>
      <c r="JU385" s="102"/>
      <c r="JV385" s="102"/>
      <c r="JW385" s="102"/>
      <c r="JX385" s="102"/>
      <c r="JY385" s="102"/>
      <c r="JZ385" s="102"/>
      <c r="KA385" s="102"/>
      <c r="KB385" s="102"/>
      <c r="KC385" s="102"/>
      <c r="KD385" s="102"/>
      <c r="KE385" s="102"/>
      <c r="KF385" s="102"/>
      <c r="KG385" s="102"/>
      <c r="KH385" s="102"/>
      <c r="KI385" s="102"/>
      <c r="KJ385" s="102"/>
      <c r="KK385" s="102"/>
      <c r="KL385" s="102"/>
      <c r="KM385" s="102"/>
      <c r="KN385" s="102"/>
      <c r="KO385" s="102"/>
      <c r="KP385" s="102"/>
      <c r="KQ385" s="102"/>
      <c r="KR385" s="102"/>
      <c r="KS385" s="102"/>
      <c r="KT385" s="102"/>
      <c r="KU385" s="102"/>
      <c r="KV385" s="102"/>
      <c r="KW385" s="102"/>
      <c r="KX385" s="102"/>
      <c r="KY385" s="102"/>
      <c r="KZ385" s="102"/>
      <c r="LA385" s="102"/>
      <c r="LB385" s="102"/>
      <c r="LC385" s="102"/>
      <c r="LD385" s="102"/>
      <c r="LE385" s="102"/>
      <c r="LF385" s="102"/>
      <c r="LG385" s="102"/>
      <c r="LH385" s="102"/>
      <c r="LI385" s="102"/>
      <c r="LJ385" s="102"/>
      <c r="LK385" s="102"/>
      <c r="LL385" s="102"/>
      <c r="LM385" s="102"/>
      <c r="LN385" s="102"/>
      <c r="LO385" s="102"/>
      <c r="LP385" s="102"/>
      <c r="LQ385" s="102"/>
      <c r="LR385" s="102"/>
      <c r="LS385" s="102"/>
      <c r="LT385" s="102"/>
      <c r="LU385" s="102"/>
      <c r="LV385" s="102"/>
      <c r="LW385" s="102"/>
      <c r="LX385" s="102"/>
      <c r="LY385" s="102"/>
      <c r="LZ385" s="102"/>
      <c r="MA385" s="102"/>
      <c r="MB385" s="102"/>
      <c r="MC385" s="102"/>
      <c r="MD385" s="102"/>
      <c r="ME385" s="102"/>
      <c r="MF385" s="102"/>
      <c r="MG385" s="102"/>
      <c r="MH385" s="102"/>
      <c r="MI385" s="102"/>
      <c r="MJ385" s="102"/>
      <c r="MK385" s="102"/>
      <c r="ML385" s="102"/>
      <c r="MM385" s="102"/>
      <c r="MN385" s="102"/>
      <c r="MO385" s="102"/>
      <c r="MP385" s="102"/>
      <c r="MQ385" s="102"/>
      <c r="MR385" s="102"/>
      <c r="MS385" s="102"/>
      <c r="MT385" s="102"/>
      <c r="MU385" s="102"/>
      <c r="MV385" s="102"/>
      <c r="MW385" s="102"/>
      <c r="MX385" s="102"/>
      <c r="MY385" s="102"/>
      <c r="MZ385" s="102"/>
      <c r="NA385" s="102"/>
      <c r="NB385" s="102"/>
      <c r="NC385" s="102"/>
      <c r="ND385" s="102"/>
      <c r="NE385" s="102"/>
      <c r="NF385" s="102"/>
      <c r="NG385" s="102"/>
      <c r="NH385" s="102"/>
      <c r="NI385" s="102"/>
      <c r="NJ385" s="102"/>
      <c r="NK385" s="102"/>
      <c r="NL385" s="102"/>
      <c r="NM385" s="102"/>
      <c r="NN385" s="102"/>
      <c r="NO385" s="102"/>
      <c r="NP385" s="102"/>
      <c r="NQ385" s="102"/>
      <c r="NR385" s="102"/>
      <c r="NS385" s="102"/>
      <c r="NT385" s="102"/>
      <c r="NU385" s="102"/>
      <c r="NV385" s="102"/>
      <c r="NW385" s="102"/>
      <c r="NX385" s="102"/>
      <c r="NY385" s="102"/>
      <c r="NZ385" s="102"/>
      <c r="OA385" s="102"/>
      <c r="OB385" s="102"/>
      <c r="OC385" s="102"/>
      <c r="OD385" s="102"/>
      <c r="OE385" s="102"/>
      <c r="OF385" s="102"/>
      <c r="OG385" s="102"/>
      <c r="OH385" s="102"/>
      <c r="OI385" s="102"/>
      <c r="OJ385" s="102"/>
      <c r="OK385" s="102"/>
      <c r="OL385" s="102"/>
      <c r="OM385" s="102"/>
      <c r="ON385" s="102"/>
      <c r="OO385" s="102"/>
      <c r="OP385" s="102"/>
      <c r="OQ385" s="102"/>
      <c r="OR385" s="102"/>
      <c r="OS385" s="102"/>
      <c r="OT385" s="102"/>
      <c r="OU385" s="102"/>
      <c r="OV385" s="102"/>
      <c r="OW385" s="102"/>
      <c r="OX385" s="102"/>
      <c r="OY385" s="102"/>
      <c r="OZ385" s="102"/>
      <c r="PA385" s="102"/>
      <c r="PB385" s="102"/>
      <c r="PC385" s="102"/>
      <c r="PD385" s="102"/>
      <c r="PE385" s="102"/>
      <c r="PF385" s="102"/>
      <c r="PG385" s="102"/>
      <c r="PH385" s="102"/>
      <c r="PI385" s="102"/>
      <c r="PJ385" s="102"/>
      <c r="PK385" s="102"/>
      <c r="PL385" s="102"/>
      <c r="PM385" s="102"/>
      <c r="PN385" s="102"/>
      <c r="PO385" s="102"/>
      <c r="PP385" s="102"/>
      <c r="PQ385" s="102"/>
      <c r="PR385" s="102"/>
      <c r="PS385" s="102"/>
      <c r="PT385" s="102"/>
      <c r="PU385" s="102"/>
      <c r="PV385" s="102"/>
      <c r="PW385" s="102"/>
      <c r="PX385" s="102"/>
      <c r="PY385" s="102"/>
      <c r="PZ385" s="102"/>
      <c r="QA385" s="102"/>
      <c r="QB385" s="102"/>
      <c r="QC385" s="102"/>
      <c r="QD385" s="102"/>
      <c r="QE385" s="102"/>
      <c r="QF385" s="102"/>
      <c r="QG385" s="102"/>
      <c r="QH385" s="102"/>
      <c r="QI385" s="102"/>
      <c r="QJ385" s="102"/>
      <c r="QK385" s="102"/>
      <c r="QL385" s="102"/>
      <c r="QM385" s="102"/>
      <c r="QN385" s="102"/>
      <c r="QO385" s="102"/>
      <c r="QP385" s="102"/>
      <c r="QQ385" s="102"/>
      <c r="QR385" s="102"/>
      <c r="QS385" s="102"/>
      <c r="QT385" s="102"/>
      <c r="QU385" s="102"/>
      <c r="QV385" s="102"/>
      <c r="QW385" s="102"/>
      <c r="QX385" s="102"/>
      <c r="QY385" s="102"/>
      <c r="QZ385" s="102"/>
      <c r="RA385" s="102"/>
      <c r="RB385" s="102"/>
      <c r="RC385" s="102"/>
      <c r="RD385" s="102"/>
      <c r="RE385" s="102"/>
      <c r="RF385" s="102"/>
      <c r="RG385" s="102"/>
      <c r="RH385" s="102"/>
      <c r="RI385" s="102"/>
      <c r="RJ385" s="102"/>
      <c r="RK385" s="102"/>
      <c r="RL385" s="102"/>
      <c r="RM385" s="102"/>
      <c r="RN385" s="102"/>
      <c r="RO385" s="102"/>
      <c r="RP385" s="102"/>
      <c r="RQ385" s="102"/>
      <c r="RR385" s="102"/>
      <c r="RS385" s="102"/>
      <c r="RT385" s="102"/>
      <c r="RU385" s="102"/>
      <c r="RV385" s="102"/>
      <c r="RW385" s="102"/>
      <c r="RX385" s="102"/>
      <c r="RY385" s="102"/>
      <c r="RZ385" s="102"/>
      <c r="SA385" s="102"/>
      <c r="SB385" s="102"/>
      <c r="SC385" s="102"/>
      <c r="SD385" s="102"/>
      <c r="SE385" s="102"/>
      <c r="SF385" s="102"/>
      <c r="SG385" s="102"/>
      <c r="SH385" s="102"/>
      <c r="SI385" s="102"/>
      <c r="SJ385" s="102"/>
      <c r="SK385" s="102"/>
      <c r="SL385" s="102"/>
      <c r="SM385" s="102"/>
      <c r="SN385" s="102"/>
      <c r="SO385" s="102"/>
      <c r="SP385" s="102"/>
      <c r="SQ385" s="102"/>
      <c r="SR385" s="102"/>
      <c r="SS385" s="102"/>
      <c r="ST385" s="102"/>
      <c r="SU385" s="102"/>
      <c r="SV385" s="102"/>
      <c r="SW385" s="102"/>
      <c r="SX385" s="102"/>
      <c r="SY385" s="102"/>
      <c r="SZ385" s="102"/>
      <c r="TA385" s="102"/>
      <c r="TB385" s="102"/>
      <c r="TC385" s="102"/>
      <c r="TD385" s="102"/>
      <c r="TE385" s="102"/>
      <c r="TF385" s="102"/>
      <c r="TG385" s="102"/>
      <c r="TH385" s="102"/>
      <c r="TI385" s="102"/>
      <c r="TJ385" s="102"/>
      <c r="TK385" s="102"/>
      <c r="TL385" s="102"/>
      <c r="TM385" s="102"/>
      <c r="TN385" s="102"/>
      <c r="TO385" s="102"/>
      <c r="TP385" s="102"/>
      <c r="TQ385" s="102"/>
      <c r="TR385" s="102"/>
      <c r="TS385" s="102"/>
      <c r="TT385" s="102"/>
      <c r="TU385" s="102"/>
      <c r="TV385" s="102"/>
      <c r="TW385" s="102"/>
      <c r="TX385" s="102"/>
      <c r="TY385" s="102"/>
      <c r="TZ385" s="102"/>
      <c r="UA385" s="102"/>
      <c r="UB385" s="102"/>
      <c r="UC385" s="102"/>
      <c r="UD385" s="102"/>
      <c r="UE385" s="102"/>
      <c r="UF385" s="102"/>
      <c r="UG385" s="102"/>
      <c r="UH385" s="102"/>
      <c r="UI385" s="102"/>
      <c r="UJ385" s="102"/>
      <c r="UK385" s="102"/>
      <c r="UL385" s="102"/>
      <c r="UM385" s="102"/>
      <c r="UN385" s="102"/>
      <c r="UO385" s="102"/>
      <c r="UP385" s="102"/>
      <c r="UQ385" s="102"/>
      <c r="UR385" s="102"/>
      <c r="US385" s="102"/>
      <c r="UT385" s="102"/>
      <c r="UU385" s="102"/>
      <c r="UV385" s="102"/>
      <c r="UW385" s="102"/>
      <c r="UX385" s="102"/>
      <c r="UY385" s="102"/>
      <c r="UZ385" s="102"/>
      <c r="VA385" s="102"/>
      <c r="VB385" s="102"/>
      <c r="VC385" s="102"/>
      <c r="VD385" s="102"/>
      <c r="VE385" s="102"/>
      <c r="VF385" s="102"/>
      <c r="VG385" s="102"/>
      <c r="VH385" s="102"/>
      <c r="VI385" s="102"/>
      <c r="VJ385" s="102"/>
      <c r="VK385" s="102"/>
      <c r="VL385" s="102"/>
      <c r="VM385" s="102"/>
      <c r="VN385" s="102"/>
      <c r="VO385" s="102"/>
      <c r="VP385" s="102"/>
      <c r="VQ385" s="102"/>
      <c r="VR385" s="102"/>
      <c r="VS385" s="102"/>
      <c r="VT385" s="102"/>
      <c r="VU385" s="102"/>
      <c r="VV385" s="102"/>
      <c r="VW385" s="102"/>
      <c r="VX385" s="102"/>
      <c r="VY385" s="102"/>
      <c r="VZ385" s="102"/>
      <c r="WA385" s="102"/>
      <c r="WB385" s="102"/>
      <c r="WC385" s="102"/>
      <c r="WD385" s="102"/>
      <c r="WE385" s="102"/>
      <c r="WF385" s="102"/>
      <c r="WG385" s="102"/>
      <c r="WH385" s="102"/>
      <c r="WI385" s="102"/>
      <c r="WJ385" s="102"/>
      <c r="WK385" s="102"/>
      <c r="WL385" s="102"/>
      <c r="WM385" s="102"/>
      <c r="WN385" s="102"/>
      <c r="WO385" s="102"/>
      <c r="WP385" s="102"/>
      <c r="WQ385" s="102"/>
      <c r="WR385" s="102"/>
      <c r="WS385" s="102"/>
      <c r="WT385" s="102"/>
      <c r="WU385" s="102"/>
      <c r="WV385" s="102"/>
      <c r="WW385" s="102"/>
      <c r="WX385" s="102"/>
      <c r="WY385" s="102"/>
      <c r="WZ385" s="102"/>
      <c r="XA385" s="102"/>
      <c r="XB385" s="102"/>
      <c r="XC385" s="102"/>
      <c r="XD385" s="102"/>
      <c r="XE385" s="102"/>
      <c r="XF385" s="102"/>
      <c r="XG385" s="102"/>
      <c r="XH385" s="102"/>
      <c r="XI385" s="102"/>
      <c r="XJ385" s="102"/>
      <c r="XK385" s="102"/>
      <c r="XL385" s="102"/>
      <c r="XM385" s="102"/>
      <c r="XN385" s="102"/>
      <c r="XO385" s="102"/>
      <c r="XP385" s="102"/>
      <c r="XQ385" s="102"/>
      <c r="XR385" s="102"/>
      <c r="XS385" s="102"/>
      <c r="XT385" s="102"/>
      <c r="XU385" s="102"/>
      <c r="XV385" s="102"/>
      <c r="XW385" s="102"/>
      <c r="XX385" s="102"/>
      <c r="XY385" s="102"/>
      <c r="XZ385" s="102"/>
      <c r="YA385" s="102"/>
      <c r="YB385" s="102"/>
      <c r="YC385" s="102"/>
      <c r="YD385" s="102"/>
      <c r="YE385" s="102"/>
      <c r="YF385" s="102"/>
      <c r="YG385" s="102"/>
      <c r="YH385" s="102"/>
      <c r="YI385" s="102"/>
      <c r="YJ385" s="102"/>
      <c r="YK385" s="102"/>
      <c r="YL385" s="102"/>
      <c r="YM385" s="102"/>
      <c r="YN385" s="102"/>
      <c r="YO385" s="102"/>
      <c r="YP385" s="102"/>
      <c r="YQ385" s="102"/>
      <c r="YR385" s="102"/>
      <c r="YS385" s="102"/>
      <c r="YT385" s="102"/>
      <c r="YU385" s="102"/>
      <c r="YV385" s="102"/>
      <c r="YW385" s="102"/>
      <c r="YX385" s="102"/>
      <c r="YY385" s="102"/>
      <c r="YZ385" s="102"/>
      <c r="ZA385" s="102"/>
      <c r="ZB385" s="102"/>
      <c r="ZC385" s="102"/>
      <c r="ZD385" s="102"/>
      <c r="ZE385" s="102"/>
      <c r="ZF385" s="102"/>
      <c r="ZG385" s="102"/>
      <c r="ZH385" s="102"/>
      <c r="ZI385" s="102"/>
      <c r="ZJ385" s="102"/>
      <c r="ZK385" s="102"/>
      <c r="ZL385" s="102"/>
      <c r="ZM385" s="102"/>
      <c r="ZN385" s="102"/>
      <c r="ZO385" s="102"/>
      <c r="ZP385" s="102"/>
      <c r="ZQ385" s="102"/>
      <c r="ZR385" s="102"/>
      <c r="ZS385" s="102"/>
      <c r="ZT385" s="102"/>
      <c r="ZU385" s="102"/>
      <c r="ZV385" s="102"/>
      <c r="ZW385" s="102"/>
      <c r="ZX385" s="102"/>
      <c r="ZY385" s="102"/>
      <c r="ZZ385" s="102"/>
      <c r="AAA385" s="102"/>
      <c r="AAB385" s="102"/>
      <c r="AAC385" s="102"/>
      <c r="AAD385" s="102"/>
      <c r="AAE385" s="102"/>
      <c r="AAF385" s="102"/>
      <c r="AAG385" s="102"/>
      <c r="AAH385" s="102"/>
      <c r="AAI385" s="102"/>
      <c r="AAJ385" s="102"/>
      <c r="AAK385" s="102"/>
      <c r="AAL385" s="102"/>
      <c r="AAM385" s="102"/>
      <c r="AAN385" s="102"/>
      <c r="AAO385" s="102"/>
      <c r="AAP385" s="102"/>
      <c r="AAQ385" s="102"/>
      <c r="AAR385" s="102"/>
      <c r="AAS385" s="102"/>
      <c r="AAT385" s="102"/>
      <c r="AAU385" s="102"/>
      <c r="AAV385" s="102"/>
      <c r="AAW385" s="102"/>
      <c r="AAX385" s="102"/>
      <c r="AAY385" s="102"/>
      <c r="AAZ385" s="102"/>
      <c r="ABA385" s="102"/>
      <c r="ABB385" s="102"/>
      <c r="ABC385" s="102"/>
      <c r="ABD385" s="102"/>
      <c r="ABE385" s="102"/>
      <c r="ABF385" s="102"/>
      <c r="ABG385" s="102"/>
      <c r="ABH385" s="102"/>
      <c r="ABI385" s="102"/>
      <c r="ABJ385" s="102"/>
      <c r="ABK385" s="102"/>
      <c r="ABL385" s="102"/>
      <c r="ABM385" s="102"/>
      <c r="ABN385" s="102"/>
      <c r="ABO385" s="102"/>
      <c r="ABP385" s="102"/>
      <c r="ABQ385" s="102"/>
      <c r="ABR385" s="102"/>
      <c r="ABS385" s="102"/>
      <c r="ABT385" s="102"/>
      <c r="ABU385" s="102"/>
      <c r="ABV385" s="102"/>
      <c r="ABW385" s="102"/>
      <c r="ABX385" s="102"/>
      <c r="ABY385" s="102"/>
      <c r="ABZ385" s="102"/>
      <c r="ACA385" s="102"/>
      <c r="ACB385" s="102"/>
      <c r="ACC385" s="102"/>
      <c r="ACD385" s="102"/>
      <c r="ACE385" s="102"/>
      <c r="ACF385" s="102"/>
      <c r="ACG385" s="102"/>
      <c r="ACH385" s="102"/>
      <c r="ACI385" s="102"/>
      <c r="ACJ385" s="102"/>
      <c r="ACK385" s="102"/>
      <c r="ACL385" s="102"/>
      <c r="ACM385" s="102"/>
      <c r="ACN385" s="102"/>
      <c r="ACO385" s="102"/>
      <c r="ACP385" s="102"/>
      <c r="ACQ385" s="102"/>
      <c r="ACR385" s="102"/>
      <c r="ACS385" s="102"/>
      <c r="ACT385" s="102"/>
      <c r="ACU385" s="102"/>
      <c r="ACV385" s="102"/>
      <c r="ACW385" s="102"/>
      <c r="ACX385" s="102"/>
      <c r="ACY385" s="102"/>
      <c r="ACZ385" s="102"/>
      <c r="ADA385" s="102"/>
      <c r="ADB385" s="102"/>
      <c r="ADC385" s="102"/>
      <c r="ADD385" s="102"/>
      <c r="ADE385" s="102"/>
      <c r="ADF385" s="102"/>
      <c r="ADG385" s="102"/>
      <c r="ADH385" s="102"/>
      <c r="ADI385" s="102"/>
      <c r="ADJ385" s="102"/>
      <c r="ADK385" s="102"/>
      <c r="ADL385" s="102"/>
      <c r="ADM385" s="102"/>
      <c r="ADN385" s="102"/>
      <c r="ADO385" s="102"/>
      <c r="ADP385" s="102"/>
      <c r="ADQ385" s="102"/>
      <c r="ADR385" s="102"/>
      <c r="ADS385" s="102"/>
      <c r="ADT385" s="102"/>
      <c r="ADU385" s="102"/>
      <c r="ADV385" s="102"/>
      <c r="ADW385" s="102"/>
      <c r="ADX385" s="102"/>
      <c r="ADY385" s="102"/>
      <c r="ADZ385" s="102"/>
      <c r="AEA385" s="102"/>
      <c r="AEB385" s="102"/>
      <c r="AEC385" s="102"/>
      <c r="AED385" s="102"/>
      <c r="AEE385" s="102"/>
      <c r="AEF385" s="102"/>
      <c r="AEG385" s="102"/>
      <c r="AEH385" s="102"/>
      <c r="AEI385" s="102"/>
      <c r="AEJ385" s="102"/>
      <c r="AEK385" s="102"/>
      <c r="AEL385" s="102"/>
      <c r="AEM385" s="102"/>
      <c r="AEN385" s="102"/>
      <c r="AEO385" s="102"/>
      <c r="AEP385" s="102"/>
      <c r="AEQ385" s="102"/>
      <c r="AER385" s="102"/>
      <c r="AES385" s="102"/>
      <c r="AET385" s="102"/>
      <c r="AEU385" s="102"/>
      <c r="AEV385" s="102"/>
      <c r="AEW385" s="102"/>
      <c r="AEX385" s="102"/>
      <c r="AEY385" s="102"/>
      <c r="AEZ385" s="102"/>
      <c r="AFA385" s="102"/>
      <c r="AFB385" s="102"/>
      <c r="AFC385" s="102"/>
      <c r="AFD385" s="102"/>
      <c r="AFE385" s="102"/>
      <c r="AFF385" s="102"/>
      <c r="AFG385" s="102"/>
      <c r="AFH385" s="102"/>
      <c r="AFI385" s="102"/>
      <c r="AFJ385" s="102"/>
      <c r="AFK385" s="102"/>
      <c r="AFL385" s="102"/>
      <c r="AFM385" s="102"/>
      <c r="AFN385" s="102"/>
      <c r="AFO385" s="102"/>
      <c r="AFP385" s="102"/>
      <c r="AFQ385" s="102"/>
      <c r="AFR385" s="102"/>
      <c r="AFS385" s="102"/>
      <c r="AFT385" s="102"/>
      <c r="AFU385" s="102"/>
      <c r="AFV385" s="102"/>
      <c r="AFW385" s="102"/>
      <c r="AFX385" s="102"/>
      <c r="AFY385" s="102"/>
      <c r="AFZ385" s="102"/>
      <c r="AGA385" s="102"/>
      <c r="AGB385" s="102"/>
      <c r="AGC385" s="102"/>
      <c r="AGD385" s="102"/>
      <c r="AGE385" s="102"/>
      <c r="AGF385" s="102"/>
      <c r="AGG385" s="102"/>
      <c r="AGH385" s="102"/>
      <c r="AGI385" s="102"/>
      <c r="AGJ385" s="102"/>
      <c r="AGK385" s="102"/>
      <c r="AGL385" s="102"/>
      <c r="AGM385" s="102"/>
      <c r="AGN385" s="102"/>
      <c r="AGO385" s="102"/>
      <c r="AGP385" s="102"/>
      <c r="AGQ385" s="102"/>
      <c r="AGR385" s="102"/>
      <c r="AGS385" s="102"/>
      <c r="AGT385" s="102"/>
      <c r="AGU385" s="102"/>
      <c r="AGV385" s="102"/>
      <c r="AGW385" s="102"/>
      <c r="AGX385" s="102"/>
      <c r="AGY385" s="102"/>
      <c r="AGZ385" s="102"/>
      <c r="AHA385" s="102"/>
      <c r="AHB385" s="102"/>
      <c r="AHC385" s="102"/>
      <c r="AHD385" s="102"/>
      <c r="AHE385" s="102"/>
      <c r="AHF385" s="102"/>
      <c r="AHG385" s="102"/>
      <c r="AHH385" s="102"/>
      <c r="AHI385" s="102"/>
      <c r="AHJ385" s="102"/>
      <c r="AHK385" s="102"/>
      <c r="AHL385" s="102"/>
      <c r="AHM385" s="102"/>
      <c r="AHN385" s="102"/>
      <c r="AHO385" s="102"/>
      <c r="AHP385" s="102"/>
      <c r="AHQ385" s="102"/>
      <c r="AHR385" s="102"/>
      <c r="AHS385" s="102"/>
      <c r="AHT385" s="102"/>
      <c r="AHU385" s="102"/>
      <c r="AHV385" s="102"/>
      <c r="AHW385" s="102"/>
      <c r="AHX385" s="102"/>
      <c r="AHY385" s="102"/>
      <c r="AHZ385" s="102"/>
      <c r="AIA385" s="102"/>
      <c r="AIB385" s="102"/>
      <c r="AIC385" s="102"/>
      <c r="AID385" s="102"/>
      <c r="AIE385" s="102"/>
      <c r="AIF385" s="102"/>
      <c r="AIG385" s="102"/>
      <c r="AIH385" s="102"/>
      <c r="AII385" s="102"/>
      <c r="AIJ385" s="102"/>
      <c r="AIK385" s="102"/>
      <c r="AIL385" s="102"/>
      <c r="AIM385" s="102"/>
      <c r="AIN385" s="102"/>
      <c r="AIO385" s="102"/>
      <c r="AIP385" s="102"/>
      <c r="AIQ385" s="102"/>
      <c r="AIR385" s="102"/>
      <c r="AIS385" s="102"/>
      <c r="AIT385" s="102"/>
      <c r="AIU385" s="102"/>
      <c r="AIV385" s="102"/>
      <c r="AIW385" s="102"/>
      <c r="AIX385" s="102"/>
      <c r="AIY385" s="102"/>
      <c r="AIZ385" s="102"/>
      <c r="AJA385" s="102"/>
      <c r="AJB385" s="102"/>
      <c r="AJC385" s="102"/>
      <c r="AJD385" s="102"/>
      <c r="AJE385" s="102"/>
      <c r="AJF385" s="102"/>
      <c r="AJG385" s="102"/>
      <c r="AJH385" s="102"/>
      <c r="AJI385" s="102"/>
      <c r="AJJ385" s="102"/>
      <c r="AJK385" s="102"/>
      <c r="AJL385" s="102"/>
      <c r="AJM385" s="102"/>
      <c r="AJN385" s="102"/>
      <c r="AJO385" s="102"/>
      <c r="AJP385" s="102"/>
      <c r="AJQ385" s="102"/>
      <c r="AJR385" s="102"/>
      <c r="AJS385" s="102"/>
      <c r="AJT385" s="102"/>
      <c r="AJU385" s="102"/>
      <c r="AJV385" s="102"/>
      <c r="AJW385" s="102"/>
      <c r="AJX385" s="102"/>
      <c r="AJY385" s="102"/>
      <c r="AJZ385" s="102"/>
      <c r="AKA385" s="102"/>
      <c r="AKB385" s="102"/>
      <c r="AKC385" s="102"/>
      <c r="AKD385" s="102"/>
      <c r="AKE385" s="102"/>
      <c r="AKF385" s="102"/>
      <c r="AKG385" s="102"/>
      <c r="AKH385" s="102"/>
      <c r="AKI385" s="102"/>
      <c r="AKJ385" s="102"/>
      <c r="AKK385" s="102"/>
      <c r="AKL385" s="102"/>
      <c r="AKM385" s="102"/>
      <c r="AKN385" s="102"/>
      <c r="AKO385" s="102"/>
      <c r="AKP385" s="102"/>
      <c r="AKQ385" s="102"/>
      <c r="AKR385" s="102"/>
      <c r="AKS385" s="102"/>
      <c r="AKT385" s="102"/>
      <c r="AKU385" s="102"/>
      <c r="AKV385" s="102"/>
      <c r="AKW385" s="102"/>
      <c r="AKX385" s="102"/>
      <c r="AKY385" s="102"/>
      <c r="AKZ385" s="102"/>
      <c r="ALA385" s="102"/>
      <c r="ALB385" s="102"/>
      <c r="ALC385" s="102"/>
      <c r="ALD385" s="102"/>
      <c r="ALE385" s="102"/>
      <c r="ALF385" s="102"/>
      <c r="ALG385" s="102"/>
      <c r="ALH385" s="102"/>
      <c r="ALI385" s="102"/>
      <c r="ALJ385" s="102"/>
      <c r="ALK385" s="102"/>
      <c r="ALL385" s="102"/>
      <c r="ALM385" s="102"/>
      <c r="ALN385" s="102"/>
      <c r="ALO385" s="102"/>
      <c r="ALP385" s="102"/>
      <c r="ALQ385" s="102"/>
      <c r="ALR385" s="102"/>
      <c r="ALS385" s="102"/>
      <c r="ALT385" s="102"/>
      <c r="ALU385" s="102"/>
      <c r="ALV385" s="102"/>
      <c r="ALW385" s="102"/>
      <c r="ALX385" s="102"/>
      <c r="ALY385" s="102"/>
      <c r="ALZ385" s="102"/>
      <c r="AMA385" s="102"/>
      <c r="AMB385" s="102"/>
      <c r="AMC385" s="102"/>
      <c r="AMD385" s="102"/>
      <c r="AME385" s="102"/>
      <c r="AMF385" s="102"/>
      <c r="AMG385" s="102"/>
      <c r="AMH385" s="102"/>
      <c r="AMI385" s="102"/>
      <c r="AMJ385" s="102"/>
      <c r="AMK385" s="102"/>
      <c r="AML385" s="102"/>
      <c r="AMM385" s="102"/>
      <c r="AMN385" s="102"/>
      <c r="AMO385" s="102"/>
      <c r="AMP385" s="102"/>
      <c r="AMQ385" s="102"/>
      <c r="AMR385" s="102"/>
      <c r="AMS385" s="102"/>
      <c r="AMT385" s="102"/>
      <c r="AMU385" s="102"/>
      <c r="AMV385" s="102"/>
      <c r="AMW385" s="102"/>
      <c r="AMX385" s="102"/>
      <c r="AMY385" s="102"/>
      <c r="AMZ385" s="102"/>
      <c r="ANA385" s="102"/>
      <c r="ANB385" s="102"/>
      <c r="ANC385" s="102"/>
      <c r="AND385" s="102"/>
      <c r="ANE385" s="102"/>
      <c r="ANF385" s="102"/>
      <c r="ANG385" s="102"/>
      <c r="ANH385" s="102"/>
      <c r="ANI385" s="102"/>
      <c r="ANJ385" s="102"/>
      <c r="ANK385" s="102"/>
      <c r="ANL385" s="102"/>
      <c r="ANM385" s="102"/>
      <c r="ANN385" s="102"/>
      <c r="ANO385" s="102"/>
      <c r="ANP385" s="102"/>
      <c r="ANQ385" s="102"/>
      <c r="ANR385" s="102"/>
      <c r="ANS385" s="102"/>
      <c r="ANT385" s="102"/>
      <c r="ANU385" s="102"/>
      <c r="ANV385" s="102"/>
      <c r="ANW385" s="102"/>
      <c r="ANX385" s="102"/>
      <c r="ANY385" s="102"/>
      <c r="ANZ385" s="102"/>
      <c r="AOA385" s="102"/>
      <c r="AOB385" s="102"/>
      <c r="AOC385" s="102"/>
      <c r="AOD385" s="102"/>
      <c r="AOE385" s="102"/>
      <c r="AOF385" s="102"/>
      <c r="AOG385" s="102"/>
      <c r="AOH385" s="102"/>
      <c r="AOI385" s="102"/>
      <c r="AOJ385" s="102"/>
      <c r="AOK385" s="102"/>
      <c r="AOL385" s="102"/>
      <c r="AOM385" s="102"/>
      <c r="AON385" s="102"/>
      <c r="AOO385" s="102"/>
      <c r="AOP385" s="102"/>
      <c r="AOQ385" s="102"/>
      <c r="AOR385" s="102"/>
      <c r="AOS385" s="102"/>
      <c r="AOT385" s="102"/>
      <c r="AOU385" s="102"/>
      <c r="AOV385" s="102"/>
      <c r="AOW385" s="102"/>
      <c r="AOX385" s="102"/>
      <c r="AOY385" s="102"/>
      <c r="AOZ385" s="102"/>
      <c r="APA385" s="102"/>
      <c r="APB385" s="102"/>
      <c r="APC385" s="102"/>
      <c r="APD385" s="102"/>
      <c r="APE385" s="102"/>
      <c r="APF385" s="102"/>
      <c r="APG385" s="102"/>
      <c r="APH385" s="102"/>
      <c r="API385" s="102"/>
      <c r="APJ385" s="102"/>
      <c r="APK385" s="102"/>
      <c r="APL385" s="102"/>
      <c r="APM385" s="102"/>
      <c r="APN385" s="102"/>
      <c r="APO385" s="102"/>
      <c r="APP385" s="102"/>
      <c r="APQ385" s="102"/>
      <c r="APR385" s="102"/>
      <c r="APS385" s="102"/>
      <c r="APT385" s="102"/>
      <c r="APU385" s="102"/>
      <c r="APV385" s="102"/>
      <c r="APW385" s="102"/>
      <c r="APX385" s="102"/>
      <c r="APY385" s="102"/>
      <c r="APZ385" s="102"/>
      <c r="AQA385" s="102"/>
      <c r="AQB385" s="102"/>
      <c r="AQC385" s="102"/>
      <c r="AQD385" s="102"/>
      <c r="AQE385" s="102"/>
      <c r="AQF385" s="102"/>
      <c r="AQG385" s="102"/>
      <c r="AQH385" s="102"/>
      <c r="AQI385" s="102"/>
      <c r="AQJ385" s="102"/>
      <c r="AQK385" s="102"/>
      <c r="AQL385" s="102"/>
      <c r="AQM385" s="102"/>
      <c r="AQN385" s="102"/>
      <c r="AQO385" s="102"/>
      <c r="AQP385" s="102"/>
      <c r="AQQ385" s="102"/>
      <c r="AQR385" s="102"/>
      <c r="AQS385" s="102"/>
      <c r="AQT385" s="102"/>
      <c r="AQU385" s="102"/>
      <c r="AQV385" s="102"/>
      <c r="AQW385" s="102"/>
      <c r="AQX385" s="102"/>
      <c r="AQY385" s="102"/>
      <c r="AQZ385" s="102"/>
      <c r="ARA385" s="102"/>
      <c r="ARB385" s="102"/>
      <c r="ARC385" s="102"/>
      <c r="ARD385" s="102"/>
      <c r="ARE385" s="102"/>
      <c r="ARF385" s="102"/>
      <c r="ARG385" s="102"/>
      <c r="ARH385" s="102"/>
      <c r="ARI385" s="102"/>
      <c r="ARJ385" s="102"/>
      <c r="ARK385" s="102"/>
      <c r="ARL385" s="102"/>
      <c r="ARM385" s="102"/>
      <c r="ARN385" s="102"/>
      <c r="ARO385" s="102"/>
      <c r="ARP385" s="102"/>
      <c r="ARQ385" s="102"/>
      <c r="ARR385" s="102"/>
      <c r="ARS385" s="102"/>
      <c r="ART385" s="102"/>
      <c r="ARU385" s="102"/>
      <c r="ARV385" s="102"/>
      <c r="ARW385" s="102"/>
      <c r="ARX385" s="102"/>
      <c r="ARY385" s="102"/>
      <c r="ARZ385" s="102"/>
      <c r="ASA385" s="102"/>
      <c r="ASB385" s="102"/>
      <c r="ASC385" s="102"/>
      <c r="ASD385" s="102"/>
      <c r="ASE385" s="102"/>
      <c r="ASF385" s="102"/>
      <c r="ASG385" s="102"/>
      <c r="ASH385" s="102"/>
      <c r="ASI385" s="102"/>
      <c r="ASJ385" s="102"/>
      <c r="ASK385" s="102"/>
      <c r="ASL385" s="102"/>
      <c r="ASM385" s="102"/>
      <c r="ASN385" s="102"/>
      <c r="ASO385" s="102"/>
      <c r="ASP385" s="102"/>
      <c r="ASQ385" s="102"/>
      <c r="ASR385" s="102"/>
      <c r="ASS385" s="102"/>
      <c r="AST385" s="102"/>
      <c r="ASU385" s="102"/>
      <c r="ASV385" s="102"/>
      <c r="ASW385" s="102"/>
      <c r="ASX385" s="102"/>
      <c r="ASY385" s="102"/>
      <c r="ASZ385" s="102"/>
      <c r="ATA385" s="102"/>
      <c r="ATB385" s="102"/>
      <c r="ATC385" s="102"/>
      <c r="ATD385" s="102"/>
      <c r="ATE385" s="102"/>
      <c r="ATF385" s="102"/>
      <c r="ATG385" s="102"/>
      <c r="ATH385" s="102"/>
      <c r="ATI385" s="102"/>
      <c r="ATJ385" s="102"/>
      <c r="ATK385" s="102"/>
      <c r="ATL385" s="102"/>
      <c r="ATM385" s="102"/>
      <c r="ATN385" s="102"/>
      <c r="ATO385" s="102"/>
      <c r="ATP385" s="102"/>
      <c r="ATQ385" s="102"/>
      <c r="ATR385" s="102"/>
      <c r="ATS385" s="102"/>
      <c r="ATT385" s="102"/>
      <c r="ATU385" s="102"/>
      <c r="ATV385" s="102"/>
      <c r="ATW385" s="102"/>
      <c r="ATX385" s="102"/>
      <c r="ATY385" s="102"/>
      <c r="ATZ385" s="102"/>
      <c r="AUA385" s="102"/>
      <c r="AUB385" s="102"/>
      <c r="AUC385" s="102"/>
      <c r="AUD385" s="102"/>
      <c r="AUE385" s="102"/>
      <c r="AUF385" s="102"/>
      <c r="AUG385" s="102"/>
      <c r="AUH385" s="102"/>
      <c r="AUI385" s="102"/>
      <c r="AUJ385" s="102"/>
      <c r="AUK385" s="102"/>
      <c r="AUL385" s="102"/>
      <c r="AUM385" s="102"/>
      <c r="AUN385" s="102"/>
      <c r="AUO385" s="102"/>
      <c r="AUP385" s="102"/>
      <c r="AUQ385" s="102"/>
      <c r="AUR385" s="102"/>
      <c r="AUS385" s="102"/>
      <c r="AUT385" s="102"/>
      <c r="AUU385" s="102"/>
      <c r="AUV385" s="102"/>
      <c r="AUW385" s="102"/>
      <c r="AUX385" s="102"/>
      <c r="AUY385" s="102"/>
      <c r="AUZ385" s="102"/>
      <c r="AVA385" s="102"/>
      <c r="AVB385" s="102"/>
      <c r="AVC385" s="102"/>
      <c r="AVD385" s="102"/>
      <c r="AVE385" s="102"/>
      <c r="AVF385" s="102"/>
      <c r="AVG385" s="102"/>
      <c r="AVH385" s="102"/>
      <c r="AVI385" s="102"/>
      <c r="AVJ385" s="102"/>
      <c r="AVK385" s="102"/>
      <c r="AVL385" s="102"/>
      <c r="AVM385" s="102"/>
      <c r="AVN385" s="102"/>
      <c r="AVO385" s="102"/>
      <c r="AVP385" s="102"/>
      <c r="AVQ385" s="102"/>
      <c r="AVR385" s="102"/>
      <c r="AVS385" s="102"/>
      <c r="AVT385" s="102"/>
      <c r="AVU385" s="102"/>
      <c r="AVV385" s="102"/>
      <c r="AVW385" s="102"/>
      <c r="AVX385" s="102"/>
      <c r="AVY385" s="102"/>
      <c r="AVZ385" s="102"/>
      <c r="AWA385" s="102"/>
      <c r="AWB385" s="102"/>
      <c r="AWC385" s="102"/>
      <c r="AWD385" s="102"/>
      <c r="AWE385" s="102"/>
      <c r="AWF385" s="102"/>
      <c r="AWG385" s="102"/>
      <c r="AWH385" s="102"/>
      <c r="AWI385" s="102"/>
      <c r="AWJ385" s="102"/>
      <c r="AWK385" s="102"/>
      <c r="AWL385" s="102"/>
      <c r="AWM385" s="102"/>
      <c r="AWN385" s="102"/>
      <c r="AWO385" s="102"/>
      <c r="AWP385" s="102"/>
      <c r="AWQ385" s="102"/>
      <c r="AWR385" s="102"/>
      <c r="AWS385" s="102"/>
      <c r="AWT385" s="102"/>
      <c r="AWU385" s="102"/>
      <c r="AWV385" s="102"/>
      <c r="AWW385" s="102"/>
      <c r="AWX385" s="102"/>
      <c r="AWY385" s="102"/>
      <c r="AWZ385" s="102"/>
      <c r="AXA385" s="102"/>
      <c r="AXB385" s="102"/>
      <c r="AXC385" s="102"/>
      <c r="AXD385" s="102"/>
      <c r="AXE385" s="102"/>
      <c r="AXF385" s="102"/>
      <c r="AXG385" s="102"/>
      <c r="AXH385" s="102"/>
      <c r="AXI385" s="102"/>
      <c r="AXJ385" s="102"/>
      <c r="AXK385" s="102"/>
      <c r="AXL385" s="102"/>
      <c r="AXM385" s="102"/>
      <c r="AXN385" s="102"/>
      <c r="AXO385" s="102"/>
      <c r="AXP385" s="102"/>
      <c r="AXQ385" s="102"/>
      <c r="AXR385" s="102"/>
      <c r="AXS385" s="102"/>
      <c r="AXT385" s="102"/>
      <c r="AXU385" s="102"/>
      <c r="AXV385" s="102"/>
      <c r="AXW385" s="102"/>
      <c r="AXX385" s="102"/>
      <c r="AXY385" s="102"/>
      <c r="AXZ385" s="102"/>
      <c r="AYA385" s="102"/>
      <c r="AYB385" s="102"/>
      <c r="AYC385" s="102"/>
      <c r="AYD385" s="102"/>
      <c r="AYE385" s="102"/>
      <c r="AYF385" s="102"/>
      <c r="AYG385" s="102"/>
      <c r="AYH385" s="102"/>
      <c r="AYI385" s="102"/>
      <c r="AYJ385" s="102"/>
      <c r="AYK385" s="102"/>
      <c r="AYL385" s="102"/>
      <c r="AYM385" s="102"/>
      <c r="AYN385" s="102"/>
      <c r="AYO385" s="102"/>
      <c r="AYP385" s="102"/>
      <c r="AYQ385" s="102"/>
      <c r="AYR385" s="102"/>
      <c r="AYS385" s="102"/>
      <c r="AYT385" s="102"/>
      <c r="AYU385" s="102"/>
      <c r="AYV385" s="102"/>
      <c r="AYW385" s="102"/>
      <c r="AYX385" s="102"/>
      <c r="AYY385" s="102"/>
      <c r="AYZ385" s="102"/>
      <c r="AZA385" s="102"/>
      <c r="AZB385" s="102"/>
      <c r="AZC385" s="102"/>
      <c r="AZD385" s="102"/>
      <c r="AZE385" s="102"/>
      <c r="AZF385" s="102"/>
      <c r="AZG385" s="102"/>
      <c r="AZH385" s="102"/>
      <c r="AZI385" s="102"/>
      <c r="AZJ385" s="102"/>
      <c r="AZK385" s="102"/>
      <c r="AZL385" s="102"/>
      <c r="AZM385" s="102"/>
      <c r="AZN385" s="102"/>
      <c r="AZO385" s="102"/>
      <c r="AZP385" s="102"/>
      <c r="AZQ385" s="102"/>
      <c r="AZR385" s="102"/>
      <c r="AZS385" s="102"/>
      <c r="AZT385" s="102"/>
      <c r="AZU385" s="102"/>
      <c r="AZV385" s="102"/>
      <c r="AZW385" s="102"/>
      <c r="AZX385" s="102"/>
      <c r="AZY385" s="102"/>
      <c r="AZZ385" s="102"/>
      <c r="BAA385" s="102"/>
      <c r="BAB385" s="102"/>
      <c r="BAC385" s="102"/>
      <c r="BAD385" s="102"/>
      <c r="BAE385" s="102"/>
      <c r="BAF385" s="102"/>
      <c r="BAG385" s="102"/>
      <c r="BAH385" s="102"/>
      <c r="BAI385" s="102"/>
      <c r="BAJ385" s="102"/>
      <c r="BAK385" s="102"/>
      <c r="BAL385" s="102"/>
      <c r="BAM385" s="102"/>
      <c r="BAN385" s="102"/>
      <c r="BAO385" s="102"/>
      <c r="BAP385" s="102"/>
      <c r="BAQ385" s="102"/>
      <c r="BAR385" s="102"/>
      <c r="BAS385" s="102"/>
      <c r="BAT385" s="102"/>
      <c r="BAU385" s="102"/>
      <c r="BAV385" s="102"/>
      <c r="BAW385" s="102"/>
      <c r="BAX385" s="102"/>
      <c r="BAY385" s="102"/>
      <c r="BAZ385" s="102"/>
      <c r="BBA385" s="102"/>
      <c r="BBB385" s="102"/>
      <c r="BBC385" s="102"/>
      <c r="BBD385" s="102"/>
      <c r="BBE385" s="102"/>
      <c r="BBF385" s="102"/>
      <c r="BBG385" s="102"/>
      <c r="BBH385" s="102"/>
      <c r="BBI385" s="102"/>
      <c r="BBJ385" s="102"/>
      <c r="BBK385" s="102"/>
      <c r="BBL385" s="102"/>
      <c r="BBM385" s="102"/>
      <c r="BBN385" s="102"/>
      <c r="BBO385" s="102"/>
      <c r="BBP385" s="102"/>
      <c r="BBQ385" s="102"/>
      <c r="BBR385" s="102"/>
      <c r="BBS385" s="102"/>
      <c r="BBT385" s="102"/>
      <c r="BBU385" s="102"/>
      <c r="BBV385" s="102"/>
      <c r="BBW385" s="102"/>
      <c r="BBX385" s="102"/>
      <c r="BBY385" s="102"/>
      <c r="BBZ385" s="102"/>
      <c r="BCA385" s="102"/>
      <c r="BCB385" s="102"/>
      <c r="BCC385" s="102"/>
      <c r="BCD385" s="102"/>
      <c r="BCE385" s="102"/>
      <c r="BCF385" s="102"/>
      <c r="BCG385" s="102"/>
      <c r="BCH385" s="102"/>
      <c r="BCI385" s="102"/>
      <c r="BCJ385" s="102"/>
      <c r="BCK385" s="102"/>
      <c r="BCL385" s="102"/>
      <c r="BCM385" s="102"/>
      <c r="BCN385" s="102"/>
      <c r="BCO385" s="102"/>
      <c r="BCP385" s="102"/>
      <c r="BCQ385" s="102"/>
      <c r="BCR385" s="102"/>
      <c r="BCS385" s="102"/>
      <c r="BCT385" s="102"/>
      <c r="BCU385" s="102"/>
      <c r="BCV385" s="102"/>
      <c r="BCW385" s="102"/>
      <c r="BCX385" s="102"/>
      <c r="BCY385" s="102"/>
      <c r="BCZ385" s="102"/>
      <c r="BDA385" s="102"/>
      <c r="BDB385" s="102"/>
      <c r="BDC385" s="102"/>
      <c r="BDD385" s="102"/>
      <c r="BDE385" s="102"/>
      <c r="BDF385" s="102"/>
      <c r="BDG385" s="102"/>
      <c r="BDH385" s="102"/>
      <c r="BDI385" s="102"/>
      <c r="BDJ385" s="102"/>
      <c r="BDK385" s="102"/>
      <c r="BDL385" s="102"/>
      <c r="BDM385" s="102"/>
      <c r="BDN385" s="102"/>
      <c r="BDO385" s="102"/>
      <c r="BDP385" s="102"/>
      <c r="BDQ385" s="102"/>
      <c r="BDR385" s="102"/>
      <c r="BDS385" s="102"/>
      <c r="BDT385" s="102"/>
      <c r="BDU385" s="102"/>
      <c r="BDV385" s="102"/>
      <c r="BDW385" s="102"/>
      <c r="BDX385" s="102"/>
      <c r="BDY385" s="102"/>
      <c r="BDZ385" s="102"/>
      <c r="BEA385" s="102"/>
      <c r="BEB385" s="102"/>
      <c r="BEC385" s="102"/>
      <c r="BED385" s="102"/>
      <c r="BEE385" s="102"/>
      <c r="BEF385" s="102"/>
      <c r="BEG385" s="102"/>
      <c r="BEH385" s="102"/>
      <c r="BEI385" s="102"/>
      <c r="BEJ385" s="102"/>
      <c r="BEK385" s="102"/>
      <c r="BEL385" s="102"/>
      <c r="BEM385" s="102"/>
      <c r="BEN385" s="102"/>
      <c r="BEO385" s="102"/>
      <c r="BEP385" s="102"/>
      <c r="BEQ385" s="102"/>
      <c r="BER385" s="102"/>
      <c r="BES385" s="102"/>
      <c r="BET385" s="102"/>
      <c r="BEU385" s="102"/>
      <c r="BEV385" s="102"/>
      <c r="BEW385" s="102"/>
      <c r="BEX385" s="102"/>
      <c r="BEY385" s="102"/>
      <c r="BEZ385" s="102"/>
      <c r="BFA385" s="102"/>
      <c r="BFB385" s="102"/>
      <c r="BFC385" s="102"/>
      <c r="BFD385" s="102"/>
      <c r="BFE385" s="102"/>
      <c r="BFF385" s="102"/>
      <c r="BFG385" s="102"/>
      <c r="BFH385" s="102"/>
      <c r="BFI385" s="102"/>
      <c r="BFJ385" s="102"/>
      <c r="BFK385" s="102"/>
      <c r="BFL385" s="102"/>
      <c r="BFM385" s="102"/>
      <c r="BFN385" s="102"/>
      <c r="BFO385" s="102"/>
      <c r="BFP385" s="102"/>
      <c r="BFQ385" s="102"/>
      <c r="BFR385" s="102"/>
      <c r="BFS385" s="102"/>
      <c r="BFT385" s="102"/>
      <c r="BFU385" s="102"/>
      <c r="BFV385" s="102"/>
      <c r="BFW385" s="102"/>
      <c r="BFX385" s="102"/>
      <c r="BFY385" s="102"/>
      <c r="BFZ385" s="102"/>
      <c r="BGA385" s="102"/>
      <c r="BGB385" s="102"/>
      <c r="BGC385" s="102"/>
      <c r="BGD385" s="102"/>
      <c r="BGE385" s="102"/>
      <c r="BGF385" s="102"/>
      <c r="BGG385" s="102"/>
      <c r="BGH385" s="102"/>
      <c r="BGI385" s="102"/>
      <c r="BGJ385" s="102"/>
      <c r="BGK385" s="102"/>
      <c r="BGL385" s="102"/>
      <c r="BGM385" s="102"/>
      <c r="BGN385" s="102"/>
      <c r="BGO385" s="102"/>
      <c r="BGP385" s="102"/>
      <c r="BGQ385" s="102"/>
      <c r="BGR385" s="102"/>
      <c r="BGS385" s="102"/>
      <c r="BGT385" s="102"/>
      <c r="BGU385" s="102"/>
      <c r="BGV385" s="102"/>
      <c r="BGW385" s="102"/>
      <c r="BGX385" s="102"/>
      <c r="BGY385" s="102"/>
      <c r="BGZ385" s="102"/>
      <c r="BHA385" s="102"/>
      <c r="BHB385" s="102"/>
      <c r="BHC385" s="102"/>
      <c r="BHD385" s="102"/>
      <c r="BHE385" s="102"/>
      <c r="BHF385" s="102"/>
      <c r="BHG385" s="102"/>
      <c r="BHH385" s="102"/>
      <c r="BHI385" s="102"/>
      <c r="BHJ385" s="102"/>
      <c r="BHK385" s="102"/>
      <c r="BHL385" s="102"/>
      <c r="BHM385" s="102"/>
      <c r="BHN385" s="102"/>
      <c r="BHO385" s="102"/>
      <c r="BHP385" s="102"/>
      <c r="BHQ385" s="102"/>
      <c r="BHR385" s="102"/>
      <c r="BHS385" s="102"/>
      <c r="BHT385" s="102"/>
      <c r="BHU385" s="102"/>
      <c r="BHV385" s="102"/>
      <c r="BHW385" s="102"/>
      <c r="BHX385" s="102"/>
      <c r="BHY385" s="102"/>
      <c r="BHZ385" s="102"/>
      <c r="BIA385" s="102"/>
      <c r="BIB385" s="102"/>
      <c r="BIC385" s="102"/>
      <c r="BID385" s="102"/>
      <c r="BIE385" s="102"/>
      <c r="BIF385" s="102"/>
      <c r="BIG385" s="102"/>
      <c r="BIH385" s="102"/>
      <c r="BII385" s="102"/>
      <c r="BIJ385" s="102"/>
      <c r="BIK385" s="102"/>
      <c r="BIL385" s="102"/>
      <c r="BIM385" s="102"/>
      <c r="BIN385" s="102"/>
      <c r="BIO385" s="102"/>
      <c r="BIP385" s="102"/>
      <c r="BIQ385" s="102"/>
      <c r="BIR385" s="102"/>
      <c r="BIS385" s="102"/>
      <c r="BIT385" s="102"/>
      <c r="BIU385" s="102"/>
      <c r="BIV385" s="102"/>
      <c r="BIW385" s="102"/>
      <c r="BIX385" s="102"/>
      <c r="BIY385" s="102"/>
      <c r="BIZ385" s="102"/>
      <c r="BJA385" s="102"/>
      <c r="BJB385" s="102"/>
      <c r="BJC385" s="102"/>
      <c r="BJD385" s="102"/>
      <c r="BJE385" s="102"/>
      <c r="BJF385" s="102"/>
      <c r="BJG385" s="102"/>
      <c r="BJH385" s="102"/>
      <c r="BJI385" s="102"/>
      <c r="BJJ385" s="102"/>
      <c r="BJK385" s="102"/>
      <c r="BJL385" s="102"/>
      <c r="BJM385" s="102"/>
      <c r="BJN385" s="102"/>
      <c r="BJO385" s="102"/>
      <c r="BJP385" s="102"/>
      <c r="BJQ385" s="102"/>
      <c r="BJR385" s="102"/>
      <c r="BJS385" s="102"/>
      <c r="BJT385" s="102"/>
      <c r="BJU385" s="102"/>
      <c r="BJV385" s="102"/>
      <c r="BJW385" s="102"/>
      <c r="BJX385" s="102"/>
      <c r="BJY385" s="102"/>
      <c r="BJZ385" s="102"/>
      <c r="BKA385" s="102"/>
      <c r="BKB385" s="102"/>
      <c r="BKC385" s="102"/>
      <c r="BKD385" s="102"/>
      <c r="BKE385" s="102"/>
      <c r="BKF385" s="102"/>
      <c r="BKG385" s="102"/>
      <c r="BKH385" s="102"/>
      <c r="BKI385" s="102"/>
      <c r="BKJ385" s="102"/>
      <c r="BKK385" s="102"/>
      <c r="BKL385" s="102"/>
      <c r="BKM385" s="102"/>
      <c r="BKN385" s="102"/>
      <c r="BKO385" s="102"/>
      <c r="BKP385" s="102"/>
      <c r="BKQ385" s="102"/>
      <c r="BKR385" s="102"/>
      <c r="BKS385" s="102"/>
      <c r="BKT385" s="102"/>
      <c r="BKU385" s="102"/>
      <c r="BKV385" s="102"/>
      <c r="BKW385" s="102"/>
      <c r="BKX385" s="102"/>
      <c r="BKY385" s="102"/>
      <c r="BKZ385" s="102"/>
      <c r="BLA385" s="102"/>
      <c r="BLB385" s="102"/>
      <c r="BLC385" s="102"/>
      <c r="BLD385" s="102"/>
      <c r="BLE385" s="102"/>
      <c r="BLF385" s="102"/>
      <c r="BLG385" s="102"/>
      <c r="BLH385" s="102"/>
      <c r="BLI385" s="102"/>
      <c r="BLJ385" s="102"/>
      <c r="BLK385" s="102"/>
      <c r="BLL385" s="102"/>
      <c r="BLM385" s="102"/>
      <c r="BLN385" s="102"/>
      <c r="BLO385" s="102"/>
      <c r="BLP385" s="102"/>
      <c r="BLQ385" s="102"/>
      <c r="BLR385" s="102"/>
      <c r="BLS385" s="102"/>
      <c r="BLT385" s="102"/>
      <c r="BLU385" s="102"/>
      <c r="BLV385" s="102"/>
      <c r="BLW385" s="102"/>
      <c r="BLX385" s="102"/>
      <c r="BLY385" s="102"/>
      <c r="BLZ385" s="102"/>
      <c r="BMA385" s="102"/>
      <c r="BMB385" s="102"/>
      <c r="BMC385" s="102"/>
      <c r="BMD385" s="102"/>
      <c r="BME385" s="102"/>
      <c r="BMF385" s="102"/>
      <c r="BMG385" s="102"/>
      <c r="BMH385" s="102"/>
      <c r="BMI385" s="102"/>
      <c r="BMJ385" s="102"/>
      <c r="BMK385" s="102"/>
      <c r="BML385" s="102"/>
      <c r="BMM385" s="102"/>
      <c r="BMN385" s="102"/>
      <c r="BMO385" s="102"/>
      <c r="BMP385" s="102"/>
      <c r="BMQ385" s="102"/>
      <c r="BMR385" s="102"/>
      <c r="BMS385" s="102"/>
      <c r="BMT385" s="102"/>
      <c r="BMU385" s="102"/>
      <c r="BMV385" s="102"/>
      <c r="BMW385" s="102"/>
      <c r="BMX385" s="102"/>
      <c r="BMY385" s="102"/>
      <c r="BMZ385" s="102"/>
      <c r="BNA385" s="102"/>
      <c r="BNB385" s="102"/>
      <c r="BNC385" s="102"/>
      <c r="BND385" s="102"/>
      <c r="BNE385" s="102"/>
      <c r="BNF385" s="102"/>
      <c r="BNG385" s="102"/>
      <c r="BNH385" s="102"/>
      <c r="BNI385" s="102"/>
      <c r="BNJ385" s="102"/>
      <c r="BNK385" s="102"/>
      <c r="BNL385" s="102"/>
      <c r="BNM385" s="102"/>
      <c r="BNN385" s="102"/>
      <c r="BNO385" s="102"/>
      <c r="BNP385" s="102"/>
      <c r="BNQ385" s="102"/>
      <c r="BNR385" s="102"/>
      <c r="BNS385" s="102"/>
      <c r="BNT385" s="102"/>
      <c r="BNU385" s="102"/>
      <c r="BNV385" s="102"/>
      <c r="BNW385" s="102"/>
      <c r="BNX385" s="102"/>
      <c r="BNY385" s="102"/>
      <c r="BNZ385" s="102"/>
      <c r="BOA385" s="102"/>
      <c r="BOB385" s="102"/>
      <c r="BOC385" s="102"/>
      <c r="BOD385" s="102"/>
      <c r="BOE385" s="102"/>
      <c r="BOF385" s="102"/>
      <c r="BOG385" s="102"/>
      <c r="BOH385" s="102"/>
      <c r="BOI385" s="102"/>
      <c r="BOJ385" s="102"/>
      <c r="BOK385" s="102"/>
      <c r="BOL385" s="102"/>
      <c r="BOM385" s="102"/>
      <c r="BON385" s="102"/>
      <c r="BOO385" s="102"/>
      <c r="BOP385" s="102"/>
      <c r="BOQ385" s="102"/>
      <c r="BOR385" s="102"/>
      <c r="BOS385" s="102"/>
      <c r="BOT385" s="102"/>
      <c r="BOU385" s="102"/>
      <c r="BOV385" s="102"/>
      <c r="BOW385" s="102"/>
      <c r="BOX385" s="102"/>
      <c r="BOY385" s="102"/>
      <c r="BOZ385" s="102"/>
      <c r="BPA385" s="102"/>
      <c r="BPB385" s="102"/>
      <c r="BPC385" s="102"/>
      <c r="BPD385" s="102"/>
      <c r="BPE385" s="102"/>
      <c r="BPF385" s="102"/>
      <c r="BPG385" s="102"/>
      <c r="BPH385" s="102"/>
      <c r="BPI385" s="102"/>
      <c r="BPJ385" s="102"/>
      <c r="BPK385" s="102"/>
      <c r="BPL385" s="102"/>
      <c r="BPM385" s="102"/>
      <c r="BPN385" s="102"/>
      <c r="BPO385" s="102"/>
      <c r="BPP385" s="102"/>
      <c r="BPQ385" s="102"/>
      <c r="BPR385" s="102"/>
      <c r="BPS385" s="102"/>
      <c r="BPT385" s="102"/>
      <c r="BPU385" s="102"/>
      <c r="BPV385" s="102"/>
      <c r="BPW385" s="102"/>
      <c r="BPX385" s="102"/>
      <c r="BPY385" s="102"/>
      <c r="BPZ385" s="102"/>
      <c r="BQA385" s="102"/>
      <c r="BQB385" s="102"/>
      <c r="BQC385" s="102"/>
      <c r="BQD385" s="102"/>
      <c r="BQE385" s="102"/>
      <c r="BQF385" s="102"/>
      <c r="BQG385" s="102"/>
      <c r="BQH385" s="102"/>
      <c r="BQI385" s="102"/>
      <c r="BQJ385" s="102"/>
      <c r="BQK385" s="102"/>
      <c r="BQL385" s="102"/>
      <c r="BQM385" s="102"/>
      <c r="BQN385" s="102"/>
      <c r="BQO385" s="102"/>
      <c r="BQP385" s="102"/>
      <c r="BQQ385" s="102"/>
      <c r="BQR385" s="102"/>
      <c r="BQS385" s="102"/>
      <c r="BQT385" s="102"/>
      <c r="BQU385" s="102"/>
      <c r="BQV385" s="102"/>
      <c r="BQW385" s="102"/>
      <c r="BQX385" s="102"/>
      <c r="BQY385" s="102"/>
      <c r="BQZ385" s="102"/>
      <c r="BRA385" s="102"/>
      <c r="BRB385" s="102"/>
      <c r="BRC385" s="102"/>
      <c r="BRD385" s="102"/>
      <c r="BRE385" s="102"/>
      <c r="BRF385" s="102"/>
      <c r="BRG385" s="102"/>
      <c r="BRH385" s="102"/>
      <c r="BRI385" s="102"/>
      <c r="BRJ385" s="102"/>
      <c r="BRK385" s="102"/>
      <c r="BRL385" s="102"/>
      <c r="BRM385" s="102"/>
      <c r="BRN385" s="102"/>
      <c r="BRO385" s="102"/>
      <c r="BRP385" s="102"/>
      <c r="BRQ385" s="102"/>
      <c r="BRR385" s="102"/>
      <c r="BRS385" s="102"/>
      <c r="BRT385" s="102"/>
      <c r="BRU385" s="102"/>
      <c r="BRV385" s="102"/>
      <c r="BRW385" s="102"/>
      <c r="BRX385" s="102"/>
      <c r="BRY385" s="102"/>
      <c r="BRZ385" s="102"/>
      <c r="BSA385" s="102"/>
      <c r="BSB385" s="102"/>
      <c r="BSC385" s="102"/>
      <c r="BSD385" s="102"/>
      <c r="BSE385" s="102"/>
      <c r="BSF385" s="102"/>
      <c r="BSG385" s="102"/>
      <c r="BSH385" s="102"/>
      <c r="BSI385" s="102"/>
      <c r="BSJ385" s="102"/>
      <c r="BSK385" s="102"/>
      <c r="BSL385" s="102"/>
      <c r="BSM385" s="102"/>
      <c r="BSN385" s="102"/>
      <c r="BSO385" s="102"/>
      <c r="BSP385" s="102"/>
      <c r="BSQ385" s="102"/>
      <c r="BSR385" s="102"/>
      <c r="BSS385" s="102"/>
      <c r="BST385" s="102"/>
      <c r="BSU385" s="102"/>
      <c r="BSV385" s="102"/>
      <c r="BSW385" s="102"/>
      <c r="BSX385" s="102"/>
      <c r="BSY385" s="102"/>
      <c r="BSZ385" s="102"/>
      <c r="BTA385" s="102"/>
      <c r="BTB385" s="102"/>
      <c r="BTC385" s="102"/>
      <c r="BTD385" s="102"/>
      <c r="BTE385" s="102"/>
      <c r="BTF385" s="102"/>
      <c r="BTG385" s="102"/>
      <c r="BTH385" s="102"/>
      <c r="BTI385" s="102"/>
      <c r="BTJ385" s="102"/>
      <c r="BTK385" s="102"/>
      <c r="BTL385" s="102"/>
      <c r="BTM385" s="102"/>
      <c r="BTN385" s="102"/>
      <c r="BTO385" s="102"/>
      <c r="BTP385" s="102"/>
      <c r="BTQ385" s="102"/>
      <c r="BTR385" s="102"/>
      <c r="BTS385" s="102"/>
      <c r="BTT385" s="102"/>
      <c r="BTU385" s="102"/>
      <c r="BTV385" s="102"/>
      <c r="BTW385" s="102"/>
      <c r="BTX385" s="102"/>
      <c r="BTY385" s="102"/>
      <c r="BTZ385" s="102"/>
      <c r="BUA385" s="102"/>
      <c r="BUB385" s="102"/>
      <c r="BUC385" s="102"/>
      <c r="BUD385" s="102"/>
      <c r="BUE385" s="102"/>
      <c r="BUF385" s="102"/>
      <c r="BUG385" s="102"/>
      <c r="BUH385" s="102"/>
      <c r="BUI385" s="102"/>
      <c r="BUJ385" s="102"/>
      <c r="BUK385" s="102"/>
      <c r="BUL385" s="102"/>
      <c r="BUM385" s="102"/>
      <c r="BUN385" s="102"/>
      <c r="BUO385" s="102"/>
      <c r="BUP385" s="102"/>
      <c r="BUQ385" s="102"/>
      <c r="BUR385" s="102"/>
      <c r="BUS385" s="102"/>
      <c r="BUT385" s="102"/>
      <c r="BUU385" s="102"/>
      <c r="BUV385" s="102"/>
      <c r="BUW385" s="102"/>
      <c r="BUX385" s="102"/>
      <c r="BUY385" s="102"/>
      <c r="BUZ385" s="102"/>
      <c r="BVA385" s="102"/>
      <c r="BVB385" s="102"/>
      <c r="BVC385" s="102"/>
      <c r="BVD385" s="102"/>
      <c r="BVE385" s="102"/>
      <c r="BVF385" s="102"/>
      <c r="BVG385" s="102"/>
      <c r="BVH385" s="102"/>
      <c r="BVI385" s="102"/>
      <c r="BVJ385" s="102"/>
      <c r="BVK385" s="102"/>
      <c r="BVL385" s="102"/>
      <c r="BVM385" s="102"/>
      <c r="BVN385" s="102"/>
      <c r="BVO385" s="102"/>
      <c r="BVP385" s="102"/>
      <c r="BVQ385" s="102"/>
      <c r="BVR385" s="102"/>
      <c r="BVS385" s="102"/>
      <c r="BVT385" s="102"/>
      <c r="BVU385" s="102"/>
      <c r="BVV385" s="102"/>
      <c r="BVW385" s="102"/>
      <c r="BVX385" s="102"/>
      <c r="BVY385" s="102"/>
      <c r="BVZ385" s="102"/>
      <c r="BWA385" s="102"/>
      <c r="BWB385" s="102"/>
      <c r="BWC385" s="102"/>
      <c r="BWD385" s="102"/>
      <c r="BWE385" s="102"/>
      <c r="BWF385" s="102"/>
      <c r="BWG385" s="102"/>
      <c r="BWH385" s="102"/>
      <c r="BWI385" s="102"/>
      <c r="BWJ385" s="102"/>
      <c r="BWK385" s="102"/>
      <c r="BWL385" s="102"/>
      <c r="BWM385" s="102"/>
      <c r="BWN385" s="102"/>
      <c r="BWO385" s="102"/>
      <c r="BWP385" s="102"/>
      <c r="BWQ385" s="102"/>
      <c r="BWR385" s="102"/>
      <c r="BWS385" s="102"/>
      <c r="BWT385" s="102"/>
      <c r="BWU385" s="102"/>
      <c r="BWV385" s="102"/>
      <c r="BWW385" s="102"/>
      <c r="BWX385" s="102"/>
      <c r="BWY385" s="102"/>
      <c r="BWZ385" s="102"/>
      <c r="BXA385" s="102"/>
      <c r="BXB385" s="102"/>
      <c r="BXC385" s="102"/>
      <c r="BXD385" s="102"/>
      <c r="BXE385" s="102"/>
      <c r="BXF385" s="102"/>
      <c r="BXG385" s="102"/>
      <c r="BXH385" s="102"/>
      <c r="BXI385" s="102"/>
      <c r="BXJ385" s="102"/>
      <c r="BXK385" s="102"/>
      <c r="BXL385" s="102"/>
      <c r="BXM385" s="102"/>
      <c r="BXN385" s="102"/>
      <c r="BXO385" s="102"/>
      <c r="BXP385" s="102"/>
      <c r="BXQ385" s="102"/>
      <c r="BXR385" s="102"/>
      <c r="BXS385" s="102"/>
      <c r="BXT385" s="102"/>
      <c r="BXU385" s="102"/>
      <c r="BXV385" s="102"/>
      <c r="BXW385" s="102"/>
      <c r="BXX385" s="102"/>
      <c r="BXY385" s="102"/>
      <c r="BXZ385" s="102"/>
      <c r="BYA385" s="102"/>
      <c r="BYB385" s="102"/>
      <c r="BYC385" s="102"/>
      <c r="BYD385" s="102"/>
      <c r="BYE385" s="102"/>
      <c r="BYF385" s="102"/>
      <c r="BYG385" s="102"/>
      <c r="BYH385" s="102"/>
      <c r="BYI385" s="102"/>
      <c r="BYJ385" s="102"/>
      <c r="BYK385" s="102"/>
      <c r="BYL385" s="102"/>
      <c r="BYM385" s="102"/>
      <c r="BYN385" s="102"/>
      <c r="BYO385" s="102"/>
      <c r="BYP385" s="102"/>
      <c r="BYQ385" s="102"/>
      <c r="BYR385" s="102"/>
      <c r="BYS385" s="102"/>
      <c r="BYT385" s="102"/>
      <c r="BYU385" s="102"/>
      <c r="BYV385" s="102"/>
      <c r="BYW385" s="102"/>
      <c r="BYX385" s="102"/>
      <c r="BYY385" s="102"/>
      <c r="BYZ385" s="102"/>
      <c r="BZA385" s="102"/>
      <c r="BZB385" s="102"/>
      <c r="BZC385" s="102"/>
      <c r="BZD385" s="102"/>
      <c r="BZE385" s="102"/>
      <c r="BZF385" s="102"/>
      <c r="BZG385" s="102"/>
      <c r="BZH385" s="102"/>
      <c r="BZI385" s="102"/>
      <c r="BZJ385" s="102"/>
      <c r="BZK385" s="102"/>
      <c r="BZL385" s="102"/>
      <c r="BZM385" s="102"/>
      <c r="BZN385" s="102"/>
      <c r="BZO385" s="102"/>
      <c r="BZP385" s="102"/>
      <c r="BZQ385" s="102"/>
      <c r="BZR385" s="102"/>
      <c r="BZS385" s="102"/>
      <c r="BZT385" s="102"/>
      <c r="BZU385" s="102"/>
      <c r="BZV385" s="102"/>
      <c r="BZW385" s="102"/>
      <c r="BZX385" s="102"/>
      <c r="BZY385" s="102"/>
      <c r="BZZ385" s="102"/>
      <c r="CAA385" s="102"/>
      <c r="CAB385" s="102"/>
      <c r="CAC385" s="102"/>
      <c r="CAD385" s="102"/>
      <c r="CAE385" s="102"/>
      <c r="CAF385" s="102"/>
      <c r="CAG385" s="102"/>
      <c r="CAH385" s="102"/>
      <c r="CAI385" s="102"/>
      <c r="CAJ385" s="102"/>
      <c r="CAK385" s="102"/>
      <c r="CAL385" s="102"/>
      <c r="CAM385" s="102"/>
      <c r="CAN385" s="102"/>
      <c r="CAO385" s="102"/>
      <c r="CAP385" s="102"/>
      <c r="CAQ385" s="102"/>
      <c r="CAR385" s="102"/>
      <c r="CAS385" s="102"/>
      <c r="CAT385" s="102"/>
      <c r="CAU385" s="102"/>
      <c r="CAV385" s="102"/>
      <c r="CAW385" s="102"/>
      <c r="CAX385" s="102"/>
      <c r="CAY385" s="102"/>
      <c r="CAZ385" s="102"/>
      <c r="CBA385" s="102"/>
      <c r="CBB385" s="102"/>
      <c r="CBC385" s="102"/>
      <c r="CBD385" s="102"/>
      <c r="CBE385" s="102"/>
      <c r="CBF385" s="102"/>
      <c r="CBG385" s="102"/>
      <c r="CBH385" s="102"/>
      <c r="CBI385" s="102"/>
      <c r="CBJ385" s="102"/>
      <c r="CBK385" s="102"/>
      <c r="CBL385" s="102"/>
      <c r="CBM385" s="102"/>
      <c r="CBN385" s="102"/>
      <c r="CBO385" s="102"/>
      <c r="CBP385" s="102"/>
      <c r="CBQ385" s="102"/>
      <c r="CBR385" s="102"/>
      <c r="CBS385" s="102"/>
      <c r="CBT385" s="102"/>
      <c r="CBU385" s="102"/>
      <c r="CBV385" s="102"/>
      <c r="CBW385" s="102"/>
      <c r="CBX385" s="102"/>
      <c r="CBY385" s="102"/>
      <c r="CBZ385" s="102"/>
      <c r="CCA385" s="102"/>
      <c r="CCB385" s="102"/>
      <c r="CCC385" s="102"/>
      <c r="CCD385" s="102"/>
      <c r="CCE385" s="102"/>
      <c r="CCF385" s="102"/>
      <c r="CCG385" s="102"/>
      <c r="CCH385" s="102"/>
      <c r="CCI385" s="102"/>
      <c r="CCJ385" s="102"/>
      <c r="CCK385" s="102"/>
      <c r="CCL385" s="102"/>
      <c r="CCM385" s="102"/>
      <c r="CCN385" s="102"/>
      <c r="CCO385" s="102"/>
      <c r="CCP385" s="102"/>
      <c r="CCQ385" s="102"/>
      <c r="CCR385" s="102"/>
      <c r="CCS385" s="102"/>
      <c r="CCT385" s="102"/>
      <c r="CCU385" s="102"/>
      <c r="CCV385" s="102"/>
      <c r="CCW385" s="102"/>
      <c r="CCX385" s="102"/>
      <c r="CCY385" s="102"/>
      <c r="CCZ385" s="102"/>
      <c r="CDA385" s="102"/>
      <c r="CDB385" s="102"/>
      <c r="CDC385" s="102"/>
      <c r="CDD385" s="102"/>
      <c r="CDE385" s="102"/>
      <c r="CDF385" s="102"/>
      <c r="CDG385" s="102"/>
      <c r="CDH385" s="102"/>
      <c r="CDI385" s="102"/>
      <c r="CDJ385" s="102"/>
      <c r="CDK385" s="102"/>
      <c r="CDL385" s="102"/>
      <c r="CDM385" s="102"/>
      <c r="CDN385" s="102"/>
      <c r="CDO385" s="102"/>
      <c r="CDP385" s="102"/>
      <c r="CDQ385" s="102"/>
      <c r="CDR385" s="102"/>
      <c r="CDS385" s="102"/>
      <c r="CDT385" s="102"/>
      <c r="CDU385" s="102"/>
      <c r="CDV385" s="102"/>
      <c r="CDW385" s="102"/>
      <c r="CDX385" s="102"/>
      <c r="CDY385" s="102"/>
      <c r="CDZ385" s="102"/>
      <c r="CEA385" s="102"/>
      <c r="CEB385" s="102"/>
      <c r="CEC385" s="102"/>
      <c r="CED385" s="102"/>
      <c r="CEE385" s="102"/>
      <c r="CEF385" s="102"/>
      <c r="CEG385" s="102"/>
      <c r="CEH385" s="102"/>
      <c r="CEI385" s="102"/>
      <c r="CEJ385" s="102"/>
      <c r="CEK385" s="102"/>
      <c r="CEL385" s="102"/>
      <c r="CEM385" s="102"/>
      <c r="CEN385" s="102"/>
      <c r="CEO385" s="102"/>
      <c r="CEP385" s="102"/>
      <c r="CEQ385" s="102"/>
      <c r="CER385" s="102"/>
      <c r="CES385" s="102"/>
      <c r="CET385" s="102"/>
      <c r="CEU385" s="102"/>
      <c r="CEV385" s="102"/>
      <c r="CEW385" s="102"/>
      <c r="CEX385" s="102"/>
      <c r="CEY385" s="102"/>
      <c r="CEZ385" s="102"/>
      <c r="CFA385" s="102"/>
      <c r="CFB385" s="102"/>
      <c r="CFC385" s="102"/>
      <c r="CFD385" s="102"/>
      <c r="CFE385" s="102"/>
      <c r="CFF385" s="102"/>
      <c r="CFG385" s="102"/>
      <c r="CFH385" s="102"/>
      <c r="CFI385" s="102"/>
      <c r="CFJ385" s="102"/>
      <c r="CFK385" s="102"/>
      <c r="CFL385" s="102"/>
      <c r="CFM385" s="102"/>
      <c r="CFN385" s="102"/>
      <c r="CFO385" s="102"/>
      <c r="CFP385" s="102"/>
      <c r="CFQ385" s="102"/>
      <c r="CFR385" s="102"/>
      <c r="CFS385" s="102"/>
      <c r="CFT385" s="102"/>
      <c r="CFU385" s="102"/>
      <c r="CFV385" s="102"/>
      <c r="CFW385" s="102"/>
      <c r="CFX385" s="102"/>
      <c r="CFY385" s="102"/>
      <c r="CFZ385" s="102"/>
      <c r="CGA385" s="102"/>
      <c r="CGB385" s="102"/>
      <c r="CGC385" s="102"/>
      <c r="CGD385" s="102"/>
      <c r="CGE385" s="102"/>
      <c r="CGF385" s="102"/>
      <c r="CGG385" s="102"/>
      <c r="CGH385" s="102"/>
      <c r="CGI385" s="102"/>
      <c r="CGJ385" s="102"/>
      <c r="CGK385" s="102"/>
      <c r="CGL385" s="102"/>
      <c r="CGM385" s="102"/>
      <c r="CGN385" s="102"/>
      <c r="CGO385" s="102"/>
      <c r="CGP385" s="102"/>
      <c r="CGQ385" s="102"/>
      <c r="CGR385" s="102"/>
      <c r="CGS385" s="102"/>
      <c r="CGT385" s="102"/>
      <c r="CGU385" s="102"/>
      <c r="CGV385" s="102"/>
      <c r="CGW385" s="102"/>
      <c r="CGX385" s="102"/>
      <c r="CGY385" s="102"/>
      <c r="CGZ385" s="102"/>
      <c r="CHA385" s="102"/>
      <c r="CHB385" s="102"/>
      <c r="CHC385" s="102"/>
      <c r="CHD385" s="102"/>
      <c r="CHE385" s="102"/>
      <c r="CHF385" s="102"/>
      <c r="CHG385" s="102"/>
      <c r="CHH385" s="102"/>
      <c r="CHI385" s="102"/>
      <c r="CHJ385" s="102"/>
      <c r="CHK385" s="102"/>
      <c r="CHL385" s="102"/>
      <c r="CHM385" s="102"/>
      <c r="CHN385" s="102"/>
      <c r="CHO385" s="102"/>
      <c r="CHP385" s="102"/>
      <c r="CHQ385" s="102"/>
      <c r="CHR385" s="102"/>
      <c r="CHS385" s="102"/>
      <c r="CHT385" s="102"/>
      <c r="CHU385" s="102"/>
      <c r="CHV385" s="102"/>
      <c r="CHW385" s="102"/>
      <c r="CHX385" s="102"/>
      <c r="CHY385" s="102"/>
      <c r="CHZ385" s="102"/>
      <c r="CIA385" s="102"/>
      <c r="CIB385" s="102"/>
      <c r="CIC385" s="102"/>
      <c r="CID385" s="102"/>
      <c r="CIE385" s="102"/>
      <c r="CIF385" s="102"/>
      <c r="CIG385" s="102"/>
      <c r="CIH385" s="102"/>
      <c r="CII385" s="102"/>
      <c r="CIJ385" s="102"/>
      <c r="CIK385" s="102"/>
      <c r="CIL385" s="102"/>
      <c r="CIM385" s="102"/>
      <c r="CIN385" s="102"/>
      <c r="CIO385" s="102"/>
      <c r="CIP385" s="102"/>
      <c r="CIQ385" s="102"/>
      <c r="CIR385" s="102"/>
      <c r="CIS385" s="102"/>
      <c r="CIT385" s="102"/>
      <c r="CIU385" s="102"/>
      <c r="CIV385" s="102"/>
      <c r="CIW385" s="102"/>
      <c r="CIX385" s="102"/>
      <c r="CIY385" s="102"/>
      <c r="CIZ385" s="102"/>
      <c r="CJA385" s="102"/>
      <c r="CJB385" s="102"/>
      <c r="CJC385" s="102"/>
      <c r="CJD385" s="102"/>
      <c r="CJE385" s="102"/>
      <c r="CJF385" s="102"/>
      <c r="CJG385" s="102"/>
      <c r="CJH385" s="102"/>
      <c r="CJI385" s="102"/>
      <c r="CJJ385" s="102"/>
      <c r="CJK385" s="102"/>
      <c r="CJL385" s="102"/>
      <c r="CJM385" s="102"/>
      <c r="CJN385" s="102"/>
      <c r="CJO385" s="102"/>
      <c r="CJP385" s="102"/>
      <c r="CJQ385" s="102"/>
      <c r="CJR385" s="102"/>
      <c r="CJS385" s="102"/>
      <c r="CJT385" s="102"/>
      <c r="CJU385" s="102"/>
      <c r="CJV385" s="102"/>
      <c r="CJW385" s="102"/>
      <c r="CJX385" s="102"/>
      <c r="CJY385" s="102"/>
      <c r="CJZ385" s="102"/>
      <c r="CKA385" s="102"/>
      <c r="CKB385" s="102"/>
      <c r="CKC385" s="102"/>
      <c r="CKD385" s="102"/>
      <c r="CKE385" s="102"/>
      <c r="CKF385" s="102"/>
      <c r="CKG385" s="102"/>
      <c r="CKH385" s="102"/>
      <c r="CKI385" s="102"/>
      <c r="CKJ385" s="102"/>
      <c r="CKK385" s="102"/>
      <c r="CKL385" s="102"/>
      <c r="CKM385" s="102"/>
      <c r="CKN385" s="102"/>
      <c r="CKO385" s="102"/>
      <c r="CKP385" s="102"/>
      <c r="CKQ385" s="102"/>
      <c r="CKR385" s="102"/>
      <c r="CKS385" s="102"/>
      <c r="CKT385" s="102"/>
      <c r="CKU385" s="102"/>
      <c r="CKV385" s="102"/>
      <c r="CKW385" s="102"/>
      <c r="CKX385" s="102"/>
      <c r="CKY385" s="102"/>
      <c r="CKZ385" s="102"/>
      <c r="CLA385" s="102"/>
      <c r="CLB385" s="102"/>
      <c r="CLC385" s="102"/>
      <c r="CLD385" s="102"/>
      <c r="CLE385" s="102"/>
      <c r="CLF385" s="102"/>
      <c r="CLG385" s="102"/>
      <c r="CLH385" s="102"/>
      <c r="CLI385" s="102"/>
      <c r="CLJ385" s="102"/>
      <c r="CLK385" s="102"/>
      <c r="CLL385" s="102"/>
      <c r="CLM385" s="102"/>
      <c r="CLN385" s="102"/>
      <c r="CLO385" s="102"/>
      <c r="CLP385" s="102"/>
      <c r="CLQ385" s="102"/>
      <c r="CLR385" s="102"/>
      <c r="CLS385" s="102"/>
      <c r="CLT385" s="102"/>
      <c r="CLU385" s="102"/>
      <c r="CLV385" s="102"/>
      <c r="CLW385" s="102"/>
      <c r="CLX385" s="102"/>
      <c r="CLY385" s="102"/>
      <c r="CLZ385" s="102"/>
      <c r="CMA385" s="102"/>
      <c r="CMB385" s="102"/>
      <c r="CMC385" s="102"/>
      <c r="CMD385" s="102"/>
      <c r="CME385" s="102"/>
      <c r="CMF385" s="102"/>
      <c r="CMG385" s="102"/>
      <c r="CMH385" s="102"/>
      <c r="CMI385" s="102"/>
      <c r="CMJ385" s="102"/>
      <c r="CMK385" s="102"/>
      <c r="CML385" s="102"/>
      <c r="CMM385" s="102"/>
      <c r="CMN385" s="102"/>
      <c r="CMO385" s="102"/>
      <c r="CMP385" s="102"/>
      <c r="CMQ385" s="102"/>
      <c r="CMR385" s="102"/>
      <c r="CMS385" s="102"/>
      <c r="CMT385" s="102"/>
      <c r="CMU385" s="102"/>
      <c r="CMV385" s="102"/>
      <c r="CMW385" s="102"/>
      <c r="CMX385" s="102"/>
      <c r="CMY385" s="102"/>
      <c r="CMZ385" s="102"/>
      <c r="CNA385" s="102"/>
      <c r="CNB385" s="102"/>
      <c r="CNC385" s="102"/>
      <c r="CND385" s="102"/>
      <c r="CNE385" s="102"/>
      <c r="CNF385" s="102"/>
      <c r="CNG385" s="102"/>
      <c r="CNH385" s="102"/>
      <c r="CNI385" s="102"/>
      <c r="CNJ385" s="102"/>
      <c r="CNK385" s="102"/>
      <c r="CNL385" s="102"/>
      <c r="CNM385" s="102"/>
      <c r="CNN385" s="102"/>
      <c r="CNO385" s="102"/>
      <c r="CNP385" s="102"/>
      <c r="CNQ385" s="102"/>
      <c r="CNR385" s="102"/>
      <c r="CNS385" s="102"/>
      <c r="CNT385" s="102"/>
      <c r="CNU385" s="102"/>
      <c r="CNV385" s="102"/>
      <c r="CNW385" s="102"/>
      <c r="CNX385" s="102"/>
      <c r="CNY385" s="102"/>
      <c r="CNZ385" s="102"/>
      <c r="COA385" s="102"/>
      <c r="COB385" s="102"/>
      <c r="COC385" s="102"/>
      <c r="COD385" s="102"/>
      <c r="COE385" s="102"/>
      <c r="COF385" s="102"/>
      <c r="COG385" s="102"/>
      <c r="COH385" s="102"/>
      <c r="COI385" s="102"/>
      <c r="COJ385" s="102"/>
      <c r="COK385" s="102"/>
      <c r="COL385" s="102"/>
      <c r="COM385" s="102"/>
      <c r="CON385" s="102"/>
      <c r="COO385" s="102"/>
      <c r="COP385" s="102"/>
      <c r="COQ385" s="102"/>
      <c r="COR385" s="102"/>
      <c r="COS385" s="102"/>
      <c r="COT385" s="102"/>
      <c r="COU385" s="102"/>
      <c r="COV385" s="102"/>
      <c r="COW385" s="102"/>
      <c r="COX385" s="102"/>
      <c r="COY385" s="102"/>
      <c r="COZ385" s="102"/>
      <c r="CPA385" s="102"/>
      <c r="CPB385" s="102"/>
      <c r="CPC385" s="102"/>
      <c r="CPD385" s="102"/>
      <c r="CPE385" s="102"/>
      <c r="CPF385" s="102"/>
      <c r="CPG385" s="102"/>
      <c r="CPH385" s="102"/>
      <c r="CPI385" s="102"/>
      <c r="CPJ385" s="102"/>
      <c r="CPK385" s="102"/>
      <c r="CPL385" s="102"/>
      <c r="CPM385" s="102"/>
      <c r="CPN385" s="102"/>
      <c r="CPO385" s="102"/>
      <c r="CPP385" s="102"/>
      <c r="CPQ385" s="102"/>
      <c r="CPR385" s="102"/>
      <c r="CPS385" s="102"/>
      <c r="CPT385" s="102"/>
      <c r="CPU385" s="102"/>
      <c r="CPV385" s="102"/>
      <c r="CPW385" s="102"/>
      <c r="CPX385" s="102"/>
      <c r="CPY385" s="102"/>
      <c r="CPZ385" s="102"/>
      <c r="CQA385" s="102"/>
      <c r="CQB385" s="102"/>
      <c r="CQC385" s="102"/>
      <c r="CQD385" s="102"/>
      <c r="CQE385" s="102"/>
      <c r="CQF385" s="102"/>
      <c r="CQG385" s="102"/>
      <c r="CQH385" s="102"/>
      <c r="CQI385" s="102"/>
      <c r="CQJ385" s="102"/>
      <c r="CQK385" s="102"/>
      <c r="CQL385" s="102"/>
      <c r="CQM385" s="102"/>
      <c r="CQN385" s="102"/>
      <c r="CQO385" s="102"/>
      <c r="CQP385" s="102"/>
      <c r="CQQ385" s="102"/>
      <c r="CQR385" s="102"/>
      <c r="CQS385" s="102"/>
      <c r="CQT385" s="102"/>
      <c r="CQU385" s="102"/>
      <c r="CQV385" s="102"/>
      <c r="CQW385" s="102"/>
      <c r="CQX385" s="102"/>
      <c r="CQY385" s="102"/>
      <c r="CQZ385" s="102"/>
      <c r="CRA385" s="102"/>
      <c r="CRB385" s="102"/>
      <c r="CRC385" s="102"/>
      <c r="CRD385" s="102"/>
      <c r="CRE385" s="102"/>
      <c r="CRF385" s="102"/>
      <c r="CRG385" s="102"/>
      <c r="CRH385" s="102"/>
      <c r="CRI385" s="102"/>
      <c r="CRJ385" s="102"/>
      <c r="CRK385" s="102"/>
      <c r="CRL385" s="102"/>
      <c r="CRM385" s="102"/>
      <c r="CRN385" s="102"/>
      <c r="CRO385" s="102"/>
      <c r="CRP385" s="102"/>
      <c r="CRQ385" s="102"/>
      <c r="CRR385" s="102"/>
      <c r="CRS385" s="102"/>
      <c r="CRT385" s="102"/>
      <c r="CRU385" s="102"/>
      <c r="CRV385" s="102"/>
      <c r="CRW385" s="102"/>
      <c r="CRX385" s="102"/>
      <c r="CRY385" s="102"/>
      <c r="CRZ385" s="102"/>
      <c r="CSA385" s="102"/>
      <c r="CSB385" s="102"/>
      <c r="CSC385" s="102"/>
      <c r="CSD385" s="102"/>
      <c r="CSE385" s="102"/>
      <c r="CSF385" s="102"/>
      <c r="CSG385" s="102"/>
      <c r="CSH385" s="102"/>
      <c r="CSI385" s="102"/>
      <c r="CSJ385" s="102"/>
      <c r="CSK385" s="102"/>
      <c r="CSL385" s="102"/>
      <c r="CSM385" s="102"/>
      <c r="CSN385" s="102"/>
      <c r="CSO385" s="102"/>
      <c r="CSP385" s="102"/>
      <c r="CSQ385" s="102"/>
      <c r="CSR385" s="102"/>
      <c r="CSS385" s="102"/>
      <c r="CST385" s="102"/>
      <c r="CSU385" s="102"/>
      <c r="CSV385" s="102"/>
      <c r="CSW385" s="102"/>
      <c r="CSX385" s="102"/>
      <c r="CSY385" s="102"/>
      <c r="CSZ385" s="102"/>
      <c r="CTA385" s="102"/>
      <c r="CTB385" s="102"/>
      <c r="CTC385" s="102"/>
      <c r="CTD385" s="102"/>
      <c r="CTE385" s="102"/>
      <c r="CTF385" s="102"/>
      <c r="CTG385" s="102"/>
      <c r="CTH385" s="102"/>
      <c r="CTI385" s="102"/>
      <c r="CTJ385" s="102"/>
      <c r="CTK385" s="102"/>
      <c r="CTL385" s="102"/>
      <c r="CTM385" s="102"/>
      <c r="CTN385" s="102"/>
      <c r="CTO385" s="102"/>
      <c r="CTP385" s="102"/>
      <c r="CTQ385" s="102"/>
      <c r="CTR385" s="102"/>
      <c r="CTS385" s="102"/>
      <c r="CTT385" s="102"/>
      <c r="CTU385" s="102"/>
      <c r="CTV385" s="102"/>
      <c r="CTW385" s="102"/>
      <c r="CTX385" s="102"/>
      <c r="CTY385" s="102"/>
      <c r="CTZ385" s="102"/>
      <c r="CUA385" s="102"/>
      <c r="CUB385" s="102"/>
      <c r="CUC385" s="102"/>
      <c r="CUD385" s="102"/>
      <c r="CUE385" s="102"/>
      <c r="CUF385" s="102"/>
      <c r="CUG385" s="102"/>
      <c r="CUH385" s="102"/>
      <c r="CUI385" s="102"/>
      <c r="CUJ385" s="102"/>
      <c r="CUK385" s="102"/>
      <c r="CUL385" s="102"/>
      <c r="CUM385" s="102"/>
      <c r="CUN385" s="102"/>
      <c r="CUO385" s="102"/>
      <c r="CUP385" s="102"/>
      <c r="CUQ385" s="102"/>
      <c r="CUR385" s="102"/>
      <c r="CUS385" s="102"/>
      <c r="CUT385" s="102"/>
      <c r="CUU385" s="102"/>
      <c r="CUV385" s="102"/>
      <c r="CUW385" s="102"/>
      <c r="CUX385" s="102"/>
      <c r="CUY385" s="102"/>
      <c r="CUZ385" s="102"/>
      <c r="CVA385" s="102"/>
      <c r="CVB385" s="102"/>
      <c r="CVC385" s="102"/>
      <c r="CVD385" s="102"/>
      <c r="CVE385" s="102"/>
      <c r="CVF385" s="102"/>
      <c r="CVG385" s="102"/>
      <c r="CVH385" s="102"/>
      <c r="CVI385" s="102"/>
      <c r="CVJ385" s="102"/>
      <c r="CVK385" s="102"/>
      <c r="CVL385" s="102"/>
      <c r="CVM385" s="102"/>
      <c r="CVN385" s="102"/>
      <c r="CVO385" s="102"/>
      <c r="CVP385" s="102"/>
      <c r="CVQ385" s="102"/>
      <c r="CVR385" s="102"/>
      <c r="CVS385" s="102"/>
      <c r="CVT385" s="102"/>
      <c r="CVU385" s="102"/>
      <c r="CVV385" s="102"/>
      <c r="CVW385" s="102"/>
      <c r="CVX385" s="102"/>
      <c r="CVY385" s="102"/>
      <c r="CVZ385" s="102"/>
      <c r="CWA385" s="102"/>
      <c r="CWB385" s="102"/>
      <c r="CWC385" s="102"/>
      <c r="CWD385" s="102"/>
      <c r="CWE385" s="102"/>
      <c r="CWF385" s="102"/>
      <c r="CWG385" s="102"/>
      <c r="CWH385" s="102"/>
      <c r="CWI385" s="102"/>
      <c r="CWJ385" s="102"/>
      <c r="CWK385" s="102"/>
      <c r="CWL385" s="102"/>
      <c r="CWM385" s="102"/>
      <c r="CWN385" s="102"/>
      <c r="CWO385" s="102"/>
      <c r="CWP385" s="102"/>
      <c r="CWQ385" s="102"/>
      <c r="CWR385" s="102"/>
      <c r="CWS385" s="102"/>
      <c r="CWT385" s="102"/>
      <c r="CWU385" s="102"/>
      <c r="CWV385" s="102"/>
      <c r="CWW385" s="102"/>
      <c r="CWX385" s="102"/>
      <c r="CWY385" s="102"/>
      <c r="CWZ385" s="102"/>
      <c r="CXA385" s="102"/>
      <c r="CXB385" s="102"/>
      <c r="CXC385" s="102"/>
      <c r="CXD385" s="102"/>
      <c r="CXE385" s="102"/>
      <c r="CXF385" s="102"/>
      <c r="CXG385" s="102"/>
      <c r="CXH385" s="102"/>
      <c r="CXI385" s="102"/>
      <c r="CXJ385" s="102"/>
      <c r="CXK385" s="102"/>
      <c r="CXL385" s="102"/>
      <c r="CXM385" s="102"/>
      <c r="CXN385" s="102"/>
      <c r="CXO385" s="102"/>
      <c r="CXP385" s="102"/>
      <c r="CXQ385" s="102"/>
      <c r="CXR385" s="102"/>
      <c r="CXS385" s="102"/>
      <c r="CXT385" s="102"/>
      <c r="CXU385" s="102"/>
      <c r="CXV385" s="102"/>
      <c r="CXW385" s="102"/>
      <c r="CXX385" s="102"/>
      <c r="CXY385" s="102"/>
      <c r="CXZ385" s="102"/>
      <c r="CYA385" s="102"/>
      <c r="CYB385" s="102"/>
      <c r="CYC385" s="102"/>
      <c r="CYD385" s="102"/>
      <c r="CYE385" s="102"/>
      <c r="CYF385" s="102"/>
      <c r="CYG385" s="102"/>
      <c r="CYH385" s="102"/>
      <c r="CYI385" s="102"/>
      <c r="CYJ385" s="102"/>
      <c r="CYK385" s="102"/>
      <c r="CYL385" s="102"/>
      <c r="CYM385" s="102"/>
      <c r="CYN385" s="102"/>
      <c r="CYO385" s="102"/>
      <c r="CYP385" s="102"/>
      <c r="CYQ385" s="102"/>
      <c r="CYR385" s="102"/>
      <c r="CYS385" s="102"/>
      <c r="CYT385" s="102"/>
      <c r="CYU385" s="102"/>
      <c r="CYV385" s="102"/>
      <c r="CYW385" s="102"/>
      <c r="CYX385" s="102"/>
      <c r="CYY385" s="102"/>
      <c r="CYZ385" s="102"/>
      <c r="CZA385" s="102"/>
      <c r="CZB385" s="102"/>
      <c r="CZC385" s="102"/>
      <c r="CZD385" s="102"/>
      <c r="CZE385" s="102"/>
      <c r="CZF385" s="102"/>
      <c r="CZG385" s="102"/>
      <c r="CZH385" s="102"/>
      <c r="CZI385" s="102"/>
      <c r="CZJ385" s="102"/>
      <c r="CZK385" s="102"/>
      <c r="CZL385" s="102"/>
      <c r="CZM385" s="102"/>
      <c r="CZN385" s="102"/>
      <c r="CZO385" s="102"/>
      <c r="CZP385" s="102"/>
      <c r="CZQ385" s="102"/>
      <c r="CZR385" s="102"/>
      <c r="CZS385" s="102"/>
      <c r="CZT385" s="102"/>
      <c r="CZU385" s="102"/>
      <c r="CZV385" s="102"/>
      <c r="CZW385" s="102"/>
      <c r="CZX385" s="102"/>
      <c r="CZY385" s="102"/>
      <c r="CZZ385" s="102"/>
      <c r="DAA385" s="102"/>
      <c r="DAB385" s="102"/>
      <c r="DAC385" s="102"/>
      <c r="DAD385" s="102"/>
      <c r="DAE385" s="102"/>
      <c r="DAF385" s="102"/>
      <c r="DAG385" s="102"/>
      <c r="DAH385" s="102"/>
      <c r="DAI385" s="102"/>
      <c r="DAJ385" s="102"/>
      <c r="DAK385" s="102"/>
      <c r="DAL385" s="102"/>
      <c r="DAM385" s="102"/>
      <c r="DAN385" s="102"/>
      <c r="DAO385" s="102"/>
      <c r="DAP385" s="102"/>
      <c r="DAQ385" s="102"/>
      <c r="DAR385" s="102"/>
      <c r="DAS385" s="102"/>
      <c r="DAT385" s="102"/>
      <c r="DAU385" s="102"/>
      <c r="DAV385" s="102"/>
      <c r="DAW385" s="102"/>
      <c r="DAX385" s="102"/>
      <c r="DAY385" s="102"/>
      <c r="DAZ385" s="102"/>
      <c r="DBA385" s="102"/>
      <c r="DBB385" s="102"/>
      <c r="DBC385" s="102"/>
      <c r="DBD385" s="102"/>
      <c r="DBE385" s="102"/>
      <c r="DBF385" s="102"/>
      <c r="DBG385" s="102"/>
      <c r="DBH385" s="102"/>
      <c r="DBI385" s="102"/>
      <c r="DBJ385" s="102"/>
      <c r="DBK385" s="102"/>
      <c r="DBL385" s="102"/>
      <c r="DBM385" s="102"/>
      <c r="DBN385" s="102"/>
      <c r="DBO385" s="102"/>
      <c r="DBP385" s="102"/>
      <c r="DBQ385" s="102"/>
      <c r="DBR385" s="102"/>
      <c r="DBS385" s="102"/>
      <c r="DBT385" s="102"/>
      <c r="DBU385" s="102"/>
      <c r="DBV385" s="102"/>
      <c r="DBW385" s="102"/>
      <c r="DBX385" s="102"/>
      <c r="DBY385" s="102"/>
      <c r="DBZ385" s="102"/>
      <c r="DCA385" s="102"/>
      <c r="DCB385" s="102"/>
      <c r="DCC385" s="102"/>
      <c r="DCD385" s="102"/>
      <c r="DCE385" s="102"/>
      <c r="DCF385" s="102"/>
      <c r="DCG385" s="102"/>
      <c r="DCH385" s="102"/>
      <c r="DCI385" s="102"/>
      <c r="DCJ385" s="102"/>
      <c r="DCK385" s="102"/>
      <c r="DCL385" s="102"/>
      <c r="DCM385" s="102"/>
      <c r="DCN385" s="102"/>
      <c r="DCO385" s="102"/>
      <c r="DCP385" s="102"/>
      <c r="DCQ385" s="102"/>
      <c r="DCR385" s="102"/>
      <c r="DCS385" s="102"/>
      <c r="DCT385" s="102"/>
      <c r="DCU385" s="102"/>
      <c r="DCV385" s="102"/>
      <c r="DCW385" s="102"/>
      <c r="DCX385" s="102"/>
      <c r="DCY385" s="102"/>
      <c r="DCZ385" s="102"/>
      <c r="DDA385" s="102"/>
      <c r="DDB385" s="102"/>
      <c r="DDC385" s="102"/>
      <c r="DDD385" s="102"/>
      <c r="DDE385" s="102"/>
      <c r="DDF385" s="102"/>
      <c r="DDG385" s="102"/>
      <c r="DDH385" s="102"/>
      <c r="DDI385" s="102"/>
      <c r="DDJ385" s="102"/>
      <c r="DDK385" s="102"/>
      <c r="DDL385" s="102"/>
      <c r="DDM385" s="102"/>
      <c r="DDN385" s="102"/>
      <c r="DDO385" s="102"/>
      <c r="DDP385" s="102"/>
      <c r="DDQ385" s="102"/>
      <c r="DDR385" s="102"/>
      <c r="DDS385" s="102"/>
      <c r="DDT385" s="102"/>
      <c r="DDU385" s="102"/>
      <c r="DDV385" s="102"/>
      <c r="DDW385" s="102"/>
      <c r="DDX385" s="102"/>
      <c r="DDY385" s="102"/>
      <c r="DDZ385" s="102"/>
      <c r="DEA385" s="102"/>
      <c r="DEB385" s="102"/>
      <c r="DEC385" s="102"/>
      <c r="DED385" s="102"/>
      <c r="DEE385" s="102"/>
      <c r="DEF385" s="102"/>
      <c r="DEG385" s="102"/>
      <c r="DEH385" s="102"/>
      <c r="DEI385" s="102"/>
      <c r="DEJ385" s="102"/>
      <c r="DEK385" s="102"/>
      <c r="DEL385" s="102"/>
      <c r="DEM385" s="102"/>
      <c r="DEN385" s="102"/>
      <c r="DEO385" s="102"/>
      <c r="DEP385" s="102"/>
      <c r="DEQ385" s="102"/>
      <c r="DER385" s="102"/>
      <c r="DES385" s="102"/>
      <c r="DET385" s="102"/>
      <c r="DEU385" s="102"/>
      <c r="DEV385" s="102"/>
      <c r="DEW385" s="102"/>
      <c r="DEX385" s="102"/>
      <c r="DEY385" s="102"/>
      <c r="DEZ385" s="102"/>
      <c r="DFA385" s="102"/>
      <c r="DFB385" s="102"/>
      <c r="DFC385" s="102"/>
      <c r="DFD385" s="102"/>
      <c r="DFE385" s="102"/>
      <c r="DFF385" s="102"/>
      <c r="DFG385" s="102"/>
      <c r="DFH385" s="102"/>
      <c r="DFI385" s="102"/>
      <c r="DFJ385" s="102"/>
      <c r="DFK385" s="102"/>
      <c r="DFL385" s="102"/>
      <c r="DFM385" s="102"/>
      <c r="DFN385" s="102"/>
      <c r="DFO385" s="102"/>
      <c r="DFP385" s="102"/>
      <c r="DFQ385" s="102"/>
      <c r="DFR385" s="102"/>
      <c r="DFS385" s="102"/>
      <c r="DFT385" s="102"/>
      <c r="DFU385" s="102"/>
      <c r="DFV385" s="102"/>
      <c r="DFW385" s="102"/>
      <c r="DFX385" s="102"/>
      <c r="DFY385" s="102"/>
      <c r="DFZ385" s="102"/>
      <c r="DGA385" s="102"/>
      <c r="DGB385" s="102"/>
      <c r="DGC385" s="102"/>
      <c r="DGD385" s="102"/>
      <c r="DGE385" s="102"/>
      <c r="DGF385" s="102"/>
      <c r="DGG385" s="102"/>
      <c r="DGH385" s="102"/>
      <c r="DGI385" s="102"/>
      <c r="DGJ385" s="102"/>
      <c r="DGK385" s="102"/>
      <c r="DGL385" s="102"/>
      <c r="DGM385" s="102"/>
      <c r="DGN385" s="102"/>
      <c r="DGO385" s="102"/>
      <c r="DGP385" s="102"/>
      <c r="DGQ385" s="102"/>
      <c r="DGR385" s="102"/>
      <c r="DGS385" s="102"/>
      <c r="DGT385" s="102"/>
      <c r="DGU385" s="102"/>
      <c r="DGV385" s="102"/>
      <c r="DGW385" s="102"/>
      <c r="DGX385" s="102"/>
      <c r="DGY385" s="102"/>
      <c r="DGZ385" s="102"/>
      <c r="DHA385" s="102"/>
      <c r="DHB385" s="102"/>
      <c r="DHC385" s="102"/>
      <c r="DHD385" s="102"/>
      <c r="DHE385" s="102"/>
      <c r="DHF385" s="102"/>
      <c r="DHG385" s="102"/>
      <c r="DHH385" s="102"/>
      <c r="DHI385" s="102"/>
      <c r="DHJ385" s="102"/>
      <c r="DHK385" s="102"/>
      <c r="DHL385" s="102"/>
      <c r="DHM385" s="102"/>
      <c r="DHN385" s="102"/>
      <c r="DHO385" s="102"/>
      <c r="DHP385" s="102"/>
      <c r="DHQ385" s="102"/>
      <c r="DHR385" s="102"/>
      <c r="DHS385" s="102"/>
      <c r="DHT385" s="102"/>
      <c r="DHU385" s="102"/>
      <c r="DHV385" s="102"/>
      <c r="DHW385" s="102"/>
      <c r="DHX385" s="102"/>
      <c r="DHY385" s="102"/>
      <c r="DHZ385" s="102"/>
      <c r="DIA385" s="102"/>
      <c r="DIB385" s="102"/>
      <c r="DIC385" s="102"/>
      <c r="DID385" s="102"/>
      <c r="DIE385" s="102"/>
      <c r="DIF385" s="102"/>
      <c r="DIG385" s="102"/>
      <c r="DIH385" s="102"/>
      <c r="DII385" s="102"/>
      <c r="DIJ385" s="102"/>
      <c r="DIK385" s="102"/>
      <c r="DIL385" s="102"/>
      <c r="DIM385" s="102"/>
      <c r="DIN385" s="102"/>
      <c r="DIO385" s="102"/>
      <c r="DIP385" s="102"/>
      <c r="DIQ385" s="102"/>
      <c r="DIR385" s="102"/>
      <c r="DIS385" s="102"/>
      <c r="DIT385" s="102"/>
      <c r="DIU385" s="102"/>
      <c r="DIV385" s="102"/>
      <c r="DIW385" s="102"/>
      <c r="DIX385" s="102"/>
      <c r="DIY385" s="102"/>
      <c r="DIZ385" s="102"/>
      <c r="DJA385" s="102"/>
      <c r="DJB385" s="102"/>
      <c r="DJC385" s="102"/>
      <c r="DJD385" s="102"/>
      <c r="DJE385" s="102"/>
      <c r="DJF385" s="102"/>
      <c r="DJG385" s="102"/>
      <c r="DJH385" s="102"/>
      <c r="DJI385" s="102"/>
      <c r="DJJ385" s="102"/>
      <c r="DJK385" s="102"/>
      <c r="DJL385" s="102"/>
      <c r="DJM385" s="102"/>
      <c r="DJN385" s="102"/>
      <c r="DJO385" s="102"/>
      <c r="DJP385" s="102"/>
      <c r="DJQ385" s="102"/>
      <c r="DJR385" s="102"/>
      <c r="DJS385" s="102"/>
      <c r="DJT385" s="102"/>
      <c r="DJU385" s="102"/>
      <c r="DJV385" s="102"/>
      <c r="DJW385" s="102"/>
      <c r="DJX385" s="102"/>
      <c r="DJY385" s="102"/>
      <c r="DJZ385" s="102"/>
      <c r="DKA385" s="102"/>
      <c r="DKB385" s="102"/>
      <c r="DKC385" s="102"/>
      <c r="DKD385" s="102"/>
      <c r="DKE385" s="102"/>
      <c r="DKF385" s="102"/>
      <c r="DKG385" s="102"/>
      <c r="DKH385" s="102"/>
      <c r="DKI385" s="102"/>
      <c r="DKJ385" s="102"/>
      <c r="DKK385" s="102"/>
      <c r="DKL385" s="102"/>
      <c r="DKM385" s="102"/>
      <c r="DKN385" s="102"/>
      <c r="DKO385" s="102"/>
      <c r="DKP385" s="102"/>
      <c r="DKQ385" s="102"/>
      <c r="DKR385" s="102"/>
      <c r="DKS385" s="102"/>
      <c r="DKT385" s="102"/>
      <c r="DKU385" s="102"/>
      <c r="DKV385" s="102"/>
      <c r="DKW385" s="102"/>
      <c r="DKX385" s="102"/>
      <c r="DKY385" s="102"/>
      <c r="DKZ385" s="102"/>
      <c r="DLA385" s="102"/>
      <c r="DLB385" s="102"/>
      <c r="DLC385" s="102"/>
      <c r="DLD385" s="102"/>
      <c r="DLE385" s="102"/>
      <c r="DLF385" s="102"/>
      <c r="DLG385" s="102"/>
      <c r="DLH385" s="102"/>
      <c r="DLI385" s="102"/>
      <c r="DLJ385" s="102"/>
      <c r="DLK385" s="102"/>
      <c r="DLL385" s="102"/>
      <c r="DLM385" s="102"/>
      <c r="DLN385" s="102"/>
      <c r="DLO385" s="102"/>
      <c r="DLP385" s="102"/>
      <c r="DLQ385" s="102"/>
      <c r="DLR385" s="102"/>
      <c r="DLS385" s="102"/>
      <c r="DLT385" s="102"/>
      <c r="DLU385" s="102"/>
      <c r="DLV385" s="102"/>
      <c r="DLW385" s="102"/>
      <c r="DLX385" s="102"/>
      <c r="DLY385" s="102"/>
      <c r="DLZ385" s="102"/>
      <c r="DMA385" s="102"/>
      <c r="DMB385" s="102"/>
      <c r="DMC385" s="102"/>
      <c r="DMD385" s="102"/>
      <c r="DME385" s="102"/>
      <c r="DMF385" s="102"/>
      <c r="DMG385" s="102"/>
      <c r="DMH385" s="102"/>
      <c r="DMI385" s="102"/>
      <c r="DMJ385" s="102"/>
      <c r="DMK385" s="102"/>
      <c r="DML385" s="102"/>
      <c r="DMM385" s="102"/>
      <c r="DMN385" s="102"/>
      <c r="DMO385" s="102"/>
      <c r="DMP385" s="102"/>
      <c r="DMQ385" s="102"/>
      <c r="DMR385" s="102"/>
      <c r="DMS385" s="102"/>
      <c r="DMT385" s="102"/>
      <c r="DMU385" s="102"/>
      <c r="DMV385" s="102"/>
      <c r="DMW385" s="102"/>
      <c r="DMX385" s="102"/>
      <c r="DMY385" s="102"/>
      <c r="DMZ385" s="102"/>
      <c r="DNA385" s="102"/>
      <c r="DNB385" s="102"/>
      <c r="DNC385" s="102"/>
      <c r="DND385" s="102"/>
      <c r="DNE385" s="102"/>
      <c r="DNF385" s="102"/>
      <c r="DNG385" s="102"/>
      <c r="DNH385" s="102"/>
      <c r="DNI385" s="102"/>
      <c r="DNJ385" s="102"/>
      <c r="DNK385" s="102"/>
      <c r="DNL385" s="102"/>
      <c r="DNM385" s="102"/>
      <c r="DNN385" s="102"/>
      <c r="DNO385" s="102"/>
      <c r="DNP385" s="102"/>
      <c r="DNQ385" s="102"/>
      <c r="DNR385" s="102"/>
      <c r="DNS385" s="102"/>
      <c r="DNT385" s="102"/>
      <c r="DNU385" s="102"/>
      <c r="DNV385" s="102"/>
      <c r="DNW385" s="102"/>
      <c r="DNX385" s="102"/>
      <c r="DNY385" s="102"/>
      <c r="DNZ385" s="102"/>
      <c r="DOA385" s="102"/>
      <c r="DOB385" s="102"/>
      <c r="DOC385" s="102"/>
      <c r="DOD385" s="102"/>
      <c r="DOE385" s="102"/>
      <c r="DOF385" s="102"/>
      <c r="DOG385" s="102"/>
      <c r="DOH385" s="102"/>
      <c r="DOI385" s="102"/>
      <c r="DOJ385" s="102"/>
      <c r="DOK385" s="102"/>
      <c r="DOL385" s="102"/>
      <c r="DOM385" s="102"/>
      <c r="DON385" s="102"/>
      <c r="DOO385" s="102"/>
      <c r="DOP385" s="102"/>
      <c r="DOQ385" s="102"/>
      <c r="DOR385" s="102"/>
      <c r="DOS385" s="102"/>
      <c r="DOT385" s="102"/>
      <c r="DOU385" s="102"/>
      <c r="DOV385" s="102"/>
      <c r="DOW385" s="102"/>
      <c r="DOX385" s="102"/>
      <c r="DOY385" s="102"/>
      <c r="DOZ385" s="102"/>
      <c r="DPA385" s="102"/>
      <c r="DPB385" s="102"/>
      <c r="DPC385" s="102"/>
      <c r="DPD385" s="102"/>
      <c r="DPE385" s="102"/>
      <c r="DPF385" s="102"/>
      <c r="DPG385" s="102"/>
      <c r="DPH385" s="102"/>
      <c r="DPI385" s="102"/>
      <c r="DPJ385" s="102"/>
      <c r="DPK385" s="102"/>
      <c r="DPL385" s="102"/>
      <c r="DPM385" s="102"/>
      <c r="DPN385" s="102"/>
      <c r="DPO385" s="102"/>
      <c r="DPP385" s="102"/>
      <c r="DPQ385" s="102"/>
      <c r="DPR385" s="102"/>
      <c r="DPS385" s="102"/>
      <c r="DPT385" s="102"/>
      <c r="DPU385" s="102"/>
      <c r="DPV385" s="102"/>
      <c r="DPW385" s="102"/>
      <c r="DPX385" s="102"/>
      <c r="DPY385" s="102"/>
      <c r="DPZ385" s="102"/>
      <c r="DQA385" s="102"/>
      <c r="DQB385" s="102"/>
      <c r="DQC385" s="102"/>
      <c r="DQD385" s="102"/>
      <c r="DQE385" s="102"/>
      <c r="DQF385" s="102"/>
      <c r="DQG385" s="102"/>
      <c r="DQH385" s="102"/>
      <c r="DQI385" s="102"/>
      <c r="DQJ385" s="102"/>
      <c r="DQK385" s="102"/>
      <c r="DQL385" s="102"/>
      <c r="DQM385" s="102"/>
      <c r="DQN385" s="102"/>
      <c r="DQO385" s="102"/>
      <c r="DQP385" s="102"/>
      <c r="DQQ385" s="102"/>
      <c r="DQR385" s="102"/>
      <c r="DQS385" s="102"/>
      <c r="DQT385" s="102"/>
      <c r="DQU385" s="102"/>
      <c r="DQV385" s="102"/>
      <c r="DQW385" s="102"/>
      <c r="DQX385" s="102"/>
      <c r="DQY385" s="102"/>
      <c r="DQZ385" s="102"/>
      <c r="DRA385" s="102"/>
      <c r="DRB385" s="102"/>
      <c r="DRC385" s="102"/>
      <c r="DRD385" s="102"/>
      <c r="DRE385" s="102"/>
      <c r="DRF385" s="102"/>
      <c r="DRG385" s="102"/>
      <c r="DRH385" s="102"/>
      <c r="DRI385" s="102"/>
      <c r="DRJ385" s="102"/>
      <c r="DRK385" s="102"/>
      <c r="DRL385" s="102"/>
      <c r="DRM385" s="102"/>
      <c r="DRN385" s="102"/>
      <c r="DRO385" s="102"/>
      <c r="DRP385" s="102"/>
      <c r="DRQ385" s="102"/>
      <c r="DRR385" s="102"/>
      <c r="DRS385" s="102"/>
      <c r="DRT385" s="102"/>
      <c r="DRU385" s="102"/>
      <c r="DRV385" s="102"/>
      <c r="DRW385" s="102"/>
      <c r="DRX385" s="102"/>
      <c r="DRY385" s="102"/>
      <c r="DRZ385" s="102"/>
      <c r="DSA385" s="102"/>
      <c r="DSB385" s="102"/>
      <c r="DSC385" s="102"/>
      <c r="DSD385" s="102"/>
      <c r="DSE385" s="102"/>
      <c r="DSF385" s="102"/>
      <c r="DSG385" s="102"/>
      <c r="DSH385" s="102"/>
      <c r="DSI385" s="102"/>
      <c r="DSJ385" s="102"/>
      <c r="DSK385" s="102"/>
      <c r="DSL385" s="102"/>
      <c r="DSM385" s="102"/>
      <c r="DSN385" s="102"/>
      <c r="DSO385" s="102"/>
      <c r="DSP385" s="102"/>
      <c r="DSQ385" s="102"/>
      <c r="DSR385" s="102"/>
      <c r="DSS385" s="102"/>
      <c r="DST385" s="102"/>
      <c r="DSU385" s="102"/>
      <c r="DSV385" s="102"/>
      <c r="DSW385" s="102"/>
      <c r="DSX385" s="102"/>
      <c r="DSY385" s="102"/>
      <c r="DSZ385" s="102"/>
      <c r="DTA385" s="102"/>
      <c r="DTB385" s="102"/>
      <c r="DTC385" s="102"/>
      <c r="DTD385" s="102"/>
      <c r="DTE385" s="102"/>
      <c r="DTF385" s="102"/>
      <c r="DTG385" s="102"/>
      <c r="DTH385" s="102"/>
      <c r="DTI385" s="102"/>
      <c r="DTJ385" s="102"/>
      <c r="DTK385" s="102"/>
      <c r="DTL385" s="102"/>
      <c r="DTM385" s="102"/>
      <c r="DTN385" s="102"/>
      <c r="DTO385" s="102"/>
      <c r="DTP385" s="102"/>
      <c r="DTQ385" s="102"/>
      <c r="DTR385" s="102"/>
      <c r="DTS385" s="102"/>
      <c r="DTT385" s="102"/>
      <c r="DTU385" s="102"/>
      <c r="DTV385" s="102"/>
      <c r="DTW385" s="102"/>
      <c r="DTX385" s="102"/>
      <c r="DTY385" s="102"/>
      <c r="DTZ385" s="102"/>
      <c r="DUA385" s="102"/>
      <c r="DUB385" s="102"/>
      <c r="DUC385" s="102"/>
      <c r="DUD385" s="102"/>
      <c r="DUE385" s="102"/>
      <c r="DUF385" s="102"/>
      <c r="DUG385" s="102"/>
      <c r="DUH385" s="102"/>
      <c r="DUI385" s="102"/>
      <c r="DUJ385" s="102"/>
      <c r="DUK385" s="102"/>
      <c r="DUL385" s="102"/>
      <c r="DUM385" s="102"/>
      <c r="DUN385" s="102"/>
      <c r="DUO385" s="102"/>
      <c r="DUP385" s="102"/>
      <c r="DUQ385" s="102"/>
      <c r="DUR385" s="102"/>
      <c r="DUS385" s="102"/>
      <c r="DUT385" s="102"/>
      <c r="DUU385" s="102"/>
      <c r="DUV385" s="102"/>
      <c r="DUW385" s="102"/>
      <c r="DUX385" s="102"/>
      <c r="DUY385" s="102"/>
      <c r="DUZ385" s="102"/>
      <c r="DVA385" s="102"/>
      <c r="DVB385" s="102"/>
      <c r="DVC385" s="102"/>
      <c r="DVD385" s="102"/>
      <c r="DVE385" s="102"/>
      <c r="DVF385" s="102"/>
      <c r="DVG385" s="102"/>
      <c r="DVH385" s="102"/>
      <c r="DVI385" s="102"/>
      <c r="DVJ385" s="102"/>
      <c r="DVK385" s="102"/>
      <c r="DVL385" s="102"/>
      <c r="DVM385" s="102"/>
      <c r="DVN385" s="102"/>
      <c r="DVO385" s="102"/>
      <c r="DVP385" s="102"/>
      <c r="DVQ385" s="102"/>
      <c r="DVR385" s="102"/>
      <c r="DVS385" s="102"/>
      <c r="DVT385" s="102"/>
      <c r="DVU385" s="102"/>
      <c r="DVV385" s="102"/>
      <c r="DVW385" s="102"/>
      <c r="DVX385" s="102"/>
      <c r="DVY385" s="102"/>
      <c r="DVZ385" s="102"/>
      <c r="DWA385" s="102"/>
      <c r="DWB385" s="102"/>
      <c r="DWC385" s="102"/>
      <c r="DWD385" s="102"/>
      <c r="DWE385" s="102"/>
      <c r="DWF385" s="102"/>
      <c r="DWG385" s="102"/>
      <c r="DWH385" s="102"/>
      <c r="DWI385" s="102"/>
      <c r="DWJ385" s="102"/>
      <c r="DWK385" s="102"/>
      <c r="DWL385" s="102"/>
      <c r="DWM385" s="102"/>
      <c r="DWN385" s="102"/>
      <c r="DWO385" s="102"/>
      <c r="DWP385" s="102"/>
      <c r="DWQ385" s="102"/>
      <c r="DWR385" s="102"/>
      <c r="DWS385" s="102"/>
      <c r="DWT385" s="102"/>
      <c r="DWU385" s="102"/>
      <c r="DWV385" s="102"/>
      <c r="DWW385" s="102"/>
      <c r="DWX385" s="102"/>
      <c r="DWY385" s="102"/>
      <c r="DWZ385" s="102"/>
      <c r="DXA385" s="102"/>
      <c r="DXB385" s="102"/>
      <c r="DXC385" s="102"/>
      <c r="DXD385" s="102"/>
      <c r="DXE385" s="102"/>
      <c r="DXF385" s="102"/>
      <c r="DXG385" s="102"/>
      <c r="DXH385" s="102"/>
      <c r="DXI385" s="102"/>
      <c r="DXJ385" s="102"/>
      <c r="DXK385" s="102"/>
      <c r="DXL385" s="102"/>
      <c r="DXM385" s="102"/>
      <c r="DXN385" s="102"/>
      <c r="DXO385" s="102"/>
      <c r="DXP385" s="102"/>
      <c r="DXQ385" s="102"/>
      <c r="DXR385" s="102"/>
      <c r="DXS385" s="102"/>
      <c r="DXT385" s="102"/>
      <c r="DXU385" s="102"/>
      <c r="DXV385" s="102"/>
      <c r="DXW385" s="102"/>
      <c r="DXX385" s="102"/>
      <c r="DXY385" s="102"/>
      <c r="DXZ385" s="102"/>
      <c r="DYA385" s="102"/>
      <c r="DYB385" s="102"/>
      <c r="DYC385" s="102"/>
      <c r="DYD385" s="102"/>
      <c r="DYE385" s="102"/>
      <c r="DYF385" s="102"/>
      <c r="DYG385" s="102"/>
      <c r="DYH385" s="102"/>
      <c r="DYI385" s="102"/>
      <c r="DYJ385" s="102"/>
      <c r="DYK385" s="102"/>
      <c r="DYL385" s="102"/>
      <c r="DYM385" s="102"/>
      <c r="DYN385" s="102"/>
      <c r="DYO385" s="102"/>
      <c r="DYP385" s="102"/>
      <c r="DYQ385" s="102"/>
      <c r="DYR385" s="102"/>
      <c r="DYS385" s="102"/>
      <c r="DYT385" s="102"/>
      <c r="DYU385" s="102"/>
      <c r="DYV385" s="102"/>
      <c r="DYW385" s="102"/>
      <c r="DYX385" s="102"/>
      <c r="DYY385" s="102"/>
      <c r="DYZ385" s="102"/>
      <c r="DZA385" s="102"/>
      <c r="DZB385" s="102"/>
      <c r="DZC385" s="102"/>
      <c r="DZD385" s="102"/>
      <c r="DZE385" s="102"/>
      <c r="DZF385" s="102"/>
      <c r="DZG385" s="102"/>
      <c r="DZH385" s="102"/>
      <c r="DZI385" s="102"/>
      <c r="DZJ385" s="102"/>
      <c r="DZK385" s="102"/>
      <c r="DZL385" s="102"/>
      <c r="DZM385" s="102"/>
      <c r="DZN385" s="102"/>
      <c r="DZO385" s="102"/>
      <c r="DZP385" s="102"/>
      <c r="DZQ385" s="102"/>
      <c r="DZR385" s="102"/>
      <c r="DZS385" s="102"/>
      <c r="DZT385" s="102"/>
      <c r="DZU385" s="102"/>
      <c r="DZV385" s="102"/>
      <c r="DZW385" s="102"/>
      <c r="DZX385" s="102"/>
      <c r="DZY385" s="102"/>
      <c r="DZZ385" s="102"/>
      <c r="EAA385" s="102"/>
      <c r="EAB385" s="102"/>
      <c r="EAC385" s="102"/>
      <c r="EAD385" s="102"/>
      <c r="EAE385" s="102"/>
      <c r="EAF385" s="102"/>
      <c r="EAG385" s="102"/>
      <c r="EAH385" s="102"/>
      <c r="EAI385" s="102"/>
      <c r="EAJ385" s="102"/>
      <c r="EAK385" s="102"/>
      <c r="EAL385" s="102"/>
      <c r="EAM385" s="102"/>
      <c r="EAN385" s="102"/>
      <c r="EAO385" s="102"/>
      <c r="EAP385" s="102"/>
      <c r="EAQ385" s="102"/>
      <c r="EAR385" s="102"/>
      <c r="EAS385" s="102"/>
      <c r="EAT385" s="102"/>
      <c r="EAU385" s="102"/>
      <c r="EAV385" s="102"/>
      <c r="EAW385" s="102"/>
      <c r="EAX385" s="102"/>
      <c r="EAY385" s="102"/>
      <c r="EAZ385" s="102"/>
      <c r="EBA385" s="102"/>
      <c r="EBB385" s="102"/>
      <c r="EBC385" s="102"/>
      <c r="EBD385" s="102"/>
      <c r="EBE385" s="102"/>
      <c r="EBF385" s="102"/>
      <c r="EBG385" s="102"/>
      <c r="EBH385" s="102"/>
      <c r="EBI385" s="102"/>
      <c r="EBJ385" s="102"/>
      <c r="EBK385" s="102"/>
      <c r="EBL385" s="102"/>
      <c r="EBM385" s="102"/>
      <c r="EBN385" s="102"/>
      <c r="EBO385" s="102"/>
      <c r="EBP385" s="102"/>
      <c r="EBQ385" s="102"/>
      <c r="EBR385" s="102"/>
      <c r="EBS385" s="102"/>
      <c r="EBT385" s="102"/>
      <c r="EBU385" s="102"/>
      <c r="EBV385" s="102"/>
      <c r="EBW385" s="102"/>
      <c r="EBX385" s="102"/>
      <c r="EBY385" s="102"/>
      <c r="EBZ385" s="102"/>
      <c r="ECA385" s="102"/>
      <c r="ECB385" s="102"/>
      <c r="ECC385" s="102"/>
      <c r="ECD385" s="102"/>
      <c r="ECE385" s="102"/>
      <c r="ECF385" s="102"/>
      <c r="ECG385" s="102"/>
      <c r="ECH385" s="102"/>
      <c r="ECI385" s="102"/>
      <c r="ECJ385" s="102"/>
      <c r="ECK385" s="102"/>
      <c r="ECL385" s="102"/>
      <c r="ECM385" s="102"/>
      <c r="ECN385" s="102"/>
      <c r="ECO385" s="102"/>
      <c r="ECP385" s="102"/>
      <c r="ECQ385" s="102"/>
      <c r="ECR385" s="102"/>
      <c r="ECS385" s="102"/>
      <c r="ECT385" s="102"/>
      <c r="ECU385" s="102"/>
      <c r="ECV385" s="102"/>
      <c r="ECW385" s="102"/>
      <c r="ECX385" s="102"/>
      <c r="ECY385" s="102"/>
      <c r="ECZ385" s="102"/>
      <c r="EDA385" s="102"/>
      <c r="EDB385" s="102"/>
      <c r="EDC385" s="102"/>
      <c r="EDD385" s="102"/>
      <c r="EDE385" s="102"/>
      <c r="EDF385" s="102"/>
      <c r="EDG385" s="102"/>
      <c r="EDH385" s="102"/>
      <c r="EDI385" s="102"/>
      <c r="EDJ385" s="102"/>
      <c r="EDK385" s="102"/>
      <c r="EDL385" s="102"/>
      <c r="EDM385" s="102"/>
      <c r="EDN385" s="102"/>
      <c r="EDO385" s="102"/>
      <c r="EDP385" s="102"/>
      <c r="EDQ385" s="102"/>
      <c r="EDR385" s="102"/>
      <c r="EDS385" s="102"/>
      <c r="EDT385" s="102"/>
      <c r="EDU385" s="102"/>
      <c r="EDV385" s="102"/>
      <c r="EDW385" s="102"/>
      <c r="EDX385" s="102"/>
      <c r="EDY385" s="102"/>
      <c r="EDZ385" s="102"/>
      <c r="EEA385" s="102"/>
      <c r="EEB385" s="102"/>
      <c r="EEC385" s="102"/>
      <c r="EED385" s="102"/>
      <c r="EEE385" s="102"/>
      <c r="EEF385" s="102"/>
      <c r="EEG385" s="102"/>
      <c r="EEH385" s="102"/>
      <c r="EEI385" s="102"/>
      <c r="EEJ385" s="102"/>
      <c r="EEK385" s="102"/>
      <c r="EEL385" s="102"/>
      <c r="EEM385" s="102"/>
      <c r="EEN385" s="102"/>
      <c r="EEO385" s="102"/>
      <c r="EEP385" s="102"/>
      <c r="EEQ385" s="102"/>
      <c r="EER385" s="102"/>
      <c r="EES385" s="102"/>
      <c r="EET385" s="102"/>
      <c r="EEU385" s="102"/>
      <c r="EEV385" s="102"/>
      <c r="EEW385" s="102"/>
      <c r="EEX385" s="102"/>
      <c r="EEY385" s="102"/>
      <c r="EEZ385" s="102"/>
      <c r="EFA385" s="102"/>
      <c r="EFB385" s="102"/>
      <c r="EFC385" s="102"/>
      <c r="EFD385" s="102"/>
      <c r="EFE385" s="102"/>
      <c r="EFF385" s="102"/>
      <c r="EFG385" s="102"/>
      <c r="EFH385" s="102"/>
      <c r="EFI385" s="102"/>
      <c r="EFJ385" s="102"/>
      <c r="EFK385" s="102"/>
      <c r="EFL385" s="102"/>
      <c r="EFM385" s="102"/>
      <c r="EFN385" s="102"/>
      <c r="EFO385" s="102"/>
      <c r="EFP385" s="102"/>
      <c r="EFQ385" s="102"/>
      <c r="EFR385" s="102"/>
      <c r="EFS385" s="102"/>
      <c r="EFT385" s="102"/>
      <c r="EFU385" s="102"/>
      <c r="EFV385" s="102"/>
      <c r="EFW385" s="102"/>
      <c r="EFX385" s="102"/>
      <c r="EFY385" s="102"/>
      <c r="EFZ385" s="102"/>
      <c r="EGA385" s="102"/>
      <c r="EGB385" s="102"/>
      <c r="EGC385" s="102"/>
      <c r="EGD385" s="102"/>
      <c r="EGE385" s="102"/>
      <c r="EGF385" s="102"/>
      <c r="EGG385" s="102"/>
      <c r="EGH385" s="102"/>
      <c r="EGI385" s="102"/>
      <c r="EGJ385" s="102"/>
      <c r="EGK385" s="102"/>
      <c r="EGL385" s="102"/>
      <c r="EGM385" s="102"/>
      <c r="EGN385" s="102"/>
      <c r="EGO385" s="102"/>
      <c r="EGP385" s="102"/>
      <c r="EGQ385" s="102"/>
      <c r="EGR385" s="102"/>
      <c r="EGS385" s="102"/>
      <c r="EGT385" s="102"/>
      <c r="EGU385" s="102"/>
      <c r="EGV385" s="102"/>
      <c r="EGW385" s="102"/>
      <c r="EGX385" s="102"/>
      <c r="EGY385" s="102"/>
      <c r="EGZ385" s="102"/>
      <c r="EHA385" s="102"/>
      <c r="EHB385" s="102"/>
      <c r="EHC385" s="102"/>
      <c r="EHD385" s="102"/>
      <c r="EHE385" s="102"/>
      <c r="EHF385" s="102"/>
      <c r="EHG385" s="102"/>
      <c r="EHH385" s="102"/>
      <c r="EHI385" s="102"/>
      <c r="EHJ385" s="102"/>
      <c r="EHK385" s="102"/>
      <c r="EHL385" s="102"/>
      <c r="EHM385" s="102"/>
      <c r="EHN385" s="102"/>
      <c r="EHO385" s="102"/>
      <c r="EHP385" s="102"/>
      <c r="EHQ385" s="102"/>
      <c r="EHR385" s="102"/>
      <c r="EHS385" s="102"/>
      <c r="EHT385" s="102"/>
      <c r="EHU385" s="102"/>
      <c r="EHV385" s="102"/>
      <c r="EHW385" s="102"/>
      <c r="EHX385" s="102"/>
      <c r="EHY385" s="102"/>
      <c r="EHZ385" s="102"/>
      <c r="EIA385" s="102"/>
      <c r="EIB385" s="102"/>
      <c r="EIC385" s="102"/>
      <c r="EID385" s="102"/>
      <c r="EIE385" s="102"/>
      <c r="EIF385" s="102"/>
      <c r="EIG385" s="102"/>
      <c r="EIH385" s="102"/>
      <c r="EII385" s="102"/>
      <c r="EIJ385" s="102"/>
      <c r="EIK385" s="102"/>
      <c r="EIL385" s="102"/>
      <c r="EIM385" s="102"/>
      <c r="EIN385" s="102"/>
      <c r="EIO385" s="102"/>
      <c r="EIP385" s="102"/>
      <c r="EIQ385" s="102"/>
      <c r="EIR385" s="102"/>
      <c r="EIS385" s="102"/>
      <c r="EIT385" s="102"/>
      <c r="EIU385" s="102"/>
      <c r="EIV385" s="102"/>
      <c r="EIW385" s="102"/>
      <c r="EIX385" s="102"/>
      <c r="EIY385" s="102"/>
      <c r="EIZ385" s="102"/>
      <c r="EJA385" s="102"/>
      <c r="EJB385" s="102"/>
      <c r="EJC385" s="102"/>
      <c r="EJD385" s="102"/>
      <c r="EJE385" s="102"/>
      <c r="EJF385" s="102"/>
      <c r="EJG385" s="102"/>
      <c r="EJH385" s="102"/>
      <c r="EJI385" s="102"/>
      <c r="EJJ385" s="102"/>
      <c r="EJK385" s="102"/>
      <c r="EJL385" s="102"/>
      <c r="EJM385" s="102"/>
      <c r="EJN385" s="102"/>
      <c r="EJO385" s="102"/>
      <c r="EJP385" s="102"/>
      <c r="EJQ385" s="102"/>
      <c r="EJR385" s="102"/>
      <c r="EJS385" s="102"/>
      <c r="EJT385" s="102"/>
      <c r="EJU385" s="102"/>
      <c r="EJV385" s="102"/>
      <c r="EJW385" s="102"/>
      <c r="EJX385" s="102"/>
      <c r="EJY385" s="102"/>
      <c r="EJZ385" s="102"/>
      <c r="EKA385" s="102"/>
      <c r="EKB385" s="102"/>
      <c r="EKC385" s="102"/>
      <c r="EKD385" s="102"/>
      <c r="EKE385" s="102"/>
      <c r="EKF385" s="102"/>
      <c r="EKG385" s="102"/>
      <c r="EKH385" s="102"/>
      <c r="EKI385" s="102"/>
      <c r="EKJ385" s="102"/>
      <c r="EKK385" s="102"/>
      <c r="EKL385" s="102"/>
      <c r="EKM385" s="102"/>
      <c r="EKN385" s="102"/>
      <c r="EKO385" s="102"/>
      <c r="EKP385" s="102"/>
      <c r="EKQ385" s="102"/>
      <c r="EKR385" s="102"/>
      <c r="EKS385" s="102"/>
      <c r="EKT385" s="102"/>
      <c r="EKU385" s="102"/>
      <c r="EKV385" s="102"/>
      <c r="EKW385" s="102"/>
      <c r="EKX385" s="102"/>
      <c r="EKY385" s="102"/>
      <c r="EKZ385" s="102"/>
      <c r="ELA385" s="102"/>
      <c r="ELB385" s="102"/>
      <c r="ELC385" s="102"/>
      <c r="ELD385" s="102"/>
      <c r="ELE385" s="102"/>
      <c r="ELF385" s="102"/>
      <c r="ELG385" s="102"/>
      <c r="ELH385" s="102"/>
      <c r="ELI385" s="102"/>
      <c r="ELJ385" s="102"/>
      <c r="ELK385" s="102"/>
      <c r="ELL385" s="102"/>
      <c r="ELM385" s="102"/>
      <c r="ELN385" s="102"/>
      <c r="ELO385" s="102"/>
      <c r="ELP385" s="102"/>
      <c r="ELQ385" s="102"/>
      <c r="ELR385" s="102"/>
      <c r="ELS385" s="102"/>
      <c r="ELT385" s="102"/>
      <c r="ELU385" s="102"/>
      <c r="ELV385" s="102"/>
      <c r="ELW385" s="102"/>
      <c r="ELX385" s="102"/>
      <c r="ELY385" s="102"/>
      <c r="ELZ385" s="102"/>
      <c r="EMA385" s="102"/>
      <c r="EMB385" s="102"/>
      <c r="EMC385" s="102"/>
      <c r="EMD385" s="102"/>
      <c r="EME385" s="102"/>
      <c r="EMF385" s="102"/>
      <c r="EMG385" s="102"/>
      <c r="EMH385" s="102"/>
      <c r="EMI385" s="102"/>
      <c r="EMJ385" s="102"/>
      <c r="EMK385" s="102"/>
      <c r="EML385" s="102"/>
      <c r="EMM385" s="102"/>
      <c r="EMN385" s="102"/>
      <c r="EMO385" s="102"/>
      <c r="EMP385" s="102"/>
      <c r="EMQ385" s="102"/>
      <c r="EMR385" s="102"/>
      <c r="EMS385" s="102"/>
      <c r="EMT385" s="102"/>
      <c r="EMU385" s="102"/>
      <c r="EMV385" s="102"/>
      <c r="EMW385" s="102"/>
      <c r="EMX385" s="102"/>
      <c r="EMY385" s="102"/>
      <c r="EMZ385" s="102"/>
      <c r="ENA385" s="102"/>
      <c r="ENB385" s="102"/>
      <c r="ENC385" s="102"/>
      <c r="END385" s="102"/>
      <c r="ENE385" s="102"/>
      <c r="ENF385" s="102"/>
      <c r="ENG385" s="102"/>
      <c r="ENH385" s="102"/>
      <c r="ENI385" s="102"/>
      <c r="ENJ385" s="102"/>
      <c r="ENK385" s="102"/>
      <c r="ENL385" s="102"/>
      <c r="ENM385" s="102"/>
      <c r="ENN385" s="102"/>
      <c r="ENO385" s="102"/>
      <c r="ENP385" s="102"/>
      <c r="ENQ385" s="102"/>
      <c r="ENR385" s="102"/>
      <c r="ENS385" s="102"/>
      <c r="ENT385" s="102"/>
      <c r="ENU385" s="102"/>
      <c r="ENV385" s="102"/>
      <c r="ENW385" s="102"/>
      <c r="ENX385" s="102"/>
      <c r="ENY385" s="102"/>
      <c r="ENZ385" s="102"/>
      <c r="EOA385" s="102"/>
      <c r="EOB385" s="102"/>
      <c r="EOC385" s="102"/>
      <c r="EOD385" s="102"/>
      <c r="EOE385" s="102"/>
      <c r="EOF385" s="102"/>
      <c r="EOG385" s="102"/>
      <c r="EOH385" s="102"/>
      <c r="EOI385" s="102"/>
      <c r="EOJ385" s="102"/>
      <c r="EOK385" s="102"/>
      <c r="EOL385" s="102"/>
      <c r="EOM385" s="102"/>
      <c r="EON385" s="102"/>
      <c r="EOO385" s="102"/>
      <c r="EOP385" s="102"/>
      <c r="EOQ385" s="102"/>
      <c r="EOR385" s="102"/>
      <c r="EOS385" s="102"/>
      <c r="EOT385" s="102"/>
      <c r="EOU385" s="102"/>
      <c r="EOV385" s="102"/>
      <c r="EOW385" s="102"/>
      <c r="EOX385" s="102"/>
      <c r="EOY385" s="102"/>
      <c r="EOZ385" s="102"/>
      <c r="EPA385" s="102"/>
      <c r="EPB385" s="102"/>
      <c r="EPC385" s="102"/>
      <c r="EPD385" s="102"/>
      <c r="EPE385" s="102"/>
      <c r="EPF385" s="102"/>
      <c r="EPG385" s="102"/>
      <c r="EPH385" s="102"/>
      <c r="EPI385" s="102"/>
      <c r="EPJ385" s="102"/>
      <c r="EPK385" s="102"/>
      <c r="EPL385" s="102"/>
      <c r="EPM385" s="102"/>
      <c r="EPN385" s="102"/>
      <c r="EPO385" s="102"/>
      <c r="EPP385" s="102"/>
      <c r="EPQ385" s="102"/>
      <c r="EPR385" s="102"/>
      <c r="EPS385" s="102"/>
      <c r="EPT385" s="102"/>
      <c r="EPU385" s="102"/>
      <c r="EPV385" s="102"/>
      <c r="EPW385" s="102"/>
      <c r="EPX385" s="102"/>
      <c r="EPY385" s="102"/>
      <c r="EPZ385" s="102"/>
      <c r="EQA385" s="102"/>
      <c r="EQB385" s="102"/>
      <c r="EQC385" s="102"/>
      <c r="EQD385" s="102"/>
      <c r="EQE385" s="102"/>
      <c r="EQF385" s="102"/>
      <c r="EQG385" s="102"/>
      <c r="EQH385" s="102"/>
      <c r="EQI385" s="102"/>
      <c r="EQJ385" s="102"/>
      <c r="EQK385" s="102"/>
      <c r="EQL385" s="102"/>
      <c r="EQM385" s="102"/>
      <c r="EQN385" s="102"/>
      <c r="EQO385" s="102"/>
      <c r="EQP385" s="102"/>
      <c r="EQQ385" s="102"/>
      <c r="EQR385" s="102"/>
      <c r="EQS385" s="102"/>
      <c r="EQT385" s="102"/>
      <c r="EQU385" s="102"/>
      <c r="EQV385" s="102"/>
      <c r="EQW385" s="102"/>
      <c r="EQX385" s="102"/>
      <c r="EQY385" s="102"/>
      <c r="EQZ385" s="102"/>
      <c r="ERA385" s="102"/>
      <c r="ERB385" s="102"/>
      <c r="ERC385" s="102"/>
      <c r="ERD385" s="102"/>
      <c r="ERE385" s="102"/>
      <c r="ERF385" s="102"/>
      <c r="ERG385" s="102"/>
      <c r="ERH385" s="102"/>
      <c r="ERI385" s="102"/>
      <c r="ERJ385" s="102"/>
      <c r="ERK385" s="102"/>
      <c r="ERL385" s="102"/>
      <c r="ERM385" s="102"/>
      <c r="ERN385" s="102"/>
      <c r="ERO385" s="102"/>
      <c r="ERP385" s="102"/>
      <c r="ERQ385" s="102"/>
      <c r="ERR385" s="102"/>
      <c r="ERS385" s="102"/>
      <c r="ERT385" s="102"/>
      <c r="ERU385" s="102"/>
      <c r="ERV385" s="102"/>
      <c r="ERW385" s="102"/>
      <c r="ERX385" s="102"/>
      <c r="ERY385" s="102"/>
      <c r="ERZ385" s="102"/>
      <c r="ESA385" s="102"/>
      <c r="ESB385" s="102"/>
      <c r="ESC385" s="102"/>
      <c r="ESD385" s="102"/>
      <c r="ESE385" s="102"/>
      <c r="ESF385" s="102"/>
      <c r="ESG385" s="102"/>
      <c r="ESH385" s="102"/>
      <c r="ESI385" s="102"/>
      <c r="ESJ385" s="102"/>
      <c r="ESK385" s="102"/>
      <c r="ESL385" s="102"/>
      <c r="ESM385" s="102"/>
      <c r="ESN385" s="102"/>
      <c r="ESO385" s="102"/>
      <c r="ESP385" s="102"/>
      <c r="ESQ385" s="102"/>
      <c r="ESR385" s="102"/>
      <c r="ESS385" s="102"/>
      <c r="EST385" s="102"/>
      <c r="ESU385" s="102"/>
      <c r="ESV385" s="102"/>
      <c r="ESW385" s="102"/>
      <c r="ESX385" s="102"/>
      <c r="ESY385" s="102"/>
      <c r="ESZ385" s="102"/>
      <c r="ETA385" s="102"/>
      <c r="ETB385" s="102"/>
      <c r="ETC385" s="102"/>
      <c r="ETD385" s="102"/>
      <c r="ETE385" s="102"/>
      <c r="ETF385" s="102"/>
      <c r="ETG385" s="102"/>
      <c r="ETH385" s="102"/>
      <c r="ETI385" s="102"/>
      <c r="ETJ385" s="102"/>
      <c r="ETK385" s="102"/>
      <c r="ETL385" s="102"/>
      <c r="ETM385" s="102"/>
      <c r="ETN385" s="102"/>
      <c r="ETO385" s="102"/>
      <c r="ETP385" s="102"/>
      <c r="ETQ385" s="102"/>
      <c r="ETR385" s="102"/>
      <c r="ETS385" s="102"/>
      <c r="ETT385" s="102"/>
      <c r="ETU385" s="102"/>
      <c r="ETV385" s="102"/>
      <c r="ETW385" s="102"/>
      <c r="ETX385" s="102"/>
      <c r="ETY385" s="102"/>
      <c r="ETZ385" s="102"/>
      <c r="EUA385" s="102"/>
      <c r="EUB385" s="102"/>
      <c r="EUC385" s="102"/>
      <c r="EUD385" s="102"/>
      <c r="EUE385" s="102"/>
      <c r="EUF385" s="102"/>
      <c r="EUG385" s="102"/>
      <c r="EUH385" s="102"/>
      <c r="EUI385" s="102"/>
      <c r="EUJ385" s="102"/>
      <c r="EUK385" s="102"/>
      <c r="EUL385" s="102"/>
      <c r="EUM385" s="102"/>
      <c r="EUN385" s="102"/>
      <c r="EUO385" s="102"/>
      <c r="EUP385" s="102"/>
      <c r="EUQ385" s="102"/>
      <c r="EUR385" s="102"/>
      <c r="EUS385" s="102"/>
      <c r="EUT385" s="102"/>
      <c r="EUU385" s="102"/>
      <c r="EUV385" s="102"/>
      <c r="EUW385" s="102"/>
      <c r="EUX385" s="102"/>
      <c r="EUY385" s="102"/>
      <c r="EUZ385" s="102"/>
      <c r="EVA385" s="102"/>
      <c r="EVB385" s="102"/>
      <c r="EVC385" s="102"/>
      <c r="EVD385" s="102"/>
      <c r="EVE385" s="102"/>
      <c r="EVF385" s="102"/>
      <c r="EVG385" s="102"/>
      <c r="EVH385" s="102"/>
      <c r="EVI385" s="102"/>
      <c r="EVJ385" s="102"/>
      <c r="EVK385" s="102"/>
      <c r="EVL385" s="102"/>
      <c r="EVM385" s="102"/>
      <c r="EVN385" s="102"/>
      <c r="EVO385" s="102"/>
      <c r="EVP385" s="102"/>
      <c r="EVQ385" s="102"/>
      <c r="EVR385" s="102"/>
      <c r="EVS385" s="102"/>
      <c r="EVT385" s="102"/>
      <c r="EVU385" s="102"/>
      <c r="EVV385" s="102"/>
      <c r="EVW385" s="102"/>
      <c r="EVX385" s="102"/>
      <c r="EVY385" s="102"/>
      <c r="EVZ385" s="102"/>
      <c r="EWA385" s="102"/>
      <c r="EWB385" s="102"/>
      <c r="EWC385" s="102"/>
      <c r="EWD385" s="102"/>
      <c r="EWE385" s="102"/>
      <c r="EWF385" s="102"/>
      <c r="EWG385" s="102"/>
      <c r="EWH385" s="102"/>
      <c r="EWI385" s="102"/>
      <c r="EWJ385" s="102"/>
      <c r="EWK385" s="102"/>
      <c r="EWL385" s="102"/>
      <c r="EWM385" s="102"/>
      <c r="EWN385" s="102"/>
      <c r="EWO385" s="102"/>
      <c r="EWP385" s="102"/>
      <c r="EWQ385" s="102"/>
      <c r="EWR385" s="102"/>
      <c r="EWS385" s="102"/>
      <c r="EWT385" s="102"/>
      <c r="EWU385" s="102"/>
      <c r="EWV385" s="102"/>
      <c r="EWW385" s="102"/>
      <c r="EWX385" s="102"/>
      <c r="EWY385" s="102"/>
      <c r="EWZ385" s="102"/>
      <c r="EXA385" s="102"/>
      <c r="EXB385" s="102"/>
      <c r="EXC385" s="102"/>
      <c r="EXD385" s="102"/>
      <c r="EXE385" s="102"/>
      <c r="EXF385" s="102"/>
      <c r="EXG385" s="102"/>
      <c r="EXH385" s="102"/>
      <c r="EXI385" s="102"/>
      <c r="EXJ385" s="102"/>
      <c r="EXK385" s="102"/>
      <c r="EXL385" s="102"/>
      <c r="EXM385" s="102"/>
      <c r="EXN385" s="102"/>
      <c r="EXO385" s="102"/>
      <c r="EXP385" s="102"/>
      <c r="EXQ385" s="102"/>
      <c r="EXR385" s="102"/>
      <c r="EXS385" s="102"/>
      <c r="EXT385" s="102"/>
      <c r="EXU385" s="102"/>
      <c r="EXV385" s="102"/>
      <c r="EXW385" s="102"/>
      <c r="EXX385" s="102"/>
      <c r="EXY385" s="102"/>
      <c r="EXZ385" s="102"/>
      <c r="EYA385" s="102"/>
      <c r="EYB385" s="102"/>
      <c r="EYC385" s="102"/>
      <c r="EYD385" s="102"/>
      <c r="EYE385" s="102"/>
      <c r="EYF385" s="102"/>
      <c r="EYG385" s="102"/>
      <c r="EYH385" s="102"/>
      <c r="EYI385" s="102"/>
      <c r="EYJ385" s="102"/>
      <c r="EYK385" s="102"/>
      <c r="EYL385" s="102"/>
      <c r="EYM385" s="102"/>
      <c r="EYN385" s="102"/>
      <c r="EYO385" s="102"/>
      <c r="EYP385" s="102"/>
      <c r="EYQ385" s="102"/>
      <c r="EYR385" s="102"/>
      <c r="EYS385" s="102"/>
      <c r="EYT385" s="102"/>
      <c r="EYU385" s="102"/>
      <c r="EYV385" s="102"/>
      <c r="EYW385" s="102"/>
      <c r="EYX385" s="102"/>
      <c r="EYY385" s="102"/>
      <c r="EYZ385" s="102"/>
      <c r="EZA385" s="102"/>
      <c r="EZB385" s="102"/>
      <c r="EZC385" s="102"/>
      <c r="EZD385" s="102"/>
      <c r="EZE385" s="102"/>
      <c r="EZF385" s="102"/>
      <c r="EZG385" s="102"/>
      <c r="EZH385" s="102"/>
      <c r="EZI385" s="102"/>
      <c r="EZJ385" s="102"/>
      <c r="EZK385" s="102"/>
      <c r="EZL385" s="102"/>
      <c r="EZM385" s="102"/>
      <c r="EZN385" s="102"/>
      <c r="EZO385" s="102"/>
      <c r="EZP385" s="102"/>
      <c r="EZQ385" s="102"/>
      <c r="EZR385" s="102"/>
      <c r="EZS385" s="102"/>
      <c r="EZT385" s="102"/>
      <c r="EZU385" s="102"/>
      <c r="EZV385" s="102"/>
      <c r="EZW385" s="102"/>
      <c r="EZX385" s="102"/>
      <c r="EZY385" s="102"/>
      <c r="EZZ385" s="102"/>
      <c r="FAA385" s="102"/>
      <c r="FAB385" s="102"/>
      <c r="FAC385" s="102"/>
      <c r="FAD385" s="102"/>
      <c r="FAE385" s="102"/>
      <c r="FAF385" s="102"/>
      <c r="FAG385" s="102"/>
      <c r="FAH385" s="102"/>
      <c r="FAI385" s="102"/>
      <c r="FAJ385" s="102"/>
      <c r="FAK385" s="102"/>
      <c r="FAL385" s="102"/>
      <c r="FAM385" s="102"/>
      <c r="FAN385" s="102"/>
      <c r="FAO385" s="102"/>
      <c r="FAP385" s="102"/>
      <c r="FAQ385" s="102"/>
      <c r="FAR385" s="102"/>
      <c r="FAS385" s="102"/>
      <c r="FAT385" s="102"/>
      <c r="FAU385" s="102"/>
      <c r="FAV385" s="102"/>
      <c r="FAW385" s="102"/>
      <c r="FAX385" s="102"/>
      <c r="FAY385" s="102"/>
      <c r="FAZ385" s="102"/>
      <c r="FBA385" s="102"/>
      <c r="FBB385" s="102"/>
      <c r="FBC385" s="102"/>
      <c r="FBD385" s="102"/>
      <c r="FBE385" s="102"/>
      <c r="FBF385" s="102"/>
      <c r="FBG385" s="102"/>
      <c r="FBH385" s="102"/>
      <c r="FBI385" s="102"/>
      <c r="FBJ385" s="102"/>
      <c r="FBK385" s="102"/>
      <c r="FBL385" s="102"/>
      <c r="FBM385" s="102"/>
      <c r="FBN385" s="102"/>
      <c r="FBO385" s="102"/>
      <c r="FBP385" s="102"/>
      <c r="FBQ385" s="102"/>
      <c r="FBR385" s="102"/>
      <c r="FBS385" s="102"/>
      <c r="FBT385" s="102"/>
      <c r="FBU385" s="102"/>
      <c r="FBV385" s="102"/>
      <c r="FBW385" s="102"/>
      <c r="FBX385" s="102"/>
      <c r="FBY385" s="102"/>
      <c r="FBZ385" s="102"/>
      <c r="FCA385" s="102"/>
      <c r="FCB385" s="102"/>
      <c r="FCC385" s="102"/>
      <c r="FCD385" s="102"/>
      <c r="FCE385" s="102"/>
      <c r="FCF385" s="102"/>
      <c r="FCG385" s="102"/>
      <c r="FCH385" s="102"/>
      <c r="FCI385" s="102"/>
      <c r="FCJ385" s="102"/>
      <c r="FCK385" s="102"/>
      <c r="FCL385" s="102"/>
      <c r="FCM385" s="102"/>
      <c r="FCN385" s="102"/>
      <c r="FCO385" s="102"/>
      <c r="FCP385" s="102"/>
      <c r="FCQ385" s="102"/>
      <c r="FCR385" s="102"/>
      <c r="FCS385" s="102"/>
      <c r="FCT385" s="102"/>
      <c r="FCU385" s="102"/>
      <c r="FCV385" s="102"/>
      <c r="FCW385" s="102"/>
      <c r="FCX385" s="102"/>
      <c r="FCY385" s="102"/>
      <c r="FCZ385" s="102"/>
      <c r="FDA385" s="102"/>
      <c r="FDB385" s="102"/>
      <c r="FDC385" s="102"/>
      <c r="FDD385" s="102"/>
      <c r="FDE385" s="102"/>
      <c r="FDF385" s="102"/>
      <c r="FDG385" s="102"/>
      <c r="FDH385" s="102"/>
      <c r="FDI385" s="102"/>
      <c r="FDJ385" s="102"/>
      <c r="FDK385" s="102"/>
      <c r="FDL385" s="102"/>
      <c r="FDM385" s="102"/>
      <c r="FDN385" s="102"/>
      <c r="FDO385" s="102"/>
      <c r="FDP385" s="102"/>
      <c r="FDQ385" s="102"/>
      <c r="FDR385" s="102"/>
      <c r="FDS385" s="102"/>
      <c r="FDT385" s="102"/>
      <c r="FDU385" s="102"/>
      <c r="FDV385" s="102"/>
      <c r="FDW385" s="102"/>
      <c r="FDX385" s="102"/>
      <c r="FDY385" s="102"/>
      <c r="FDZ385" s="102"/>
      <c r="FEA385" s="102"/>
      <c r="FEB385" s="102"/>
      <c r="FEC385" s="102"/>
      <c r="FED385" s="102"/>
      <c r="FEE385" s="102"/>
      <c r="FEF385" s="102"/>
      <c r="FEG385" s="102"/>
      <c r="FEH385" s="102"/>
      <c r="FEI385" s="102"/>
      <c r="FEJ385" s="102"/>
      <c r="FEK385" s="102"/>
      <c r="FEL385" s="102"/>
      <c r="FEM385" s="102"/>
      <c r="FEN385" s="102"/>
      <c r="FEO385" s="102"/>
      <c r="FEP385" s="102"/>
      <c r="FEQ385" s="102"/>
      <c r="FER385" s="102"/>
      <c r="FES385" s="102"/>
      <c r="FET385" s="102"/>
      <c r="FEU385" s="102"/>
      <c r="FEV385" s="102"/>
      <c r="FEW385" s="102"/>
      <c r="FEX385" s="102"/>
      <c r="FEY385" s="102"/>
      <c r="FEZ385" s="102"/>
      <c r="FFA385" s="102"/>
      <c r="FFB385" s="102"/>
      <c r="FFC385" s="102"/>
      <c r="FFD385" s="102"/>
      <c r="FFE385" s="102"/>
      <c r="FFF385" s="102"/>
      <c r="FFG385" s="102"/>
      <c r="FFH385" s="102"/>
      <c r="FFI385" s="102"/>
      <c r="FFJ385" s="102"/>
      <c r="FFK385" s="102"/>
      <c r="FFL385" s="102"/>
      <c r="FFM385" s="102"/>
      <c r="FFN385" s="102"/>
      <c r="FFO385" s="102"/>
      <c r="FFP385" s="102"/>
      <c r="FFQ385" s="102"/>
      <c r="FFR385" s="102"/>
      <c r="FFS385" s="102"/>
      <c r="FFT385" s="102"/>
      <c r="FFU385" s="102"/>
      <c r="FFV385" s="102"/>
      <c r="FFW385" s="102"/>
      <c r="FFX385" s="102"/>
      <c r="FFY385" s="102"/>
      <c r="FFZ385" s="102"/>
      <c r="FGA385" s="102"/>
      <c r="FGB385" s="102"/>
      <c r="FGC385" s="102"/>
      <c r="FGD385" s="102"/>
      <c r="FGE385" s="102"/>
      <c r="FGF385" s="102"/>
      <c r="FGG385" s="102"/>
      <c r="FGH385" s="102"/>
      <c r="FGI385" s="102"/>
      <c r="FGJ385" s="102"/>
      <c r="FGK385" s="102"/>
      <c r="FGL385" s="102"/>
      <c r="FGM385" s="102"/>
      <c r="FGN385" s="102"/>
      <c r="FGO385" s="102"/>
      <c r="FGP385" s="102"/>
      <c r="FGQ385" s="102"/>
      <c r="FGR385" s="102"/>
      <c r="FGS385" s="102"/>
      <c r="FGT385" s="102"/>
      <c r="FGU385" s="102"/>
      <c r="FGV385" s="102"/>
      <c r="FGW385" s="102"/>
      <c r="FGX385" s="102"/>
      <c r="FGY385" s="102"/>
      <c r="FGZ385" s="102"/>
      <c r="FHA385" s="102"/>
      <c r="FHB385" s="102"/>
      <c r="FHC385" s="102"/>
      <c r="FHD385" s="102"/>
      <c r="FHE385" s="102"/>
      <c r="FHF385" s="102"/>
      <c r="FHG385" s="102"/>
      <c r="FHH385" s="102"/>
      <c r="FHI385" s="102"/>
      <c r="FHJ385" s="102"/>
      <c r="FHK385" s="102"/>
      <c r="FHL385" s="102"/>
      <c r="FHM385" s="102"/>
      <c r="FHN385" s="102"/>
      <c r="FHO385" s="102"/>
      <c r="FHP385" s="102"/>
      <c r="FHQ385" s="102"/>
      <c r="FHR385" s="102"/>
      <c r="FHS385" s="102"/>
      <c r="FHT385" s="102"/>
      <c r="FHU385" s="102"/>
      <c r="FHV385" s="102"/>
      <c r="FHW385" s="102"/>
      <c r="FHX385" s="102"/>
      <c r="FHY385" s="102"/>
      <c r="FHZ385" s="102"/>
      <c r="FIA385" s="102"/>
      <c r="FIB385" s="102"/>
      <c r="FIC385" s="102"/>
      <c r="FID385" s="102"/>
      <c r="FIE385" s="102"/>
      <c r="FIF385" s="102"/>
      <c r="FIG385" s="102"/>
      <c r="FIH385" s="102"/>
      <c r="FII385" s="102"/>
      <c r="FIJ385" s="102"/>
      <c r="FIK385" s="102"/>
      <c r="FIL385" s="102"/>
      <c r="FIM385" s="102"/>
      <c r="FIN385" s="102"/>
      <c r="FIO385" s="102"/>
      <c r="FIP385" s="102"/>
      <c r="FIQ385" s="102"/>
      <c r="FIR385" s="102"/>
      <c r="FIS385" s="102"/>
      <c r="FIT385" s="102"/>
      <c r="FIU385" s="102"/>
      <c r="FIV385" s="102"/>
      <c r="FIW385" s="102"/>
      <c r="FIX385" s="102"/>
      <c r="FIY385" s="102"/>
      <c r="FIZ385" s="102"/>
      <c r="FJA385" s="102"/>
      <c r="FJB385" s="102"/>
      <c r="FJC385" s="102"/>
      <c r="FJD385" s="102"/>
      <c r="FJE385" s="102"/>
      <c r="FJF385" s="102"/>
      <c r="FJG385" s="102"/>
      <c r="FJH385" s="102"/>
      <c r="FJI385" s="102"/>
      <c r="FJJ385" s="102"/>
      <c r="FJK385" s="102"/>
      <c r="FJL385" s="102"/>
      <c r="FJM385" s="102"/>
      <c r="FJN385" s="102"/>
      <c r="FJO385" s="102"/>
      <c r="FJP385" s="102"/>
      <c r="FJQ385" s="102"/>
      <c r="FJR385" s="102"/>
      <c r="FJS385" s="102"/>
      <c r="FJT385" s="102"/>
      <c r="FJU385" s="102"/>
      <c r="FJV385" s="102"/>
      <c r="FJW385" s="102"/>
      <c r="FJX385" s="102"/>
      <c r="FJY385" s="102"/>
      <c r="FJZ385" s="102"/>
      <c r="FKA385" s="102"/>
      <c r="FKB385" s="102"/>
      <c r="FKC385" s="102"/>
      <c r="FKD385" s="102"/>
      <c r="FKE385" s="102"/>
      <c r="FKF385" s="102"/>
      <c r="FKG385" s="102"/>
      <c r="FKH385" s="102"/>
      <c r="FKI385" s="102"/>
      <c r="FKJ385" s="102"/>
      <c r="FKK385" s="102"/>
      <c r="FKL385" s="102"/>
      <c r="FKM385" s="102"/>
      <c r="FKN385" s="102"/>
      <c r="FKO385" s="102"/>
      <c r="FKP385" s="102"/>
      <c r="FKQ385" s="102"/>
      <c r="FKR385" s="102"/>
      <c r="FKS385" s="102"/>
      <c r="FKT385" s="102"/>
      <c r="FKU385" s="102"/>
      <c r="FKV385" s="102"/>
      <c r="FKW385" s="102"/>
      <c r="FKX385" s="102"/>
      <c r="FKY385" s="102"/>
      <c r="FKZ385" s="102"/>
      <c r="FLA385" s="102"/>
      <c r="FLB385" s="102"/>
      <c r="FLC385" s="102"/>
      <c r="FLD385" s="102"/>
      <c r="FLE385" s="102"/>
      <c r="FLF385" s="102"/>
      <c r="FLG385" s="102"/>
      <c r="FLH385" s="102"/>
      <c r="FLI385" s="102"/>
      <c r="FLJ385" s="102"/>
      <c r="FLK385" s="102"/>
      <c r="FLL385" s="102"/>
      <c r="FLM385" s="102"/>
      <c r="FLN385" s="102"/>
      <c r="FLO385" s="102"/>
      <c r="FLP385" s="102"/>
      <c r="FLQ385" s="102"/>
      <c r="FLR385" s="102"/>
      <c r="FLS385" s="102"/>
      <c r="FLT385" s="102"/>
      <c r="FLU385" s="102"/>
      <c r="FLV385" s="102"/>
      <c r="FLW385" s="102"/>
      <c r="FLX385" s="102"/>
      <c r="FLY385" s="102"/>
      <c r="FLZ385" s="102"/>
      <c r="FMA385" s="102"/>
      <c r="FMB385" s="102"/>
      <c r="FMC385" s="102"/>
      <c r="FMD385" s="102"/>
      <c r="FME385" s="102"/>
      <c r="FMF385" s="102"/>
      <c r="FMG385" s="102"/>
      <c r="FMH385" s="102"/>
      <c r="FMI385" s="102"/>
      <c r="FMJ385" s="102"/>
      <c r="FMK385" s="102"/>
      <c r="FML385" s="102"/>
      <c r="FMM385" s="102"/>
      <c r="FMN385" s="102"/>
      <c r="FMO385" s="102"/>
      <c r="FMP385" s="102"/>
      <c r="FMQ385" s="102"/>
      <c r="FMR385" s="102"/>
      <c r="FMS385" s="102"/>
      <c r="FMT385" s="102"/>
      <c r="FMU385" s="102"/>
      <c r="FMV385" s="102"/>
      <c r="FMW385" s="102"/>
      <c r="FMX385" s="102"/>
      <c r="FMY385" s="102"/>
      <c r="FMZ385" s="102"/>
      <c r="FNA385" s="102"/>
      <c r="FNB385" s="102"/>
      <c r="FNC385" s="102"/>
      <c r="FND385" s="102"/>
      <c r="FNE385" s="102"/>
      <c r="FNF385" s="102"/>
      <c r="FNG385" s="102"/>
      <c r="FNH385" s="102"/>
      <c r="FNI385" s="102"/>
      <c r="FNJ385" s="102"/>
      <c r="FNK385" s="102"/>
      <c r="FNL385" s="102"/>
      <c r="FNM385" s="102"/>
      <c r="FNN385" s="102"/>
      <c r="FNO385" s="102"/>
      <c r="FNP385" s="102"/>
      <c r="FNQ385" s="102"/>
      <c r="FNR385" s="102"/>
      <c r="FNS385" s="102"/>
      <c r="FNT385" s="102"/>
      <c r="FNU385" s="102"/>
      <c r="FNV385" s="102"/>
      <c r="FNW385" s="102"/>
      <c r="FNX385" s="102"/>
      <c r="FNY385" s="102"/>
      <c r="FNZ385" s="102"/>
      <c r="FOA385" s="102"/>
      <c r="FOB385" s="102"/>
      <c r="FOC385" s="102"/>
      <c r="FOD385" s="102"/>
      <c r="FOE385" s="102"/>
      <c r="FOF385" s="102"/>
      <c r="FOG385" s="102"/>
      <c r="FOH385" s="102"/>
      <c r="FOI385" s="102"/>
      <c r="FOJ385" s="102"/>
      <c r="FOK385" s="102"/>
      <c r="FOL385" s="102"/>
      <c r="FOM385" s="102"/>
      <c r="FON385" s="102"/>
      <c r="FOO385" s="102"/>
      <c r="FOP385" s="102"/>
      <c r="FOQ385" s="102"/>
      <c r="FOR385" s="102"/>
      <c r="FOS385" s="102"/>
      <c r="FOT385" s="102"/>
      <c r="FOU385" s="102"/>
      <c r="FOV385" s="102"/>
      <c r="FOW385" s="102"/>
      <c r="FOX385" s="102"/>
      <c r="FOY385" s="102"/>
      <c r="FOZ385" s="102"/>
      <c r="FPA385" s="102"/>
      <c r="FPB385" s="102"/>
      <c r="FPC385" s="102"/>
      <c r="FPD385" s="102"/>
      <c r="FPE385" s="102"/>
      <c r="FPF385" s="102"/>
      <c r="FPG385" s="102"/>
      <c r="FPH385" s="102"/>
      <c r="FPI385" s="102"/>
      <c r="FPJ385" s="102"/>
      <c r="FPK385" s="102"/>
      <c r="FPL385" s="102"/>
      <c r="FPM385" s="102"/>
      <c r="FPN385" s="102"/>
      <c r="FPO385" s="102"/>
      <c r="FPP385" s="102"/>
      <c r="FPQ385" s="102"/>
      <c r="FPR385" s="102"/>
      <c r="FPS385" s="102"/>
      <c r="FPT385" s="102"/>
      <c r="FPU385" s="102"/>
      <c r="FPV385" s="102"/>
      <c r="FPW385" s="102"/>
      <c r="FPX385" s="102"/>
      <c r="FPY385" s="102"/>
      <c r="FPZ385" s="102"/>
      <c r="FQA385" s="102"/>
      <c r="FQB385" s="102"/>
      <c r="FQC385" s="102"/>
      <c r="FQD385" s="102"/>
      <c r="FQE385" s="102"/>
      <c r="FQF385" s="102"/>
      <c r="FQG385" s="102"/>
      <c r="FQH385" s="102"/>
      <c r="FQI385" s="102"/>
      <c r="FQJ385" s="102"/>
      <c r="FQK385" s="102"/>
      <c r="FQL385" s="102"/>
      <c r="FQM385" s="102"/>
      <c r="FQN385" s="102"/>
      <c r="FQO385" s="102"/>
      <c r="FQP385" s="102"/>
      <c r="FQQ385" s="102"/>
      <c r="FQR385" s="102"/>
      <c r="FQS385" s="102"/>
      <c r="FQT385" s="102"/>
      <c r="FQU385" s="102"/>
      <c r="FQV385" s="102"/>
      <c r="FQW385" s="102"/>
      <c r="FQX385" s="102"/>
      <c r="FQY385" s="102"/>
      <c r="FQZ385" s="102"/>
      <c r="FRA385" s="102"/>
      <c r="FRB385" s="102"/>
      <c r="FRC385" s="102"/>
      <c r="FRD385" s="102"/>
      <c r="FRE385" s="102"/>
      <c r="FRF385" s="102"/>
      <c r="FRG385" s="102"/>
      <c r="FRH385" s="102"/>
      <c r="FRI385" s="102"/>
      <c r="FRJ385" s="102"/>
      <c r="FRK385" s="102"/>
      <c r="FRL385" s="102"/>
      <c r="FRM385" s="102"/>
      <c r="FRN385" s="102"/>
      <c r="FRO385" s="102"/>
      <c r="FRP385" s="102"/>
      <c r="FRQ385" s="102"/>
      <c r="FRR385" s="102"/>
      <c r="FRS385" s="102"/>
      <c r="FRT385" s="102"/>
      <c r="FRU385" s="102"/>
      <c r="FRV385" s="102"/>
      <c r="FRW385" s="102"/>
      <c r="FRX385" s="102"/>
      <c r="FRY385" s="102"/>
      <c r="FRZ385" s="102"/>
      <c r="FSA385" s="102"/>
      <c r="FSB385" s="102"/>
      <c r="FSC385" s="102"/>
      <c r="FSD385" s="102"/>
      <c r="FSE385" s="102"/>
      <c r="FSF385" s="102"/>
      <c r="FSG385" s="102"/>
      <c r="FSH385" s="102"/>
      <c r="FSI385" s="102"/>
      <c r="FSJ385" s="102"/>
      <c r="FSK385" s="102"/>
      <c r="FSL385" s="102"/>
      <c r="FSM385" s="102"/>
      <c r="FSN385" s="102"/>
      <c r="FSO385" s="102"/>
      <c r="FSP385" s="102"/>
      <c r="FSQ385" s="102"/>
      <c r="FSR385" s="102"/>
      <c r="FSS385" s="102"/>
      <c r="FST385" s="102"/>
      <c r="FSU385" s="102"/>
      <c r="FSV385" s="102"/>
      <c r="FSW385" s="102"/>
      <c r="FSX385" s="102"/>
      <c r="FSY385" s="102"/>
      <c r="FSZ385" s="102"/>
      <c r="FTA385" s="102"/>
      <c r="FTB385" s="102"/>
      <c r="FTC385" s="102"/>
      <c r="FTD385" s="102"/>
      <c r="FTE385" s="102"/>
      <c r="FTF385" s="102"/>
      <c r="FTG385" s="102"/>
      <c r="FTH385" s="102"/>
      <c r="FTI385" s="102"/>
      <c r="FTJ385" s="102"/>
      <c r="FTK385" s="102"/>
      <c r="FTL385" s="102"/>
      <c r="FTM385" s="102"/>
      <c r="FTN385" s="102"/>
      <c r="FTO385" s="102"/>
      <c r="FTP385" s="102"/>
      <c r="FTQ385" s="102"/>
      <c r="FTR385" s="102"/>
      <c r="FTS385" s="102"/>
      <c r="FTT385" s="102"/>
      <c r="FTU385" s="102"/>
      <c r="FTV385" s="102"/>
      <c r="FTW385" s="102"/>
      <c r="FTX385" s="102"/>
      <c r="FTY385" s="102"/>
      <c r="FTZ385" s="102"/>
      <c r="FUA385" s="102"/>
      <c r="FUB385" s="102"/>
      <c r="FUC385" s="102"/>
      <c r="FUD385" s="102"/>
      <c r="FUE385" s="102"/>
      <c r="FUF385" s="102"/>
      <c r="FUG385" s="102"/>
      <c r="FUH385" s="102"/>
      <c r="FUI385" s="102"/>
      <c r="FUJ385" s="102"/>
      <c r="FUK385" s="102"/>
      <c r="FUL385" s="102"/>
      <c r="FUM385" s="102"/>
      <c r="FUN385" s="102"/>
      <c r="FUO385" s="102"/>
      <c r="FUP385" s="102"/>
      <c r="FUQ385" s="102"/>
      <c r="FUR385" s="102"/>
      <c r="FUS385" s="102"/>
      <c r="FUT385" s="102"/>
      <c r="FUU385" s="102"/>
      <c r="FUV385" s="102"/>
      <c r="FUW385" s="102"/>
      <c r="FUX385" s="102"/>
      <c r="FUY385" s="102"/>
      <c r="FUZ385" s="102"/>
      <c r="FVA385" s="102"/>
      <c r="FVB385" s="102"/>
      <c r="FVC385" s="102"/>
      <c r="FVD385" s="102"/>
      <c r="FVE385" s="102"/>
      <c r="FVF385" s="102"/>
      <c r="FVG385" s="102"/>
      <c r="FVH385" s="102"/>
      <c r="FVI385" s="102"/>
      <c r="FVJ385" s="102"/>
      <c r="FVK385" s="102"/>
      <c r="FVL385" s="102"/>
      <c r="FVM385" s="102"/>
      <c r="FVN385" s="102"/>
      <c r="FVO385" s="102"/>
      <c r="FVP385" s="102"/>
      <c r="FVQ385" s="102"/>
      <c r="FVR385" s="102"/>
      <c r="FVS385" s="102"/>
      <c r="FVT385" s="102"/>
      <c r="FVU385" s="102"/>
      <c r="FVV385" s="102"/>
      <c r="FVW385" s="102"/>
      <c r="FVX385" s="102"/>
      <c r="FVY385" s="102"/>
      <c r="FVZ385" s="102"/>
      <c r="FWA385" s="102"/>
      <c r="FWB385" s="102"/>
      <c r="FWC385" s="102"/>
      <c r="FWD385" s="102"/>
      <c r="FWE385" s="102"/>
      <c r="FWF385" s="102"/>
      <c r="FWG385" s="102"/>
      <c r="FWH385" s="102"/>
      <c r="FWI385" s="102"/>
      <c r="FWJ385" s="102"/>
      <c r="FWK385" s="102"/>
      <c r="FWL385" s="102"/>
      <c r="FWM385" s="102"/>
      <c r="FWN385" s="102"/>
      <c r="FWO385" s="102"/>
      <c r="FWP385" s="102"/>
      <c r="FWQ385" s="102"/>
      <c r="FWR385" s="102"/>
      <c r="FWS385" s="102"/>
      <c r="FWT385" s="102"/>
      <c r="FWU385" s="102"/>
      <c r="FWV385" s="102"/>
      <c r="FWW385" s="102"/>
      <c r="FWX385" s="102"/>
      <c r="FWY385" s="102"/>
      <c r="FWZ385" s="102"/>
      <c r="FXA385" s="102"/>
      <c r="FXB385" s="102"/>
      <c r="FXC385" s="102"/>
      <c r="FXD385" s="102"/>
      <c r="FXE385" s="102"/>
      <c r="FXF385" s="102"/>
      <c r="FXG385" s="102"/>
      <c r="FXH385" s="102"/>
      <c r="FXI385" s="102"/>
      <c r="FXJ385" s="102"/>
      <c r="FXK385" s="102"/>
      <c r="FXL385" s="102"/>
      <c r="FXM385" s="102"/>
      <c r="FXN385" s="102"/>
      <c r="FXO385" s="102"/>
      <c r="FXP385" s="102"/>
      <c r="FXQ385" s="102"/>
      <c r="FXR385" s="102"/>
      <c r="FXS385" s="102"/>
      <c r="FXT385" s="102"/>
      <c r="FXU385" s="102"/>
      <c r="FXV385" s="102"/>
      <c r="FXW385" s="102"/>
      <c r="FXX385" s="102"/>
      <c r="FXY385" s="102"/>
      <c r="FXZ385" s="102"/>
      <c r="FYA385" s="102"/>
      <c r="FYB385" s="102"/>
      <c r="FYC385" s="102"/>
      <c r="FYD385" s="102"/>
      <c r="FYE385" s="102"/>
      <c r="FYF385" s="102"/>
      <c r="FYG385" s="102"/>
      <c r="FYH385" s="102"/>
      <c r="FYI385" s="102"/>
      <c r="FYJ385" s="102"/>
      <c r="FYK385" s="102"/>
      <c r="FYL385" s="102"/>
      <c r="FYM385" s="102"/>
      <c r="FYN385" s="102"/>
      <c r="FYO385" s="102"/>
      <c r="FYP385" s="102"/>
      <c r="FYQ385" s="102"/>
      <c r="FYR385" s="102"/>
      <c r="FYS385" s="102"/>
      <c r="FYT385" s="102"/>
      <c r="FYU385" s="102"/>
      <c r="FYV385" s="102"/>
      <c r="FYW385" s="102"/>
      <c r="FYX385" s="102"/>
      <c r="FYY385" s="102"/>
      <c r="FYZ385" s="102"/>
      <c r="FZA385" s="102"/>
      <c r="FZB385" s="102"/>
      <c r="FZC385" s="102"/>
      <c r="FZD385" s="102"/>
      <c r="FZE385" s="102"/>
      <c r="FZF385" s="102"/>
      <c r="FZG385" s="102"/>
      <c r="FZH385" s="102"/>
      <c r="FZI385" s="102"/>
      <c r="FZJ385" s="102"/>
      <c r="FZK385" s="102"/>
      <c r="FZL385" s="102"/>
      <c r="FZM385" s="102"/>
      <c r="FZN385" s="102"/>
      <c r="FZO385" s="102"/>
      <c r="FZP385" s="102"/>
      <c r="FZQ385" s="102"/>
      <c r="FZR385" s="102"/>
      <c r="FZS385" s="102"/>
      <c r="FZT385" s="102"/>
      <c r="FZU385" s="102"/>
      <c r="FZV385" s="102"/>
      <c r="FZW385" s="102"/>
      <c r="FZX385" s="102"/>
      <c r="FZY385" s="102"/>
      <c r="FZZ385" s="102"/>
      <c r="GAA385" s="102"/>
      <c r="GAB385" s="102"/>
      <c r="GAC385" s="102"/>
      <c r="GAD385" s="102"/>
      <c r="GAE385" s="102"/>
      <c r="GAF385" s="102"/>
      <c r="GAG385" s="102"/>
      <c r="GAH385" s="102"/>
      <c r="GAI385" s="102"/>
      <c r="GAJ385" s="102"/>
      <c r="GAK385" s="102"/>
      <c r="GAL385" s="102"/>
      <c r="GAM385" s="102"/>
      <c r="GAN385" s="102"/>
      <c r="GAO385" s="102"/>
      <c r="GAP385" s="102"/>
      <c r="GAQ385" s="102"/>
      <c r="GAR385" s="102"/>
      <c r="GAS385" s="102"/>
      <c r="GAT385" s="102"/>
      <c r="GAU385" s="102"/>
      <c r="GAV385" s="102"/>
      <c r="GAW385" s="102"/>
      <c r="GAX385" s="102"/>
      <c r="GAY385" s="102"/>
      <c r="GAZ385" s="102"/>
      <c r="GBA385" s="102"/>
      <c r="GBB385" s="102"/>
      <c r="GBC385" s="102"/>
      <c r="GBD385" s="102"/>
      <c r="GBE385" s="102"/>
      <c r="GBF385" s="102"/>
      <c r="GBG385" s="102"/>
      <c r="GBH385" s="102"/>
      <c r="GBI385" s="102"/>
      <c r="GBJ385" s="102"/>
      <c r="GBK385" s="102"/>
      <c r="GBL385" s="102"/>
      <c r="GBM385" s="102"/>
      <c r="GBN385" s="102"/>
      <c r="GBO385" s="102"/>
      <c r="GBP385" s="102"/>
      <c r="GBQ385" s="102"/>
      <c r="GBR385" s="102"/>
      <c r="GBS385" s="102"/>
      <c r="GBT385" s="102"/>
      <c r="GBU385" s="102"/>
      <c r="GBV385" s="102"/>
      <c r="GBW385" s="102"/>
      <c r="GBX385" s="102"/>
      <c r="GBY385" s="102"/>
      <c r="GBZ385" s="102"/>
      <c r="GCA385" s="102"/>
      <c r="GCB385" s="102"/>
      <c r="GCC385" s="102"/>
      <c r="GCD385" s="102"/>
      <c r="GCE385" s="102"/>
      <c r="GCF385" s="102"/>
      <c r="GCG385" s="102"/>
      <c r="GCH385" s="102"/>
      <c r="GCI385" s="102"/>
      <c r="GCJ385" s="102"/>
      <c r="GCK385" s="102"/>
      <c r="GCL385" s="102"/>
      <c r="GCM385" s="102"/>
      <c r="GCN385" s="102"/>
      <c r="GCO385" s="102"/>
      <c r="GCP385" s="102"/>
      <c r="GCQ385" s="102"/>
      <c r="GCR385" s="102"/>
      <c r="GCS385" s="102"/>
      <c r="GCT385" s="102"/>
      <c r="GCU385" s="102"/>
      <c r="GCV385" s="102"/>
      <c r="GCW385" s="102"/>
      <c r="GCX385" s="102"/>
      <c r="GCY385" s="102"/>
      <c r="GCZ385" s="102"/>
      <c r="GDA385" s="102"/>
      <c r="GDB385" s="102"/>
      <c r="GDC385" s="102"/>
      <c r="GDD385" s="102"/>
      <c r="GDE385" s="102"/>
      <c r="GDF385" s="102"/>
      <c r="GDG385" s="102"/>
      <c r="GDH385" s="102"/>
      <c r="GDI385" s="102"/>
      <c r="GDJ385" s="102"/>
      <c r="GDK385" s="102"/>
      <c r="GDL385" s="102"/>
      <c r="GDM385" s="102"/>
      <c r="GDN385" s="102"/>
      <c r="GDO385" s="102"/>
      <c r="GDP385" s="102"/>
      <c r="GDQ385" s="102"/>
      <c r="GDR385" s="102"/>
      <c r="GDS385" s="102"/>
      <c r="GDT385" s="102"/>
      <c r="GDU385" s="102"/>
      <c r="GDV385" s="102"/>
      <c r="GDW385" s="102"/>
      <c r="GDX385" s="102"/>
      <c r="GDY385" s="102"/>
      <c r="GDZ385" s="102"/>
      <c r="GEA385" s="102"/>
      <c r="GEB385" s="102"/>
      <c r="GEC385" s="102"/>
      <c r="GED385" s="102"/>
      <c r="GEE385" s="102"/>
      <c r="GEF385" s="102"/>
      <c r="GEG385" s="102"/>
      <c r="GEH385" s="102"/>
      <c r="GEI385" s="102"/>
      <c r="GEJ385" s="102"/>
      <c r="GEK385" s="102"/>
      <c r="GEL385" s="102"/>
      <c r="GEM385" s="102"/>
      <c r="GEN385" s="102"/>
      <c r="GEO385" s="102"/>
      <c r="GEP385" s="102"/>
      <c r="GEQ385" s="102"/>
      <c r="GER385" s="102"/>
      <c r="GES385" s="102"/>
      <c r="GET385" s="102"/>
      <c r="GEU385" s="102"/>
      <c r="GEV385" s="102"/>
      <c r="GEW385" s="102"/>
      <c r="GEX385" s="102"/>
      <c r="GEY385" s="102"/>
      <c r="GEZ385" s="102"/>
      <c r="GFA385" s="102"/>
      <c r="GFB385" s="102"/>
      <c r="GFC385" s="102"/>
      <c r="GFD385" s="102"/>
      <c r="GFE385" s="102"/>
      <c r="GFF385" s="102"/>
      <c r="GFG385" s="102"/>
      <c r="GFH385" s="102"/>
      <c r="GFI385" s="102"/>
      <c r="GFJ385" s="102"/>
      <c r="GFK385" s="102"/>
      <c r="GFL385" s="102"/>
      <c r="GFM385" s="102"/>
      <c r="GFN385" s="102"/>
      <c r="GFO385" s="102"/>
      <c r="GFP385" s="102"/>
      <c r="GFQ385" s="102"/>
      <c r="GFR385" s="102"/>
      <c r="GFS385" s="102"/>
      <c r="GFT385" s="102"/>
      <c r="GFU385" s="102"/>
      <c r="GFV385" s="102"/>
      <c r="GFW385" s="102"/>
      <c r="GFX385" s="102"/>
      <c r="GFY385" s="102"/>
      <c r="GFZ385" s="102"/>
      <c r="GGA385" s="102"/>
      <c r="GGB385" s="102"/>
      <c r="GGC385" s="102"/>
      <c r="GGD385" s="102"/>
      <c r="GGE385" s="102"/>
      <c r="GGF385" s="102"/>
      <c r="GGG385" s="102"/>
      <c r="GGH385" s="102"/>
      <c r="GGI385" s="102"/>
      <c r="GGJ385" s="102"/>
      <c r="GGK385" s="102"/>
      <c r="GGL385" s="102"/>
      <c r="GGM385" s="102"/>
      <c r="GGN385" s="102"/>
      <c r="GGO385" s="102"/>
      <c r="GGP385" s="102"/>
      <c r="GGQ385" s="102"/>
      <c r="GGR385" s="102"/>
      <c r="GGS385" s="102"/>
      <c r="GGT385" s="102"/>
      <c r="GGU385" s="102"/>
      <c r="GGV385" s="102"/>
      <c r="GGW385" s="102"/>
      <c r="GGX385" s="102"/>
      <c r="GGY385" s="102"/>
      <c r="GGZ385" s="102"/>
      <c r="GHA385" s="102"/>
      <c r="GHB385" s="102"/>
      <c r="GHC385" s="102"/>
      <c r="GHD385" s="102"/>
      <c r="GHE385" s="102"/>
      <c r="GHF385" s="102"/>
      <c r="GHG385" s="102"/>
      <c r="GHH385" s="102"/>
      <c r="GHI385" s="102"/>
      <c r="GHJ385" s="102"/>
      <c r="GHK385" s="102"/>
      <c r="GHL385" s="102"/>
      <c r="GHM385" s="102"/>
      <c r="GHN385" s="102"/>
      <c r="GHO385" s="102"/>
      <c r="GHP385" s="102"/>
      <c r="GHQ385" s="102"/>
      <c r="GHR385" s="102"/>
      <c r="GHS385" s="102"/>
      <c r="GHT385" s="102"/>
      <c r="GHU385" s="102"/>
      <c r="GHV385" s="102"/>
      <c r="GHW385" s="102"/>
      <c r="GHX385" s="102"/>
      <c r="GHY385" s="102"/>
      <c r="GHZ385" s="102"/>
      <c r="GIA385" s="102"/>
      <c r="GIB385" s="102"/>
      <c r="GIC385" s="102"/>
      <c r="GID385" s="102"/>
      <c r="GIE385" s="102"/>
      <c r="GIF385" s="102"/>
      <c r="GIG385" s="102"/>
      <c r="GIH385" s="102"/>
      <c r="GII385" s="102"/>
      <c r="GIJ385" s="102"/>
      <c r="GIK385" s="102"/>
      <c r="GIL385" s="102"/>
      <c r="GIM385" s="102"/>
      <c r="GIN385" s="102"/>
      <c r="GIO385" s="102"/>
      <c r="GIP385" s="102"/>
      <c r="GIQ385" s="102"/>
      <c r="GIR385" s="102"/>
      <c r="GIS385" s="102"/>
      <c r="GIT385" s="102"/>
      <c r="GIU385" s="102"/>
      <c r="GIV385" s="102"/>
      <c r="GIW385" s="102"/>
      <c r="GIX385" s="102"/>
      <c r="GIY385" s="102"/>
      <c r="GIZ385" s="102"/>
      <c r="GJA385" s="102"/>
      <c r="GJB385" s="102"/>
      <c r="GJC385" s="102"/>
      <c r="GJD385" s="102"/>
      <c r="GJE385" s="102"/>
      <c r="GJF385" s="102"/>
      <c r="GJG385" s="102"/>
      <c r="GJH385" s="102"/>
      <c r="GJI385" s="102"/>
      <c r="GJJ385" s="102"/>
      <c r="GJK385" s="102"/>
      <c r="GJL385" s="102"/>
      <c r="GJM385" s="102"/>
      <c r="GJN385" s="102"/>
      <c r="GJO385" s="102"/>
      <c r="GJP385" s="102"/>
      <c r="GJQ385" s="102"/>
      <c r="GJR385" s="102"/>
      <c r="GJS385" s="102"/>
      <c r="GJT385" s="102"/>
      <c r="GJU385" s="102"/>
      <c r="GJV385" s="102"/>
      <c r="GJW385" s="102"/>
      <c r="GJX385" s="102"/>
      <c r="GJY385" s="102"/>
      <c r="GJZ385" s="102"/>
      <c r="GKA385" s="102"/>
      <c r="GKB385" s="102"/>
      <c r="GKC385" s="102"/>
      <c r="GKD385" s="102"/>
      <c r="GKE385" s="102"/>
      <c r="GKF385" s="102"/>
      <c r="GKG385" s="102"/>
      <c r="GKH385" s="102"/>
      <c r="GKI385" s="102"/>
      <c r="GKJ385" s="102"/>
      <c r="GKK385" s="102"/>
      <c r="GKL385" s="102"/>
      <c r="GKM385" s="102"/>
      <c r="GKN385" s="102"/>
      <c r="GKO385" s="102"/>
      <c r="GKP385" s="102"/>
      <c r="GKQ385" s="102"/>
      <c r="GKR385" s="102"/>
      <c r="GKS385" s="102"/>
      <c r="GKT385" s="102"/>
      <c r="GKU385" s="102"/>
      <c r="GKV385" s="102"/>
      <c r="GKW385" s="102"/>
      <c r="GKX385" s="102"/>
      <c r="GKY385" s="102"/>
      <c r="GKZ385" s="102"/>
      <c r="GLA385" s="102"/>
      <c r="GLB385" s="102"/>
      <c r="GLC385" s="102"/>
      <c r="GLD385" s="102"/>
      <c r="GLE385" s="102"/>
      <c r="GLF385" s="102"/>
      <c r="GLG385" s="102"/>
      <c r="GLH385" s="102"/>
      <c r="GLI385" s="102"/>
      <c r="GLJ385" s="102"/>
      <c r="GLK385" s="102"/>
      <c r="GLL385" s="102"/>
      <c r="GLM385" s="102"/>
      <c r="GLN385" s="102"/>
      <c r="GLO385" s="102"/>
      <c r="GLP385" s="102"/>
      <c r="GLQ385" s="102"/>
      <c r="GLR385" s="102"/>
      <c r="GLS385" s="102"/>
      <c r="GLT385" s="102"/>
      <c r="GLU385" s="102"/>
      <c r="GLV385" s="102"/>
      <c r="GLW385" s="102"/>
      <c r="GLX385" s="102"/>
      <c r="GLY385" s="102"/>
      <c r="GLZ385" s="102"/>
      <c r="GMA385" s="102"/>
      <c r="GMB385" s="102"/>
      <c r="GMC385" s="102"/>
      <c r="GMD385" s="102"/>
      <c r="GME385" s="102"/>
      <c r="GMF385" s="102"/>
      <c r="GMG385" s="102"/>
      <c r="GMH385" s="102"/>
      <c r="GMI385" s="102"/>
      <c r="GMJ385" s="102"/>
      <c r="GMK385" s="102"/>
      <c r="GML385" s="102"/>
      <c r="GMM385" s="102"/>
      <c r="GMN385" s="102"/>
      <c r="GMO385" s="102"/>
      <c r="GMP385" s="102"/>
      <c r="GMQ385" s="102"/>
      <c r="GMR385" s="102"/>
      <c r="GMS385" s="102"/>
      <c r="GMT385" s="102"/>
      <c r="GMU385" s="102"/>
      <c r="GMV385" s="102"/>
      <c r="GMW385" s="102"/>
      <c r="GMX385" s="102"/>
      <c r="GMY385" s="102"/>
      <c r="GMZ385" s="102"/>
      <c r="GNA385" s="102"/>
      <c r="GNB385" s="102"/>
      <c r="GNC385" s="102"/>
      <c r="GND385" s="102"/>
      <c r="GNE385" s="102"/>
      <c r="GNF385" s="102"/>
      <c r="GNG385" s="102"/>
      <c r="GNH385" s="102"/>
      <c r="GNI385" s="102"/>
      <c r="GNJ385" s="102"/>
      <c r="GNK385" s="102"/>
      <c r="GNL385" s="102"/>
      <c r="GNM385" s="102"/>
      <c r="GNN385" s="102"/>
      <c r="GNO385" s="102"/>
      <c r="GNP385" s="102"/>
      <c r="GNQ385" s="102"/>
      <c r="GNR385" s="102"/>
      <c r="GNS385" s="102"/>
      <c r="GNT385" s="102"/>
      <c r="GNU385" s="102"/>
      <c r="GNV385" s="102"/>
      <c r="GNW385" s="102"/>
      <c r="GNX385" s="102"/>
      <c r="GNY385" s="102"/>
      <c r="GNZ385" s="102"/>
      <c r="GOA385" s="102"/>
      <c r="GOB385" s="102"/>
      <c r="GOC385" s="102"/>
      <c r="GOD385" s="102"/>
      <c r="GOE385" s="102"/>
      <c r="GOF385" s="102"/>
      <c r="GOG385" s="102"/>
      <c r="GOH385" s="102"/>
      <c r="GOI385" s="102"/>
      <c r="GOJ385" s="102"/>
      <c r="GOK385" s="102"/>
      <c r="GOL385" s="102"/>
      <c r="GOM385" s="102"/>
      <c r="GON385" s="102"/>
      <c r="GOO385" s="102"/>
      <c r="GOP385" s="102"/>
      <c r="GOQ385" s="102"/>
      <c r="GOR385" s="102"/>
      <c r="GOS385" s="102"/>
      <c r="GOT385" s="102"/>
      <c r="GOU385" s="102"/>
      <c r="GOV385" s="102"/>
      <c r="GOW385" s="102"/>
      <c r="GOX385" s="102"/>
      <c r="GOY385" s="102"/>
      <c r="GOZ385" s="102"/>
      <c r="GPA385" s="102"/>
      <c r="GPB385" s="102"/>
      <c r="GPC385" s="102"/>
      <c r="GPD385" s="102"/>
      <c r="GPE385" s="102"/>
      <c r="GPF385" s="102"/>
      <c r="GPG385" s="102"/>
      <c r="GPH385" s="102"/>
      <c r="GPI385" s="102"/>
      <c r="GPJ385" s="102"/>
      <c r="GPK385" s="102"/>
      <c r="GPL385" s="102"/>
      <c r="GPM385" s="102"/>
      <c r="GPN385" s="102"/>
      <c r="GPO385" s="102"/>
      <c r="GPP385" s="102"/>
      <c r="GPQ385" s="102"/>
      <c r="GPR385" s="102"/>
      <c r="GPS385" s="102"/>
      <c r="GPT385" s="102"/>
      <c r="GPU385" s="102"/>
      <c r="GPV385" s="102"/>
      <c r="GPW385" s="102"/>
      <c r="GPX385" s="102"/>
      <c r="GPY385" s="102"/>
      <c r="GPZ385" s="102"/>
      <c r="GQA385" s="102"/>
      <c r="GQB385" s="102"/>
      <c r="GQC385" s="102"/>
      <c r="GQD385" s="102"/>
      <c r="GQE385" s="102"/>
      <c r="GQF385" s="102"/>
      <c r="GQG385" s="102"/>
      <c r="GQH385" s="102"/>
      <c r="GQI385" s="102"/>
      <c r="GQJ385" s="102"/>
      <c r="GQK385" s="102"/>
      <c r="GQL385" s="102"/>
      <c r="GQM385" s="102"/>
      <c r="GQN385" s="102"/>
      <c r="GQO385" s="102"/>
      <c r="GQP385" s="102"/>
      <c r="GQQ385" s="102"/>
      <c r="GQR385" s="102"/>
      <c r="GQS385" s="102"/>
      <c r="GQT385" s="102"/>
      <c r="GQU385" s="102"/>
      <c r="GQV385" s="102"/>
      <c r="GQW385" s="102"/>
      <c r="GQX385" s="102"/>
      <c r="GQY385" s="102"/>
      <c r="GQZ385" s="102"/>
      <c r="GRA385" s="102"/>
      <c r="GRB385" s="102"/>
      <c r="GRC385" s="102"/>
      <c r="GRD385" s="102"/>
      <c r="GRE385" s="102"/>
      <c r="GRF385" s="102"/>
      <c r="GRG385" s="102"/>
      <c r="GRH385" s="102"/>
      <c r="GRI385" s="102"/>
      <c r="GRJ385" s="102"/>
      <c r="GRK385" s="102"/>
      <c r="GRL385" s="102"/>
      <c r="GRM385" s="102"/>
      <c r="GRN385" s="102"/>
      <c r="GRO385" s="102"/>
      <c r="GRP385" s="102"/>
      <c r="GRQ385" s="102"/>
      <c r="GRR385" s="102"/>
      <c r="GRS385" s="102"/>
      <c r="GRT385" s="102"/>
      <c r="GRU385" s="102"/>
      <c r="GRV385" s="102"/>
      <c r="GRW385" s="102"/>
      <c r="GRX385" s="102"/>
      <c r="GRY385" s="102"/>
      <c r="GRZ385" s="102"/>
      <c r="GSA385" s="102"/>
      <c r="GSB385" s="102"/>
      <c r="GSC385" s="102"/>
      <c r="GSD385" s="102"/>
      <c r="GSE385" s="102"/>
      <c r="GSF385" s="102"/>
      <c r="GSG385" s="102"/>
      <c r="GSH385" s="102"/>
      <c r="GSI385" s="102"/>
      <c r="GSJ385" s="102"/>
      <c r="GSK385" s="102"/>
      <c r="GSL385" s="102"/>
      <c r="GSM385" s="102"/>
      <c r="GSN385" s="102"/>
      <c r="GSO385" s="102"/>
      <c r="GSP385" s="102"/>
      <c r="GSQ385" s="102"/>
      <c r="GSR385" s="102"/>
      <c r="GSS385" s="102"/>
      <c r="GST385" s="102"/>
      <c r="GSU385" s="102"/>
      <c r="GSV385" s="102"/>
      <c r="GSW385" s="102"/>
      <c r="GSX385" s="102"/>
      <c r="GSY385" s="102"/>
      <c r="GSZ385" s="102"/>
      <c r="GTA385" s="102"/>
      <c r="GTB385" s="102"/>
      <c r="GTC385" s="102"/>
      <c r="GTD385" s="102"/>
      <c r="GTE385" s="102"/>
      <c r="GTF385" s="102"/>
      <c r="GTG385" s="102"/>
      <c r="GTH385" s="102"/>
      <c r="GTI385" s="102"/>
      <c r="GTJ385" s="102"/>
      <c r="GTK385" s="102"/>
      <c r="GTL385" s="102"/>
      <c r="GTM385" s="102"/>
      <c r="GTN385" s="102"/>
      <c r="GTO385" s="102"/>
      <c r="GTP385" s="102"/>
      <c r="GTQ385" s="102"/>
      <c r="GTR385" s="102"/>
      <c r="GTS385" s="102"/>
      <c r="GTT385" s="102"/>
      <c r="GTU385" s="102"/>
      <c r="GTV385" s="102"/>
      <c r="GTW385" s="102"/>
      <c r="GTX385" s="102"/>
      <c r="GTY385" s="102"/>
      <c r="GTZ385" s="102"/>
      <c r="GUA385" s="102"/>
      <c r="GUB385" s="102"/>
      <c r="GUC385" s="102"/>
      <c r="GUD385" s="102"/>
      <c r="GUE385" s="102"/>
      <c r="GUF385" s="102"/>
      <c r="GUG385" s="102"/>
      <c r="GUH385" s="102"/>
      <c r="GUI385" s="102"/>
      <c r="GUJ385" s="102"/>
      <c r="GUK385" s="102"/>
      <c r="GUL385" s="102"/>
      <c r="GUM385" s="102"/>
      <c r="GUN385" s="102"/>
      <c r="GUO385" s="102"/>
      <c r="GUP385" s="102"/>
      <c r="GUQ385" s="102"/>
      <c r="GUR385" s="102"/>
      <c r="GUS385" s="102"/>
      <c r="GUT385" s="102"/>
      <c r="GUU385" s="102"/>
      <c r="GUV385" s="102"/>
      <c r="GUW385" s="102"/>
      <c r="GUX385" s="102"/>
      <c r="GUY385" s="102"/>
      <c r="GUZ385" s="102"/>
      <c r="GVA385" s="102"/>
      <c r="GVB385" s="102"/>
      <c r="GVC385" s="102"/>
      <c r="GVD385" s="102"/>
      <c r="GVE385" s="102"/>
      <c r="GVF385" s="102"/>
      <c r="GVG385" s="102"/>
      <c r="GVH385" s="102"/>
      <c r="GVI385" s="102"/>
      <c r="GVJ385" s="102"/>
      <c r="GVK385" s="102"/>
      <c r="GVL385" s="102"/>
      <c r="GVM385" s="102"/>
      <c r="GVN385" s="102"/>
      <c r="GVO385" s="102"/>
      <c r="GVP385" s="102"/>
      <c r="GVQ385" s="102"/>
      <c r="GVR385" s="102"/>
      <c r="GVS385" s="102"/>
      <c r="GVT385" s="102"/>
      <c r="GVU385" s="102"/>
      <c r="GVV385" s="102"/>
      <c r="GVW385" s="102"/>
      <c r="GVX385" s="102"/>
      <c r="GVY385" s="102"/>
      <c r="GVZ385" s="102"/>
      <c r="GWA385" s="102"/>
      <c r="GWB385" s="102"/>
      <c r="GWC385" s="102"/>
      <c r="GWD385" s="102"/>
      <c r="GWE385" s="102"/>
      <c r="GWF385" s="102"/>
      <c r="GWG385" s="102"/>
      <c r="GWH385" s="102"/>
      <c r="GWI385" s="102"/>
      <c r="GWJ385" s="102"/>
      <c r="GWK385" s="102"/>
      <c r="GWL385" s="102"/>
      <c r="GWM385" s="102"/>
      <c r="GWN385" s="102"/>
      <c r="GWO385" s="102"/>
      <c r="GWP385" s="102"/>
      <c r="GWQ385" s="102"/>
      <c r="GWR385" s="102"/>
      <c r="GWS385" s="102"/>
      <c r="GWT385" s="102"/>
      <c r="GWU385" s="102"/>
      <c r="GWV385" s="102"/>
      <c r="GWW385" s="102"/>
      <c r="GWX385" s="102"/>
      <c r="GWY385" s="102"/>
      <c r="GWZ385" s="102"/>
      <c r="GXA385" s="102"/>
      <c r="GXB385" s="102"/>
      <c r="GXC385" s="102"/>
      <c r="GXD385" s="102"/>
      <c r="GXE385" s="102"/>
      <c r="GXF385" s="102"/>
      <c r="GXG385" s="102"/>
      <c r="GXH385" s="102"/>
      <c r="GXI385" s="102"/>
      <c r="GXJ385" s="102"/>
      <c r="GXK385" s="102"/>
      <c r="GXL385" s="102"/>
      <c r="GXM385" s="102"/>
      <c r="GXN385" s="102"/>
      <c r="GXO385" s="102"/>
      <c r="GXP385" s="102"/>
      <c r="GXQ385" s="102"/>
      <c r="GXR385" s="102"/>
      <c r="GXS385" s="102"/>
      <c r="GXT385" s="102"/>
      <c r="GXU385" s="102"/>
      <c r="GXV385" s="102"/>
      <c r="GXW385" s="102"/>
      <c r="GXX385" s="102"/>
      <c r="GXY385" s="102"/>
      <c r="GXZ385" s="102"/>
      <c r="GYA385" s="102"/>
      <c r="GYB385" s="102"/>
      <c r="GYC385" s="102"/>
      <c r="GYD385" s="102"/>
      <c r="GYE385" s="102"/>
      <c r="GYF385" s="102"/>
      <c r="GYG385" s="102"/>
      <c r="GYH385" s="102"/>
      <c r="GYI385" s="102"/>
      <c r="GYJ385" s="102"/>
      <c r="GYK385" s="102"/>
      <c r="GYL385" s="102"/>
      <c r="GYM385" s="102"/>
      <c r="GYN385" s="102"/>
      <c r="GYO385" s="102"/>
      <c r="GYP385" s="102"/>
      <c r="GYQ385" s="102"/>
      <c r="GYR385" s="102"/>
      <c r="GYS385" s="102"/>
      <c r="GYT385" s="102"/>
      <c r="GYU385" s="102"/>
      <c r="GYV385" s="102"/>
      <c r="GYW385" s="102"/>
      <c r="GYX385" s="102"/>
      <c r="GYY385" s="102"/>
      <c r="GYZ385" s="102"/>
      <c r="GZA385" s="102"/>
      <c r="GZB385" s="102"/>
      <c r="GZC385" s="102"/>
      <c r="GZD385" s="102"/>
      <c r="GZE385" s="102"/>
      <c r="GZF385" s="102"/>
      <c r="GZG385" s="102"/>
      <c r="GZH385" s="102"/>
      <c r="GZI385" s="102"/>
      <c r="GZJ385" s="102"/>
      <c r="GZK385" s="102"/>
      <c r="GZL385" s="102"/>
      <c r="GZM385" s="102"/>
      <c r="GZN385" s="102"/>
      <c r="GZO385" s="102"/>
      <c r="GZP385" s="102"/>
      <c r="GZQ385" s="102"/>
      <c r="GZR385" s="102"/>
      <c r="GZS385" s="102"/>
      <c r="GZT385" s="102"/>
      <c r="GZU385" s="102"/>
      <c r="GZV385" s="102"/>
      <c r="GZW385" s="102"/>
      <c r="GZX385" s="102"/>
      <c r="GZY385" s="102"/>
      <c r="GZZ385" s="102"/>
      <c r="HAA385" s="102"/>
      <c r="HAB385" s="102"/>
      <c r="HAC385" s="102"/>
      <c r="HAD385" s="102"/>
      <c r="HAE385" s="102"/>
      <c r="HAF385" s="102"/>
      <c r="HAG385" s="102"/>
      <c r="HAH385" s="102"/>
      <c r="HAI385" s="102"/>
      <c r="HAJ385" s="102"/>
      <c r="HAK385" s="102"/>
      <c r="HAL385" s="102"/>
      <c r="HAM385" s="102"/>
      <c r="HAN385" s="102"/>
      <c r="HAO385" s="102"/>
      <c r="HAP385" s="102"/>
      <c r="HAQ385" s="102"/>
      <c r="HAR385" s="102"/>
      <c r="HAS385" s="102"/>
      <c r="HAT385" s="102"/>
      <c r="HAU385" s="102"/>
      <c r="HAV385" s="102"/>
      <c r="HAW385" s="102"/>
      <c r="HAX385" s="102"/>
      <c r="HAY385" s="102"/>
      <c r="HAZ385" s="102"/>
      <c r="HBA385" s="102"/>
      <c r="HBB385" s="102"/>
      <c r="HBC385" s="102"/>
      <c r="HBD385" s="102"/>
      <c r="HBE385" s="102"/>
      <c r="HBF385" s="102"/>
      <c r="HBG385" s="102"/>
      <c r="HBH385" s="102"/>
      <c r="HBI385" s="102"/>
      <c r="HBJ385" s="102"/>
      <c r="HBK385" s="102"/>
      <c r="HBL385" s="102"/>
      <c r="HBM385" s="102"/>
      <c r="HBN385" s="102"/>
      <c r="HBO385" s="102"/>
      <c r="HBP385" s="102"/>
      <c r="HBQ385" s="102"/>
      <c r="HBR385" s="102"/>
      <c r="HBS385" s="102"/>
      <c r="HBT385" s="102"/>
      <c r="HBU385" s="102"/>
      <c r="HBV385" s="102"/>
      <c r="HBW385" s="102"/>
      <c r="HBX385" s="102"/>
      <c r="HBY385" s="102"/>
      <c r="HBZ385" s="102"/>
      <c r="HCA385" s="102"/>
      <c r="HCB385" s="102"/>
      <c r="HCC385" s="102"/>
      <c r="HCD385" s="102"/>
      <c r="HCE385" s="102"/>
      <c r="HCF385" s="102"/>
      <c r="HCG385" s="102"/>
      <c r="HCH385" s="102"/>
      <c r="HCI385" s="102"/>
      <c r="HCJ385" s="102"/>
      <c r="HCK385" s="102"/>
      <c r="HCL385" s="102"/>
      <c r="HCM385" s="102"/>
      <c r="HCN385" s="102"/>
      <c r="HCO385" s="102"/>
      <c r="HCP385" s="102"/>
      <c r="HCQ385" s="102"/>
      <c r="HCR385" s="102"/>
      <c r="HCS385" s="102"/>
      <c r="HCT385" s="102"/>
      <c r="HCU385" s="102"/>
      <c r="HCV385" s="102"/>
      <c r="HCW385" s="102"/>
      <c r="HCX385" s="102"/>
      <c r="HCY385" s="102"/>
      <c r="HCZ385" s="102"/>
      <c r="HDA385" s="102"/>
      <c r="HDB385" s="102"/>
      <c r="HDC385" s="102"/>
      <c r="HDD385" s="102"/>
      <c r="HDE385" s="102"/>
      <c r="HDF385" s="102"/>
      <c r="HDG385" s="102"/>
      <c r="HDH385" s="102"/>
      <c r="HDI385" s="102"/>
      <c r="HDJ385" s="102"/>
      <c r="HDK385" s="102"/>
      <c r="HDL385" s="102"/>
      <c r="HDM385" s="102"/>
      <c r="HDN385" s="102"/>
      <c r="HDO385" s="102"/>
      <c r="HDP385" s="102"/>
      <c r="HDQ385" s="102"/>
      <c r="HDR385" s="102"/>
      <c r="HDS385" s="102"/>
      <c r="HDT385" s="102"/>
      <c r="HDU385" s="102"/>
      <c r="HDV385" s="102"/>
      <c r="HDW385" s="102"/>
      <c r="HDX385" s="102"/>
      <c r="HDY385" s="102"/>
      <c r="HDZ385" s="102"/>
      <c r="HEA385" s="102"/>
      <c r="HEB385" s="102"/>
      <c r="HEC385" s="102"/>
      <c r="HED385" s="102"/>
      <c r="HEE385" s="102"/>
      <c r="HEF385" s="102"/>
      <c r="HEG385" s="102"/>
      <c r="HEH385" s="102"/>
      <c r="HEI385" s="102"/>
      <c r="HEJ385" s="102"/>
      <c r="HEK385" s="102"/>
      <c r="HEL385" s="102"/>
      <c r="HEM385" s="102"/>
      <c r="HEN385" s="102"/>
      <c r="HEO385" s="102"/>
      <c r="HEP385" s="102"/>
      <c r="HEQ385" s="102"/>
      <c r="HER385" s="102"/>
      <c r="HES385" s="102"/>
      <c r="HET385" s="102"/>
      <c r="HEU385" s="102"/>
      <c r="HEV385" s="102"/>
      <c r="HEW385" s="102"/>
      <c r="HEX385" s="102"/>
      <c r="HEY385" s="102"/>
      <c r="HEZ385" s="102"/>
      <c r="HFA385" s="102"/>
      <c r="HFB385" s="102"/>
      <c r="HFC385" s="102"/>
      <c r="HFD385" s="102"/>
      <c r="HFE385" s="102"/>
      <c r="HFF385" s="102"/>
      <c r="HFG385" s="102"/>
      <c r="HFH385" s="102"/>
      <c r="HFI385" s="102"/>
      <c r="HFJ385" s="102"/>
      <c r="HFK385" s="102"/>
      <c r="HFL385" s="102"/>
      <c r="HFM385" s="102"/>
      <c r="HFN385" s="102"/>
      <c r="HFO385" s="102"/>
      <c r="HFP385" s="102"/>
      <c r="HFQ385" s="102"/>
      <c r="HFR385" s="102"/>
      <c r="HFS385" s="102"/>
      <c r="HFT385" s="102"/>
      <c r="HFU385" s="102"/>
      <c r="HFV385" s="102"/>
      <c r="HFW385" s="102"/>
      <c r="HFX385" s="102"/>
      <c r="HFY385" s="102"/>
      <c r="HFZ385" s="102"/>
      <c r="HGA385" s="102"/>
      <c r="HGB385" s="102"/>
      <c r="HGC385" s="102"/>
      <c r="HGD385" s="102"/>
      <c r="HGE385" s="102"/>
      <c r="HGF385" s="102"/>
      <c r="HGG385" s="102"/>
      <c r="HGH385" s="102"/>
      <c r="HGI385" s="102"/>
      <c r="HGJ385" s="102"/>
      <c r="HGK385" s="102"/>
      <c r="HGL385" s="102"/>
      <c r="HGM385" s="102"/>
      <c r="HGN385" s="102"/>
      <c r="HGO385" s="102"/>
      <c r="HGP385" s="102"/>
      <c r="HGQ385" s="102"/>
      <c r="HGR385" s="102"/>
      <c r="HGS385" s="102"/>
      <c r="HGT385" s="102"/>
      <c r="HGU385" s="102"/>
      <c r="HGV385" s="102"/>
      <c r="HGW385" s="102"/>
      <c r="HGX385" s="102"/>
      <c r="HGY385" s="102"/>
      <c r="HGZ385" s="102"/>
      <c r="HHA385" s="102"/>
      <c r="HHB385" s="102"/>
      <c r="HHC385" s="102"/>
      <c r="HHD385" s="102"/>
      <c r="HHE385" s="102"/>
      <c r="HHF385" s="102"/>
      <c r="HHG385" s="102"/>
      <c r="HHH385" s="102"/>
      <c r="HHI385" s="102"/>
      <c r="HHJ385" s="102"/>
      <c r="HHK385" s="102"/>
      <c r="HHL385" s="102"/>
      <c r="HHM385" s="102"/>
      <c r="HHN385" s="102"/>
      <c r="HHO385" s="102"/>
      <c r="HHP385" s="102"/>
      <c r="HHQ385" s="102"/>
      <c r="HHR385" s="102"/>
      <c r="HHS385" s="102"/>
      <c r="HHT385" s="102"/>
      <c r="HHU385" s="102"/>
      <c r="HHV385" s="102"/>
      <c r="HHW385" s="102"/>
      <c r="HHX385" s="102"/>
      <c r="HHY385" s="102"/>
      <c r="HHZ385" s="102"/>
      <c r="HIA385" s="102"/>
      <c r="HIB385" s="102"/>
      <c r="HIC385" s="102"/>
      <c r="HID385" s="102"/>
      <c r="HIE385" s="102"/>
      <c r="HIF385" s="102"/>
      <c r="HIG385" s="102"/>
      <c r="HIH385" s="102"/>
      <c r="HII385" s="102"/>
      <c r="HIJ385" s="102"/>
      <c r="HIK385" s="102"/>
      <c r="HIL385" s="102"/>
      <c r="HIM385" s="102"/>
      <c r="HIN385" s="102"/>
      <c r="HIO385" s="102"/>
      <c r="HIP385" s="102"/>
      <c r="HIQ385" s="102"/>
      <c r="HIR385" s="102"/>
      <c r="HIS385" s="102"/>
      <c r="HIT385" s="102"/>
      <c r="HIU385" s="102"/>
      <c r="HIV385" s="102"/>
      <c r="HIW385" s="102"/>
      <c r="HIX385" s="102"/>
      <c r="HIY385" s="102"/>
      <c r="HIZ385" s="102"/>
      <c r="HJA385" s="102"/>
      <c r="HJB385" s="102"/>
      <c r="HJC385" s="102"/>
      <c r="HJD385" s="102"/>
      <c r="HJE385" s="102"/>
      <c r="HJF385" s="102"/>
      <c r="HJG385" s="102"/>
      <c r="HJH385" s="102"/>
      <c r="HJI385" s="102"/>
      <c r="HJJ385" s="102"/>
      <c r="HJK385" s="102"/>
      <c r="HJL385" s="102"/>
      <c r="HJM385" s="102"/>
      <c r="HJN385" s="102"/>
      <c r="HJO385" s="102"/>
      <c r="HJP385" s="102"/>
      <c r="HJQ385" s="102"/>
      <c r="HJR385" s="102"/>
      <c r="HJS385" s="102"/>
      <c r="HJT385" s="102"/>
      <c r="HJU385" s="102"/>
      <c r="HJV385" s="102"/>
      <c r="HJW385" s="102"/>
      <c r="HJX385" s="102"/>
      <c r="HJY385" s="102"/>
      <c r="HJZ385" s="102"/>
      <c r="HKA385" s="102"/>
      <c r="HKB385" s="102"/>
      <c r="HKC385" s="102"/>
      <c r="HKD385" s="102"/>
      <c r="HKE385" s="102"/>
      <c r="HKF385" s="102"/>
      <c r="HKG385" s="102"/>
      <c r="HKH385" s="102"/>
      <c r="HKI385" s="102"/>
      <c r="HKJ385" s="102"/>
      <c r="HKK385" s="102"/>
      <c r="HKL385" s="102"/>
      <c r="HKM385" s="102"/>
      <c r="HKN385" s="102"/>
      <c r="HKO385" s="102"/>
      <c r="HKP385" s="102"/>
      <c r="HKQ385" s="102"/>
      <c r="HKR385" s="102"/>
      <c r="HKS385" s="102"/>
      <c r="HKT385" s="102"/>
      <c r="HKU385" s="102"/>
      <c r="HKV385" s="102"/>
      <c r="HKW385" s="102"/>
      <c r="HKX385" s="102"/>
      <c r="HKY385" s="102"/>
      <c r="HKZ385" s="102"/>
      <c r="HLA385" s="102"/>
      <c r="HLB385" s="102"/>
      <c r="HLC385" s="102"/>
      <c r="HLD385" s="102"/>
      <c r="HLE385" s="102"/>
      <c r="HLF385" s="102"/>
      <c r="HLG385" s="102"/>
      <c r="HLH385" s="102"/>
      <c r="HLI385" s="102"/>
      <c r="HLJ385" s="102"/>
      <c r="HLK385" s="102"/>
      <c r="HLL385" s="102"/>
      <c r="HLM385" s="102"/>
      <c r="HLN385" s="102"/>
      <c r="HLO385" s="102"/>
      <c r="HLP385" s="102"/>
      <c r="HLQ385" s="102"/>
      <c r="HLR385" s="102"/>
      <c r="HLS385" s="102"/>
      <c r="HLT385" s="102"/>
      <c r="HLU385" s="102"/>
      <c r="HLV385" s="102"/>
      <c r="HLW385" s="102"/>
      <c r="HLX385" s="102"/>
      <c r="HLY385" s="102"/>
      <c r="HLZ385" s="102"/>
      <c r="HMA385" s="102"/>
      <c r="HMB385" s="102"/>
      <c r="HMC385" s="102"/>
      <c r="HMD385" s="102"/>
      <c r="HME385" s="102"/>
      <c r="HMF385" s="102"/>
      <c r="HMG385" s="102"/>
      <c r="HMH385" s="102"/>
      <c r="HMI385" s="102"/>
      <c r="HMJ385" s="102"/>
      <c r="HMK385" s="102"/>
      <c r="HML385" s="102"/>
      <c r="HMM385" s="102"/>
      <c r="HMN385" s="102"/>
      <c r="HMO385" s="102"/>
      <c r="HMP385" s="102"/>
      <c r="HMQ385" s="102"/>
      <c r="HMR385" s="102"/>
      <c r="HMS385" s="102"/>
      <c r="HMT385" s="102"/>
      <c r="HMU385" s="102"/>
      <c r="HMV385" s="102"/>
      <c r="HMW385" s="102"/>
      <c r="HMX385" s="102"/>
      <c r="HMY385" s="102"/>
      <c r="HMZ385" s="102"/>
      <c r="HNA385" s="102"/>
      <c r="HNB385" s="102"/>
      <c r="HNC385" s="102"/>
      <c r="HND385" s="102"/>
      <c r="HNE385" s="102"/>
      <c r="HNF385" s="102"/>
      <c r="HNG385" s="102"/>
      <c r="HNH385" s="102"/>
      <c r="HNI385" s="102"/>
      <c r="HNJ385" s="102"/>
      <c r="HNK385" s="102"/>
      <c r="HNL385" s="102"/>
      <c r="HNM385" s="102"/>
      <c r="HNN385" s="102"/>
      <c r="HNO385" s="102"/>
      <c r="HNP385" s="102"/>
      <c r="HNQ385" s="102"/>
      <c r="HNR385" s="102"/>
      <c r="HNS385" s="102"/>
      <c r="HNT385" s="102"/>
      <c r="HNU385" s="102"/>
      <c r="HNV385" s="102"/>
      <c r="HNW385" s="102"/>
      <c r="HNX385" s="102"/>
      <c r="HNY385" s="102"/>
      <c r="HNZ385" s="102"/>
      <c r="HOA385" s="102"/>
      <c r="HOB385" s="102"/>
      <c r="HOC385" s="102"/>
      <c r="HOD385" s="102"/>
      <c r="HOE385" s="102"/>
      <c r="HOF385" s="102"/>
      <c r="HOG385" s="102"/>
      <c r="HOH385" s="102"/>
      <c r="HOI385" s="102"/>
      <c r="HOJ385" s="102"/>
      <c r="HOK385" s="102"/>
      <c r="HOL385" s="102"/>
      <c r="HOM385" s="102"/>
      <c r="HON385" s="102"/>
      <c r="HOO385" s="102"/>
      <c r="HOP385" s="102"/>
      <c r="HOQ385" s="102"/>
      <c r="HOR385" s="102"/>
      <c r="HOS385" s="102"/>
      <c r="HOT385" s="102"/>
      <c r="HOU385" s="102"/>
      <c r="HOV385" s="102"/>
      <c r="HOW385" s="102"/>
      <c r="HOX385" s="102"/>
      <c r="HOY385" s="102"/>
      <c r="HOZ385" s="102"/>
      <c r="HPA385" s="102"/>
      <c r="HPB385" s="102"/>
      <c r="HPC385" s="102"/>
      <c r="HPD385" s="102"/>
      <c r="HPE385" s="102"/>
      <c r="HPF385" s="102"/>
      <c r="HPG385" s="102"/>
      <c r="HPH385" s="102"/>
      <c r="HPI385" s="102"/>
      <c r="HPJ385" s="102"/>
      <c r="HPK385" s="102"/>
      <c r="HPL385" s="102"/>
      <c r="HPM385" s="102"/>
      <c r="HPN385" s="102"/>
      <c r="HPO385" s="102"/>
      <c r="HPP385" s="102"/>
      <c r="HPQ385" s="102"/>
      <c r="HPR385" s="102"/>
      <c r="HPS385" s="102"/>
      <c r="HPT385" s="102"/>
      <c r="HPU385" s="102"/>
      <c r="HPV385" s="102"/>
      <c r="HPW385" s="102"/>
      <c r="HPX385" s="102"/>
      <c r="HPY385" s="102"/>
      <c r="HPZ385" s="102"/>
      <c r="HQA385" s="102"/>
      <c r="HQB385" s="102"/>
      <c r="HQC385" s="102"/>
      <c r="HQD385" s="102"/>
      <c r="HQE385" s="102"/>
      <c r="HQF385" s="102"/>
      <c r="HQG385" s="102"/>
      <c r="HQH385" s="102"/>
      <c r="HQI385" s="102"/>
      <c r="HQJ385" s="102"/>
      <c r="HQK385" s="102"/>
      <c r="HQL385" s="102"/>
      <c r="HQM385" s="102"/>
      <c r="HQN385" s="102"/>
      <c r="HQO385" s="102"/>
      <c r="HQP385" s="102"/>
      <c r="HQQ385" s="102"/>
      <c r="HQR385" s="102"/>
      <c r="HQS385" s="102"/>
      <c r="HQT385" s="102"/>
      <c r="HQU385" s="102"/>
      <c r="HQV385" s="102"/>
      <c r="HQW385" s="102"/>
      <c r="HQX385" s="102"/>
      <c r="HQY385" s="102"/>
      <c r="HQZ385" s="102"/>
      <c r="HRA385" s="102"/>
      <c r="HRB385" s="102"/>
      <c r="HRC385" s="102"/>
      <c r="HRD385" s="102"/>
      <c r="HRE385" s="102"/>
      <c r="HRF385" s="102"/>
      <c r="HRG385" s="102"/>
      <c r="HRH385" s="102"/>
      <c r="HRI385" s="102"/>
      <c r="HRJ385" s="102"/>
      <c r="HRK385" s="102"/>
      <c r="HRL385" s="102"/>
      <c r="HRM385" s="102"/>
      <c r="HRN385" s="102"/>
      <c r="HRO385" s="102"/>
      <c r="HRP385" s="102"/>
      <c r="HRQ385" s="102"/>
      <c r="HRR385" s="102"/>
      <c r="HRS385" s="102"/>
      <c r="HRT385" s="102"/>
      <c r="HRU385" s="102"/>
      <c r="HRV385" s="102"/>
      <c r="HRW385" s="102"/>
      <c r="HRX385" s="102"/>
      <c r="HRY385" s="102"/>
      <c r="HRZ385" s="102"/>
      <c r="HSA385" s="102"/>
      <c r="HSB385" s="102"/>
      <c r="HSC385" s="102"/>
      <c r="HSD385" s="102"/>
      <c r="HSE385" s="102"/>
      <c r="HSF385" s="102"/>
      <c r="HSG385" s="102"/>
      <c r="HSH385" s="102"/>
      <c r="HSI385" s="102"/>
      <c r="HSJ385" s="102"/>
      <c r="HSK385" s="102"/>
      <c r="HSL385" s="102"/>
      <c r="HSM385" s="102"/>
      <c r="HSN385" s="102"/>
      <c r="HSO385" s="102"/>
      <c r="HSP385" s="102"/>
      <c r="HSQ385" s="102"/>
      <c r="HSR385" s="102"/>
      <c r="HSS385" s="102"/>
      <c r="HST385" s="102"/>
      <c r="HSU385" s="102"/>
      <c r="HSV385" s="102"/>
      <c r="HSW385" s="102"/>
      <c r="HSX385" s="102"/>
      <c r="HSY385" s="102"/>
      <c r="HSZ385" s="102"/>
      <c r="HTA385" s="102"/>
      <c r="HTB385" s="102"/>
      <c r="HTC385" s="102"/>
      <c r="HTD385" s="102"/>
      <c r="HTE385" s="102"/>
      <c r="HTF385" s="102"/>
      <c r="HTG385" s="102"/>
      <c r="HTH385" s="102"/>
      <c r="HTI385" s="102"/>
      <c r="HTJ385" s="102"/>
      <c r="HTK385" s="102"/>
      <c r="HTL385" s="102"/>
      <c r="HTM385" s="102"/>
      <c r="HTN385" s="102"/>
      <c r="HTO385" s="102"/>
      <c r="HTP385" s="102"/>
      <c r="HTQ385" s="102"/>
      <c r="HTR385" s="102"/>
      <c r="HTS385" s="102"/>
      <c r="HTT385" s="102"/>
      <c r="HTU385" s="102"/>
      <c r="HTV385" s="102"/>
      <c r="HTW385" s="102"/>
      <c r="HTX385" s="102"/>
      <c r="HTY385" s="102"/>
      <c r="HTZ385" s="102"/>
      <c r="HUA385" s="102"/>
      <c r="HUB385" s="102"/>
      <c r="HUC385" s="102"/>
      <c r="HUD385" s="102"/>
      <c r="HUE385" s="102"/>
      <c r="HUF385" s="102"/>
      <c r="HUG385" s="102"/>
      <c r="HUH385" s="102"/>
      <c r="HUI385" s="102"/>
      <c r="HUJ385" s="102"/>
      <c r="HUK385" s="102"/>
      <c r="HUL385" s="102"/>
      <c r="HUM385" s="102"/>
      <c r="HUN385" s="102"/>
      <c r="HUO385" s="102"/>
      <c r="HUP385" s="102"/>
      <c r="HUQ385" s="102"/>
      <c r="HUR385" s="102"/>
      <c r="HUS385" s="102"/>
      <c r="HUT385" s="102"/>
      <c r="HUU385" s="102"/>
      <c r="HUV385" s="102"/>
      <c r="HUW385" s="102"/>
      <c r="HUX385" s="102"/>
      <c r="HUY385" s="102"/>
      <c r="HUZ385" s="102"/>
      <c r="HVA385" s="102"/>
      <c r="HVB385" s="102"/>
      <c r="HVC385" s="102"/>
      <c r="HVD385" s="102"/>
      <c r="HVE385" s="102"/>
      <c r="HVF385" s="102"/>
      <c r="HVG385" s="102"/>
      <c r="HVH385" s="102"/>
      <c r="HVI385" s="102"/>
      <c r="HVJ385" s="102"/>
      <c r="HVK385" s="102"/>
      <c r="HVL385" s="102"/>
      <c r="HVM385" s="102"/>
      <c r="HVN385" s="102"/>
      <c r="HVO385" s="102"/>
      <c r="HVP385" s="102"/>
      <c r="HVQ385" s="102"/>
      <c r="HVR385" s="102"/>
      <c r="HVS385" s="102"/>
      <c r="HVT385" s="102"/>
      <c r="HVU385" s="102"/>
      <c r="HVV385" s="102"/>
      <c r="HVW385" s="102"/>
      <c r="HVX385" s="102"/>
      <c r="HVY385" s="102"/>
      <c r="HVZ385" s="102"/>
      <c r="HWA385" s="102"/>
      <c r="HWB385" s="102"/>
      <c r="HWC385" s="102"/>
      <c r="HWD385" s="102"/>
      <c r="HWE385" s="102"/>
      <c r="HWF385" s="102"/>
      <c r="HWG385" s="102"/>
      <c r="HWH385" s="102"/>
      <c r="HWI385" s="102"/>
      <c r="HWJ385" s="102"/>
      <c r="HWK385" s="102"/>
      <c r="HWL385" s="102"/>
      <c r="HWM385" s="102"/>
      <c r="HWN385" s="102"/>
      <c r="HWO385" s="102"/>
      <c r="HWP385" s="102"/>
      <c r="HWQ385" s="102"/>
      <c r="HWR385" s="102"/>
      <c r="HWS385" s="102"/>
      <c r="HWT385" s="102"/>
      <c r="HWU385" s="102"/>
      <c r="HWV385" s="102"/>
      <c r="HWW385" s="102"/>
      <c r="HWX385" s="102"/>
      <c r="HWY385" s="102"/>
      <c r="HWZ385" s="102"/>
      <c r="HXA385" s="102"/>
      <c r="HXB385" s="102"/>
      <c r="HXC385" s="102"/>
      <c r="HXD385" s="102"/>
      <c r="HXE385" s="102"/>
      <c r="HXF385" s="102"/>
      <c r="HXG385" s="102"/>
      <c r="HXH385" s="102"/>
      <c r="HXI385" s="102"/>
      <c r="HXJ385" s="102"/>
      <c r="HXK385" s="102"/>
      <c r="HXL385" s="102"/>
      <c r="HXM385" s="102"/>
      <c r="HXN385" s="102"/>
      <c r="HXO385" s="102"/>
      <c r="HXP385" s="102"/>
      <c r="HXQ385" s="102"/>
      <c r="HXR385" s="102"/>
      <c r="HXS385" s="102"/>
      <c r="HXT385" s="102"/>
      <c r="HXU385" s="102"/>
      <c r="HXV385" s="102"/>
      <c r="HXW385" s="102"/>
      <c r="HXX385" s="102"/>
      <c r="HXY385" s="102"/>
      <c r="HXZ385" s="102"/>
      <c r="HYA385" s="102"/>
      <c r="HYB385" s="102"/>
      <c r="HYC385" s="102"/>
      <c r="HYD385" s="102"/>
      <c r="HYE385" s="102"/>
      <c r="HYF385" s="102"/>
      <c r="HYG385" s="102"/>
      <c r="HYH385" s="102"/>
      <c r="HYI385" s="102"/>
      <c r="HYJ385" s="102"/>
      <c r="HYK385" s="102"/>
      <c r="HYL385" s="102"/>
      <c r="HYM385" s="102"/>
      <c r="HYN385" s="102"/>
      <c r="HYO385" s="102"/>
      <c r="HYP385" s="102"/>
      <c r="HYQ385" s="102"/>
      <c r="HYR385" s="102"/>
      <c r="HYS385" s="102"/>
      <c r="HYT385" s="102"/>
      <c r="HYU385" s="102"/>
      <c r="HYV385" s="102"/>
      <c r="HYW385" s="102"/>
      <c r="HYX385" s="102"/>
      <c r="HYY385" s="102"/>
      <c r="HYZ385" s="102"/>
      <c r="HZA385" s="102"/>
      <c r="HZB385" s="102"/>
      <c r="HZC385" s="102"/>
      <c r="HZD385" s="102"/>
      <c r="HZE385" s="102"/>
      <c r="HZF385" s="102"/>
      <c r="HZG385" s="102"/>
      <c r="HZH385" s="102"/>
      <c r="HZI385" s="102"/>
      <c r="HZJ385" s="102"/>
      <c r="HZK385" s="102"/>
      <c r="HZL385" s="102"/>
      <c r="HZM385" s="102"/>
      <c r="HZN385" s="102"/>
      <c r="HZO385" s="102"/>
      <c r="HZP385" s="102"/>
      <c r="HZQ385" s="102"/>
      <c r="HZR385" s="102"/>
      <c r="HZS385" s="102"/>
      <c r="HZT385" s="102"/>
      <c r="HZU385" s="102"/>
      <c r="HZV385" s="102"/>
      <c r="HZW385" s="102"/>
      <c r="HZX385" s="102"/>
      <c r="HZY385" s="102"/>
      <c r="HZZ385" s="102"/>
      <c r="IAA385" s="102"/>
      <c r="IAB385" s="102"/>
      <c r="IAC385" s="102"/>
      <c r="IAD385" s="102"/>
      <c r="IAE385" s="102"/>
      <c r="IAF385" s="102"/>
      <c r="IAG385" s="102"/>
      <c r="IAH385" s="102"/>
      <c r="IAI385" s="102"/>
      <c r="IAJ385" s="102"/>
      <c r="IAK385" s="102"/>
      <c r="IAL385" s="102"/>
      <c r="IAM385" s="102"/>
      <c r="IAN385" s="102"/>
      <c r="IAO385" s="102"/>
      <c r="IAP385" s="102"/>
      <c r="IAQ385" s="102"/>
      <c r="IAR385" s="102"/>
      <c r="IAS385" s="102"/>
      <c r="IAT385" s="102"/>
      <c r="IAU385" s="102"/>
      <c r="IAV385" s="102"/>
      <c r="IAW385" s="102"/>
      <c r="IAX385" s="102"/>
      <c r="IAY385" s="102"/>
      <c r="IAZ385" s="102"/>
      <c r="IBA385" s="102"/>
      <c r="IBB385" s="102"/>
      <c r="IBC385" s="102"/>
      <c r="IBD385" s="102"/>
      <c r="IBE385" s="102"/>
      <c r="IBF385" s="102"/>
      <c r="IBG385" s="102"/>
      <c r="IBH385" s="102"/>
      <c r="IBI385" s="102"/>
      <c r="IBJ385" s="102"/>
      <c r="IBK385" s="102"/>
      <c r="IBL385" s="102"/>
      <c r="IBM385" s="102"/>
      <c r="IBN385" s="102"/>
      <c r="IBO385" s="102"/>
      <c r="IBP385" s="102"/>
      <c r="IBQ385" s="102"/>
      <c r="IBR385" s="102"/>
      <c r="IBS385" s="102"/>
      <c r="IBT385" s="102"/>
      <c r="IBU385" s="102"/>
      <c r="IBV385" s="102"/>
      <c r="IBW385" s="102"/>
      <c r="IBX385" s="102"/>
      <c r="IBY385" s="102"/>
      <c r="IBZ385" s="102"/>
      <c r="ICA385" s="102"/>
      <c r="ICB385" s="102"/>
      <c r="ICC385" s="102"/>
      <c r="ICD385" s="102"/>
      <c r="ICE385" s="102"/>
      <c r="ICF385" s="102"/>
      <c r="ICG385" s="102"/>
      <c r="ICH385" s="102"/>
      <c r="ICI385" s="102"/>
      <c r="ICJ385" s="102"/>
      <c r="ICK385" s="102"/>
      <c r="ICL385" s="102"/>
      <c r="ICM385" s="102"/>
      <c r="ICN385" s="102"/>
      <c r="ICO385" s="102"/>
      <c r="ICP385" s="102"/>
      <c r="ICQ385" s="102"/>
      <c r="ICR385" s="102"/>
      <c r="ICS385" s="102"/>
      <c r="ICT385" s="102"/>
      <c r="ICU385" s="102"/>
      <c r="ICV385" s="102"/>
      <c r="ICW385" s="102"/>
      <c r="ICX385" s="102"/>
      <c r="ICY385" s="102"/>
      <c r="ICZ385" s="102"/>
      <c r="IDA385" s="102"/>
      <c r="IDB385" s="102"/>
      <c r="IDC385" s="102"/>
      <c r="IDD385" s="102"/>
      <c r="IDE385" s="102"/>
      <c r="IDF385" s="102"/>
      <c r="IDG385" s="102"/>
      <c r="IDH385" s="102"/>
      <c r="IDI385" s="102"/>
      <c r="IDJ385" s="102"/>
      <c r="IDK385" s="102"/>
      <c r="IDL385" s="102"/>
      <c r="IDM385" s="102"/>
      <c r="IDN385" s="102"/>
      <c r="IDO385" s="102"/>
      <c r="IDP385" s="102"/>
      <c r="IDQ385" s="102"/>
      <c r="IDR385" s="102"/>
      <c r="IDS385" s="102"/>
      <c r="IDT385" s="102"/>
      <c r="IDU385" s="102"/>
      <c r="IDV385" s="102"/>
      <c r="IDW385" s="102"/>
      <c r="IDX385" s="102"/>
      <c r="IDY385" s="102"/>
      <c r="IDZ385" s="102"/>
      <c r="IEA385" s="102"/>
      <c r="IEB385" s="102"/>
      <c r="IEC385" s="102"/>
      <c r="IED385" s="102"/>
      <c r="IEE385" s="102"/>
      <c r="IEF385" s="102"/>
      <c r="IEG385" s="102"/>
      <c r="IEH385" s="102"/>
      <c r="IEI385" s="102"/>
      <c r="IEJ385" s="102"/>
      <c r="IEK385" s="102"/>
      <c r="IEL385" s="102"/>
      <c r="IEM385" s="102"/>
      <c r="IEN385" s="102"/>
      <c r="IEO385" s="102"/>
      <c r="IEP385" s="102"/>
      <c r="IEQ385" s="102"/>
      <c r="IER385" s="102"/>
      <c r="IES385" s="102"/>
      <c r="IET385" s="102"/>
      <c r="IEU385" s="102"/>
      <c r="IEV385" s="102"/>
      <c r="IEW385" s="102"/>
      <c r="IEX385" s="102"/>
      <c r="IEY385" s="102"/>
      <c r="IEZ385" s="102"/>
      <c r="IFA385" s="102"/>
      <c r="IFB385" s="102"/>
      <c r="IFC385" s="102"/>
      <c r="IFD385" s="102"/>
      <c r="IFE385" s="102"/>
      <c r="IFF385" s="102"/>
      <c r="IFG385" s="102"/>
      <c r="IFH385" s="102"/>
      <c r="IFI385" s="102"/>
      <c r="IFJ385" s="102"/>
      <c r="IFK385" s="102"/>
      <c r="IFL385" s="102"/>
      <c r="IFM385" s="102"/>
      <c r="IFN385" s="102"/>
      <c r="IFO385" s="102"/>
      <c r="IFP385" s="102"/>
      <c r="IFQ385" s="102"/>
      <c r="IFR385" s="102"/>
      <c r="IFS385" s="102"/>
      <c r="IFT385" s="102"/>
      <c r="IFU385" s="102"/>
      <c r="IFV385" s="102"/>
      <c r="IFW385" s="102"/>
      <c r="IFX385" s="102"/>
      <c r="IFY385" s="102"/>
      <c r="IFZ385" s="102"/>
      <c r="IGA385" s="102"/>
      <c r="IGB385" s="102"/>
      <c r="IGC385" s="102"/>
      <c r="IGD385" s="102"/>
      <c r="IGE385" s="102"/>
      <c r="IGF385" s="102"/>
      <c r="IGG385" s="102"/>
      <c r="IGH385" s="102"/>
      <c r="IGI385" s="102"/>
      <c r="IGJ385" s="102"/>
      <c r="IGK385" s="102"/>
      <c r="IGL385" s="102"/>
      <c r="IGM385" s="102"/>
      <c r="IGN385" s="102"/>
      <c r="IGO385" s="102"/>
      <c r="IGP385" s="102"/>
      <c r="IGQ385" s="102"/>
      <c r="IGR385" s="102"/>
      <c r="IGS385" s="102"/>
      <c r="IGT385" s="102"/>
      <c r="IGU385" s="102"/>
      <c r="IGV385" s="102"/>
      <c r="IGW385" s="102"/>
      <c r="IGX385" s="102"/>
      <c r="IGY385" s="102"/>
      <c r="IGZ385" s="102"/>
      <c r="IHA385" s="102"/>
      <c r="IHB385" s="102"/>
      <c r="IHC385" s="102"/>
      <c r="IHD385" s="102"/>
      <c r="IHE385" s="102"/>
      <c r="IHF385" s="102"/>
      <c r="IHG385" s="102"/>
      <c r="IHH385" s="102"/>
      <c r="IHI385" s="102"/>
      <c r="IHJ385" s="102"/>
      <c r="IHK385" s="102"/>
      <c r="IHL385" s="102"/>
      <c r="IHM385" s="102"/>
      <c r="IHN385" s="102"/>
      <c r="IHO385" s="102"/>
      <c r="IHP385" s="102"/>
      <c r="IHQ385" s="102"/>
      <c r="IHR385" s="102"/>
      <c r="IHS385" s="102"/>
      <c r="IHT385" s="102"/>
      <c r="IHU385" s="102"/>
      <c r="IHV385" s="102"/>
      <c r="IHW385" s="102"/>
      <c r="IHX385" s="102"/>
      <c r="IHY385" s="102"/>
      <c r="IHZ385" s="102"/>
      <c r="IIA385" s="102"/>
      <c r="IIB385" s="102"/>
      <c r="IIC385" s="102"/>
      <c r="IID385" s="102"/>
      <c r="IIE385" s="102"/>
      <c r="IIF385" s="102"/>
      <c r="IIG385" s="102"/>
      <c r="IIH385" s="102"/>
      <c r="III385" s="102"/>
      <c r="IIJ385" s="102"/>
      <c r="IIK385" s="102"/>
      <c r="IIL385" s="102"/>
      <c r="IIM385" s="102"/>
      <c r="IIN385" s="102"/>
      <c r="IIO385" s="102"/>
      <c r="IIP385" s="102"/>
      <c r="IIQ385" s="102"/>
      <c r="IIR385" s="102"/>
      <c r="IIS385" s="102"/>
      <c r="IIT385" s="102"/>
      <c r="IIU385" s="102"/>
      <c r="IIV385" s="102"/>
      <c r="IIW385" s="102"/>
      <c r="IIX385" s="102"/>
      <c r="IIY385" s="102"/>
      <c r="IIZ385" s="102"/>
      <c r="IJA385" s="102"/>
      <c r="IJB385" s="102"/>
      <c r="IJC385" s="102"/>
      <c r="IJD385" s="102"/>
      <c r="IJE385" s="102"/>
      <c r="IJF385" s="102"/>
      <c r="IJG385" s="102"/>
      <c r="IJH385" s="102"/>
      <c r="IJI385" s="102"/>
      <c r="IJJ385" s="102"/>
      <c r="IJK385" s="102"/>
      <c r="IJL385" s="102"/>
      <c r="IJM385" s="102"/>
      <c r="IJN385" s="102"/>
      <c r="IJO385" s="102"/>
      <c r="IJP385" s="102"/>
      <c r="IJQ385" s="102"/>
      <c r="IJR385" s="102"/>
      <c r="IJS385" s="102"/>
      <c r="IJT385" s="102"/>
      <c r="IJU385" s="102"/>
      <c r="IJV385" s="102"/>
      <c r="IJW385" s="102"/>
      <c r="IJX385" s="102"/>
      <c r="IJY385" s="102"/>
      <c r="IJZ385" s="102"/>
      <c r="IKA385" s="102"/>
      <c r="IKB385" s="102"/>
      <c r="IKC385" s="102"/>
      <c r="IKD385" s="102"/>
      <c r="IKE385" s="102"/>
      <c r="IKF385" s="102"/>
      <c r="IKG385" s="102"/>
      <c r="IKH385" s="102"/>
      <c r="IKI385" s="102"/>
      <c r="IKJ385" s="102"/>
      <c r="IKK385" s="102"/>
      <c r="IKL385" s="102"/>
      <c r="IKM385" s="102"/>
      <c r="IKN385" s="102"/>
      <c r="IKO385" s="102"/>
      <c r="IKP385" s="102"/>
      <c r="IKQ385" s="102"/>
      <c r="IKR385" s="102"/>
      <c r="IKS385" s="102"/>
      <c r="IKT385" s="102"/>
      <c r="IKU385" s="102"/>
      <c r="IKV385" s="102"/>
      <c r="IKW385" s="102"/>
      <c r="IKX385" s="102"/>
      <c r="IKY385" s="102"/>
      <c r="IKZ385" s="102"/>
      <c r="ILA385" s="102"/>
      <c r="ILB385" s="102"/>
      <c r="ILC385" s="102"/>
      <c r="ILD385" s="102"/>
      <c r="ILE385" s="102"/>
      <c r="ILF385" s="102"/>
      <c r="ILG385" s="102"/>
      <c r="ILH385" s="102"/>
      <c r="ILI385" s="102"/>
      <c r="ILJ385" s="102"/>
      <c r="ILK385" s="102"/>
      <c r="ILL385" s="102"/>
      <c r="ILM385" s="102"/>
      <c r="ILN385" s="102"/>
      <c r="ILO385" s="102"/>
      <c r="ILP385" s="102"/>
      <c r="ILQ385" s="102"/>
      <c r="ILR385" s="102"/>
      <c r="ILS385" s="102"/>
      <c r="ILT385" s="102"/>
      <c r="ILU385" s="102"/>
      <c r="ILV385" s="102"/>
      <c r="ILW385" s="102"/>
      <c r="ILX385" s="102"/>
      <c r="ILY385" s="102"/>
      <c r="ILZ385" s="102"/>
      <c r="IMA385" s="102"/>
      <c r="IMB385" s="102"/>
      <c r="IMC385" s="102"/>
      <c r="IMD385" s="102"/>
      <c r="IME385" s="102"/>
      <c r="IMF385" s="102"/>
      <c r="IMG385" s="102"/>
      <c r="IMH385" s="102"/>
      <c r="IMI385" s="102"/>
      <c r="IMJ385" s="102"/>
      <c r="IMK385" s="102"/>
      <c r="IML385" s="102"/>
      <c r="IMM385" s="102"/>
      <c r="IMN385" s="102"/>
      <c r="IMO385" s="102"/>
      <c r="IMP385" s="102"/>
      <c r="IMQ385" s="102"/>
      <c r="IMR385" s="102"/>
      <c r="IMS385" s="102"/>
      <c r="IMT385" s="102"/>
      <c r="IMU385" s="102"/>
      <c r="IMV385" s="102"/>
      <c r="IMW385" s="102"/>
      <c r="IMX385" s="102"/>
      <c r="IMY385" s="102"/>
      <c r="IMZ385" s="102"/>
      <c r="INA385" s="102"/>
      <c r="INB385" s="102"/>
      <c r="INC385" s="102"/>
      <c r="IND385" s="102"/>
      <c r="INE385" s="102"/>
      <c r="INF385" s="102"/>
      <c r="ING385" s="102"/>
      <c r="INH385" s="102"/>
      <c r="INI385" s="102"/>
      <c r="INJ385" s="102"/>
      <c r="INK385" s="102"/>
      <c r="INL385" s="102"/>
      <c r="INM385" s="102"/>
      <c r="INN385" s="102"/>
      <c r="INO385" s="102"/>
      <c r="INP385" s="102"/>
      <c r="INQ385" s="102"/>
      <c r="INR385" s="102"/>
      <c r="INS385" s="102"/>
      <c r="INT385" s="102"/>
      <c r="INU385" s="102"/>
      <c r="INV385" s="102"/>
      <c r="INW385" s="102"/>
      <c r="INX385" s="102"/>
      <c r="INY385" s="102"/>
      <c r="INZ385" s="102"/>
      <c r="IOA385" s="102"/>
      <c r="IOB385" s="102"/>
      <c r="IOC385" s="102"/>
      <c r="IOD385" s="102"/>
      <c r="IOE385" s="102"/>
      <c r="IOF385" s="102"/>
      <c r="IOG385" s="102"/>
      <c r="IOH385" s="102"/>
      <c r="IOI385" s="102"/>
      <c r="IOJ385" s="102"/>
      <c r="IOK385" s="102"/>
      <c r="IOL385" s="102"/>
      <c r="IOM385" s="102"/>
      <c r="ION385" s="102"/>
      <c r="IOO385" s="102"/>
      <c r="IOP385" s="102"/>
      <c r="IOQ385" s="102"/>
      <c r="IOR385" s="102"/>
      <c r="IOS385" s="102"/>
      <c r="IOT385" s="102"/>
      <c r="IOU385" s="102"/>
      <c r="IOV385" s="102"/>
      <c r="IOW385" s="102"/>
      <c r="IOX385" s="102"/>
      <c r="IOY385" s="102"/>
      <c r="IOZ385" s="102"/>
      <c r="IPA385" s="102"/>
      <c r="IPB385" s="102"/>
      <c r="IPC385" s="102"/>
      <c r="IPD385" s="102"/>
      <c r="IPE385" s="102"/>
      <c r="IPF385" s="102"/>
      <c r="IPG385" s="102"/>
      <c r="IPH385" s="102"/>
      <c r="IPI385" s="102"/>
      <c r="IPJ385" s="102"/>
      <c r="IPK385" s="102"/>
      <c r="IPL385" s="102"/>
      <c r="IPM385" s="102"/>
      <c r="IPN385" s="102"/>
      <c r="IPO385" s="102"/>
      <c r="IPP385" s="102"/>
      <c r="IPQ385" s="102"/>
      <c r="IPR385" s="102"/>
      <c r="IPS385" s="102"/>
      <c r="IPT385" s="102"/>
      <c r="IPU385" s="102"/>
      <c r="IPV385" s="102"/>
      <c r="IPW385" s="102"/>
      <c r="IPX385" s="102"/>
      <c r="IPY385" s="102"/>
      <c r="IPZ385" s="102"/>
      <c r="IQA385" s="102"/>
      <c r="IQB385" s="102"/>
      <c r="IQC385" s="102"/>
      <c r="IQD385" s="102"/>
      <c r="IQE385" s="102"/>
      <c r="IQF385" s="102"/>
      <c r="IQG385" s="102"/>
      <c r="IQH385" s="102"/>
      <c r="IQI385" s="102"/>
      <c r="IQJ385" s="102"/>
      <c r="IQK385" s="102"/>
      <c r="IQL385" s="102"/>
      <c r="IQM385" s="102"/>
      <c r="IQN385" s="102"/>
      <c r="IQO385" s="102"/>
      <c r="IQP385" s="102"/>
      <c r="IQQ385" s="102"/>
      <c r="IQR385" s="102"/>
      <c r="IQS385" s="102"/>
      <c r="IQT385" s="102"/>
      <c r="IQU385" s="102"/>
      <c r="IQV385" s="102"/>
      <c r="IQW385" s="102"/>
      <c r="IQX385" s="102"/>
      <c r="IQY385" s="102"/>
      <c r="IQZ385" s="102"/>
      <c r="IRA385" s="102"/>
      <c r="IRB385" s="102"/>
      <c r="IRC385" s="102"/>
      <c r="IRD385" s="102"/>
      <c r="IRE385" s="102"/>
      <c r="IRF385" s="102"/>
      <c r="IRG385" s="102"/>
      <c r="IRH385" s="102"/>
      <c r="IRI385" s="102"/>
      <c r="IRJ385" s="102"/>
      <c r="IRK385" s="102"/>
      <c r="IRL385" s="102"/>
      <c r="IRM385" s="102"/>
      <c r="IRN385" s="102"/>
      <c r="IRO385" s="102"/>
      <c r="IRP385" s="102"/>
      <c r="IRQ385" s="102"/>
      <c r="IRR385" s="102"/>
      <c r="IRS385" s="102"/>
      <c r="IRT385" s="102"/>
      <c r="IRU385" s="102"/>
      <c r="IRV385" s="102"/>
      <c r="IRW385" s="102"/>
      <c r="IRX385" s="102"/>
      <c r="IRY385" s="102"/>
      <c r="IRZ385" s="102"/>
      <c r="ISA385" s="102"/>
      <c r="ISB385" s="102"/>
      <c r="ISC385" s="102"/>
      <c r="ISD385" s="102"/>
      <c r="ISE385" s="102"/>
      <c r="ISF385" s="102"/>
      <c r="ISG385" s="102"/>
      <c r="ISH385" s="102"/>
      <c r="ISI385" s="102"/>
      <c r="ISJ385" s="102"/>
      <c r="ISK385" s="102"/>
      <c r="ISL385" s="102"/>
      <c r="ISM385" s="102"/>
      <c r="ISN385" s="102"/>
      <c r="ISO385" s="102"/>
      <c r="ISP385" s="102"/>
      <c r="ISQ385" s="102"/>
      <c r="ISR385" s="102"/>
      <c r="ISS385" s="102"/>
      <c r="IST385" s="102"/>
      <c r="ISU385" s="102"/>
      <c r="ISV385" s="102"/>
      <c r="ISW385" s="102"/>
      <c r="ISX385" s="102"/>
      <c r="ISY385" s="102"/>
      <c r="ISZ385" s="102"/>
      <c r="ITA385" s="102"/>
      <c r="ITB385" s="102"/>
      <c r="ITC385" s="102"/>
      <c r="ITD385" s="102"/>
      <c r="ITE385" s="102"/>
      <c r="ITF385" s="102"/>
      <c r="ITG385" s="102"/>
      <c r="ITH385" s="102"/>
      <c r="ITI385" s="102"/>
      <c r="ITJ385" s="102"/>
      <c r="ITK385" s="102"/>
      <c r="ITL385" s="102"/>
      <c r="ITM385" s="102"/>
      <c r="ITN385" s="102"/>
      <c r="ITO385" s="102"/>
      <c r="ITP385" s="102"/>
      <c r="ITQ385" s="102"/>
      <c r="ITR385" s="102"/>
      <c r="ITS385" s="102"/>
      <c r="ITT385" s="102"/>
      <c r="ITU385" s="102"/>
      <c r="ITV385" s="102"/>
      <c r="ITW385" s="102"/>
      <c r="ITX385" s="102"/>
      <c r="ITY385" s="102"/>
      <c r="ITZ385" s="102"/>
      <c r="IUA385" s="102"/>
      <c r="IUB385" s="102"/>
      <c r="IUC385" s="102"/>
      <c r="IUD385" s="102"/>
      <c r="IUE385" s="102"/>
      <c r="IUF385" s="102"/>
      <c r="IUG385" s="102"/>
      <c r="IUH385" s="102"/>
      <c r="IUI385" s="102"/>
      <c r="IUJ385" s="102"/>
      <c r="IUK385" s="102"/>
      <c r="IUL385" s="102"/>
      <c r="IUM385" s="102"/>
      <c r="IUN385" s="102"/>
      <c r="IUO385" s="102"/>
      <c r="IUP385" s="102"/>
      <c r="IUQ385" s="102"/>
      <c r="IUR385" s="102"/>
      <c r="IUS385" s="102"/>
      <c r="IUT385" s="102"/>
      <c r="IUU385" s="102"/>
      <c r="IUV385" s="102"/>
      <c r="IUW385" s="102"/>
      <c r="IUX385" s="102"/>
      <c r="IUY385" s="102"/>
      <c r="IUZ385" s="102"/>
      <c r="IVA385" s="102"/>
      <c r="IVB385" s="102"/>
      <c r="IVC385" s="102"/>
      <c r="IVD385" s="102"/>
      <c r="IVE385" s="102"/>
      <c r="IVF385" s="102"/>
      <c r="IVG385" s="102"/>
      <c r="IVH385" s="102"/>
      <c r="IVI385" s="102"/>
      <c r="IVJ385" s="102"/>
      <c r="IVK385" s="102"/>
      <c r="IVL385" s="102"/>
      <c r="IVM385" s="102"/>
      <c r="IVN385" s="102"/>
      <c r="IVO385" s="102"/>
      <c r="IVP385" s="102"/>
      <c r="IVQ385" s="102"/>
      <c r="IVR385" s="102"/>
      <c r="IVS385" s="102"/>
      <c r="IVT385" s="102"/>
      <c r="IVU385" s="102"/>
      <c r="IVV385" s="102"/>
      <c r="IVW385" s="102"/>
      <c r="IVX385" s="102"/>
      <c r="IVY385" s="102"/>
      <c r="IVZ385" s="102"/>
      <c r="IWA385" s="102"/>
      <c r="IWB385" s="102"/>
      <c r="IWC385" s="102"/>
      <c r="IWD385" s="102"/>
      <c r="IWE385" s="102"/>
      <c r="IWF385" s="102"/>
      <c r="IWG385" s="102"/>
      <c r="IWH385" s="102"/>
      <c r="IWI385" s="102"/>
      <c r="IWJ385" s="102"/>
      <c r="IWK385" s="102"/>
      <c r="IWL385" s="102"/>
      <c r="IWM385" s="102"/>
      <c r="IWN385" s="102"/>
      <c r="IWO385" s="102"/>
      <c r="IWP385" s="102"/>
      <c r="IWQ385" s="102"/>
      <c r="IWR385" s="102"/>
      <c r="IWS385" s="102"/>
      <c r="IWT385" s="102"/>
      <c r="IWU385" s="102"/>
      <c r="IWV385" s="102"/>
      <c r="IWW385" s="102"/>
      <c r="IWX385" s="102"/>
      <c r="IWY385" s="102"/>
      <c r="IWZ385" s="102"/>
      <c r="IXA385" s="102"/>
      <c r="IXB385" s="102"/>
      <c r="IXC385" s="102"/>
      <c r="IXD385" s="102"/>
      <c r="IXE385" s="102"/>
      <c r="IXF385" s="102"/>
      <c r="IXG385" s="102"/>
      <c r="IXH385" s="102"/>
      <c r="IXI385" s="102"/>
      <c r="IXJ385" s="102"/>
      <c r="IXK385" s="102"/>
      <c r="IXL385" s="102"/>
      <c r="IXM385" s="102"/>
      <c r="IXN385" s="102"/>
      <c r="IXO385" s="102"/>
      <c r="IXP385" s="102"/>
      <c r="IXQ385" s="102"/>
      <c r="IXR385" s="102"/>
      <c r="IXS385" s="102"/>
      <c r="IXT385" s="102"/>
      <c r="IXU385" s="102"/>
      <c r="IXV385" s="102"/>
      <c r="IXW385" s="102"/>
      <c r="IXX385" s="102"/>
      <c r="IXY385" s="102"/>
      <c r="IXZ385" s="102"/>
      <c r="IYA385" s="102"/>
      <c r="IYB385" s="102"/>
      <c r="IYC385" s="102"/>
      <c r="IYD385" s="102"/>
      <c r="IYE385" s="102"/>
      <c r="IYF385" s="102"/>
      <c r="IYG385" s="102"/>
      <c r="IYH385" s="102"/>
      <c r="IYI385" s="102"/>
      <c r="IYJ385" s="102"/>
      <c r="IYK385" s="102"/>
      <c r="IYL385" s="102"/>
      <c r="IYM385" s="102"/>
      <c r="IYN385" s="102"/>
      <c r="IYO385" s="102"/>
      <c r="IYP385" s="102"/>
      <c r="IYQ385" s="102"/>
      <c r="IYR385" s="102"/>
      <c r="IYS385" s="102"/>
      <c r="IYT385" s="102"/>
      <c r="IYU385" s="102"/>
      <c r="IYV385" s="102"/>
      <c r="IYW385" s="102"/>
      <c r="IYX385" s="102"/>
      <c r="IYY385" s="102"/>
      <c r="IYZ385" s="102"/>
      <c r="IZA385" s="102"/>
      <c r="IZB385" s="102"/>
      <c r="IZC385" s="102"/>
      <c r="IZD385" s="102"/>
      <c r="IZE385" s="102"/>
      <c r="IZF385" s="102"/>
      <c r="IZG385" s="102"/>
      <c r="IZH385" s="102"/>
      <c r="IZI385" s="102"/>
      <c r="IZJ385" s="102"/>
      <c r="IZK385" s="102"/>
      <c r="IZL385" s="102"/>
      <c r="IZM385" s="102"/>
      <c r="IZN385" s="102"/>
      <c r="IZO385" s="102"/>
      <c r="IZP385" s="102"/>
      <c r="IZQ385" s="102"/>
      <c r="IZR385" s="102"/>
      <c r="IZS385" s="102"/>
      <c r="IZT385" s="102"/>
      <c r="IZU385" s="102"/>
      <c r="IZV385" s="102"/>
      <c r="IZW385" s="102"/>
      <c r="IZX385" s="102"/>
      <c r="IZY385" s="102"/>
      <c r="IZZ385" s="102"/>
      <c r="JAA385" s="102"/>
      <c r="JAB385" s="102"/>
      <c r="JAC385" s="102"/>
      <c r="JAD385" s="102"/>
      <c r="JAE385" s="102"/>
      <c r="JAF385" s="102"/>
      <c r="JAG385" s="102"/>
      <c r="JAH385" s="102"/>
      <c r="JAI385" s="102"/>
      <c r="JAJ385" s="102"/>
      <c r="JAK385" s="102"/>
      <c r="JAL385" s="102"/>
      <c r="JAM385" s="102"/>
      <c r="JAN385" s="102"/>
      <c r="JAO385" s="102"/>
      <c r="JAP385" s="102"/>
      <c r="JAQ385" s="102"/>
      <c r="JAR385" s="102"/>
      <c r="JAS385" s="102"/>
      <c r="JAT385" s="102"/>
      <c r="JAU385" s="102"/>
      <c r="JAV385" s="102"/>
      <c r="JAW385" s="102"/>
      <c r="JAX385" s="102"/>
      <c r="JAY385" s="102"/>
      <c r="JAZ385" s="102"/>
      <c r="JBA385" s="102"/>
      <c r="JBB385" s="102"/>
      <c r="JBC385" s="102"/>
      <c r="JBD385" s="102"/>
      <c r="JBE385" s="102"/>
      <c r="JBF385" s="102"/>
      <c r="JBG385" s="102"/>
      <c r="JBH385" s="102"/>
      <c r="JBI385" s="102"/>
      <c r="JBJ385" s="102"/>
      <c r="JBK385" s="102"/>
      <c r="JBL385" s="102"/>
      <c r="JBM385" s="102"/>
      <c r="JBN385" s="102"/>
      <c r="JBO385" s="102"/>
      <c r="JBP385" s="102"/>
      <c r="JBQ385" s="102"/>
      <c r="JBR385" s="102"/>
      <c r="JBS385" s="102"/>
      <c r="JBT385" s="102"/>
      <c r="JBU385" s="102"/>
      <c r="JBV385" s="102"/>
      <c r="JBW385" s="102"/>
      <c r="JBX385" s="102"/>
      <c r="JBY385" s="102"/>
      <c r="JBZ385" s="102"/>
      <c r="JCA385" s="102"/>
      <c r="JCB385" s="102"/>
      <c r="JCC385" s="102"/>
      <c r="JCD385" s="102"/>
      <c r="JCE385" s="102"/>
      <c r="JCF385" s="102"/>
      <c r="JCG385" s="102"/>
      <c r="JCH385" s="102"/>
      <c r="JCI385" s="102"/>
      <c r="JCJ385" s="102"/>
      <c r="JCK385" s="102"/>
      <c r="JCL385" s="102"/>
      <c r="JCM385" s="102"/>
      <c r="JCN385" s="102"/>
      <c r="JCO385" s="102"/>
      <c r="JCP385" s="102"/>
      <c r="JCQ385" s="102"/>
      <c r="JCR385" s="102"/>
      <c r="JCS385" s="102"/>
      <c r="JCT385" s="102"/>
      <c r="JCU385" s="102"/>
      <c r="JCV385" s="102"/>
      <c r="JCW385" s="102"/>
      <c r="JCX385" s="102"/>
      <c r="JCY385" s="102"/>
      <c r="JCZ385" s="102"/>
      <c r="JDA385" s="102"/>
      <c r="JDB385" s="102"/>
      <c r="JDC385" s="102"/>
      <c r="JDD385" s="102"/>
      <c r="JDE385" s="102"/>
      <c r="JDF385" s="102"/>
      <c r="JDG385" s="102"/>
      <c r="JDH385" s="102"/>
      <c r="JDI385" s="102"/>
      <c r="JDJ385" s="102"/>
      <c r="JDK385" s="102"/>
      <c r="JDL385" s="102"/>
      <c r="JDM385" s="102"/>
      <c r="JDN385" s="102"/>
      <c r="JDO385" s="102"/>
      <c r="JDP385" s="102"/>
      <c r="JDQ385" s="102"/>
      <c r="JDR385" s="102"/>
      <c r="JDS385" s="102"/>
      <c r="JDT385" s="102"/>
      <c r="JDU385" s="102"/>
      <c r="JDV385" s="102"/>
      <c r="JDW385" s="102"/>
      <c r="JDX385" s="102"/>
      <c r="JDY385" s="102"/>
      <c r="JDZ385" s="102"/>
      <c r="JEA385" s="102"/>
      <c r="JEB385" s="102"/>
      <c r="JEC385" s="102"/>
      <c r="JED385" s="102"/>
      <c r="JEE385" s="102"/>
      <c r="JEF385" s="102"/>
      <c r="JEG385" s="102"/>
      <c r="JEH385" s="102"/>
      <c r="JEI385" s="102"/>
      <c r="JEJ385" s="102"/>
      <c r="JEK385" s="102"/>
      <c r="JEL385" s="102"/>
      <c r="JEM385" s="102"/>
      <c r="JEN385" s="102"/>
      <c r="JEO385" s="102"/>
      <c r="JEP385" s="102"/>
      <c r="JEQ385" s="102"/>
      <c r="JER385" s="102"/>
      <c r="JES385" s="102"/>
      <c r="JET385" s="102"/>
      <c r="JEU385" s="102"/>
      <c r="JEV385" s="102"/>
      <c r="JEW385" s="102"/>
      <c r="JEX385" s="102"/>
      <c r="JEY385" s="102"/>
      <c r="JEZ385" s="102"/>
      <c r="JFA385" s="102"/>
      <c r="JFB385" s="102"/>
      <c r="JFC385" s="102"/>
      <c r="JFD385" s="102"/>
      <c r="JFE385" s="102"/>
      <c r="JFF385" s="102"/>
      <c r="JFG385" s="102"/>
      <c r="JFH385" s="102"/>
      <c r="JFI385" s="102"/>
      <c r="JFJ385" s="102"/>
      <c r="JFK385" s="102"/>
      <c r="JFL385" s="102"/>
      <c r="JFM385" s="102"/>
      <c r="JFN385" s="102"/>
      <c r="JFO385" s="102"/>
      <c r="JFP385" s="102"/>
      <c r="JFQ385" s="102"/>
      <c r="JFR385" s="102"/>
      <c r="JFS385" s="102"/>
      <c r="JFT385" s="102"/>
      <c r="JFU385" s="102"/>
      <c r="JFV385" s="102"/>
      <c r="JFW385" s="102"/>
      <c r="JFX385" s="102"/>
      <c r="JFY385" s="102"/>
      <c r="JFZ385" s="102"/>
      <c r="JGA385" s="102"/>
      <c r="JGB385" s="102"/>
      <c r="JGC385" s="102"/>
      <c r="JGD385" s="102"/>
      <c r="JGE385" s="102"/>
      <c r="JGF385" s="102"/>
      <c r="JGG385" s="102"/>
      <c r="JGH385" s="102"/>
      <c r="JGI385" s="102"/>
      <c r="JGJ385" s="102"/>
      <c r="JGK385" s="102"/>
      <c r="JGL385" s="102"/>
      <c r="JGM385" s="102"/>
      <c r="JGN385" s="102"/>
      <c r="JGO385" s="102"/>
      <c r="JGP385" s="102"/>
      <c r="JGQ385" s="102"/>
      <c r="JGR385" s="102"/>
      <c r="JGS385" s="102"/>
      <c r="JGT385" s="102"/>
      <c r="JGU385" s="102"/>
      <c r="JGV385" s="102"/>
      <c r="JGW385" s="102"/>
      <c r="JGX385" s="102"/>
      <c r="JGY385" s="102"/>
      <c r="JGZ385" s="102"/>
      <c r="JHA385" s="102"/>
      <c r="JHB385" s="102"/>
      <c r="JHC385" s="102"/>
      <c r="JHD385" s="102"/>
      <c r="JHE385" s="102"/>
      <c r="JHF385" s="102"/>
      <c r="JHG385" s="102"/>
      <c r="JHH385" s="102"/>
      <c r="JHI385" s="102"/>
      <c r="JHJ385" s="102"/>
      <c r="JHK385" s="102"/>
      <c r="JHL385" s="102"/>
      <c r="JHM385" s="102"/>
      <c r="JHN385" s="102"/>
      <c r="JHO385" s="102"/>
      <c r="JHP385" s="102"/>
      <c r="JHQ385" s="102"/>
      <c r="JHR385" s="102"/>
      <c r="JHS385" s="102"/>
      <c r="JHT385" s="102"/>
      <c r="JHU385" s="102"/>
      <c r="JHV385" s="102"/>
      <c r="JHW385" s="102"/>
      <c r="JHX385" s="102"/>
      <c r="JHY385" s="102"/>
      <c r="JHZ385" s="102"/>
      <c r="JIA385" s="102"/>
      <c r="JIB385" s="102"/>
      <c r="JIC385" s="102"/>
      <c r="JID385" s="102"/>
      <c r="JIE385" s="102"/>
      <c r="JIF385" s="102"/>
      <c r="JIG385" s="102"/>
      <c r="JIH385" s="102"/>
      <c r="JII385" s="102"/>
      <c r="JIJ385" s="102"/>
      <c r="JIK385" s="102"/>
      <c r="JIL385" s="102"/>
      <c r="JIM385" s="102"/>
      <c r="JIN385" s="102"/>
      <c r="JIO385" s="102"/>
      <c r="JIP385" s="102"/>
      <c r="JIQ385" s="102"/>
      <c r="JIR385" s="102"/>
      <c r="JIS385" s="102"/>
      <c r="JIT385" s="102"/>
      <c r="JIU385" s="102"/>
      <c r="JIV385" s="102"/>
      <c r="JIW385" s="102"/>
      <c r="JIX385" s="102"/>
      <c r="JIY385" s="102"/>
      <c r="JIZ385" s="102"/>
      <c r="JJA385" s="102"/>
      <c r="JJB385" s="102"/>
      <c r="JJC385" s="102"/>
      <c r="JJD385" s="102"/>
      <c r="JJE385" s="102"/>
      <c r="JJF385" s="102"/>
      <c r="JJG385" s="102"/>
      <c r="JJH385" s="102"/>
      <c r="JJI385" s="102"/>
      <c r="JJJ385" s="102"/>
      <c r="JJK385" s="102"/>
      <c r="JJL385" s="102"/>
      <c r="JJM385" s="102"/>
      <c r="JJN385" s="102"/>
      <c r="JJO385" s="102"/>
      <c r="JJP385" s="102"/>
      <c r="JJQ385" s="102"/>
      <c r="JJR385" s="102"/>
      <c r="JJS385" s="102"/>
      <c r="JJT385" s="102"/>
      <c r="JJU385" s="102"/>
      <c r="JJV385" s="102"/>
      <c r="JJW385" s="102"/>
      <c r="JJX385" s="102"/>
      <c r="JJY385" s="102"/>
      <c r="JJZ385" s="102"/>
      <c r="JKA385" s="102"/>
      <c r="JKB385" s="102"/>
      <c r="JKC385" s="102"/>
      <c r="JKD385" s="102"/>
      <c r="JKE385" s="102"/>
      <c r="JKF385" s="102"/>
      <c r="JKG385" s="102"/>
      <c r="JKH385" s="102"/>
      <c r="JKI385" s="102"/>
      <c r="JKJ385" s="102"/>
      <c r="JKK385" s="102"/>
      <c r="JKL385" s="102"/>
      <c r="JKM385" s="102"/>
      <c r="JKN385" s="102"/>
      <c r="JKO385" s="102"/>
      <c r="JKP385" s="102"/>
      <c r="JKQ385" s="102"/>
      <c r="JKR385" s="102"/>
      <c r="JKS385" s="102"/>
      <c r="JKT385" s="102"/>
      <c r="JKU385" s="102"/>
      <c r="JKV385" s="102"/>
      <c r="JKW385" s="102"/>
      <c r="JKX385" s="102"/>
      <c r="JKY385" s="102"/>
      <c r="JKZ385" s="102"/>
      <c r="JLA385" s="102"/>
      <c r="JLB385" s="102"/>
      <c r="JLC385" s="102"/>
      <c r="JLD385" s="102"/>
      <c r="JLE385" s="102"/>
      <c r="JLF385" s="102"/>
      <c r="JLG385" s="102"/>
      <c r="JLH385" s="102"/>
      <c r="JLI385" s="102"/>
      <c r="JLJ385" s="102"/>
      <c r="JLK385" s="102"/>
      <c r="JLL385" s="102"/>
      <c r="JLM385" s="102"/>
      <c r="JLN385" s="102"/>
      <c r="JLO385" s="102"/>
      <c r="JLP385" s="102"/>
      <c r="JLQ385" s="102"/>
      <c r="JLR385" s="102"/>
      <c r="JLS385" s="102"/>
      <c r="JLT385" s="102"/>
      <c r="JLU385" s="102"/>
      <c r="JLV385" s="102"/>
      <c r="JLW385" s="102"/>
      <c r="JLX385" s="102"/>
      <c r="JLY385" s="102"/>
      <c r="JLZ385" s="102"/>
      <c r="JMA385" s="102"/>
      <c r="JMB385" s="102"/>
      <c r="JMC385" s="102"/>
      <c r="JMD385" s="102"/>
      <c r="JME385" s="102"/>
      <c r="JMF385" s="102"/>
      <c r="JMG385" s="102"/>
      <c r="JMH385" s="102"/>
      <c r="JMI385" s="102"/>
      <c r="JMJ385" s="102"/>
      <c r="JMK385" s="102"/>
      <c r="JML385" s="102"/>
      <c r="JMM385" s="102"/>
      <c r="JMN385" s="102"/>
      <c r="JMO385" s="102"/>
      <c r="JMP385" s="102"/>
      <c r="JMQ385" s="102"/>
      <c r="JMR385" s="102"/>
      <c r="JMS385" s="102"/>
      <c r="JMT385" s="102"/>
      <c r="JMU385" s="102"/>
      <c r="JMV385" s="102"/>
      <c r="JMW385" s="102"/>
      <c r="JMX385" s="102"/>
      <c r="JMY385" s="102"/>
      <c r="JMZ385" s="102"/>
      <c r="JNA385" s="102"/>
      <c r="JNB385" s="102"/>
      <c r="JNC385" s="102"/>
      <c r="JND385" s="102"/>
      <c r="JNE385" s="102"/>
      <c r="JNF385" s="102"/>
      <c r="JNG385" s="102"/>
      <c r="JNH385" s="102"/>
      <c r="JNI385" s="102"/>
      <c r="JNJ385" s="102"/>
      <c r="JNK385" s="102"/>
      <c r="JNL385" s="102"/>
      <c r="JNM385" s="102"/>
      <c r="JNN385" s="102"/>
      <c r="JNO385" s="102"/>
      <c r="JNP385" s="102"/>
      <c r="JNQ385" s="102"/>
      <c r="JNR385" s="102"/>
      <c r="JNS385" s="102"/>
      <c r="JNT385" s="102"/>
      <c r="JNU385" s="102"/>
      <c r="JNV385" s="102"/>
      <c r="JNW385" s="102"/>
      <c r="JNX385" s="102"/>
      <c r="JNY385" s="102"/>
      <c r="JNZ385" s="102"/>
      <c r="JOA385" s="102"/>
      <c r="JOB385" s="102"/>
      <c r="JOC385" s="102"/>
      <c r="JOD385" s="102"/>
      <c r="JOE385" s="102"/>
      <c r="JOF385" s="102"/>
      <c r="JOG385" s="102"/>
      <c r="JOH385" s="102"/>
      <c r="JOI385" s="102"/>
      <c r="JOJ385" s="102"/>
      <c r="JOK385" s="102"/>
      <c r="JOL385" s="102"/>
      <c r="JOM385" s="102"/>
      <c r="JON385" s="102"/>
      <c r="JOO385" s="102"/>
      <c r="JOP385" s="102"/>
      <c r="JOQ385" s="102"/>
      <c r="JOR385" s="102"/>
      <c r="JOS385" s="102"/>
      <c r="JOT385" s="102"/>
      <c r="JOU385" s="102"/>
      <c r="JOV385" s="102"/>
      <c r="JOW385" s="102"/>
      <c r="JOX385" s="102"/>
      <c r="JOY385" s="102"/>
      <c r="JOZ385" s="102"/>
      <c r="JPA385" s="102"/>
      <c r="JPB385" s="102"/>
      <c r="JPC385" s="102"/>
      <c r="JPD385" s="102"/>
      <c r="JPE385" s="102"/>
      <c r="JPF385" s="102"/>
      <c r="JPG385" s="102"/>
      <c r="JPH385" s="102"/>
      <c r="JPI385" s="102"/>
      <c r="JPJ385" s="102"/>
      <c r="JPK385" s="102"/>
      <c r="JPL385" s="102"/>
      <c r="JPM385" s="102"/>
      <c r="JPN385" s="102"/>
      <c r="JPO385" s="102"/>
      <c r="JPP385" s="102"/>
      <c r="JPQ385" s="102"/>
      <c r="JPR385" s="102"/>
      <c r="JPS385" s="102"/>
      <c r="JPT385" s="102"/>
      <c r="JPU385" s="102"/>
      <c r="JPV385" s="102"/>
      <c r="JPW385" s="102"/>
      <c r="JPX385" s="102"/>
      <c r="JPY385" s="102"/>
      <c r="JPZ385" s="102"/>
      <c r="JQA385" s="102"/>
      <c r="JQB385" s="102"/>
      <c r="JQC385" s="102"/>
      <c r="JQD385" s="102"/>
      <c r="JQE385" s="102"/>
      <c r="JQF385" s="102"/>
      <c r="JQG385" s="102"/>
      <c r="JQH385" s="102"/>
      <c r="JQI385" s="102"/>
      <c r="JQJ385" s="102"/>
      <c r="JQK385" s="102"/>
      <c r="JQL385" s="102"/>
      <c r="JQM385" s="102"/>
      <c r="JQN385" s="102"/>
      <c r="JQO385" s="102"/>
      <c r="JQP385" s="102"/>
      <c r="JQQ385" s="102"/>
      <c r="JQR385" s="102"/>
      <c r="JQS385" s="102"/>
      <c r="JQT385" s="102"/>
      <c r="JQU385" s="102"/>
      <c r="JQV385" s="102"/>
      <c r="JQW385" s="102"/>
      <c r="JQX385" s="102"/>
      <c r="JQY385" s="102"/>
      <c r="JQZ385" s="102"/>
      <c r="JRA385" s="102"/>
      <c r="JRB385" s="102"/>
      <c r="JRC385" s="102"/>
      <c r="JRD385" s="102"/>
      <c r="JRE385" s="102"/>
      <c r="JRF385" s="102"/>
      <c r="JRG385" s="102"/>
      <c r="JRH385" s="102"/>
      <c r="JRI385" s="102"/>
      <c r="JRJ385" s="102"/>
      <c r="JRK385" s="102"/>
      <c r="JRL385" s="102"/>
      <c r="JRM385" s="102"/>
      <c r="JRN385" s="102"/>
      <c r="JRO385" s="102"/>
      <c r="JRP385" s="102"/>
      <c r="JRQ385" s="102"/>
      <c r="JRR385" s="102"/>
      <c r="JRS385" s="102"/>
      <c r="JRT385" s="102"/>
      <c r="JRU385" s="102"/>
      <c r="JRV385" s="102"/>
      <c r="JRW385" s="102"/>
      <c r="JRX385" s="102"/>
      <c r="JRY385" s="102"/>
      <c r="JRZ385" s="102"/>
      <c r="JSA385" s="102"/>
      <c r="JSB385" s="102"/>
      <c r="JSC385" s="102"/>
      <c r="JSD385" s="102"/>
      <c r="JSE385" s="102"/>
      <c r="JSF385" s="102"/>
      <c r="JSG385" s="102"/>
      <c r="JSH385" s="102"/>
      <c r="JSI385" s="102"/>
      <c r="JSJ385" s="102"/>
      <c r="JSK385" s="102"/>
      <c r="JSL385" s="102"/>
      <c r="JSM385" s="102"/>
      <c r="JSN385" s="102"/>
      <c r="JSO385" s="102"/>
      <c r="JSP385" s="102"/>
      <c r="JSQ385" s="102"/>
      <c r="JSR385" s="102"/>
      <c r="JSS385" s="102"/>
      <c r="JST385" s="102"/>
      <c r="JSU385" s="102"/>
      <c r="JSV385" s="102"/>
      <c r="JSW385" s="102"/>
      <c r="JSX385" s="102"/>
      <c r="JSY385" s="102"/>
      <c r="JSZ385" s="102"/>
      <c r="JTA385" s="102"/>
      <c r="JTB385" s="102"/>
      <c r="JTC385" s="102"/>
      <c r="JTD385" s="102"/>
      <c r="JTE385" s="102"/>
      <c r="JTF385" s="102"/>
      <c r="JTG385" s="102"/>
      <c r="JTH385" s="102"/>
      <c r="JTI385" s="102"/>
      <c r="JTJ385" s="102"/>
      <c r="JTK385" s="102"/>
      <c r="JTL385" s="102"/>
      <c r="JTM385" s="102"/>
      <c r="JTN385" s="102"/>
      <c r="JTO385" s="102"/>
      <c r="JTP385" s="102"/>
      <c r="JTQ385" s="102"/>
      <c r="JTR385" s="102"/>
      <c r="JTS385" s="102"/>
      <c r="JTT385" s="102"/>
      <c r="JTU385" s="102"/>
      <c r="JTV385" s="102"/>
      <c r="JTW385" s="102"/>
      <c r="JTX385" s="102"/>
      <c r="JTY385" s="102"/>
      <c r="JTZ385" s="102"/>
      <c r="JUA385" s="102"/>
      <c r="JUB385" s="102"/>
      <c r="JUC385" s="102"/>
      <c r="JUD385" s="102"/>
      <c r="JUE385" s="102"/>
      <c r="JUF385" s="102"/>
      <c r="JUG385" s="102"/>
      <c r="JUH385" s="102"/>
      <c r="JUI385" s="102"/>
      <c r="JUJ385" s="102"/>
      <c r="JUK385" s="102"/>
      <c r="JUL385" s="102"/>
      <c r="JUM385" s="102"/>
      <c r="JUN385" s="102"/>
      <c r="JUO385" s="102"/>
      <c r="JUP385" s="102"/>
      <c r="JUQ385" s="102"/>
      <c r="JUR385" s="102"/>
      <c r="JUS385" s="102"/>
      <c r="JUT385" s="102"/>
      <c r="JUU385" s="102"/>
      <c r="JUV385" s="102"/>
      <c r="JUW385" s="102"/>
      <c r="JUX385" s="102"/>
      <c r="JUY385" s="102"/>
      <c r="JUZ385" s="102"/>
      <c r="JVA385" s="102"/>
      <c r="JVB385" s="102"/>
      <c r="JVC385" s="102"/>
      <c r="JVD385" s="102"/>
      <c r="JVE385" s="102"/>
      <c r="JVF385" s="102"/>
      <c r="JVG385" s="102"/>
      <c r="JVH385" s="102"/>
      <c r="JVI385" s="102"/>
      <c r="JVJ385" s="102"/>
      <c r="JVK385" s="102"/>
      <c r="JVL385" s="102"/>
      <c r="JVM385" s="102"/>
      <c r="JVN385" s="102"/>
      <c r="JVO385" s="102"/>
      <c r="JVP385" s="102"/>
      <c r="JVQ385" s="102"/>
      <c r="JVR385" s="102"/>
      <c r="JVS385" s="102"/>
      <c r="JVT385" s="102"/>
      <c r="JVU385" s="102"/>
      <c r="JVV385" s="102"/>
      <c r="JVW385" s="102"/>
      <c r="JVX385" s="102"/>
      <c r="JVY385" s="102"/>
      <c r="JVZ385" s="102"/>
      <c r="JWA385" s="102"/>
      <c r="JWB385" s="102"/>
      <c r="JWC385" s="102"/>
      <c r="JWD385" s="102"/>
      <c r="JWE385" s="102"/>
      <c r="JWF385" s="102"/>
      <c r="JWG385" s="102"/>
      <c r="JWH385" s="102"/>
      <c r="JWI385" s="102"/>
      <c r="JWJ385" s="102"/>
      <c r="JWK385" s="102"/>
      <c r="JWL385" s="102"/>
      <c r="JWM385" s="102"/>
      <c r="JWN385" s="102"/>
      <c r="JWO385" s="102"/>
      <c r="JWP385" s="102"/>
      <c r="JWQ385" s="102"/>
      <c r="JWR385" s="102"/>
      <c r="JWS385" s="102"/>
      <c r="JWT385" s="102"/>
      <c r="JWU385" s="102"/>
      <c r="JWV385" s="102"/>
      <c r="JWW385" s="102"/>
      <c r="JWX385" s="102"/>
      <c r="JWY385" s="102"/>
      <c r="JWZ385" s="102"/>
      <c r="JXA385" s="102"/>
      <c r="JXB385" s="102"/>
      <c r="JXC385" s="102"/>
      <c r="JXD385" s="102"/>
      <c r="JXE385" s="102"/>
      <c r="JXF385" s="102"/>
      <c r="JXG385" s="102"/>
      <c r="JXH385" s="102"/>
      <c r="JXI385" s="102"/>
      <c r="JXJ385" s="102"/>
      <c r="JXK385" s="102"/>
      <c r="JXL385" s="102"/>
      <c r="JXM385" s="102"/>
      <c r="JXN385" s="102"/>
      <c r="JXO385" s="102"/>
      <c r="JXP385" s="102"/>
      <c r="JXQ385" s="102"/>
      <c r="JXR385" s="102"/>
      <c r="JXS385" s="102"/>
      <c r="JXT385" s="102"/>
      <c r="JXU385" s="102"/>
      <c r="JXV385" s="102"/>
      <c r="JXW385" s="102"/>
      <c r="JXX385" s="102"/>
      <c r="JXY385" s="102"/>
      <c r="JXZ385" s="102"/>
      <c r="JYA385" s="102"/>
      <c r="JYB385" s="102"/>
      <c r="JYC385" s="102"/>
      <c r="JYD385" s="102"/>
      <c r="JYE385" s="102"/>
      <c r="JYF385" s="102"/>
      <c r="JYG385" s="102"/>
      <c r="JYH385" s="102"/>
      <c r="JYI385" s="102"/>
      <c r="JYJ385" s="102"/>
      <c r="JYK385" s="102"/>
      <c r="JYL385" s="102"/>
      <c r="JYM385" s="102"/>
      <c r="JYN385" s="102"/>
      <c r="JYO385" s="102"/>
      <c r="JYP385" s="102"/>
      <c r="JYQ385" s="102"/>
      <c r="JYR385" s="102"/>
      <c r="JYS385" s="102"/>
      <c r="JYT385" s="102"/>
      <c r="JYU385" s="102"/>
      <c r="JYV385" s="102"/>
      <c r="JYW385" s="102"/>
      <c r="JYX385" s="102"/>
      <c r="JYY385" s="102"/>
      <c r="JYZ385" s="102"/>
      <c r="JZA385" s="102"/>
      <c r="JZB385" s="102"/>
      <c r="JZC385" s="102"/>
      <c r="JZD385" s="102"/>
      <c r="JZE385" s="102"/>
      <c r="JZF385" s="102"/>
      <c r="JZG385" s="102"/>
      <c r="JZH385" s="102"/>
      <c r="JZI385" s="102"/>
      <c r="JZJ385" s="102"/>
      <c r="JZK385" s="102"/>
      <c r="JZL385" s="102"/>
      <c r="JZM385" s="102"/>
      <c r="JZN385" s="102"/>
      <c r="JZO385" s="102"/>
      <c r="JZP385" s="102"/>
      <c r="JZQ385" s="102"/>
      <c r="JZR385" s="102"/>
      <c r="JZS385" s="102"/>
      <c r="JZT385" s="102"/>
      <c r="JZU385" s="102"/>
      <c r="JZV385" s="102"/>
      <c r="JZW385" s="102"/>
      <c r="JZX385" s="102"/>
      <c r="JZY385" s="102"/>
      <c r="JZZ385" s="102"/>
      <c r="KAA385" s="102"/>
      <c r="KAB385" s="102"/>
      <c r="KAC385" s="102"/>
      <c r="KAD385" s="102"/>
      <c r="KAE385" s="102"/>
      <c r="KAF385" s="102"/>
      <c r="KAG385" s="102"/>
      <c r="KAH385" s="102"/>
      <c r="KAI385" s="102"/>
      <c r="KAJ385" s="102"/>
      <c r="KAK385" s="102"/>
      <c r="KAL385" s="102"/>
      <c r="KAM385" s="102"/>
      <c r="KAN385" s="102"/>
      <c r="KAO385" s="102"/>
      <c r="KAP385" s="102"/>
      <c r="KAQ385" s="102"/>
      <c r="KAR385" s="102"/>
      <c r="KAS385" s="102"/>
      <c r="KAT385" s="102"/>
      <c r="KAU385" s="102"/>
      <c r="KAV385" s="102"/>
      <c r="KAW385" s="102"/>
      <c r="KAX385" s="102"/>
      <c r="KAY385" s="102"/>
      <c r="KAZ385" s="102"/>
      <c r="KBA385" s="102"/>
      <c r="KBB385" s="102"/>
      <c r="KBC385" s="102"/>
      <c r="KBD385" s="102"/>
      <c r="KBE385" s="102"/>
      <c r="KBF385" s="102"/>
      <c r="KBG385" s="102"/>
      <c r="KBH385" s="102"/>
      <c r="KBI385" s="102"/>
      <c r="KBJ385" s="102"/>
      <c r="KBK385" s="102"/>
      <c r="KBL385" s="102"/>
      <c r="KBM385" s="102"/>
      <c r="KBN385" s="102"/>
      <c r="KBO385" s="102"/>
      <c r="KBP385" s="102"/>
      <c r="KBQ385" s="102"/>
      <c r="KBR385" s="102"/>
      <c r="KBS385" s="102"/>
      <c r="KBT385" s="102"/>
      <c r="KBU385" s="102"/>
      <c r="KBV385" s="102"/>
      <c r="KBW385" s="102"/>
      <c r="KBX385" s="102"/>
      <c r="KBY385" s="102"/>
      <c r="KBZ385" s="102"/>
      <c r="KCA385" s="102"/>
      <c r="KCB385" s="102"/>
      <c r="KCC385" s="102"/>
      <c r="KCD385" s="102"/>
      <c r="KCE385" s="102"/>
      <c r="KCF385" s="102"/>
      <c r="KCG385" s="102"/>
      <c r="KCH385" s="102"/>
      <c r="KCI385" s="102"/>
      <c r="KCJ385" s="102"/>
      <c r="KCK385" s="102"/>
      <c r="KCL385" s="102"/>
      <c r="KCM385" s="102"/>
      <c r="KCN385" s="102"/>
      <c r="KCO385" s="102"/>
      <c r="KCP385" s="102"/>
      <c r="KCQ385" s="102"/>
      <c r="KCR385" s="102"/>
      <c r="KCS385" s="102"/>
      <c r="KCT385" s="102"/>
      <c r="KCU385" s="102"/>
      <c r="KCV385" s="102"/>
      <c r="KCW385" s="102"/>
      <c r="KCX385" s="102"/>
      <c r="KCY385" s="102"/>
      <c r="KCZ385" s="102"/>
      <c r="KDA385" s="102"/>
      <c r="KDB385" s="102"/>
      <c r="KDC385" s="102"/>
      <c r="KDD385" s="102"/>
      <c r="KDE385" s="102"/>
      <c r="KDF385" s="102"/>
      <c r="KDG385" s="102"/>
      <c r="KDH385" s="102"/>
      <c r="KDI385" s="102"/>
      <c r="KDJ385" s="102"/>
      <c r="KDK385" s="102"/>
      <c r="KDL385" s="102"/>
      <c r="KDM385" s="102"/>
      <c r="KDN385" s="102"/>
      <c r="KDO385" s="102"/>
      <c r="KDP385" s="102"/>
      <c r="KDQ385" s="102"/>
      <c r="KDR385" s="102"/>
      <c r="KDS385" s="102"/>
      <c r="KDT385" s="102"/>
      <c r="KDU385" s="102"/>
      <c r="KDV385" s="102"/>
      <c r="KDW385" s="102"/>
      <c r="KDX385" s="102"/>
      <c r="KDY385" s="102"/>
      <c r="KDZ385" s="102"/>
      <c r="KEA385" s="102"/>
      <c r="KEB385" s="102"/>
      <c r="KEC385" s="102"/>
      <c r="KED385" s="102"/>
      <c r="KEE385" s="102"/>
      <c r="KEF385" s="102"/>
      <c r="KEG385" s="102"/>
      <c r="KEH385" s="102"/>
      <c r="KEI385" s="102"/>
      <c r="KEJ385" s="102"/>
      <c r="KEK385" s="102"/>
      <c r="KEL385" s="102"/>
      <c r="KEM385" s="102"/>
      <c r="KEN385" s="102"/>
      <c r="KEO385" s="102"/>
      <c r="KEP385" s="102"/>
      <c r="KEQ385" s="102"/>
      <c r="KER385" s="102"/>
      <c r="KES385" s="102"/>
      <c r="KET385" s="102"/>
      <c r="KEU385" s="102"/>
      <c r="KEV385" s="102"/>
      <c r="KEW385" s="102"/>
      <c r="KEX385" s="102"/>
      <c r="KEY385" s="102"/>
      <c r="KEZ385" s="102"/>
      <c r="KFA385" s="102"/>
      <c r="KFB385" s="102"/>
      <c r="KFC385" s="102"/>
      <c r="KFD385" s="102"/>
      <c r="KFE385" s="102"/>
      <c r="KFF385" s="102"/>
      <c r="KFG385" s="102"/>
      <c r="KFH385" s="102"/>
      <c r="KFI385" s="102"/>
      <c r="KFJ385" s="102"/>
      <c r="KFK385" s="102"/>
      <c r="KFL385" s="102"/>
      <c r="KFM385" s="102"/>
      <c r="KFN385" s="102"/>
      <c r="KFO385" s="102"/>
      <c r="KFP385" s="102"/>
      <c r="KFQ385" s="102"/>
      <c r="KFR385" s="102"/>
      <c r="KFS385" s="102"/>
      <c r="KFT385" s="102"/>
      <c r="KFU385" s="102"/>
      <c r="KFV385" s="102"/>
      <c r="KFW385" s="102"/>
      <c r="KFX385" s="102"/>
      <c r="KFY385" s="102"/>
      <c r="KFZ385" s="102"/>
      <c r="KGA385" s="102"/>
      <c r="KGB385" s="102"/>
      <c r="KGC385" s="102"/>
      <c r="KGD385" s="102"/>
      <c r="KGE385" s="102"/>
      <c r="KGF385" s="102"/>
      <c r="KGG385" s="102"/>
      <c r="KGH385" s="102"/>
      <c r="KGI385" s="102"/>
      <c r="KGJ385" s="102"/>
      <c r="KGK385" s="102"/>
      <c r="KGL385" s="102"/>
      <c r="KGM385" s="102"/>
      <c r="KGN385" s="102"/>
      <c r="KGO385" s="102"/>
      <c r="KGP385" s="102"/>
      <c r="KGQ385" s="102"/>
      <c r="KGR385" s="102"/>
      <c r="KGS385" s="102"/>
      <c r="KGT385" s="102"/>
      <c r="KGU385" s="102"/>
      <c r="KGV385" s="102"/>
      <c r="KGW385" s="102"/>
      <c r="KGX385" s="102"/>
      <c r="KGY385" s="102"/>
      <c r="KGZ385" s="102"/>
      <c r="KHA385" s="102"/>
      <c r="KHB385" s="102"/>
      <c r="KHC385" s="102"/>
      <c r="KHD385" s="102"/>
      <c r="KHE385" s="102"/>
      <c r="KHF385" s="102"/>
      <c r="KHG385" s="102"/>
      <c r="KHH385" s="102"/>
      <c r="KHI385" s="102"/>
      <c r="KHJ385" s="102"/>
      <c r="KHK385" s="102"/>
      <c r="KHL385" s="102"/>
      <c r="KHM385" s="102"/>
      <c r="KHN385" s="102"/>
      <c r="KHO385" s="102"/>
      <c r="KHP385" s="102"/>
      <c r="KHQ385" s="102"/>
      <c r="KHR385" s="102"/>
      <c r="KHS385" s="102"/>
      <c r="KHT385" s="102"/>
      <c r="KHU385" s="102"/>
      <c r="KHV385" s="102"/>
      <c r="KHW385" s="102"/>
      <c r="KHX385" s="102"/>
      <c r="KHY385" s="102"/>
      <c r="KHZ385" s="102"/>
      <c r="KIA385" s="102"/>
      <c r="KIB385" s="102"/>
      <c r="KIC385" s="102"/>
      <c r="KID385" s="102"/>
      <c r="KIE385" s="102"/>
      <c r="KIF385" s="102"/>
      <c r="KIG385" s="102"/>
      <c r="KIH385" s="102"/>
      <c r="KII385" s="102"/>
      <c r="KIJ385" s="102"/>
      <c r="KIK385" s="102"/>
      <c r="KIL385" s="102"/>
      <c r="KIM385" s="102"/>
      <c r="KIN385" s="102"/>
      <c r="KIO385" s="102"/>
      <c r="KIP385" s="102"/>
      <c r="KIQ385" s="102"/>
      <c r="KIR385" s="102"/>
      <c r="KIS385" s="102"/>
      <c r="KIT385" s="102"/>
      <c r="KIU385" s="102"/>
      <c r="KIV385" s="102"/>
      <c r="KIW385" s="102"/>
      <c r="KIX385" s="102"/>
      <c r="KIY385" s="102"/>
      <c r="KIZ385" s="102"/>
      <c r="KJA385" s="102"/>
      <c r="KJB385" s="102"/>
      <c r="KJC385" s="102"/>
      <c r="KJD385" s="102"/>
      <c r="KJE385" s="102"/>
      <c r="KJF385" s="102"/>
      <c r="KJG385" s="102"/>
      <c r="KJH385" s="102"/>
      <c r="KJI385" s="102"/>
      <c r="KJJ385" s="102"/>
      <c r="KJK385" s="102"/>
      <c r="KJL385" s="102"/>
      <c r="KJM385" s="102"/>
      <c r="KJN385" s="102"/>
      <c r="KJO385" s="102"/>
      <c r="KJP385" s="102"/>
      <c r="KJQ385" s="102"/>
      <c r="KJR385" s="102"/>
      <c r="KJS385" s="102"/>
      <c r="KJT385" s="102"/>
      <c r="KJU385" s="102"/>
      <c r="KJV385" s="102"/>
      <c r="KJW385" s="102"/>
      <c r="KJX385" s="102"/>
      <c r="KJY385" s="102"/>
      <c r="KJZ385" s="102"/>
      <c r="KKA385" s="102"/>
      <c r="KKB385" s="102"/>
      <c r="KKC385" s="102"/>
      <c r="KKD385" s="102"/>
      <c r="KKE385" s="102"/>
      <c r="KKF385" s="102"/>
      <c r="KKG385" s="102"/>
      <c r="KKH385" s="102"/>
      <c r="KKI385" s="102"/>
      <c r="KKJ385" s="102"/>
      <c r="KKK385" s="102"/>
      <c r="KKL385" s="102"/>
      <c r="KKM385" s="102"/>
      <c r="KKN385" s="102"/>
      <c r="KKO385" s="102"/>
      <c r="KKP385" s="102"/>
      <c r="KKQ385" s="102"/>
      <c r="KKR385" s="102"/>
      <c r="KKS385" s="102"/>
      <c r="KKT385" s="102"/>
      <c r="KKU385" s="102"/>
      <c r="KKV385" s="102"/>
      <c r="KKW385" s="102"/>
      <c r="KKX385" s="102"/>
      <c r="KKY385" s="102"/>
      <c r="KKZ385" s="102"/>
      <c r="KLA385" s="102"/>
      <c r="KLB385" s="102"/>
      <c r="KLC385" s="102"/>
      <c r="KLD385" s="102"/>
      <c r="KLE385" s="102"/>
      <c r="KLF385" s="102"/>
      <c r="KLG385" s="102"/>
      <c r="KLH385" s="102"/>
      <c r="KLI385" s="102"/>
      <c r="KLJ385" s="102"/>
      <c r="KLK385" s="102"/>
      <c r="KLL385" s="102"/>
      <c r="KLM385" s="102"/>
      <c r="KLN385" s="102"/>
      <c r="KLO385" s="102"/>
      <c r="KLP385" s="102"/>
      <c r="KLQ385" s="102"/>
      <c r="KLR385" s="102"/>
      <c r="KLS385" s="102"/>
      <c r="KLT385" s="102"/>
      <c r="KLU385" s="102"/>
      <c r="KLV385" s="102"/>
      <c r="KLW385" s="102"/>
      <c r="KLX385" s="102"/>
      <c r="KLY385" s="102"/>
      <c r="KLZ385" s="102"/>
      <c r="KMA385" s="102"/>
      <c r="KMB385" s="102"/>
      <c r="KMC385" s="102"/>
      <c r="KMD385" s="102"/>
      <c r="KME385" s="102"/>
      <c r="KMF385" s="102"/>
      <c r="KMG385" s="102"/>
      <c r="KMH385" s="102"/>
      <c r="KMI385" s="102"/>
      <c r="KMJ385" s="102"/>
      <c r="KMK385" s="102"/>
      <c r="KML385" s="102"/>
      <c r="KMM385" s="102"/>
      <c r="KMN385" s="102"/>
      <c r="KMO385" s="102"/>
      <c r="KMP385" s="102"/>
      <c r="KMQ385" s="102"/>
      <c r="KMR385" s="102"/>
      <c r="KMS385" s="102"/>
      <c r="KMT385" s="102"/>
      <c r="KMU385" s="102"/>
      <c r="KMV385" s="102"/>
      <c r="KMW385" s="102"/>
      <c r="KMX385" s="102"/>
      <c r="KMY385" s="102"/>
      <c r="KMZ385" s="102"/>
      <c r="KNA385" s="102"/>
      <c r="KNB385" s="102"/>
      <c r="KNC385" s="102"/>
      <c r="KND385" s="102"/>
      <c r="KNE385" s="102"/>
      <c r="KNF385" s="102"/>
      <c r="KNG385" s="102"/>
      <c r="KNH385" s="102"/>
      <c r="KNI385" s="102"/>
      <c r="KNJ385" s="102"/>
      <c r="KNK385" s="102"/>
      <c r="KNL385" s="102"/>
      <c r="KNM385" s="102"/>
      <c r="KNN385" s="102"/>
      <c r="KNO385" s="102"/>
      <c r="KNP385" s="102"/>
      <c r="KNQ385" s="102"/>
      <c r="KNR385" s="102"/>
      <c r="KNS385" s="102"/>
      <c r="KNT385" s="102"/>
      <c r="KNU385" s="102"/>
      <c r="KNV385" s="102"/>
      <c r="KNW385" s="102"/>
      <c r="KNX385" s="102"/>
      <c r="KNY385" s="102"/>
      <c r="KNZ385" s="102"/>
      <c r="KOA385" s="102"/>
      <c r="KOB385" s="102"/>
      <c r="KOC385" s="102"/>
      <c r="KOD385" s="102"/>
      <c r="KOE385" s="102"/>
      <c r="KOF385" s="102"/>
      <c r="KOG385" s="102"/>
      <c r="KOH385" s="102"/>
      <c r="KOI385" s="102"/>
      <c r="KOJ385" s="102"/>
      <c r="KOK385" s="102"/>
      <c r="KOL385" s="102"/>
      <c r="KOM385" s="102"/>
      <c r="KON385" s="102"/>
      <c r="KOO385" s="102"/>
      <c r="KOP385" s="102"/>
      <c r="KOQ385" s="102"/>
      <c r="KOR385" s="102"/>
      <c r="KOS385" s="102"/>
      <c r="KOT385" s="102"/>
      <c r="KOU385" s="102"/>
      <c r="KOV385" s="102"/>
      <c r="KOW385" s="102"/>
      <c r="KOX385" s="102"/>
      <c r="KOY385" s="102"/>
      <c r="KOZ385" s="102"/>
      <c r="KPA385" s="102"/>
      <c r="KPB385" s="102"/>
      <c r="KPC385" s="102"/>
      <c r="KPD385" s="102"/>
      <c r="KPE385" s="102"/>
      <c r="KPF385" s="102"/>
      <c r="KPG385" s="102"/>
      <c r="KPH385" s="102"/>
      <c r="KPI385" s="102"/>
      <c r="KPJ385" s="102"/>
      <c r="KPK385" s="102"/>
      <c r="KPL385" s="102"/>
      <c r="KPM385" s="102"/>
      <c r="KPN385" s="102"/>
      <c r="KPO385" s="102"/>
      <c r="KPP385" s="102"/>
      <c r="KPQ385" s="102"/>
      <c r="KPR385" s="102"/>
      <c r="KPS385" s="102"/>
      <c r="KPT385" s="102"/>
      <c r="KPU385" s="102"/>
      <c r="KPV385" s="102"/>
      <c r="KPW385" s="102"/>
      <c r="KPX385" s="102"/>
      <c r="KPY385" s="102"/>
      <c r="KPZ385" s="102"/>
      <c r="KQA385" s="102"/>
      <c r="KQB385" s="102"/>
      <c r="KQC385" s="102"/>
      <c r="KQD385" s="102"/>
      <c r="KQE385" s="102"/>
      <c r="KQF385" s="102"/>
      <c r="KQG385" s="102"/>
      <c r="KQH385" s="102"/>
      <c r="KQI385" s="102"/>
      <c r="KQJ385" s="102"/>
      <c r="KQK385" s="102"/>
      <c r="KQL385" s="102"/>
      <c r="KQM385" s="102"/>
      <c r="KQN385" s="102"/>
      <c r="KQO385" s="102"/>
      <c r="KQP385" s="102"/>
      <c r="KQQ385" s="102"/>
      <c r="KQR385" s="102"/>
      <c r="KQS385" s="102"/>
      <c r="KQT385" s="102"/>
      <c r="KQU385" s="102"/>
      <c r="KQV385" s="102"/>
      <c r="KQW385" s="102"/>
      <c r="KQX385" s="102"/>
      <c r="KQY385" s="102"/>
      <c r="KQZ385" s="102"/>
      <c r="KRA385" s="102"/>
      <c r="KRB385" s="102"/>
      <c r="KRC385" s="102"/>
      <c r="KRD385" s="102"/>
      <c r="KRE385" s="102"/>
      <c r="KRF385" s="102"/>
      <c r="KRG385" s="102"/>
      <c r="KRH385" s="102"/>
      <c r="KRI385" s="102"/>
      <c r="KRJ385" s="102"/>
      <c r="KRK385" s="102"/>
      <c r="KRL385" s="102"/>
      <c r="KRM385" s="102"/>
      <c r="KRN385" s="102"/>
      <c r="KRO385" s="102"/>
      <c r="KRP385" s="102"/>
      <c r="KRQ385" s="102"/>
      <c r="KRR385" s="102"/>
      <c r="KRS385" s="102"/>
      <c r="KRT385" s="102"/>
      <c r="KRU385" s="102"/>
      <c r="KRV385" s="102"/>
      <c r="KRW385" s="102"/>
      <c r="KRX385" s="102"/>
      <c r="KRY385" s="102"/>
      <c r="KRZ385" s="102"/>
      <c r="KSA385" s="102"/>
      <c r="KSB385" s="102"/>
      <c r="KSC385" s="102"/>
      <c r="KSD385" s="102"/>
      <c r="KSE385" s="102"/>
      <c r="KSF385" s="102"/>
      <c r="KSG385" s="102"/>
      <c r="KSH385" s="102"/>
      <c r="KSI385" s="102"/>
      <c r="KSJ385" s="102"/>
      <c r="KSK385" s="102"/>
      <c r="KSL385" s="102"/>
      <c r="KSM385" s="102"/>
      <c r="KSN385" s="102"/>
      <c r="KSO385" s="102"/>
      <c r="KSP385" s="102"/>
      <c r="KSQ385" s="102"/>
      <c r="KSR385" s="102"/>
      <c r="KSS385" s="102"/>
      <c r="KST385" s="102"/>
      <c r="KSU385" s="102"/>
      <c r="KSV385" s="102"/>
      <c r="KSW385" s="102"/>
      <c r="KSX385" s="102"/>
      <c r="KSY385" s="102"/>
      <c r="KSZ385" s="102"/>
      <c r="KTA385" s="102"/>
      <c r="KTB385" s="102"/>
      <c r="KTC385" s="102"/>
      <c r="KTD385" s="102"/>
      <c r="KTE385" s="102"/>
      <c r="KTF385" s="102"/>
      <c r="KTG385" s="102"/>
      <c r="KTH385" s="102"/>
      <c r="KTI385" s="102"/>
      <c r="KTJ385" s="102"/>
      <c r="KTK385" s="102"/>
      <c r="KTL385" s="102"/>
      <c r="KTM385" s="102"/>
      <c r="KTN385" s="102"/>
      <c r="KTO385" s="102"/>
      <c r="KTP385" s="102"/>
      <c r="KTQ385" s="102"/>
      <c r="KTR385" s="102"/>
      <c r="KTS385" s="102"/>
      <c r="KTT385" s="102"/>
      <c r="KTU385" s="102"/>
      <c r="KTV385" s="102"/>
      <c r="KTW385" s="102"/>
      <c r="KTX385" s="102"/>
      <c r="KTY385" s="102"/>
      <c r="KTZ385" s="102"/>
      <c r="KUA385" s="102"/>
      <c r="KUB385" s="102"/>
      <c r="KUC385" s="102"/>
      <c r="KUD385" s="102"/>
      <c r="KUE385" s="102"/>
      <c r="KUF385" s="102"/>
      <c r="KUG385" s="102"/>
      <c r="KUH385" s="102"/>
      <c r="KUI385" s="102"/>
      <c r="KUJ385" s="102"/>
      <c r="KUK385" s="102"/>
      <c r="KUL385" s="102"/>
      <c r="KUM385" s="102"/>
      <c r="KUN385" s="102"/>
      <c r="KUO385" s="102"/>
      <c r="KUP385" s="102"/>
      <c r="KUQ385" s="102"/>
      <c r="KUR385" s="102"/>
      <c r="KUS385" s="102"/>
      <c r="KUT385" s="102"/>
      <c r="KUU385" s="102"/>
      <c r="KUV385" s="102"/>
      <c r="KUW385" s="102"/>
      <c r="KUX385" s="102"/>
      <c r="KUY385" s="102"/>
      <c r="KUZ385" s="102"/>
      <c r="KVA385" s="102"/>
      <c r="KVB385" s="102"/>
      <c r="KVC385" s="102"/>
      <c r="KVD385" s="102"/>
      <c r="KVE385" s="102"/>
      <c r="KVF385" s="102"/>
      <c r="KVG385" s="102"/>
      <c r="KVH385" s="102"/>
      <c r="KVI385" s="102"/>
      <c r="KVJ385" s="102"/>
      <c r="KVK385" s="102"/>
      <c r="KVL385" s="102"/>
      <c r="KVM385" s="102"/>
      <c r="KVN385" s="102"/>
      <c r="KVO385" s="102"/>
      <c r="KVP385" s="102"/>
      <c r="KVQ385" s="102"/>
      <c r="KVR385" s="102"/>
      <c r="KVS385" s="102"/>
      <c r="KVT385" s="102"/>
      <c r="KVU385" s="102"/>
      <c r="KVV385" s="102"/>
      <c r="KVW385" s="102"/>
      <c r="KVX385" s="102"/>
      <c r="KVY385" s="102"/>
      <c r="KVZ385" s="102"/>
      <c r="KWA385" s="102"/>
      <c r="KWB385" s="102"/>
      <c r="KWC385" s="102"/>
      <c r="KWD385" s="102"/>
      <c r="KWE385" s="102"/>
      <c r="KWF385" s="102"/>
      <c r="KWG385" s="102"/>
      <c r="KWH385" s="102"/>
      <c r="KWI385" s="102"/>
      <c r="KWJ385" s="102"/>
      <c r="KWK385" s="102"/>
      <c r="KWL385" s="102"/>
      <c r="KWM385" s="102"/>
      <c r="KWN385" s="102"/>
      <c r="KWO385" s="102"/>
      <c r="KWP385" s="102"/>
      <c r="KWQ385" s="102"/>
      <c r="KWR385" s="102"/>
      <c r="KWS385" s="102"/>
      <c r="KWT385" s="102"/>
      <c r="KWU385" s="102"/>
      <c r="KWV385" s="102"/>
      <c r="KWW385" s="102"/>
      <c r="KWX385" s="102"/>
      <c r="KWY385" s="102"/>
      <c r="KWZ385" s="102"/>
      <c r="KXA385" s="102"/>
      <c r="KXB385" s="102"/>
      <c r="KXC385" s="102"/>
      <c r="KXD385" s="102"/>
      <c r="KXE385" s="102"/>
      <c r="KXF385" s="102"/>
      <c r="KXG385" s="102"/>
      <c r="KXH385" s="102"/>
      <c r="KXI385" s="102"/>
      <c r="KXJ385" s="102"/>
      <c r="KXK385" s="102"/>
      <c r="KXL385" s="102"/>
      <c r="KXM385" s="102"/>
      <c r="KXN385" s="102"/>
      <c r="KXO385" s="102"/>
      <c r="KXP385" s="102"/>
      <c r="KXQ385" s="102"/>
      <c r="KXR385" s="102"/>
      <c r="KXS385" s="102"/>
      <c r="KXT385" s="102"/>
      <c r="KXU385" s="102"/>
      <c r="KXV385" s="102"/>
      <c r="KXW385" s="102"/>
      <c r="KXX385" s="102"/>
      <c r="KXY385" s="102"/>
      <c r="KXZ385" s="102"/>
      <c r="KYA385" s="102"/>
      <c r="KYB385" s="102"/>
      <c r="KYC385" s="102"/>
      <c r="KYD385" s="102"/>
      <c r="KYE385" s="102"/>
      <c r="KYF385" s="102"/>
      <c r="KYG385" s="102"/>
      <c r="KYH385" s="102"/>
      <c r="KYI385" s="102"/>
      <c r="KYJ385" s="102"/>
      <c r="KYK385" s="102"/>
      <c r="KYL385" s="102"/>
      <c r="KYM385" s="102"/>
      <c r="KYN385" s="102"/>
      <c r="KYO385" s="102"/>
      <c r="KYP385" s="102"/>
      <c r="KYQ385" s="102"/>
      <c r="KYR385" s="102"/>
      <c r="KYS385" s="102"/>
      <c r="KYT385" s="102"/>
      <c r="KYU385" s="102"/>
      <c r="KYV385" s="102"/>
      <c r="KYW385" s="102"/>
      <c r="KYX385" s="102"/>
      <c r="KYY385" s="102"/>
      <c r="KYZ385" s="102"/>
      <c r="KZA385" s="102"/>
      <c r="KZB385" s="102"/>
      <c r="KZC385" s="102"/>
      <c r="KZD385" s="102"/>
      <c r="KZE385" s="102"/>
      <c r="KZF385" s="102"/>
      <c r="KZG385" s="102"/>
      <c r="KZH385" s="102"/>
      <c r="KZI385" s="102"/>
      <c r="KZJ385" s="102"/>
      <c r="KZK385" s="102"/>
      <c r="KZL385" s="102"/>
      <c r="KZM385" s="102"/>
      <c r="KZN385" s="102"/>
      <c r="KZO385" s="102"/>
      <c r="KZP385" s="102"/>
      <c r="KZQ385" s="102"/>
      <c r="KZR385" s="102"/>
      <c r="KZS385" s="102"/>
      <c r="KZT385" s="102"/>
      <c r="KZU385" s="102"/>
      <c r="KZV385" s="102"/>
      <c r="KZW385" s="102"/>
      <c r="KZX385" s="102"/>
      <c r="KZY385" s="102"/>
      <c r="KZZ385" s="102"/>
      <c r="LAA385" s="102"/>
      <c r="LAB385" s="102"/>
      <c r="LAC385" s="102"/>
      <c r="LAD385" s="102"/>
      <c r="LAE385" s="102"/>
      <c r="LAF385" s="102"/>
      <c r="LAG385" s="102"/>
      <c r="LAH385" s="102"/>
      <c r="LAI385" s="102"/>
      <c r="LAJ385" s="102"/>
      <c r="LAK385" s="102"/>
      <c r="LAL385" s="102"/>
      <c r="LAM385" s="102"/>
      <c r="LAN385" s="102"/>
      <c r="LAO385" s="102"/>
      <c r="LAP385" s="102"/>
      <c r="LAQ385" s="102"/>
      <c r="LAR385" s="102"/>
      <c r="LAS385" s="102"/>
      <c r="LAT385" s="102"/>
      <c r="LAU385" s="102"/>
      <c r="LAV385" s="102"/>
      <c r="LAW385" s="102"/>
      <c r="LAX385" s="102"/>
      <c r="LAY385" s="102"/>
      <c r="LAZ385" s="102"/>
      <c r="LBA385" s="102"/>
      <c r="LBB385" s="102"/>
      <c r="LBC385" s="102"/>
      <c r="LBD385" s="102"/>
      <c r="LBE385" s="102"/>
      <c r="LBF385" s="102"/>
      <c r="LBG385" s="102"/>
      <c r="LBH385" s="102"/>
      <c r="LBI385" s="102"/>
      <c r="LBJ385" s="102"/>
      <c r="LBK385" s="102"/>
      <c r="LBL385" s="102"/>
      <c r="LBM385" s="102"/>
      <c r="LBN385" s="102"/>
      <c r="LBO385" s="102"/>
      <c r="LBP385" s="102"/>
      <c r="LBQ385" s="102"/>
      <c r="LBR385" s="102"/>
      <c r="LBS385" s="102"/>
      <c r="LBT385" s="102"/>
      <c r="LBU385" s="102"/>
      <c r="LBV385" s="102"/>
      <c r="LBW385" s="102"/>
      <c r="LBX385" s="102"/>
      <c r="LBY385" s="102"/>
      <c r="LBZ385" s="102"/>
      <c r="LCA385" s="102"/>
      <c r="LCB385" s="102"/>
      <c r="LCC385" s="102"/>
      <c r="LCD385" s="102"/>
      <c r="LCE385" s="102"/>
      <c r="LCF385" s="102"/>
      <c r="LCG385" s="102"/>
      <c r="LCH385" s="102"/>
      <c r="LCI385" s="102"/>
      <c r="LCJ385" s="102"/>
      <c r="LCK385" s="102"/>
      <c r="LCL385" s="102"/>
      <c r="LCM385" s="102"/>
      <c r="LCN385" s="102"/>
      <c r="LCO385" s="102"/>
      <c r="LCP385" s="102"/>
      <c r="LCQ385" s="102"/>
      <c r="LCR385" s="102"/>
      <c r="LCS385" s="102"/>
      <c r="LCT385" s="102"/>
      <c r="LCU385" s="102"/>
      <c r="LCV385" s="102"/>
      <c r="LCW385" s="102"/>
      <c r="LCX385" s="102"/>
      <c r="LCY385" s="102"/>
      <c r="LCZ385" s="102"/>
      <c r="LDA385" s="102"/>
      <c r="LDB385" s="102"/>
      <c r="LDC385" s="102"/>
      <c r="LDD385" s="102"/>
      <c r="LDE385" s="102"/>
      <c r="LDF385" s="102"/>
      <c r="LDG385" s="102"/>
      <c r="LDH385" s="102"/>
      <c r="LDI385" s="102"/>
      <c r="LDJ385" s="102"/>
      <c r="LDK385" s="102"/>
      <c r="LDL385" s="102"/>
      <c r="LDM385" s="102"/>
      <c r="LDN385" s="102"/>
      <c r="LDO385" s="102"/>
      <c r="LDP385" s="102"/>
      <c r="LDQ385" s="102"/>
      <c r="LDR385" s="102"/>
      <c r="LDS385" s="102"/>
      <c r="LDT385" s="102"/>
      <c r="LDU385" s="102"/>
      <c r="LDV385" s="102"/>
      <c r="LDW385" s="102"/>
      <c r="LDX385" s="102"/>
      <c r="LDY385" s="102"/>
      <c r="LDZ385" s="102"/>
      <c r="LEA385" s="102"/>
      <c r="LEB385" s="102"/>
      <c r="LEC385" s="102"/>
      <c r="LED385" s="102"/>
      <c r="LEE385" s="102"/>
      <c r="LEF385" s="102"/>
      <c r="LEG385" s="102"/>
      <c r="LEH385" s="102"/>
      <c r="LEI385" s="102"/>
      <c r="LEJ385" s="102"/>
      <c r="LEK385" s="102"/>
      <c r="LEL385" s="102"/>
      <c r="LEM385" s="102"/>
      <c r="LEN385" s="102"/>
      <c r="LEO385" s="102"/>
      <c r="LEP385" s="102"/>
      <c r="LEQ385" s="102"/>
      <c r="LER385" s="102"/>
      <c r="LES385" s="102"/>
      <c r="LET385" s="102"/>
      <c r="LEU385" s="102"/>
      <c r="LEV385" s="102"/>
      <c r="LEW385" s="102"/>
      <c r="LEX385" s="102"/>
      <c r="LEY385" s="102"/>
      <c r="LEZ385" s="102"/>
      <c r="LFA385" s="102"/>
      <c r="LFB385" s="102"/>
      <c r="LFC385" s="102"/>
      <c r="LFD385" s="102"/>
      <c r="LFE385" s="102"/>
      <c r="LFF385" s="102"/>
      <c r="LFG385" s="102"/>
      <c r="LFH385" s="102"/>
      <c r="LFI385" s="102"/>
      <c r="LFJ385" s="102"/>
      <c r="LFK385" s="102"/>
      <c r="LFL385" s="102"/>
      <c r="LFM385" s="102"/>
      <c r="LFN385" s="102"/>
      <c r="LFO385" s="102"/>
      <c r="LFP385" s="102"/>
      <c r="LFQ385" s="102"/>
      <c r="LFR385" s="102"/>
      <c r="LFS385" s="102"/>
      <c r="LFT385" s="102"/>
      <c r="LFU385" s="102"/>
      <c r="LFV385" s="102"/>
      <c r="LFW385" s="102"/>
      <c r="LFX385" s="102"/>
      <c r="LFY385" s="102"/>
      <c r="LFZ385" s="102"/>
      <c r="LGA385" s="102"/>
      <c r="LGB385" s="102"/>
      <c r="LGC385" s="102"/>
      <c r="LGD385" s="102"/>
      <c r="LGE385" s="102"/>
      <c r="LGF385" s="102"/>
      <c r="LGG385" s="102"/>
      <c r="LGH385" s="102"/>
      <c r="LGI385" s="102"/>
      <c r="LGJ385" s="102"/>
      <c r="LGK385" s="102"/>
      <c r="LGL385" s="102"/>
      <c r="LGM385" s="102"/>
      <c r="LGN385" s="102"/>
      <c r="LGO385" s="102"/>
      <c r="LGP385" s="102"/>
      <c r="LGQ385" s="102"/>
      <c r="LGR385" s="102"/>
      <c r="LGS385" s="102"/>
      <c r="LGT385" s="102"/>
      <c r="LGU385" s="102"/>
      <c r="LGV385" s="102"/>
      <c r="LGW385" s="102"/>
      <c r="LGX385" s="102"/>
      <c r="LGY385" s="102"/>
      <c r="LGZ385" s="102"/>
      <c r="LHA385" s="102"/>
      <c r="LHB385" s="102"/>
      <c r="LHC385" s="102"/>
      <c r="LHD385" s="102"/>
      <c r="LHE385" s="102"/>
      <c r="LHF385" s="102"/>
      <c r="LHG385" s="102"/>
      <c r="LHH385" s="102"/>
      <c r="LHI385" s="102"/>
      <c r="LHJ385" s="102"/>
      <c r="LHK385" s="102"/>
      <c r="LHL385" s="102"/>
      <c r="LHM385" s="102"/>
      <c r="LHN385" s="102"/>
      <c r="LHO385" s="102"/>
      <c r="LHP385" s="102"/>
      <c r="LHQ385" s="102"/>
      <c r="LHR385" s="102"/>
      <c r="LHS385" s="102"/>
      <c r="LHT385" s="102"/>
      <c r="LHU385" s="102"/>
      <c r="LHV385" s="102"/>
      <c r="LHW385" s="102"/>
      <c r="LHX385" s="102"/>
      <c r="LHY385" s="102"/>
      <c r="LHZ385" s="102"/>
      <c r="LIA385" s="102"/>
      <c r="LIB385" s="102"/>
      <c r="LIC385" s="102"/>
      <c r="LID385" s="102"/>
      <c r="LIE385" s="102"/>
      <c r="LIF385" s="102"/>
      <c r="LIG385" s="102"/>
      <c r="LIH385" s="102"/>
      <c r="LII385" s="102"/>
      <c r="LIJ385" s="102"/>
      <c r="LIK385" s="102"/>
      <c r="LIL385" s="102"/>
      <c r="LIM385" s="102"/>
      <c r="LIN385" s="102"/>
      <c r="LIO385" s="102"/>
      <c r="LIP385" s="102"/>
      <c r="LIQ385" s="102"/>
      <c r="LIR385" s="102"/>
      <c r="LIS385" s="102"/>
      <c r="LIT385" s="102"/>
      <c r="LIU385" s="102"/>
      <c r="LIV385" s="102"/>
      <c r="LIW385" s="102"/>
      <c r="LIX385" s="102"/>
      <c r="LIY385" s="102"/>
      <c r="LIZ385" s="102"/>
      <c r="LJA385" s="102"/>
      <c r="LJB385" s="102"/>
      <c r="LJC385" s="102"/>
      <c r="LJD385" s="102"/>
      <c r="LJE385" s="102"/>
      <c r="LJF385" s="102"/>
      <c r="LJG385" s="102"/>
      <c r="LJH385" s="102"/>
      <c r="LJI385" s="102"/>
      <c r="LJJ385" s="102"/>
      <c r="LJK385" s="102"/>
      <c r="LJL385" s="102"/>
      <c r="LJM385" s="102"/>
      <c r="LJN385" s="102"/>
      <c r="LJO385" s="102"/>
      <c r="LJP385" s="102"/>
      <c r="LJQ385" s="102"/>
      <c r="LJR385" s="102"/>
      <c r="LJS385" s="102"/>
      <c r="LJT385" s="102"/>
      <c r="LJU385" s="102"/>
      <c r="LJV385" s="102"/>
      <c r="LJW385" s="102"/>
      <c r="LJX385" s="102"/>
      <c r="LJY385" s="102"/>
      <c r="LJZ385" s="102"/>
      <c r="LKA385" s="102"/>
      <c r="LKB385" s="102"/>
      <c r="LKC385" s="102"/>
      <c r="LKD385" s="102"/>
      <c r="LKE385" s="102"/>
      <c r="LKF385" s="102"/>
      <c r="LKG385" s="102"/>
      <c r="LKH385" s="102"/>
      <c r="LKI385" s="102"/>
      <c r="LKJ385" s="102"/>
      <c r="LKK385" s="102"/>
      <c r="LKL385" s="102"/>
      <c r="LKM385" s="102"/>
      <c r="LKN385" s="102"/>
      <c r="LKO385" s="102"/>
      <c r="LKP385" s="102"/>
      <c r="LKQ385" s="102"/>
      <c r="LKR385" s="102"/>
      <c r="LKS385" s="102"/>
      <c r="LKT385" s="102"/>
      <c r="LKU385" s="102"/>
      <c r="LKV385" s="102"/>
      <c r="LKW385" s="102"/>
      <c r="LKX385" s="102"/>
      <c r="LKY385" s="102"/>
      <c r="LKZ385" s="102"/>
      <c r="LLA385" s="102"/>
      <c r="LLB385" s="102"/>
      <c r="LLC385" s="102"/>
      <c r="LLD385" s="102"/>
      <c r="LLE385" s="102"/>
      <c r="LLF385" s="102"/>
      <c r="LLG385" s="102"/>
      <c r="LLH385" s="102"/>
      <c r="LLI385" s="102"/>
      <c r="LLJ385" s="102"/>
      <c r="LLK385" s="102"/>
      <c r="LLL385" s="102"/>
      <c r="LLM385" s="102"/>
      <c r="LLN385" s="102"/>
      <c r="LLO385" s="102"/>
      <c r="LLP385" s="102"/>
      <c r="LLQ385" s="102"/>
      <c r="LLR385" s="102"/>
      <c r="LLS385" s="102"/>
      <c r="LLT385" s="102"/>
      <c r="LLU385" s="102"/>
      <c r="LLV385" s="102"/>
      <c r="LLW385" s="102"/>
      <c r="LLX385" s="102"/>
      <c r="LLY385" s="102"/>
      <c r="LLZ385" s="102"/>
      <c r="LMA385" s="102"/>
      <c r="LMB385" s="102"/>
      <c r="LMC385" s="102"/>
      <c r="LMD385" s="102"/>
      <c r="LME385" s="102"/>
      <c r="LMF385" s="102"/>
      <c r="LMG385" s="102"/>
      <c r="LMH385" s="102"/>
      <c r="LMI385" s="102"/>
      <c r="LMJ385" s="102"/>
      <c r="LMK385" s="102"/>
      <c r="LML385" s="102"/>
      <c r="LMM385" s="102"/>
      <c r="LMN385" s="102"/>
      <c r="LMO385" s="102"/>
      <c r="LMP385" s="102"/>
      <c r="LMQ385" s="102"/>
      <c r="LMR385" s="102"/>
      <c r="LMS385" s="102"/>
      <c r="LMT385" s="102"/>
      <c r="LMU385" s="102"/>
      <c r="LMV385" s="102"/>
      <c r="LMW385" s="102"/>
      <c r="LMX385" s="102"/>
      <c r="LMY385" s="102"/>
      <c r="LMZ385" s="102"/>
      <c r="LNA385" s="102"/>
      <c r="LNB385" s="102"/>
      <c r="LNC385" s="102"/>
      <c r="LND385" s="102"/>
      <c r="LNE385" s="102"/>
      <c r="LNF385" s="102"/>
      <c r="LNG385" s="102"/>
      <c r="LNH385" s="102"/>
      <c r="LNI385" s="102"/>
      <c r="LNJ385" s="102"/>
      <c r="LNK385" s="102"/>
      <c r="LNL385" s="102"/>
      <c r="LNM385" s="102"/>
      <c r="LNN385" s="102"/>
      <c r="LNO385" s="102"/>
      <c r="LNP385" s="102"/>
      <c r="LNQ385" s="102"/>
      <c r="LNR385" s="102"/>
      <c r="LNS385" s="102"/>
      <c r="LNT385" s="102"/>
      <c r="LNU385" s="102"/>
      <c r="LNV385" s="102"/>
      <c r="LNW385" s="102"/>
      <c r="LNX385" s="102"/>
      <c r="LNY385" s="102"/>
      <c r="LNZ385" s="102"/>
      <c r="LOA385" s="102"/>
      <c r="LOB385" s="102"/>
      <c r="LOC385" s="102"/>
      <c r="LOD385" s="102"/>
      <c r="LOE385" s="102"/>
      <c r="LOF385" s="102"/>
      <c r="LOG385" s="102"/>
      <c r="LOH385" s="102"/>
      <c r="LOI385" s="102"/>
      <c r="LOJ385" s="102"/>
      <c r="LOK385" s="102"/>
      <c r="LOL385" s="102"/>
      <c r="LOM385" s="102"/>
      <c r="LON385" s="102"/>
      <c r="LOO385" s="102"/>
      <c r="LOP385" s="102"/>
      <c r="LOQ385" s="102"/>
      <c r="LOR385" s="102"/>
      <c r="LOS385" s="102"/>
      <c r="LOT385" s="102"/>
      <c r="LOU385" s="102"/>
      <c r="LOV385" s="102"/>
      <c r="LOW385" s="102"/>
      <c r="LOX385" s="102"/>
      <c r="LOY385" s="102"/>
      <c r="LOZ385" s="102"/>
      <c r="LPA385" s="102"/>
      <c r="LPB385" s="102"/>
      <c r="LPC385" s="102"/>
      <c r="LPD385" s="102"/>
      <c r="LPE385" s="102"/>
      <c r="LPF385" s="102"/>
      <c r="LPG385" s="102"/>
      <c r="LPH385" s="102"/>
      <c r="LPI385" s="102"/>
      <c r="LPJ385" s="102"/>
      <c r="LPK385" s="102"/>
      <c r="LPL385" s="102"/>
      <c r="LPM385" s="102"/>
      <c r="LPN385" s="102"/>
      <c r="LPO385" s="102"/>
      <c r="LPP385" s="102"/>
      <c r="LPQ385" s="102"/>
      <c r="LPR385" s="102"/>
      <c r="LPS385" s="102"/>
      <c r="LPT385" s="102"/>
      <c r="LPU385" s="102"/>
      <c r="LPV385" s="102"/>
      <c r="LPW385" s="102"/>
      <c r="LPX385" s="102"/>
      <c r="LPY385" s="102"/>
      <c r="LPZ385" s="102"/>
      <c r="LQA385" s="102"/>
      <c r="LQB385" s="102"/>
      <c r="LQC385" s="102"/>
      <c r="LQD385" s="102"/>
      <c r="LQE385" s="102"/>
      <c r="LQF385" s="102"/>
      <c r="LQG385" s="102"/>
      <c r="LQH385" s="102"/>
      <c r="LQI385" s="102"/>
      <c r="LQJ385" s="102"/>
      <c r="LQK385" s="102"/>
      <c r="LQL385" s="102"/>
      <c r="LQM385" s="102"/>
      <c r="LQN385" s="102"/>
      <c r="LQO385" s="102"/>
      <c r="LQP385" s="102"/>
      <c r="LQQ385" s="102"/>
      <c r="LQR385" s="102"/>
      <c r="LQS385" s="102"/>
      <c r="LQT385" s="102"/>
      <c r="LQU385" s="102"/>
      <c r="LQV385" s="102"/>
      <c r="LQW385" s="102"/>
      <c r="LQX385" s="102"/>
      <c r="LQY385" s="102"/>
      <c r="LQZ385" s="102"/>
      <c r="LRA385" s="102"/>
      <c r="LRB385" s="102"/>
      <c r="LRC385" s="102"/>
      <c r="LRD385" s="102"/>
      <c r="LRE385" s="102"/>
      <c r="LRF385" s="102"/>
      <c r="LRG385" s="102"/>
      <c r="LRH385" s="102"/>
      <c r="LRI385" s="102"/>
      <c r="LRJ385" s="102"/>
      <c r="LRK385" s="102"/>
      <c r="LRL385" s="102"/>
      <c r="LRM385" s="102"/>
      <c r="LRN385" s="102"/>
      <c r="LRO385" s="102"/>
      <c r="LRP385" s="102"/>
      <c r="LRQ385" s="102"/>
      <c r="LRR385" s="102"/>
      <c r="LRS385" s="102"/>
      <c r="LRT385" s="102"/>
      <c r="LRU385" s="102"/>
      <c r="LRV385" s="102"/>
      <c r="LRW385" s="102"/>
      <c r="LRX385" s="102"/>
      <c r="LRY385" s="102"/>
      <c r="LRZ385" s="102"/>
      <c r="LSA385" s="102"/>
      <c r="LSB385" s="102"/>
      <c r="LSC385" s="102"/>
      <c r="LSD385" s="102"/>
      <c r="LSE385" s="102"/>
      <c r="LSF385" s="102"/>
      <c r="LSG385" s="102"/>
      <c r="LSH385" s="102"/>
      <c r="LSI385" s="102"/>
      <c r="LSJ385" s="102"/>
      <c r="LSK385" s="102"/>
      <c r="LSL385" s="102"/>
      <c r="LSM385" s="102"/>
      <c r="LSN385" s="102"/>
      <c r="LSO385" s="102"/>
      <c r="LSP385" s="102"/>
      <c r="LSQ385" s="102"/>
      <c r="LSR385" s="102"/>
      <c r="LSS385" s="102"/>
      <c r="LST385" s="102"/>
      <c r="LSU385" s="102"/>
      <c r="LSV385" s="102"/>
      <c r="LSW385" s="102"/>
      <c r="LSX385" s="102"/>
      <c r="LSY385" s="102"/>
      <c r="LSZ385" s="102"/>
      <c r="LTA385" s="102"/>
      <c r="LTB385" s="102"/>
      <c r="LTC385" s="102"/>
      <c r="LTD385" s="102"/>
      <c r="LTE385" s="102"/>
      <c r="LTF385" s="102"/>
      <c r="LTG385" s="102"/>
      <c r="LTH385" s="102"/>
      <c r="LTI385" s="102"/>
      <c r="LTJ385" s="102"/>
      <c r="LTK385" s="102"/>
      <c r="LTL385" s="102"/>
      <c r="LTM385" s="102"/>
      <c r="LTN385" s="102"/>
      <c r="LTO385" s="102"/>
      <c r="LTP385" s="102"/>
      <c r="LTQ385" s="102"/>
      <c r="LTR385" s="102"/>
      <c r="LTS385" s="102"/>
      <c r="LTT385" s="102"/>
      <c r="LTU385" s="102"/>
      <c r="LTV385" s="102"/>
      <c r="LTW385" s="102"/>
      <c r="LTX385" s="102"/>
      <c r="LTY385" s="102"/>
      <c r="LTZ385" s="102"/>
      <c r="LUA385" s="102"/>
      <c r="LUB385" s="102"/>
      <c r="LUC385" s="102"/>
      <c r="LUD385" s="102"/>
      <c r="LUE385" s="102"/>
      <c r="LUF385" s="102"/>
      <c r="LUG385" s="102"/>
      <c r="LUH385" s="102"/>
      <c r="LUI385" s="102"/>
      <c r="LUJ385" s="102"/>
      <c r="LUK385" s="102"/>
      <c r="LUL385" s="102"/>
      <c r="LUM385" s="102"/>
      <c r="LUN385" s="102"/>
      <c r="LUO385" s="102"/>
      <c r="LUP385" s="102"/>
      <c r="LUQ385" s="102"/>
      <c r="LUR385" s="102"/>
      <c r="LUS385" s="102"/>
      <c r="LUT385" s="102"/>
      <c r="LUU385" s="102"/>
      <c r="LUV385" s="102"/>
      <c r="LUW385" s="102"/>
      <c r="LUX385" s="102"/>
      <c r="LUY385" s="102"/>
      <c r="LUZ385" s="102"/>
      <c r="LVA385" s="102"/>
      <c r="LVB385" s="102"/>
      <c r="LVC385" s="102"/>
      <c r="LVD385" s="102"/>
      <c r="LVE385" s="102"/>
      <c r="LVF385" s="102"/>
      <c r="LVG385" s="102"/>
      <c r="LVH385" s="102"/>
      <c r="LVI385" s="102"/>
      <c r="LVJ385" s="102"/>
      <c r="LVK385" s="102"/>
      <c r="LVL385" s="102"/>
      <c r="LVM385" s="102"/>
      <c r="LVN385" s="102"/>
      <c r="LVO385" s="102"/>
      <c r="LVP385" s="102"/>
      <c r="LVQ385" s="102"/>
      <c r="LVR385" s="102"/>
      <c r="LVS385" s="102"/>
      <c r="LVT385" s="102"/>
      <c r="LVU385" s="102"/>
      <c r="LVV385" s="102"/>
      <c r="LVW385" s="102"/>
      <c r="LVX385" s="102"/>
      <c r="LVY385" s="102"/>
      <c r="LVZ385" s="102"/>
      <c r="LWA385" s="102"/>
      <c r="LWB385" s="102"/>
      <c r="LWC385" s="102"/>
      <c r="LWD385" s="102"/>
      <c r="LWE385" s="102"/>
      <c r="LWF385" s="102"/>
      <c r="LWG385" s="102"/>
      <c r="LWH385" s="102"/>
      <c r="LWI385" s="102"/>
      <c r="LWJ385" s="102"/>
      <c r="LWK385" s="102"/>
      <c r="LWL385" s="102"/>
      <c r="LWM385" s="102"/>
      <c r="LWN385" s="102"/>
      <c r="LWO385" s="102"/>
      <c r="LWP385" s="102"/>
      <c r="LWQ385" s="102"/>
      <c r="LWR385" s="102"/>
      <c r="LWS385" s="102"/>
      <c r="LWT385" s="102"/>
      <c r="LWU385" s="102"/>
      <c r="LWV385" s="102"/>
      <c r="LWW385" s="102"/>
      <c r="LWX385" s="102"/>
      <c r="LWY385" s="102"/>
      <c r="LWZ385" s="102"/>
      <c r="LXA385" s="102"/>
      <c r="LXB385" s="102"/>
      <c r="LXC385" s="102"/>
      <c r="LXD385" s="102"/>
      <c r="LXE385" s="102"/>
      <c r="LXF385" s="102"/>
      <c r="LXG385" s="102"/>
      <c r="LXH385" s="102"/>
      <c r="LXI385" s="102"/>
      <c r="LXJ385" s="102"/>
      <c r="LXK385" s="102"/>
      <c r="LXL385" s="102"/>
      <c r="LXM385" s="102"/>
      <c r="LXN385" s="102"/>
      <c r="LXO385" s="102"/>
      <c r="LXP385" s="102"/>
      <c r="LXQ385" s="102"/>
      <c r="LXR385" s="102"/>
      <c r="LXS385" s="102"/>
      <c r="LXT385" s="102"/>
      <c r="LXU385" s="102"/>
      <c r="LXV385" s="102"/>
      <c r="LXW385" s="102"/>
      <c r="LXX385" s="102"/>
      <c r="LXY385" s="102"/>
      <c r="LXZ385" s="102"/>
      <c r="LYA385" s="102"/>
      <c r="LYB385" s="102"/>
      <c r="LYC385" s="102"/>
      <c r="LYD385" s="102"/>
      <c r="LYE385" s="102"/>
      <c r="LYF385" s="102"/>
      <c r="LYG385" s="102"/>
      <c r="LYH385" s="102"/>
      <c r="LYI385" s="102"/>
      <c r="LYJ385" s="102"/>
      <c r="LYK385" s="102"/>
      <c r="LYL385" s="102"/>
      <c r="LYM385" s="102"/>
      <c r="LYN385" s="102"/>
      <c r="LYO385" s="102"/>
      <c r="LYP385" s="102"/>
      <c r="LYQ385" s="102"/>
      <c r="LYR385" s="102"/>
      <c r="LYS385" s="102"/>
      <c r="LYT385" s="102"/>
      <c r="LYU385" s="102"/>
      <c r="LYV385" s="102"/>
      <c r="LYW385" s="102"/>
      <c r="LYX385" s="102"/>
      <c r="LYY385" s="102"/>
      <c r="LYZ385" s="102"/>
      <c r="LZA385" s="102"/>
      <c r="LZB385" s="102"/>
      <c r="LZC385" s="102"/>
      <c r="LZD385" s="102"/>
      <c r="LZE385" s="102"/>
      <c r="LZF385" s="102"/>
      <c r="LZG385" s="102"/>
      <c r="LZH385" s="102"/>
      <c r="LZI385" s="102"/>
      <c r="LZJ385" s="102"/>
      <c r="LZK385" s="102"/>
      <c r="LZL385" s="102"/>
      <c r="LZM385" s="102"/>
      <c r="LZN385" s="102"/>
      <c r="LZO385" s="102"/>
      <c r="LZP385" s="102"/>
      <c r="LZQ385" s="102"/>
      <c r="LZR385" s="102"/>
      <c r="LZS385" s="102"/>
      <c r="LZT385" s="102"/>
      <c r="LZU385" s="102"/>
      <c r="LZV385" s="102"/>
      <c r="LZW385" s="102"/>
      <c r="LZX385" s="102"/>
      <c r="LZY385" s="102"/>
      <c r="LZZ385" s="102"/>
      <c r="MAA385" s="102"/>
      <c r="MAB385" s="102"/>
      <c r="MAC385" s="102"/>
      <c r="MAD385" s="102"/>
      <c r="MAE385" s="102"/>
      <c r="MAF385" s="102"/>
      <c r="MAG385" s="102"/>
      <c r="MAH385" s="102"/>
      <c r="MAI385" s="102"/>
      <c r="MAJ385" s="102"/>
      <c r="MAK385" s="102"/>
      <c r="MAL385" s="102"/>
      <c r="MAM385" s="102"/>
      <c r="MAN385" s="102"/>
      <c r="MAO385" s="102"/>
      <c r="MAP385" s="102"/>
      <c r="MAQ385" s="102"/>
      <c r="MAR385" s="102"/>
      <c r="MAS385" s="102"/>
      <c r="MAT385" s="102"/>
      <c r="MAU385" s="102"/>
      <c r="MAV385" s="102"/>
      <c r="MAW385" s="102"/>
      <c r="MAX385" s="102"/>
      <c r="MAY385" s="102"/>
      <c r="MAZ385" s="102"/>
      <c r="MBA385" s="102"/>
      <c r="MBB385" s="102"/>
      <c r="MBC385" s="102"/>
      <c r="MBD385" s="102"/>
      <c r="MBE385" s="102"/>
      <c r="MBF385" s="102"/>
      <c r="MBG385" s="102"/>
      <c r="MBH385" s="102"/>
      <c r="MBI385" s="102"/>
      <c r="MBJ385" s="102"/>
      <c r="MBK385" s="102"/>
      <c r="MBL385" s="102"/>
      <c r="MBM385" s="102"/>
      <c r="MBN385" s="102"/>
      <c r="MBO385" s="102"/>
      <c r="MBP385" s="102"/>
      <c r="MBQ385" s="102"/>
      <c r="MBR385" s="102"/>
      <c r="MBS385" s="102"/>
      <c r="MBT385" s="102"/>
      <c r="MBU385" s="102"/>
      <c r="MBV385" s="102"/>
      <c r="MBW385" s="102"/>
      <c r="MBX385" s="102"/>
      <c r="MBY385" s="102"/>
      <c r="MBZ385" s="102"/>
      <c r="MCA385" s="102"/>
      <c r="MCB385" s="102"/>
      <c r="MCC385" s="102"/>
      <c r="MCD385" s="102"/>
      <c r="MCE385" s="102"/>
      <c r="MCF385" s="102"/>
      <c r="MCG385" s="102"/>
      <c r="MCH385" s="102"/>
      <c r="MCI385" s="102"/>
      <c r="MCJ385" s="102"/>
      <c r="MCK385" s="102"/>
      <c r="MCL385" s="102"/>
      <c r="MCM385" s="102"/>
      <c r="MCN385" s="102"/>
      <c r="MCO385" s="102"/>
      <c r="MCP385" s="102"/>
      <c r="MCQ385" s="102"/>
      <c r="MCR385" s="102"/>
      <c r="MCS385" s="102"/>
      <c r="MCT385" s="102"/>
      <c r="MCU385" s="102"/>
      <c r="MCV385" s="102"/>
      <c r="MCW385" s="102"/>
      <c r="MCX385" s="102"/>
      <c r="MCY385" s="102"/>
      <c r="MCZ385" s="102"/>
      <c r="MDA385" s="102"/>
      <c r="MDB385" s="102"/>
      <c r="MDC385" s="102"/>
      <c r="MDD385" s="102"/>
      <c r="MDE385" s="102"/>
      <c r="MDF385" s="102"/>
      <c r="MDG385" s="102"/>
      <c r="MDH385" s="102"/>
      <c r="MDI385" s="102"/>
      <c r="MDJ385" s="102"/>
      <c r="MDK385" s="102"/>
      <c r="MDL385" s="102"/>
      <c r="MDM385" s="102"/>
      <c r="MDN385" s="102"/>
      <c r="MDO385" s="102"/>
      <c r="MDP385" s="102"/>
      <c r="MDQ385" s="102"/>
      <c r="MDR385" s="102"/>
      <c r="MDS385" s="102"/>
      <c r="MDT385" s="102"/>
      <c r="MDU385" s="102"/>
      <c r="MDV385" s="102"/>
      <c r="MDW385" s="102"/>
      <c r="MDX385" s="102"/>
      <c r="MDY385" s="102"/>
      <c r="MDZ385" s="102"/>
      <c r="MEA385" s="102"/>
      <c r="MEB385" s="102"/>
      <c r="MEC385" s="102"/>
      <c r="MED385" s="102"/>
      <c r="MEE385" s="102"/>
      <c r="MEF385" s="102"/>
      <c r="MEG385" s="102"/>
      <c r="MEH385" s="102"/>
      <c r="MEI385" s="102"/>
      <c r="MEJ385" s="102"/>
      <c r="MEK385" s="102"/>
      <c r="MEL385" s="102"/>
      <c r="MEM385" s="102"/>
      <c r="MEN385" s="102"/>
      <c r="MEO385" s="102"/>
      <c r="MEP385" s="102"/>
      <c r="MEQ385" s="102"/>
      <c r="MER385" s="102"/>
      <c r="MES385" s="102"/>
      <c r="MET385" s="102"/>
      <c r="MEU385" s="102"/>
      <c r="MEV385" s="102"/>
      <c r="MEW385" s="102"/>
      <c r="MEX385" s="102"/>
      <c r="MEY385" s="102"/>
      <c r="MEZ385" s="102"/>
      <c r="MFA385" s="102"/>
      <c r="MFB385" s="102"/>
      <c r="MFC385" s="102"/>
      <c r="MFD385" s="102"/>
      <c r="MFE385" s="102"/>
      <c r="MFF385" s="102"/>
      <c r="MFG385" s="102"/>
      <c r="MFH385" s="102"/>
      <c r="MFI385" s="102"/>
      <c r="MFJ385" s="102"/>
      <c r="MFK385" s="102"/>
      <c r="MFL385" s="102"/>
      <c r="MFM385" s="102"/>
      <c r="MFN385" s="102"/>
      <c r="MFO385" s="102"/>
      <c r="MFP385" s="102"/>
      <c r="MFQ385" s="102"/>
      <c r="MFR385" s="102"/>
      <c r="MFS385" s="102"/>
      <c r="MFT385" s="102"/>
      <c r="MFU385" s="102"/>
      <c r="MFV385" s="102"/>
      <c r="MFW385" s="102"/>
      <c r="MFX385" s="102"/>
      <c r="MFY385" s="102"/>
      <c r="MFZ385" s="102"/>
      <c r="MGA385" s="102"/>
      <c r="MGB385" s="102"/>
      <c r="MGC385" s="102"/>
      <c r="MGD385" s="102"/>
      <c r="MGE385" s="102"/>
      <c r="MGF385" s="102"/>
      <c r="MGG385" s="102"/>
      <c r="MGH385" s="102"/>
      <c r="MGI385" s="102"/>
      <c r="MGJ385" s="102"/>
      <c r="MGK385" s="102"/>
      <c r="MGL385" s="102"/>
      <c r="MGM385" s="102"/>
      <c r="MGN385" s="102"/>
      <c r="MGO385" s="102"/>
      <c r="MGP385" s="102"/>
      <c r="MGQ385" s="102"/>
      <c r="MGR385" s="102"/>
      <c r="MGS385" s="102"/>
      <c r="MGT385" s="102"/>
      <c r="MGU385" s="102"/>
      <c r="MGV385" s="102"/>
      <c r="MGW385" s="102"/>
      <c r="MGX385" s="102"/>
      <c r="MGY385" s="102"/>
      <c r="MGZ385" s="102"/>
      <c r="MHA385" s="102"/>
      <c r="MHB385" s="102"/>
      <c r="MHC385" s="102"/>
      <c r="MHD385" s="102"/>
      <c r="MHE385" s="102"/>
      <c r="MHF385" s="102"/>
      <c r="MHG385" s="102"/>
      <c r="MHH385" s="102"/>
      <c r="MHI385" s="102"/>
      <c r="MHJ385" s="102"/>
      <c r="MHK385" s="102"/>
      <c r="MHL385" s="102"/>
      <c r="MHM385" s="102"/>
      <c r="MHN385" s="102"/>
      <c r="MHO385" s="102"/>
      <c r="MHP385" s="102"/>
      <c r="MHQ385" s="102"/>
      <c r="MHR385" s="102"/>
      <c r="MHS385" s="102"/>
      <c r="MHT385" s="102"/>
      <c r="MHU385" s="102"/>
      <c r="MHV385" s="102"/>
      <c r="MHW385" s="102"/>
      <c r="MHX385" s="102"/>
      <c r="MHY385" s="102"/>
      <c r="MHZ385" s="102"/>
      <c r="MIA385" s="102"/>
      <c r="MIB385" s="102"/>
      <c r="MIC385" s="102"/>
      <c r="MID385" s="102"/>
      <c r="MIE385" s="102"/>
      <c r="MIF385" s="102"/>
      <c r="MIG385" s="102"/>
      <c r="MIH385" s="102"/>
      <c r="MII385" s="102"/>
      <c r="MIJ385" s="102"/>
      <c r="MIK385" s="102"/>
      <c r="MIL385" s="102"/>
      <c r="MIM385" s="102"/>
      <c r="MIN385" s="102"/>
      <c r="MIO385" s="102"/>
      <c r="MIP385" s="102"/>
      <c r="MIQ385" s="102"/>
      <c r="MIR385" s="102"/>
      <c r="MIS385" s="102"/>
      <c r="MIT385" s="102"/>
      <c r="MIU385" s="102"/>
      <c r="MIV385" s="102"/>
      <c r="MIW385" s="102"/>
      <c r="MIX385" s="102"/>
      <c r="MIY385" s="102"/>
      <c r="MIZ385" s="102"/>
      <c r="MJA385" s="102"/>
      <c r="MJB385" s="102"/>
      <c r="MJC385" s="102"/>
      <c r="MJD385" s="102"/>
      <c r="MJE385" s="102"/>
      <c r="MJF385" s="102"/>
      <c r="MJG385" s="102"/>
      <c r="MJH385" s="102"/>
      <c r="MJI385" s="102"/>
      <c r="MJJ385" s="102"/>
      <c r="MJK385" s="102"/>
      <c r="MJL385" s="102"/>
      <c r="MJM385" s="102"/>
      <c r="MJN385" s="102"/>
      <c r="MJO385" s="102"/>
      <c r="MJP385" s="102"/>
      <c r="MJQ385" s="102"/>
      <c r="MJR385" s="102"/>
      <c r="MJS385" s="102"/>
      <c r="MJT385" s="102"/>
      <c r="MJU385" s="102"/>
      <c r="MJV385" s="102"/>
      <c r="MJW385" s="102"/>
      <c r="MJX385" s="102"/>
      <c r="MJY385" s="102"/>
      <c r="MJZ385" s="102"/>
      <c r="MKA385" s="102"/>
      <c r="MKB385" s="102"/>
      <c r="MKC385" s="102"/>
      <c r="MKD385" s="102"/>
      <c r="MKE385" s="102"/>
      <c r="MKF385" s="102"/>
      <c r="MKG385" s="102"/>
      <c r="MKH385" s="102"/>
      <c r="MKI385" s="102"/>
      <c r="MKJ385" s="102"/>
      <c r="MKK385" s="102"/>
      <c r="MKL385" s="102"/>
      <c r="MKM385" s="102"/>
      <c r="MKN385" s="102"/>
      <c r="MKO385" s="102"/>
      <c r="MKP385" s="102"/>
      <c r="MKQ385" s="102"/>
      <c r="MKR385" s="102"/>
      <c r="MKS385" s="102"/>
      <c r="MKT385" s="102"/>
      <c r="MKU385" s="102"/>
      <c r="MKV385" s="102"/>
      <c r="MKW385" s="102"/>
      <c r="MKX385" s="102"/>
      <c r="MKY385" s="102"/>
      <c r="MKZ385" s="102"/>
      <c r="MLA385" s="102"/>
      <c r="MLB385" s="102"/>
      <c r="MLC385" s="102"/>
      <c r="MLD385" s="102"/>
      <c r="MLE385" s="102"/>
      <c r="MLF385" s="102"/>
      <c r="MLG385" s="102"/>
      <c r="MLH385" s="102"/>
      <c r="MLI385" s="102"/>
      <c r="MLJ385" s="102"/>
      <c r="MLK385" s="102"/>
      <c r="MLL385" s="102"/>
      <c r="MLM385" s="102"/>
      <c r="MLN385" s="102"/>
      <c r="MLO385" s="102"/>
      <c r="MLP385" s="102"/>
      <c r="MLQ385" s="102"/>
      <c r="MLR385" s="102"/>
      <c r="MLS385" s="102"/>
      <c r="MLT385" s="102"/>
      <c r="MLU385" s="102"/>
      <c r="MLV385" s="102"/>
      <c r="MLW385" s="102"/>
      <c r="MLX385" s="102"/>
      <c r="MLY385" s="102"/>
      <c r="MLZ385" s="102"/>
      <c r="MMA385" s="102"/>
      <c r="MMB385" s="102"/>
      <c r="MMC385" s="102"/>
      <c r="MMD385" s="102"/>
      <c r="MME385" s="102"/>
      <c r="MMF385" s="102"/>
      <c r="MMG385" s="102"/>
      <c r="MMH385" s="102"/>
      <c r="MMI385" s="102"/>
      <c r="MMJ385" s="102"/>
      <c r="MMK385" s="102"/>
      <c r="MML385" s="102"/>
      <c r="MMM385" s="102"/>
      <c r="MMN385" s="102"/>
      <c r="MMO385" s="102"/>
      <c r="MMP385" s="102"/>
      <c r="MMQ385" s="102"/>
      <c r="MMR385" s="102"/>
      <c r="MMS385" s="102"/>
      <c r="MMT385" s="102"/>
      <c r="MMU385" s="102"/>
      <c r="MMV385" s="102"/>
      <c r="MMW385" s="102"/>
      <c r="MMX385" s="102"/>
      <c r="MMY385" s="102"/>
      <c r="MMZ385" s="102"/>
      <c r="MNA385" s="102"/>
      <c r="MNB385" s="102"/>
      <c r="MNC385" s="102"/>
      <c r="MND385" s="102"/>
      <c r="MNE385" s="102"/>
      <c r="MNF385" s="102"/>
      <c r="MNG385" s="102"/>
      <c r="MNH385" s="102"/>
      <c r="MNI385" s="102"/>
      <c r="MNJ385" s="102"/>
      <c r="MNK385" s="102"/>
      <c r="MNL385" s="102"/>
      <c r="MNM385" s="102"/>
      <c r="MNN385" s="102"/>
      <c r="MNO385" s="102"/>
      <c r="MNP385" s="102"/>
      <c r="MNQ385" s="102"/>
      <c r="MNR385" s="102"/>
      <c r="MNS385" s="102"/>
      <c r="MNT385" s="102"/>
      <c r="MNU385" s="102"/>
      <c r="MNV385" s="102"/>
      <c r="MNW385" s="102"/>
      <c r="MNX385" s="102"/>
      <c r="MNY385" s="102"/>
      <c r="MNZ385" s="102"/>
      <c r="MOA385" s="102"/>
      <c r="MOB385" s="102"/>
      <c r="MOC385" s="102"/>
      <c r="MOD385" s="102"/>
      <c r="MOE385" s="102"/>
      <c r="MOF385" s="102"/>
      <c r="MOG385" s="102"/>
      <c r="MOH385" s="102"/>
      <c r="MOI385" s="102"/>
      <c r="MOJ385" s="102"/>
      <c r="MOK385" s="102"/>
      <c r="MOL385" s="102"/>
      <c r="MOM385" s="102"/>
      <c r="MON385" s="102"/>
      <c r="MOO385" s="102"/>
      <c r="MOP385" s="102"/>
      <c r="MOQ385" s="102"/>
      <c r="MOR385" s="102"/>
      <c r="MOS385" s="102"/>
      <c r="MOT385" s="102"/>
      <c r="MOU385" s="102"/>
      <c r="MOV385" s="102"/>
      <c r="MOW385" s="102"/>
      <c r="MOX385" s="102"/>
      <c r="MOY385" s="102"/>
      <c r="MOZ385" s="102"/>
      <c r="MPA385" s="102"/>
      <c r="MPB385" s="102"/>
      <c r="MPC385" s="102"/>
      <c r="MPD385" s="102"/>
      <c r="MPE385" s="102"/>
      <c r="MPF385" s="102"/>
      <c r="MPG385" s="102"/>
      <c r="MPH385" s="102"/>
      <c r="MPI385" s="102"/>
      <c r="MPJ385" s="102"/>
      <c r="MPK385" s="102"/>
      <c r="MPL385" s="102"/>
      <c r="MPM385" s="102"/>
      <c r="MPN385" s="102"/>
      <c r="MPO385" s="102"/>
      <c r="MPP385" s="102"/>
      <c r="MPQ385" s="102"/>
      <c r="MPR385" s="102"/>
      <c r="MPS385" s="102"/>
      <c r="MPT385" s="102"/>
      <c r="MPU385" s="102"/>
      <c r="MPV385" s="102"/>
      <c r="MPW385" s="102"/>
      <c r="MPX385" s="102"/>
      <c r="MPY385" s="102"/>
      <c r="MPZ385" s="102"/>
      <c r="MQA385" s="102"/>
      <c r="MQB385" s="102"/>
      <c r="MQC385" s="102"/>
      <c r="MQD385" s="102"/>
      <c r="MQE385" s="102"/>
      <c r="MQF385" s="102"/>
      <c r="MQG385" s="102"/>
      <c r="MQH385" s="102"/>
      <c r="MQI385" s="102"/>
      <c r="MQJ385" s="102"/>
      <c r="MQK385" s="102"/>
      <c r="MQL385" s="102"/>
      <c r="MQM385" s="102"/>
      <c r="MQN385" s="102"/>
      <c r="MQO385" s="102"/>
      <c r="MQP385" s="102"/>
      <c r="MQQ385" s="102"/>
      <c r="MQR385" s="102"/>
      <c r="MQS385" s="102"/>
      <c r="MQT385" s="102"/>
      <c r="MQU385" s="102"/>
      <c r="MQV385" s="102"/>
      <c r="MQW385" s="102"/>
      <c r="MQX385" s="102"/>
      <c r="MQY385" s="102"/>
      <c r="MQZ385" s="102"/>
      <c r="MRA385" s="102"/>
      <c r="MRB385" s="102"/>
      <c r="MRC385" s="102"/>
      <c r="MRD385" s="102"/>
      <c r="MRE385" s="102"/>
      <c r="MRF385" s="102"/>
      <c r="MRG385" s="102"/>
      <c r="MRH385" s="102"/>
      <c r="MRI385" s="102"/>
      <c r="MRJ385" s="102"/>
      <c r="MRK385" s="102"/>
      <c r="MRL385" s="102"/>
      <c r="MRM385" s="102"/>
      <c r="MRN385" s="102"/>
      <c r="MRO385" s="102"/>
      <c r="MRP385" s="102"/>
      <c r="MRQ385" s="102"/>
      <c r="MRR385" s="102"/>
      <c r="MRS385" s="102"/>
      <c r="MRT385" s="102"/>
      <c r="MRU385" s="102"/>
      <c r="MRV385" s="102"/>
      <c r="MRW385" s="102"/>
      <c r="MRX385" s="102"/>
      <c r="MRY385" s="102"/>
      <c r="MRZ385" s="102"/>
      <c r="MSA385" s="102"/>
      <c r="MSB385" s="102"/>
      <c r="MSC385" s="102"/>
      <c r="MSD385" s="102"/>
      <c r="MSE385" s="102"/>
      <c r="MSF385" s="102"/>
      <c r="MSG385" s="102"/>
      <c r="MSH385" s="102"/>
      <c r="MSI385" s="102"/>
      <c r="MSJ385" s="102"/>
      <c r="MSK385" s="102"/>
      <c r="MSL385" s="102"/>
      <c r="MSM385" s="102"/>
      <c r="MSN385" s="102"/>
      <c r="MSO385" s="102"/>
      <c r="MSP385" s="102"/>
      <c r="MSQ385" s="102"/>
      <c r="MSR385" s="102"/>
      <c r="MSS385" s="102"/>
      <c r="MST385" s="102"/>
      <c r="MSU385" s="102"/>
      <c r="MSV385" s="102"/>
      <c r="MSW385" s="102"/>
      <c r="MSX385" s="102"/>
      <c r="MSY385" s="102"/>
      <c r="MSZ385" s="102"/>
      <c r="MTA385" s="102"/>
      <c r="MTB385" s="102"/>
      <c r="MTC385" s="102"/>
      <c r="MTD385" s="102"/>
      <c r="MTE385" s="102"/>
      <c r="MTF385" s="102"/>
      <c r="MTG385" s="102"/>
      <c r="MTH385" s="102"/>
      <c r="MTI385" s="102"/>
      <c r="MTJ385" s="102"/>
      <c r="MTK385" s="102"/>
      <c r="MTL385" s="102"/>
      <c r="MTM385" s="102"/>
      <c r="MTN385" s="102"/>
      <c r="MTO385" s="102"/>
      <c r="MTP385" s="102"/>
      <c r="MTQ385" s="102"/>
      <c r="MTR385" s="102"/>
      <c r="MTS385" s="102"/>
      <c r="MTT385" s="102"/>
      <c r="MTU385" s="102"/>
      <c r="MTV385" s="102"/>
      <c r="MTW385" s="102"/>
      <c r="MTX385" s="102"/>
      <c r="MTY385" s="102"/>
      <c r="MTZ385" s="102"/>
      <c r="MUA385" s="102"/>
      <c r="MUB385" s="102"/>
      <c r="MUC385" s="102"/>
      <c r="MUD385" s="102"/>
      <c r="MUE385" s="102"/>
      <c r="MUF385" s="102"/>
      <c r="MUG385" s="102"/>
      <c r="MUH385" s="102"/>
      <c r="MUI385" s="102"/>
      <c r="MUJ385" s="102"/>
      <c r="MUK385" s="102"/>
      <c r="MUL385" s="102"/>
      <c r="MUM385" s="102"/>
      <c r="MUN385" s="102"/>
      <c r="MUO385" s="102"/>
      <c r="MUP385" s="102"/>
      <c r="MUQ385" s="102"/>
      <c r="MUR385" s="102"/>
      <c r="MUS385" s="102"/>
      <c r="MUT385" s="102"/>
      <c r="MUU385" s="102"/>
      <c r="MUV385" s="102"/>
      <c r="MUW385" s="102"/>
      <c r="MUX385" s="102"/>
      <c r="MUY385" s="102"/>
      <c r="MUZ385" s="102"/>
      <c r="MVA385" s="102"/>
      <c r="MVB385" s="102"/>
      <c r="MVC385" s="102"/>
      <c r="MVD385" s="102"/>
      <c r="MVE385" s="102"/>
      <c r="MVF385" s="102"/>
      <c r="MVG385" s="102"/>
      <c r="MVH385" s="102"/>
      <c r="MVI385" s="102"/>
      <c r="MVJ385" s="102"/>
      <c r="MVK385" s="102"/>
      <c r="MVL385" s="102"/>
      <c r="MVM385" s="102"/>
      <c r="MVN385" s="102"/>
      <c r="MVO385" s="102"/>
      <c r="MVP385" s="102"/>
      <c r="MVQ385" s="102"/>
      <c r="MVR385" s="102"/>
      <c r="MVS385" s="102"/>
      <c r="MVT385" s="102"/>
      <c r="MVU385" s="102"/>
      <c r="MVV385" s="102"/>
      <c r="MVW385" s="102"/>
      <c r="MVX385" s="102"/>
      <c r="MVY385" s="102"/>
      <c r="MVZ385" s="102"/>
      <c r="MWA385" s="102"/>
      <c r="MWB385" s="102"/>
      <c r="MWC385" s="102"/>
      <c r="MWD385" s="102"/>
      <c r="MWE385" s="102"/>
      <c r="MWF385" s="102"/>
      <c r="MWG385" s="102"/>
      <c r="MWH385" s="102"/>
      <c r="MWI385" s="102"/>
      <c r="MWJ385" s="102"/>
      <c r="MWK385" s="102"/>
      <c r="MWL385" s="102"/>
      <c r="MWM385" s="102"/>
      <c r="MWN385" s="102"/>
      <c r="MWO385" s="102"/>
      <c r="MWP385" s="102"/>
      <c r="MWQ385" s="102"/>
      <c r="MWR385" s="102"/>
      <c r="MWS385" s="102"/>
      <c r="MWT385" s="102"/>
      <c r="MWU385" s="102"/>
      <c r="MWV385" s="102"/>
      <c r="MWW385" s="102"/>
      <c r="MWX385" s="102"/>
      <c r="MWY385" s="102"/>
      <c r="MWZ385" s="102"/>
      <c r="MXA385" s="102"/>
      <c r="MXB385" s="102"/>
      <c r="MXC385" s="102"/>
      <c r="MXD385" s="102"/>
      <c r="MXE385" s="102"/>
      <c r="MXF385" s="102"/>
      <c r="MXG385" s="102"/>
      <c r="MXH385" s="102"/>
      <c r="MXI385" s="102"/>
      <c r="MXJ385" s="102"/>
      <c r="MXK385" s="102"/>
      <c r="MXL385" s="102"/>
      <c r="MXM385" s="102"/>
      <c r="MXN385" s="102"/>
      <c r="MXO385" s="102"/>
      <c r="MXP385" s="102"/>
      <c r="MXQ385" s="102"/>
      <c r="MXR385" s="102"/>
      <c r="MXS385" s="102"/>
      <c r="MXT385" s="102"/>
      <c r="MXU385" s="102"/>
      <c r="MXV385" s="102"/>
      <c r="MXW385" s="102"/>
      <c r="MXX385" s="102"/>
      <c r="MXY385" s="102"/>
      <c r="MXZ385" s="102"/>
      <c r="MYA385" s="102"/>
      <c r="MYB385" s="102"/>
      <c r="MYC385" s="102"/>
      <c r="MYD385" s="102"/>
      <c r="MYE385" s="102"/>
      <c r="MYF385" s="102"/>
      <c r="MYG385" s="102"/>
      <c r="MYH385" s="102"/>
      <c r="MYI385" s="102"/>
      <c r="MYJ385" s="102"/>
      <c r="MYK385" s="102"/>
      <c r="MYL385" s="102"/>
      <c r="MYM385" s="102"/>
      <c r="MYN385" s="102"/>
      <c r="MYO385" s="102"/>
      <c r="MYP385" s="102"/>
      <c r="MYQ385" s="102"/>
      <c r="MYR385" s="102"/>
      <c r="MYS385" s="102"/>
      <c r="MYT385" s="102"/>
      <c r="MYU385" s="102"/>
      <c r="MYV385" s="102"/>
      <c r="MYW385" s="102"/>
      <c r="MYX385" s="102"/>
      <c r="MYY385" s="102"/>
      <c r="MYZ385" s="102"/>
      <c r="MZA385" s="102"/>
      <c r="MZB385" s="102"/>
      <c r="MZC385" s="102"/>
      <c r="MZD385" s="102"/>
      <c r="MZE385" s="102"/>
      <c r="MZF385" s="102"/>
      <c r="MZG385" s="102"/>
      <c r="MZH385" s="102"/>
      <c r="MZI385" s="102"/>
      <c r="MZJ385" s="102"/>
      <c r="MZK385" s="102"/>
      <c r="MZL385" s="102"/>
      <c r="MZM385" s="102"/>
      <c r="MZN385" s="102"/>
      <c r="MZO385" s="102"/>
      <c r="MZP385" s="102"/>
      <c r="MZQ385" s="102"/>
      <c r="MZR385" s="102"/>
      <c r="MZS385" s="102"/>
      <c r="MZT385" s="102"/>
      <c r="MZU385" s="102"/>
      <c r="MZV385" s="102"/>
      <c r="MZW385" s="102"/>
      <c r="MZX385" s="102"/>
      <c r="MZY385" s="102"/>
      <c r="MZZ385" s="102"/>
      <c r="NAA385" s="102"/>
      <c r="NAB385" s="102"/>
      <c r="NAC385" s="102"/>
      <c r="NAD385" s="102"/>
      <c r="NAE385" s="102"/>
      <c r="NAF385" s="102"/>
      <c r="NAG385" s="102"/>
      <c r="NAH385" s="102"/>
      <c r="NAI385" s="102"/>
      <c r="NAJ385" s="102"/>
      <c r="NAK385" s="102"/>
      <c r="NAL385" s="102"/>
      <c r="NAM385" s="102"/>
      <c r="NAN385" s="102"/>
      <c r="NAO385" s="102"/>
      <c r="NAP385" s="102"/>
      <c r="NAQ385" s="102"/>
      <c r="NAR385" s="102"/>
      <c r="NAS385" s="102"/>
      <c r="NAT385" s="102"/>
      <c r="NAU385" s="102"/>
      <c r="NAV385" s="102"/>
      <c r="NAW385" s="102"/>
      <c r="NAX385" s="102"/>
      <c r="NAY385" s="102"/>
      <c r="NAZ385" s="102"/>
      <c r="NBA385" s="102"/>
      <c r="NBB385" s="102"/>
      <c r="NBC385" s="102"/>
      <c r="NBD385" s="102"/>
      <c r="NBE385" s="102"/>
      <c r="NBF385" s="102"/>
      <c r="NBG385" s="102"/>
      <c r="NBH385" s="102"/>
      <c r="NBI385" s="102"/>
      <c r="NBJ385" s="102"/>
      <c r="NBK385" s="102"/>
      <c r="NBL385" s="102"/>
      <c r="NBM385" s="102"/>
      <c r="NBN385" s="102"/>
      <c r="NBO385" s="102"/>
      <c r="NBP385" s="102"/>
      <c r="NBQ385" s="102"/>
      <c r="NBR385" s="102"/>
      <c r="NBS385" s="102"/>
      <c r="NBT385" s="102"/>
      <c r="NBU385" s="102"/>
      <c r="NBV385" s="102"/>
      <c r="NBW385" s="102"/>
      <c r="NBX385" s="102"/>
      <c r="NBY385" s="102"/>
      <c r="NBZ385" s="102"/>
      <c r="NCA385" s="102"/>
      <c r="NCB385" s="102"/>
      <c r="NCC385" s="102"/>
      <c r="NCD385" s="102"/>
      <c r="NCE385" s="102"/>
      <c r="NCF385" s="102"/>
      <c r="NCG385" s="102"/>
      <c r="NCH385" s="102"/>
      <c r="NCI385" s="102"/>
      <c r="NCJ385" s="102"/>
      <c r="NCK385" s="102"/>
      <c r="NCL385" s="102"/>
      <c r="NCM385" s="102"/>
      <c r="NCN385" s="102"/>
      <c r="NCO385" s="102"/>
      <c r="NCP385" s="102"/>
      <c r="NCQ385" s="102"/>
      <c r="NCR385" s="102"/>
      <c r="NCS385" s="102"/>
      <c r="NCT385" s="102"/>
      <c r="NCU385" s="102"/>
      <c r="NCV385" s="102"/>
      <c r="NCW385" s="102"/>
      <c r="NCX385" s="102"/>
      <c r="NCY385" s="102"/>
      <c r="NCZ385" s="102"/>
      <c r="NDA385" s="102"/>
      <c r="NDB385" s="102"/>
      <c r="NDC385" s="102"/>
      <c r="NDD385" s="102"/>
      <c r="NDE385" s="102"/>
      <c r="NDF385" s="102"/>
      <c r="NDG385" s="102"/>
      <c r="NDH385" s="102"/>
      <c r="NDI385" s="102"/>
      <c r="NDJ385" s="102"/>
      <c r="NDK385" s="102"/>
      <c r="NDL385" s="102"/>
      <c r="NDM385" s="102"/>
      <c r="NDN385" s="102"/>
      <c r="NDO385" s="102"/>
      <c r="NDP385" s="102"/>
      <c r="NDQ385" s="102"/>
      <c r="NDR385" s="102"/>
      <c r="NDS385" s="102"/>
      <c r="NDT385" s="102"/>
      <c r="NDU385" s="102"/>
      <c r="NDV385" s="102"/>
      <c r="NDW385" s="102"/>
      <c r="NDX385" s="102"/>
      <c r="NDY385" s="102"/>
      <c r="NDZ385" s="102"/>
      <c r="NEA385" s="102"/>
      <c r="NEB385" s="102"/>
      <c r="NEC385" s="102"/>
      <c r="NED385" s="102"/>
      <c r="NEE385" s="102"/>
      <c r="NEF385" s="102"/>
      <c r="NEG385" s="102"/>
      <c r="NEH385" s="102"/>
      <c r="NEI385" s="102"/>
      <c r="NEJ385" s="102"/>
      <c r="NEK385" s="102"/>
      <c r="NEL385" s="102"/>
      <c r="NEM385" s="102"/>
      <c r="NEN385" s="102"/>
      <c r="NEO385" s="102"/>
      <c r="NEP385" s="102"/>
      <c r="NEQ385" s="102"/>
      <c r="NER385" s="102"/>
      <c r="NES385" s="102"/>
      <c r="NET385" s="102"/>
      <c r="NEU385" s="102"/>
      <c r="NEV385" s="102"/>
      <c r="NEW385" s="102"/>
      <c r="NEX385" s="102"/>
      <c r="NEY385" s="102"/>
      <c r="NEZ385" s="102"/>
      <c r="NFA385" s="102"/>
      <c r="NFB385" s="102"/>
      <c r="NFC385" s="102"/>
      <c r="NFD385" s="102"/>
      <c r="NFE385" s="102"/>
      <c r="NFF385" s="102"/>
      <c r="NFG385" s="102"/>
      <c r="NFH385" s="102"/>
      <c r="NFI385" s="102"/>
      <c r="NFJ385" s="102"/>
      <c r="NFK385" s="102"/>
      <c r="NFL385" s="102"/>
      <c r="NFM385" s="102"/>
      <c r="NFN385" s="102"/>
      <c r="NFO385" s="102"/>
      <c r="NFP385" s="102"/>
      <c r="NFQ385" s="102"/>
      <c r="NFR385" s="102"/>
      <c r="NFS385" s="102"/>
      <c r="NFT385" s="102"/>
      <c r="NFU385" s="102"/>
      <c r="NFV385" s="102"/>
      <c r="NFW385" s="102"/>
      <c r="NFX385" s="102"/>
      <c r="NFY385" s="102"/>
      <c r="NFZ385" s="102"/>
      <c r="NGA385" s="102"/>
      <c r="NGB385" s="102"/>
      <c r="NGC385" s="102"/>
      <c r="NGD385" s="102"/>
      <c r="NGE385" s="102"/>
      <c r="NGF385" s="102"/>
      <c r="NGG385" s="102"/>
      <c r="NGH385" s="102"/>
      <c r="NGI385" s="102"/>
      <c r="NGJ385" s="102"/>
      <c r="NGK385" s="102"/>
      <c r="NGL385" s="102"/>
      <c r="NGM385" s="102"/>
      <c r="NGN385" s="102"/>
      <c r="NGO385" s="102"/>
      <c r="NGP385" s="102"/>
      <c r="NGQ385" s="102"/>
      <c r="NGR385" s="102"/>
      <c r="NGS385" s="102"/>
      <c r="NGT385" s="102"/>
      <c r="NGU385" s="102"/>
      <c r="NGV385" s="102"/>
      <c r="NGW385" s="102"/>
      <c r="NGX385" s="102"/>
      <c r="NGY385" s="102"/>
      <c r="NGZ385" s="102"/>
      <c r="NHA385" s="102"/>
      <c r="NHB385" s="102"/>
      <c r="NHC385" s="102"/>
      <c r="NHD385" s="102"/>
      <c r="NHE385" s="102"/>
      <c r="NHF385" s="102"/>
      <c r="NHG385" s="102"/>
      <c r="NHH385" s="102"/>
      <c r="NHI385" s="102"/>
      <c r="NHJ385" s="102"/>
      <c r="NHK385" s="102"/>
      <c r="NHL385" s="102"/>
      <c r="NHM385" s="102"/>
      <c r="NHN385" s="102"/>
      <c r="NHO385" s="102"/>
      <c r="NHP385" s="102"/>
      <c r="NHQ385" s="102"/>
      <c r="NHR385" s="102"/>
      <c r="NHS385" s="102"/>
      <c r="NHT385" s="102"/>
      <c r="NHU385" s="102"/>
      <c r="NHV385" s="102"/>
      <c r="NHW385" s="102"/>
      <c r="NHX385" s="102"/>
      <c r="NHY385" s="102"/>
      <c r="NHZ385" s="102"/>
      <c r="NIA385" s="102"/>
      <c r="NIB385" s="102"/>
      <c r="NIC385" s="102"/>
      <c r="NID385" s="102"/>
      <c r="NIE385" s="102"/>
      <c r="NIF385" s="102"/>
      <c r="NIG385" s="102"/>
      <c r="NIH385" s="102"/>
      <c r="NII385" s="102"/>
      <c r="NIJ385" s="102"/>
      <c r="NIK385" s="102"/>
      <c r="NIL385" s="102"/>
      <c r="NIM385" s="102"/>
      <c r="NIN385" s="102"/>
      <c r="NIO385" s="102"/>
      <c r="NIP385" s="102"/>
      <c r="NIQ385" s="102"/>
      <c r="NIR385" s="102"/>
      <c r="NIS385" s="102"/>
      <c r="NIT385" s="102"/>
      <c r="NIU385" s="102"/>
      <c r="NIV385" s="102"/>
      <c r="NIW385" s="102"/>
      <c r="NIX385" s="102"/>
      <c r="NIY385" s="102"/>
      <c r="NIZ385" s="102"/>
      <c r="NJA385" s="102"/>
      <c r="NJB385" s="102"/>
      <c r="NJC385" s="102"/>
      <c r="NJD385" s="102"/>
      <c r="NJE385" s="102"/>
      <c r="NJF385" s="102"/>
      <c r="NJG385" s="102"/>
      <c r="NJH385" s="102"/>
      <c r="NJI385" s="102"/>
      <c r="NJJ385" s="102"/>
      <c r="NJK385" s="102"/>
      <c r="NJL385" s="102"/>
      <c r="NJM385" s="102"/>
      <c r="NJN385" s="102"/>
      <c r="NJO385" s="102"/>
      <c r="NJP385" s="102"/>
      <c r="NJQ385" s="102"/>
      <c r="NJR385" s="102"/>
      <c r="NJS385" s="102"/>
      <c r="NJT385" s="102"/>
      <c r="NJU385" s="102"/>
      <c r="NJV385" s="102"/>
      <c r="NJW385" s="102"/>
      <c r="NJX385" s="102"/>
      <c r="NJY385" s="102"/>
      <c r="NJZ385" s="102"/>
      <c r="NKA385" s="102"/>
      <c r="NKB385" s="102"/>
      <c r="NKC385" s="102"/>
      <c r="NKD385" s="102"/>
      <c r="NKE385" s="102"/>
      <c r="NKF385" s="102"/>
      <c r="NKG385" s="102"/>
      <c r="NKH385" s="102"/>
      <c r="NKI385" s="102"/>
      <c r="NKJ385" s="102"/>
      <c r="NKK385" s="102"/>
      <c r="NKL385" s="102"/>
      <c r="NKM385" s="102"/>
      <c r="NKN385" s="102"/>
      <c r="NKO385" s="102"/>
      <c r="NKP385" s="102"/>
      <c r="NKQ385" s="102"/>
      <c r="NKR385" s="102"/>
      <c r="NKS385" s="102"/>
      <c r="NKT385" s="102"/>
      <c r="NKU385" s="102"/>
      <c r="NKV385" s="102"/>
      <c r="NKW385" s="102"/>
      <c r="NKX385" s="102"/>
      <c r="NKY385" s="102"/>
      <c r="NKZ385" s="102"/>
      <c r="NLA385" s="102"/>
      <c r="NLB385" s="102"/>
      <c r="NLC385" s="102"/>
      <c r="NLD385" s="102"/>
      <c r="NLE385" s="102"/>
      <c r="NLF385" s="102"/>
      <c r="NLG385" s="102"/>
      <c r="NLH385" s="102"/>
      <c r="NLI385" s="102"/>
      <c r="NLJ385" s="102"/>
      <c r="NLK385" s="102"/>
      <c r="NLL385" s="102"/>
      <c r="NLM385" s="102"/>
      <c r="NLN385" s="102"/>
      <c r="NLO385" s="102"/>
      <c r="NLP385" s="102"/>
      <c r="NLQ385" s="102"/>
      <c r="NLR385" s="102"/>
      <c r="NLS385" s="102"/>
      <c r="NLT385" s="102"/>
      <c r="NLU385" s="102"/>
      <c r="NLV385" s="102"/>
      <c r="NLW385" s="102"/>
      <c r="NLX385" s="102"/>
      <c r="NLY385" s="102"/>
      <c r="NLZ385" s="102"/>
      <c r="NMA385" s="102"/>
      <c r="NMB385" s="102"/>
      <c r="NMC385" s="102"/>
      <c r="NMD385" s="102"/>
      <c r="NME385" s="102"/>
      <c r="NMF385" s="102"/>
      <c r="NMG385" s="102"/>
      <c r="NMH385" s="102"/>
      <c r="NMI385" s="102"/>
      <c r="NMJ385" s="102"/>
      <c r="NMK385" s="102"/>
      <c r="NML385" s="102"/>
      <c r="NMM385" s="102"/>
      <c r="NMN385" s="102"/>
      <c r="NMO385" s="102"/>
      <c r="NMP385" s="102"/>
      <c r="NMQ385" s="102"/>
      <c r="NMR385" s="102"/>
      <c r="NMS385" s="102"/>
      <c r="NMT385" s="102"/>
      <c r="NMU385" s="102"/>
      <c r="NMV385" s="102"/>
      <c r="NMW385" s="102"/>
      <c r="NMX385" s="102"/>
      <c r="NMY385" s="102"/>
      <c r="NMZ385" s="102"/>
      <c r="NNA385" s="102"/>
      <c r="NNB385" s="102"/>
      <c r="NNC385" s="102"/>
      <c r="NND385" s="102"/>
      <c r="NNE385" s="102"/>
      <c r="NNF385" s="102"/>
      <c r="NNG385" s="102"/>
      <c r="NNH385" s="102"/>
      <c r="NNI385" s="102"/>
      <c r="NNJ385" s="102"/>
      <c r="NNK385" s="102"/>
      <c r="NNL385" s="102"/>
      <c r="NNM385" s="102"/>
      <c r="NNN385" s="102"/>
      <c r="NNO385" s="102"/>
      <c r="NNP385" s="102"/>
      <c r="NNQ385" s="102"/>
      <c r="NNR385" s="102"/>
      <c r="NNS385" s="102"/>
      <c r="NNT385" s="102"/>
      <c r="NNU385" s="102"/>
      <c r="NNV385" s="102"/>
      <c r="NNW385" s="102"/>
      <c r="NNX385" s="102"/>
      <c r="NNY385" s="102"/>
      <c r="NNZ385" s="102"/>
      <c r="NOA385" s="102"/>
      <c r="NOB385" s="102"/>
      <c r="NOC385" s="102"/>
      <c r="NOD385" s="102"/>
      <c r="NOE385" s="102"/>
      <c r="NOF385" s="102"/>
      <c r="NOG385" s="102"/>
      <c r="NOH385" s="102"/>
      <c r="NOI385" s="102"/>
      <c r="NOJ385" s="102"/>
      <c r="NOK385" s="102"/>
      <c r="NOL385" s="102"/>
      <c r="NOM385" s="102"/>
      <c r="NON385" s="102"/>
      <c r="NOO385" s="102"/>
      <c r="NOP385" s="102"/>
      <c r="NOQ385" s="102"/>
      <c r="NOR385" s="102"/>
      <c r="NOS385" s="102"/>
      <c r="NOT385" s="102"/>
      <c r="NOU385" s="102"/>
      <c r="NOV385" s="102"/>
      <c r="NOW385" s="102"/>
      <c r="NOX385" s="102"/>
      <c r="NOY385" s="102"/>
      <c r="NOZ385" s="102"/>
      <c r="NPA385" s="102"/>
      <c r="NPB385" s="102"/>
      <c r="NPC385" s="102"/>
      <c r="NPD385" s="102"/>
      <c r="NPE385" s="102"/>
      <c r="NPF385" s="102"/>
      <c r="NPG385" s="102"/>
      <c r="NPH385" s="102"/>
      <c r="NPI385" s="102"/>
      <c r="NPJ385" s="102"/>
      <c r="NPK385" s="102"/>
      <c r="NPL385" s="102"/>
      <c r="NPM385" s="102"/>
      <c r="NPN385" s="102"/>
      <c r="NPO385" s="102"/>
      <c r="NPP385" s="102"/>
      <c r="NPQ385" s="102"/>
      <c r="NPR385" s="102"/>
      <c r="NPS385" s="102"/>
      <c r="NPT385" s="102"/>
      <c r="NPU385" s="102"/>
      <c r="NPV385" s="102"/>
      <c r="NPW385" s="102"/>
      <c r="NPX385" s="102"/>
      <c r="NPY385" s="102"/>
      <c r="NPZ385" s="102"/>
      <c r="NQA385" s="102"/>
      <c r="NQB385" s="102"/>
      <c r="NQC385" s="102"/>
      <c r="NQD385" s="102"/>
      <c r="NQE385" s="102"/>
      <c r="NQF385" s="102"/>
      <c r="NQG385" s="102"/>
      <c r="NQH385" s="102"/>
      <c r="NQI385" s="102"/>
      <c r="NQJ385" s="102"/>
      <c r="NQK385" s="102"/>
      <c r="NQL385" s="102"/>
      <c r="NQM385" s="102"/>
      <c r="NQN385" s="102"/>
      <c r="NQO385" s="102"/>
      <c r="NQP385" s="102"/>
      <c r="NQQ385" s="102"/>
      <c r="NQR385" s="102"/>
      <c r="NQS385" s="102"/>
      <c r="NQT385" s="102"/>
      <c r="NQU385" s="102"/>
      <c r="NQV385" s="102"/>
      <c r="NQW385" s="102"/>
      <c r="NQX385" s="102"/>
      <c r="NQY385" s="102"/>
      <c r="NQZ385" s="102"/>
      <c r="NRA385" s="102"/>
      <c r="NRB385" s="102"/>
      <c r="NRC385" s="102"/>
      <c r="NRD385" s="102"/>
      <c r="NRE385" s="102"/>
      <c r="NRF385" s="102"/>
      <c r="NRG385" s="102"/>
      <c r="NRH385" s="102"/>
      <c r="NRI385" s="102"/>
      <c r="NRJ385" s="102"/>
      <c r="NRK385" s="102"/>
      <c r="NRL385" s="102"/>
      <c r="NRM385" s="102"/>
      <c r="NRN385" s="102"/>
      <c r="NRO385" s="102"/>
      <c r="NRP385" s="102"/>
      <c r="NRQ385" s="102"/>
      <c r="NRR385" s="102"/>
      <c r="NRS385" s="102"/>
      <c r="NRT385" s="102"/>
      <c r="NRU385" s="102"/>
      <c r="NRV385" s="102"/>
      <c r="NRW385" s="102"/>
      <c r="NRX385" s="102"/>
      <c r="NRY385" s="102"/>
      <c r="NRZ385" s="102"/>
      <c r="NSA385" s="102"/>
      <c r="NSB385" s="102"/>
      <c r="NSC385" s="102"/>
      <c r="NSD385" s="102"/>
      <c r="NSE385" s="102"/>
      <c r="NSF385" s="102"/>
      <c r="NSG385" s="102"/>
      <c r="NSH385" s="102"/>
      <c r="NSI385" s="102"/>
      <c r="NSJ385" s="102"/>
      <c r="NSK385" s="102"/>
      <c r="NSL385" s="102"/>
      <c r="NSM385" s="102"/>
      <c r="NSN385" s="102"/>
      <c r="NSO385" s="102"/>
      <c r="NSP385" s="102"/>
      <c r="NSQ385" s="102"/>
      <c r="NSR385" s="102"/>
      <c r="NSS385" s="102"/>
      <c r="NST385" s="102"/>
      <c r="NSU385" s="102"/>
      <c r="NSV385" s="102"/>
      <c r="NSW385" s="102"/>
      <c r="NSX385" s="102"/>
      <c r="NSY385" s="102"/>
      <c r="NSZ385" s="102"/>
      <c r="NTA385" s="102"/>
      <c r="NTB385" s="102"/>
      <c r="NTC385" s="102"/>
      <c r="NTD385" s="102"/>
      <c r="NTE385" s="102"/>
      <c r="NTF385" s="102"/>
      <c r="NTG385" s="102"/>
      <c r="NTH385" s="102"/>
      <c r="NTI385" s="102"/>
      <c r="NTJ385" s="102"/>
      <c r="NTK385" s="102"/>
      <c r="NTL385" s="102"/>
      <c r="NTM385" s="102"/>
      <c r="NTN385" s="102"/>
      <c r="NTO385" s="102"/>
      <c r="NTP385" s="102"/>
      <c r="NTQ385" s="102"/>
      <c r="NTR385" s="102"/>
      <c r="NTS385" s="102"/>
      <c r="NTT385" s="102"/>
      <c r="NTU385" s="102"/>
      <c r="NTV385" s="102"/>
      <c r="NTW385" s="102"/>
      <c r="NTX385" s="102"/>
      <c r="NTY385" s="102"/>
      <c r="NTZ385" s="102"/>
      <c r="NUA385" s="102"/>
      <c r="NUB385" s="102"/>
      <c r="NUC385" s="102"/>
      <c r="NUD385" s="102"/>
      <c r="NUE385" s="102"/>
      <c r="NUF385" s="102"/>
      <c r="NUG385" s="102"/>
      <c r="NUH385" s="102"/>
      <c r="NUI385" s="102"/>
      <c r="NUJ385" s="102"/>
      <c r="NUK385" s="102"/>
      <c r="NUL385" s="102"/>
      <c r="NUM385" s="102"/>
      <c r="NUN385" s="102"/>
      <c r="NUO385" s="102"/>
      <c r="NUP385" s="102"/>
      <c r="NUQ385" s="102"/>
      <c r="NUR385" s="102"/>
      <c r="NUS385" s="102"/>
      <c r="NUT385" s="102"/>
      <c r="NUU385" s="102"/>
      <c r="NUV385" s="102"/>
      <c r="NUW385" s="102"/>
      <c r="NUX385" s="102"/>
      <c r="NUY385" s="102"/>
      <c r="NUZ385" s="102"/>
      <c r="NVA385" s="102"/>
      <c r="NVB385" s="102"/>
      <c r="NVC385" s="102"/>
      <c r="NVD385" s="102"/>
      <c r="NVE385" s="102"/>
      <c r="NVF385" s="102"/>
      <c r="NVG385" s="102"/>
      <c r="NVH385" s="102"/>
      <c r="NVI385" s="102"/>
      <c r="NVJ385" s="102"/>
      <c r="NVK385" s="102"/>
      <c r="NVL385" s="102"/>
      <c r="NVM385" s="102"/>
      <c r="NVN385" s="102"/>
      <c r="NVO385" s="102"/>
      <c r="NVP385" s="102"/>
      <c r="NVQ385" s="102"/>
      <c r="NVR385" s="102"/>
      <c r="NVS385" s="102"/>
      <c r="NVT385" s="102"/>
      <c r="NVU385" s="102"/>
      <c r="NVV385" s="102"/>
      <c r="NVW385" s="102"/>
      <c r="NVX385" s="102"/>
      <c r="NVY385" s="102"/>
      <c r="NVZ385" s="102"/>
      <c r="NWA385" s="102"/>
      <c r="NWB385" s="102"/>
      <c r="NWC385" s="102"/>
      <c r="NWD385" s="102"/>
      <c r="NWE385" s="102"/>
      <c r="NWF385" s="102"/>
      <c r="NWG385" s="102"/>
      <c r="NWH385" s="102"/>
      <c r="NWI385" s="102"/>
      <c r="NWJ385" s="102"/>
      <c r="NWK385" s="102"/>
      <c r="NWL385" s="102"/>
      <c r="NWM385" s="102"/>
      <c r="NWN385" s="102"/>
      <c r="NWO385" s="102"/>
      <c r="NWP385" s="102"/>
      <c r="NWQ385" s="102"/>
      <c r="NWR385" s="102"/>
      <c r="NWS385" s="102"/>
      <c r="NWT385" s="102"/>
      <c r="NWU385" s="102"/>
      <c r="NWV385" s="102"/>
      <c r="NWW385" s="102"/>
      <c r="NWX385" s="102"/>
      <c r="NWY385" s="102"/>
      <c r="NWZ385" s="102"/>
      <c r="NXA385" s="102"/>
      <c r="NXB385" s="102"/>
      <c r="NXC385" s="102"/>
      <c r="NXD385" s="102"/>
      <c r="NXE385" s="102"/>
      <c r="NXF385" s="102"/>
      <c r="NXG385" s="102"/>
      <c r="NXH385" s="102"/>
      <c r="NXI385" s="102"/>
      <c r="NXJ385" s="102"/>
      <c r="NXK385" s="102"/>
      <c r="NXL385" s="102"/>
      <c r="NXM385" s="102"/>
      <c r="NXN385" s="102"/>
      <c r="NXO385" s="102"/>
      <c r="NXP385" s="102"/>
      <c r="NXQ385" s="102"/>
      <c r="NXR385" s="102"/>
      <c r="NXS385" s="102"/>
      <c r="NXT385" s="102"/>
      <c r="NXU385" s="102"/>
      <c r="NXV385" s="102"/>
      <c r="NXW385" s="102"/>
      <c r="NXX385" s="102"/>
      <c r="NXY385" s="102"/>
      <c r="NXZ385" s="102"/>
      <c r="NYA385" s="102"/>
      <c r="NYB385" s="102"/>
      <c r="NYC385" s="102"/>
      <c r="NYD385" s="102"/>
      <c r="NYE385" s="102"/>
      <c r="NYF385" s="102"/>
      <c r="NYG385" s="102"/>
      <c r="NYH385" s="102"/>
      <c r="NYI385" s="102"/>
      <c r="NYJ385" s="102"/>
      <c r="NYK385" s="102"/>
      <c r="NYL385" s="102"/>
      <c r="NYM385" s="102"/>
      <c r="NYN385" s="102"/>
      <c r="NYO385" s="102"/>
      <c r="NYP385" s="102"/>
      <c r="NYQ385" s="102"/>
      <c r="NYR385" s="102"/>
      <c r="NYS385" s="102"/>
      <c r="NYT385" s="102"/>
      <c r="NYU385" s="102"/>
      <c r="NYV385" s="102"/>
      <c r="NYW385" s="102"/>
      <c r="NYX385" s="102"/>
      <c r="NYY385" s="102"/>
      <c r="NYZ385" s="102"/>
      <c r="NZA385" s="102"/>
      <c r="NZB385" s="102"/>
      <c r="NZC385" s="102"/>
      <c r="NZD385" s="102"/>
      <c r="NZE385" s="102"/>
      <c r="NZF385" s="102"/>
      <c r="NZG385" s="102"/>
      <c r="NZH385" s="102"/>
      <c r="NZI385" s="102"/>
      <c r="NZJ385" s="102"/>
      <c r="NZK385" s="102"/>
      <c r="NZL385" s="102"/>
      <c r="NZM385" s="102"/>
      <c r="NZN385" s="102"/>
      <c r="NZO385" s="102"/>
      <c r="NZP385" s="102"/>
      <c r="NZQ385" s="102"/>
      <c r="NZR385" s="102"/>
      <c r="NZS385" s="102"/>
      <c r="NZT385" s="102"/>
      <c r="NZU385" s="102"/>
      <c r="NZV385" s="102"/>
      <c r="NZW385" s="102"/>
      <c r="NZX385" s="102"/>
      <c r="NZY385" s="102"/>
      <c r="NZZ385" s="102"/>
      <c r="OAA385" s="102"/>
      <c r="OAB385" s="102"/>
      <c r="OAC385" s="102"/>
      <c r="OAD385" s="102"/>
      <c r="OAE385" s="102"/>
      <c r="OAF385" s="102"/>
      <c r="OAG385" s="102"/>
      <c r="OAH385" s="102"/>
      <c r="OAI385" s="102"/>
      <c r="OAJ385" s="102"/>
      <c r="OAK385" s="102"/>
      <c r="OAL385" s="102"/>
      <c r="OAM385" s="102"/>
      <c r="OAN385" s="102"/>
      <c r="OAO385" s="102"/>
      <c r="OAP385" s="102"/>
      <c r="OAQ385" s="102"/>
      <c r="OAR385" s="102"/>
      <c r="OAS385" s="102"/>
      <c r="OAT385" s="102"/>
      <c r="OAU385" s="102"/>
      <c r="OAV385" s="102"/>
      <c r="OAW385" s="102"/>
      <c r="OAX385" s="102"/>
      <c r="OAY385" s="102"/>
      <c r="OAZ385" s="102"/>
      <c r="OBA385" s="102"/>
      <c r="OBB385" s="102"/>
      <c r="OBC385" s="102"/>
      <c r="OBD385" s="102"/>
      <c r="OBE385" s="102"/>
      <c r="OBF385" s="102"/>
      <c r="OBG385" s="102"/>
      <c r="OBH385" s="102"/>
      <c r="OBI385" s="102"/>
      <c r="OBJ385" s="102"/>
      <c r="OBK385" s="102"/>
      <c r="OBL385" s="102"/>
      <c r="OBM385" s="102"/>
      <c r="OBN385" s="102"/>
      <c r="OBO385" s="102"/>
      <c r="OBP385" s="102"/>
      <c r="OBQ385" s="102"/>
      <c r="OBR385" s="102"/>
      <c r="OBS385" s="102"/>
      <c r="OBT385" s="102"/>
      <c r="OBU385" s="102"/>
      <c r="OBV385" s="102"/>
      <c r="OBW385" s="102"/>
      <c r="OBX385" s="102"/>
      <c r="OBY385" s="102"/>
      <c r="OBZ385" s="102"/>
      <c r="OCA385" s="102"/>
      <c r="OCB385" s="102"/>
      <c r="OCC385" s="102"/>
      <c r="OCD385" s="102"/>
      <c r="OCE385" s="102"/>
      <c r="OCF385" s="102"/>
      <c r="OCG385" s="102"/>
      <c r="OCH385" s="102"/>
      <c r="OCI385" s="102"/>
      <c r="OCJ385" s="102"/>
      <c r="OCK385" s="102"/>
      <c r="OCL385" s="102"/>
      <c r="OCM385" s="102"/>
      <c r="OCN385" s="102"/>
      <c r="OCO385" s="102"/>
      <c r="OCP385" s="102"/>
      <c r="OCQ385" s="102"/>
      <c r="OCR385" s="102"/>
      <c r="OCS385" s="102"/>
      <c r="OCT385" s="102"/>
      <c r="OCU385" s="102"/>
      <c r="OCV385" s="102"/>
      <c r="OCW385" s="102"/>
      <c r="OCX385" s="102"/>
      <c r="OCY385" s="102"/>
      <c r="OCZ385" s="102"/>
      <c r="ODA385" s="102"/>
      <c r="ODB385" s="102"/>
      <c r="ODC385" s="102"/>
      <c r="ODD385" s="102"/>
      <c r="ODE385" s="102"/>
      <c r="ODF385" s="102"/>
      <c r="ODG385" s="102"/>
      <c r="ODH385" s="102"/>
      <c r="ODI385" s="102"/>
      <c r="ODJ385" s="102"/>
      <c r="ODK385" s="102"/>
      <c r="ODL385" s="102"/>
      <c r="ODM385" s="102"/>
      <c r="ODN385" s="102"/>
      <c r="ODO385" s="102"/>
      <c r="ODP385" s="102"/>
      <c r="ODQ385" s="102"/>
      <c r="ODR385" s="102"/>
      <c r="ODS385" s="102"/>
      <c r="ODT385" s="102"/>
      <c r="ODU385" s="102"/>
      <c r="ODV385" s="102"/>
      <c r="ODW385" s="102"/>
      <c r="ODX385" s="102"/>
      <c r="ODY385" s="102"/>
      <c r="ODZ385" s="102"/>
      <c r="OEA385" s="102"/>
      <c r="OEB385" s="102"/>
      <c r="OEC385" s="102"/>
      <c r="OED385" s="102"/>
      <c r="OEE385" s="102"/>
      <c r="OEF385" s="102"/>
      <c r="OEG385" s="102"/>
      <c r="OEH385" s="102"/>
      <c r="OEI385" s="102"/>
      <c r="OEJ385" s="102"/>
      <c r="OEK385" s="102"/>
      <c r="OEL385" s="102"/>
      <c r="OEM385" s="102"/>
      <c r="OEN385" s="102"/>
      <c r="OEO385" s="102"/>
      <c r="OEP385" s="102"/>
      <c r="OEQ385" s="102"/>
      <c r="OER385" s="102"/>
      <c r="OES385" s="102"/>
      <c r="OET385" s="102"/>
      <c r="OEU385" s="102"/>
      <c r="OEV385" s="102"/>
      <c r="OEW385" s="102"/>
      <c r="OEX385" s="102"/>
      <c r="OEY385" s="102"/>
      <c r="OEZ385" s="102"/>
      <c r="OFA385" s="102"/>
      <c r="OFB385" s="102"/>
      <c r="OFC385" s="102"/>
      <c r="OFD385" s="102"/>
      <c r="OFE385" s="102"/>
      <c r="OFF385" s="102"/>
      <c r="OFG385" s="102"/>
      <c r="OFH385" s="102"/>
      <c r="OFI385" s="102"/>
      <c r="OFJ385" s="102"/>
      <c r="OFK385" s="102"/>
      <c r="OFL385" s="102"/>
      <c r="OFM385" s="102"/>
      <c r="OFN385" s="102"/>
      <c r="OFO385" s="102"/>
      <c r="OFP385" s="102"/>
      <c r="OFQ385" s="102"/>
      <c r="OFR385" s="102"/>
      <c r="OFS385" s="102"/>
      <c r="OFT385" s="102"/>
      <c r="OFU385" s="102"/>
      <c r="OFV385" s="102"/>
      <c r="OFW385" s="102"/>
      <c r="OFX385" s="102"/>
      <c r="OFY385" s="102"/>
      <c r="OFZ385" s="102"/>
      <c r="OGA385" s="102"/>
      <c r="OGB385" s="102"/>
      <c r="OGC385" s="102"/>
      <c r="OGD385" s="102"/>
      <c r="OGE385" s="102"/>
      <c r="OGF385" s="102"/>
      <c r="OGG385" s="102"/>
      <c r="OGH385" s="102"/>
      <c r="OGI385" s="102"/>
      <c r="OGJ385" s="102"/>
      <c r="OGK385" s="102"/>
      <c r="OGL385" s="102"/>
      <c r="OGM385" s="102"/>
      <c r="OGN385" s="102"/>
      <c r="OGO385" s="102"/>
      <c r="OGP385" s="102"/>
      <c r="OGQ385" s="102"/>
      <c r="OGR385" s="102"/>
      <c r="OGS385" s="102"/>
      <c r="OGT385" s="102"/>
      <c r="OGU385" s="102"/>
      <c r="OGV385" s="102"/>
      <c r="OGW385" s="102"/>
      <c r="OGX385" s="102"/>
      <c r="OGY385" s="102"/>
      <c r="OGZ385" s="102"/>
      <c r="OHA385" s="102"/>
      <c r="OHB385" s="102"/>
      <c r="OHC385" s="102"/>
      <c r="OHD385" s="102"/>
      <c r="OHE385" s="102"/>
      <c r="OHF385" s="102"/>
      <c r="OHG385" s="102"/>
      <c r="OHH385" s="102"/>
      <c r="OHI385" s="102"/>
      <c r="OHJ385" s="102"/>
      <c r="OHK385" s="102"/>
      <c r="OHL385" s="102"/>
      <c r="OHM385" s="102"/>
      <c r="OHN385" s="102"/>
      <c r="OHO385" s="102"/>
      <c r="OHP385" s="102"/>
      <c r="OHQ385" s="102"/>
      <c r="OHR385" s="102"/>
      <c r="OHS385" s="102"/>
      <c r="OHT385" s="102"/>
      <c r="OHU385" s="102"/>
      <c r="OHV385" s="102"/>
      <c r="OHW385" s="102"/>
      <c r="OHX385" s="102"/>
      <c r="OHY385" s="102"/>
      <c r="OHZ385" s="102"/>
      <c r="OIA385" s="102"/>
      <c r="OIB385" s="102"/>
      <c r="OIC385" s="102"/>
      <c r="OID385" s="102"/>
      <c r="OIE385" s="102"/>
      <c r="OIF385" s="102"/>
      <c r="OIG385" s="102"/>
      <c r="OIH385" s="102"/>
      <c r="OII385" s="102"/>
      <c r="OIJ385" s="102"/>
      <c r="OIK385" s="102"/>
      <c r="OIL385" s="102"/>
      <c r="OIM385" s="102"/>
      <c r="OIN385" s="102"/>
      <c r="OIO385" s="102"/>
      <c r="OIP385" s="102"/>
      <c r="OIQ385" s="102"/>
      <c r="OIR385" s="102"/>
      <c r="OIS385" s="102"/>
      <c r="OIT385" s="102"/>
      <c r="OIU385" s="102"/>
      <c r="OIV385" s="102"/>
      <c r="OIW385" s="102"/>
      <c r="OIX385" s="102"/>
      <c r="OIY385" s="102"/>
      <c r="OIZ385" s="102"/>
      <c r="OJA385" s="102"/>
      <c r="OJB385" s="102"/>
      <c r="OJC385" s="102"/>
      <c r="OJD385" s="102"/>
      <c r="OJE385" s="102"/>
      <c r="OJF385" s="102"/>
      <c r="OJG385" s="102"/>
      <c r="OJH385" s="102"/>
      <c r="OJI385" s="102"/>
      <c r="OJJ385" s="102"/>
      <c r="OJK385" s="102"/>
      <c r="OJL385" s="102"/>
      <c r="OJM385" s="102"/>
      <c r="OJN385" s="102"/>
      <c r="OJO385" s="102"/>
      <c r="OJP385" s="102"/>
      <c r="OJQ385" s="102"/>
      <c r="OJR385" s="102"/>
      <c r="OJS385" s="102"/>
      <c r="OJT385" s="102"/>
      <c r="OJU385" s="102"/>
      <c r="OJV385" s="102"/>
      <c r="OJW385" s="102"/>
      <c r="OJX385" s="102"/>
      <c r="OJY385" s="102"/>
      <c r="OJZ385" s="102"/>
      <c r="OKA385" s="102"/>
      <c r="OKB385" s="102"/>
      <c r="OKC385" s="102"/>
      <c r="OKD385" s="102"/>
      <c r="OKE385" s="102"/>
      <c r="OKF385" s="102"/>
      <c r="OKG385" s="102"/>
      <c r="OKH385" s="102"/>
      <c r="OKI385" s="102"/>
      <c r="OKJ385" s="102"/>
      <c r="OKK385" s="102"/>
      <c r="OKL385" s="102"/>
      <c r="OKM385" s="102"/>
      <c r="OKN385" s="102"/>
      <c r="OKO385" s="102"/>
      <c r="OKP385" s="102"/>
      <c r="OKQ385" s="102"/>
      <c r="OKR385" s="102"/>
      <c r="OKS385" s="102"/>
      <c r="OKT385" s="102"/>
      <c r="OKU385" s="102"/>
      <c r="OKV385" s="102"/>
      <c r="OKW385" s="102"/>
      <c r="OKX385" s="102"/>
      <c r="OKY385" s="102"/>
      <c r="OKZ385" s="102"/>
      <c r="OLA385" s="102"/>
      <c r="OLB385" s="102"/>
      <c r="OLC385" s="102"/>
      <c r="OLD385" s="102"/>
      <c r="OLE385" s="102"/>
      <c r="OLF385" s="102"/>
      <c r="OLG385" s="102"/>
      <c r="OLH385" s="102"/>
      <c r="OLI385" s="102"/>
      <c r="OLJ385" s="102"/>
      <c r="OLK385" s="102"/>
      <c r="OLL385" s="102"/>
      <c r="OLM385" s="102"/>
      <c r="OLN385" s="102"/>
      <c r="OLO385" s="102"/>
      <c r="OLP385" s="102"/>
      <c r="OLQ385" s="102"/>
      <c r="OLR385" s="102"/>
      <c r="OLS385" s="102"/>
      <c r="OLT385" s="102"/>
      <c r="OLU385" s="102"/>
      <c r="OLV385" s="102"/>
      <c r="OLW385" s="102"/>
      <c r="OLX385" s="102"/>
      <c r="OLY385" s="102"/>
      <c r="OLZ385" s="102"/>
      <c r="OMA385" s="102"/>
      <c r="OMB385" s="102"/>
      <c r="OMC385" s="102"/>
      <c r="OMD385" s="102"/>
      <c r="OME385" s="102"/>
      <c r="OMF385" s="102"/>
      <c r="OMG385" s="102"/>
      <c r="OMH385" s="102"/>
      <c r="OMI385" s="102"/>
      <c r="OMJ385" s="102"/>
      <c r="OMK385" s="102"/>
      <c r="OML385" s="102"/>
      <c r="OMM385" s="102"/>
      <c r="OMN385" s="102"/>
      <c r="OMO385" s="102"/>
      <c r="OMP385" s="102"/>
      <c r="OMQ385" s="102"/>
      <c r="OMR385" s="102"/>
      <c r="OMS385" s="102"/>
      <c r="OMT385" s="102"/>
      <c r="OMU385" s="102"/>
      <c r="OMV385" s="102"/>
      <c r="OMW385" s="102"/>
      <c r="OMX385" s="102"/>
      <c r="OMY385" s="102"/>
      <c r="OMZ385" s="102"/>
      <c r="ONA385" s="102"/>
      <c r="ONB385" s="102"/>
      <c r="ONC385" s="102"/>
      <c r="OND385" s="102"/>
      <c r="ONE385" s="102"/>
      <c r="ONF385" s="102"/>
      <c r="ONG385" s="102"/>
      <c r="ONH385" s="102"/>
      <c r="ONI385" s="102"/>
      <c r="ONJ385" s="102"/>
      <c r="ONK385" s="102"/>
      <c r="ONL385" s="102"/>
      <c r="ONM385" s="102"/>
      <c r="ONN385" s="102"/>
      <c r="ONO385" s="102"/>
      <c r="ONP385" s="102"/>
      <c r="ONQ385" s="102"/>
      <c r="ONR385" s="102"/>
      <c r="ONS385" s="102"/>
      <c r="ONT385" s="102"/>
      <c r="ONU385" s="102"/>
      <c r="ONV385" s="102"/>
      <c r="ONW385" s="102"/>
      <c r="ONX385" s="102"/>
      <c r="ONY385" s="102"/>
      <c r="ONZ385" s="102"/>
      <c r="OOA385" s="102"/>
      <c r="OOB385" s="102"/>
      <c r="OOC385" s="102"/>
      <c r="OOD385" s="102"/>
      <c r="OOE385" s="102"/>
      <c r="OOF385" s="102"/>
      <c r="OOG385" s="102"/>
      <c r="OOH385" s="102"/>
      <c r="OOI385" s="102"/>
      <c r="OOJ385" s="102"/>
      <c r="OOK385" s="102"/>
      <c r="OOL385" s="102"/>
      <c r="OOM385" s="102"/>
      <c r="OON385" s="102"/>
      <c r="OOO385" s="102"/>
      <c r="OOP385" s="102"/>
      <c r="OOQ385" s="102"/>
      <c r="OOR385" s="102"/>
      <c r="OOS385" s="102"/>
      <c r="OOT385" s="102"/>
      <c r="OOU385" s="102"/>
      <c r="OOV385" s="102"/>
      <c r="OOW385" s="102"/>
      <c r="OOX385" s="102"/>
      <c r="OOY385" s="102"/>
      <c r="OOZ385" s="102"/>
      <c r="OPA385" s="102"/>
      <c r="OPB385" s="102"/>
      <c r="OPC385" s="102"/>
      <c r="OPD385" s="102"/>
      <c r="OPE385" s="102"/>
      <c r="OPF385" s="102"/>
      <c r="OPG385" s="102"/>
      <c r="OPH385" s="102"/>
      <c r="OPI385" s="102"/>
      <c r="OPJ385" s="102"/>
      <c r="OPK385" s="102"/>
      <c r="OPL385" s="102"/>
      <c r="OPM385" s="102"/>
      <c r="OPN385" s="102"/>
      <c r="OPO385" s="102"/>
      <c r="OPP385" s="102"/>
      <c r="OPQ385" s="102"/>
      <c r="OPR385" s="102"/>
      <c r="OPS385" s="102"/>
      <c r="OPT385" s="102"/>
      <c r="OPU385" s="102"/>
      <c r="OPV385" s="102"/>
      <c r="OPW385" s="102"/>
      <c r="OPX385" s="102"/>
      <c r="OPY385" s="102"/>
      <c r="OPZ385" s="102"/>
      <c r="OQA385" s="102"/>
      <c r="OQB385" s="102"/>
      <c r="OQC385" s="102"/>
      <c r="OQD385" s="102"/>
      <c r="OQE385" s="102"/>
      <c r="OQF385" s="102"/>
      <c r="OQG385" s="102"/>
      <c r="OQH385" s="102"/>
      <c r="OQI385" s="102"/>
      <c r="OQJ385" s="102"/>
      <c r="OQK385" s="102"/>
      <c r="OQL385" s="102"/>
      <c r="OQM385" s="102"/>
      <c r="OQN385" s="102"/>
      <c r="OQO385" s="102"/>
      <c r="OQP385" s="102"/>
      <c r="OQQ385" s="102"/>
      <c r="OQR385" s="102"/>
      <c r="OQS385" s="102"/>
      <c r="OQT385" s="102"/>
      <c r="OQU385" s="102"/>
      <c r="OQV385" s="102"/>
      <c r="OQW385" s="102"/>
      <c r="OQX385" s="102"/>
      <c r="OQY385" s="102"/>
      <c r="OQZ385" s="102"/>
      <c r="ORA385" s="102"/>
      <c r="ORB385" s="102"/>
      <c r="ORC385" s="102"/>
      <c r="ORD385" s="102"/>
      <c r="ORE385" s="102"/>
      <c r="ORF385" s="102"/>
      <c r="ORG385" s="102"/>
      <c r="ORH385" s="102"/>
      <c r="ORI385" s="102"/>
      <c r="ORJ385" s="102"/>
      <c r="ORK385" s="102"/>
      <c r="ORL385" s="102"/>
      <c r="ORM385" s="102"/>
      <c r="ORN385" s="102"/>
      <c r="ORO385" s="102"/>
      <c r="ORP385" s="102"/>
      <c r="ORQ385" s="102"/>
      <c r="ORR385" s="102"/>
      <c r="ORS385" s="102"/>
      <c r="ORT385" s="102"/>
      <c r="ORU385" s="102"/>
      <c r="ORV385" s="102"/>
      <c r="ORW385" s="102"/>
      <c r="ORX385" s="102"/>
      <c r="ORY385" s="102"/>
      <c r="ORZ385" s="102"/>
      <c r="OSA385" s="102"/>
      <c r="OSB385" s="102"/>
      <c r="OSC385" s="102"/>
      <c r="OSD385" s="102"/>
      <c r="OSE385" s="102"/>
      <c r="OSF385" s="102"/>
      <c r="OSG385" s="102"/>
      <c r="OSH385" s="102"/>
      <c r="OSI385" s="102"/>
      <c r="OSJ385" s="102"/>
      <c r="OSK385" s="102"/>
      <c r="OSL385" s="102"/>
      <c r="OSM385" s="102"/>
      <c r="OSN385" s="102"/>
      <c r="OSO385" s="102"/>
      <c r="OSP385" s="102"/>
      <c r="OSQ385" s="102"/>
      <c r="OSR385" s="102"/>
      <c r="OSS385" s="102"/>
      <c r="OST385" s="102"/>
      <c r="OSU385" s="102"/>
      <c r="OSV385" s="102"/>
      <c r="OSW385" s="102"/>
      <c r="OSX385" s="102"/>
      <c r="OSY385" s="102"/>
      <c r="OSZ385" s="102"/>
      <c r="OTA385" s="102"/>
      <c r="OTB385" s="102"/>
      <c r="OTC385" s="102"/>
      <c r="OTD385" s="102"/>
      <c r="OTE385" s="102"/>
      <c r="OTF385" s="102"/>
      <c r="OTG385" s="102"/>
      <c r="OTH385" s="102"/>
      <c r="OTI385" s="102"/>
      <c r="OTJ385" s="102"/>
      <c r="OTK385" s="102"/>
      <c r="OTL385" s="102"/>
      <c r="OTM385" s="102"/>
      <c r="OTN385" s="102"/>
      <c r="OTO385" s="102"/>
      <c r="OTP385" s="102"/>
      <c r="OTQ385" s="102"/>
      <c r="OTR385" s="102"/>
      <c r="OTS385" s="102"/>
      <c r="OTT385" s="102"/>
      <c r="OTU385" s="102"/>
      <c r="OTV385" s="102"/>
      <c r="OTW385" s="102"/>
      <c r="OTX385" s="102"/>
      <c r="OTY385" s="102"/>
      <c r="OTZ385" s="102"/>
      <c r="OUA385" s="102"/>
      <c r="OUB385" s="102"/>
      <c r="OUC385" s="102"/>
      <c r="OUD385" s="102"/>
      <c r="OUE385" s="102"/>
      <c r="OUF385" s="102"/>
      <c r="OUG385" s="102"/>
      <c r="OUH385" s="102"/>
      <c r="OUI385" s="102"/>
      <c r="OUJ385" s="102"/>
      <c r="OUK385" s="102"/>
      <c r="OUL385" s="102"/>
      <c r="OUM385" s="102"/>
      <c r="OUN385" s="102"/>
      <c r="OUO385" s="102"/>
      <c r="OUP385" s="102"/>
      <c r="OUQ385" s="102"/>
      <c r="OUR385" s="102"/>
      <c r="OUS385" s="102"/>
      <c r="OUT385" s="102"/>
      <c r="OUU385" s="102"/>
      <c r="OUV385" s="102"/>
      <c r="OUW385" s="102"/>
      <c r="OUX385" s="102"/>
      <c r="OUY385" s="102"/>
      <c r="OUZ385" s="102"/>
      <c r="OVA385" s="102"/>
      <c r="OVB385" s="102"/>
      <c r="OVC385" s="102"/>
      <c r="OVD385" s="102"/>
      <c r="OVE385" s="102"/>
      <c r="OVF385" s="102"/>
      <c r="OVG385" s="102"/>
      <c r="OVH385" s="102"/>
      <c r="OVI385" s="102"/>
      <c r="OVJ385" s="102"/>
      <c r="OVK385" s="102"/>
      <c r="OVL385" s="102"/>
      <c r="OVM385" s="102"/>
      <c r="OVN385" s="102"/>
      <c r="OVO385" s="102"/>
      <c r="OVP385" s="102"/>
      <c r="OVQ385" s="102"/>
      <c r="OVR385" s="102"/>
      <c r="OVS385" s="102"/>
      <c r="OVT385" s="102"/>
      <c r="OVU385" s="102"/>
      <c r="OVV385" s="102"/>
      <c r="OVW385" s="102"/>
      <c r="OVX385" s="102"/>
      <c r="OVY385" s="102"/>
      <c r="OVZ385" s="102"/>
      <c r="OWA385" s="102"/>
      <c r="OWB385" s="102"/>
      <c r="OWC385" s="102"/>
      <c r="OWD385" s="102"/>
      <c r="OWE385" s="102"/>
      <c r="OWF385" s="102"/>
      <c r="OWG385" s="102"/>
      <c r="OWH385" s="102"/>
      <c r="OWI385" s="102"/>
      <c r="OWJ385" s="102"/>
      <c r="OWK385" s="102"/>
      <c r="OWL385" s="102"/>
      <c r="OWM385" s="102"/>
      <c r="OWN385" s="102"/>
      <c r="OWO385" s="102"/>
      <c r="OWP385" s="102"/>
      <c r="OWQ385" s="102"/>
      <c r="OWR385" s="102"/>
      <c r="OWS385" s="102"/>
      <c r="OWT385" s="102"/>
      <c r="OWU385" s="102"/>
      <c r="OWV385" s="102"/>
      <c r="OWW385" s="102"/>
      <c r="OWX385" s="102"/>
      <c r="OWY385" s="102"/>
      <c r="OWZ385" s="102"/>
      <c r="OXA385" s="102"/>
      <c r="OXB385" s="102"/>
      <c r="OXC385" s="102"/>
      <c r="OXD385" s="102"/>
      <c r="OXE385" s="102"/>
      <c r="OXF385" s="102"/>
      <c r="OXG385" s="102"/>
      <c r="OXH385" s="102"/>
      <c r="OXI385" s="102"/>
      <c r="OXJ385" s="102"/>
      <c r="OXK385" s="102"/>
      <c r="OXL385" s="102"/>
      <c r="OXM385" s="102"/>
      <c r="OXN385" s="102"/>
      <c r="OXO385" s="102"/>
      <c r="OXP385" s="102"/>
      <c r="OXQ385" s="102"/>
      <c r="OXR385" s="102"/>
      <c r="OXS385" s="102"/>
      <c r="OXT385" s="102"/>
      <c r="OXU385" s="102"/>
      <c r="OXV385" s="102"/>
      <c r="OXW385" s="102"/>
      <c r="OXX385" s="102"/>
      <c r="OXY385" s="102"/>
      <c r="OXZ385" s="102"/>
      <c r="OYA385" s="102"/>
      <c r="OYB385" s="102"/>
      <c r="OYC385" s="102"/>
      <c r="OYD385" s="102"/>
      <c r="OYE385" s="102"/>
      <c r="OYF385" s="102"/>
      <c r="OYG385" s="102"/>
      <c r="OYH385" s="102"/>
      <c r="OYI385" s="102"/>
      <c r="OYJ385" s="102"/>
      <c r="OYK385" s="102"/>
      <c r="OYL385" s="102"/>
      <c r="OYM385" s="102"/>
      <c r="OYN385" s="102"/>
      <c r="OYO385" s="102"/>
      <c r="OYP385" s="102"/>
      <c r="OYQ385" s="102"/>
      <c r="OYR385" s="102"/>
      <c r="OYS385" s="102"/>
      <c r="OYT385" s="102"/>
      <c r="OYU385" s="102"/>
      <c r="OYV385" s="102"/>
      <c r="OYW385" s="102"/>
      <c r="OYX385" s="102"/>
      <c r="OYY385" s="102"/>
      <c r="OYZ385" s="102"/>
      <c r="OZA385" s="102"/>
      <c r="OZB385" s="102"/>
      <c r="OZC385" s="102"/>
      <c r="OZD385" s="102"/>
      <c r="OZE385" s="102"/>
      <c r="OZF385" s="102"/>
      <c r="OZG385" s="102"/>
      <c r="OZH385" s="102"/>
      <c r="OZI385" s="102"/>
      <c r="OZJ385" s="102"/>
      <c r="OZK385" s="102"/>
      <c r="OZL385" s="102"/>
      <c r="OZM385" s="102"/>
      <c r="OZN385" s="102"/>
      <c r="OZO385" s="102"/>
      <c r="OZP385" s="102"/>
      <c r="OZQ385" s="102"/>
      <c r="OZR385" s="102"/>
      <c r="OZS385" s="102"/>
      <c r="OZT385" s="102"/>
      <c r="OZU385" s="102"/>
      <c r="OZV385" s="102"/>
      <c r="OZW385" s="102"/>
      <c r="OZX385" s="102"/>
      <c r="OZY385" s="102"/>
      <c r="OZZ385" s="102"/>
      <c r="PAA385" s="102"/>
      <c r="PAB385" s="102"/>
      <c r="PAC385" s="102"/>
      <c r="PAD385" s="102"/>
      <c r="PAE385" s="102"/>
      <c r="PAF385" s="102"/>
      <c r="PAG385" s="102"/>
      <c r="PAH385" s="102"/>
      <c r="PAI385" s="102"/>
      <c r="PAJ385" s="102"/>
      <c r="PAK385" s="102"/>
      <c r="PAL385" s="102"/>
      <c r="PAM385" s="102"/>
      <c r="PAN385" s="102"/>
      <c r="PAO385" s="102"/>
      <c r="PAP385" s="102"/>
      <c r="PAQ385" s="102"/>
      <c r="PAR385" s="102"/>
      <c r="PAS385" s="102"/>
      <c r="PAT385" s="102"/>
      <c r="PAU385" s="102"/>
      <c r="PAV385" s="102"/>
      <c r="PAW385" s="102"/>
      <c r="PAX385" s="102"/>
      <c r="PAY385" s="102"/>
      <c r="PAZ385" s="102"/>
      <c r="PBA385" s="102"/>
      <c r="PBB385" s="102"/>
      <c r="PBC385" s="102"/>
      <c r="PBD385" s="102"/>
      <c r="PBE385" s="102"/>
      <c r="PBF385" s="102"/>
      <c r="PBG385" s="102"/>
      <c r="PBH385" s="102"/>
      <c r="PBI385" s="102"/>
      <c r="PBJ385" s="102"/>
      <c r="PBK385" s="102"/>
      <c r="PBL385" s="102"/>
      <c r="PBM385" s="102"/>
      <c r="PBN385" s="102"/>
      <c r="PBO385" s="102"/>
      <c r="PBP385" s="102"/>
      <c r="PBQ385" s="102"/>
      <c r="PBR385" s="102"/>
      <c r="PBS385" s="102"/>
      <c r="PBT385" s="102"/>
      <c r="PBU385" s="102"/>
      <c r="PBV385" s="102"/>
      <c r="PBW385" s="102"/>
      <c r="PBX385" s="102"/>
      <c r="PBY385" s="102"/>
      <c r="PBZ385" s="102"/>
      <c r="PCA385" s="102"/>
      <c r="PCB385" s="102"/>
      <c r="PCC385" s="102"/>
      <c r="PCD385" s="102"/>
      <c r="PCE385" s="102"/>
      <c r="PCF385" s="102"/>
      <c r="PCG385" s="102"/>
      <c r="PCH385" s="102"/>
      <c r="PCI385" s="102"/>
      <c r="PCJ385" s="102"/>
      <c r="PCK385" s="102"/>
      <c r="PCL385" s="102"/>
      <c r="PCM385" s="102"/>
      <c r="PCN385" s="102"/>
      <c r="PCO385" s="102"/>
      <c r="PCP385" s="102"/>
      <c r="PCQ385" s="102"/>
      <c r="PCR385" s="102"/>
      <c r="PCS385" s="102"/>
      <c r="PCT385" s="102"/>
      <c r="PCU385" s="102"/>
      <c r="PCV385" s="102"/>
      <c r="PCW385" s="102"/>
      <c r="PCX385" s="102"/>
      <c r="PCY385" s="102"/>
      <c r="PCZ385" s="102"/>
      <c r="PDA385" s="102"/>
      <c r="PDB385" s="102"/>
      <c r="PDC385" s="102"/>
      <c r="PDD385" s="102"/>
      <c r="PDE385" s="102"/>
      <c r="PDF385" s="102"/>
      <c r="PDG385" s="102"/>
      <c r="PDH385" s="102"/>
      <c r="PDI385" s="102"/>
      <c r="PDJ385" s="102"/>
      <c r="PDK385" s="102"/>
      <c r="PDL385" s="102"/>
      <c r="PDM385" s="102"/>
      <c r="PDN385" s="102"/>
      <c r="PDO385" s="102"/>
      <c r="PDP385" s="102"/>
      <c r="PDQ385" s="102"/>
      <c r="PDR385" s="102"/>
      <c r="PDS385" s="102"/>
      <c r="PDT385" s="102"/>
      <c r="PDU385" s="102"/>
      <c r="PDV385" s="102"/>
      <c r="PDW385" s="102"/>
      <c r="PDX385" s="102"/>
      <c r="PDY385" s="102"/>
      <c r="PDZ385" s="102"/>
      <c r="PEA385" s="102"/>
      <c r="PEB385" s="102"/>
      <c r="PEC385" s="102"/>
      <c r="PED385" s="102"/>
      <c r="PEE385" s="102"/>
      <c r="PEF385" s="102"/>
      <c r="PEG385" s="102"/>
      <c r="PEH385" s="102"/>
      <c r="PEI385" s="102"/>
      <c r="PEJ385" s="102"/>
      <c r="PEK385" s="102"/>
      <c r="PEL385" s="102"/>
      <c r="PEM385" s="102"/>
      <c r="PEN385" s="102"/>
      <c r="PEO385" s="102"/>
      <c r="PEP385" s="102"/>
      <c r="PEQ385" s="102"/>
      <c r="PER385" s="102"/>
      <c r="PES385" s="102"/>
      <c r="PET385" s="102"/>
      <c r="PEU385" s="102"/>
      <c r="PEV385" s="102"/>
      <c r="PEW385" s="102"/>
      <c r="PEX385" s="102"/>
      <c r="PEY385" s="102"/>
      <c r="PEZ385" s="102"/>
      <c r="PFA385" s="102"/>
      <c r="PFB385" s="102"/>
      <c r="PFC385" s="102"/>
      <c r="PFD385" s="102"/>
      <c r="PFE385" s="102"/>
      <c r="PFF385" s="102"/>
      <c r="PFG385" s="102"/>
      <c r="PFH385" s="102"/>
      <c r="PFI385" s="102"/>
      <c r="PFJ385" s="102"/>
      <c r="PFK385" s="102"/>
      <c r="PFL385" s="102"/>
      <c r="PFM385" s="102"/>
      <c r="PFN385" s="102"/>
      <c r="PFO385" s="102"/>
      <c r="PFP385" s="102"/>
      <c r="PFQ385" s="102"/>
      <c r="PFR385" s="102"/>
      <c r="PFS385" s="102"/>
      <c r="PFT385" s="102"/>
      <c r="PFU385" s="102"/>
      <c r="PFV385" s="102"/>
      <c r="PFW385" s="102"/>
      <c r="PFX385" s="102"/>
      <c r="PFY385" s="102"/>
      <c r="PFZ385" s="102"/>
      <c r="PGA385" s="102"/>
      <c r="PGB385" s="102"/>
      <c r="PGC385" s="102"/>
      <c r="PGD385" s="102"/>
      <c r="PGE385" s="102"/>
      <c r="PGF385" s="102"/>
      <c r="PGG385" s="102"/>
      <c r="PGH385" s="102"/>
      <c r="PGI385" s="102"/>
      <c r="PGJ385" s="102"/>
      <c r="PGK385" s="102"/>
      <c r="PGL385" s="102"/>
      <c r="PGM385" s="102"/>
      <c r="PGN385" s="102"/>
      <c r="PGO385" s="102"/>
      <c r="PGP385" s="102"/>
      <c r="PGQ385" s="102"/>
      <c r="PGR385" s="102"/>
      <c r="PGS385" s="102"/>
      <c r="PGT385" s="102"/>
      <c r="PGU385" s="102"/>
      <c r="PGV385" s="102"/>
      <c r="PGW385" s="102"/>
      <c r="PGX385" s="102"/>
      <c r="PGY385" s="102"/>
      <c r="PGZ385" s="102"/>
      <c r="PHA385" s="102"/>
      <c r="PHB385" s="102"/>
      <c r="PHC385" s="102"/>
      <c r="PHD385" s="102"/>
      <c r="PHE385" s="102"/>
      <c r="PHF385" s="102"/>
      <c r="PHG385" s="102"/>
      <c r="PHH385" s="102"/>
      <c r="PHI385" s="102"/>
      <c r="PHJ385" s="102"/>
      <c r="PHK385" s="102"/>
      <c r="PHL385" s="102"/>
      <c r="PHM385" s="102"/>
      <c r="PHN385" s="102"/>
      <c r="PHO385" s="102"/>
      <c r="PHP385" s="102"/>
      <c r="PHQ385" s="102"/>
      <c r="PHR385" s="102"/>
      <c r="PHS385" s="102"/>
      <c r="PHT385" s="102"/>
      <c r="PHU385" s="102"/>
      <c r="PHV385" s="102"/>
      <c r="PHW385" s="102"/>
      <c r="PHX385" s="102"/>
      <c r="PHY385" s="102"/>
      <c r="PHZ385" s="102"/>
      <c r="PIA385" s="102"/>
      <c r="PIB385" s="102"/>
      <c r="PIC385" s="102"/>
      <c r="PID385" s="102"/>
      <c r="PIE385" s="102"/>
      <c r="PIF385" s="102"/>
      <c r="PIG385" s="102"/>
      <c r="PIH385" s="102"/>
      <c r="PII385" s="102"/>
      <c r="PIJ385" s="102"/>
      <c r="PIK385" s="102"/>
      <c r="PIL385" s="102"/>
      <c r="PIM385" s="102"/>
      <c r="PIN385" s="102"/>
      <c r="PIO385" s="102"/>
      <c r="PIP385" s="102"/>
      <c r="PIQ385" s="102"/>
      <c r="PIR385" s="102"/>
      <c r="PIS385" s="102"/>
      <c r="PIT385" s="102"/>
      <c r="PIU385" s="102"/>
      <c r="PIV385" s="102"/>
      <c r="PIW385" s="102"/>
      <c r="PIX385" s="102"/>
      <c r="PIY385" s="102"/>
      <c r="PIZ385" s="102"/>
      <c r="PJA385" s="102"/>
      <c r="PJB385" s="102"/>
      <c r="PJC385" s="102"/>
      <c r="PJD385" s="102"/>
      <c r="PJE385" s="102"/>
      <c r="PJF385" s="102"/>
      <c r="PJG385" s="102"/>
      <c r="PJH385" s="102"/>
      <c r="PJI385" s="102"/>
      <c r="PJJ385" s="102"/>
      <c r="PJK385" s="102"/>
      <c r="PJL385" s="102"/>
      <c r="PJM385" s="102"/>
      <c r="PJN385" s="102"/>
      <c r="PJO385" s="102"/>
      <c r="PJP385" s="102"/>
      <c r="PJQ385" s="102"/>
      <c r="PJR385" s="102"/>
      <c r="PJS385" s="102"/>
      <c r="PJT385" s="102"/>
      <c r="PJU385" s="102"/>
      <c r="PJV385" s="102"/>
      <c r="PJW385" s="102"/>
      <c r="PJX385" s="102"/>
      <c r="PJY385" s="102"/>
      <c r="PJZ385" s="102"/>
      <c r="PKA385" s="102"/>
      <c r="PKB385" s="102"/>
      <c r="PKC385" s="102"/>
      <c r="PKD385" s="102"/>
      <c r="PKE385" s="102"/>
      <c r="PKF385" s="102"/>
      <c r="PKG385" s="102"/>
      <c r="PKH385" s="102"/>
      <c r="PKI385" s="102"/>
      <c r="PKJ385" s="102"/>
      <c r="PKK385" s="102"/>
      <c r="PKL385" s="102"/>
      <c r="PKM385" s="102"/>
      <c r="PKN385" s="102"/>
      <c r="PKO385" s="102"/>
      <c r="PKP385" s="102"/>
      <c r="PKQ385" s="102"/>
      <c r="PKR385" s="102"/>
      <c r="PKS385" s="102"/>
      <c r="PKT385" s="102"/>
      <c r="PKU385" s="102"/>
      <c r="PKV385" s="102"/>
      <c r="PKW385" s="102"/>
      <c r="PKX385" s="102"/>
      <c r="PKY385" s="102"/>
      <c r="PKZ385" s="102"/>
      <c r="PLA385" s="102"/>
      <c r="PLB385" s="102"/>
      <c r="PLC385" s="102"/>
      <c r="PLD385" s="102"/>
      <c r="PLE385" s="102"/>
      <c r="PLF385" s="102"/>
      <c r="PLG385" s="102"/>
      <c r="PLH385" s="102"/>
      <c r="PLI385" s="102"/>
      <c r="PLJ385" s="102"/>
      <c r="PLK385" s="102"/>
      <c r="PLL385" s="102"/>
      <c r="PLM385" s="102"/>
      <c r="PLN385" s="102"/>
      <c r="PLO385" s="102"/>
      <c r="PLP385" s="102"/>
      <c r="PLQ385" s="102"/>
      <c r="PLR385" s="102"/>
      <c r="PLS385" s="102"/>
      <c r="PLT385" s="102"/>
      <c r="PLU385" s="102"/>
      <c r="PLV385" s="102"/>
      <c r="PLW385" s="102"/>
      <c r="PLX385" s="102"/>
      <c r="PLY385" s="102"/>
      <c r="PLZ385" s="102"/>
      <c r="PMA385" s="102"/>
      <c r="PMB385" s="102"/>
      <c r="PMC385" s="102"/>
      <c r="PMD385" s="102"/>
      <c r="PME385" s="102"/>
      <c r="PMF385" s="102"/>
      <c r="PMG385" s="102"/>
      <c r="PMH385" s="102"/>
      <c r="PMI385" s="102"/>
      <c r="PMJ385" s="102"/>
      <c r="PMK385" s="102"/>
      <c r="PML385" s="102"/>
      <c r="PMM385" s="102"/>
      <c r="PMN385" s="102"/>
      <c r="PMO385" s="102"/>
      <c r="PMP385" s="102"/>
      <c r="PMQ385" s="102"/>
      <c r="PMR385" s="102"/>
      <c r="PMS385" s="102"/>
      <c r="PMT385" s="102"/>
      <c r="PMU385" s="102"/>
      <c r="PMV385" s="102"/>
      <c r="PMW385" s="102"/>
      <c r="PMX385" s="102"/>
      <c r="PMY385" s="102"/>
      <c r="PMZ385" s="102"/>
      <c r="PNA385" s="102"/>
      <c r="PNB385" s="102"/>
      <c r="PNC385" s="102"/>
      <c r="PND385" s="102"/>
      <c r="PNE385" s="102"/>
      <c r="PNF385" s="102"/>
      <c r="PNG385" s="102"/>
      <c r="PNH385" s="102"/>
      <c r="PNI385" s="102"/>
      <c r="PNJ385" s="102"/>
      <c r="PNK385" s="102"/>
      <c r="PNL385" s="102"/>
      <c r="PNM385" s="102"/>
      <c r="PNN385" s="102"/>
      <c r="PNO385" s="102"/>
      <c r="PNP385" s="102"/>
      <c r="PNQ385" s="102"/>
      <c r="PNR385" s="102"/>
      <c r="PNS385" s="102"/>
      <c r="PNT385" s="102"/>
      <c r="PNU385" s="102"/>
      <c r="PNV385" s="102"/>
      <c r="PNW385" s="102"/>
      <c r="PNX385" s="102"/>
      <c r="PNY385" s="102"/>
      <c r="PNZ385" s="102"/>
      <c r="POA385" s="102"/>
      <c r="POB385" s="102"/>
      <c r="POC385" s="102"/>
      <c r="POD385" s="102"/>
      <c r="POE385" s="102"/>
      <c r="POF385" s="102"/>
      <c r="POG385" s="102"/>
      <c r="POH385" s="102"/>
      <c r="POI385" s="102"/>
      <c r="POJ385" s="102"/>
      <c r="POK385" s="102"/>
      <c r="POL385" s="102"/>
      <c r="POM385" s="102"/>
      <c r="PON385" s="102"/>
      <c r="POO385" s="102"/>
      <c r="POP385" s="102"/>
      <c r="POQ385" s="102"/>
      <c r="POR385" s="102"/>
      <c r="POS385" s="102"/>
      <c r="POT385" s="102"/>
      <c r="POU385" s="102"/>
      <c r="POV385" s="102"/>
      <c r="POW385" s="102"/>
      <c r="POX385" s="102"/>
      <c r="POY385" s="102"/>
      <c r="POZ385" s="102"/>
      <c r="PPA385" s="102"/>
      <c r="PPB385" s="102"/>
      <c r="PPC385" s="102"/>
      <c r="PPD385" s="102"/>
      <c r="PPE385" s="102"/>
      <c r="PPF385" s="102"/>
      <c r="PPG385" s="102"/>
      <c r="PPH385" s="102"/>
      <c r="PPI385" s="102"/>
      <c r="PPJ385" s="102"/>
      <c r="PPK385" s="102"/>
      <c r="PPL385" s="102"/>
      <c r="PPM385" s="102"/>
      <c r="PPN385" s="102"/>
      <c r="PPO385" s="102"/>
      <c r="PPP385" s="102"/>
      <c r="PPQ385" s="102"/>
      <c r="PPR385" s="102"/>
      <c r="PPS385" s="102"/>
      <c r="PPT385" s="102"/>
      <c r="PPU385" s="102"/>
      <c r="PPV385" s="102"/>
      <c r="PPW385" s="102"/>
      <c r="PPX385" s="102"/>
      <c r="PPY385" s="102"/>
      <c r="PPZ385" s="102"/>
      <c r="PQA385" s="102"/>
      <c r="PQB385" s="102"/>
      <c r="PQC385" s="102"/>
      <c r="PQD385" s="102"/>
      <c r="PQE385" s="102"/>
      <c r="PQF385" s="102"/>
      <c r="PQG385" s="102"/>
      <c r="PQH385" s="102"/>
      <c r="PQI385" s="102"/>
      <c r="PQJ385" s="102"/>
      <c r="PQK385" s="102"/>
      <c r="PQL385" s="102"/>
      <c r="PQM385" s="102"/>
      <c r="PQN385" s="102"/>
      <c r="PQO385" s="102"/>
      <c r="PQP385" s="102"/>
      <c r="PQQ385" s="102"/>
      <c r="PQR385" s="102"/>
      <c r="PQS385" s="102"/>
      <c r="PQT385" s="102"/>
      <c r="PQU385" s="102"/>
      <c r="PQV385" s="102"/>
      <c r="PQW385" s="102"/>
      <c r="PQX385" s="102"/>
      <c r="PQY385" s="102"/>
      <c r="PQZ385" s="102"/>
      <c r="PRA385" s="102"/>
      <c r="PRB385" s="102"/>
      <c r="PRC385" s="102"/>
      <c r="PRD385" s="102"/>
      <c r="PRE385" s="102"/>
      <c r="PRF385" s="102"/>
      <c r="PRG385" s="102"/>
      <c r="PRH385" s="102"/>
      <c r="PRI385" s="102"/>
      <c r="PRJ385" s="102"/>
      <c r="PRK385" s="102"/>
      <c r="PRL385" s="102"/>
      <c r="PRM385" s="102"/>
      <c r="PRN385" s="102"/>
      <c r="PRO385" s="102"/>
      <c r="PRP385" s="102"/>
      <c r="PRQ385" s="102"/>
      <c r="PRR385" s="102"/>
      <c r="PRS385" s="102"/>
      <c r="PRT385" s="102"/>
      <c r="PRU385" s="102"/>
      <c r="PRV385" s="102"/>
      <c r="PRW385" s="102"/>
      <c r="PRX385" s="102"/>
      <c r="PRY385" s="102"/>
      <c r="PRZ385" s="102"/>
      <c r="PSA385" s="102"/>
      <c r="PSB385" s="102"/>
      <c r="PSC385" s="102"/>
      <c r="PSD385" s="102"/>
      <c r="PSE385" s="102"/>
      <c r="PSF385" s="102"/>
      <c r="PSG385" s="102"/>
      <c r="PSH385" s="102"/>
      <c r="PSI385" s="102"/>
      <c r="PSJ385" s="102"/>
      <c r="PSK385" s="102"/>
      <c r="PSL385" s="102"/>
      <c r="PSM385" s="102"/>
      <c r="PSN385" s="102"/>
      <c r="PSO385" s="102"/>
      <c r="PSP385" s="102"/>
      <c r="PSQ385" s="102"/>
      <c r="PSR385" s="102"/>
      <c r="PSS385" s="102"/>
      <c r="PST385" s="102"/>
      <c r="PSU385" s="102"/>
      <c r="PSV385" s="102"/>
      <c r="PSW385" s="102"/>
      <c r="PSX385" s="102"/>
      <c r="PSY385" s="102"/>
      <c r="PSZ385" s="102"/>
      <c r="PTA385" s="102"/>
      <c r="PTB385" s="102"/>
      <c r="PTC385" s="102"/>
      <c r="PTD385" s="102"/>
      <c r="PTE385" s="102"/>
      <c r="PTF385" s="102"/>
      <c r="PTG385" s="102"/>
      <c r="PTH385" s="102"/>
      <c r="PTI385" s="102"/>
      <c r="PTJ385" s="102"/>
      <c r="PTK385" s="102"/>
      <c r="PTL385" s="102"/>
      <c r="PTM385" s="102"/>
      <c r="PTN385" s="102"/>
      <c r="PTO385" s="102"/>
      <c r="PTP385" s="102"/>
      <c r="PTQ385" s="102"/>
      <c r="PTR385" s="102"/>
      <c r="PTS385" s="102"/>
      <c r="PTT385" s="102"/>
      <c r="PTU385" s="102"/>
      <c r="PTV385" s="102"/>
      <c r="PTW385" s="102"/>
      <c r="PTX385" s="102"/>
      <c r="PTY385" s="102"/>
      <c r="PTZ385" s="102"/>
      <c r="PUA385" s="102"/>
      <c r="PUB385" s="102"/>
      <c r="PUC385" s="102"/>
      <c r="PUD385" s="102"/>
      <c r="PUE385" s="102"/>
      <c r="PUF385" s="102"/>
      <c r="PUG385" s="102"/>
      <c r="PUH385" s="102"/>
      <c r="PUI385" s="102"/>
      <c r="PUJ385" s="102"/>
      <c r="PUK385" s="102"/>
      <c r="PUL385" s="102"/>
      <c r="PUM385" s="102"/>
      <c r="PUN385" s="102"/>
      <c r="PUO385" s="102"/>
      <c r="PUP385" s="102"/>
      <c r="PUQ385" s="102"/>
      <c r="PUR385" s="102"/>
      <c r="PUS385" s="102"/>
      <c r="PUT385" s="102"/>
      <c r="PUU385" s="102"/>
      <c r="PUV385" s="102"/>
      <c r="PUW385" s="102"/>
      <c r="PUX385" s="102"/>
      <c r="PUY385" s="102"/>
      <c r="PUZ385" s="102"/>
      <c r="PVA385" s="102"/>
      <c r="PVB385" s="102"/>
      <c r="PVC385" s="102"/>
      <c r="PVD385" s="102"/>
      <c r="PVE385" s="102"/>
      <c r="PVF385" s="102"/>
      <c r="PVG385" s="102"/>
      <c r="PVH385" s="102"/>
      <c r="PVI385" s="102"/>
      <c r="PVJ385" s="102"/>
      <c r="PVK385" s="102"/>
      <c r="PVL385" s="102"/>
      <c r="PVM385" s="102"/>
      <c r="PVN385" s="102"/>
      <c r="PVO385" s="102"/>
      <c r="PVP385" s="102"/>
      <c r="PVQ385" s="102"/>
      <c r="PVR385" s="102"/>
      <c r="PVS385" s="102"/>
      <c r="PVT385" s="102"/>
      <c r="PVU385" s="102"/>
      <c r="PVV385" s="102"/>
      <c r="PVW385" s="102"/>
      <c r="PVX385" s="102"/>
      <c r="PVY385" s="102"/>
      <c r="PVZ385" s="102"/>
      <c r="PWA385" s="102"/>
      <c r="PWB385" s="102"/>
      <c r="PWC385" s="102"/>
      <c r="PWD385" s="102"/>
      <c r="PWE385" s="102"/>
      <c r="PWF385" s="102"/>
      <c r="PWG385" s="102"/>
      <c r="PWH385" s="102"/>
      <c r="PWI385" s="102"/>
      <c r="PWJ385" s="102"/>
      <c r="PWK385" s="102"/>
      <c r="PWL385" s="102"/>
      <c r="PWM385" s="102"/>
      <c r="PWN385" s="102"/>
      <c r="PWO385" s="102"/>
      <c r="PWP385" s="102"/>
      <c r="PWQ385" s="102"/>
      <c r="PWR385" s="102"/>
      <c r="PWS385" s="102"/>
      <c r="PWT385" s="102"/>
      <c r="PWU385" s="102"/>
      <c r="PWV385" s="102"/>
      <c r="PWW385" s="102"/>
      <c r="PWX385" s="102"/>
      <c r="PWY385" s="102"/>
      <c r="PWZ385" s="102"/>
      <c r="PXA385" s="102"/>
      <c r="PXB385" s="102"/>
      <c r="PXC385" s="102"/>
      <c r="PXD385" s="102"/>
      <c r="PXE385" s="102"/>
      <c r="PXF385" s="102"/>
      <c r="PXG385" s="102"/>
      <c r="PXH385" s="102"/>
      <c r="PXI385" s="102"/>
      <c r="PXJ385" s="102"/>
      <c r="PXK385" s="102"/>
      <c r="PXL385" s="102"/>
      <c r="PXM385" s="102"/>
      <c r="PXN385" s="102"/>
      <c r="PXO385" s="102"/>
      <c r="PXP385" s="102"/>
      <c r="PXQ385" s="102"/>
      <c r="PXR385" s="102"/>
      <c r="PXS385" s="102"/>
      <c r="PXT385" s="102"/>
      <c r="PXU385" s="102"/>
      <c r="PXV385" s="102"/>
      <c r="PXW385" s="102"/>
      <c r="PXX385" s="102"/>
      <c r="PXY385" s="102"/>
      <c r="PXZ385" s="102"/>
      <c r="PYA385" s="102"/>
      <c r="PYB385" s="102"/>
      <c r="PYC385" s="102"/>
      <c r="PYD385" s="102"/>
      <c r="PYE385" s="102"/>
      <c r="PYF385" s="102"/>
      <c r="PYG385" s="102"/>
      <c r="PYH385" s="102"/>
      <c r="PYI385" s="102"/>
      <c r="PYJ385" s="102"/>
      <c r="PYK385" s="102"/>
      <c r="PYL385" s="102"/>
      <c r="PYM385" s="102"/>
      <c r="PYN385" s="102"/>
      <c r="PYO385" s="102"/>
      <c r="PYP385" s="102"/>
      <c r="PYQ385" s="102"/>
      <c r="PYR385" s="102"/>
      <c r="PYS385" s="102"/>
      <c r="PYT385" s="102"/>
      <c r="PYU385" s="102"/>
      <c r="PYV385" s="102"/>
      <c r="PYW385" s="102"/>
      <c r="PYX385" s="102"/>
      <c r="PYY385" s="102"/>
      <c r="PYZ385" s="102"/>
      <c r="PZA385" s="102"/>
      <c r="PZB385" s="102"/>
      <c r="PZC385" s="102"/>
      <c r="PZD385" s="102"/>
      <c r="PZE385" s="102"/>
      <c r="PZF385" s="102"/>
      <c r="PZG385" s="102"/>
      <c r="PZH385" s="102"/>
      <c r="PZI385" s="102"/>
      <c r="PZJ385" s="102"/>
      <c r="PZK385" s="102"/>
      <c r="PZL385" s="102"/>
      <c r="PZM385" s="102"/>
      <c r="PZN385" s="102"/>
      <c r="PZO385" s="102"/>
      <c r="PZP385" s="102"/>
      <c r="PZQ385" s="102"/>
      <c r="PZR385" s="102"/>
      <c r="PZS385" s="102"/>
      <c r="PZT385" s="102"/>
      <c r="PZU385" s="102"/>
      <c r="PZV385" s="102"/>
      <c r="PZW385" s="102"/>
      <c r="PZX385" s="102"/>
      <c r="PZY385" s="102"/>
      <c r="PZZ385" s="102"/>
      <c r="QAA385" s="102"/>
      <c r="QAB385" s="102"/>
      <c r="QAC385" s="102"/>
      <c r="QAD385" s="102"/>
      <c r="QAE385" s="102"/>
      <c r="QAF385" s="102"/>
      <c r="QAG385" s="102"/>
      <c r="QAH385" s="102"/>
      <c r="QAI385" s="102"/>
      <c r="QAJ385" s="102"/>
      <c r="QAK385" s="102"/>
      <c r="QAL385" s="102"/>
      <c r="QAM385" s="102"/>
      <c r="QAN385" s="102"/>
      <c r="QAO385" s="102"/>
      <c r="QAP385" s="102"/>
      <c r="QAQ385" s="102"/>
      <c r="QAR385" s="102"/>
      <c r="QAS385" s="102"/>
      <c r="QAT385" s="102"/>
      <c r="QAU385" s="102"/>
      <c r="QAV385" s="102"/>
      <c r="QAW385" s="102"/>
      <c r="QAX385" s="102"/>
      <c r="QAY385" s="102"/>
      <c r="QAZ385" s="102"/>
      <c r="QBA385" s="102"/>
      <c r="QBB385" s="102"/>
      <c r="QBC385" s="102"/>
      <c r="QBD385" s="102"/>
      <c r="QBE385" s="102"/>
      <c r="QBF385" s="102"/>
      <c r="QBG385" s="102"/>
      <c r="QBH385" s="102"/>
      <c r="QBI385" s="102"/>
      <c r="QBJ385" s="102"/>
      <c r="QBK385" s="102"/>
      <c r="QBL385" s="102"/>
      <c r="QBM385" s="102"/>
      <c r="QBN385" s="102"/>
      <c r="QBO385" s="102"/>
      <c r="QBP385" s="102"/>
      <c r="QBQ385" s="102"/>
      <c r="QBR385" s="102"/>
      <c r="QBS385" s="102"/>
      <c r="QBT385" s="102"/>
      <c r="QBU385" s="102"/>
      <c r="QBV385" s="102"/>
      <c r="QBW385" s="102"/>
      <c r="QBX385" s="102"/>
      <c r="QBY385" s="102"/>
      <c r="QBZ385" s="102"/>
      <c r="QCA385" s="102"/>
      <c r="QCB385" s="102"/>
      <c r="QCC385" s="102"/>
      <c r="QCD385" s="102"/>
      <c r="QCE385" s="102"/>
      <c r="QCF385" s="102"/>
      <c r="QCG385" s="102"/>
      <c r="QCH385" s="102"/>
      <c r="QCI385" s="102"/>
      <c r="QCJ385" s="102"/>
      <c r="QCK385" s="102"/>
      <c r="QCL385" s="102"/>
      <c r="QCM385" s="102"/>
      <c r="QCN385" s="102"/>
      <c r="QCO385" s="102"/>
      <c r="QCP385" s="102"/>
      <c r="QCQ385" s="102"/>
      <c r="QCR385" s="102"/>
      <c r="QCS385" s="102"/>
      <c r="QCT385" s="102"/>
      <c r="QCU385" s="102"/>
      <c r="QCV385" s="102"/>
      <c r="QCW385" s="102"/>
      <c r="QCX385" s="102"/>
      <c r="QCY385" s="102"/>
      <c r="QCZ385" s="102"/>
      <c r="QDA385" s="102"/>
      <c r="QDB385" s="102"/>
      <c r="QDC385" s="102"/>
      <c r="QDD385" s="102"/>
      <c r="QDE385" s="102"/>
      <c r="QDF385" s="102"/>
      <c r="QDG385" s="102"/>
      <c r="QDH385" s="102"/>
      <c r="QDI385" s="102"/>
      <c r="QDJ385" s="102"/>
      <c r="QDK385" s="102"/>
      <c r="QDL385" s="102"/>
      <c r="QDM385" s="102"/>
      <c r="QDN385" s="102"/>
      <c r="QDO385" s="102"/>
      <c r="QDP385" s="102"/>
      <c r="QDQ385" s="102"/>
      <c r="QDR385" s="102"/>
      <c r="QDS385" s="102"/>
      <c r="QDT385" s="102"/>
      <c r="QDU385" s="102"/>
      <c r="QDV385" s="102"/>
      <c r="QDW385" s="102"/>
      <c r="QDX385" s="102"/>
      <c r="QDY385" s="102"/>
      <c r="QDZ385" s="102"/>
      <c r="QEA385" s="102"/>
      <c r="QEB385" s="102"/>
      <c r="QEC385" s="102"/>
      <c r="QED385" s="102"/>
      <c r="QEE385" s="102"/>
      <c r="QEF385" s="102"/>
      <c r="QEG385" s="102"/>
      <c r="QEH385" s="102"/>
      <c r="QEI385" s="102"/>
      <c r="QEJ385" s="102"/>
      <c r="QEK385" s="102"/>
      <c r="QEL385" s="102"/>
      <c r="QEM385" s="102"/>
      <c r="QEN385" s="102"/>
      <c r="QEO385" s="102"/>
      <c r="QEP385" s="102"/>
      <c r="QEQ385" s="102"/>
      <c r="QER385" s="102"/>
      <c r="QES385" s="102"/>
      <c r="QET385" s="102"/>
      <c r="QEU385" s="102"/>
      <c r="QEV385" s="102"/>
      <c r="QEW385" s="102"/>
      <c r="QEX385" s="102"/>
      <c r="QEY385" s="102"/>
      <c r="QEZ385" s="102"/>
      <c r="QFA385" s="102"/>
      <c r="QFB385" s="102"/>
      <c r="QFC385" s="102"/>
      <c r="QFD385" s="102"/>
      <c r="QFE385" s="102"/>
      <c r="QFF385" s="102"/>
      <c r="QFG385" s="102"/>
      <c r="QFH385" s="102"/>
      <c r="QFI385" s="102"/>
      <c r="QFJ385" s="102"/>
      <c r="QFK385" s="102"/>
      <c r="QFL385" s="102"/>
      <c r="QFM385" s="102"/>
      <c r="QFN385" s="102"/>
      <c r="QFO385" s="102"/>
      <c r="QFP385" s="102"/>
      <c r="QFQ385" s="102"/>
      <c r="QFR385" s="102"/>
      <c r="QFS385" s="102"/>
      <c r="QFT385" s="102"/>
      <c r="QFU385" s="102"/>
      <c r="QFV385" s="102"/>
      <c r="QFW385" s="102"/>
      <c r="QFX385" s="102"/>
      <c r="QFY385" s="102"/>
      <c r="QFZ385" s="102"/>
      <c r="QGA385" s="102"/>
      <c r="QGB385" s="102"/>
      <c r="QGC385" s="102"/>
      <c r="QGD385" s="102"/>
      <c r="QGE385" s="102"/>
      <c r="QGF385" s="102"/>
      <c r="QGG385" s="102"/>
      <c r="QGH385" s="102"/>
      <c r="QGI385" s="102"/>
      <c r="QGJ385" s="102"/>
      <c r="QGK385" s="102"/>
      <c r="QGL385" s="102"/>
      <c r="QGM385" s="102"/>
      <c r="QGN385" s="102"/>
      <c r="QGO385" s="102"/>
      <c r="QGP385" s="102"/>
      <c r="QGQ385" s="102"/>
      <c r="QGR385" s="102"/>
      <c r="QGS385" s="102"/>
      <c r="QGT385" s="102"/>
      <c r="QGU385" s="102"/>
      <c r="QGV385" s="102"/>
      <c r="QGW385" s="102"/>
      <c r="QGX385" s="102"/>
      <c r="QGY385" s="102"/>
      <c r="QGZ385" s="102"/>
      <c r="QHA385" s="102"/>
      <c r="QHB385" s="102"/>
      <c r="QHC385" s="102"/>
      <c r="QHD385" s="102"/>
      <c r="QHE385" s="102"/>
      <c r="QHF385" s="102"/>
      <c r="QHG385" s="102"/>
      <c r="QHH385" s="102"/>
      <c r="QHI385" s="102"/>
      <c r="QHJ385" s="102"/>
      <c r="QHK385" s="102"/>
      <c r="QHL385" s="102"/>
      <c r="QHM385" s="102"/>
      <c r="QHN385" s="102"/>
      <c r="QHO385" s="102"/>
      <c r="QHP385" s="102"/>
      <c r="QHQ385" s="102"/>
      <c r="QHR385" s="102"/>
      <c r="QHS385" s="102"/>
      <c r="QHT385" s="102"/>
      <c r="QHU385" s="102"/>
      <c r="QHV385" s="102"/>
      <c r="QHW385" s="102"/>
      <c r="QHX385" s="102"/>
      <c r="QHY385" s="102"/>
      <c r="QHZ385" s="102"/>
      <c r="QIA385" s="102"/>
      <c r="QIB385" s="102"/>
      <c r="QIC385" s="102"/>
      <c r="QID385" s="102"/>
      <c r="QIE385" s="102"/>
      <c r="QIF385" s="102"/>
      <c r="QIG385" s="102"/>
      <c r="QIH385" s="102"/>
      <c r="QII385" s="102"/>
      <c r="QIJ385" s="102"/>
      <c r="QIK385" s="102"/>
      <c r="QIL385" s="102"/>
      <c r="QIM385" s="102"/>
      <c r="QIN385" s="102"/>
      <c r="QIO385" s="102"/>
      <c r="QIP385" s="102"/>
      <c r="QIQ385" s="102"/>
      <c r="QIR385" s="102"/>
      <c r="QIS385" s="102"/>
      <c r="QIT385" s="102"/>
      <c r="QIU385" s="102"/>
      <c r="QIV385" s="102"/>
      <c r="QIW385" s="102"/>
      <c r="QIX385" s="102"/>
      <c r="QIY385" s="102"/>
      <c r="QIZ385" s="102"/>
      <c r="QJA385" s="102"/>
      <c r="QJB385" s="102"/>
      <c r="QJC385" s="102"/>
      <c r="QJD385" s="102"/>
      <c r="QJE385" s="102"/>
      <c r="QJF385" s="102"/>
      <c r="QJG385" s="102"/>
      <c r="QJH385" s="102"/>
      <c r="QJI385" s="102"/>
      <c r="QJJ385" s="102"/>
      <c r="QJK385" s="102"/>
      <c r="QJL385" s="102"/>
      <c r="QJM385" s="102"/>
      <c r="QJN385" s="102"/>
      <c r="QJO385" s="102"/>
      <c r="QJP385" s="102"/>
      <c r="QJQ385" s="102"/>
      <c r="QJR385" s="102"/>
      <c r="QJS385" s="102"/>
      <c r="QJT385" s="102"/>
      <c r="QJU385" s="102"/>
      <c r="QJV385" s="102"/>
      <c r="QJW385" s="102"/>
      <c r="QJX385" s="102"/>
      <c r="QJY385" s="102"/>
      <c r="QJZ385" s="102"/>
      <c r="QKA385" s="102"/>
      <c r="QKB385" s="102"/>
      <c r="QKC385" s="102"/>
      <c r="QKD385" s="102"/>
      <c r="QKE385" s="102"/>
      <c r="QKF385" s="102"/>
      <c r="QKG385" s="102"/>
      <c r="QKH385" s="102"/>
      <c r="QKI385" s="102"/>
      <c r="QKJ385" s="102"/>
      <c r="QKK385" s="102"/>
      <c r="QKL385" s="102"/>
      <c r="QKM385" s="102"/>
      <c r="QKN385" s="102"/>
      <c r="QKO385" s="102"/>
      <c r="QKP385" s="102"/>
      <c r="QKQ385" s="102"/>
      <c r="QKR385" s="102"/>
      <c r="QKS385" s="102"/>
      <c r="QKT385" s="102"/>
      <c r="QKU385" s="102"/>
      <c r="QKV385" s="102"/>
      <c r="QKW385" s="102"/>
      <c r="QKX385" s="102"/>
      <c r="QKY385" s="102"/>
      <c r="QKZ385" s="102"/>
      <c r="QLA385" s="102"/>
      <c r="QLB385" s="102"/>
      <c r="QLC385" s="102"/>
      <c r="QLD385" s="102"/>
      <c r="QLE385" s="102"/>
      <c r="QLF385" s="102"/>
      <c r="QLG385" s="102"/>
      <c r="QLH385" s="102"/>
      <c r="QLI385" s="102"/>
      <c r="QLJ385" s="102"/>
      <c r="QLK385" s="102"/>
      <c r="QLL385" s="102"/>
      <c r="QLM385" s="102"/>
      <c r="QLN385" s="102"/>
      <c r="QLO385" s="102"/>
      <c r="QLP385" s="102"/>
      <c r="QLQ385" s="102"/>
      <c r="QLR385" s="102"/>
      <c r="QLS385" s="102"/>
      <c r="QLT385" s="102"/>
      <c r="QLU385" s="102"/>
      <c r="QLV385" s="102"/>
      <c r="QLW385" s="102"/>
      <c r="QLX385" s="102"/>
      <c r="QLY385" s="102"/>
      <c r="QLZ385" s="102"/>
      <c r="QMA385" s="102"/>
      <c r="QMB385" s="102"/>
      <c r="QMC385" s="102"/>
      <c r="QMD385" s="102"/>
      <c r="QME385" s="102"/>
      <c r="QMF385" s="102"/>
      <c r="QMG385" s="102"/>
      <c r="QMH385" s="102"/>
      <c r="QMI385" s="102"/>
      <c r="QMJ385" s="102"/>
      <c r="QMK385" s="102"/>
      <c r="QML385" s="102"/>
      <c r="QMM385" s="102"/>
      <c r="QMN385" s="102"/>
      <c r="QMO385" s="102"/>
      <c r="QMP385" s="102"/>
      <c r="QMQ385" s="102"/>
      <c r="QMR385" s="102"/>
      <c r="QMS385" s="102"/>
      <c r="QMT385" s="102"/>
      <c r="QMU385" s="102"/>
      <c r="QMV385" s="102"/>
      <c r="QMW385" s="102"/>
      <c r="QMX385" s="102"/>
      <c r="QMY385" s="102"/>
      <c r="QMZ385" s="102"/>
      <c r="QNA385" s="102"/>
      <c r="QNB385" s="102"/>
      <c r="QNC385" s="102"/>
      <c r="QND385" s="102"/>
      <c r="QNE385" s="102"/>
      <c r="QNF385" s="102"/>
      <c r="QNG385" s="102"/>
      <c r="QNH385" s="102"/>
      <c r="QNI385" s="102"/>
      <c r="QNJ385" s="102"/>
      <c r="QNK385" s="102"/>
      <c r="QNL385" s="102"/>
      <c r="QNM385" s="102"/>
      <c r="QNN385" s="102"/>
      <c r="QNO385" s="102"/>
      <c r="QNP385" s="102"/>
      <c r="QNQ385" s="102"/>
      <c r="QNR385" s="102"/>
      <c r="QNS385" s="102"/>
      <c r="QNT385" s="102"/>
      <c r="QNU385" s="102"/>
      <c r="QNV385" s="102"/>
      <c r="QNW385" s="102"/>
      <c r="QNX385" s="102"/>
      <c r="QNY385" s="102"/>
      <c r="QNZ385" s="102"/>
      <c r="QOA385" s="102"/>
      <c r="QOB385" s="102"/>
      <c r="QOC385" s="102"/>
      <c r="QOD385" s="102"/>
      <c r="QOE385" s="102"/>
      <c r="QOF385" s="102"/>
      <c r="QOG385" s="102"/>
      <c r="QOH385" s="102"/>
      <c r="QOI385" s="102"/>
      <c r="QOJ385" s="102"/>
      <c r="QOK385" s="102"/>
      <c r="QOL385" s="102"/>
      <c r="QOM385" s="102"/>
      <c r="QON385" s="102"/>
      <c r="QOO385" s="102"/>
      <c r="QOP385" s="102"/>
      <c r="QOQ385" s="102"/>
      <c r="QOR385" s="102"/>
      <c r="QOS385" s="102"/>
      <c r="QOT385" s="102"/>
      <c r="QOU385" s="102"/>
      <c r="QOV385" s="102"/>
      <c r="QOW385" s="102"/>
      <c r="QOX385" s="102"/>
      <c r="QOY385" s="102"/>
      <c r="QOZ385" s="102"/>
      <c r="QPA385" s="102"/>
      <c r="QPB385" s="102"/>
      <c r="QPC385" s="102"/>
      <c r="QPD385" s="102"/>
      <c r="QPE385" s="102"/>
      <c r="QPF385" s="102"/>
      <c r="QPG385" s="102"/>
      <c r="QPH385" s="102"/>
      <c r="QPI385" s="102"/>
      <c r="QPJ385" s="102"/>
      <c r="QPK385" s="102"/>
      <c r="QPL385" s="102"/>
      <c r="QPM385" s="102"/>
      <c r="QPN385" s="102"/>
      <c r="QPO385" s="102"/>
      <c r="QPP385" s="102"/>
      <c r="QPQ385" s="102"/>
      <c r="QPR385" s="102"/>
      <c r="QPS385" s="102"/>
      <c r="QPT385" s="102"/>
      <c r="QPU385" s="102"/>
      <c r="QPV385" s="102"/>
      <c r="QPW385" s="102"/>
      <c r="QPX385" s="102"/>
      <c r="QPY385" s="102"/>
      <c r="QPZ385" s="102"/>
      <c r="QQA385" s="102"/>
      <c r="QQB385" s="102"/>
      <c r="QQC385" s="102"/>
      <c r="QQD385" s="102"/>
      <c r="QQE385" s="102"/>
      <c r="QQF385" s="102"/>
      <c r="QQG385" s="102"/>
      <c r="QQH385" s="102"/>
      <c r="QQI385" s="102"/>
      <c r="QQJ385" s="102"/>
      <c r="QQK385" s="102"/>
      <c r="QQL385" s="102"/>
      <c r="QQM385" s="102"/>
      <c r="QQN385" s="102"/>
      <c r="QQO385" s="102"/>
      <c r="QQP385" s="102"/>
      <c r="QQQ385" s="102"/>
      <c r="QQR385" s="102"/>
      <c r="QQS385" s="102"/>
      <c r="QQT385" s="102"/>
      <c r="QQU385" s="102"/>
      <c r="QQV385" s="102"/>
      <c r="QQW385" s="102"/>
      <c r="QQX385" s="102"/>
      <c r="QQY385" s="102"/>
      <c r="QQZ385" s="102"/>
      <c r="QRA385" s="102"/>
      <c r="QRB385" s="102"/>
      <c r="QRC385" s="102"/>
      <c r="QRD385" s="102"/>
      <c r="QRE385" s="102"/>
      <c r="QRF385" s="102"/>
      <c r="QRG385" s="102"/>
      <c r="QRH385" s="102"/>
      <c r="QRI385" s="102"/>
      <c r="QRJ385" s="102"/>
      <c r="QRK385" s="102"/>
      <c r="QRL385" s="102"/>
      <c r="QRM385" s="102"/>
      <c r="QRN385" s="102"/>
      <c r="QRO385" s="102"/>
      <c r="QRP385" s="102"/>
      <c r="QRQ385" s="102"/>
      <c r="QRR385" s="102"/>
      <c r="QRS385" s="102"/>
      <c r="QRT385" s="102"/>
      <c r="QRU385" s="102"/>
      <c r="QRV385" s="102"/>
      <c r="QRW385" s="102"/>
      <c r="QRX385" s="102"/>
      <c r="QRY385" s="102"/>
      <c r="QRZ385" s="102"/>
      <c r="QSA385" s="102"/>
      <c r="QSB385" s="102"/>
      <c r="QSC385" s="102"/>
      <c r="QSD385" s="102"/>
      <c r="QSE385" s="102"/>
      <c r="QSF385" s="102"/>
      <c r="QSG385" s="102"/>
      <c r="QSH385" s="102"/>
      <c r="QSI385" s="102"/>
      <c r="QSJ385" s="102"/>
      <c r="QSK385" s="102"/>
      <c r="QSL385" s="102"/>
      <c r="QSM385" s="102"/>
      <c r="QSN385" s="102"/>
      <c r="QSO385" s="102"/>
      <c r="QSP385" s="102"/>
      <c r="QSQ385" s="102"/>
      <c r="QSR385" s="102"/>
      <c r="QSS385" s="102"/>
      <c r="QST385" s="102"/>
      <c r="QSU385" s="102"/>
      <c r="QSV385" s="102"/>
      <c r="QSW385" s="102"/>
      <c r="QSX385" s="102"/>
      <c r="QSY385" s="102"/>
      <c r="QSZ385" s="102"/>
      <c r="QTA385" s="102"/>
      <c r="QTB385" s="102"/>
      <c r="QTC385" s="102"/>
      <c r="QTD385" s="102"/>
      <c r="QTE385" s="102"/>
      <c r="QTF385" s="102"/>
      <c r="QTG385" s="102"/>
      <c r="QTH385" s="102"/>
      <c r="QTI385" s="102"/>
      <c r="QTJ385" s="102"/>
      <c r="QTK385" s="102"/>
      <c r="QTL385" s="102"/>
      <c r="QTM385" s="102"/>
      <c r="QTN385" s="102"/>
      <c r="QTO385" s="102"/>
      <c r="QTP385" s="102"/>
      <c r="QTQ385" s="102"/>
      <c r="QTR385" s="102"/>
      <c r="QTS385" s="102"/>
      <c r="QTT385" s="102"/>
      <c r="QTU385" s="102"/>
      <c r="QTV385" s="102"/>
      <c r="QTW385" s="102"/>
      <c r="QTX385" s="102"/>
      <c r="QTY385" s="102"/>
      <c r="QTZ385" s="102"/>
      <c r="QUA385" s="102"/>
      <c r="QUB385" s="102"/>
      <c r="QUC385" s="102"/>
      <c r="QUD385" s="102"/>
      <c r="QUE385" s="102"/>
      <c r="QUF385" s="102"/>
      <c r="QUG385" s="102"/>
      <c r="QUH385" s="102"/>
      <c r="QUI385" s="102"/>
      <c r="QUJ385" s="102"/>
      <c r="QUK385" s="102"/>
      <c r="QUL385" s="102"/>
      <c r="QUM385" s="102"/>
      <c r="QUN385" s="102"/>
      <c r="QUO385" s="102"/>
      <c r="QUP385" s="102"/>
      <c r="QUQ385" s="102"/>
      <c r="QUR385" s="102"/>
      <c r="QUS385" s="102"/>
      <c r="QUT385" s="102"/>
      <c r="QUU385" s="102"/>
      <c r="QUV385" s="102"/>
      <c r="QUW385" s="102"/>
      <c r="QUX385" s="102"/>
      <c r="QUY385" s="102"/>
      <c r="QUZ385" s="102"/>
      <c r="QVA385" s="102"/>
      <c r="QVB385" s="102"/>
      <c r="QVC385" s="102"/>
      <c r="QVD385" s="102"/>
      <c r="QVE385" s="102"/>
      <c r="QVF385" s="102"/>
      <c r="QVG385" s="102"/>
      <c r="QVH385" s="102"/>
      <c r="QVI385" s="102"/>
      <c r="QVJ385" s="102"/>
      <c r="QVK385" s="102"/>
      <c r="QVL385" s="102"/>
      <c r="QVM385" s="102"/>
      <c r="QVN385" s="102"/>
      <c r="QVO385" s="102"/>
      <c r="QVP385" s="102"/>
      <c r="QVQ385" s="102"/>
      <c r="QVR385" s="102"/>
      <c r="QVS385" s="102"/>
      <c r="QVT385" s="102"/>
      <c r="QVU385" s="102"/>
      <c r="QVV385" s="102"/>
      <c r="QVW385" s="102"/>
      <c r="QVX385" s="102"/>
      <c r="QVY385" s="102"/>
      <c r="QVZ385" s="102"/>
      <c r="QWA385" s="102"/>
      <c r="QWB385" s="102"/>
      <c r="QWC385" s="102"/>
      <c r="QWD385" s="102"/>
      <c r="QWE385" s="102"/>
      <c r="QWF385" s="102"/>
      <c r="QWG385" s="102"/>
      <c r="QWH385" s="102"/>
      <c r="QWI385" s="102"/>
      <c r="QWJ385" s="102"/>
      <c r="QWK385" s="102"/>
      <c r="QWL385" s="102"/>
      <c r="QWM385" s="102"/>
      <c r="QWN385" s="102"/>
      <c r="QWO385" s="102"/>
      <c r="QWP385" s="102"/>
      <c r="QWQ385" s="102"/>
      <c r="QWR385" s="102"/>
      <c r="QWS385" s="102"/>
      <c r="QWT385" s="102"/>
      <c r="QWU385" s="102"/>
      <c r="QWV385" s="102"/>
      <c r="QWW385" s="102"/>
      <c r="QWX385" s="102"/>
      <c r="QWY385" s="102"/>
      <c r="QWZ385" s="102"/>
      <c r="QXA385" s="102"/>
      <c r="QXB385" s="102"/>
      <c r="QXC385" s="102"/>
      <c r="QXD385" s="102"/>
      <c r="QXE385" s="102"/>
      <c r="QXF385" s="102"/>
      <c r="QXG385" s="102"/>
      <c r="QXH385" s="102"/>
      <c r="QXI385" s="102"/>
      <c r="QXJ385" s="102"/>
      <c r="QXK385" s="102"/>
      <c r="QXL385" s="102"/>
      <c r="QXM385" s="102"/>
      <c r="QXN385" s="102"/>
      <c r="QXO385" s="102"/>
      <c r="QXP385" s="102"/>
      <c r="QXQ385" s="102"/>
      <c r="QXR385" s="102"/>
      <c r="QXS385" s="102"/>
      <c r="QXT385" s="102"/>
      <c r="QXU385" s="102"/>
      <c r="QXV385" s="102"/>
      <c r="QXW385" s="102"/>
      <c r="QXX385" s="102"/>
      <c r="QXY385" s="102"/>
      <c r="QXZ385" s="102"/>
      <c r="QYA385" s="102"/>
      <c r="QYB385" s="102"/>
      <c r="QYC385" s="102"/>
      <c r="QYD385" s="102"/>
      <c r="QYE385" s="102"/>
      <c r="QYF385" s="102"/>
      <c r="QYG385" s="102"/>
      <c r="QYH385" s="102"/>
      <c r="QYI385" s="102"/>
      <c r="QYJ385" s="102"/>
      <c r="QYK385" s="102"/>
      <c r="QYL385" s="102"/>
      <c r="QYM385" s="102"/>
      <c r="QYN385" s="102"/>
      <c r="QYO385" s="102"/>
      <c r="QYP385" s="102"/>
      <c r="QYQ385" s="102"/>
      <c r="QYR385" s="102"/>
      <c r="QYS385" s="102"/>
      <c r="QYT385" s="102"/>
      <c r="QYU385" s="102"/>
      <c r="QYV385" s="102"/>
      <c r="QYW385" s="102"/>
      <c r="QYX385" s="102"/>
      <c r="QYY385" s="102"/>
      <c r="QYZ385" s="102"/>
      <c r="QZA385" s="102"/>
      <c r="QZB385" s="102"/>
      <c r="QZC385" s="102"/>
      <c r="QZD385" s="102"/>
      <c r="QZE385" s="102"/>
      <c r="QZF385" s="102"/>
      <c r="QZG385" s="102"/>
      <c r="QZH385" s="102"/>
      <c r="QZI385" s="102"/>
      <c r="QZJ385" s="102"/>
      <c r="QZK385" s="102"/>
      <c r="QZL385" s="102"/>
      <c r="QZM385" s="102"/>
      <c r="QZN385" s="102"/>
      <c r="QZO385" s="102"/>
      <c r="QZP385" s="102"/>
      <c r="QZQ385" s="102"/>
      <c r="QZR385" s="102"/>
      <c r="QZS385" s="102"/>
      <c r="QZT385" s="102"/>
      <c r="QZU385" s="102"/>
      <c r="QZV385" s="102"/>
      <c r="QZW385" s="102"/>
      <c r="QZX385" s="102"/>
      <c r="QZY385" s="102"/>
      <c r="QZZ385" s="102"/>
      <c r="RAA385" s="102"/>
      <c r="RAB385" s="102"/>
      <c r="RAC385" s="102"/>
      <c r="RAD385" s="102"/>
      <c r="RAE385" s="102"/>
      <c r="RAF385" s="102"/>
      <c r="RAG385" s="102"/>
      <c r="RAH385" s="102"/>
      <c r="RAI385" s="102"/>
      <c r="RAJ385" s="102"/>
      <c r="RAK385" s="102"/>
      <c r="RAL385" s="102"/>
      <c r="RAM385" s="102"/>
      <c r="RAN385" s="102"/>
      <c r="RAO385" s="102"/>
      <c r="RAP385" s="102"/>
      <c r="RAQ385" s="102"/>
      <c r="RAR385" s="102"/>
      <c r="RAS385" s="102"/>
      <c r="RAT385" s="102"/>
      <c r="RAU385" s="102"/>
      <c r="RAV385" s="102"/>
      <c r="RAW385" s="102"/>
      <c r="RAX385" s="102"/>
      <c r="RAY385" s="102"/>
      <c r="RAZ385" s="102"/>
      <c r="RBA385" s="102"/>
      <c r="RBB385" s="102"/>
      <c r="RBC385" s="102"/>
      <c r="RBD385" s="102"/>
      <c r="RBE385" s="102"/>
      <c r="RBF385" s="102"/>
      <c r="RBG385" s="102"/>
      <c r="RBH385" s="102"/>
      <c r="RBI385" s="102"/>
      <c r="RBJ385" s="102"/>
      <c r="RBK385" s="102"/>
      <c r="RBL385" s="102"/>
      <c r="RBM385" s="102"/>
      <c r="RBN385" s="102"/>
      <c r="RBO385" s="102"/>
      <c r="RBP385" s="102"/>
      <c r="RBQ385" s="102"/>
      <c r="RBR385" s="102"/>
      <c r="RBS385" s="102"/>
      <c r="RBT385" s="102"/>
      <c r="RBU385" s="102"/>
      <c r="RBV385" s="102"/>
      <c r="RBW385" s="102"/>
      <c r="RBX385" s="102"/>
      <c r="RBY385" s="102"/>
      <c r="RBZ385" s="102"/>
      <c r="RCA385" s="102"/>
      <c r="RCB385" s="102"/>
      <c r="RCC385" s="102"/>
      <c r="RCD385" s="102"/>
      <c r="RCE385" s="102"/>
      <c r="RCF385" s="102"/>
      <c r="RCG385" s="102"/>
      <c r="RCH385" s="102"/>
      <c r="RCI385" s="102"/>
      <c r="RCJ385" s="102"/>
      <c r="RCK385" s="102"/>
      <c r="RCL385" s="102"/>
      <c r="RCM385" s="102"/>
      <c r="RCN385" s="102"/>
      <c r="RCO385" s="102"/>
      <c r="RCP385" s="102"/>
      <c r="RCQ385" s="102"/>
      <c r="RCR385" s="102"/>
      <c r="RCS385" s="102"/>
      <c r="RCT385" s="102"/>
      <c r="RCU385" s="102"/>
      <c r="RCV385" s="102"/>
      <c r="RCW385" s="102"/>
      <c r="RCX385" s="102"/>
      <c r="RCY385" s="102"/>
      <c r="RCZ385" s="102"/>
      <c r="RDA385" s="102"/>
      <c r="RDB385" s="102"/>
      <c r="RDC385" s="102"/>
      <c r="RDD385" s="102"/>
      <c r="RDE385" s="102"/>
      <c r="RDF385" s="102"/>
      <c r="RDG385" s="102"/>
      <c r="RDH385" s="102"/>
      <c r="RDI385" s="102"/>
      <c r="RDJ385" s="102"/>
      <c r="RDK385" s="102"/>
      <c r="RDL385" s="102"/>
      <c r="RDM385" s="102"/>
      <c r="RDN385" s="102"/>
      <c r="RDO385" s="102"/>
      <c r="RDP385" s="102"/>
      <c r="RDQ385" s="102"/>
      <c r="RDR385" s="102"/>
      <c r="RDS385" s="102"/>
      <c r="RDT385" s="102"/>
      <c r="RDU385" s="102"/>
      <c r="RDV385" s="102"/>
      <c r="RDW385" s="102"/>
      <c r="RDX385" s="102"/>
      <c r="RDY385" s="102"/>
      <c r="RDZ385" s="102"/>
      <c r="REA385" s="102"/>
      <c r="REB385" s="102"/>
      <c r="REC385" s="102"/>
      <c r="RED385" s="102"/>
      <c r="REE385" s="102"/>
      <c r="REF385" s="102"/>
      <c r="REG385" s="102"/>
      <c r="REH385" s="102"/>
      <c r="REI385" s="102"/>
      <c r="REJ385" s="102"/>
      <c r="REK385" s="102"/>
      <c r="REL385" s="102"/>
      <c r="REM385" s="102"/>
      <c r="REN385" s="102"/>
      <c r="REO385" s="102"/>
      <c r="REP385" s="102"/>
      <c r="REQ385" s="102"/>
      <c r="RER385" s="102"/>
      <c r="RES385" s="102"/>
      <c r="RET385" s="102"/>
      <c r="REU385" s="102"/>
      <c r="REV385" s="102"/>
      <c r="REW385" s="102"/>
      <c r="REX385" s="102"/>
      <c r="REY385" s="102"/>
      <c r="REZ385" s="102"/>
      <c r="RFA385" s="102"/>
      <c r="RFB385" s="102"/>
      <c r="RFC385" s="102"/>
      <c r="RFD385" s="102"/>
      <c r="RFE385" s="102"/>
      <c r="RFF385" s="102"/>
      <c r="RFG385" s="102"/>
      <c r="RFH385" s="102"/>
      <c r="RFI385" s="102"/>
      <c r="RFJ385" s="102"/>
      <c r="RFK385" s="102"/>
      <c r="RFL385" s="102"/>
      <c r="RFM385" s="102"/>
      <c r="RFN385" s="102"/>
      <c r="RFO385" s="102"/>
      <c r="RFP385" s="102"/>
      <c r="RFQ385" s="102"/>
      <c r="RFR385" s="102"/>
      <c r="RFS385" s="102"/>
      <c r="RFT385" s="102"/>
      <c r="RFU385" s="102"/>
      <c r="RFV385" s="102"/>
      <c r="RFW385" s="102"/>
      <c r="RFX385" s="102"/>
      <c r="RFY385" s="102"/>
      <c r="RFZ385" s="102"/>
      <c r="RGA385" s="102"/>
      <c r="RGB385" s="102"/>
      <c r="RGC385" s="102"/>
      <c r="RGD385" s="102"/>
      <c r="RGE385" s="102"/>
      <c r="RGF385" s="102"/>
      <c r="RGG385" s="102"/>
      <c r="RGH385" s="102"/>
      <c r="RGI385" s="102"/>
      <c r="RGJ385" s="102"/>
      <c r="RGK385" s="102"/>
      <c r="RGL385" s="102"/>
      <c r="RGM385" s="102"/>
      <c r="RGN385" s="102"/>
      <c r="RGO385" s="102"/>
      <c r="RGP385" s="102"/>
      <c r="RGQ385" s="102"/>
      <c r="RGR385" s="102"/>
      <c r="RGS385" s="102"/>
      <c r="RGT385" s="102"/>
      <c r="RGU385" s="102"/>
      <c r="RGV385" s="102"/>
      <c r="RGW385" s="102"/>
      <c r="RGX385" s="102"/>
      <c r="RGY385" s="102"/>
      <c r="RGZ385" s="102"/>
      <c r="RHA385" s="102"/>
      <c r="RHB385" s="102"/>
      <c r="RHC385" s="102"/>
      <c r="RHD385" s="102"/>
      <c r="RHE385" s="102"/>
      <c r="RHF385" s="102"/>
      <c r="RHG385" s="102"/>
      <c r="RHH385" s="102"/>
      <c r="RHI385" s="102"/>
      <c r="RHJ385" s="102"/>
      <c r="RHK385" s="102"/>
      <c r="RHL385" s="102"/>
      <c r="RHM385" s="102"/>
      <c r="RHN385" s="102"/>
      <c r="RHO385" s="102"/>
      <c r="RHP385" s="102"/>
      <c r="RHQ385" s="102"/>
      <c r="RHR385" s="102"/>
      <c r="RHS385" s="102"/>
      <c r="RHT385" s="102"/>
      <c r="RHU385" s="102"/>
      <c r="RHV385" s="102"/>
      <c r="RHW385" s="102"/>
      <c r="RHX385" s="102"/>
      <c r="RHY385" s="102"/>
      <c r="RHZ385" s="102"/>
      <c r="RIA385" s="102"/>
      <c r="RIB385" s="102"/>
      <c r="RIC385" s="102"/>
      <c r="RID385" s="102"/>
      <c r="RIE385" s="102"/>
      <c r="RIF385" s="102"/>
      <c r="RIG385" s="102"/>
      <c r="RIH385" s="102"/>
      <c r="RII385" s="102"/>
      <c r="RIJ385" s="102"/>
      <c r="RIK385" s="102"/>
      <c r="RIL385" s="102"/>
      <c r="RIM385" s="102"/>
      <c r="RIN385" s="102"/>
      <c r="RIO385" s="102"/>
      <c r="RIP385" s="102"/>
      <c r="RIQ385" s="102"/>
      <c r="RIR385" s="102"/>
      <c r="RIS385" s="102"/>
      <c r="RIT385" s="102"/>
      <c r="RIU385" s="102"/>
      <c r="RIV385" s="102"/>
      <c r="RIW385" s="102"/>
      <c r="RIX385" s="102"/>
      <c r="RIY385" s="102"/>
      <c r="RIZ385" s="102"/>
      <c r="RJA385" s="102"/>
      <c r="RJB385" s="102"/>
      <c r="RJC385" s="102"/>
      <c r="RJD385" s="102"/>
      <c r="RJE385" s="102"/>
      <c r="RJF385" s="102"/>
      <c r="RJG385" s="102"/>
      <c r="RJH385" s="102"/>
      <c r="RJI385" s="102"/>
      <c r="RJJ385" s="102"/>
      <c r="RJK385" s="102"/>
      <c r="RJL385" s="102"/>
      <c r="RJM385" s="102"/>
      <c r="RJN385" s="102"/>
      <c r="RJO385" s="102"/>
      <c r="RJP385" s="102"/>
      <c r="RJQ385" s="102"/>
      <c r="RJR385" s="102"/>
      <c r="RJS385" s="102"/>
      <c r="RJT385" s="102"/>
      <c r="RJU385" s="102"/>
      <c r="RJV385" s="102"/>
      <c r="RJW385" s="102"/>
      <c r="RJX385" s="102"/>
      <c r="RJY385" s="102"/>
      <c r="RJZ385" s="102"/>
      <c r="RKA385" s="102"/>
      <c r="RKB385" s="102"/>
      <c r="RKC385" s="102"/>
      <c r="RKD385" s="102"/>
      <c r="RKE385" s="102"/>
      <c r="RKF385" s="102"/>
      <c r="RKG385" s="102"/>
      <c r="RKH385" s="102"/>
      <c r="RKI385" s="102"/>
      <c r="RKJ385" s="102"/>
      <c r="RKK385" s="102"/>
      <c r="RKL385" s="102"/>
      <c r="RKM385" s="102"/>
      <c r="RKN385" s="102"/>
      <c r="RKO385" s="102"/>
      <c r="RKP385" s="102"/>
      <c r="RKQ385" s="102"/>
      <c r="RKR385" s="102"/>
      <c r="RKS385" s="102"/>
      <c r="RKT385" s="102"/>
      <c r="RKU385" s="102"/>
      <c r="RKV385" s="102"/>
      <c r="RKW385" s="102"/>
      <c r="RKX385" s="102"/>
      <c r="RKY385" s="102"/>
      <c r="RKZ385" s="102"/>
      <c r="RLA385" s="102"/>
      <c r="RLB385" s="102"/>
      <c r="RLC385" s="102"/>
      <c r="RLD385" s="102"/>
      <c r="RLE385" s="102"/>
      <c r="RLF385" s="102"/>
      <c r="RLG385" s="102"/>
      <c r="RLH385" s="102"/>
      <c r="RLI385" s="102"/>
      <c r="RLJ385" s="102"/>
      <c r="RLK385" s="102"/>
      <c r="RLL385" s="102"/>
      <c r="RLM385" s="102"/>
      <c r="RLN385" s="102"/>
      <c r="RLO385" s="102"/>
      <c r="RLP385" s="102"/>
      <c r="RLQ385" s="102"/>
      <c r="RLR385" s="102"/>
      <c r="RLS385" s="102"/>
      <c r="RLT385" s="102"/>
      <c r="RLU385" s="102"/>
      <c r="RLV385" s="102"/>
      <c r="RLW385" s="102"/>
      <c r="RLX385" s="102"/>
      <c r="RLY385" s="102"/>
      <c r="RLZ385" s="102"/>
      <c r="RMA385" s="102"/>
      <c r="RMB385" s="102"/>
      <c r="RMC385" s="102"/>
      <c r="RMD385" s="102"/>
      <c r="RME385" s="102"/>
      <c r="RMF385" s="102"/>
      <c r="RMG385" s="102"/>
      <c r="RMH385" s="102"/>
      <c r="RMI385" s="102"/>
      <c r="RMJ385" s="102"/>
      <c r="RMK385" s="102"/>
      <c r="RML385" s="102"/>
      <c r="RMM385" s="102"/>
      <c r="RMN385" s="102"/>
      <c r="RMO385" s="102"/>
      <c r="RMP385" s="102"/>
      <c r="RMQ385" s="102"/>
      <c r="RMR385" s="102"/>
      <c r="RMS385" s="102"/>
      <c r="RMT385" s="102"/>
      <c r="RMU385" s="102"/>
      <c r="RMV385" s="102"/>
      <c r="RMW385" s="102"/>
      <c r="RMX385" s="102"/>
      <c r="RMY385" s="102"/>
      <c r="RMZ385" s="102"/>
      <c r="RNA385" s="102"/>
      <c r="RNB385" s="102"/>
      <c r="RNC385" s="102"/>
      <c r="RND385" s="102"/>
      <c r="RNE385" s="102"/>
      <c r="RNF385" s="102"/>
      <c r="RNG385" s="102"/>
      <c r="RNH385" s="102"/>
      <c r="RNI385" s="102"/>
      <c r="RNJ385" s="102"/>
      <c r="RNK385" s="102"/>
      <c r="RNL385" s="102"/>
      <c r="RNM385" s="102"/>
      <c r="RNN385" s="102"/>
      <c r="RNO385" s="102"/>
      <c r="RNP385" s="102"/>
      <c r="RNQ385" s="102"/>
      <c r="RNR385" s="102"/>
      <c r="RNS385" s="102"/>
      <c r="RNT385" s="102"/>
      <c r="RNU385" s="102"/>
      <c r="RNV385" s="102"/>
      <c r="RNW385" s="102"/>
      <c r="RNX385" s="102"/>
      <c r="RNY385" s="102"/>
      <c r="RNZ385" s="102"/>
      <c r="ROA385" s="102"/>
      <c r="ROB385" s="102"/>
      <c r="ROC385" s="102"/>
      <c r="ROD385" s="102"/>
      <c r="ROE385" s="102"/>
      <c r="ROF385" s="102"/>
      <c r="ROG385" s="102"/>
      <c r="ROH385" s="102"/>
      <c r="ROI385" s="102"/>
      <c r="ROJ385" s="102"/>
      <c r="ROK385" s="102"/>
      <c r="ROL385" s="102"/>
      <c r="ROM385" s="102"/>
      <c r="RON385" s="102"/>
      <c r="ROO385" s="102"/>
      <c r="ROP385" s="102"/>
      <c r="ROQ385" s="102"/>
      <c r="ROR385" s="102"/>
      <c r="ROS385" s="102"/>
      <c r="ROT385" s="102"/>
      <c r="ROU385" s="102"/>
      <c r="ROV385" s="102"/>
      <c r="ROW385" s="102"/>
      <c r="ROX385" s="102"/>
      <c r="ROY385" s="102"/>
      <c r="ROZ385" s="102"/>
      <c r="RPA385" s="102"/>
      <c r="RPB385" s="102"/>
      <c r="RPC385" s="102"/>
      <c r="RPD385" s="102"/>
      <c r="RPE385" s="102"/>
      <c r="RPF385" s="102"/>
      <c r="RPG385" s="102"/>
      <c r="RPH385" s="102"/>
      <c r="RPI385" s="102"/>
      <c r="RPJ385" s="102"/>
      <c r="RPK385" s="102"/>
      <c r="RPL385" s="102"/>
      <c r="RPM385" s="102"/>
      <c r="RPN385" s="102"/>
      <c r="RPO385" s="102"/>
      <c r="RPP385" s="102"/>
      <c r="RPQ385" s="102"/>
      <c r="RPR385" s="102"/>
      <c r="RPS385" s="102"/>
      <c r="RPT385" s="102"/>
      <c r="RPU385" s="102"/>
      <c r="RPV385" s="102"/>
      <c r="RPW385" s="102"/>
      <c r="RPX385" s="102"/>
      <c r="RPY385" s="102"/>
      <c r="RPZ385" s="102"/>
      <c r="RQA385" s="102"/>
      <c r="RQB385" s="102"/>
      <c r="RQC385" s="102"/>
      <c r="RQD385" s="102"/>
      <c r="RQE385" s="102"/>
      <c r="RQF385" s="102"/>
      <c r="RQG385" s="102"/>
      <c r="RQH385" s="102"/>
      <c r="RQI385" s="102"/>
      <c r="RQJ385" s="102"/>
      <c r="RQK385" s="102"/>
      <c r="RQL385" s="102"/>
      <c r="RQM385" s="102"/>
      <c r="RQN385" s="102"/>
      <c r="RQO385" s="102"/>
      <c r="RQP385" s="102"/>
      <c r="RQQ385" s="102"/>
      <c r="RQR385" s="102"/>
      <c r="RQS385" s="102"/>
      <c r="RQT385" s="102"/>
      <c r="RQU385" s="102"/>
      <c r="RQV385" s="102"/>
      <c r="RQW385" s="102"/>
      <c r="RQX385" s="102"/>
      <c r="RQY385" s="102"/>
      <c r="RQZ385" s="102"/>
      <c r="RRA385" s="102"/>
      <c r="RRB385" s="102"/>
      <c r="RRC385" s="102"/>
      <c r="RRD385" s="102"/>
      <c r="RRE385" s="102"/>
      <c r="RRF385" s="102"/>
      <c r="RRG385" s="102"/>
      <c r="RRH385" s="102"/>
      <c r="RRI385" s="102"/>
      <c r="RRJ385" s="102"/>
      <c r="RRK385" s="102"/>
      <c r="RRL385" s="102"/>
      <c r="RRM385" s="102"/>
      <c r="RRN385" s="102"/>
      <c r="RRO385" s="102"/>
      <c r="RRP385" s="102"/>
      <c r="RRQ385" s="102"/>
      <c r="RRR385" s="102"/>
      <c r="RRS385" s="102"/>
      <c r="RRT385" s="102"/>
      <c r="RRU385" s="102"/>
      <c r="RRV385" s="102"/>
      <c r="RRW385" s="102"/>
      <c r="RRX385" s="102"/>
      <c r="RRY385" s="102"/>
      <c r="RRZ385" s="102"/>
      <c r="RSA385" s="102"/>
      <c r="RSB385" s="102"/>
      <c r="RSC385" s="102"/>
      <c r="RSD385" s="102"/>
      <c r="RSE385" s="102"/>
      <c r="RSF385" s="102"/>
      <c r="RSG385" s="102"/>
      <c r="RSH385" s="102"/>
      <c r="RSI385" s="102"/>
      <c r="RSJ385" s="102"/>
      <c r="RSK385" s="102"/>
      <c r="RSL385" s="102"/>
      <c r="RSM385" s="102"/>
      <c r="RSN385" s="102"/>
      <c r="RSO385" s="102"/>
      <c r="RSP385" s="102"/>
      <c r="RSQ385" s="102"/>
      <c r="RSR385" s="102"/>
      <c r="RSS385" s="102"/>
      <c r="RST385" s="102"/>
      <c r="RSU385" s="102"/>
      <c r="RSV385" s="102"/>
      <c r="RSW385" s="102"/>
      <c r="RSX385" s="102"/>
      <c r="RSY385" s="102"/>
      <c r="RSZ385" s="102"/>
      <c r="RTA385" s="102"/>
      <c r="RTB385" s="102"/>
      <c r="RTC385" s="102"/>
      <c r="RTD385" s="102"/>
      <c r="RTE385" s="102"/>
      <c r="RTF385" s="102"/>
      <c r="RTG385" s="102"/>
      <c r="RTH385" s="102"/>
      <c r="RTI385" s="102"/>
      <c r="RTJ385" s="102"/>
      <c r="RTK385" s="102"/>
      <c r="RTL385" s="102"/>
      <c r="RTM385" s="102"/>
      <c r="RTN385" s="102"/>
      <c r="RTO385" s="102"/>
      <c r="RTP385" s="102"/>
      <c r="RTQ385" s="102"/>
      <c r="RTR385" s="102"/>
      <c r="RTS385" s="102"/>
      <c r="RTT385" s="102"/>
      <c r="RTU385" s="102"/>
      <c r="RTV385" s="102"/>
      <c r="RTW385" s="102"/>
      <c r="RTX385" s="102"/>
      <c r="RTY385" s="102"/>
      <c r="RTZ385" s="102"/>
      <c r="RUA385" s="102"/>
      <c r="RUB385" s="102"/>
      <c r="RUC385" s="102"/>
      <c r="RUD385" s="102"/>
      <c r="RUE385" s="102"/>
      <c r="RUF385" s="102"/>
      <c r="RUG385" s="102"/>
      <c r="RUH385" s="102"/>
      <c r="RUI385" s="102"/>
      <c r="RUJ385" s="102"/>
      <c r="RUK385" s="102"/>
      <c r="RUL385" s="102"/>
      <c r="RUM385" s="102"/>
      <c r="RUN385" s="102"/>
      <c r="RUO385" s="102"/>
      <c r="RUP385" s="102"/>
      <c r="RUQ385" s="102"/>
      <c r="RUR385" s="102"/>
      <c r="RUS385" s="102"/>
      <c r="RUT385" s="102"/>
      <c r="RUU385" s="102"/>
      <c r="RUV385" s="102"/>
      <c r="RUW385" s="102"/>
      <c r="RUX385" s="102"/>
      <c r="RUY385" s="102"/>
      <c r="RUZ385" s="102"/>
      <c r="RVA385" s="102"/>
      <c r="RVB385" s="102"/>
      <c r="RVC385" s="102"/>
      <c r="RVD385" s="102"/>
      <c r="RVE385" s="102"/>
      <c r="RVF385" s="102"/>
      <c r="RVG385" s="102"/>
      <c r="RVH385" s="102"/>
      <c r="RVI385" s="102"/>
      <c r="RVJ385" s="102"/>
      <c r="RVK385" s="102"/>
      <c r="RVL385" s="102"/>
      <c r="RVM385" s="102"/>
      <c r="RVN385" s="102"/>
      <c r="RVO385" s="102"/>
      <c r="RVP385" s="102"/>
      <c r="RVQ385" s="102"/>
      <c r="RVR385" s="102"/>
      <c r="RVS385" s="102"/>
      <c r="RVT385" s="102"/>
      <c r="RVU385" s="102"/>
      <c r="RVV385" s="102"/>
      <c r="RVW385" s="102"/>
      <c r="RVX385" s="102"/>
      <c r="RVY385" s="102"/>
      <c r="RVZ385" s="102"/>
      <c r="RWA385" s="102"/>
      <c r="RWB385" s="102"/>
      <c r="RWC385" s="102"/>
      <c r="RWD385" s="102"/>
      <c r="RWE385" s="102"/>
      <c r="RWF385" s="102"/>
      <c r="RWG385" s="102"/>
      <c r="RWH385" s="102"/>
      <c r="RWI385" s="102"/>
      <c r="RWJ385" s="102"/>
      <c r="RWK385" s="102"/>
      <c r="RWL385" s="102"/>
      <c r="RWM385" s="102"/>
      <c r="RWN385" s="102"/>
      <c r="RWO385" s="102"/>
      <c r="RWP385" s="102"/>
      <c r="RWQ385" s="102"/>
      <c r="RWR385" s="102"/>
      <c r="RWS385" s="102"/>
      <c r="RWT385" s="102"/>
      <c r="RWU385" s="102"/>
      <c r="RWV385" s="102"/>
      <c r="RWW385" s="102"/>
      <c r="RWX385" s="102"/>
      <c r="RWY385" s="102"/>
      <c r="RWZ385" s="102"/>
      <c r="RXA385" s="102"/>
      <c r="RXB385" s="102"/>
      <c r="RXC385" s="102"/>
      <c r="RXD385" s="102"/>
      <c r="RXE385" s="102"/>
      <c r="RXF385" s="102"/>
      <c r="RXG385" s="102"/>
      <c r="RXH385" s="102"/>
      <c r="RXI385" s="102"/>
      <c r="RXJ385" s="102"/>
      <c r="RXK385" s="102"/>
      <c r="RXL385" s="102"/>
      <c r="RXM385" s="102"/>
      <c r="RXN385" s="102"/>
      <c r="RXO385" s="102"/>
      <c r="RXP385" s="102"/>
      <c r="RXQ385" s="102"/>
      <c r="RXR385" s="102"/>
      <c r="RXS385" s="102"/>
      <c r="RXT385" s="102"/>
      <c r="RXU385" s="102"/>
      <c r="RXV385" s="102"/>
      <c r="RXW385" s="102"/>
      <c r="RXX385" s="102"/>
      <c r="RXY385" s="102"/>
      <c r="RXZ385" s="102"/>
      <c r="RYA385" s="102"/>
      <c r="RYB385" s="102"/>
      <c r="RYC385" s="102"/>
      <c r="RYD385" s="102"/>
      <c r="RYE385" s="102"/>
      <c r="RYF385" s="102"/>
      <c r="RYG385" s="102"/>
      <c r="RYH385" s="102"/>
      <c r="RYI385" s="102"/>
      <c r="RYJ385" s="102"/>
      <c r="RYK385" s="102"/>
      <c r="RYL385" s="102"/>
      <c r="RYM385" s="102"/>
      <c r="RYN385" s="102"/>
      <c r="RYO385" s="102"/>
      <c r="RYP385" s="102"/>
      <c r="RYQ385" s="102"/>
      <c r="RYR385" s="102"/>
      <c r="RYS385" s="102"/>
      <c r="RYT385" s="102"/>
      <c r="RYU385" s="102"/>
      <c r="RYV385" s="102"/>
      <c r="RYW385" s="102"/>
      <c r="RYX385" s="102"/>
      <c r="RYY385" s="102"/>
      <c r="RYZ385" s="102"/>
      <c r="RZA385" s="102"/>
      <c r="RZB385" s="102"/>
      <c r="RZC385" s="102"/>
      <c r="RZD385" s="102"/>
      <c r="RZE385" s="102"/>
      <c r="RZF385" s="102"/>
      <c r="RZG385" s="102"/>
      <c r="RZH385" s="102"/>
      <c r="RZI385" s="102"/>
      <c r="RZJ385" s="102"/>
      <c r="RZK385" s="102"/>
      <c r="RZL385" s="102"/>
      <c r="RZM385" s="102"/>
      <c r="RZN385" s="102"/>
      <c r="RZO385" s="102"/>
      <c r="RZP385" s="102"/>
      <c r="RZQ385" s="102"/>
      <c r="RZR385" s="102"/>
      <c r="RZS385" s="102"/>
      <c r="RZT385" s="102"/>
      <c r="RZU385" s="102"/>
      <c r="RZV385" s="102"/>
      <c r="RZW385" s="102"/>
      <c r="RZX385" s="102"/>
      <c r="RZY385" s="102"/>
      <c r="RZZ385" s="102"/>
      <c r="SAA385" s="102"/>
      <c r="SAB385" s="102"/>
      <c r="SAC385" s="102"/>
      <c r="SAD385" s="102"/>
      <c r="SAE385" s="102"/>
      <c r="SAF385" s="102"/>
      <c r="SAG385" s="102"/>
      <c r="SAH385" s="102"/>
      <c r="SAI385" s="102"/>
      <c r="SAJ385" s="102"/>
      <c r="SAK385" s="102"/>
      <c r="SAL385" s="102"/>
      <c r="SAM385" s="102"/>
      <c r="SAN385" s="102"/>
      <c r="SAO385" s="102"/>
      <c r="SAP385" s="102"/>
      <c r="SAQ385" s="102"/>
      <c r="SAR385" s="102"/>
      <c r="SAS385" s="102"/>
      <c r="SAT385" s="102"/>
      <c r="SAU385" s="102"/>
      <c r="SAV385" s="102"/>
      <c r="SAW385" s="102"/>
      <c r="SAX385" s="102"/>
      <c r="SAY385" s="102"/>
      <c r="SAZ385" s="102"/>
      <c r="SBA385" s="102"/>
      <c r="SBB385" s="102"/>
      <c r="SBC385" s="102"/>
      <c r="SBD385" s="102"/>
      <c r="SBE385" s="102"/>
      <c r="SBF385" s="102"/>
      <c r="SBG385" s="102"/>
      <c r="SBH385" s="102"/>
      <c r="SBI385" s="102"/>
      <c r="SBJ385" s="102"/>
      <c r="SBK385" s="102"/>
      <c r="SBL385" s="102"/>
      <c r="SBM385" s="102"/>
      <c r="SBN385" s="102"/>
      <c r="SBO385" s="102"/>
      <c r="SBP385" s="102"/>
      <c r="SBQ385" s="102"/>
      <c r="SBR385" s="102"/>
      <c r="SBS385" s="102"/>
      <c r="SBT385" s="102"/>
      <c r="SBU385" s="102"/>
      <c r="SBV385" s="102"/>
      <c r="SBW385" s="102"/>
      <c r="SBX385" s="102"/>
      <c r="SBY385" s="102"/>
      <c r="SBZ385" s="102"/>
      <c r="SCA385" s="102"/>
      <c r="SCB385" s="102"/>
      <c r="SCC385" s="102"/>
      <c r="SCD385" s="102"/>
      <c r="SCE385" s="102"/>
      <c r="SCF385" s="102"/>
      <c r="SCG385" s="102"/>
      <c r="SCH385" s="102"/>
      <c r="SCI385" s="102"/>
      <c r="SCJ385" s="102"/>
      <c r="SCK385" s="102"/>
      <c r="SCL385" s="102"/>
      <c r="SCM385" s="102"/>
      <c r="SCN385" s="102"/>
      <c r="SCO385" s="102"/>
      <c r="SCP385" s="102"/>
      <c r="SCQ385" s="102"/>
      <c r="SCR385" s="102"/>
      <c r="SCS385" s="102"/>
      <c r="SCT385" s="102"/>
      <c r="SCU385" s="102"/>
      <c r="SCV385" s="102"/>
      <c r="SCW385" s="102"/>
      <c r="SCX385" s="102"/>
      <c r="SCY385" s="102"/>
      <c r="SCZ385" s="102"/>
      <c r="SDA385" s="102"/>
      <c r="SDB385" s="102"/>
      <c r="SDC385" s="102"/>
      <c r="SDD385" s="102"/>
      <c r="SDE385" s="102"/>
      <c r="SDF385" s="102"/>
      <c r="SDG385" s="102"/>
      <c r="SDH385" s="102"/>
      <c r="SDI385" s="102"/>
      <c r="SDJ385" s="102"/>
      <c r="SDK385" s="102"/>
      <c r="SDL385" s="102"/>
      <c r="SDM385" s="102"/>
      <c r="SDN385" s="102"/>
      <c r="SDO385" s="102"/>
      <c r="SDP385" s="102"/>
      <c r="SDQ385" s="102"/>
      <c r="SDR385" s="102"/>
      <c r="SDS385" s="102"/>
      <c r="SDT385" s="102"/>
      <c r="SDU385" s="102"/>
      <c r="SDV385" s="102"/>
      <c r="SDW385" s="102"/>
      <c r="SDX385" s="102"/>
      <c r="SDY385" s="102"/>
      <c r="SDZ385" s="102"/>
      <c r="SEA385" s="102"/>
      <c r="SEB385" s="102"/>
      <c r="SEC385" s="102"/>
      <c r="SED385" s="102"/>
      <c r="SEE385" s="102"/>
      <c r="SEF385" s="102"/>
      <c r="SEG385" s="102"/>
      <c r="SEH385" s="102"/>
      <c r="SEI385" s="102"/>
      <c r="SEJ385" s="102"/>
      <c r="SEK385" s="102"/>
      <c r="SEL385" s="102"/>
      <c r="SEM385" s="102"/>
      <c r="SEN385" s="102"/>
      <c r="SEO385" s="102"/>
      <c r="SEP385" s="102"/>
      <c r="SEQ385" s="102"/>
      <c r="SER385" s="102"/>
      <c r="SES385" s="102"/>
      <c r="SET385" s="102"/>
      <c r="SEU385" s="102"/>
      <c r="SEV385" s="102"/>
      <c r="SEW385" s="102"/>
      <c r="SEX385" s="102"/>
      <c r="SEY385" s="102"/>
      <c r="SEZ385" s="102"/>
      <c r="SFA385" s="102"/>
      <c r="SFB385" s="102"/>
      <c r="SFC385" s="102"/>
      <c r="SFD385" s="102"/>
      <c r="SFE385" s="102"/>
      <c r="SFF385" s="102"/>
      <c r="SFG385" s="102"/>
      <c r="SFH385" s="102"/>
      <c r="SFI385" s="102"/>
      <c r="SFJ385" s="102"/>
      <c r="SFK385" s="102"/>
      <c r="SFL385" s="102"/>
      <c r="SFM385" s="102"/>
      <c r="SFN385" s="102"/>
      <c r="SFO385" s="102"/>
      <c r="SFP385" s="102"/>
      <c r="SFQ385" s="102"/>
      <c r="SFR385" s="102"/>
      <c r="SFS385" s="102"/>
      <c r="SFT385" s="102"/>
      <c r="SFU385" s="102"/>
      <c r="SFV385" s="102"/>
      <c r="SFW385" s="102"/>
      <c r="SFX385" s="102"/>
      <c r="SFY385" s="102"/>
      <c r="SFZ385" s="102"/>
      <c r="SGA385" s="102"/>
      <c r="SGB385" s="102"/>
      <c r="SGC385" s="102"/>
      <c r="SGD385" s="102"/>
      <c r="SGE385" s="102"/>
      <c r="SGF385" s="102"/>
      <c r="SGG385" s="102"/>
      <c r="SGH385" s="102"/>
      <c r="SGI385" s="102"/>
      <c r="SGJ385" s="102"/>
      <c r="SGK385" s="102"/>
      <c r="SGL385" s="102"/>
      <c r="SGM385" s="102"/>
      <c r="SGN385" s="102"/>
      <c r="SGO385" s="102"/>
      <c r="SGP385" s="102"/>
      <c r="SGQ385" s="102"/>
      <c r="SGR385" s="102"/>
      <c r="SGS385" s="102"/>
      <c r="SGT385" s="102"/>
      <c r="SGU385" s="102"/>
      <c r="SGV385" s="102"/>
      <c r="SGW385" s="102"/>
      <c r="SGX385" s="102"/>
      <c r="SGY385" s="102"/>
      <c r="SGZ385" s="102"/>
      <c r="SHA385" s="102"/>
      <c r="SHB385" s="102"/>
      <c r="SHC385" s="102"/>
      <c r="SHD385" s="102"/>
      <c r="SHE385" s="102"/>
      <c r="SHF385" s="102"/>
      <c r="SHG385" s="102"/>
      <c r="SHH385" s="102"/>
      <c r="SHI385" s="102"/>
      <c r="SHJ385" s="102"/>
      <c r="SHK385" s="102"/>
      <c r="SHL385" s="102"/>
      <c r="SHM385" s="102"/>
      <c r="SHN385" s="102"/>
      <c r="SHO385" s="102"/>
      <c r="SHP385" s="102"/>
      <c r="SHQ385" s="102"/>
      <c r="SHR385" s="102"/>
      <c r="SHS385" s="102"/>
      <c r="SHT385" s="102"/>
      <c r="SHU385" s="102"/>
      <c r="SHV385" s="102"/>
      <c r="SHW385" s="102"/>
      <c r="SHX385" s="102"/>
      <c r="SHY385" s="102"/>
      <c r="SHZ385" s="102"/>
      <c r="SIA385" s="102"/>
      <c r="SIB385" s="102"/>
      <c r="SIC385" s="102"/>
      <c r="SID385" s="102"/>
      <c r="SIE385" s="102"/>
      <c r="SIF385" s="102"/>
      <c r="SIG385" s="102"/>
      <c r="SIH385" s="102"/>
      <c r="SII385" s="102"/>
      <c r="SIJ385" s="102"/>
      <c r="SIK385" s="102"/>
      <c r="SIL385" s="102"/>
      <c r="SIM385" s="102"/>
      <c r="SIN385" s="102"/>
      <c r="SIO385" s="102"/>
      <c r="SIP385" s="102"/>
      <c r="SIQ385" s="102"/>
      <c r="SIR385" s="102"/>
      <c r="SIS385" s="102"/>
      <c r="SIT385" s="102"/>
      <c r="SIU385" s="102"/>
      <c r="SIV385" s="102"/>
      <c r="SIW385" s="102"/>
      <c r="SIX385" s="102"/>
      <c r="SIY385" s="102"/>
      <c r="SIZ385" s="102"/>
      <c r="SJA385" s="102"/>
      <c r="SJB385" s="102"/>
      <c r="SJC385" s="102"/>
      <c r="SJD385" s="102"/>
      <c r="SJE385" s="102"/>
      <c r="SJF385" s="102"/>
      <c r="SJG385" s="102"/>
      <c r="SJH385" s="102"/>
      <c r="SJI385" s="102"/>
      <c r="SJJ385" s="102"/>
      <c r="SJK385" s="102"/>
      <c r="SJL385" s="102"/>
      <c r="SJM385" s="102"/>
      <c r="SJN385" s="102"/>
      <c r="SJO385" s="102"/>
      <c r="SJP385" s="102"/>
      <c r="SJQ385" s="102"/>
      <c r="SJR385" s="102"/>
      <c r="SJS385" s="102"/>
      <c r="SJT385" s="102"/>
      <c r="SJU385" s="102"/>
      <c r="SJV385" s="102"/>
      <c r="SJW385" s="102"/>
      <c r="SJX385" s="102"/>
      <c r="SJY385" s="102"/>
      <c r="SJZ385" s="102"/>
      <c r="SKA385" s="102"/>
      <c r="SKB385" s="102"/>
      <c r="SKC385" s="102"/>
      <c r="SKD385" s="102"/>
      <c r="SKE385" s="102"/>
      <c r="SKF385" s="102"/>
      <c r="SKG385" s="102"/>
      <c r="SKH385" s="102"/>
      <c r="SKI385" s="102"/>
      <c r="SKJ385" s="102"/>
      <c r="SKK385" s="102"/>
      <c r="SKL385" s="102"/>
      <c r="SKM385" s="102"/>
      <c r="SKN385" s="102"/>
      <c r="SKO385" s="102"/>
      <c r="SKP385" s="102"/>
      <c r="SKQ385" s="102"/>
      <c r="SKR385" s="102"/>
      <c r="SKS385" s="102"/>
      <c r="SKT385" s="102"/>
      <c r="SKU385" s="102"/>
      <c r="SKV385" s="102"/>
      <c r="SKW385" s="102"/>
      <c r="SKX385" s="102"/>
      <c r="SKY385" s="102"/>
      <c r="SKZ385" s="102"/>
      <c r="SLA385" s="102"/>
      <c r="SLB385" s="102"/>
      <c r="SLC385" s="102"/>
      <c r="SLD385" s="102"/>
      <c r="SLE385" s="102"/>
      <c r="SLF385" s="102"/>
      <c r="SLG385" s="102"/>
      <c r="SLH385" s="102"/>
      <c r="SLI385" s="102"/>
      <c r="SLJ385" s="102"/>
      <c r="SLK385" s="102"/>
      <c r="SLL385" s="102"/>
      <c r="SLM385" s="102"/>
      <c r="SLN385" s="102"/>
      <c r="SLO385" s="102"/>
      <c r="SLP385" s="102"/>
      <c r="SLQ385" s="102"/>
      <c r="SLR385" s="102"/>
      <c r="SLS385" s="102"/>
      <c r="SLT385" s="102"/>
      <c r="SLU385" s="102"/>
      <c r="SLV385" s="102"/>
      <c r="SLW385" s="102"/>
      <c r="SLX385" s="102"/>
      <c r="SLY385" s="102"/>
      <c r="SLZ385" s="102"/>
      <c r="SMA385" s="102"/>
      <c r="SMB385" s="102"/>
      <c r="SMC385" s="102"/>
      <c r="SMD385" s="102"/>
      <c r="SME385" s="102"/>
      <c r="SMF385" s="102"/>
      <c r="SMG385" s="102"/>
      <c r="SMH385" s="102"/>
      <c r="SMI385" s="102"/>
      <c r="SMJ385" s="102"/>
      <c r="SMK385" s="102"/>
      <c r="SML385" s="102"/>
      <c r="SMM385" s="102"/>
      <c r="SMN385" s="102"/>
      <c r="SMO385" s="102"/>
      <c r="SMP385" s="102"/>
      <c r="SMQ385" s="102"/>
      <c r="SMR385" s="102"/>
      <c r="SMS385" s="102"/>
      <c r="SMT385" s="102"/>
      <c r="SMU385" s="102"/>
      <c r="SMV385" s="102"/>
      <c r="SMW385" s="102"/>
      <c r="SMX385" s="102"/>
      <c r="SMY385" s="102"/>
      <c r="SMZ385" s="102"/>
      <c r="SNA385" s="102"/>
      <c r="SNB385" s="102"/>
      <c r="SNC385" s="102"/>
      <c r="SND385" s="102"/>
      <c r="SNE385" s="102"/>
      <c r="SNF385" s="102"/>
      <c r="SNG385" s="102"/>
      <c r="SNH385" s="102"/>
      <c r="SNI385" s="102"/>
      <c r="SNJ385" s="102"/>
      <c r="SNK385" s="102"/>
      <c r="SNL385" s="102"/>
      <c r="SNM385" s="102"/>
      <c r="SNN385" s="102"/>
      <c r="SNO385" s="102"/>
      <c r="SNP385" s="102"/>
      <c r="SNQ385" s="102"/>
      <c r="SNR385" s="102"/>
      <c r="SNS385" s="102"/>
      <c r="SNT385" s="102"/>
      <c r="SNU385" s="102"/>
      <c r="SNV385" s="102"/>
      <c r="SNW385" s="102"/>
      <c r="SNX385" s="102"/>
      <c r="SNY385" s="102"/>
      <c r="SNZ385" s="102"/>
      <c r="SOA385" s="102"/>
      <c r="SOB385" s="102"/>
      <c r="SOC385" s="102"/>
      <c r="SOD385" s="102"/>
      <c r="SOE385" s="102"/>
      <c r="SOF385" s="102"/>
      <c r="SOG385" s="102"/>
      <c r="SOH385" s="102"/>
      <c r="SOI385" s="102"/>
      <c r="SOJ385" s="102"/>
      <c r="SOK385" s="102"/>
      <c r="SOL385" s="102"/>
      <c r="SOM385" s="102"/>
      <c r="SON385" s="102"/>
      <c r="SOO385" s="102"/>
      <c r="SOP385" s="102"/>
      <c r="SOQ385" s="102"/>
      <c r="SOR385" s="102"/>
      <c r="SOS385" s="102"/>
      <c r="SOT385" s="102"/>
      <c r="SOU385" s="102"/>
      <c r="SOV385" s="102"/>
      <c r="SOW385" s="102"/>
      <c r="SOX385" s="102"/>
      <c r="SOY385" s="102"/>
      <c r="SOZ385" s="102"/>
      <c r="SPA385" s="102"/>
      <c r="SPB385" s="102"/>
      <c r="SPC385" s="102"/>
      <c r="SPD385" s="102"/>
      <c r="SPE385" s="102"/>
      <c r="SPF385" s="102"/>
      <c r="SPG385" s="102"/>
      <c r="SPH385" s="102"/>
      <c r="SPI385" s="102"/>
      <c r="SPJ385" s="102"/>
      <c r="SPK385" s="102"/>
      <c r="SPL385" s="102"/>
      <c r="SPM385" s="102"/>
      <c r="SPN385" s="102"/>
      <c r="SPO385" s="102"/>
      <c r="SPP385" s="102"/>
      <c r="SPQ385" s="102"/>
      <c r="SPR385" s="102"/>
      <c r="SPS385" s="102"/>
      <c r="SPT385" s="102"/>
      <c r="SPU385" s="102"/>
      <c r="SPV385" s="102"/>
      <c r="SPW385" s="102"/>
      <c r="SPX385" s="102"/>
      <c r="SPY385" s="102"/>
      <c r="SPZ385" s="102"/>
      <c r="SQA385" s="102"/>
      <c r="SQB385" s="102"/>
      <c r="SQC385" s="102"/>
      <c r="SQD385" s="102"/>
      <c r="SQE385" s="102"/>
      <c r="SQF385" s="102"/>
      <c r="SQG385" s="102"/>
      <c r="SQH385" s="102"/>
      <c r="SQI385" s="102"/>
      <c r="SQJ385" s="102"/>
      <c r="SQK385" s="102"/>
      <c r="SQL385" s="102"/>
      <c r="SQM385" s="102"/>
      <c r="SQN385" s="102"/>
      <c r="SQO385" s="102"/>
      <c r="SQP385" s="102"/>
      <c r="SQQ385" s="102"/>
      <c r="SQR385" s="102"/>
      <c r="SQS385" s="102"/>
      <c r="SQT385" s="102"/>
      <c r="SQU385" s="102"/>
      <c r="SQV385" s="102"/>
      <c r="SQW385" s="102"/>
      <c r="SQX385" s="102"/>
      <c r="SQY385" s="102"/>
      <c r="SQZ385" s="102"/>
      <c r="SRA385" s="102"/>
      <c r="SRB385" s="102"/>
      <c r="SRC385" s="102"/>
      <c r="SRD385" s="102"/>
      <c r="SRE385" s="102"/>
      <c r="SRF385" s="102"/>
      <c r="SRG385" s="102"/>
      <c r="SRH385" s="102"/>
      <c r="SRI385" s="102"/>
      <c r="SRJ385" s="102"/>
      <c r="SRK385" s="102"/>
      <c r="SRL385" s="102"/>
      <c r="SRM385" s="102"/>
      <c r="SRN385" s="102"/>
      <c r="SRO385" s="102"/>
      <c r="SRP385" s="102"/>
      <c r="SRQ385" s="102"/>
      <c r="SRR385" s="102"/>
      <c r="SRS385" s="102"/>
      <c r="SRT385" s="102"/>
      <c r="SRU385" s="102"/>
      <c r="SRV385" s="102"/>
      <c r="SRW385" s="102"/>
      <c r="SRX385" s="102"/>
      <c r="SRY385" s="102"/>
      <c r="SRZ385" s="102"/>
      <c r="SSA385" s="102"/>
      <c r="SSB385" s="102"/>
      <c r="SSC385" s="102"/>
      <c r="SSD385" s="102"/>
      <c r="SSE385" s="102"/>
      <c r="SSF385" s="102"/>
      <c r="SSG385" s="102"/>
      <c r="SSH385" s="102"/>
      <c r="SSI385" s="102"/>
      <c r="SSJ385" s="102"/>
      <c r="SSK385" s="102"/>
      <c r="SSL385" s="102"/>
      <c r="SSM385" s="102"/>
      <c r="SSN385" s="102"/>
      <c r="SSO385" s="102"/>
      <c r="SSP385" s="102"/>
      <c r="SSQ385" s="102"/>
      <c r="SSR385" s="102"/>
      <c r="SSS385" s="102"/>
      <c r="SST385" s="102"/>
      <c r="SSU385" s="102"/>
      <c r="SSV385" s="102"/>
      <c r="SSW385" s="102"/>
      <c r="SSX385" s="102"/>
      <c r="SSY385" s="102"/>
      <c r="SSZ385" s="102"/>
      <c r="STA385" s="102"/>
      <c r="STB385" s="102"/>
      <c r="STC385" s="102"/>
      <c r="STD385" s="102"/>
      <c r="STE385" s="102"/>
      <c r="STF385" s="102"/>
      <c r="STG385" s="102"/>
      <c r="STH385" s="102"/>
      <c r="STI385" s="102"/>
      <c r="STJ385" s="102"/>
      <c r="STK385" s="102"/>
      <c r="STL385" s="102"/>
      <c r="STM385" s="102"/>
      <c r="STN385" s="102"/>
      <c r="STO385" s="102"/>
      <c r="STP385" s="102"/>
      <c r="STQ385" s="102"/>
      <c r="STR385" s="102"/>
      <c r="STS385" s="102"/>
      <c r="STT385" s="102"/>
      <c r="STU385" s="102"/>
      <c r="STV385" s="102"/>
      <c r="STW385" s="102"/>
      <c r="STX385" s="102"/>
      <c r="STY385" s="102"/>
      <c r="STZ385" s="102"/>
      <c r="SUA385" s="102"/>
      <c r="SUB385" s="102"/>
      <c r="SUC385" s="102"/>
      <c r="SUD385" s="102"/>
      <c r="SUE385" s="102"/>
      <c r="SUF385" s="102"/>
      <c r="SUG385" s="102"/>
      <c r="SUH385" s="102"/>
      <c r="SUI385" s="102"/>
      <c r="SUJ385" s="102"/>
      <c r="SUK385" s="102"/>
      <c r="SUL385" s="102"/>
      <c r="SUM385" s="102"/>
      <c r="SUN385" s="102"/>
      <c r="SUO385" s="102"/>
      <c r="SUP385" s="102"/>
      <c r="SUQ385" s="102"/>
      <c r="SUR385" s="102"/>
      <c r="SUS385" s="102"/>
      <c r="SUT385" s="102"/>
      <c r="SUU385" s="102"/>
      <c r="SUV385" s="102"/>
      <c r="SUW385" s="102"/>
      <c r="SUX385" s="102"/>
      <c r="SUY385" s="102"/>
      <c r="SUZ385" s="102"/>
      <c r="SVA385" s="102"/>
      <c r="SVB385" s="102"/>
      <c r="SVC385" s="102"/>
      <c r="SVD385" s="102"/>
      <c r="SVE385" s="102"/>
      <c r="SVF385" s="102"/>
      <c r="SVG385" s="102"/>
      <c r="SVH385" s="102"/>
      <c r="SVI385" s="102"/>
      <c r="SVJ385" s="102"/>
      <c r="SVK385" s="102"/>
      <c r="SVL385" s="102"/>
      <c r="SVM385" s="102"/>
      <c r="SVN385" s="102"/>
      <c r="SVO385" s="102"/>
      <c r="SVP385" s="102"/>
      <c r="SVQ385" s="102"/>
      <c r="SVR385" s="102"/>
      <c r="SVS385" s="102"/>
      <c r="SVT385" s="102"/>
      <c r="SVU385" s="102"/>
      <c r="SVV385" s="102"/>
      <c r="SVW385" s="102"/>
      <c r="SVX385" s="102"/>
      <c r="SVY385" s="102"/>
      <c r="SVZ385" s="102"/>
      <c r="SWA385" s="102"/>
      <c r="SWB385" s="102"/>
      <c r="SWC385" s="102"/>
      <c r="SWD385" s="102"/>
      <c r="SWE385" s="102"/>
      <c r="SWF385" s="102"/>
      <c r="SWG385" s="102"/>
      <c r="SWH385" s="102"/>
      <c r="SWI385" s="102"/>
      <c r="SWJ385" s="102"/>
      <c r="SWK385" s="102"/>
      <c r="SWL385" s="102"/>
      <c r="SWM385" s="102"/>
      <c r="SWN385" s="102"/>
      <c r="SWO385" s="102"/>
      <c r="SWP385" s="102"/>
      <c r="SWQ385" s="102"/>
      <c r="SWR385" s="102"/>
      <c r="SWS385" s="102"/>
      <c r="SWT385" s="102"/>
      <c r="SWU385" s="102"/>
      <c r="SWV385" s="102"/>
      <c r="SWW385" s="102"/>
      <c r="SWX385" s="102"/>
      <c r="SWY385" s="102"/>
      <c r="SWZ385" s="102"/>
      <c r="SXA385" s="102"/>
      <c r="SXB385" s="102"/>
      <c r="SXC385" s="102"/>
      <c r="SXD385" s="102"/>
      <c r="SXE385" s="102"/>
      <c r="SXF385" s="102"/>
      <c r="SXG385" s="102"/>
      <c r="SXH385" s="102"/>
      <c r="SXI385" s="102"/>
      <c r="SXJ385" s="102"/>
      <c r="SXK385" s="102"/>
      <c r="SXL385" s="102"/>
      <c r="SXM385" s="102"/>
      <c r="SXN385" s="102"/>
      <c r="SXO385" s="102"/>
      <c r="SXP385" s="102"/>
      <c r="SXQ385" s="102"/>
      <c r="SXR385" s="102"/>
      <c r="SXS385" s="102"/>
      <c r="SXT385" s="102"/>
      <c r="SXU385" s="102"/>
      <c r="SXV385" s="102"/>
      <c r="SXW385" s="102"/>
      <c r="SXX385" s="102"/>
      <c r="SXY385" s="102"/>
      <c r="SXZ385" s="102"/>
      <c r="SYA385" s="102"/>
      <c r="SYB385" s="102"/>
      <c r="SYC385" s="102"/>
      <c r="SYD385" s="102"/>
      <c r="SYE385" s="102"/>
      <c r="SYF385" s="102"/>
      <c r="SYG385" s="102"/>
      <c r="SYH385" s="102"/>
      <c r="SYI385" s="102"/>
      <c r="SYJ385" s="102"/>
      <c r="SYK385" s="102"/>
      <c r="SYL385" s="102"/>
      <c r="SYM385" s="102"/>
      <c r="SYN385" s="102"/>
      <c r="SYO385" s="102"/>
      <c r="SYP385" s="102"/>
      <c r="SYQ385" s="102"/>
      <c r="SYR385" s="102"/>
      <c r="SYS385" s="102"/>
      <c r="SYT385" s="102"/>
      <c r="SYU385" s="102"/>
      <c r="SYV385" s="102"/>
      <c r="SYW385" s="102"/>
      <c r="SYX385" s="102"/>
      <c r="SYY385" s="102"/>
      <c r="SYZ385" s="102"/>
      <c r="SZA385" s="102"/>
      <c r="SZB385" s="102"/>
      <c r="SZC385" s="102"/>
      <c r="SZD385" s="102"/>
      <c r="SZE385" s="102"/>
      <c r="SZF385" s="102"/>
      <c r="SZG385" s="102"/>
      <c r="SZH385" s="102"/>
      <c r="SZI385" s="102"/>
      <c r="SZJ385" s="102"/>
      <c r="SZK385" s="102"/>
      <c r="SZL385" s="102"/>
      <c r="SZM385" s="102"/>
      <c r="SZN385" s="102"/>
      <c r="SZO385" s="102"/>
      <c r="SZP385" s="102"/>
      <c r="SZQ385" s="102"/>
      <c r="SZR385" s="102"/>
      <c r="SZS385" s="102"/>
      <c r="SZT385" s="102"/>
      <c r="SZU385" s="102"/>
      <c r="SZV385" s="102"/>
      <c r="SZW385" s="102"/>
      <c r="SZX385" s="102"/>
      <c r="SZY385" s="102"/>
      <c r="SZZ385" s="102"/>
      <c r="TAA385" s="102"/>
      <c r="TAB385" s="102"/>
      <c r="TAC385" s="102"/>
      <c r="TAD385" s="102"/>
      <c r="TAE385" s="102"/>
      <c r="TAF385" s="102"/>
      <c r="TAG385" s="102"/>
      <c r="TAH385" s="102"/>
      <c r="TAI385" s="102"/>
      <c r="TAJ385" s="102"/>
      <c r="TAK385" s="102"/>
      <c r="TAL385" s="102"/>
      <c r="TAM385" s="102"/>
      <c r="TAN385" s="102"/>
      <c r="TAO385" s="102"/>
      <c r="TAP385" s="102"/>
      <c r="TAQ385" s="102"/>
      <c r="TAR385" s="102"/>
      <c r="TAS385" s="102"/>
      <c r="TAT385" s="102"/>
      <c r="TAU385" s="102"/>
      <c r="TAV385" s="102"/>
      <c r="TAW385" s="102"/>
      <c r="TAX385" s="102"/>
      <c r="TAY385" s="102"/>
      <c r="TAZ385" s="102"/>
      <c r="TBA385" s="102"/>
      <c r="TBB385" s="102"/>
      <c r="TBC385" s="102"/>
      <c r="TBD385" s="102"/>
      <c r="TBE385" s="102"/>
      <c r="TBF385" s="102"/>
      <c r="TBG385" s="102"/>
      <c r="TBH385" s="102"/>
      <c r="TBI385" s="102"/>
      <c r="TBJ385" s="102"/>
      <c r="TBK385" s="102"/>
      <c r="TBL385" s="102"/>
      <c r="TBM385" s="102"/>
      <c r="TBN385" s="102"/>
      <c r="TBO385" s="102"/>
      <c r="TBP385" s="102"/>
      <c r="TBQ385" s="102"/>
      <c r="TBR385" s="102"/>
      <c r="TBS385" s="102"/>
      <c r="TBT385" s="102"/>
      <c r="TBU385" s="102"/>
      <c r="TBV385" s="102"/>
      <c r="TBW385" s="102"/>
      <c r="TBX385" s="102"/>
      <c r="TBY385" s="102"/>
      <c r="TBZ385" s="102"/>
      <c r="TCA385" s="102"/>
      <c r="TCB385" s="102"/>
      <c r="TCC385" s="102"/>
      <c r="TCD385" s="102"/>
      <c r="TCE385" s="102"/>
      <c r="TCF385" s="102"/>
      <c r="TCG385" s="102"/>
      <c r="TCH385" s="102"/>
      <c r="TCI385" s="102"/>
      <c r="TCJ385" s="102"/>
      <c r="TCK385" s="102"/>
      <c r="TCL385" s="102"/>
      <c r="TCM385" s="102"/>
      <c r="TCN385" s="102"/>
      <c r="TCO385" s="102"/>
      <c r="TCP385" s="102"/>
      <c r="TCQ385" s="102"/>
      <c r="TCR385" s="102"/>
      <c r="TCS385" s="102"/>
      <c r="TCT385" s="102"/>
      <c r="TCU385" s="102"/>
      <c r="TCV385" s="102"/>
      <c r="TCW385" s="102"/>
      <c r="TCX385" s="102"/>
      <c r="TCY385" s="102"/>
      <c r="TCZ385" s="102"/>
      <c r="TDA385" s="102"/>
      <c r="TDB385" s="102"/>
      <c r="TDC385" s="102"/>
      <c r="TDD385" s="102"/>
      <c r="TDE385" s="102"/>
      <c r="TDF385" s="102"/>
      <c r="TDG385" s="102"/>
      <c r="TDH385" s="102"/>
      <c r="TDI385" s="102"/>
      <c r="TDJ385" s="102"/>
      <c r="TDK385" s="102"/>
      <c r="TDL385" s="102"/>
      <c r="TDM385" s="102"/>
      <c r="TDN385" s="102"/>
      <c r="TDO385" s="102"/>
      <c r="TDP385" s="102"/>
      <c r="TDQ385" s="102"/>
      <c r="TDR385" s="102"/>
      <c r="TDS385" s="102"/>
      <c r="TDT385" s="102"/>
      <c r="TDU385" s="102"/>
      <c r="TDV385" s="102"/>
      <c r="TDW385" s="102"/>
      <c r="TDX385" s="102"/>
      <c r="TDY385" s="102"/>
      <c r="TDZ385" s="102"/>
      <c r="TEA385" s="102"/>
      <c r="TEB385" s="102"/>
      <c r="TEC385" s="102"/>
      <c r="TED385" s="102"/>
      <c r="TEE385" s="102"/>
      <c r="TEF385" s="102"/>
      <c r="TEG385" s="102"/>
      <c r="TEH385" s="102"/>
      <c r="TEI385" s="102"/>
      <c r="TEJ385" s="102"/>
      <c r="TEK385" s="102"/>
      <c r="TEL385" s="102"/>
      <c r="TEM385" s="102"/>
      <c r="TEN385" s="102"/>
      <c r="TEO385" s="102"/>
      <c r="TEP385" s="102"/>
      <c r="TEQ385" s="102"/>
      <c r="TER385" s="102"/>
      <c r="TES385" s="102"/>
      <c r="TET385" s="102"/>
      <c r="TEU385" s="102"/>
      <c r="TEV385" s="102"/>
      <c r="TEW385" s="102"/>
      <c r="TEX385" s="102"/>
      <c r="TEY385" s="102"/>
      <c r="TEZ385" s="102"/>
      <c r="TFA385" s="102"/>
      <c r="TFB385" s="102"/>
      <c r="TFC385" s="102"/>
      <c r="TFD385" s="102"/>
      <c r="TFE385" s="102"/>
      <c r="TFF385" s="102"/>
      <c r="TFG385" s="102"/>
      <c r="TFH385" s="102"/>
      <c r="TFI385" s="102"/>
      <c r="TFJ385" s="102"/>
      <c r="TFK385" s="102"/>
      <c r="TFL385" s="102"/>
      <c r="TFM385" s="102"/>
      <c r="TFN385" s="102"/>
      <c r="TFO385" s="102"/>
      <c r="TFP385" s="102"/>
      <c r="TFQ385" s="102"/>
      <c r="TFR385" s="102"/>
      <c r="TFS385" s="102"/>
      <c r="TFT385" s="102"/>
      <c r="TFU385" s="102"/>
      <c r="TFV385" s="102"/>
      <c r="TFW385" s="102"/>
      <c r="TFX385" s="102"/>
      <c r="TFY385" s="102"/>
      <c r="TFZ385" s="102"/>
      <c r="TGA385" s="102"/>
      <c r="TGB385" s="102"/>
      <c r="TGC385" s="102"/>
      <c r="TGD385" s="102"/>
      <c r="TGE385" s="102"/>
      <c r="TGF385" s="102"/>
      <c r="TGG385" s="102"/>
      <c r="TGH385" s="102"/>
      <c r="TGI385" s="102"/>
      <c r="TGJ385" s="102"/>
      <c r="TGK385" s="102"/>
      <c r="TGL385" s="102"/>
      <c r="TGM385" s="102"/>
      <c r="TGN385" s="102"/>
      <c r="TGO385" s="102"/>
      <c r="TGP385" s="102"/>
      <c r="TGQ385" s="102"/>
      <c r="TGR385" s="102"/>
      <c r="TGS385" s="102"/>
      <c r="TGT385" s="102"/>
      <c r="TGU385" s="102"/>
      <c r="TGV385" s="102"/>
      <c r="TGW385" s="102"/>
      <c r="TGX385" s="102"/>
      <c r="TGY385" s="102"/>
      <c r="TGZ385" s="102"/>
      <c r="THA385" s="102"/>
      <c r="THB385" s="102"/>
      <c r="THC385" s="102"/>
      <c r="THD385" s="102"/>
      <c r="THE385" s="102"/>
      <c r="THF385" s="102"/>
      <c r="THG385" s="102"/>
      <c r="THH385" s="102"/>
      <c r="THI385" s="102"/>
      <c r="THJ385" s="102"/>
      <c r="THK385" s="102"/>
      <c r="THL385" s="102"/>
      <c r="THM385" s="102"/>
      <c r="THN385" s="102"/>
      <c r="THO385" s="102"/>
      <c r="THP385" s="102"/>
      <c r="THQ385" s="102"/>
      <c r="THR385" s="102"/>
      <c r="THS385" s="102"/>
      <c r="THT385" s="102"/>
      <c r="THU385" s="102"/>
      <c r="THV385" s="102"/>
      <c r="THW385" s="102"/>
      <c r="THX385" s="102"/>
      <c r="THY385" s="102"/>
      <c r="THZ385" s="102"/>
      <c r="TIA385" s="102"/>
      <c r="TIB385" s="102"/>
      <c r="TIC385" s="102"/>
      <c r="TID385" s="102"/>
      <c r="TIE385" s="102"/>
      <c r="TIF385" s="102"/>
      <c r="TIG385" s="102"/>
      <c r="TIH385" s="102"/>
      <c r="TII385" s="102"/>
      <c r="TIJ385" s="102"/>
      <c r="TIK385" s="102"/>
      <c r="TIL385" s="102"/>
      <c r="TIM385" s="102"/>
      <c r="TIN385" s="102"/>
      <c r="TIO385" s="102"/>
      <c r="TIP385" s="102"/>
      <c r="TIQ385" s="102"/>
      <c r="TIR385" s="102"/>
      <c r="TIS385" s="102"/>
      <c r="TIT385" s="102"/>
      <c r="TIU385" s="102"/>
      <c r="TIV385" s="102"/>
      <c r="TIW385" s="102"/>
      <c r="TIX385" s="102"/>
      <c r="TIY385" s="102"/>
      <c r="TIZ385" s="102"/>
      <c r="TJA385" s="102"/>
      <c r="TJB385" s="102"/>
      <c r="TJC385" s="102"/>
      <c r="TJD385" s="102"/>
      <c r="TJE385" s="102"/>
      <c r="TJF385" s="102"/>
      <c r="TJG385" s="102"/>
      <c r="TJH385" s="102"/>
      <c r="TJI385" s="102"/>
      <c r="TJJ385" s="102"/>
      <c r="TJK385" s="102"/>
      <c r="TJL385" s="102"/>
      <c r="TJM385" s="102"/>
      <c r="TJN385" s="102"/>
      <c r="TJO385" s="102"/>
      <c r="TJP385" s="102"/>
      <c r="TJQ385" s="102"/>
      <c r="TJR385" s="102"/>
      <c r="TJS385" s="102"/>
      <c r="TJT385" s="102"/>
      <c r="TJU385" s="102"/>
      <c r="TJV385" s="102"/>
      <c r="TJW385" s="102"/>
      <c r="TJX385" s="102"/>
      <c r="TJY385" s="102"/>
      <c r="TJZ385" s="102"/>
      <c r="TKA385" s="102"/>
      <c r="TKB385" s="102"/>
      <c r="TKC385" s="102"/>
      <c r="TKD385" s="102"/>
      <c r="TKE385" s="102"/>
      <c r="TKF385" s="102"/>
      <c r="TKG385" s="102"/>
      <c r="TKH385" s="102"/>
      <c r="TKI385" s="102"/>
      <c r="TKJ385" s="102"/>
      <c r="TKK385" s="102"/>
      <c r="TKL385" s="102"/>
      <c r="TKM385" s="102"/>
      <c r="TKN385" s="102"/>
      <c r="TKO385" s="102"/>
      <c r="TKP385" s="102"/>
      <c r="TKQ385" s="102"/>
      <c r="TKR385" s="102"/>
      <c r="TKS385" s="102"/>
      <c r="TKT385" s="102"/>
      <c r="TKU385" s="102"/>
      <c r="TKV385" s="102"/>
      <c r="TKW385" s="102"/>
      <c r="TKX385" s="102"/>
      <c r="TKY385" s="102"/>
      <c r="TKZ385" s="102"/>
      <c r="TLA385" s="102"/>
      <c r="TLB385" s="102"/>
      <c r="TLC385" s="102"/>
      <c r="TLD385" s="102"/>
      <c r="TLE385" s="102"/>
      <c r="TLF385" s="102"/>
      <c r="TLG385" s="102"/>
      <c r="TLH385" s="102"/>
      <c r="TLI385" s="102"/>
      <c r="TLJ385" s="102"/>
      <c r="TLK385" s="102"/>
      <c r="TLL385" s="102"/>
      <c r="TLM385" s="102"/>
      <c r="TLN385" s="102"/>
      <c r="TLO385" s="102"/>
      <c r="TLP385" s="102"/>
      <c r="TLQ385" s="102"/>
      <c r="TLR385" s="102"/>
      <c r="TLS385" s="102"/>
      <c r="TLT385" s="102"/>
      <c r="TLU385" s="102"/>
      <c r="TLV385" s="102"/>
      <c r="TLW385" s="102"/>
      <c r="TLX385" s="102"/>
      <c r="TLY385" s="102"/>
      <c r="TLZ385" s="102"/>
      <c r="TMA385" s="102"/>
      <c r="TMB385" s="102"/>
      <c r="TMC385" s="102"/>
      <c r="TMD385" s="102"/>
      <c r="TME385" s="102"/>
      <c r="TMF385" s="102"/>
      <c r="TMG385" s="102"/>
      <c r="TMH385" s="102"/>
      <c r="TMI385" s="102"/>
      <c r="TMJ385" s="102"/>
      <c r="TMK385" s="102"/>
      <c r="TML385" s="102"/>
      <c r="TMM385" s="102"/>
      <c r="TMN385" s="102"/>
      <c r="TMO385" s="102"/>
      <c r="TMP385" s="102"/>
      <c r="TMQ385" s="102"/>
      <c r="TMR385" s="102"/>
      <c r="TMS385" s="102"/>
      <c r="TMT385" s="102"/>
      <c r="TMU385" s="102"/>
      <c r="TMV385" s="102"/>
      <c r="TMW385" s="102"/>
      <c r="TMX385" s="102"/>
      <c r="TMY385" s="102"/>
      <c r="TMZ385" s="102"/>
      <c r="TNA385" s="102"/>
      <c r="TNB385" s="102"/>
      <c r="TNC385" s="102"/>
      <c r="TND385" s="102"/>
      <c r="TNE385" s="102"/>
      <c r="TNF385" s="102"/>
      <c r="TNG385" s="102"/>
      <c r="TNH385" s="102"/>
      <c r="TNI385" s="102"/>
      <c r="TNJ385" s="102"/>
      <c r="TNK385" s="102"/>
      <c r="TNL385" s="102"/>
      <c r="TNM385" s="102"/>
      <c r="TNN385" s="102"/>
      <c r="TNO385" s="102"/>
      <c r="TNP385" s="102"/>
      <c r="TNQ385" s="102"/>
      <c r="TNR385" s="102"/>
      <c r="TNS385" s="102"/>
      <c r="TNT385" s="102"/>
      <c r="TNU385" s="102"/>
      <c r="TNV385" s="102"/>
      <c r="TNW385" s="102"/>
      <c r="TNX385" s="102"/>
      <c r="TNY385" s="102"/>
      <c r="TNZ385" s="102"/>
      <c r="TOA385" s="102"/>
      <c r="TOB385" s="102"/>
      <c r="TOC385" s="102"/>
      <c r="TOD385" s="102"/>
      <c r="TOE385" s="102"/>
      <c r="TOF385" s="102"/>
      <c r="TOG385" s="102"/>
      <c r="TOH385" s="102"/>
      <c r="TOI385" s="102"/>
      <c r="TOJ385" s="102"/>
      <c r="TOK385" s="102"/>
      <c r="TOL385" s="102"/>
      <c r="TOM385" s="102"/>
      <c r="TON385" s="102"/>
      <c r="TOO385" s="102"/>
      <c r="TOP385" s="102"/>
      <c r="TOQ385" s="102"/>
      <c r="TOR385" s="102"/>
      <c r="TOS385" s="102"/>
      <c r="TOT385" s="102"/>
      <c r="TOU385" s="102"/>
      <c r="TOV385" s="102"/>
      <c r="TOW385" s="102"/>
      <c r="TOX385" s="102"/>
      <c r="TOY385" s="102"/>
      <c r="TOZ385" s="102"/>
      <c r="TPA385" s="102"/>
      <c r="TPB385" s="102"/>
      <c r="TPC385" s="102"/>
      <c r="TPD385" s="102"/>
      <c r="TPE385" s="102"/>
      <c r="TPF385" s="102"/>
      <c r="TPG385" s="102"/>
      <c r="TPH385" s="102"/>
      <c r="TPI385" s="102"/>
      <c r="TPJ385" s="102"/>
      <c r="TPK385" s="102"/>
      <c r="TPL385" s="102"/>
      <c r="TPM385" s="102"/>
      <c r="TPN385" s="102"/>
      <c r="TPO385" s="102"/>
      <c r="TPP385" s="102"/>
      <c r="TPQ385" s="102"/>
      <c r="TPR385" s="102"/>
      <c r="TPS385" s="102"/>
      <c r="TPT385" s="102"/>
      <c r="TPU385" s="102"/>
      <c r="TPV385" s="102"/>
      <c r="TPW385" s="102"/>
      <c r="TPX385" s="102"/>
      <c r="TPY385" s="102"/>
      <c r="TPZ385" s="102"/>
      <c r="TQA385" s="102"/>
      <c r="TQB385" s="102"/>
      <c r="TQC385" s="102"/>
      <c r="TQD385" s="102"/>
      <c r="TQE385" s="102"/>
      <c r="TQF385" s="102"/>
      <c r="TQG385" s="102"/>
      <c r="TQH385" s="102"/>
      <c r="TQI385" s="102"/>
      <c r="TQJ385" s="102"/>
      <c r="TQK385" s="102"/>
      <c r="TQL385" s="102"/>
      <c r="TQM385" s="102"/>
      <c r="TQN385" s="102"/>
      <c r="TQO385" s="102"/>
      <c r="TQP385" s="102"/>
      <c r="TQQ385" s="102"/>
      <c r="TQR385" s="102"/>
      <c r="TQS385" s="102"/>
      <c r="TQT385" s="102"/>
      <c r="TQU385" s="102"/>
      <c r="TQV385" s="102"/>
      <c r="TQW385" s="102"/>
      <c r="TQX385" s="102"/>
      <c r="TQY385" s="102"/>
      <c r="TQZ385" s="102"/>
      <c r="TRA385" s="102"/>
      <c r="TRB385" s="102"/>
      <c r="TRC385" s="102"/>
      <c r="TRD385" s="102"/>
      <c r="TRE385" s="102"/>
      <c r="TRF385" s="102"/>
      <c r="TRG385" s="102"/>
      <c r="TRH385" s="102"/>
      <c r="TRI385" s="102"/>
      <c r="TRJ385" s="102"/>
      <c r="TRK385" s="102"/>
      <c r="TRL385" s="102"/>
      <c r="TRM385" s="102"/>
      <c r="TRN385" s="102"/>
      <c r="TRO385" s="102"/>
      <c r="TRP385" s="102"/>
      <c r="TRQ385" s="102"/>
      <c r="TRR385" s="102"/>
      <c r="TRS385" s="102"/>
      <c r="TRT385" s="102"/>
      <c r="TRU385" s="102"/>
      <c r="TRV385" s="102"/>
      <c r="TRW385" s="102"/>
      <c r="TRX385" s="102"/>
      <c r="TRY385" s="102"/>
      <c r="TRZ385" s="102"/>
      <c r="TSA385" s="102"/>
      <c r="TSB385" s="102"/>
      <c r="TSC385" s="102"/>
      <c r="TSD385" s="102"/>
      <c r="TSE385" s="102"/>
      <c r="TSF385" s="102"/>
      <c r="TSG385" s="102"/>
      <c r="TSH385" s="102"/>
      <c r="TSI385" s="102"/>
      <c r="TSJ385" s="102"/>
      <c r="TSK385" s="102"/>
      <c r="TSL385" s="102"/>
      <c r="TSM385" s="102"/>
      <c r="TSN385" s="102"/>
      <c r="TSO385" s="102"/>
      <c r="TSP385" s="102"/>
      <c r="TSQ385" s="102"/>
      <c r="TSR385" s="102"/>
      <c r="TSS385" s="102"/>
      <c r="TST385" s="102"/>
      <c r="TSU385" s="102"/>
      <c r="TSV385" s="102"/>
      <c r="TSW385" s="102"/>
      <c r="TSX385" s="102"/>
      <c r="TSY385" s="102"/>
      <c r="TSZ385" s="102"/>
      <c r="TTA385" s="102"/>
      <c r="TTB385" s="102"/>
      <c r="TTC385" s="102"/>
      <c r="TTD385" s="102"/>
      <c r="TTE385" s="102"/>
      <c r="TTF385" s="102"/>
      <c r="TTG385" s="102"/>
      <c r="TTH385" s="102"/>
      <c r="TTI385" s="102"/>
      <c r="TTJ385" s="102"/>
      <c r="TTK385" s="102"/>
      <c r="TTL385" s="102"/>
      <c r="TTM385" s="102"/>
      <c r="TTN385" s="102"/>
      <c r="TTO385" s="102"/>
      <c r="TTP385" s="102"/>
      <c r="TTQ385" s="102"/>
      <c r="TTR385" s="102"/>
      <c r="TTS385" s="102"/>
      <c r="TTT385" s="102"/>
      <c r="TTU385" s="102"/>
      <c r="TTV385" s="102"/>
      <c r="TTW385" s="102"/>
      <c r="TTX385" s="102"/>
      <c r="TTY385" s="102"/>
      <c r="TTZ385" s="102"/>
      <c r="TUA385" s="102"/>
      <c r="TUB385" s="102"/>
      <c r="TUC385" s="102"/>
      <c r="TUD385" s="102"/>
      <c r="TUE385" s="102"/>
      <c r="TUF385" s="102"/>
      <c r="TUG385" s="102"/>
      <c r="TUH385" s="102"/>
      <c r="TUI385" s="102"/>
      <c r="TUJ385" s="102"/>
      <c r="TUK385" s="102"/>
      <c r="TUL385" s="102"/>
      <c r="TUM385" s="102"/>
      <c r="TUN385" s="102"/>
      <c r="TUO385" s="102"/>
      <c r="TUP385" s="102"/>
      <c r="TUQ385" s="102"/>
      <c r="TUR385" s="102"/>
      <c r="TUS385" s="102"/>
      <c r="TUT385" s="102"/>
      <c r="TUU385" s="102"/>
      <c r="TUV385" s="102"/>
      <c r="TUW385" s="102"/>
      <c r="TUX385" s="102"/>
      <c r="TUY385" s="102"/>
      <c r="TUZ385" s="102"/>
      <c r="TVA385" s="102"/>
      <c r="TVB385" s="102"/>
      <c r="TVC385" s="102"/>
      <c r="TVD385" s="102"/>
      <c r="TVE385" s="102"/>
      <c r="TVF385" s="102"/>
      <c r="TVG385" s="102"/>
      <c r="TVH385" s="102"/>
      <c r="TVI385" s="102"/>
      <c r="TVJ385" s="102"/>
      <c r="TVK385" s="102"/>
      <c r="TVL385" s="102"/>
      <c r="TVM385" s="102"/>
      <c r="TVN385" s="102"/>
      <c r="TVO385" s="102"/>
      <c r="TVP385" s="102"/>
      <c r="TVQ385" s="102"/>
      <c r="TVR385" s="102"/>
      <c r="TVS385" s="102"/>
      <c r="TVT385" s="102"/>
      <c r="TVU385" s="102"/>
      <c r="TVV385" s="102"/>
      <c r="TVW385" s="102"/>
      <c r="TVX385" s="102"/>
      <c r="TVY385" s="102"/>
      <c r="TVZ385" s="102"/>
      <c r="TWA385" s="102"/>
      <c r="TWB385" s="102"/>
      <c r="TWC385" s="102"/>
      <c r="TWD385" s="102"/>
      <c r="TWE385" s="102"/>
      <c r="TWF385" s="102"/>
      <c r="TWG385" s="102"/>
      <c r="TWH385" s="102"/>
      <c r="TWI385" s="102"/>
      <c r="TWJ385" s="102"/>
      <c r="TWK385" s="102"/>
      <c r="TWL385" s="102"/>
      <c r="TWM385" s="102"/>
      <c r="TWN385" s="102"/>
      <c r="TWO385" s="102"/>
      <c r="TWP385" s="102"/>
      <c r="TWQ385" s="102"/>
      <c r="TWR385" s="102"/>
      <c r="TWS385" s="102"/>
      <c r="TWT385" s="102"/>
      <c r="TWU385" s="102"/>
      <c r="TWV385" s="102"/>
      <c r="TWW385" s="102"/>
      <c r="TWX385" s="102"/>
      <c r="TWY385" s="102"/>
      <c r="TWZ385" s="102"/>
      <c r="TXA385" s="102"/>
      <c r="TXB385" s="102"/>
      <c r="TXC385" s="102"/>
      <c r="TXD385" s="102"/>
      <c r="TXE385" s="102"/>
      <c r="TXF385" s="102"/>
      <c r="TXG385" s="102"/>
      <c r="TXH385" s="102"/>
      <c r="TXI385" s="102"/>
      <c r="TXJ385" s="102"/>
      <c r="TXK385" s="102"/>
      <c r="TXL385" s="102"/>
      <c r="TXM385" s="102"/>
      <c r="TXN385" s="102"/>
      <c r="TXO385" s="102"/>
      <c r="TXP385" s="102"/>
      <c r="TXQ385" s="102"/>
      <c r="TXR385" s="102"/>
      <c r="TXS385" s="102"/>
      <c r="TXT385" s="102"/>
      <c r="TXU385" s="102"/>
      <c r="TXV385" s="102"/>
      <c r="TXW385" s="102"/>
      <c r="TXX385" s="102"/>
      <c r="TXY385" s="102"/>
      <c r="TXZ385" s="102"/>
      <c r="TYA385" s="102"/>
      <c r="TYB385" s="102"/>
      <c r="TYC385" s="102"/>
      <c r="TYD385" s="102"/>
      <c r="TYE385" s="102"/>
      <c r="TYF385" s="102"/>
      <c r="TYG385" s="102"/>
      <c r="TYH385" s="102"/>
      <c r="TYI385" s="102"/>
      <c r="TYJ385" s="102"/>
      <c r="TYK385" s="102"/>
      <c r="TYL385" s="102"/>
      <c r="TYM385" s="102"/>
      <c r="TYN385" s="102"/>
      <c r="TYO385" s="102"/>
      <c r="TYP385" s="102"/>
      <c r="TYQ385" s="102"/>
      <c r="TYR385" s="102"/>
      <c r="TYS385" s="102"/>
      <c r="TYT385" s="102"/>
      <c r="TYU385" s="102"/>
      <c r="TYV385" s="102"/>
      <c r="TYW385" s="102"/>
      <c r="TYX385" s="102"/>
      <c r="TYY385" s="102"/>
      <c r="TYZ385" s="102"/>
      <c r="TZA385" s="102"/>
      <c r="TZB385" s="102"/>
      <c r="TZC385" s="102"/>
      <c r="TZD385" s="102"/>
      <c r="TZE385" s="102"/>
      <c r="TZF385" s="102"/>
      <c r="TZG385" s="102"/>
      <c r="TZH385" s="102"/>
      <c r="TZI385" s="102"/>
      <c r="TZJ385" s="102"/>
      <c r="TZK385" s="102"/>
      <c r="TZL385" s="102"/>
      <c r="TZM385" s="102"/>
      <c r="TZN385" s="102"/>
      <c r="TZO385" s="102"/>
      <c r="TZP385" s="102"/>
      <c r="TZQ385" s="102"/>
      <c r="TZR385" s="102"/>
      <c r="TZS385" s="102"/>
      <c r="TZT385" s="102"/>
      <c r="TZU385" s="102"/>
      <c r="TZV385" s="102"/>
      <c r="TZW385" s="102"/>
      <c r="TZX385" s="102"/>
      <c r="TZY385" s="102"/>
      <c r="TZZ385" s="102"/>
      <c r="UAA385" s="102"/>
      <c r="UAB385" s="102"/>
      <c r="UAC385" s="102"/>
      <c r="UAD385" s="102"/>
      <c r="UAE385" s="102"/>
      <c r="UAF385" s="102"/>
      <c r="UAG385" s="102"/>
      <c r="UAH385" s="102"/>
      <c r="UAI385" s="102"/>
      <c r="UAJ385" s="102"/>
      <c r="UAK385" s="102"/>
      <c r="UAL385" s="102"/>
      <c r="UAM385" s="102"/>
      <c r="UAN385" s="102"/>
      <c r="UAO385" s="102"/>
      <c r="UAP385" s="102"/>
      <c r="UAQ385" s="102"/>
      <c r="UAR385" s="102"/>
      <c r="UAS385" s="102"/>
      <c r="UAT385" s="102"/>
      <c r="UAU385" s="102"/>
      <c r="UAV385" s="102"/>
      <c r="UAW385" s="102"/>
      <c r="UAX385" s="102"/>
      <c r="UAY385" s="102"/>
      <c r="UAZ385" s="102"/>
      <c r="UBA385" s="102"/>
      <c r="UBB385" s="102"/>
      <c r="UBC385" s="102"/>
      <c r="UBD385" s="102"/>
      <c r="UBE385" s="102"/>
      <c r="UBF385" s="102"/>
      <c r="UBG385" s="102"/>
      <c r="UBH385" s="102"/>
      <c r="UBI385" s="102"/>
      <c r="UBJ385" s="102"/>
      <c r="UBK385" s="102"/>
      <c r="UBL385" s="102"/>
      <c r="UBM385" s="102"/>
      <c r="UBN385" s="102"/>
      <c r="UBO385" s="102"/>
      <c r="UBP385" s="102"/>
      <c r="UBQ385" s="102"/>
      <c r="UBR385" s="102"/>
      <c r="UBS385" s="102"/>
      <c r="UBT385" s="102"/>
      <c r="UBU385" s="102"/>
      <c r="UBV385" s="102"/>
      <c r="UBW385" s="102"/>
      <c r="UBX385" s="102"/>
      <c r="UBY385" s="102"/>
      <c r="UBZ385" s="102"/>
      <c r="UCA385" s="102"/>
      <c r="UCB385" s="102"/>
      <c r="UCC385" s="102"/>
      <c r="UCD385" s="102"/>
      <c r="UCE385" s="102"/>
      <c r="UCF385" s="102"/>
      <c r="UCG385" s="102"/>
      <c r="UCH385" s="102"/>
      <c r="UCI385" s="102"/>
      <c r="UCJ385" s="102"/>
      <c r="UCK385" s="102"/>
      <c r="UCL385" s="102"/>
      <c r="UCM385" s="102"/>
      <c r="UCN385" s="102"/>
      <c r="UCO385" s="102"/>
      <c r="UCP385" s="102"/>
      <c r="UCQ385" s="102"/>
      <c r="UCR385" s="102"/>
      <c r="UCS385" s="102"/>
      <c r="UCT385" s="102"/>
      <c r="UCU385" s="102"/>
      <c r="UCV385" s="102"/>
      <c r="UCW385" s="102"/>
      <c r="UCX385" s="102"/>
      <c r="UCY385" s="102"/>
      <c r="UCZ385" s="102"/>
      <c r="UDA385" s="102"/>
      <c r="UDB385" s="102"/>
      <c r="UDC385" s="102"/>
      <c r="UDD385" s="102"/>
      <c r="UDE385" s="102"/>
      <c r="UDF385" s="102"/>
      <c r="UDG385" s="102"/>
      <c r="UDH385" s="102"/>
      <c r="UDI385" s="102"/>
      <c r="UDJ385" s="102"/>
      <c r="UDK385" s="102"/>
      <c r="UDL385" s="102"/>
      <c r="UDM385" s="102"/>
      <c r="UDN385" s="102"/>
      <c r="UDO385" s="102"/>
      <c r="UDP385" s="102"/>
      <c r="UDQ385" s="102"/>
      <c r="UDR385" s="102"/>
      <c r="UDS385" s="102"/>
      <c r="UDT385" s="102"/>
      <c r="UDU385" s="102"/>
      <c r="UDV385" s="102"/>
      <c r="UDW385" s="102"/>
      <c r="UDX385" s="102"/>
      <c r="UDY385" s="102"/>
      <c r="UDZ385" s="102"/>
      <c r="UEA385" s="102"/>
      <c r="UEB385" s="102"/>
      <c r="UEC385" s="102"/>
      <c r="UED385" s="102"/>
      <c r="UEE385" s="102"/>
      <c r="UEF385" s="102"/>
      <c r="UEG385" s="102"/>
      <c r="UEH385" s="102"/>
      <c r="UEI385" s="102"/>
      <c r="UEJ385" s="102"/>
      <c r="UEK385" s="102"/>
      <c r="UEL385" s="102"/>
      <c r="UEM385" s="102"/>
      <c r="UEN385" s="102"/>
      <c r="UEO385" s="102"/>
      <c r="UEP385" s="102"/>
      <c r="UEQ385" s="102"/>
      <c r="UER385" s="102"/>
      <c r="UES385" s="102"/>
      <c r="UET385" s="102"/>
      <c r="UEU385" s="102"/>
      <c r="UEV385" s="102"/>
      <c r="UEW385" s="102"/>
      <c r="UEX385" s="102"/>
      <c r="UEY385" s="102"/>
      <c r="UEZ385" s="102"/>
      <c r="UFA385" s="102"/>
      <c r="UFB385" s="102"/>
      <c r="UFC385" s="102"/>
      <c r="UFD385" s="102"/>
      <c r="UFE385" s="102"/>
      <c r="UFF385" s="102"/>
      <c r="UFG385" s="102"/>
      <c r="UFH385" s="102"/>
      <c r="UFI385" s="102"/>
      <c r="UFJ385" s="102"/>
      <c r="UFK385" s="102"/>
      <c r="UFL385" s="102"/>
      <c r="UFM385" s="102"/>
      <c r="UFN385" s="102"/>
      <c r="UFO385" s="102"/>
      <c r="UFP385" s="102"/>
      <c r="UFQ385" s="102"/>
      <c r="UFR385" s="102"/>
      <c r="UFS385" s="102"/>
      <c r="UFT385" s="102"/>
      <c r="UFU385" s="102"/>
      <c r="UFV385" s="102"/>
      <c r="UFW385" s="102"/>
      <c r="UFX385" s="102"/>
      <c r="UFY385" s="102"/>
      <c r="UFZ385" s="102"/>
      <c r="UGA385" s="102"/>
      <c r="UGB385" s="102"/>
      <c r="UGC385" s="102"/>
      <c r="UGD385" s="102"/>
      <c r="UGE385" s="102"/>
      <c r="UGF385" s="102"/>
      <c r="UGG385" s="102"/>
      <c r="UGH385" s="102"/>
      <c r="UGI385" s="102"/>
      <c r="UGJ385" s="102"/>
      <c r="UGK385" s="102"/>
      <c r="UGL385" s="102"/>
      <c r="UGM385" s="102"/>
      <c r="UGN385" s="102"/>
      <c r="UGO385" s="102"/>
      <c r="UGP385" s="102"/>
      <c r="UGQ385" s="102"/>
      <c r="UGR385" s="102"/>
      <c r="UGS385" s="102"/>
      <c r="UGT385" s="102"/>
      <c r="UGU385" s="102"/>
      <c r="UGV385" s="102"/>
      <c r="UGW385" s="102"/>
      <c r="UGX385" s="102"/>
      <c r="UGY385" s="102"/>
      <c r="UGZ385" s="102"/>
      <c r="UHA385" s="102"/>
      <c r="UHB385" s="102"/>
      <c r="UHC385" s="102"/>
      <c r="UHD385" s="102"/>
      <c r="UHE385" s="102"/>
      <c r="UHF385" s="102"/>
      <c r="UHG385" s="102"/>
      <c r="UHH385" s="102"/>
      <c r="UHI385" s="102"/>
      <c r="UHJ385" s="102"/>
      <c r="UHK385" s="102"/>
      <c r="UHL385" s="102"/>
      <c r="UHM385" s="102"/>
      <c r="UHN385" s="102"/>
      <c r="UHO385" s="102"/>
      <c r="UHP385" s="102"/>
      <c r="UHQ385" s="102"/>
      <c r="UHR385" s="102"/>
      <c r="UHS385" s="102"/>
      <c r="UHT385" s="102"/>
      <c r="UHU385" s="102"/>
      <c r="UHV385" s="102"/>
      <c r="UHW385" s="102"/>
      <c r="UHX385" s="102"/>
      <c r="UHY385" s="102"/>
      <c r="UHZ385" s="102"/>
      <c r="UIA385" s="102"/>
      <c r="UIB385" s="102"/>
      <c r="UIC385" s="102"/>
      <c r="UID385" s="102"/>
      <c r="UIE385" s="102"/>
      <c r="UIF385" s="102"/>
      <c r="UIG385" s="102"/>
      <c r="UIH385" s="102"/>
      <c r="UII385" s="102"/>
      <c r="UIJ385" s="102"/>
      <c r="UIK385" s="102"/>
      <c r="UIL385" s="102"/>
      <c r="UIM385" s="102"/>
      <c r="UIN385" s="102"/>
      <c r="UIO385" s="102"/>
      <c r="UIP385" s="102"/>
      <c r="UIQ385" s="102"/>
      <c r="UIR385" s="102"/>
      <c r="UIS385" s="102"/>
      <c r="UIT385" s="102"/>
      <c r="UIU385" s="102"/>
      <c r="UIV385" s="102"/>
      <c r="UIW385" s="102"/>
      <c r="UIX385" s="102"/>
      <c r="UIY385" s="102"/>
      <c r="UIZ385" s="102"/>
      <c r="UJA385" s="102"/>
      <c r="UJB385" s="102"/>
      <c r="UJC385" s="102"/>
      <c r="UJD385" s="102"/>
      <c r="UJE385" s="102"/>
      <c r="UJF385" s="102"/>
      <c r="UJG385" s="102"/>
      <c r="UJH385" s="102"/>
      <c r="UJI385" s="102"/>
      <c r="UJJ385" s="102"/>
      <c r="UJK385" s="102"/>
      <c r="UJL385" s="102"/>
      <c r="UJM385" s="102"/>
      <c r="UJN385" s="102"/>
      <c r="UJO385" s="102"/>
      <c r="UJP385" s="102"/>
      <c r="UJQ385" s="102"/>
      <c r="UJR385" s="102"/>
      <c r="UJS385" s="102"/>
      <c r="UJT385" s="102"/>
      <c r="UJU385" s="102"/>
      <c r="UJV385" s="102"/>
      <c r="UJW385" s="102"/>
      <c r="UJX385" s="102"/>
      <c r="UJY385" s="102"/>
      <c r="UJZ385" s="102"/>
      <c r="UKA385" s="102"/>
      <c r="UKB385" s="102"/>
      <c r="UKC385" s="102"/>
      <c r="UKD385" s="102"/>
      <c r="UKE385" s="102"/>
      <c r="UKF385" s="102"/>
      <c r="UKG385" s="102"/>
      <c r="UKH385" s="102"/>
      <c r="UKI385" s="102"/>
      <c r="UKJ385" s="102"/>
      <c r="UKK385" s="102"/>
      <c r="UKL385" s="102"/>
      <c r="UKM385" s="102"/>
      <c r="UKN385" s="102"/>
      <c r="UKO385" s="102"/>
      <c r="UKP385" s="102"/>
      <c r="UKQ385" s="102"/>
      <c r="UKR385" s="102"/>
      <c r="UKS385" s="102"/>
      <c r="UKT385" s="102"/>
      <c r="UKU385" s="102"/>
      <c r="UKV385" s="102"/>
      <c r="UKW385" s="102"/>
      <c r="UKX385" s="102"/>
      <c r="UKY385" s="102"/>
      <c r="UKZ385" s="102"/>
      <c r="ULA385" s="102"/>
      <c r="ULB385" s="102"/>
      <c r="ULC385" s="102"/>
      <c r="ULD385" s="102"/>
      <c r="ULE385" s="102"/>
      <c r="ULF385" s="102"/>
      <c r="ULG385" s="102"/>
      <c r="ULH385" s="102"/>
      <c r="ULI385" s="102"/>
      <c r="ULJ385" s="102"/>
      <c r="ULK385" s="102"/>
      <c r="ULL385" s="102"/>
      <c r="ULM385" s="102"/>
      <c r="ULN385" s="102"/>
      <c r="ULO385" s="102"/>
      <c r="ULP385" s="102"/>
      <c r="ULQ385" s="102"/>
      <c r="ULR385" s="102"/>
      <c r="ULS385" s="102"/>
      <c r="ULT385" s="102"/>
      <c r="ULU385" s="102"/>
      <c r="ULV385" s="102"/>
      <c r="ULW385" s="102"/>
      <c r="ULX385" s="102"/>
      <c r="ULY385" s="102"/>
      <c r="ULZ385" s="102"/>
      <c r="UMA385" s="102"/>
      <c r="UMB385" s="102"/>
      <c r="UMC385" s="102"/>
      <c r="UMD385" s="102"/>
      <c r="UME385" s="102"/>
      <c r="UMF385" s="102"/>
      <c r="UMG385" s="102"/>
      <c r="UMH385" s="102"/>
      <c r="UMI385" s="102"/>
      <c r="UMJ385" s="102"/>
      <c r="UMK385" s="102"/>
      <c r="UML385" s="102"/>
      <c r="UMM385" s="102"/>
      <c r="UMN385" s="102"/>
      <c r="UMO385" s="102"/>
      <c r="UMP385" s="102"/>
      <c r="UMQ385" s="102"/>
      <c r="UMR385" s="102"/>
      <c r="UMS385" s="102"/>
      <c r="UMT385" s="102"/>
      <c r="UMU385" s="102"/>
      <c r="UMV385" s="102"/>
      <c r="UMW385" s="102"/>
      <c r="UMX385" s="102"/>
      <c r="UMY385" s="102"/>
      <c r="UMZ385" s="102"/>
      <c r="UNA385" s="102"/>
      <c r="UNB385" s="102"/>
      <c r="UNC385" s="102"/>
      <c r="UND385" s="102"/>
      <c r="UNE385" s="102"/>
      <c r="UNF385" s="102"/>
      <c r="UNG385" s="102"/>
      <c r="UNH385" s="102"/>
      <c r="UNI385" s="102"/>
      <c r="UNJ385" s="102"/>
      <c r="UNK385" s="102"/>
      <c r="UNL385" s="102"/>
      <c r="UNM385" s="102"/>
      <c r="UNN385" s="102"/>
      <c r="UNO385" s="102"/>
      <c r="UNP385" s="102"/>
      <c r="UNQ385" s="102"/>
      <c r="UNR385" s="102"/>
      <c r="UNS385" s="102"/>
      <c r="UNT385" s="102"/>
      <c r="UNU385" s="102"/>
      <c r="UNV385" s="102"/>
      <c r="UNW385" s="102"/>
      <c r="UNX385" s="102"/>
      <c r="UNY385" s="102"/>
      <c r="UNZ385" s="102"/>
      <c r="UOA385" s="102"/>
      <c r="UOB385" s="102"/>
      <c r="UOC385" s="102"/>
      <c r="UOD385" s="102"/>
      <c r="UOE385" s="102"/>
      <c r="UOF385" s="102"/>
      <c r="UOG385" s="102"/>
      <c r="UOH385" s="102"/>
      <c r="UOI385" s="102"/>
      <c r="UOJ385" s="102"/>
      <c r="UOK385" s="102"/>
      <c r="UOL385" s="102"/>
      <c r="UOM385" s="102"/>
      <c r="UON385" s="102"/>
      <c r="UOO385" s="102"/>
      <c r="UOP385" s="102"/>
      <c r="UOQ385" s="102"/>
      <c r="UOR385" s="102"/>
      <c r="UOS385" s="102"/>
      <c r="UOT385" s="102"/>
      <c r="UOU385" s="102"/>
      <c r="UOV385" s="102"/>
      <c r="UOW385" s="102"/>
      <c r="UOX385" s="102"/>
      <c r="UOY385" s="102"/>
      <c r="UOZ385" s="102"/>
      <c r="UPA385" s="102"/>
      <c r="UPB385" s="102"/>
      <c r="UPC385" s="102"/>
      <c r="UPD385" s="102"/>
      <c r="UPE385" s="102"/>
      <c r="UPF385" s="102"/>
      <c r="UPG385" s="102"/>
      <c r="UPH385" s="102"/>
      <c r="UPI385" s="102"/>
      <c r="UPJ385" s="102"/>
      <c r="UPK385" s="102"/>
      <c r="UPL385" s="102"/>
      <c r="UPM385" s="102"/>
      <c r="UPN385" s="102"/>
      <c r="UPO385" s="102"/>
      <c r="UPP385" s="102"/>
      <c r="UPQ385" s="102"/>
      <c r="UPR385" s="102"/>
      <c r="UPS385" s="102"/>
      <c r="UPT385" s="102"/>
      <c r="UPU385" s="102"/>
      <c r="UPV385" s="102"/>
      <c r="UPW385" s="102"/>
      <c r="UPX385" s="102"/>
      <c r="UPY385" s="102"/>
      <c r="UPZ385" s="102"/>
      <c r="UQA385" s="102"/>
      <c r="UQB385" s="102"/>
      <c r="UQC385" s="102"/>
      <c r="UQD385" s="102"/>
      <c r="UQE385" s="102"/>
      <c r="UQF385" s="102"/>
      <c r="UQG385" s="102"/>
      <c r="UQH385" s="102"/>
      <c r="UQI385" s="102"/>
      <c r="UQJ385" s="102"/>
      <c r="UQK385" s="102"/>
      <c r="UQL385" s="102"/>
      <c r="UQM385" s="102"/>
      <c r="UQN385" s="102"/>
      <c r="UQO385" s="102"/>
      <c r="UQP385" s="102"/>
      <c r="UQQ385" s="102"/>
      <c r="UQR385" s="102"/>
      <c r="UQS385" s="102"/>
      <c r="UQT385" s="102"/>
      <c r="UQU385" s="102"/>
      <c r="UQV385" s="102"/>
      <c r="UQW385" s="102"/>
      <c r="UQX385" s="102"/>
      <c r="UQY385" s="102"/>
      <c r="UQZ385" s="102"/>
      <c r="URA385" s="102"/>
      <c r="URB385" s="102"/>
      <c r="URC385" s="102"/>
      <c r="URD385" s="102"/>
      <c r="URE385" s="102"/>
      <c r="URF385" s="102"/>
      <c r="URG385" s="102"/>
      <c r="URH385" s="102"/>
      <c r="URI385" s="102"/>
      <c r="URJ385" s="102"/>
      <c r="URK385" s="102"/>
      <c r="URL385" s="102"/>
      <c r="URM385" s="102"/>
      <c r="URN385" s="102"/>
      <c r="URO385" s="102"/>
      <c r="URP385" s="102"/>
      <c r="URQ385" s="102"/>
      <c r="URR385" s="102"/>
      <c r="URS385" s="102"/>
      <c r="URT385" s="102"/>
      <c r="URU385" s="102"/>
      <c r="URV385" s="102"/>
      <c r="URW385" s="102"/>
      <c r="URX385" s="102"/>
      <c r="URY385" s="102"/>
      <c r="URZ385" s="102"/>
      <c r="USA385" s="102"/>
      <c r="USB385" s="102"/>
      <c r="USC385" s="102"/>
      <c r="USD385" s="102"/>
      <c r="USE385" s="102"/>
      <c r="USF385" s="102"/>
      <c r="USG385" s="102"/>
      <c r="USH385" s="102"/>
      <c r="USI385" s="102"/>
      <c r="USJ385" s="102"/>
      <c r="USK385" s="102"/>
      <c r="USL385" s="102"/>
      <c r="USM385" s="102"/>
      <c r="USN385" s="102"/>
      <c r="USO385" s="102"/>
      <c r="USP385" s="102"/>
      <c r="USQ385" s="102"/>
      <c r="USR385" s="102"/>
      <c r="USS385" s="102"/>
      <c r="UST385" s="102"/>
      <c r="USU385" s="102"/>
      <c r="USV385" s="102"/>
      <c r="USW385" s="102"/>
      <c r="USX385" s="102"/>
      <c r="USY385" s="102"/>
      <c r="USZ385" s="102"/>
      <c r="UTA385" s="102"/>
      <c r="UTB385" s="102"/>
      <c r="UTC385" s="102"/>
      <c r="UTD385" s="102"/>
      <c r="UTE385" s="102"/>
      <c r="UTF385" s="102"/>
      <c r="UTG385" s="102"/>
      <c r="UTH385" s="102"/>
      <c r="UTI385" s="102"/>
      <c r="UTJ385" s="102"/>
      <c r="UTK385" s="102"/>
      <c r="UTL385" s="102"/>
      <c r="UTM385" s="102"/>
      <c r="UTN385" s="102"/>
      <c r="UTO385" s="102"/>
      <c r="UTP385" s="102"/>
      <c r="UTQ385" s="102"/>
      <c r="UTR385" s="102"/>
      <c r="UTS385" s="102"/>
      <c r="UTT385" s="102"/>
      <c r="UTU385" s="102"/>
      <c r="UTV385" s="102"/>
      <c r="UTW385" s="102"/>
      <c r="UTX385" s="102"/>
      <c r="UTY385" s="102"/>
      <c r="UTZ385" s="102"/>
      <c r="UUA385" s="102"/>
      <c r="UUB385" s="102"/>
      <c r="UUC385" s="102"/>
      <c r="UUD385" s="102"/>
      <c r="UUE385" s="102"/>
      <c r="UUF385" s="102"/>
      <c r="UUG385" s="102"/>
      <c r="UUH385" s="102"/>
      <c r="UUI385" s="102"/>
      <c r="UUJ385" s="102"/>
      <c r="UUK385" s="102"/>
      <c r="UUL385" s="102"/>
      <c r="UUM385" s="102"/>
      <c r="UUN385" s="102"/>
      <c r="UUO385" s="102"/>
      <c r="UUP385" s="102"/>
      <c r="UUQ385" s="102"/>
      <c r="UUR385" s="102"/>
      <c r="UUS385" s="102"/>
      <c r="UUT385" s="102"/>
      <c r="UUU385" s="102"/>
      <c r="UUV385" s="102"/>
      <c r="UUW385" s="102"/>
      <c r="UUX385" s="102"/>
      <c r="UUY385" s="102"/>
      <c r="UUZ385" s="102"/>
      <c r="UVA385" s="102"/>
      <c r="UVB385" s="102"/>
      <c r="UVC385" s="102"/>
      <c r="UVD385" s="102"/>
      <c r="UVE385" s="102"/>
      <c r="UVF385" s="102"/>
      <c r="UVG385" s="102"/>
      <c r="UVH385" s="102"/>
      <c r="UVI385" s="102"/>
      <c r="UVJ385" s="102"/>
      <c r="UVK385" s="102"/>
      <c r="UVL385" s="102"/>
      <c r="UVM385" s="102"/>
      <c r="UVN385" s="102"/>
      <c r="UVO385" s="102"/>
      <c r="UVP385" s="102"/>
      <c r="UVQ385" s="102"/>
      <c r="UVR385" s="102"/>
      <c r="UVS385" s="102"/>
      <c r="UVT385" s="102"/>
      <c r="UVU385" s="102"/>
      <c r="UVV385" s="102"/>
      <c r="UVW385" s="102"/>
      <c r="UVX385" s="102"/>
      <c r="UVY385" s="102"/>
      <c r="UVZ385" s="102"/>
      <c r="UWA385" s="102"/>
      <c r="UWB385" s="102"/>
      <c r="UWC385" s="102"/>
      <c r="UWD385" s="102"/>
      <c r="UWE385" s="102"/>
      <c r="UWF385" s="102"/>
      <c r="UWG385" s="102"/>
      <c r="UWH385" s="102"/>
      <c r="UWI385" s="102"/>
      <c r="UWJ385" s="102"/>
      <c r="UWK385" s="102"/>
      <c r="UWL385" s="102"/>
      <c r="UWM385" s="102"/>
      <c r="UWN385" s="102"/>
      <c r="UWO385" s="102"/>
      <c r="UWP385" s="102"/>
      <c r="UWQ385" s="102"/>
      <c r="UWR385" s="102"/>
      <c r="UWS385" s="102"/>
      <c r="UWT385" s="102"/>
      <c r="UWU385" s="102"/>
      <c r="UWV385" s="102"/>
      <c r="UWW385" s="102"/>
      <c r="UWX385" s="102"/>
      <c r="UWY385" s="102"/>
      <c r="UWZ385" s="102"/>
      <c r="UXA385" s="102"/>
      <c r="UXB385" s="102"/>
      <c r="UXC385" s="102"/>
      <c r="UXD385" s="102"/>
      <c r="UXE385" s="102"/>
      <c r="UXF385" s="102"/>
      <c r="UXG385" s="102"/>
      <c r="UXH385" s="102"/>
      <c r="UXI385" s="102"/>
      <c r="UXJ385" s="102"/>
      <c r="UXK385" s="102"/>
      <c r="UXL385" s="102"/>
      <c r="UXM385" s="102"/>
      <c r="UXN385" s="102"/>
      <c r="UXO385" s="102"/>
      <c r="UXP385" s="102"/>
      <c r="UXQ385" s="102"/>
      <c r="UXR385" s="102"/>
      <c r="UXS385" s="102"/>
      <c r="UXT385" s="102"/>
      <c r="UXU385" s="102"/>
      <c r="UXV385" s="102"/>
      <c r="UXW385" s="102"/>
      <c r="UXX385" s="102"/>
      <c r="UXY385" s="102"/>
      <c r="UXZ385" s="102"/>
      <c r="UYA385" s="102"/>
      <c r="UYB385" s="102"/>
      <c r="UYC385" s="102"/>
      <c r="UYD385" s="102"/>
      <c r="UYE385" s="102"/>
      <c r="UYF385" s="102"/>
      <c r="UYG385" s="102"/>
      <c r="UYH385" s="102"/>
      <c r="UYI385" s="102"/>
      <c r="UYJ385" s="102"/>
      <c r="UYK385" s="102"/>
      <c r="UYL385" s="102"/>
      <c r="UYM385" s="102"/>
      <c r="UYN385" s="102"/>
      <c r="UYO385" s="102"/>
      <c r="UYP385" s="102"/>
      <c r="UYQ385" s="102"/>
      <c r="UYR385" s="102"/>
      <c r="UYS385" s="102"/>
      <c r="UYT385" s="102"/>
      <c r="UYU385" s="102"/>
      <c r="UYV385" s="102"/>
      <c r="UYW385" s="102"/>
      <c r="UYX385" s="102"/>
      <c r="UYY385" s="102"/>
      <c r="UYZ385" s="102"/>
      <c r="UZA385" s="102"/>
      <c r="UZB385" s="102"/>
      <c r="UZC385" s="102"/>
      <c r="UZD385" s="102"/>
      <c r="UZE385" s="102"/>
      <c r="UZF385" s="102"/>
      <c r="UZG385" s="102"/>
      <c r="UZH385" s="102"/>
      <c r="UZI385" s="102"/>
      <c r="UZJ385" s="102"/>
      <c r="UZK385" s="102"/>
      <c r="UZL385" s="102"/>
      <c r="UZM385" s="102"/>
      <c r="UZN385" s="102"/>
      <c r="UZO385" s="102"/>
      <c r="UZP385" s="102"/>
      <c r="UZQ385" s="102"/>
      <c r="UZR385" s="102"/>
      <c r="UZS385" s="102"/>
      <c r="UZT385" s="102"/>
      <c r="UZU385" s="102"/>
      <c r="UZV385" s="102"/>
      <c r="UZW385" s="102"/>
      <c r="UZX385" s="102"/>
      <c r="UZY385" s="102"/>
      <c r="UZZ385" s="102"/>
      <c r="VAA385" s="102"/>
      <c r="VAB385" s="102"/>
      <c r="VAC385" s="102"/>
      <c r="VAD385" s="102"/>
      <c r="VAE385" s="102"/>
      <c r="VAF385" s="102"/>
      <c r="VAG385" s="102"/>
      <c r="VAH385" s="102"/>
      <c r="VAI385" s="102"/>
      <c r="VAJ385" s="102"/>
      <c r="VAK385" s="102"/>
      <c r="VAL385" s="102"/>
      <c r="VAM385" s="102"/>
      <c r="VAN385" s="102"/>
      <c r="VAO385" s="102"/>
      <c r="VAP385" s="102"/>
      <c r="VAQ385" s="102"/>
      <c r="VAR385" s="102"/>
      <c r="VAS385" s="102"/>
      <c r="VAT385" s="102"/>
      <c r="VAU385" s="102"/>
      <c r="VAV385" s="102"/>
      <c r="VAW385" s="102"/>
      <c r="VAX385" s="102"/>
      <c r="VAY385" s="102"/>
      <c r="VAZ385" s="102"/>
      <c r="VBA385" s="102"/>
      <c r="VBB385" s="102"/>
      <c r="VBC385" s="102"/>
      <c r="VBD385" s="102"/>
      <c r="VBE385" s="102"/>
      <c r="VBF385" s="102"/>
      <c r="VBG385" s="102"/>
      <c r="VBH385" s="102"/>
      <c r="VBI385" s="102"/>
      <c r="VBJ385" s="102"/>
      <c r="VBK385" s="102"/>
      <c r="VBL385" s="102"/>
      <c r="VBM385" s="102"/>
      <c r="VBN385" s="102"/>
      <c r="VBO385" s="102"/>
      <c r="VBP385" s="102"/>
      <c r="VBQ385" s="102"/>
      <c r="VBR385" s="102"/>
      <c r="VBS385" s="102"/>
      <c r="VBT385" s="102"/>
      <c r="VBU385" s="102"/>
      <c r="VBV385" s="102"/>
      <c r="VBW385" s="102"/>
      <c r="VBX385" s="102"/>
      <c r="VBY385" s="102"/>
      <c r="VBZ385" s="102"/>
      <c r="VCA385" s="102"/>
      <c r="VCB385" s="102"/>
      <c r="VCC385" s="102"/>
      <c r="VCD385" s="102"/>
      <c r="VCE385" s="102"/>
      <c r="VCF385" s="102"/>
      <c r="VCG385" s="102"/>
      <c r="VCH385" s="102"/>
      <c r="VCI385" s="102"/>
      <c r="VCJ385" s="102"/>
      <c r="VCK385" s="102"/>
      <c r="VCL385" s="102"/>
      <c r="VCM385" s="102"/>
      <c r="VCN385" s="102"/>
      <c r="VCO385" s="102"/>
      <c r="VCP385" s="102"/>
      <c r="VCQ385" s="102"/>
      <c r="VCR385" s="102"/>
      <c r="VCS385" s="102"/>
      <c r="VCT385" s="102"/>
      <c r="VCU385" s="102"/>
      <c r="VCV385" s="102"/>
      <c r="VCW385" s="102"/>
      <c r="VCX385" s="102"/>
      <c r="VCY385" s="102"/>
      <c r="VCZ385" s="102"/>
      <c r="VDA385" s="102"/>
      <c r="VDB385" s="102"/>
      <c r="VDC385" s="102"/>
      <c r="VDD385" s="102"/>
      <c r="VDE385" s="102"/>
      <c r="VDF385" s="102"/>
      <c r="VDG385" s="102"/>
      <c r="VDH385" s="102"/>
      <c r="VDI385" s="102"/>
      <c r="VDJ385" s="102"/>
      <c r="VDK385" s="102"/>
      <c r="VDL385" s="102"/>
      <c r="VDM385" s="102"/>
      <c r="VDN385" s="102"/>
      <c r="VDO385" s="102"/>
      <c r="VDP385" s="102"/>
      <c r="VDQ385" s="102"/>
      <c r="VDR385" s="102"/>
      <c r="VDS385" s="102"/>
      <c r="VDT385" s="102"/>
      <c r="VDU385" s="102"/>
      <c r="VDV385" s="102"/>
      <c r="VDW385" s="102"/>
      <c r="VDX385" s="102"/>
      <c r="VDY385" s="102"/>
      <c r="VDZ385" s="102"/>
      <c r="VEA385" s="102"/>
      <c r="VEB385" s="102"/>
      <c r="VEC385" s="102"/>
      <c r="VED385" s="102"/>
      <c r="VEE385" s="102"/>
      <c r="VEF385" s="102"/>
      <c r="VEG385" s="102"/>
      <c r="VEH385" s="102"/>
      <c r="VEI385" s="102"/>
      <c r="VEJ385" s="102"/>
      <c r="VEK385" s="102"/>
      <c r="VEL385" s="102"/>
      <c r="VEM385" s="102"/>
      <c r="VEN385" s="102"/>
      <c r="VEO385" s="102"/>
      <c r="VEP385" s="102"/>
      <c r="VEQ385" s="102"/>
      <c r="VER385" s="102"/>
      <c r="VES385" s="102"/>
      <c r="VET385" s="102"/>
      <c r="VEU385" s="102"/>
      <c r="VEV385" s="102"/>
      <c r="VEW385" s="102"/>
      <c r="VEX385" s="102"/>
      <c r="VEY385" s="102"/>
      <c r="VEZ385" s="102"/>
      <c r="VFA385" s="102"/>
      <c r="VFB385" s="102"/>
      <c r="VFC385" s="102"/>
      <c r="VFD385" s="102"/>
      <c r="VFE385" s="102"/>
      <c r="VFF385" s="102"/>
      <c r="VFG385" s="102"/>
      <c r="VFH385" s="102"/>
      <c r="VFI385" s="102"/>
      <c r="VFJ385" s="102"/>
      <c r="VFK385" s="102"/>
      <c r="VFL385" s="102"/>
      <c r="VFM385" s="102"/>
      <c r="VFN385" s="102"/>
      <c r="VFO385" s="102"/>
      <c r="VFP385" s="102"/>
      <c r="VFQ385" s="102"/>
      <c r="VFR385" s="102"/>
      <c r="VFS385" s="102"/>
      <c r="VFT385" s="102"/>
      <c r="VFU385" s="102"/>
      <c r="VFV385" s="102"/>
      <c r="VFW385" s="102"/>
      <c r="VFX385" s="102"/>
      <c r="VFY385" s="102"/>
      <c r="VFZ385" s="102"/>
      <c r="VGA385" s="102"/>
      <c r="VGB385" s="102"/>
      <c r="VGC385" s="102"/>
      <c r="VGD385" s="102"/>
      <c r="VGE385" s="102"/>
      <c r="VGF385" s="102"/>
      <c r="VGG385" s="102"/>
      <c r="VGH385" s="102"/>
      <c r="VGI385" s="102"/>
      <c r="VGJ385" s="102"/>
      <c r="VGK385" s="102"/>
      <c r="VGL385" s="102"/>
      <c r="VGM385" s="102"/>
      <c r="VGN385" s="102"/>
      <c r="VGO385" s="102"/>
      <c r="VGP385" s="102"/>
      <c r="VGQ385" s="102"/>
      <c r="VGR385" s="102"/>
      <c r="VGS385" s="102"/>
      <c r="VGT385" s="102"/>
      <c r="VGU385" s="102"/>
      <c r="VGV385" s="102"/>
      <c r="VGW385" s="102"/>
      <c r="VGX385" s="102"/>
      <c r="VGY385" s="102"/>
      <c r="VGZ385" s="102"/>
      <c r="VHA385" s="102"/>
      <c r="VHB385" s="102"/>
      <c r="VHC385" s="102"/>
      <c r="VHD385" s="102"/>
      <c r="VHE385" s="102"/>
      <c r="VHF385" s="102"/>
      <c r="VHG385" s="102"/>
      <c r="VHH385" s="102"/>
      <c r="VHI385" s="102"/>
      <c r="VHJ385" s="102"/>
      <c r="VHK385" s="102"/>
      <c r="VHL385" s="102"/>
      <c r="VHM385" s="102"/>
      <c r="VHN385" s="102"/>
      <c r="VHO385" s="102"/>
      <c r="VHP385" s="102"/>
      <c r="VHQ385" s="102"/>
      <c r="VHR385" s="102"/>
      <c r="VHS385" s="102"/>
      <c r="VHT385" s="102"/>
      <c r="VHU385" s="102"/>
      <c r="VHV385" s="102"/>
      <c r="VHW385" s="102"/>
      <c r="VHX385" s="102"/>
      <c r="VHY385" s="102"/>
      <c r="VHZ385" s="102"/>
      <c r="VIA385" s="102"/>
      <c r="VIB385" s="102"/>
      <c r="VIC385" s="102"/>
      <c r="VID385" s="102"/>
      <c r="VIE385" s="102"/>
      <c r="VIF385" s="102"/>
      <c r="VIG385" s="102"/>
      <c r="VIH385" s="102"/>
      <c r="VII385" s="102"/>
      <c r="VIJ385" s="102"/>
      <c r="VIK385" s="102"/>
      <c r="VIL385" s="102"/>
      <c r="VIM385" s="102"/>
      <c r="VIN385" s="102"/>
      <c r="VIO385" s="102"/>
      <c r="VIP385" s="102"/>
      <c r="VIQ385" s="102"/>
      <c r="VIR385" s="102"/>
      <c r="VIS385" s="102"/>
      <c r="VIT385" s="102"/>
      <c r="VIU385" s="102"/>
      <c r="VIV385" s="102"/>
      <c r="VIW385" s="102"/>
      <c r="VIX385" s="102"/>
      <c r="VIY385" s="102"/>
      <c r="VIZ385" s="102"/>
      <c r="VJA385" s="102"/>
      <c r="VJB385" s="102"/>
      <c r="VJC385" s="102"/>
      <c r="VJD385" s="102"/>
      <c r="VJE385" s="102"/>
      <c r="VJF385" s="102"/>
      <c r="VJG385" s="102"/>
      <c r="VJH385" s="102"/>
      <c r="VJI385" s="102"/>
      <c r="VJJ385" s="102"/>
      <c r="VJK385" s="102"/>
      <c r="VJL385" s="102"/>
      <c r="VJM385" s="102"/>
      <c r="VJN385" s="102"/>
      <c r="VJO385" s="102"/>
      <c r="VJP385" s="102"/>
      <c r="VJQ385" s="102"/>
      <c r="VJR385" s="102"/>
      <c r="VJS385" s="102"/>
      <c r="VJT385" s="102"/>
      <c r="VJU385" s="102"/>
      <c r="VJV385" s="102"/>
      <c r="VJW385" s="102"/>
      <c r="VJX385" s="102"/>
      <c r="VJY385" s="102"/>
      <c r="VJZ385" s="102"/>
      <c r="VKA385" s="102"/>
      <c r="VKB385" s="102"/>
      <c r="VKC385" s="102"/>
      <c r="VKD385" s="102"/>
      <c r="VKE385" s="102"/>
      <c r="VKF385" s="102"/>
      <c r="VKG385" s="102"/>
      <c r="VKH385" s="102"/>
      <c r="VKI385" s="102"/>
      <c r="VKJ385" s="102"/>
      <c r="VKK385" s="102"/>
      <c r="VKL385" s="102"/>
      <c r="VKM385" s="102"/>
      <c r="VKN385" s="102"/>
      <c r="VKO385" s="102"/>
      <c r="VKP385" s="102"/>
      <c r="VKQ385" s="102"/>
      <c r="VKR385" s="102"/>
      <c r="VKS385" s="102"/>
      <c r="VKT385" s="102"/>
      <c r="VKU385" s="102"/>
      <c r="VKV385" s="102"/>
      <c r="VKW385" s="102"/>
      <c r="VKX385" s="102"/>
      <c r="VKY385" s="102"/>
      <c r="VKZ385" s="102"/>
      <c r="VLA385" s="102"/>
      <c r="VLB385" s="102"/>
      <c r="VLC385" s="102"/>
      <c r="VLD385" s="102"/>
      <c r="VLE385" s="102"/>
      <c r="VLF385" s="102"/>
      <c r="VLG385" s="102"/>
      <c r="VLH385" s="102"/>
      <c r="VLI385" s="102"/>
      <c r="VLJ385" s="102"/>
      <c r="VLK385" s="102"/>
      <c r="VLL385" s="102"/>
      <c r="VLM385" s="102"/>
      <c r="VLN385" s="102"/>
      <c r="VLO385" s="102"/>
      <c r="VLP385" s="102"/>
      <c r="VLQ385" s="102"/>
      <c r="VLR385" s="102"/>
      <c r="VLS385" s="102"/>
      <c r="VLT385" s="102"/>
      <c r="VLU385" s="102"/>
      <c r="VLV385" s="102"/>
      <c r="VLW385" s="102"/>
      <c r="VLX385" s="102"/>
      <c r="VLY385" s="102"/>
      <c r="VLZ385" s="102"/>
      <c r="VMA385" s="102"/>
      <c r="VMB385" s="102"/>
      <c r="VMC385" s="102"/>
      <c r="VMD385" s="102"/>
      <c r="VME385" s="102"/>
      <c r="VMF385" s="102"/>
      <c r="VMG385" s="102"/>
      <c r="VMH385" s="102"/>
      <c r="VMI385" s="102"/>
      <c r="VMJ385" s="102"/>
      <c r="VMK385" s="102"/>
      <c r="VML385" s="102"/>
      <c r="VMM385" s="102"/>
      <c r="VMN385" s="102"/>
      <c r="VMO385" s="102"/>
      <c r="VMP385" s="102"/>
      <c r="VMQ385" s="102"/>
      <c r="VMR385" s="102"/>
      <c r="VMS385" s="102"/>
      <c r="VMT385" s="102"/>
      <c r="VMU385" s="102"/>
      <c r="VMV385" s="102"/>
      <c r="VMW385" s="102"/>
      <c r="VMX385" s="102"/>
      <c r="VMY385" s="102"/>
      <c r="VMZ385" s="102"/>
      <c r="VNA385" s="102"/>
      <c r="VNB385" s="102"/>
      <c r="VNC385" s="102"/>
      <c r="VND385" s="102"/>
      <c r="VNE385" s="102"/>
      <c r="VNF385" s="102"/>
      <c r="VNG385" s="102"/>
      <c r="VNH385" s="102"/>
      <c r="VNI385" s="102"/>
      <c r="VNJ385" s="102"/>
      <c r="VNK385" s="102"/>
      <c r="VNL385" s="102"/>
      <c r="VNM385" s="102"/>
      <c r="VNN385" s="102"/>
      <c r="VNO385" s="102"/>
      <c r="VNP385" s="102"/>
      <c r="VNQ385" s="102"/>
      <c r="VNR385" s="102"/>
      <c r="VNS385" s="102"/>
      <c r="VNT385" s="102"/>
      <c r="VNU385" s="102"/>
      <c r="VNV385" s="102"/>
      <c r="VNW385" s="102"/>
      <c r="VNX385" s="102"/>
      <c r="VNY385" s="102"/>
      <c r="VNZ385" s="102"/>
      <c r="VOA385" s="102"/>
      <c r="VOB385" s="102"/>
      <c r="VOC385" s="102"/>
      <c r="VOD385" s="102"/>
      <c r="VOE385" s="102"/>
      <c r="VOF385" s="102"/>
      <c r="VOG385" s="102"/>
      <c r="VOH385" s="102"/>
      <c r="VOI385" s="102"/>
      <c r="VOJ385" s="102"/>
      <c r="VOK385" s="102"/>
      <c r="VOL385" s="102"/>
      <c r="VOM385" s="102"/>
      <c r="VON385" s="102"/>
      <c r="VOO385" s="102"/>
      <c r="VOP385" s="102"/>
      <c r="VOQ385" s="102"/>
      <c r="VOR385" s="102"/>
      <c r="VOS385" s="102"/>
      <c r="VOT385" s="102"/>
      <c r="VOU385" s="102"/>
      <c r="VOV385" s="102"/>
      <c r="VOW385" s="102"/>
      <c r="VOX385" s="102"/>
      <c r="VOY385" s="102"/>
      <c r="VOZ385" s="102"/>
      <c r="VPA385" s="102"/>
      <c r="VPB385" s="102"/>
      <c r="VPC385" s="102"/>
      <c r="VPD385" s="102"/>
      <c r="VPE385" s="102"/>
      <c r="VPF385" s="102"/>
      <c r="VPG385" s="102"/>
      <c r="VPH385" s="102"/>
      <c r="VPI385" s="102"/>
      <c r="VPJ385" s="102"/>
      <c r="VPK385" s="102"/>
      <c r="VPL385" s="102"/>
      <c r="VPM385" s="102"/>
      <c r="VPN385" s="102"/>
      <c r="VPO385" s="102"/>
      <c r="VPP385" s="102"/>
      <c r="VPQ385" s="102"/>
      <c r="VPR385" s="102"/>
      <c r="VPS385" s="102"/>
      <c r="VPT385" s="102"/>
      <c r="VPU385" s="102"/>
      <c r="VPV385" s="102"/>
      <c r="VPW385" s="102"/>
      <c r="VPX385" s="102"/>
      <c r="VPY385" s="102"/>
      <c r="VPZ385" s="102"/>
      <c r="VQA385" s="102"/>
      <c r="VQB385" s="102"/>
      <c r="VQC385" s="102"/>
      <c r="VQD385" s="102"/>
      <c r="VQE385" s="102"/>
      <c r="VQF385" s="102"/>
      <c r="VQG385" s="102"/>
      <c r="VQH385" s="102"/>
      <c r="VQI385" s="102"/>
      <c r="VQJ385" s="102"/>
      <c r="VQK385" s="102"/>
      <c r="VQL385" s="102"/>
      <c r="VQM385" s="102"/>
      <c r="VQN385" s="102"/>
      <c r="VQO385" s="102"/>
      <c r="VQP385" s="102"/>
      <c r="VQQ385" s="102"/>
      <c r="VQR385" s="102"/>
      <c r="VQS385" s="102"/>
      <c r="VQT385" s="102"/>
      <c r="VQU385" s="102"/>
      <c r="VQV385" s="102"/>
      <c r="VQW385" s="102"/>
      <c r="VQX385" s="102"/>
      <c r="VQY385" s="102"/>
      <c r="VQZ385" s="102"/>
      <c r="VRA385" s="102"/>
      <c r="VRB385" s="102"/>
      <c r="VRC385" s="102"/>
      <c r="VRD385" s="102"/>
      <c r="VRE385" s="102"/>
      <c r="VRF385" s="102"/>
      <c r="VRG385" s="102"/>
      <c r="VRH385" s="102"/>
      <c r="VRI385" s="102"/>
      <c r="VRJ385" s="102"/>
      <c r="VRK385" s="102"/>
      <c r="VRL385" s="102"/>
      <c r="VRM385" s="102"/>
      <c r="VRN385" s="102"/>
      <c r="VRO385" s="102"/>
      <c r="VRP385" s="102"/>
      <c r="VRQ385" s="102"/>
      <c r="VRR385" s="102"/>
      <c r="VRS385" s="102"/>
      <c r="VRT385" s="102"/>
      <c r="VRU385" s="102"/>
      <c r="VRV385" s="102"/>
      <c r="VRW385" s="102"/>
      <c r="VRX385" s="102"/>
      <c r="VRY385" s="102"/>
      <c r="VRZ385" s="102"/>
      <c r="VSA385" s="102"/>
      <c r="VSB385" s="102"/>
      <c r="VSC385" s="102"/>
      <c r="VSD385" s="102"/>
      <c r="VSE385" s="102"/>
      <c r="VSF385" s="102"/>
      <c r="VSG385" s="102"/>
      <c r="VSH385" s="102"/>
      <c r="VSI385" s="102"/>
      <c r="VSJ385" s="102"/>
      <c r="VSK385" s="102"/>
      <c r="VSL385" s="102"/>
      <c r="VSM385" s="102"/>
      <c r="VSN385" s="102"/>
      <c r="VSO385" s="102"/>
      <c r="VSP385" s="102"/>
      <c r="VSQ385" s="102"/>
      <c r="VSR385" s="102"/>
      <c r="VSS385" s="102"/>
      <c r="VST385" s="102"/>
      <c r="VSU385" s="102"/>
      <c r="VSV385" s="102"/>
      <c r="VSW385" s="102"/>
      <c r="VSX385" s="102"/>
      <c r="VSY385" s="102"/>
      <c r="VSZ385" s="102"/>
      <c r="VTA385" s="102"/>
      <c r="VTB385" s="102"/>
      <c r="VTC385" s="102"/>
      <c r="VTD385" s="102"/>
      <c r="VTE385" s="102"/>
      <c r="VTF385" s="102"/>
      <c r="VTG385" s="102"/>
      <c r="VTH385" s="102"/>
      <c r="VTI385" s="102"/>
      <c r="VTJ385" s="102"/>
      <c r="VTK385" s="102"/>
      <c r="VTL385" s="102"/>
      <c r="VTM385" s="102"/>
      <c r="VTN385" s="102"/>
      <c r="VTO385" s="102"/>
      <c r="VTP385" s="102"/>
      <c r="VTQ385" s="102"/>
      <c r="VTR385" s="102"/>
      <c r="VTS385" s="102"/>
      <c r="VTT385" s="102"/>
      <c r="VTU385" s="102"/>
      <c r="VTV385" s="102"/>
      <c r="VTW385" s="102"/>
      <c r="VTX385" s="102"/>
      <c r="VTY385" s="102"/>
      <c r="VTZ385" s="102"/>
      <c r="VUA385" s="102"/>
      <c r="VUB385" s="102"/>
      <c r="VUC385" s="102"/>
      <c r="VUD385" s="102"/>
      <c r="VUE385" s="102"/>
      <c r="VUF385" s="102"/>
      <c r="VUG385" s="102"/>
      <c r="VUH385" s="102"/>
      <c r="VUI385" s="102"/>
      <c r="VUJ385" s="102"/>
      <c r="VUK385" s="102"/>
      <c r="VUL385" s="102"/>
      <c r="VUM385" s="102"/>
      <c r="VUN385" s="102"/>
      <c r="VUO385" s="102"/>
      <c r="VUP385" s="102"/>
      <c r="VUQ385" s="102"/>
      <c r="VUR385" s="102"/>
      <c r="VUS385" s="102"/>
      <c r="VUT385" s="102"/>
      <c r="VUU385" s="102"/>
      <c r="VUV385" s="102"/>
      <c r="VUW385" s="102"/>
      <c r="VUX385" s="102"/>
      <c r="VUY385" s="102"/>
      <c r="VUZ385" s="102"/>
      <c r="VVA385" s="102"/>
      <c r="VVB385" s="102"/>
      <c r="VVC385" s="102"/>
      <c r="VVD385" s="102"/>
      <c r="VVE385" s="102"/>
      <c r="VVF385" s="102"/>
      <c r="VVG385" s="102"/>
      <c r="VVH385" s="102"/>
      <c r="VVI385" s="102"/>
      <c r="VVJ385" s="102"/>
      <c r="VVK385" s="102"/>
      <c r="VVL385" s="102"/>
      <c r="VVM385" s="102"/>
      <c r="VVN385" s="102"/>
      <c r="VVO385" s="102"/>
      <c r="VVP385" s="102"/>
      <c r="VVQ385" s="102"/>
      <c r="VVR385" s="102"/>
      <c r="VVS385" s="102"/>
      <c r="VVT385" s="102"/>
      <c r="VVU385" s="102"/>
      <c r="VVV385" s="102"/>
      <c r="VVW385" s="102"/>
      <c r="VVX385" s="102"/>
      <c r="VVY385" s="102"/>
      <c r="VVZ385" s="102"/>
      <c r="VWA385" s="102"/>
      <c r="VWB385" s="102"/>
      <c r="VWC385" s="102"/>
      <c r="VWD385" s="102"/>
      <c r="VWE385" s="102"/>
      <c r="VWF385" s="102"/>
      <c r="VWG385" s="102"/>
      <c r="VWH385" s="102"/>
      <c r="VWI385" s="102"/>
      <c r="VWJ385" s="102"/>
      <c r="VWK385" s="102"/>
      <c r="VWL385" s="102"/>
      <c r="VWM385" s="102"/>
      <c r="VWN385" s="102"/>
      <c r="VWO385" s="102"/>
      <c r="VWP385" s="102"/>
      <c r="VWQ385" s="102"/>
      <c r="VWR385" s="102"/>
      <c r="VWS385" s="102"/>
      <c r="VWT385" s="102"/>
      <c r="VWU385" s="102"/>
      <c r="VWV385" s="102"/>
      <c r="VWW385" s="102"/>
      <c r="VWX385" s="102"/>
      <c r="VWY385" s="102"/>
      <c r="VWZ385" s="102"/>
      <c r="VXA385" s="102"/>
      <c r="VXB385" s="102"/>
      <c r="VXC385" s="102"/>
      <c r="VXD385" s="102"/>
      <c r="VXE385" s="102"/>
      <c r="VXF385" s="102"/>
      <c r="VXG385" s="102"/>
      <c r="VXH385" s="102"/>
      <c r="VXI385" s="102"/>
      <c r="VXJ385" s="102"/>
      <c r="VXK385" s="102"/>
      <c r="VXL385" s="102"/>
      <c r="VXM385" s="102"/>
      <c r="VXN385" s="102"/>
      <c r="VXO385" s="102"/>
      <c r="VXP385" s="102"/>
      <c r="VXQ385" s="102"/>
      <c r="VXR385" s="102"/>
      <c r="VXS385" s="102"/>
      <c r="VXT385" s="102"/>
      <c r="VXU385" s="102"/>
      <c r="VXV385" s="102"/>
      <c r="VXW385" s="102"/>
      <c r="VXX385" s="102"/>
      <c r="VXY385" s="102"/>
      <c r="VXZ385" s="102"/>
      <c r="VYA385" s="102"/>
      <c r="VYB385" s="102"/>
      <c r="VYC385" s="102"/>
      <c r="VYD385" s="102"/>
      <c r="VYE385" s="102"/>
      <c r="VYF385" s="102"/>
      <c r="VYG385" s="102"/>
      <c r="VYH385" s="102"/>
      <c r="VYI385" s="102"/>
      <c r="VYJ385" s="102"/>
      <c r="VYK385" s="102"/>
      <c r="VYL385" s="102"/>
      <c r="VYM385" s="102"/>
      <c r="VYN385" s="102"/>
      <c r="VYO385" s="102"/>
      <c r="VYP385" s="102"/>
      <c r="VYQ385" s="102"/>
      <c r="VYR385" s="102"/>
      <c r="VYS385" s="102"/>
      <c r="VYT385" s="102"/>
      <c r="VYU385" s="102"/>
      <c r="VYV385" s="102"/>
      <c r="VYW385" s="102"/>
      <c r="VYX385" s="102"/>
      <c r="VYY385" s="102"/>
      <c r="VYZ385" s="102"/>
      <c r="VZA385" s="102"/>
      <c r="VZB385" s="102"/>
      <c r="VZC385" s="102"/>
      <c r="VZD385" s="102"/>
      <c r="VZE385" s="102"/>
      <c r="VZF385" s="102"/>
      <c r="VZG385" s="102"/>
      <c r="VZH385" s="102"/>
      <c r="VZI385" s="102"/>
      <c r="VZJ385" s="102"/>
      <c r="VZK385" s="102"/>
      <c r="VZL385" s="102"/>
      <c r="VZM385" s="102"/>
      <c r="VZN385" s="102"/>
      <c r="VZO385" s="102"/>
      <c r="VZP385" s="102"/>
      <c r="VZQ385" s="102"/>
      <c r="VZR385" s="102"/>
      <c r="VZS385" s="102"/>
      <c r="VZT385" s="102"/>
      <c r="VZU385" s="102"/>
      <c r="VZV385" s="102"/>
      <c r="VZW385" s="102"/>
      <c r="VZX385" s="102"/>
      <c r="VZY385" s="102"/>
      <c r="VZZ385" s="102"/>
      <c r="WAA385" s="102"/>
      <c r="WAB385" s="102"/>
      <c r="WAC385" s="102"/>
      <c r="WAD385" s="102"/>
      <c r="WAE385" s="102"/>
      <c r="WAF385" s="102"/>
      <c r="WAG385" s="102"/>
      <c r="WAH385" s="102"/>
      <c r="WAI385" s="102"/>
      <c r="WAJ385" s="102"/>
      <c r="WAK385" s="102"/>
      <c r="WAL385" s="102"/>
      <c r="WAM385" s="102"/>
      <c r="WAN385" s="102"/>
      <c r="WAO385" s="102"/>
      <c r="WAP385" s="102"/>
      <c r="WAQ385" s="102"/>
      <c r="WAR385" s="102"/>
      <c r="WAS385" s="102"/>
      <c r="WAT385" s="102"/>
      <c r="WAU385" s="102"/>
      <c r="WAV385" s="102"/>
      <c r="WAW385" s="102"/>
      <c r="WAX385" s="102"/>
      <c r="WAY385" s="102"/>
      <c r="WAZ385" s="102"/>
      <c r="WBA385" s="102"/>
      <c r="WBB385" s="102"/>
      <c r="WBC385" s="102"/>
      <c r="WBD385" s="102"/>
      <c r="WBE385" s="102"/>
      <c r="WBF385" s="102"/>
      <c r="WBG385" s="102"/>
      <c r="WBH385" s="102"/>
      <c r="WBI385" s="102"/>
      <c r="WBJ385" s="102"/>
      <c r="WBK385" s="102"/>
      <c r="WBL385" s="102"/>
      <c r="WBM385" s="102"/>
      <c r="WBN385" s="102"/>
      <c r="WBO385" s="102"/>
      <c r="WBP385" s="102"/>
      <c r="WBQ385" s="102"/>
      <c r="WBR385" s="102"/>
      <c r="WBS385" s="102"/>
      <c r="WBT385" s="102"/>
      <c r="WBU385" s="102"/>
      <c r="WBV385" s="102"/>
      <c r="WBW385" s="102"/>
      <c r="WBX385" s="102"/>
      <c r="WBY385" s="102"/>
      <c r="WBZ385" s="102"/>
      <c r="WCA385" s="102"/>
      <c r="WCB385" s="102"/>
      <c r="WCC385" s="102"/>
      <c r="WCD385" s="102"/>
      <c r="WCE385" s="102"/>
      <c r="WCF385" s="102"/>
      <c r="WCG385" s="102"/>
      <c r="WCH385" s="102"/>
      <c r="WCI385" s="102"/>
      <c r="WCJ385" s="102"/>
      <c r="WCK385" s="102"/>
      <c r="WCL385" s="102"/>
      <c r="WCM385" s="102"/>
      <c r="WCN385" s="102"/>
      <c r="WCO385" s="102"/>
      <c r="WCP385" s="102"/>
      <c r="WCQ385" s="102"/>
      <c r="WCR385" s="102"/>
      <c r="WCS385" s="102"/>
      <c r="WCT385" s="102"/>
      <c r="WCU385" s="102"/>
      <c r="WCV385" s="102"/>
      <c r="WCW385" s="102"/>
      <c r="WCX385" s="102"/>
      <c r="WCY385" s="102"/>
      <c r="WCZ385" s="102"/>
      <c r="WDA385" s="102"/>
      <c r="WDB385" s="102"/>
      <c r="WDC385" s="102"/>
      <c r="WDD385" s="102"/>
      <c r="WDE385" s="102"/>
      <c r="WDF385" s="102"/>
      <c r="WDG385" s="102"/>
      <c r="WDH385" s="102"/>
      <c r="WDI385" s="102"/>
      <c r="WDJ385" s="102"/>
      <c r="WDK385" s="102"/>
      <c r="WDL385" s="102"/>
      <c r="WDM385" s="102"/>
      <c r="WDN385" s="102"/>
      <c r="WDO385" s="102"/>
      <c r="WDP385" s="102"/>
      <c r="WDQ385" s="102"/>
      <c r="WDR385" s="102"/>
      <c r="WDS385" s="102"/>
      <c r="WDT385" s="102"/>
      <c r="WDU385" s="102"/>
      <c r="WDV385" s="102"/>
      <c r="WDW385" s="102"/>
      <c r="WDX385" s="102"/>
      <c r="WDY385" s="102"/>
      <c r="WDZ385" s="102"/>
      <c r="WEA385" s="102"/>
      <c r="WEB385" s="102"/>
      <c r="WEC385" s="102"/>
      <c r="WED385" s="102"/>
      <c r="WEE385" s="102"/>
      <c r="WEF385" s="102"/>
      <c r="WEG385" s="102"/>
      <c r="WEH385" s="102"/>
      <c r="WEI385" s="102"/>
      <c r="WEJ385" s="102"/>
      <c r="WEK385" s="102"/>
      <c r="WEL385" s="102"/>
      <c r="WEM385" s="102"/>
      <c r="WEN385" s="102"/>
      <c r="WEO385" s="102"/>
      <c r="WEP385" s="102"/>
      <c r="WEQ385" s="102"/>
      <c r="WER385" s="102"/>
      <c r="WES385" s="102"/>
      <c r="WET385" s="102"/>
      <c r="WEU385" s="102"/>
      <c r="WEV385" s="102"/>
      <c r="WEW385" s="102"/>
      <c r="WEX385" s="102"/>
      <c r="WEY385" s="102"/>
      <c r="WEZ385" s="102"/>
      <c r="WFA385" s="102"/>
      <c r="WFB385" s="102"/>
      <c r="WFC385" s="102"/>
      <c r="WFD385" s="102"/>
      <c r="WFE385" s="102"/>
      <c r="WFF385" s="102"/>
      <c r="WFG385" s="102"/>
      <c r="WFH385" s="102"/>
      <c r="WFI385" s="102"/>
      <c r="WFJ385" s="102"/>
      <c r="WFK385" s="102"/>
      <c r="WFL385" s="102"/>
      <c r="WFM385" s="102"/>
      <c r="WFN385" s="102"/>
      <c r="WFO385" s="102"/>
      <c r="WFP385" s="102"/>
      <c r="WFQ385" s="102"/>
      <c r="WFR385" s="102"/>
      <c r="WFS385" s="102"/>
      <c r="WFT385" s="102"/>
      <c r="WFU385" s="102"/>
      <c r="WFV385" s="102"/>
      <c r="WFW385" s="102"/>
      <c r="WFX385" s="102"/>
      <c r="WFY385" s="102"/>
      <c r="WFZ385" s="102"/>
      <c r="WGA385" s="102"/>
      <c r="WGB385" s="102"/>
      <c r="WGC385" s="102"/>
      <c r="WGD385" s="102"/>
      <c r="WGE385" s="102"/>
      <c r="WGF385" s="102"/>
      <c r="WGG385" s="102"/>
      <c r="WGH385" s="102"/>
      <c r="WGI385" s="102"/>
      <c r="WGJ385" s="102"/>
      <c r="WGK385" s="102"/>
      <c r="WGL385" s="102"/>
      <c r="WGM385" s="102"/>
      <c r="WGN385" s="102"/>
      <c r="WGO385" s="102"/>
      <c r="WGP385" s="102"/>
      <c r="WGQ385" s="102"/>
      <c r="WGR385" s="102"/>
      <c r="WGS385" s="102"/>
      <c r="WGT385" s="102"/>
      <c r="WGU385" s="102"/>
      <c r="WGV385" s="102"/>
      <c r="WGW385" s="102"/>
      <c r="WGX385" s="102"/>
      <c r="WGY385" s="102"/>
      <c r="WGZ385" s="102"/>
      <c r="WHA385" s="102"/>
      <c r="WHB385" s="102"/>
      <c r="WHC385" s="102"/>
      <c r="WHD385" s="102"/>
      <c r="WHE385" s="102"/>
      <c r="WHF385" s="102"/>
      <c r="WHG385" s="102"/>
      <c r="WHH385" s="102"/>
      <c r="WHI385" s="102"/>
      <c r="WHJ385" s="102"/>
      <c r="WHK385" s="102"/>
      <c r="WHL385" s="102"/>
      <c r="WHM385" s="102"/>
      <c r="WHN385" s="102"/>
      <c r="WHO385" s="102"/>
      <c r="WHP385" s="102"/>
      <c r="WHQ385" s="102"/>
      <c r="WHR385" s="102"/>
      <c r="WHS385" s="102"/>
      <c r="WHT385" s="102"/>
      <c r="WHU385" s="102"/>
      <c r="WHV385" s="102"/>
      <c r="WHW385" s="102"/>
      <c r="WHX385" s="102"/>
      <c r="WHY385" s="102"/>
      <c r="WHZ385" s="102"/>
      <c r="WIA385" s="102"/>
      <c r="WIB385" s="102"/>
      <c r="WIC385" s="102"/>
      <c r="WID385" s="102"/>
      <c r="WIE385" s="102"/>
      <c r="WIF385" s="102"/>
      <c r="WIG385" s="102"/>
      <c r="WIH385" s="102"/>
      <c r="WII385" s="102"/>
      <c r="WIJ385" s="102"/>
      <c r="WIK385" s="102"/>
      <c r="WIL385" s="102"/>
      <c r="WIM385" s="102"/>
      <c r="WIN385" s="102"/>
      <c r="WIO385" s="102"/>
      <c r="WIP385" s="102"/>
      <c r="WIQ385" s="102"/>
      <c r="WIR385" s="102"/>
      <c r="WIS385" s="102"/>
      <c r="WIT385" s="102"/>
      <c r="WIU385" s="102"/>
      <c r="WIV385" s="102"/>
      <c r="WIW385" s="102"/>
      <c r="WIX385" s="102"/>
      <c r="WIY385" s="102"/>
      <c r="WIZ385" s="102"/>
      <c r="WJA385" s="102"/>
      <c r="WJB385" s="102"/>
      <c r="WJC385" s="102"/>
      <c r="WJD385" s="102"/>
      <c r="WJE385" s="102"/>
      <c r="WJF385" s="102"/>
      <c r="WJG385" s="102"/>
      <c r="WJH385" s="102"/>
      <c r="WJI385" s="102"/>
      <c r="WJJ385" s="102"/>
      <c r="WJK385" s="102"/>
      <c r="WJL385" s="102"/>
      <c r="WJM385" s="102"/>
      <c r="WJN385" s="102"/>
      <c r="WJO385" s="102"/>
      <c r="WJP385" s="102"/>
      <c r="WJQ385" s="102"/>
      <c r="WJR385" s="102"/>
      <c r="WJS385" s="102"/>
      <c r="WJT385" s="102"/>
      <c r="WJU385" s="102"/>
      <c r="WJV385" s="102"/>
      <c r="WJW385" s="102"/>
      <c r="WJX385" s="102"/>
      <c r="WJY385" s="102"/>
      <c r="WJZ385" s="102"/>
      <c r="WKA385" s="102"/>
      <c r="WKB385" s="102"/>
      <c r="WKC385" s="102"/>
      <c r="WKD385" s="102"/>
      <c r="WKE385" s="102"/>
      <c r="WKF385" s="102"/>
      <c r="WKG385" s="102"/>
      <c r="WKH385" s="102"/>
      <c r="WKI385" s="102"/>
      <c r="WKJ385" s="102"/>
      <c r="WKK385" s="102"/>
      <c r="WKL385" s="102"/>
      <c r="WKM385" s="102"/>
      <c r="WKN385" s="102"/>
      <c r="WKO385" s="102"/>
      <c r="WKP385" s="102"/>
      <c r="WKQ385" s="102"/>
      <c r="WKR385" s="102"/>
      <c r="WKS385" s="102"/>
      <c r="WKT385" s="102"/>
      <c r="WKU385" s="102"/>
      <c r="WKV385" s="102"/>
      <c r="WKW385" s="102"/>
      <c r="WKX385" s="102"/>
      <c r="WKY385" s="102"/>
      <c r="WKZ385" s="102"/>
      <c r="WLA385" s="102"/>
      <c r="WLB385" s="102"/>
      <c r="WLC385" s="102"/>
      <c r="WLD385" s="102"/>
      <c r="WLE385" s="102"/>
      <c r="WLF385" s="102"/>
      <c r="WLG385" s="102"/>
      <c r="WLH385" s="102"/>
      <c r="WLI385" s="102"/>
      <c r="WLJ385" s="102"/>
      <c r="WLK385" s="102"/>
      <c r="WLL385" s="102"/>
      <c r="WLM385" s="102"/>
      <c r="WLN385" s="102"/>
      <c r="WLO385" s="102"/>
      <c r="WLP385" s="102"/>
      <c r="WLQ385" s="102"/>
      <c r="WLR385" s="102"/>
      <c r="WLS385" s="102"/>
      <c r="WLT385" s="102"/>
      <c r="WLU385" s="102"/>
      <c r="WLV385" s="102"/>
      <c r="WLW385" s="102"/>
      <c r="WLX385" s="102"/>
      <c r="WLY385" s="102"/>
      <c r="WLZ385" s="102"/>
      <c r="WMA385" s="102"/>
      <c r="WMB385" s="102"/>
      <c r="WMC385" s="102"/>
      <c r="WMD385" s="102"/>
      <c r="WME385" s="102"/>
      <c r="WMF385" s="102"/>
      <c r="WMG385" s="102"/>
      <c r="WMH385" s="102"/>
      <c r="WMI385" s="102"/>
      <c r="WMJ385" s="102"/>
      <c r="WMK385" s="102"/>
      <c r="WML385" s="102"/>
      <c r="WMM385" s="102"/>
      <c r="WMN385" s="102"/>
      <c r="WMO385" s="102"/>
      <c r="WMP385" s="102"/>
      <c r="WMQ385" s="102"/>
      <c r="WMR385" s="102"/>
      <c r="WMS385" s="102"/>
      <c r="WMT385" s="102"/>
      <c r="WMU385" s="102"/>
      <c r="WMV385" s="102"/>
      <c r="WMW385" s="102"/>
      <c r="WMX385" s="102"/>
      <c r="WMY385" s="102"/>
      <c r="WMZ385" s="102"/>
      <c r="WNA385" s="102"/>
      <c r="WNB385" s="102"/>
      <c r="WNC385" s="102"/>
      <c r="WND385" s="102"/>
      <c r="WNE385" s="102"/>
      <c r="WNF385" s="102"/>
      <c r="WNG385" s="102"/>
      <c r="WNH385" s="102"/>
      <c r="WNI385" s="102"/>
      <c r="WNJ385" s="102"/>
      <c r="WNK385" s="102"/>
      <c r="WNL385" s="102"/>
      <c r="WNM385" s="102"/>
      <c r="WNN385" s="102"/>
      <c r="WNO385" s="102"/>
      <c r="WNP385" s="102"/>
      <c r="WNQ385" s="102"/>
      <c r="WNR385" s="102"/>
      <c r="WNS385" s="102"/>
      <c r="WNT385" s="102"/>
      <c r="WNU385" s="102"/>
      <c r="WNV385" s="102"/>
      <c r="WNW385" s="102"/>
      <c r="WNX385" s="102"/>
      <c r="WNY385" s="102"/>
      <c r="WNZ385" s="102"/>
      <c r="WOA385" s="102"/>
      <c r="WOB385" s="102"/>
      <c r="WOC385" s="102"/>
      <c r="WOD385" s="102"/>
      <c r="WOE385" s="102"/>
      <c r="WOF385" s="102"/>
      <c r="WOG385" s="102"/>
      <c r="WOH385" s="102"/>
      <c r="WOI385" s="102"/>
      <c r="WOJ385" s="102"/>
      <c r="WOK385" s="102"/>
      <c r="WOL385" s="102"/>
      <c r="WOM385" s="102"/>
      <c r="WON385" s="102"/>
      <c r="WOO385" s="102"/>
      <c r="WOP385" s="102"/>
      <c r="WOQ385" s="102"/>
      <c r="WOR385" s="102"/>
      <c r="WOS385" s="102"/>
      <c r="WOT385" s="102"/>
      <c r="WOU385" s="102"/>
      <c r="WOV385" s="102"/>
      <c r="WOW385" s="102"/>
      <c r="WOX385" s="102"/>
      <c r="WOY385" s="102"/>
      <c r="WOZ385" s="102"/>
      <c r="WPA385" s="102"/>
      <c r="WPB385" s="102"/>
      <c r="WPC385" s="102"/>
      <c r="WPD385" s="102"/>
      <c r="WPE385" s="102"/>
      <c r="WPF385" s="102"/>
      <c r="WPG385" s="102"/>
      <c r="WPH385" s="102"/>
      <c r="WPI385" s="102"/>
      <c r="WPJ385" s="102"/>
      <c r="WPK385" s="102"/>
      <c r="WPL385" s="102"/>
      <c r="WPM385" s="102"/>
      <c r="WPN385" s="102"/>
      <c r="WPO385" s="102"/>
      <c r="WPP385" s="102"/>
      <c r="WPQ385" s="102"/>
      <c r="WPR385" s="102"/>
      <c r="WPS385" s="102"/>
      <c r="WPT385" s="102"/>
      <c r="WPU385" s="102"/>
      <c r="WPV385" s="102"/>
      <c r="WPW385" s="102"/>
      <c r="WPX385" s="102"/>
      <c r="WPY385" s="102"/>
      <c r="WPZ385" s="102"/>
      <c r="WQA385" s="102"/>
      <c r="WQB385" s="102"/>
      <c r="WQC385" s="102"/>
      <c r="WQD385" s="102"/>
      <c r="WQE385" s="102"/>
      <c r="WQF385" s="102"/>
      <c r="WQG385" s="102"/>
      <c r="WQH385" s="102"/>
      <c r="WQI385" s="102"/>
      <c r="WQJ385" s="102"/>
      <c r="WQK385" s="102"/>
      <c r="WQL385" s="102"/>
      <c r="WQM385" s="102"/>
      <c r="WQN385" s="102"/>
      <c r="WQO385" s="102"/>
      <c r="WQP385" s="102"/>
      <c r="WQQ385" s="102"/>
      <c r="WQR385" s="102"/>
      <c r="WQS385" s="102"/>
      <c r="WQT385" s="102"/>
      <c r="WQU385" s="102"/>
      <c r="WQV385" s="102"/>
      <c r="WQW385" s="102"/>
      <c r="WQX385" s="102"/>
      <c r="WQY385" s="102"/>
      <c r="WQZ385" s="102"/>
      <c r="WRA385" s="102"/>
      <c r="WRB385" s="102"/>
      <c r="WRC385" s="102"/>
      <c r="WRD385" s="102"/>
      <c r="WRE385" s="102"/>
      <c r="WRF385" s="102"/>
      <c r="WRG385" s="102"/>
      <c r="WRH385" s="102"/>
      <c r="WRI385" s="102"/>
      <c r="WRJ385" s="102"/>
      <c r="WRK385" s="102"/>
      <c r="WRL385" s="102"/>
      <c r="WRM385" s="102"/>
      <c r="WRN385" s="102"/>
      <c r="WRO385" s="102"/>
      <c r="WRP385" s="102"/>
      <c r="WRQ385" s="102"/>
      <c r="WRR385" s="102"/>
      <c r="WRS385" s="102"/>
      <c r="WRT385" s="102"/>
      <c r="WRU385" s="102"/>
      <c r="WRV385" s="102"/>
      <c r="WRW385" s="102"/>
      <c r="WRX385" s="102"/>
      <c r="WRY385" s="102"/>
      <c r="WRZ385" s="102"/>
      <c r="WSA385" s="102"/>
      <c r="WSB385" s="102"/>
      <c r="WSC385" s="102"/>
      <c r="WSD385" s="102"/>
      <c r="WSE385" s="102"/>
      <c r="WSF385" s="102"/>
      <c r="WSG385" s="102"/>
      <c r="WSH385" s="102"/>
      <c r="WSI385" s="102"/>
      <c r="WSJ385" s="102"/>
      <c r="WSK385" s="102"/>
      <c r="WSL385" s="102"/>
      <c r="WSM385" s="102"/>
      <c r="WSN385" s="102"/>
      <c r="WSO385" s="102"/>
      <c r="WSP385" s="102"/>
      <c r="WSQ385" s="102"/>
      <c r="WSR385" s="102"/>
      <c r="WSS385" s="102"/>
      <c r="WST385" s="102"/>
      <c r="WSU385" s="102"/>
      <c r="WSV385" s="102"/>
      <c r="WSW385" s="102"/>
      <c r="WSX385" s="102"/>
      <c r="WSY385" s="102"/>
      <c r="WSZ385" s="102"/>
      <c r="WTA385" s="102"/>
      <c r="WTB385" s="102"/>
      <c r="WTC385" s="102"/>
      <c r="WTD385" s="102"/>
      <c r="WTE385" s="102"/>
      <c r="WTF385" s="102"/>
      <c r="WTG385" s="102"/>
      <c r="WTH385" s="102"/>
      <c r="WTI385" s="102"/>
      <c r="WTJ385" s="102"/>
      <c r="WTK385" s="102"/>
      <c r="WTL385" s="102"/>
      <c r="WTM385" s="102"/>
      <c r="WTN385" s="102"/>
      <c r="WTO385" s="102"/>
      <c r="WTP385" s="102"/>
      <c r="WTQ385" s="102"/>
      <c r="WTR385" s="102"/>
      <c r="WTS385" s="102"/>
      <c r="WTT385" s="102"/>
      <c r="WTU385" s="102"/>
      <c r="WTV385" s="102"/>
      <c r="WTW385" s="102"/>
      <c r="WTX385" s="102"/>
      <c r="WTY385" s="102"/>
      <c r="WTZ385" s="102"/>
      <c r="WUA385" s="102"/>
      <c r="WUB385" s="102"/>
      <c r="WUC385" s="102"/>
      <c r="WUD385" s="102"/>
      <c r="WUE385" s="102"/>
      <c r="WUF385" s="102"/>
      <c r="WUG385" s="102"/>
      <c r="WUH385" s="102"/>
      <c r="WUI385" s="102"/>
      <c r="WUJ385" s="102"/>
      <c r="WUK385" s="102"/>
      <c r="WUL385" s="102"/>
      <c r="WUM385" s="102"/>
      <c r="WUN385" s="102"/>
      <c r="WUO385" s="102"/>
      <c r="WUP385" s="102"/>
      <c r="WUQ385" s="102"/>
      <c r="WUR385" s="102"/>
      <c r="WUS385" s="102"/>
      <c r="WUT385" s="102"/>
      <c r="WUU385" s="102"/>
      <c r="WUV385" s="102"/>
      <c r="WUW385" s="102"/>
      <c r="WUX385" s="102"/>
      <c r="WUY385" s="102"/>
      <c r="WUZ385" s="102"/>
      <c r="WVA385" s="102"/>
      <c r="WVB385" s="102"/>
      <c r="WVC385" s="102"/>
      <c r="WVD385" s="102"/>
      <c r="WVE385" s="102"/>
      <c r="WVF385" s="102"/>
      <c r="WVG385" s="102"/>
      <c r="WVH385" s="102"/>
      <c r="WVI385" s="102"/>
      <c r="WVJ385" s="102"/>
      <c r="WVK385" s="102"/>
      <c r="WVL385" s="102"/>
      <c r="WVM385" s="102"/>
      <c r="WVN385" s="102"/>
      <c r="WVO385" s="102"/>
      <c r="WVP385" s="102"/>
      <c r="WVQ385" s="102"/>
      <c r="WVR385" s="102"/>
      <c r="WVS385" s="102"/>
      <c r="WVT385" s="102"/>
      <c r="WVU385" s="102"/>
      <c r="WVV385" s="102"/>
      <c r="WVW385" s="102"/>
      <c r="WVX385" s="102"/>
      <c r="WVY385" s="102"/>
      <c r="WVZ385" s="102"/>
      <c r="WWA385" s="102"/>
      <c r="WWB385" s="102"/>
      <c r="WWC385" s="102"/>
      <c r="WWD385" s="102"/>
      <c r="WWE385" s="102"/>
      <c r="WWF385" s="102"/>
      <c r="WWG385" s="102"/>
      <c r="WWH385" s="102"/>
      <c r="WWI385" s="102"/>
      <c r="WWJ385" s="102"/>
      <c r="WWK385" s="102"/>
      <c r="WWL385" s="102"/>
      <c r="WWM385" s="102"/>
      <c r="WWN385" s="102"/>
      <c r="WWO385" s="102"/>
      <c r="WWP385" s="102"/>
      <c r="WWQ385" s="102"/>
      <c r="WWR385" s="102"/>
      <c r="WWS385" s="102"/>
      <c r="WWT385" s="102"/>
      <c r="WWU385" s="102"/>
      <c r="WWV385" s="102"/>
      <c r="WWW385" s="102"/>
      <c r="WWX385" s="102"/>
      <c r="WWY385" s="102"/>
      <c r="WWZ385" s="102"/>
      <c r="WXA385" s="102"/>
      <c r="WXB385" s="102"/>
      <c r="WXC385" s="102"/>
      <c r="WXD385" s="102"/>
      <c r="WXE385" s="102"/>
      <c r="WXF385" s="102"/>
      <c r="WXG385" s="102"/>
      <c r="WXH385" s="102"/>
      <c r="WXI385" s="102"/>
      <c r="WXJ385" s="102"/>
      <c r="WXK385" s="102"/>
      <c r="WXL385" s="102"/>
      <c r="WXM385" s="102"/>
      <c r="WXN385" s="102"/>
      <c r="WXO385" s="102"/>
      <c r="WXP385" s="102"/>
      <c r="WXQ385" s="102"/>
      <c r="WXR385" s="102"/>
      <c r="WXS385" s="102"/>
      <c r="WXT385" s="102"/>
      <c r="WXU385" s="102"/>
      <c r="WXV385" s="102"/>
      <c r="WXW385" s="102"/>
      <c r="WXX385" s="102"/>
      <c r="WXY385" s="102"/>
      <c r="WXZ385" s="102"/>
      <c r="WYA385" s="102"/>
      <c r="WYB385" s="102"/>
      <c r="WYC385" s="102"/>
      <c r="WYD385" s="102"/>
      <c r="WYE385" s="102"/>
      <c r="WYF385" s="102"/>
      <c r="WYG385" s="102"/>
      <c r="WYH385" s="102"/>
      <c r="WYI385" s="102"/>
      <c r="WYJ385" s="102"/>
      <c r="WYK385" s="102"/>
      <c r="WYL385" s="102"/>
      <c r="WYM385" s="102"/>
      <c r="WYN385" s="102"/>
      <c r="WYO385" s="102"/>
      <c r="WYP385" s="102"/>
      <c r="WYQ385" s="102"/>
      <c r="WYR385" s="102"/>
      <c r="WYS385" s="102"/>
      <c r="WYT385" s="102"/>
      <c r="WYU385" s="102"/>
      <c r="WYV385" s="102"/>
      <c r="WYW385" s="102"/>
      <c r="WYX385" s="102"/>
      <c r="WYY385" s="102"/>
      <c r="WYZ385" s="102"/>
      <c r="WZA385" s="102"/>
      <c r="WZB385" s="102"/>
      <c r="WZC385" s="102"/>
      <c r="WZD385" s="102"/>
      <c r="WZE385" s="102"/>
      <c r="WZF385" s="102"/>
      <c r="WZG385" s="102"/>
      <c r="WZH385" s="102"/>
      <c r="WZI385" s="102"/>
      <c r="WZJ385" s="102"/>
      <c r="WZK385" s="102"/>
      <c r="WZL385" s="102"/>
      <c r="WZM385" s="102"/>
      <c r="WZN385" s="102"/>
      <c r="WZO385" s="102"/>
      <c r="WZP385" s="102"/>
      <c r="WZQ385" s="102"/>
      <c r="WZR385" s="102"/>
      <c r="WZS385" s="102"/>
      <c r="WZT385" s="102"/>
      <c r="WZU385" s="102"/>
      <c r="WZV385" s="102"/>
      <c r="WZW385" s="102"/>
      <c r="WZX385" s="102"/>
      <c r="WZY385" s="102"/>
      <c r="WZZ385" s="102"/>
      <c r="XAA385" s="102"/>
      <c r="XAB385" s="102"/>
      <c r="XAC385" s="102"/>
      <c r="XAD385" s="102"/>
      <c r="XAE385" s="102"/>
      <c r="XAF385" s="102"/>
      <c r="XAG385" s="102"/>
      <c r="XAH385" s="102"/>
      <c r="XAI385" s="102"/>
      <c r="XAJ385" s="102"/>
      <c r="XAK385" s="102"/>
      <c r="XAL385" s="102"/>
      <c r="XAM385" s="102"/>
      <c r="XAN385" s="102"/>
      <c r="XAO385" s="102"/>
      <c r="XAP385" s="102"/>
      <c r="XAQ385" s="102"/>
      <c r="XAR385" s="102"/>
      <c r="XAS385" s="102"/>
      <c r="XAT385" s="102"/>
      <c r="XAU385" s="102"/>
      <c r="XAV385" s="102"/>
      <c r="XAW385" s="102"/>
      <c r="XAX385" s="102"/>
      <c r="XAY385" s="102"/>
      <c r="XAZ385" s="102"/>
      <c r="XBA385" s="102"/>
      <c r="XBB385" s="102"/>
      <c r="XBC385" s="102"/>
      <c r="XBD385" s="102"/>
      <c r="XBE385" s="102"/>
      <c r="XBF385" s="102"/>
      <c r="XBG385" s="102"/>
      <c r="XBH385" s="102"/>
      <c r="XBI385" s="102"/>
      <c r="XBJ385" s="102"/>
      <c r="XBK385" s="102"/>
      <c r="XBL385" s="102"/>
      <c r="XBM385" s="102"/>
      <c r="XBN385" s="102"/>
      <c r="XBO385" s="102"/>
      <c r="XBP385" s="102"/>
      <c r="XBQ385" s="102"/>
      <c r="XBR385" s="102"/>
      <c r="XBS385" s="102"/>
      <c r="XBT385" s="102"/>
      <c r="XBU385" s="102"/>
      <c r="XBV385" s="102"/>
      <c r="XBW385" s="102"/>
      <c r="XBX385" s="102"/>
      <c r="XBY385" s="102"/>
      <c r="XBZ385" s="102"/>
      <c r="XCA385" s="102"/>
      <c r="XCB385" s="102"/>
      <c r="XCC385" s="102"/>
      <c r="XCD385" s="102"/>
      <c r="XCE385" s="102"/>
      <c r="XCF385" s="102"/>
      <c r="XCG385" s="102"/>
      <c r="XCH385" s="102"/>
      <c r="XCI385" s="102"/>
      <c r="XCJ385" s="102"/>
      <c r="XCK385" s="102"/>
      <c r="XCL385" s="102"/>
      <c r="XCM385" s="102"/>
      <c r="XCN385" s="102"/>
      <c r="XCO385" s="102"/>
      <c r="XCP385" s="102"/>
      <c r="XCQ385" s="102"/>
      <c r="XCR385" s="102"/>
      <c r="XCS385" s="102"/>
      <c r="XCT385" s="102"/>
      <c r="XCU385" s="102"/>
      <c r="XCV385" s="102"/>
      <c r="XCW385" s="102"/>
      <c r="XCX385" s="102"/>
      <c r="XCY385" s="102"/>
      <c r="XCZ385" s="102"/>
      <c r="XDA385" s="102"/>
      <c r="XDB385" s="102"/>
      <c r="XDC385" s="102"/>
      <c r="XDD385" s="102"/>
      <c r="XDE385" s="102"/>
      <c r="XDF385" s="102"/>
      <c r="XDG385" s="102"/>
      <c r="XDH385" s="102"/>
      <c r="XDI385" s="102"/>
      <c r="XDJ385" s="102"/>
      <c r="XDK385" s="102"/>
      <c r="XDL385" s="102"/>
      <c r="XDM385" s="102"/>
      <c r="XDN385" s="102"/>
      <c r="XDO385" s="102"/>
      <c r="XDP385" s="102"/>
      <c r="XDQ385" s="102"/>
      <c r="XDR385" s="102"/>
      <c r="XDS385" s="102"/>
      <c r="XDT385" s="102"/>
      <c r="XDU385" s="102"/>
      <c r="XDV385" s="102"/>
      <c r="XDW385" s="102"/>
      <c r="XDX385" s="102"/>
      <c r="XDY385" s="102"/>
      <c r="XDZ385" s="102"/>
      <c r="XEA385" s="102"/>
      <c r="XEB385" s="102"/>
      <c r="XEC385" s="102"/>
      <c r="XED385" s="102"/>
      <c r="XEE385" s="102"/>
      <c r="XEF385" s="102"/>
      <c r="XEG385" s="102"/>
      <c r="XEH385" s="102"/>
      <c r="XEI385" s="102"/>
      <c r="XEJ385" s="102"/>
      <c r="XEK385" s="102"/>
      <c r="XEL385" s="102"/>
      <c r="XEM385" s="102"/>
      <c r="XEN385" s="102"/>
      <c r="XEO385" s="102"/>
      <c r="XEP385" s="102"/>
      <c r="XEQ385" s="102"/>
      <c r="XER385" s="102"/>
    </row>
    <row r="386" spans="1:16372" x14ac:dyDescent="0.25">
      <c r="A386" s="31" t="s">
        <v>641</v>
      </c>
      <c r="B386" s="31" t="s">
        <v>688</v>
      </c>
      <c r="H386" s="31">
        <v>1</v>
      </c>
      <c r="O386" s="40">
        <f>C386*Prislapp!$C$2+D386*Prislapp!$D$2+E386*Prislapp!$E$2+F386*Prislapp!$F$2+G386*Prislapp!$G$2+H386*Prislapp!$H$2+I386*Prislapp!$I$2+J386*Prislapp!$J$2+K386*Prislapp!$K$2+L386*Prislapp!$L$2+M386*Prislapp!$M$2+N386*Prislapp!$N$2</f>
        <v>20757</v>
      </c>
      <c r="P386" s="40">
        <f>C386*Prislapp!$C$3+D386*Prislapp!$D$3+E386*Prislapp!$E$3+F386*Prislapp!$F$3+G386*Prislapp!$G$3+H386*Prislapp!$H$3+I386*Prislapp!$I$3+J386*Prislapp!$J$3+K386*Prislapp!$K$3+M386*Prislapp!$M$3+N386*Prislapp!$N$3+L386*Prislapp!$L$3</f>
        <v>36082</v>
      </c>
      <c r="Q386" s="40">
        <f>C386*Prislapp!$C$5+D386*Prislapp!$D$5+E386*Prislapp!$E$5+F386*Prislapp!$F$5+G386*Prislapp!$G$5+H386*Prislapp!$H$5+I386*Prislapp!$I$5+J386*Prislapp!$J$5+K386*Prislapp!$K$5+L386*Prislapp!$L$5+M386*Prislapp!$M$5+N386*Prislapp!$N$5</f>
        <v>22600</v>
      </c>
      <c r="R386" s="9">
        <f>VLOOKUP(A386,'Ansvar kurs'!$A$2:$B$943,2,FALSE)</f>
        <v>5730</v>
      </c>
      <c r="S386" s="157"/>
      <c r="T386" s="157"/>
      <c r="U386" s="157"/>
      <c r="V386" s="157"/>
      <c r="W386" s="157"/>
      <c r="X386" s="157"/>
      <c r="Y386" s="157"/>
      <c r="Z386" s="157"/>
    </row>
    <row r="387" spans="1:16372" x14ac:dyDescent="0.25">
      <c r="A387" s="31" t="s">
        <v>636</v>
      </c>
      <c r="B387" s="31" t="s">
        <v>689</v>
      </c>
      <c r="H387" s="31">
        <v>1</v>
      </c>
      <c r="O387" s="40">
        <f>C387*Prislapp!$C$2+D387*Prislapp!$D$2+E387*Prislapp!$E$2+F387*Prislapp!$F$2+G387*Prislapp!$G$2+H387*Prislapp!$H$2+I387*Prislapp!$I$2+J387*Prislapp!$J$2+K387*Prislapp!$K$2+L387*Prislapp!$L$2+M387*Prislapp!$M$2+N387*Prislapp!$N$2</f>
        <v>20757</v>
      </c>
      <c r="P387" s="40">
        <f>C387*Prislapp!$C$3+D387*Prislapp!$D$3+E387*Prislapp!$E$3+F387*Prislapp!$F$3+G387*Prislapp!$G$3+H387*Prislapp!$H$3+I387*Prislapp!$I$3+J387*Prislapp!$J$3+K387*Prislapp!$K$3+M387*Prislapp!$M$3+N387*Prislapp!$N$3+L387*Prislapp!$L$3</f>
        <v>36082</v>
      </c>
      <c r="Q387" s="40">
        <f>C387*Prislapp!$C$5+D387*Prislapp!$D$5+E387*Prislapp!$E$5+F387*Prislapp!$F$5+G387*Prislapp!$G$5+H387*Prislapp!$H$5+I387*Prislapp!$I$5+J387*Prislapp!$J$5+K387*Prislapp!$K$5+L387*Prislapp!$L$5+M387*Prislapp!$M$5+N387*Prislapp!$N$5</f>
        <v>22600</v>
      </c>
      <c r="R387" s="9">
        <f>VLOOKUP(A387,'Ansvar kurs'!$A$2:$B$943,2,FALSE)</f>
        <v>5730</v>
      </c>
      <c r="S387" s="157"/>
      <c r="T387" s="157"/>
      <c r="U387" s="157"/>
      <c r="V387" s="157"/>
      <c r="W387" s="157"/>
      <c r="X387" s="157"/>
      <c r="Y387" s="157"/>
      <c r="Z387" s="157"/>
    </row>
    <row r="388" spans="1:16372" x14ac:dyDescent="0.25">
      <c r="A388" s="31" t="s">
        <v>642</v>
      </c>
      <c r="B388" s="31" t="s">
        <v>614</v>
      </c>
      <c r="H388" s="31">
        <v>0.5</v>
      </c>
      <c r="J388" s="31">
        <v>0.5</v>
      </c>
      <c r="O388" s="40">
        <f>C388*Prislapp!$C$2+D388*Prislapp!$D$2+E388*Prislapp!$E$2+F388*Prislapp!$F$2+G388*Prislapp!$G$2+H388*Prislapp!$H$2+I388*Prislapp!$I$2+J388*Prislapp!$J$2+K388*Prislapp!$K$2+L388*Prislapp!$L$2+M388*Prislapp!$M$2+N388*Prislapp!$N$2</f>
        <v>20757</v>
      </c>
      <c r="P388" s="40">
        <f>C388*Prislapp!$C$3+D388*Prislapp!$D$3+E388*Prislapp!$E$3+F388*Prislapp!$F$3+G388*Prislapp!$G$3+H388*Prislapp!$H$3+I388*Prislapp!$I$3+J388*Prislapp!$J$3+K388*Prislapp!$K$3+M388*Prislapp!$M$3+N388*Prislapp!$N$3+L388*Prislapp!$L$3</f>
        <v>36082</v>
      </c>
      <c r="Q388" s="40">
        <f>C388*Prislapp!$C$5+D388*Prislapp!$D$5+E388*Prislapp!$E$5+F388*Prislapp!$F$5+G388*Prislapp!$G$5+H388*Prislapp!$H$5+I388*Prislapp!$I$5+J388*Prislapp!$J$5+K388*Prislapp!$K$5+L388*Prislapp!$L$5+M388*Prislapp!$M$5+N388*Prislapp!$N$5</f>
        <v>22600</v>
      </c>
      <c r="R388" s="9">
        <f>VLOOKUP(A388,'Ansvar kurs'!$A$2:$B$943,2,FALSE)</f>
        <v>5730</v>
      </c>
      <c r="S388" s="157"/>
      <c r="T388" s="157"/>
      <c r="U388" s="157"/>
      <c r="V388" s="157"/>
      <c r="W388" s="157"/>
      <c r="X388" s="157"/>
      <c r="Y388" s="157"/>
      <c r="Z388" s="157"/>
    </row>
    <row r="389" spans="1:16372" x14ac:dyDescent="0.25">
      <c r="A389" s="222" t="s">
        <v>914</v>
      </c>
      <c r="B389" s="31" t="s">
        <v>431</v>
      </c>
      <c r="H389" s="31">
        <v>1</v>
      </c>
      <c r="O389" s="40">
        <f>C389*Prislapp!$C$2+D389*Prislapp!$D$2+E389*Prislapp!$E$2+F389*Prislapp!$F$2+G389*Prislapp!$G$2+H389*Prislapp!$H$2+I389*Prislapp!$I$2+J389*Prislapp!$J$2+K389*Prislapp!$K$2+L389*Prislapp!$L$2+M389*Prislapp!$M$2+N389*Prislapp!$N$2</f>
        <v>20757</v>
      </c>
      <c r="P389" s="40">
        <f>C389*Prislapp!$C$3+D389*Prislapp!$D$3+E389*Prislapp!$E$3+F389*Prislapp!$F$3+G389*Prislapp!$G$3+H389*Prislapp!$H$3+I389*Prislapp!$I$3+J389*Prislapp!$J$3+K389*Prislapp!$K$3+M389*Prislapp!$M$3+N389*Prislapp!$N$3+L389*Prislapp!$L$3</f>
        <v>36082</v>
      </c>
      <c r="Q389" s="40">
        <f>C389*Prislapp!$C$5+D389*Prislapp!$D$5+E389*Prislapp!$E$5+F389*Prislapp!$F$5+G389*Prislapp!$G$5+H389*Prislapp!$H$5+I389*Prislapp!$I$5+J389*Prislapp!$J$5+K389*Prislapp!$K$5+L389*Prislapp!$L$5+M389*Prislapp!$M$5+N389*Prislapp!$N$5</f>
        <v>22600</v>
      </c>
      <c r="R389" s="9">
        <f>VLOOKUP(A389,'Ansvar kurs'!$A$2:$B$943,2,FALSE)</f>
        <v>5730</v>
      </c>
      <c r="S389" s="157"/>
      <c r="T389" s="157"/>
      <c r="U389" s="157"/>
      <c r="V389" s="157"/>
      <c r="W389" s="157"/>
      <c r="X389" s="157"/>
      <c r="Y389" s="157"/>
      <c r="Z389" s="157"/>
    </row>
    <row r="390" spans="1:16372" x14ac:dyDescent="0.25">
      <c r="A390" s="222" t="s">
        <v>950</v>
      </c>
      <c r="B390" s="31" t="s">
        <v>1135</v>
      </c>
      <c r="F390" s="31">
        <v>1</v>
      </c>
      <c r="O390" s="40">
        <f>C390*Prislapp!$C$2+D390*Prislapp!$D$2+E390*Prislapp!$E$2+F390*Prislapp!$F$2+G390*Prislapp!$G$2+H390*Prislapp!$H$2+I390*Prislapp!$I$2+J390*Prislapp!$J$2+K390*Prislapp!$K$2+L390*Prislapp!$L$2+M390*Prislapp!$M$2+N390*Prislapp!$N$2</f>
        <v>26554</v>
      </c>
      <c r="P390" s="40">
        <f>C390*Prislapp!$C$3+D390*Prislapp!$D$3+E390*Prislapp!$E$3+F390*Prislapp!$F$3+G390*Prislapp!$G$3+H390*Prislapp!$H$3+I390*Prislapp!$I$3+J390*Prislapp!$J$3+K390*Prislapp!$K$3+M390*Prislapp!$M$3+N390*Prislapp!$N$3+L390*Prislapp!$L$3</f>
        <v>33465</v>
      </c>
      <c r="Q390" s="40">
        <f>C390*Prislapp!$C$5+D390*Prislapp!$D$5+E390*Prislapp!$E$5+F390*Prislapp!$F$5+G390*Prislapp!$G$5+H390*Prislapp!$H$5+I390*Prislapp!$I$5+J390*Prislapp!$J$5+K390*Prislapp!$K$5+L390*Prislapp!$L$5+M390*Prislapp!$M$5+N390*Prislapp!$N$5</f>
        <v>6000</v>
      </c>
      <c r="R390" s="9">
        <f>VLOOKUP(A390,'Ansvar kurs'!$A$2:$B$943,2,FALSE)</f>
        <v>5730</v>
      </c>
      <c r="S390" s="157"/>
      <c r="T390" s="157"/>
      <c r="U390" s="157"/>
      <c r="V390" s="157"/>
      <c r="W390" s="157"/>
      <c r="X390" s="157"/>
      <c r="Y390" s="157"/>
      <c r="Z390" s="157"/>
    </row>
    <row r="391" spans="1:16372" x14ac:dyDescent="0.25">
      <c r="A391" s="222" t="s">
        <v>1075</v>
      </c>
      <c r="B391" s="31" t="s">
        <v>686</v>
      </c>
      <c r="H391" s="31">
        <v>1</v>
      </c>
      <c r="O391" s="40">
        <f>C391*Prislapp!$C$2+D391*Prislapp!$D$2+E391*Prislapp!$E$2+F391*Prislapp!$F$2+G391*Prislapp!$G$2+H391*Prislapp!$H$2+I391*Prislapp!$I$2+J391*Prislapp!$J$2+K391*Prislapp!$K$2+L391*Prislapp!$L$2+M391*Prislapp!$M$2+N391*Prislapp!$N$2</f>
        <v>20757</v>
      </c>
      <c r="P391" s="40">
        <f>C391*Prislapp!$C$3+D391*Prislapp!$D$3+E391*Prislapp!$E$3+F391*Prislapp!$F$3+G391*Prislapp!$G$3+H391*Prislapp!$H$3+I391*Prislapp!$I$3+J391*Prislapp!$J$3+K391*Prislapp!$K$3+M391*Prislapp!$M$3+N391*Prislapp!$N$3+L391*Prislapp!$L$3</f>
        <v>36082</v>
      </c>
      <c r="Q391" s="40">
        <f>C391*Prislapp!$C$5+D391*Prislapp!$D$5+E391*Prislapp!$E$5+F391*Prislapp!$F$5+G391*Prislapp!$G$5+H391*Prislapp!$H$5+I391*Prislapp!$I$5+J391*Prislapp!$J$5+K391*Prislapp!$K$5+L391*Prislapp!$L$5+M391*Prislapp!$M$5+N391*Prislapp!$N$5</f>
        <v>22600</v>
      </c>
      <c r="R391" s="9">
        <f>VLOOKUP(A391,'Ansvar kurs'!$A$2:$B$943,2,FALSE)</f>
        <v>5730</v>
      </c>
      <c r="S391" s="157" t="s">
        <v>1088</v>
      </c>
      <c r="T391" s="157"/>
      <c r="U391" s="157"/>
      <c r="V391" s="157"/>
      <c r="W391" s="157"/>
      <c r="X391" s="157"/>
      <c r="Y391" s="157"/>
      <c r="Z391" s="157"/>
    </row>
    <row r="392" spans="1:16372" x14ac:dyDescent="0.25">
      <c r="A392" s="222" t="s">
        <v>1089</v>
      </c>
      <c r="B392" s="31" t="s">
        <v>609</v>
      </c>
      <c r="H392" s="31">
        <v>1</v>
      </c>
      <c r="O392" s="40">
        <f>C392*Prislapp!$C$2+D392*Prislapp!$D$2+E392*Prislapp!$E$2+F392*Prislapp!$F$2+G392*Prislapp!$G$2+H392*Prislapp!$H$2+I392*Prislapp!$I$2+J392*Prislapp!$J$2+K392*Prislapp!$K$2+L392*Prislapp!$L$2+M392*Prislapp!$M$2+N392*Prislapp!$N$2</f>
        <v>20757</v>
      </c>
      <c r="P392" s="40">
        <f>C392*Prislapp!$C$3+D392*Prislapp!$D$3+E392*Prislapp!$E$3+F392*Prislapp!$F$3+G392*Prislapp!$G$3+H392*Prislapp!$H$3+I392*Prislapp!$I$3+J392*Prislapp!$J$3+K392*Prislapp!$K$3+M392*Prislapp!$M$3+N392*Prislapp!$N$3+L392*Prislapp!$L$3</f>
        <v>36082</v>
      </c>
      <c r="Q392" s="40">
        <f>C392*Prislapp!$C$5+D392*Prislapp!$D$5+E392*Prislapp!$E$5+F392*Prislapp!$F$5+G392*Prislapp!$G$5+H392*Prislapp!$H$5+I392*Prislapp!$I$5+J392*Prislapp!$J$5+K392*Prislapp!$K$5+L392*Prislapp!$L$5+M392*Prislapp!$M$5+N392*Prislapp!$N$5</f>
        <v>22600</v>
      </c>
      <c r="R392" s="9">
        <f>VLOOKUP(A392,'Ansvar kurs'!$A$2:$B$943,2,FALSE)</f>
        <v>5730</v>
      </c>
      <c r="S392" s="157" t="s">
        <v>1088</v>
      </c>
      <c r="T392" s="157"/>
      <c r="U392" s="157"/>
      <c r="V392" s="157"/>
      <c r="W392" s="157"/>
      <c r="X392" s="157"/>
      <c r="Y392" s="157"/>
      <c r="Z392" s="157"/>
    </row>
    <row r="393" spans="1:16372" x14ac:dyDescent="0.25">
      <c r="A393" s="221" t="s">
        <v>1316</v>
      </c>
      <c r="B393" s="31" t="s">
        <v>1044</v>
      </c>
      <c r="H393" s="31">
        <v>1</v>
      </c>
      <c r="O393" s="40">
        <f>C393*Prislapp!$C$2+D393*Prislapp!$D$2+E393*Prislapp!$E$2+F393*Prislapp!$F$2+G393*Prislapp!$G$2+H393*Prislapp!$H$2+I393*Prislapp!$I$2+J393*Prislapp!$J$2+K393*Prislapp!$K$2+L393*Prislapp!$L$2+M393*Prislapp!$M$2+N393*Prislapp!$N$2</f>
        <v>20757</v>
      </c>
      <c r="P393" s="40">
        <f>C393*Prislapp!$C$3+D393*Prislapp!$D$3+E393*Prislapp!$E$3+F393*Prislapp!$F$3+G393*Prislapp!$G$3+H393*Prislapp!$H$3+I393*Prislapp!$I$3+J393*Prislapp!$J$3+K393*Prislapp!$K$3+M393*Prislapp!$M$3+N393*Prislapp!$N$3+L393*Prislapp!$L$3</f>
        <v>36082</v>
      </c>
      <c r="Q393" s="40">
        <f>C393*Prislapp!$C$5+D393*Prislapp!$D$5+E393*Prislapp!$E$5+F393*Prislapp!$F$5+G393*Prislapp!$G$5+H393*Prislapp!$H$5+I393*Prislapp!$I$5+J393*Prislapp!$J$5+K393*Prislapp!$K$5+L393*Prislapp!$L$5+M393*Prislapp!$M$5+N393*Prislapp!$N$5</f>
        <v>22600</v>
      </c>
      <c r="R393" s="9">
        <f>VLOOKUP(A393,'Ansvar kurs'!$A$2:$B$943,2,FALSE)</f>
        <v>5730</v>
      </c>
      <c r="S393" s="157"/>
      <c r="T393" s="157"/>
      <c r="U393" s="157"/>
      <c r="V393" s="157"/>
      <c r="W393" s="157"/>
      <c r="X393" s="157"/>
      <c r="Y393" s="157"/>
      <c r="Z393" s="157"/>
    </row>
    <row r="394" spans="1:16372" x14ac:dyDescent="0.25">
      <c r="A394" s="222" t="s">
        <v>1277</v>
      </c>
      <c r="B394" s="31" t="s">
        <v>1278</v>
      </c>
      <c r="K394" s="31">
        <v>1</v>
      </c>
      <c r="O394" s="40">
        <f>C394*Prislapp!$C$2+D394*Prislapp!$D$2+E394*Prislapp!$E$2+F394*Prislapp!$F$2+G394*Prislapp!$G$2+H394*Prislapp!$H$2+I394*Prislapp!$I$2+J394*Prislapp!$J$2+K394*Prislapp!$K$2+L394*Prislapp!$L$2+M394*Prislapp!$M$2+N394*Prislapp!$N$2</f>
        <v>25235</v>
      </c>
      <c r="P394" s="40">
        <f>C394*Prislapp!$C$3+D394*Prislapp!$D$3+E394*Prislapp!$E$3+F394*Prislapp!$F$3+G394*Prislapp!$G$3+H394*Prislapp!$H$3+I394*Prislapp!$I$3+J394*Prislapp!$J$3+K394*Prislapp!$K$3+M394*Prislapp!$M$3+N394*Prislapp!$N$3+L394*Prislapp!$L$3</f>
        <v>27976</v>
      </c>
      <c r="Q394" s="40">
        <f>C394*Prislapp!$C$5+D394*Prislapp!$D$5+E394*Prislapp!$E$5+F394*Prislapp!$F$5+G394*Prislapp!$G$5+H394*Prislapp!$H$5+I394*Prislapp!$I$5+J394*Prislapp!$J$5+K394*Prislapp!$K$5+L394*Prislapp!$L$5+M394*Prislapp!$M$5+N394*Prislapp!$N$5</f>
        <v>3600</v>
      </c>
      <c r="R394" s="9">
        <f>VLOOKUP(A394,'Ansvar kurs'!$A$2:$B$943,2,FALSE)</f>
        <v>5730</v>
      </c>
      <c r="S394" s="157"/>
      <c r="T394" s="157"/>
      <c r="U394" s="157"/>
      <c r="V394" s="157"/>
      <c r="W394" s="157"/>
      <c r="X394" s="157"/>
      <c r="Y394" s="157"/>
      <c r="Z394" s="157"/>
    </row>
    <row r="395" spans="1:16372" x14ac:dyDescent="0.25">
      <c r="A395" s="222" t="s">
        <v>1317</v>
      </c>
      <c r="B395" s="31" t="s">
        <v>1160</v>
      </c>
      <c r="K395" s="31">
        <v>1</v>
      </c>
      <c r="O395" s="40">
        <f>C395*Prislapp!$C$2+D395*Prislapp!$D$2+E395*Prislapp!$E$2+F395*Prislapp!$F$2+G395*Prislapp!$G$2+H395*Prislapp!$H$2+I395*Prislapp!$I$2+J395*Prislapp!$J$2+K395*Prislapp!$K$2+L395*Prislapp!$L$2+M395*Prislapp!$M$2+N395*Prislapp!$N$2</f>
        <v>25235</v>
      </c>
      <c r="P395" s="40">
        <f>C395*Prislapp!$C$3+D395*Prislapp!$D$3+E395*Prislapp!$E$3+F395*Prislapp!$F$3+G395*Prislapp!$G$3+H395*Prislapp!$H$3+I395*Prislapp!$I$3+J395*Prislapp!$J$3+K395*Prislapp!$K$3+M395*Prislapp!$M$3+N395*Prislapp!$N$3+L395*Prislapp!$L$3</f>
        <v>27976</v>
      </c>
      <c r="Q395" s="40">
        <f>C395*Prislapp!$C$5+D395*Prislapp!$D$5+E395*Prislapp!$E$5+F395*Prislapp!$F$5+G395*Prislapp!$G$5+H395*Prislapp!$H$5+I395*Prislapp!$I$5+J395*Prislapp!$J$5+K395*Prislapp!$K$5+L395*Prislapp!$L$5+M395*Prislapp!$M$5+N395*Prislapp!$N$5</f>
        <v>3600</v>
      </c>
      <c r="R395" s="9">
        <f>VLOOKUP(A395,'Ansvar kurs'!$A$2:$B$943,2,FALSE)</f>
        <v>5730</v>
      </c>
      <c r="S395" s="157"/>
      <c r="T395" s="157"/>
      <c r="U395" s="157"/>
      <c r="V395" s="157"/>
      <c r="W395" s="157"/>
      <c r="X395" s="157"/>
      <c r="Y395" s="157"/>
      <c r="Z395" s="157"/>
    </row>
    <row r="396" spans="1:16372" x14ac:dyDescent="0.25">
      <c r="A396" s="31" t="s">
        <v>1262</v>
      </c>
      <c r="B396" s="31" t="s">
        <v>691</v>
      </c>
      <c r="H396" s="31">
        <v>1</v>
      </c>
      <c r="O396" s="40">
        <f>C396*Prislapp!$C$2+D396*Prislapp!$D$2+E396*Prislapp!$E$2+F396*Prislapp!$F$2+G396*Prislapp!$G$2+H396*Prislapp!$H$2+I396*Prislapp!$I$2+J396*Prislapp!$J$2+K396*Prislapp!$K$2+L396*Prislapp!$L$2+M396*Prislapp!$M$2+N396*Prislapp!$N$2</f>
        <v>20757</v>
      </c>
      <c r="P396" s="40">
        <f>C396*Prislapp!$C$3+D396*Prislapp!$D$3+E396*Prislapp!$E$3+F396*Prislapp!$F$3+G396*Prislapp!$G$3+H396*Prislapp!$H$3+I396*Prislapp!$I$3+J396*Prislapp!$J$3+K396*Prislapp!$K$3+M396*Prislapp!$M$3+N396*Prislapp!$N$3+L396*Prislapp!$L$3</f>
        <v>36082</v>
      </c>
      <c r="Q396" s="40">
        <f>C396*Prislapp!$C$5+D396*Prislapp!$D$5+E396*Prislapp!$E$5+F396*Prislapp!$F$5+G396*Prislapp!$G$5+H396*Prislapp!$H$5+I396*Prislapp!$I$5+J396*Prislapp!$J$5+K396*Prislapp!$K$5+L396*Prislapp!$L$5+M396*Prislapp!$M$5+N396*Prislapp!$N$5</f>
        <v>22600</v>
      </c>
      <c r="R396" s="9">
        <f>VLOOKUP(A396,'Ansvar kurs'!$A$2:$B$943,2,FALSE)</f>
        <v>5730</v>
      </c>
      <c r="S396" s="31" t="s">
        <v>1260</v>
      </c>
      <c r="T396" s="157"/>
      <c r="U396" s="157"/>
      <c r="V396" s="157"/>
      <c r="W396" s="157"/>
      <c r="X396" s="157"/>
      <c r="Y396" s="157"/>
      <c r="Z396" s="157"/>
    </row>
    <row r="397" spans="1:16372" x14ac:dyDescent="0.25">
      <c r="A397" s="222" t="s">
        <v>1318</v>
      </c>
      <c r="B397" s="31" t="s">
        <v>1319</v>
      </c>
      <c r="H397" s="31">
        <v>1</v>
      </c>
      <c r="O397" s="40">
        <f>C397*Prislapp!$C$2+D397*Prislapp!$D$2+E397*Prislapp!$E$2+F397*Prislapp!$F$2+G397*Prislapp!$G$2+H397*Prislapp!$H$2+I397*Prislapp!$I$2+J397*Prislapp!$J$2+K397*Prislapp!$K$2+L397*Prislapp!$L$2+M397*Prislapp!$M$2+N397*Prislapp!$N$2</f>
        <v>20757</v>
      </c>
      <c r="P397" s="40">
        <f>C397*Prislapp!$C$3+D397*Prislapp!$D$3+E397*Prislapp!$E$3+F397*Prislapp!$F$3+G397*Prislapp!$G$3+H397*Prislapp!$H$3+I397*Prislapp!$I$3+J397*Prislapp!$J$3+K397*Prislapp!$K$3+M397*Prislapp!$M$3+N397*Prislapp!$N$3+L397*Prislapp!$L$3</f>
        <v>36082</v>
      </c>
      <c r="Q397" s="40">
        <f>C397*Prislapp!$C$5+D397*Prislapp!$D$5+E397*Prislapp!$E$5+F397*Prislapp!$F$5+G397*Prislapp!$G$5+H397*Prislapp!$H$5+I397*Prislapp!$I$5+J397*Prislapp!$J$5+K397*Prislapp!$K$5+L397*Prislapp!$L$5+M397*Prislapp!$M$5+N397*Prislapp!$N$5</f>
        <v>22600</v>
      </c>
      <c r="R397" s="9">
        <f>VLOOKUP(A397,'Ansvar kurs'!$A$2:$B$943,2,FALSE)</f>
        <v>5730</v>
      </c>
      <c r="T397" s="157"/>
      <c r="U397" s="157"/>
      <c r="V397" s="157"/>
      <c r="W397" s="157"/>
      <c r="X397" s="157"/>
      <c r="Y397" s="157"/>
      <c r="Z397" s="157"/>
    </row>
    <row r="398" spans="1:16372" x14ac:dyDescent="0.25">
      <c r="A398" s="222" t="s">
        <v>1543</v>
      </c>
      <c r="B398" s="31" t="s">
        <v>609</v>
      </c>
      <c r="H398" s="31">
        <v>1</v>
      </c>
      <c r="O398" s="40">
        <f>C398*Prislapp!$C$2+D398*Prislapp!$D$2+E398*Prislapp!$E$2+F398*Prislapp!$F$2+G398*Prislapp!$G$2+H398*Prislapp!$H$2+I398*Prislapp!$I$2+J398*Prislapp!$J$2+K398*Prislapp!$K$2+L398*Prislapp!$L$2+M398*Prislapp!$M$2+N398*Prislapp!$N$2</f>
        <v>20757</v>
      </c>
      <c r="P398" s="40">
        <f>C398*Prislapp!$C$3+D398*Prislapp!$D$3+E398*Prislapp!$E$3+F398*Prislapp!$F$3+G398*Prislapp!$G$3+H398*Prislapp!$H$3+I398*Prislapp!$I$3+J398*Prislapp!$J$3+K398*Prislapp!$K$3+M398*Prislapp!$M$3+N398*Prislapp!$N$3+L398*Prislapp!$L$3</f>
        <v>36082</v>
      </c>
      <c r="Q398" s="40">
        <f>C398*Prislapp!$C$5+D398*Prislapp!$D$5+E398*Prislapp!$E$5+F398*Prislapp!$F$5+G398*Prislapp!$G$5+H398*Prislapp!$H$5+I398*Prislapp!$I$5+J398*Prislapp!$J$5+K398*Prislapp!$K$5+L398*Prislapp!$L$5+M398*Prislapp!$M$5+N398*Prislapp!$N$5</f>
        <v>22600</v>
      </c>
      <c r="R398" s="9">
        <f>VLOOKUP(A398,'Ansvar kurs'!$A$2:$B$943,2,FALSE)</f>
        <v>5730</v>
      </c>
      <c r="T398" s="157"/>
      <c r="U398" s="157"/>
      <c r="V398" s="157"/>
      <c r="W398" s="157"/>
      <c r="X398" s="157"/>
      <c r="Y398" s="157"/>
      <c r="Z398" s="157"/>
    </row>
    <row r="399" spans="1:16372" x14ac:dyDescent="0.25">
      <c r="A399" s="222" t="s">
        <v>1802</v>
      </c>
      <c r="B399" s="31" t="s">
        <v>690</v>
      </c>
      <c r="H399" s="31">
        <v>1</v>
      </c>
      <c r="O399" s="40">
        <f>C399*Prislapp!$C$2+D399*Prislapp!$D$2+E399*Prislapp!$E$2+F399*Prislapp!$F$2+G399*Prislapp!$G$2+H399*Prislapp!$H$2+I399*Prislapp!$I$2+J399*Prislapp!$J$2+K399*Prislapp!$K$2+L399*Prislapp!$L$2+M399*Prislapp!$M$2+N399*Prislapp!$N$2</f>
        <v>20757</v>
      </c>
      <c r="P399" s="40">
        <f>C399*Prislapp!$C$3+D399*Prislapp!$D$3+E399*Prislapp!$E$3+F399*Prislapp!$F$3+G399*Prislapp!$G$3+H399*Prislapp!$H$3+I399*Prislapp!$I$3+J399*Prislapp!$J$3+K399*Prislapp!$K$3+M399*Prislapp!$M$3+N399*Prislapp!$N$3+L399*Prislapp!$L$3</f>
        <v>36082</v>
      </c>
      <c r="Q399" s="40">
        <f>C399*Prislapp!$C$5+D399*Prislapp!$D$5+E399*Prislapp!$E$5+F399*Prislapp!$F$5+G399*Prislapp!$G$5+H399*Prislapp!$H$5+I399*Prislapp!$I$5+J399*Prislapp!$J$5+K399*Prislapp!$K$5+L399*Prislapp!$L$5+M399*Prislapp!$M$5+N399*Prislapp!$N$5</f>
        <v>22600</v>
      </c>
      <c r="R399" s="9">
        <f>VLOOKUP(A399,'Ansvar kurs'!$A$2:$B$943,2,FALSE)</f>
        <v>5730</v>
      </c>
      <c r="S399" s="31" t="s">
        <v>1887</v>
      </c>
      <c r="T399" s="157"/>
      <c r="U399" s="157"/>
      <c r="V399" s="157"/>
      <c r="W399" s="157"/>
      <c r="X399" s="157"/>
      <c r="Y399" s="157"/>
      <c r="Z399" s="157"/>
    </row>
    <row r="400" spans="1:16372" x14ac:dyDescent="0.25">
      <c r="A400" s="222" t="s">
        <v>1803</v>
      </c>
      <c r="B400" s="31" t="s">
        <v>1817</v>
      </c>
      <c r="H400" s="31">
        <v>0.5</v>
      </c>
      <c r="J400" s="31">
        <v>0.5</v>
      </c>
      <c r="O400" s="40">
        <f>C400*Prislapp!$C$2+D400*Prislapp!$D$2+E400*Prislapp!$E$2+F400*Prislapp!$F$2+G400*Prislapp!$G$2+H400*Prislapp!$H$2+I400*Prislapp!$I$2+J400*Prislapp!$J$2+K400*Prislapp!$K$2+L400*Prislapp!$L$2+M400*Prislapp!$M$2+N400*Prislapp!$N$2</f>
        <v>20757</v>
      </c>
      <c r="P400" s="40">
        <f>C400*Prislapp!$C$3+D400*Prislapp!$D$3+E400*Prislapp!$E$3+F400*Prislapp!$F$3+G400*Prislapp!$G$3+H400*Prislapp!$H$3+I400*Prislapp!$I$3+J400*Prislapp!$J$3+K400*Prislapp!$K$3+M400*Prislapp!$M$3+N400*Prislapp!$N$3+L400*Prislapp!$L$3</f>
        <v>36082</v>
      </c>
      <c r="Q400" s="40">
        <f>C400*Prislapp!$C$5+D400*Prislapp!$D$5+E400*Prislapp!$E$5+F400*Prislapp!$F$5+G400*Prislapp!$G$5+H400*Prislapp!$H$5+I400*Prislapp!$I$5+J400*Prislapp!$J$5+K400*Prislapp!$K$5+L400*Prislapp!$L$5+M400*Prislapp!$M$5+N400*Prislapp!$N$5</f>
        <v>22600</v>
      </c>
      <c r="R400" s="9">
        <f>VLOOKUP(A400,'Ansvar kurs'!$A$2:$B$943,2,FALSE)</f>
        <v>5730</v>
      </c>
      <c r="T400" s="157"/>
      <c r="U400" s="157"/>
      <c r="V400" s="157"/>
      <c r="W400" s="157"/>
      <c r="X400" s="157"/>
      <c r="Y400" s="157"/>
      <c r="Z400" s="157"/>
    </row>
    <row r="401" spans="1:26" x14ac:dyDescent="0.25">
      <c r="A401" s="222" t="s">
        <v>1804</v>
      </c>
      <c r="B401" s="31" t="s">
        <v>621</v>
      </c>
      <c r="H401" s="31">
        <v>1</v>
      </c>
      <c r="O401" s="40">
        <f>C401*Prislapp!$C$2+D401*Prislapp!$D$2+E401*Prislapp!$E$2+F401*Prislapp!$F$2+G401*Prislapp!$G$2+H401*Prislapp!$H$2+I401*Prislapp!$I$2+J401*Prislapp!$J$2+K401*Prislapp!$K$2+L401*Prislapp!$L$2+M401*Prislapp!$M$2+N401*Prislapp!$N$2</f>
        <v>20757</v>
      </c>
      <c r="P401" s="40">
        <f>C401*Prislapp!$C$3+D401*Prislapp!$D$3+E401*Prislapp!$E$3+F401*Prislapp!$F$3+G401*Prislapp!$G$3+H401*Prislapp!$H$3+I401*Prislapp!$I$3+J401*Prislapp!$J$3+K401*Prislapp!$K$3+M401*Prislapp!$M$3+N401*Prislapp!$N$3+L401*Prislapp!$L$3</f>
        <v>36082</v>
      </c>
      <c r="Q401" s="40">
        <f>C401*Prislapp!$C$5+D401*Prislapp!$D$5+E401*Prislapp!$E$5+F401*Prislapp!$F$5+G401*Prislapp!$G$5+H401*Prislapp!$H$5+I401*Prislapp!$I$5+J401*Prislapp!$J$5+K401*Prislapp!$K$5+L401*Prislapp!$L$5+M401*Prislapp!$M$5+N401*Prislapp!$N$5</f>
        <v>22600</v>
      </c>
      <c r="R401" s="9">
        <f>VLOOKUP(A401,'Ansvar kurs'!$A$2:$B$943,2,FALSE)</f>
        <v>5730</v>
      </c>
      <c r="S401" s="31" t="s">
        <v>1887</v>
      </c>
      <c r="T401" s="157"/>
      <c r="U401" s="157"/>
      <c r="V401" s="157"/>
      <c r="W401" s="157"/>
      <c r="X401" s="157"/>
      <c r="Y401" s="157"/>
      <c r="Z401" s="157"/>
    </row>
    <row r="402" spans="1:26" x14ac:dyDescent="0.25">
      <c r="A402" s="222" t="s">
        <v>1898</v>
      </c>
      <c r="B402" s="31" t="s">
        <v>1909</v>
      </c>
      <c r="H402" s="31">
        <v>0.5</v>
      </c>
      <c r="J402" s="31">
        <v>0.5</v>
      </c>
      <c r="O402" s="40">
        <f>C402*Prislapp!$C$2+D402*Prislapp!$D$2+E402*Prislapp!$E$2+F402*Prislapp!$F$2+G402*Prislapp!$G$2+H402*Prislapp!$H$2+I402*Prislapp!$I$2+J402*Prislapp!$J$2+K402*Prislapp!$K$2+L402*Prislapp!$L$2+M402*Prislapp!$M$2+N402*Prislapp!$N$2</f>
        <v>20757</v>
      </c>
      <c r="P402" s="40">
        <f>C402*Prislapp!$C$3+D402*Prislapp!$D$3+E402*Prislapp!$E$3+F402*Prislapp!$F$3+G402*Prislapp!$G$3+H402*Prislapp!$H$3+I402*Prislapp!$I$3+J402*Prislapp!$J$3+K402*Prislapp!$K$3+M402*Prislapp!$M$3+N402*Prislapp!$N$3+L402*Prislapp!$L$3</f>
        <v>36082</v>
      </c>
      <c r="Q402" s="40">
        <f>C402*Prislapp!$C$5+D402*Prislapp!$D$5+E402*Prislapp!$E$5+F402*Prislapp!$F$5+G402*Prislapp!$G$5+H402*Prislapp!$H$5+I402*Prislapp!$I$5+J402*Prislapp!$J$5+K402*Prislapp!$K$5+L402*Prislapp!$L$5+M402*Prislapp!$M$5+N402*Prislapp!$N$5</f>
        <v>22600</v>
      </c>
      <c r="R402" s="9">
        <f>VLOOKUP(A402,'Ansvar kurs'!$A$2:$B$943,2,FALSE)</f>
        <v>5730</v>
      </c>
      <c r="S402" s="31" t="s">
        <v>2019</v>
      </c>
      <c r="T402" s="157"/>
      <c r="U402" s="157"/>
      <c r="V402" s="157"/>
      <c r="W402" s="157"/>
      <c r="X402" s="157"/>
      <c r="Y402" s="157"/>
      <c r="Z402" s="157"/>
    </row>
    <row r="403" spans="1:26" x14ac:dyDescent="0.25">
      <c r="A403" s="222" t="s">
        <v>1899</v>
      </c>
      <c r="B403" s="31" t="s">
        <v>1910</v>
      </c>
      <c r="H403" s="31">
        <v>0.5</v>
      </c>
      <c r="J403" s="31">
        <v>0.5</v>
      </c>
      <c r="O403" s="40">
        <f>C403*Prislapp!$C$2+D403*Prislapp!$D$2+E403*Prislapp!$E$2+F403*Prislapp!$F$2+G403*Prislapp!$G$2+H403*Prislapp!$H$2+I403*Prislapp!$I$2+J403*Prislapp!$J$2+K403*Prislapp!$K$2+L403*Prislapp!$L$2+M403*Prislapp!$M$2+N403*Prislapp!$N$2</f>
        <v>20757</v>
      </c>
      <c r="P403" s="40">
        <f>C403*Prislapp!$C$3+D403*Prislapp!$D$3+E403*Prislapp!$E$3+F403*Prislapp!$F$3+G403*Prislapp!$G$3+H403*Prislapp!$H$3+I403*Prislapp!$I$3+J403*Prislapp!$J$3+K403*Prislapp!$K$3+M403*Prislapp!$M$3+N403*Prislapp!$N$3+L403*Prislapp!$L$3</f>
        <v>36082</v>
      </c>
      <c r="Q403" s="40">
        <f>C403*Prislapp!$C$5+D403*Prislapp!$D$5+E403*Prislapp!$E$5+F403*Prislapp!$F$5+G403*Prislapp!$G$5+H403*Prislapp!$H$5+I403*Prislapp!$I$5+J403*Prislapp!$J$5+K403*Prislapp!$K$5+L403*Prislapp!$L$5+M403*Prislapp!$M$5+N403*Prislapp!$N$5</f>
        <v>22600</v>
      </c>
      <c r="R403" s="9">
        <f>VLOOKUP(A403,'Ansvar kurs'!$A$2:$B$943,2,FALSE)</f>
        <v>5730</v>
      </c>
      <c r="S403" s="31" t="s">
        <v>2019</v>
      </c>
      <c r="T403" s="157"/>
      <c r="U403" s="157"/>
      <c r="V403" s="157"/>
      <c r="W403" s="157"/>
      <c r="X403" s="157"/>
      <c r="Y403" s="157"/>
      <c r="Z403" s="157"/>
    </row>
    <row r="404" spans="1:26" x14ac:dyDescent="0.25">
      <c r="A404" s="222" t="s">
        <v>1900</v>
      </c>
      <c r="B404" s="31" t="s">
        <v>614</v>
      </c>
      <c r="H404" s="31">
        <v>0.5</v>
      </c>
      <c r="J404" s="31">
        <v>0.5</v>
      </c>
      <c r="O404" s="40">
        <f>C404*Prislapp!$C$2+D404*Prislapp!$D$2+E404*Prislapp!$E$2+F404*Prislapp!$F$2+G404*Prislapp!$G$2+H404*Prislapp!$H$2+I404*Prislapp!$I$2+J404*Prislapp!$J$2+K404*Prislapp!$K$2+L404*Prislapp!$L$2+M404*Prislapp!$M$2+N404*Prislapp!$N$2</f>
        <v>20757</v>
      </c>
      <c r="P404" s="40">
        <f>C404*Prislapp!$C$3+D404*Prislapp!$D$3+E404*Prislapp!$E$3+F404*Prislapp!$F$3+G404*Prislapp!$G$3+H404*Prislapp!$H$3+I404*Prislapp!$I$3+J404*Prislapp!$J$3+K404*Prislapp!$K$3+M404*Prislapp!$M$3+N404*Prislapp!$N$3+L404*Prislapp!$L$3</f>
        <v>36082</v>
      </c>
      <c r="Q404" s="40">
        <f>C404*Prislapp!$C$5+D404*Prislapp!$D$5+E404*Prislapp!$E$5+F404*Prislapp!$F$5+G404*Prislapp!$G$5+H404*Prislapp!$H$5+I404*Prislapp!$I$5+J404*Prislapp!$J$5+K404*Prislapp!$K$5+L404*Prislapp!$L$5+M404*Prislapp!$M$5+N404*Prislapp!$N$5</f>
        <v>22600</v>
      </c>
      <c r="R404" s="9">
        <f>VLOOKUP(A404,'Ansvar kurs'!$A$2:$B$943,2,FALSE)</f>
        <v>5730</v>
      </c>
      <c r="S404" s="31" t="s">
        <v>2019</v>
      </c>
      <c r="T404" s="157"/>
      <c r="U404" s="157"/>
      <c r="V404" s="157"/>
      <c r="W404" s="157"/>
      <c r="X404" s="157"/>
      <c r="Y404" s="157"/>
      <c r="Z404" s="157"/>
    </row>
    <row r="405" spans="1:26" x14ac:dyDescent="0.25">
      <c r="A405" s="222" t="s">
        <v>1882</v>
      </c>
      <c r="B405" s="31" t="s">
        <v>1888</v>
      </c>
      <c r="H405" s="31">
        <v>0.5</v>
      </c>
      <c r="J405" s="31">
        <v>0.5</v>
      </c>
      <c r="O405" s="40">
        <f>C405*Prislapp!$C$2+D405*Prislapp!$D$2+E405*Prislapp!$E$2+F405*Prislapp!$F$2+G405*Prislapp!$G$2+H405*Prislapp!$H$2+I405*Prislapp!$I$2+J405*Prislapp!$J$2+K405*Prislapp!$K$2+L405*Prislapp!$L$2+M405*Prislapp!$M$2+N405*Prislapp!$N$2</f>
        <v>20757</v>
      </c>
      <c r="P405" s="40">
        <f>C405*Prislapp!$C$3+D405*Prislapp!$D$3+E405*Prislapp!$E$3+F405*Prislapp!$F$3+G405*Prislapp!$G$3+H405*Prislapp!$H$3+I405*Prislapp!$I$3+J405*Prislapp!$J$3+K405*Prislapp!$K$3+M405*Prislapp!$M$3+N405*Prislapp!$N$3+L405*Prislapp!$L$3</f>
        <v>36082</v>
      </c>
      <c r="Q405" s="40">
        <f>C405*Prislapp!$C$5+D405*Prislapp!$D$5+E405*Prislapp!$E$5+F405*Prislapp!$F$5+G405*Prislapp!$G$5+H405*Prislapp!$H$5+I405*Prislapp!$I$5+J405*Prislapp!$J$5+K405*Prislapp!$K$5+L405*Prislapp!$L$5+M405*Prislapp!$M$5+N405*Prislapp!$N$5</f>
        <v>22600</v>
      </c>
      <c r="R405" s="9">
        <f>VLOOKUP(A405,'Ansvar kurs'!$A$2:$B$943,2,FALSE)</f>
        <v>5730</v>
      </c>
      <c r="T405" s="157"/>
      <c r="U405" s="157"/>
      <c r="V405" s="157"/>
      <c r="W405" s="157"/>
      <c r="X405" s="157"/>
      <c r="Y405" s="157"/>
      <c r="Z405" s="157"/>
    </row>
    <row r="406" spans="1:26" x14ac:dyDescent="0.25">
      <c r="A406" s="222" t="s">
        <v>1929</v>
      </c>
      <c r="B406" s="60" t="s">
        <v>1506</v>
      </c>
      <c r="H406" s="31">
        <v>0.5</v>
      </c>
      <c r="J406" s="31">
        <v>0.5</v>
      </c>
      <c r="O406" s="40">
        <f>C406*Prislapp!$C$2+D406*Prislapp!$D$2+E406*Prislapp!$E$2+F406*Prislapp!$F$2+G406*Prislapp!$G$2+H406*Prislapp!$H$2+I406*Prislapp!$I$2+J406*Prislapp!$J$2+K406*Prislapp!$K$2+L406*Prislapp!$L$2+M406*Prislapp!$M$2+N406*Prislapp!$N$2</f>
        <v>20757</v>
      </c>
      <c r="P406" s="40">
        <f>C406*Prislapp!$C$3+D406*Prislapp!$D$3+E406*Prislapp!$E$3+F406*Prislapp!$F$3+G406*Prislapp!$G$3+H406*Prislapp!$H$3+I406*Prislapp!$I$3+J406*Prislapp!$J$3+K406*Prislapp!$K$3+M406*Prislapp!$M$3+N406*Prislapp!$N$3+L406*Prislapp!$L$3</f>
        <v>36082</v>
      </c>
      <c r="Q406" s="40">
        <f>C406*Prislapp!$C$5+D406*Prislapp!$D$5+E406*Prislapp!$E$5+F406*Prislapp!$F$5+G406*Prislapp!$G$5+H406*Prislapp!$H$5+I406*Prislapp!$I$5+J406*Prislapp!$J$5+K406*Prislapp!$K$5+L406*Prislapp!$L$5+M406*Prislapp!$M$5+N406*Prislapp!$N$5</f>
        <v>22600</v>
      </c>
      <c r="R406" s="9">
        <f>VLOOKUP(A406,'Ansvar kurs'!$A$2:$B$943,2,FALSE)</f>
        <v>5730</v>
      </c>
      <c r="S406" s="31" t="s">
        <v>2019</v>
      </c>
      <c r="T406" s="157"/>
      <c r="U406" s="157"/>
      <c r="V406" s="157"/>
      <c r="W406" s="157"/>
      <c r="X406" s="157"/>
      <c r="Y406" s="157"/>
      <c r="Z406" s="157"/>
    </row>
    <row r="407" spans="1:26" x14ac:dyDescent="0.25">
      <c r="A407" s="222" t="s">
        <v>1850</v>
      </c>
      <c r="B407" s="31" t="s">
        <v>1853</v>
      </c>
      <c r="H407" s="31">
        <v>1</v>
      </c>
      <c r="O407" s="40">
        <f>C407*Prislapp!$C$2+D407*Prislapp!$D$2+E407*Prislapp!$E$2+F407*Prislapp!$F$2+G407*Prislapp!$G$2+H407*Prislapp!$H$2+I407*Prislapp!$I$2+J407*Prislapp!$J$2+K407*Prislapp!$K$2+L407*Prislapp!$L$2+M407*Prislapp!$M$2+N407*Prislapp!$N$2</f>
        <v>20757</v>
      </c>
      <c r="P407" s="40">
        <f>C407*Prislapp!$C$3+D407*Prislapp!$D$3+E407*Prislapp!$E$3+F407*Prislapp!$F$3+G407*Prislapp!$G$3+H407*Prislapp!$H$3+I407*Prislapp!$I$3+J407*Prislapp!$J$3+K407*Prislapp!$K$3+M407*Prislapp!$M$3+N407*Prislapp!$N$3+L407*Prislapp!$L$3</f>
        <v>36082</v>
      </c>
      <c r="Q407" s="40">
        <f>C407*Prislapp!$C$5+D407*Prislapp!$D$5+E407*Prislapp!$E$5+F407*Prislapp!$F$5+G407*Prislapp!$G$5+H407*Prislapp!$H$5+I407*Prislapp!$I$5+J407*Prislapp!$J$5+K407*Prislapp!$K$5+L407*Prislapp!$L$5+M407*Prislapp!$M$5+N407*Prislapp!$N$5</f>
        <v>22600</v>
      </c>
      <c r="R407" s="9">
        <f>VLOOKUP(A407,'Ansvar kurs'!$A$2:$B$943,2,FALSE)</f>
        <v>5730</v>
      </c>
      <c r="T407" s="157"/>
      <c r="U407" s="157"/>
      <c r="V407" s="157"/>
      <c r="W407" s="157"/>
      <c r="X407" s="157"/>
      <c r="Y407" s="157"/>
      <c r="Z407" s="157"/>
    </row>
    <row r="408" spans="1:26" x14ac:dyDescent="0.25">
      <c r="A408" s="222" t="s">
        <v>1901</v>
      </c>
      <c r="B408" s="31" t="s">
        <v>1911</v>
      </c>
      <c r="K408" s="31">
        <v>1</v>
      </c>
      <c r="O408" s="40">
        <f>C408*Prislapp!$C$2+D408*Prislapp!$D$2+E408*Prislapp!$E$2+F408*Prislapp!$F$2+G408*Prislapp!$G$2+H408*Prislapp!$H$2+I408*Prislapp!$I$2+J408*Prislapp!$J$2+K408*Prislapp!$K$2+L408*Prislapp!$L$2+M408*Prislapp!$M$2+N408*Prislapp!$N$2</f>
        <v>25235</v>
      </c>
      <c r="P408" s="40">
        <f>C408*Prislapp!$C$3+D408*Prislapp!$D$3+E408*Prislapp!$E$3+F408*Prislapp!$F$3+G408*Prislapp!$G$3+H408*Prislapp!$H$3+I408*Prislapp!$I$3+J408*Prislapp!$J$3+K408*Prislapp!$K$3+M408*Prislapp!$M$3+N408*Prislapp!$N$3+L408*Prislapp!$L$3</f>
        <v>27976</v>
      </c>
      <c r="Q408" s="40">
        <f>C408*Prislapp!$C$5+D408*Prislapp!$D$5+E408*Prislapp!$E$5+F408*Prislapp!$F$5+G408*Prislapp!$G$5+H408*Prislapp!$H$5+I408*Prislapp!$I$5+J408*Prislapp!$J$5+K408*Prislapp!$K$5+L408*Prislapp!$L$5+M408*Prislapp!$M$5+N408*Prislapp!$N$5</f>
        <v>3600</v>
      </c>
      <c r="R408" s="9">
        <f>VLOOKUP(A408,'Ansvar kurs'!$A$2:$B$943,2,FALSE)</f>
        <v>5730</v>
      </c>
      <c r="T408" s="157"/>
      <c r="U408" s="157"/>
      <c r="V408" s="157"/>
      <c r="W408" s="157"/>
      <c r="X408" s="157"/>
      <c r="Y408" s="157"/>
      <c r="Z408" s="157"/>
    </row>
    <row r="409" spans="1:26" x14ac:dyDescent="0.25">
      <c r="A409" s="222" t="s">
        <v>1930</v>
      </c>
      <c r="B409" s="60" t="s">
        <v>1957</v>
      </c>
      <c r="H409" s="57">
        <v>0.5</v>
      </c>
      <c r="I409" s="57"/>
      <c r="J409" s="57">
        <v>0.5</v>
      </c>
      <c r="O409" s="40">
        <f>C409*Prislapp!$C$2+D409*Prislapp!$D$2+E409*Prislapp!$E$2+F409*Prislapp!$F$2+G409*Prislapp!$G$2+H409*Prislapp!$H$2+I409*Prislapp!$I$2+J409*Prislapp!$J$2+K409*Prislapp!$K$2+L409*Prislapp!$L$2+M409*Prislapp!$M$2+N409*Prislapp!$N$2</f>
        <v>20757</v>
      </c>
      <c r="P409" s="40">
        <f>C409*Prislapp!$C$3+D409*Prislapp!$D$3+E409*Prislapp!$E$3+F409*Prislapp!$F$3+G409*Prislapp!$G$3+H409*Prislapp!$H$3+I409*Prislapp!$I$3+J409*Prislapp!$J$3+K409*Prislapp!$K$3+M409*Prislapp!$M$3+N409*Prislapp!$N$3+L409*Prislapp!$L$3</f>
        <v>36082</v>
      </c>
      <c r="Q409" s="40">
        <f>C409*Prislapp!$C$5+D409*Prislapp!$D$5+E409*Prislapp!$E$5+F409*Prislapp!$F$5+G409*Prislapp!$G$5+H409*Prislapp!$H$5+I409*Prislapp!$I$5+J409*Prislapp!$J$5+K409*Prislapp!$K$5+L409*Prislapp!$L$5+M409*Prislapp!$M$5+N409*Prislapp!$N$5</f>
        <v>22600</v>
      </c>
      <c r="R409" s="9">
        <f>VLOOKUP(A409,'Ansvar kurs'!$A$2:$B$943,2,FALSE)</f>
        <v>5730</v>
      </c>
      <c r="T409" s="157"/>
      <c r="U409" s="157"/>
      <c r="V409" s="157"/>
      <c r="W409" s="157"/>
      <c r="X409" s="157"/>
      <c r="Y409" s="157"/>
      <c r="Z409" s="157"/>
    </row>
    <row r="410" spans="1:26" x14ac:dyDescent="0.25">
      <c r="A410" s="222" t="s">
        <v>2283</v>
      </c>
      <c r="B410" s="60" t="s">
        <v>1853</v>
      </c>
      <c r="H410" s="57">
        <v>1</v>
      </c>
      <c r="I410" s="57"/>
      <c r="J410" s="57"/>
      <c r="O410" s="40">
        <f>C410*Prislapp!$C$2+D410*Prislapp!$D$2+E410*Prislapp!$E$2+F410*Prislapp!$F$2+G410*Prislapp!$G$2+H410*Prislapp!$H$2+I410*Prislapp!$I$2+J410*Prislapp!$J$2+K410*Prislapp!$K$2+L410*Prislapp!$L$2+M410*Prislapp!$M$2+N410*Prislapp!$N$2</f>
        <v>20757</v>
      </c>
      <c r="P410" s="40">
        <f>C410*Prislapp!$C$3+D410*Prislapp!$D$3+E410*Prislapp!$E$3+F410*Prislapp!$F$3+G410*Prislapp!$G$3+H410*Prislapp!$H$3+I410*Prislapp!$I$3+J410*Prislapp!$J$3+K410*Prislapp!$K$3+M410*Prislapp!$M$3+N410*Prislapp!$N$3+L410*Prislapp!$L$3</f>
        <v>36082</v>
      </c>
      <c r="Q410" s="40">
        <f>C410*Prislapp!$C$5+D410*Prislapp!$D$5+E410*Prislapp!$E$5+F410*Prislapp!$F$5+G410*Prislapp!$G$5+H410*Prislapp!$H$5+I410*Prislapp!$I$5+J410*Prislapp!$J$5+K410*Prislapp!$K$5+L410*Prislapp!$L$5+M410*Prislapp!$M$5+N410*Prislapp!$N$5</f>
        <v>22600</v>
      </c>
      <c r="R410" s="9">
        <f>VLOOKUP(A410,'Ansvar kurs'!$A$2:$B$943,2,FALSE)</f>
        <v>5730</v>
      </c>
      <c r="T410" s="157"/>
      <c r="U410" s="157"/>
      <c r="V410" s="157"/>
      <c r="W410" s="157"/>
      <c r="X410" s="157"/>
      <c r="Y410" s="157"/>
      <c r="Z410" s="157"/>
    </row>
    <row r="411" spans="1:26" ht="15.75" x14ac:dyDescent="0.25">
      <c r="A411" s="392" t="s">
        <v>2329</v>
      </c>
      <c r="B411" s="31" t="s">
        <v>1419</v>
      </c>
      <c r="H411" s="31">
        <v>1</v>
      </c>
      <c r="O411" s="40">
        <f>C411*Prislapp!$C$2+D411*Prislapp!$D$2+E411*Prislapp!$E$2+F411*Prislapp!$F$2+G411*Prislapp!$G$2+H411*Prislapp!$H$2+I411*Prislapp!$I$2+J411*Prislapp!$J$2+K411*Prislapp!$K$2+L411*Prislapp!$L$2+M411*Prislapp!$M$2+N411*Prislapp!$N$2</f>
        <v>20757</v>
      </c>
      <c r="P411" s="40">
        <f>C411*Prislapp!$C$3+D411*Prislapp!$D$3+E411*Prislapp!$E$3+F411*Prislapp!$F$3+G411*Prislapp!$G$3+H411*Prislapp!$H$3+I411*Prislapp!$I$3+J411*Prislapp!$J$3+K411*Prislapp!$K$3+M411*Prislapp!$M$3+N411*Prislapp!$N$3+L411*Prislapp!$L$3</f>
        <v>36082</v>
      </c>
      <c r="Q411" s="40">
        <f>C411*Prislapp!$C$5+D411*Prislapp!$D$5+E411*Prislapp!$E$5+F411*Prislapp!$F$5+G411*Prislapp!$G$5+H411*Prislapp!$H$5+I411*Prislapp!$I$5+J411*Prislapp!$J$5+K411*Prislapp!$K$5+L411*Prislapp!$L$5+M411*Prislapp!$M$5+N411*Prislapp!$N$5</f>
        <v>22600</v>
      </c>
      <c r="R411" s="9">
        <f>VLOOKUP(A411,'Ansvar kurs'!$A$2:$B$943,2,FALSE)</f>
        <v>5730</v>
      </c>
      <c r="T411" s="157"/>
      <c r="U411" s="157"/>
      <c r="V411" s="157"/>
      <c r="W411" s="157"/>
      <c r="X411" s="157"/>
      <c r="Y411" s="157"/>
      <c r="Z411" s="157"/>
    </row>
    <row r="412" spans="1:26" x14ac:dyDescent="0.25">
      <c r="A412" s="31" t="s">
        <v>344</v>
      </c>
      <c r="B412" s="31" t="s">
        <v>692</v>
      </c>
      <c r="H412" s="31">
        <v>1</v>
      </c>
      <c r="O412" s="40">
        <f>C412*Prislapp!$C$2+D412*Prislapp!$D$2+E412*Prislapp!$E$2+F412*Prislapp!$F$2+G412*Prislapp!$G$2+H412*Prislapp!$H$2+I412*Prislapp!$I$2+J412*Prislapp!$J$2+K412*Prislapp!$K$2+L412*Prislapp!$L$2+M412*Prislapp!$M$2+N412*Prislapp!$N$2</f>
        <v>20757</v>
      </c>
      <c r="P412" s="40">
        <f>C412*Prislapp!$C$3+D412*Prislapp!$D$3+E412*Prislapp!$E$3+F412*Prislapp!$F$3+G412*Prislapp!$G$3+H412*Prislapp!$H$3+I412*Prislapp!$I$3+J412*Prislapp!$J$3+K412*Prislapp!$K$3+M412*Prislapp!$M$3+N412*Prislapp!$N$3+L412*Prislapp!$L$3</f>
        <v>36082</v>
      </c>
      <c r="Q412" s="40">
        <f>C412*Prislapp!$C$5+D412*Prislapp!$D$5+E412*Prislapp!$E$5+F412*Prislapp!$F$5+G412*Prislapp!$G$5+H412*Prislapp!$H$5+I412*Prislapp!$I$5+J412*Prislapp!$J$5+K412*Prislapp!$K$5+L412*Prislapp!$L$5+M412*Prislapp!$M$5+N412*Prislapp!$N$5</f>
        <v>22600</v>
      </c>
      <c r="R412" s="9">
        <f>VLOOKUP(A412,'Ansvar kurs'!$A$2:$B$943,2,FALSE)</f>
        <v>5740</v>
      </c>
      <c r="S412" s="157" t="s">
        <v>1276</v>
      </c>
      <c r="T412" s="157"/>
      <c r="U412" s="157"/>
      <c r="V412" s="157"/>
      <c r="W412" s="157"/>
      <c r="X412" s="157"/>
      <c r="Y412" s="157"/>
      <c r="Z412" s="157"/>
    </row>
    <row r="413" spans="1:26" x14ac:dyDescent="0.25">
      <c r="A413" s="31" t="s">
        <v>345</v>
      </c>
      <c r="B413" s="31" t="s">
        <v>693</v>
      </c>
      <c r="H413" s="31">
        <v>1</v>
      </c>
      <c r="O413" s="40">
        <f>C413*Prislapp!$C$2+D413*Prislapp!$D$2+E413*Prislapp!$E$2+F413*Prislapp!$F$2+G413*Prislapp!$G$2+H413*Prislapp!$H$2+I413*Prislapp!$I$2+J413*Prislapp!$J$2+K413*Prislapp!$K$2+L413*Prislapp!$L$2+M413*Prislapp!$M$2+N413*Prislapp!$N$2</f>
        <v>20757</v>
      </c>
      <c r="P413" s="40">
        <f>C413*Prislapp!$C$3+D413*Prislapp!$D$3+E413*Prislapp!$E$3+F413*Prislapp!$F$3+G413*Prislapp!$G$3+H413*Prislapp!$H$3+I413*Prislapp!$I$3+J413*Prislapp!$J$3+K413*Prislapp!$K$3+M413*Prislapp!$M$3+N413*Prislapp!$N$3+L413*Prislapp!$L$3</f>
        <v>36082</v>
      </c>
      <c r="Q413" s="40">
        <f>C413*Prislapp!$C$5+D413*Prislapp!$D$5+E413*Prislapp!$E$5+F413*Prislapp!$F$5+G413*Prislapp!$G$5+H413*Prislapp!$H$5+I413*Prislapp!$I$5+J413*Prislapp!$J$5+K413*Prislapp!$K$5+L413*Prislapp!$L$5+M413*Prislapp!$M$5+N413*Prislapp!$N$5</f>
        <v>22600</v>
      </c>
      <c r="R413" s="9">
        <f>VLOOKUP(A413,'Ansvar kurs'!$A$2:$B$943,2,FALSE)</f>
        <v>5740</v>
      </c>
      <c r="S413" s="157" t="s">
        <v>1276</v>
      </c>
      <c r="T413" s="157"/>
      <c r="U413" s="157"/>
      <c r="V413" s="157"/>
      <c r="W413" s="157"/>
      <c r="X413" s="157"/>
      <c r="Y413" s="157"/>
      <c r="Z413" s="157"/>
    </row>
    <row r="414" spans="1:26" x14ac:dyDescent="0.25">
      <c r="A414" s="31" t="s">
        <v>346</v>
      </c>
      <c r="B414" s="31" t="s">
        <v>694</v>
      </c>
      <c r="H414" s="31">
        <v>1</v>
      </c>
      <c r="O414" s="40">
        <f>C414*Prislapp!$C$2+D414*Prislapp!$D$2+E414*Prislapp!$E$2+F414*Prislapp!$F$2+G414*Prislapp!$G$2+H414*Prislapp!$H$2+I414*Prislapp!$I$2+J414*Prislapp!$J$2+K414*Prislapp!$K$2+L414*Prislapp!$L$2+M414*Prislapp!$M$2+N414*Prislapp!$N$2</f>
        <v>20757</v>
      </c>
      <c r="P414" s="40">
        <f>C414*Prislapp!$C$3+D414*Prislapp!$D$3+E414*Prislapp!$E$3+F414*Prislapp!$F$3+G414*Prislapp!$G$3+H414*Prislapp!$H$3+I414*Prislapp!$I$3+J414*Prislapp!$J$3+K414*Prislapp!$K$3+M414*Prislapp!$M$3+N414*Prislapp!$N$3+L414*Prislapp!$L$3</f>
        <v>36082</v>
      </c>
      <c r="Q414" s="40">
        <f>C414*Prislapp!$C$5+D414*Prislapp!$D$5+E414*Prislapp!$E$5+F414*Prislapp!$F$5+G414*Prislapp!$G$5+H414*Prislapp!$H$5+I414*Prislapp!$I$5+J414*Prislapp!$J$5+K414*Prislapp!$K$5+L414*Prislapp!$L$5+M414*Prislapp!$M$5+N414*Prislapp!$N$5</f>
        <v>22600</v>
      </c>
      <c r="R414" s="9">
        <f>VLOOKUP(A414,'Ansvar kurs'!$A$2:$B$943,2,FALSE)</f>
        <v>5740</v>
      </c>
      <c r="S414" s="157" t="s">
        <v>1276</v>
      </c>
      <c r="T414" s="157"/>
      <c r="U414" s="157"/>
      <c r="V414" s="157"/>
      <c r="W414" s="157"/>
      <c r="X414" s="157"/>
      <c r="Y414" s="157"/>
      <c r="Z414" s="157"/>
    </row>
    <row r="415" spans="1:26" x14ac:dyDescent="0.25">
      <c r="A415" s="31" t="s">
        <v>649</v>
      </c>
      <c r="B415" s="31" t="s">
        <v>695</v>
      </c>
      <c r="H415" s="31">
        <v>1</v>
      </c>
      <c r="O415" s="40">
        <f>C415*Prislapp!$C$2+D415*Prislapp!$D$2+E415*Prislapp!$E$2+F415*Prislapp!$F$2+G415*Prislapp!$G$2+H415*Prislapp!$H$2+I415*Prislapp!$I$2+J415*Prislapp!$J$2+K415*Prislapp!$K$2+L415*Prislapp!$L$2+M415*Prislapp!$M$2+N415*Prislapp!$N$2</f>
        <v>20757</v>
      </c>
      <c r="P415" s="40">
        <f>C415*Prislapp!$C$3+D415*Prislapp!$D$3+E415*Prislapp!$E$3+F415*Prislapp!$F$3+G415*Prislapp!$G$3+H415*Prislapp!$H$3+I415*Prislapp!$I$3+J415*Prislapp!$J$3+K415*Prislapp!$K$3+M415*Prislapp!$M$3+N415*Prislapp!$N$3+L415*Prislapp!$L$3</f>
        <v>36082</v>
      </c>
      <c r="Q415" s="40">
        <f>C415*Prislapp!$C$5+D415*Prislapp!$D$5+E415*Prislapp!$E$5+F415*Prislapp!$F$5+G415*Prislapp!$G$5+H415*Prislapp!$H$5+I415*Prislapp!$I$5+J415*Prislapp!$J$5+K415*Prislapp!$K$5+L415*Prislapp!$L$5+M415*Prislapp!$M$5+N415*Prislapp!$N$5</f>
        <v>22600</v>
      </c>
      <c r="R415" s="9">
        <f>VLOOKUP(A415,'Ansvar kurs'!$A$2:$B$943,2,FALSE)</f>
        <v>5740</v>
      </c>
      <c r="S415" s="157"/>
      <c r="T415" s="157"/>
      <c r="U415" s="157"/>
      <c r="V415" s="157"/>
      <c r="W415" s="157"/>
      <c r="X415" s="157"/>
      <c r="Y415" s="157"/>
      <c r="Z415" s="157"/>
    </row>
    <row r="416" spans="1:26" x14ac:dyDescent="0.25">
      <c r="A416" s="31" t="s">
        <v>498</v>
      </c>
      <c r="B416" s="31" t="s">
        <v>696</v>
      </c>
      <c r="H416" s="31">
        <v>1</v>
      </c>
      <c r="O416" s="40">
        <f>C416*Prislapp!$C$2+D416*Prislapp!$D$2+E416*Prislapp!$E$2+F416*Prislapp!$F$2+G416*Prislapp!$G$2+H416*Prislapp!$H$2+I416*Prislapp!$I$2+J416*Prislapp!$J$2+K416*Prislapp!$K$2+L416*Prislapp!$L$2+M416*Prislapp!$M$2+N416*Prislapp!$N$2</f>
        <v>20757</v>
      </c>
      <c r="P416" s="40">
        <f>C416*Prislapp!$C$3+D416*Prislapp!$D$3+E416*Prislapp!$E$3+F416*Prislapp!$F$3+G416*Prislapp!$G$3+H416*Prislapp!$H$3+I416*Prislapp!$I$3+J416*Prislapp!$J$3+K416*Prislapp!$K$3+M416*Prislapp!$M$3+N416*Prislapp!$N$3+L416*Prislapp!$L$3</f>
        <v>36082</v>
      </c>
      <c r="Q416" s="40">
        <f>C416*Prislapp!$C$5+D416*Prislapp!$D$5+E416*Prislapp!$E$5+F416*Prislapp!$F$5+G416*Prislapp!$G$5+H416*Prislapp!$H$5+I416*Prislapp!$I$5+J416*Prislapp!$J$5+K416*Prislapp!$K$5+L416*Prislapp!$L$5+M416*Prislapp!$M$5+N416*Prislapp!$N$5</f>
        <v>22600</v>
      </c>
      <c r="R416" s="9">
        <f>VLOOKUP(A416,'Ansvar kurs'!$A$2:$B$943,2,FALSE)</f>
        <v>5740</v>
      </c>
      <c r="S416" s="157"/>
      <c r="T416" s="157"/>
      <c r="U416" s="157"/>
      <c r="V416" s="157"/>
      <c r="W416" s="157"/>
      <c r="X416" s="157"/>
      <c r="Y416" s="157"/>
      <c r="Z416" s="157"/>
    </row>
    <row r="417" spans="1:26" x14ac:dyDescent="0.25">
      <c r="A417" s="31" t="s">
        <v>499</v>
      </c>
      <c r="B417" s="31" t="s">
        <v>549</v>
      </c>
      <c r="H417" s="31">
        <v>1</v>
      </c>
      <c r="O417" s="40">
        <f>C417*Prislapp!$C$2+D417*Prislapp!$D$2+E417*Prislapp!$E$2+F417*Prislapp!$F$2+G417*Prislapp!$G$2+H417*Prislapp!$H$2+I417*Prislapp!$I$2+J417*Prislapp!$J$2+K417*Prislapp!$K$2+L417*Prislapp!$L$2+M417*Prislapp!$M$2+N417*Prislapp!$N$2</f>
        <v>20757</v>
      </c>
      <c r="P417" s="40">
        <f>C417*Prislapp!$C$3+D417*Prislapp!$D$3+E417*Prislapp!$E$3+F417*Prislapp!$F$3+G417*Prislapp!$G$3+H417*Prislapp!$H$3+I417*Prislapp!$I$3+J417*Prislapp!$J$3+K417*Prislapp!$K$3+M417*Prislapp!$M$3+N417*Prislapp!$N$3+L417*Prislapp!$L$3</f>
        <v>36082</v>
      </c>
      <c r="Q417" s="40">
        <f>C417*Prislapp!$C$5+D417*Prislapp!$D$5+E417*Prislapp!$E$5+F417*Prislapp!$F$5+G417*Prislapp!$G$5+H417*Prislapp!$H$5+I417*Prislapp!$I$5+J417*Prislapp!$J$5+K417*Prislapp!$K$5+L417*Prislapp!$L$5+M417*Prislapp!$M$5+N417*Prislapp!$N$5</f>
        <v>22600</v>
      </c>
      <c r="R417" s="9">
        <f>VLOOKUP(A417,'Ansvar kurs'!$A$2:$B$943,2,FALSE)</f>
        <v>5740</v>
      </c>
      <c r="S417" s="157"/>
      <c r="T417" s="157"/>
      <c r="U417" s="157"/>
      <c r="V417" s="157"/>
      <c r="W417" s="157"/>
      <c r="X417" s="157"/>
      <c r="Y417" s="157"/>
      <c r="Z417" s="157"/>
    </row>
    <row r="418" spans="1:26" x14ac:dyDescent="0.25">
      <c r="A418" s="31" t="s">
        <v>650</v>
      </c>
      <c r="B418" s="31" t="s">
        <v>697</v>
      </c>
      <c r="H418" s="31">
        <v>1</v>
      </c>
      <c r="O418" s="40">
        <f>C418*Prislapp!$C$2+D418*Prislapp!$D$2+E418*Prislapp!$E$2+F418*Prislapp!$F$2+G418*Prislapp!$G$2+H418*Prislapp!$H$2+I418*Prislapp!$I$2+J418*Prislapp!$J$2+K418*Prislapp!$K$2+L418*Prislapp!$L$2+M418*Prislapp!$M$2+N418*Prislapp!$N$2</f>
        <v>20757</v>
      </c>
      <c r="P418" s="40">
        <f>C418*Prislapp!$C$3+D418*Prislapp!$D$3+E418*Prislapp!$E$3+F418*Prislapp!$F$3+G418*Prislapp!$G$3+H418*Prislapp!$H$3+I418*Prislapp!$I$3+J418*Prislapp!$J$3+K418*Prislapp!$K$3+M418*Prislapp!$M$3+N418*Prislapp!$N$3+L418*Prislapp!$L$3</f>
        <v>36082</v>
      </c>
      <c r="Q418" s="40">
        <f>C418*Prislapp!$C$5+D418*Prislapp!$D$5+E418*Prislapp!$E$5+F418*Prislapp!$F$5+G418*Prislapp!$G$5+H418*Prislapp!$H$5+I418*Prislapp!$I$5+J418*Prislapp!$J$5+K418*Prislapp!$K$5+L418*Prislapp!$L$5+M418*Prislapp!$M$5+N418*Prislapp!$N$5</f>
        <v>22600</v>
      </c>
      <c r="R418" s="9">
        <f>VLOOKUP(A418,'Ansvar kurs'!$A$2:$B$943,2,FALSE)</f>
        <v>5740</v>
      </c>
      <c r="S418" s="157"/>
      <c r="T418" s="157"/>
      <c r="U418" s="157"/>
      <c r="V418" s="157"/>
      <c r="W418" s="157"/>
      <c r="X418" s="157"/>
      <c r="Y418" s="157"/>
      <c r="Z418" s="157"/>
    </row>
    <row r="419" spans="1:26" x14ac:dyDescent="0.25">
      <c r="A419" s="31" t="s">
        <v>651</v>
      </c>
      <c r="B419" s="31" t="s">
        <v>698</v>
      </c>
      <c r="H419" s="31">
        <v>1</v>
      </c>
      <c r="O419" s="40">
        <f>C419*Prislapp!$C$2+D419*Prislapp!$D$2+E419*Prislapp!$E$2+F419*Prislapp!$F$2+G419*Prislapp!$G$2+H419*Prislapp!$H$2+I419*Prislapp!$I$2+J419*Prislapp!$J$2+K419*Prislapp!$K$2+L419*Prislapp!$L$2+M419*Prislapp!$M$2+N419*Prislapp!$N$2</f>
        <v>20757</v>
      </c>
      <c r="P419" s="40">
        <f>C419*Prislapp!$C$3+D419*Prislapp!$D$3+E419*Prislapp!$E$3+F419*Prislapp!$F$3+G419*Prislapp!$G$3+H419*Prislapp!$H$3+I419*Prislapp!$I$3+J419*Prislapp!$J$3+K419*Prislapp!$K$3+M419*Prislapp!$M$3+N419*Prislapp!$N$3+L419*Prislapp!$L$3</f>
        <v>36082</v>
      </c>
      <c r="Q419" s="40">
        <f>C419*Prislapp!$C$5+D419*Prislapp!$D$5+E419*Prislapp!$E$5+F419*Prislapp!$F$5+G419*Prislapp!$G$5+H419*Prislapp!$H$5+I419*Prislapp!$I$5+J419*Prislapp!$J$5+K419*Prislapp!$K$5+L419*Prislapp!$L$5+M419*Prislapp!$M$5+N419*Prislapp!$N$5</f>
        <v>22600</v>
      </c>
      <c r="R419" s="9">
        <f>VLOOKUP(A419,'Ansvar kurs'!$A$2:$B$943,2,FALSE)</f>
        <v>5740</v>
      </c>
      <c r="S419" s="157"/>
      <c r="T419" s="157"/>
      <c r="U419" s="157"/>
      <c r="V419" s="157"/>
      <c r="W419" s="157"/>
      <c r="X419" s="157"/>
      <c r="Y419" s="157"/>
      <c r="Z419" s="157"/>
    </row>
    <row r="420" spans="1:26" x14ac:dyDescent="0.25">
      <c r="A420" s="31" t="s">
        <v>573</v>
      </c>
      <c r="B420" s="31" t="s">
        <v>699</v>
      </c>
      <c r="H420" s="31">
        <v>1</v>
      </c>
      <c r="O420" s="40">
        <f>C420*Prislapp!$C$2+D420*Prislapp!$D$2+E420*Prislapp!$E$2+F420*Prislapp!$F$2+G420*Prislapp!$G$2+H420*Prislapp!$H$2+I420*Prislapp!$I$2+J420*Prislapp!$J$2+K420*Prislapp!$K$2+L420*Prislapp!$L$2+M420*Prislapp!$M$2+N420*Prislapp!$N$2</f>
        <v>20757</v>
      </c>
      <c r="P420" s="40">
        <f>C420*Prislapp!$C$3+D420*Prislapp!$D$3+E420*Prislapp!$E$3+F420*Prislapp!$F$3+G420*Prislapp!$G$3+H420*Prislapp!$H$3+I420*Prislapp!$I$3+J420*Prislapp!$J$3+K420*Prislapp!$K$3+M420*Prislapp!$M$3+N420*Prislapp!$N$3+L420*Prislapp!$L$3</f>
        <v>36082</v>
      </c>
      <c r="Q420" s="40">
        <f>C420*Prislapp!$C$5+D420*Prislapp!$D$5+E420*Prislapp!$E$5+F420*Prislapp!$F$5+G420*Prislapp!$G$5+H420*Prislapp!$H$5+I420*Prislapp!$I$5+J420*Prislapp!$J$5+K420*Prislapp!$K$5+L420*Prislapp!$L$5+M420*Prislapp!$M$5+N420*Prislapp!$N$5</f>
        <v>22600</v>
      </c>
      <c r="R420" s="9">
        <f>VLOOKUP(A420,'Ansvar kurs'!$A$2:$B$943,2,FALSE)</f>
        <v>5740</v>
      </c>
      <c r="S420" s="157"/>
      <c r="T420" s="157"/>
      <c r="U420" s="157"/>
      <c r="V420" s="157"/>
      <c r="W420" s="157"/>
      <c r="X420" s="157"/>
      <c r="Y420" s="157"/>
      <c r="Z420" s="157"/>
    </row>
    <row r="421" spans="1:26" x14ac:dyDescent="0.25">
      <c r="A421" s="31" t="s">
        <v>575</v>
      </c>
      <c r="B421" s="31" t="s">
        <v>700</v>
      </c>
      <c r="H421" s="31">
        <v>1</v>
      </c>
      <c r="O421" s="40">
        <f>C421*Prislapp!$C$2+D421*Prislapp!$D$2+E421*Prislapp!$E$2+F421*Prislapp!$F$2+G421*Prislapp!$G$2+H421*Prislapp!$H$2+I421*Prislapp!$I$2+J421*Prislapp!$J$2+K421*Prislapp!$K$2+L421*Prislapp!$L$2+M421*Prislapp!$M$2+N421*Prislapp!$N$2</f>
        <v>20757</v>
      </c>
      <c r="P421" s="40">
        <f>C421*Prislapp!$C$3+D421*Prislapp!$D$3+E421*Prislapp!$E$3+F421*Prislapp!$F$3+G421*Prislapp!$G$3+H421*Prislapp!$H$3+I421*Prislapp!$I$3+J421*Prislapp!$J$3+K421*Prislapp!$K$3+M421*Prislapp!$M$3+N421*Prislapp!$N$3+L421*Prislapp!$L$3</f>
        <v>36082</v>
      </c>
      <c r="Q421" s="40">
        <f>C421*Prislapp!$C$5+D421*Prislapp!$D$5+E421*Prislapp!$E$5+F421*Prislapp!$F$5+G421*Prislapp!$G$5+H421*Prislapp!$H$5+I421*Prislapp!$I$5+J421*Prislapp!$J$5+K421*Prislapp!$K$5+L421*Prislapp!$L$5+M421*Prislapp!$M$5+N421*Prislapp!$N$5</f>
        <v>22600</v>
      </c>
      <c r="R421" s="9">
        <f>VLOOKUP(A421,'Ansvar kurs'!$A$2:$B$943,2,FALSE)</f>
        <v>5740</v>
      </c>
      <c r="S421" s="157"/>
      <c r="T421" s="157"/>
      <c r="U421" s="157"/>
      <c r="V421" s="157"/>
      <c r="W421" s="157"/>
      <c r="X421" s="157"/>
      <c r="Y421" s="157"/>
      <c r="Z421" s="157"/>
    </row>
    <row r="422" spans="1:26" x14ac:dyDescent="0.25">
      <c r="A422" s="221" t="s">
        <v>588</v>
      </c>
      <c r="B422" s="31" t="s">
        <v>1161</v>
      </c>
      <c r="H422" s="31">
        <v>1</v>
      </c>
      <c r="O422" s="40">
        <f>C422*Prislapp!$C$2+D422*Prislapp!$D$2+E422*Prislapp!$E$2+F422*Prislapp!$F$2+G422*Prislapp!$G$2+H422*Prislapp!$H$2+I422*Prislapp!$I$2+J422*Prislapp!$J$2+K422*Prislapp!$K$2+L422*Prislapp!$L$2+M422*Prislapp!$M$2+N422*Prislapp!$N$2</f>
        <v>20757</v>
      </c>
      <c r="P422" s="40">
        <f>C422*Prislapp!$C$3+D422*Prislapp!$D$3+E422*Prislapp!$E$3+F422*Prislapp!$F$3+G422*Prislapp!$G$3+H422*Prislapp!$H$3+I422*Prislapp!$I$3+J422*Prislapp!$J$3+K422*Prislapp!$K$3+M422*Prislapp!$M$3+N422*Prislapp!$N$3+L422*Prislapp!$L$3</f>
        <v>36082</v>
      </c>
      <c r="Q422" s="40">
        <f>C422*Prislapp!$C$5+D422*Prislapp!$D$5+E422*Prislapp!$E$5+F422*Prislapp!$F$5+G422*Prislapp!$G$5+H422*Prislapp!$H$5+I422*Prislapp!$I$5+J422*Prislapp!$J$5+K422*Prislapp!$K$5+L422*Prislapp!$L$5+M422*Prislapp!$M$5+N422*Prislapp!$N$5</f>
        <v>22600</v>
      </c>
      <c r="R422" s="9">
        <f>VLOOKUP(A422,'Ansvar kurs'!$A$2:$B$943,2,FALSE)</f>
        <v>5740</v>
      </c>
      <c r="S422" s="157"/>
      <c r="T422" s="157"/>
      <c r="U422" s="157"/>
      <c r="V422" s="157"/>
      <c r="W422" s="157"/>
      <c r="X422" s="157"/>
      <c r="Y422" s="157"/>
      <c r="Z422" s="157"/>
    </row>
    <row r="423" spans="1:26" x14ac:dyDescent="0.25">
      <c r="A423" s="31" t="s">
        <v>574</v>
      </c>
      <c r="B423" s="31" t="s">
        <v>546</v>
      </c>
      <c r="H423" s="31">
        <v>1</v>
      </c>
      <c r="O423" s="40">
        <f>C423*Prislapp!$C$2+D423*Prislapp!$D$2+E423*Prislapp!$E$2+F423*Prislapp!$F$2+G423*Prislapp!$G$2+H423*Prislapp!$H$2+I423*Prislapp!$I$2+J423*Prislapp!$J$2+K423*Prislapp!$K$2+L423*Prislapp!$L$2+M423*Prislapp!$M$2+N423*Prislapp!$N$2</f>
        <v>20757</v>
      </c>
      <c r="P423" s="40">
        <f>C423*Prislapp!$C$3+D423*Prislapp!$D$3+E423*Prislapp!$E$3+F423*Prislapp!$F$3+G423*Prislapp!$G$3+H423*Prislapp!$H$3+I423*Prislapp!$I$3+J423*Prislapp!$J$3+K423*Prislapp!$K$3+M423*Prislapp!$M$3+N423*Prislapp!$N$3+L423*Prislapp!$L$3</f>
        <v>36082</v>
      </c>
      <c r="Q423" s="40">
        <f>C423*Prislapp!$C$5+D423*Prislapp!$D$5+E423*Prislapp!$E$5+F423*Prislapp!$F$5+G423*Prislapp!$G$5+H423*Prislapp!$H$5+I423*Prislapp!$I$5+J423*Prislapp!$J$5+K423*Prislapp!$K$5+L423*Prislapp!$L$5+M423*Prislapp!$M$5+N423*Prislapp!$N$5</f>
        <v>22600</v>
      </c>
      <c r="R423" s="9">
        <f>VLOOKUP(A423,'Ansvar kurs'!$A$2:$B$943,2,FALSE)</f>
        <v>5740</v>
      </c>
      <c r="S423" s="157"/>
      <c r="T423" s="157"/>
      <c r="U423" s="157"/>
      <c r="V423" s="157"/>
      <c r="W423" s="157"/>
      <c r="X423" s="157"/>
      <c r="Y423" s="157"/>
      <c r="Z423" s="157"/>
    </row>
    <row r="424" spans="1:26" x14ac:dyDescent="0.25">
      <c r="A424" s="221" t="s">
        <v>576</v>
      </c>
      <c r="B424" s="31" t="s">
        <v>547</v>
      </c>
      <c r="H424" s="31">
        <v>1</v>
      </c>
      <c r="O424" s="40">
        <f>C424*Prislapp!$C$2+D424*Prislapp!$D$2+E424*Prislapp!$E$2+F424*Prislapp!$F$2+G424*Prislapp!$G$2+H424*Prislapp!$H$2+I424*Prislapp!$I$2+J424*Prislapp!$J$2+K424*Prislapp!$K$2+L424*Prislapp!$L$2+M424*Prislapp!$M$2+N424*Prislapp!$N$2</f>
        <v>20757</v>
      </c>
      <c r="P424" s="40">
        <f>C424*Prislapp!$C$3+D424*Prislapp!$D$3+E424*Prislapp!$E$3+F424*Prislapp!$F$3+G424*Prislapp!$G$3+H424*Prislapp!$H$3+I424*Prislapp!$I$3+J424*Prislapp!$J$3+K424*Prislapp!$K$3+M424*Prislapp!$M$3+N424*Prislapp!$N$3+L424*Prislapp!$L$3</f>
        <v>36082</v>
      </c>
      <c r="Q424" s="40">
        <f>C424*Prislapp!$C$5+D424*Prislapp!$D$5+E424*Prislapp!$E$5+F424*Prislapp!$F$5+G424*Prislapp!$G$5+H424*Prislapp!$H$5+I424*Prislapp!$I$5+J424*Prislapp!$J$5+K424*Prislapp!$K$5+L424*Prislapp!$L$5+M424*Prislapp!$M$5+N424*Prislapp!$N$5</f>
        <v>22600</v>
      </c>
      <c r="R424" s="9">
        <f>VLOOKUP(A424,'Ansvar kurs'!$A$2:$B$943,2,FALSE)</f>
        <v>5740</v>
      </c>
      <c r="S424" s="157"/>
      <c r="T424" s="157"/>
      <c r="U424" s="157"/>
      <c r="V424" s="157"/>
      <c r="W424" s="157"/>
      <c r="X424" s="157"/>
      <c r="Y424" s="157"/>
      <c r="Z424" s="157"/>
    </row>
    <row r="425" spans="1:26" x14ac:dyDescent="0.25">
      <c r="A425" s="221" t="s">
        <v>589</v>
      </c>
      <c r="B425" s="31" t="s">
        <v>610</v>
      </c>
      <c r="H425" s="31">
        <v>1</v>
      </c>
      <c r="O425" s="40">
        <f>C425*Prislapp!$C$2+D425*Prislapp!$D$2+E425*Prislapp!$E$2+F425*Prislapp!$F$2+G425*Prislapp!$G$2+H425*Prislapp!$H$2+I425*Prislapp!$I$2+J425*Prislapp!$J$2+K425*Prislapp!$K$2+L425*Prislapp!$L$2+M425*Prislapp!$M$2+N425*Prislapp!$N$2</f>
        <v>20757</v>
      </c>
      <c r="P425" s="40">
        <f>C425*Prislapp!$C$3+D425*Prislapp!$D$3+E425*Prislapp!$E$3+F425*Prislapp!$F$3+G425*Prislapp!$G$3+H425*Prislapp!$H$3+I425*Prislapp!$I$3+J425*Prislapp!$J$3+K425*Prislapp!$K$3+M425*Prislapp!$M$3+N425*Prislapp!$N$3+L425*Prislapp!$L$3</f>
        <v>36082</v>
      </c>
      <c r="Q425" s="40">
        <f>C425*Prislapp!$C$5+D425*Prislapp!$D$5+E425*Prislapp!$E$5+F425*Prislapp!$F$5+G425*Prislapp!$G$5+H425*Prislapp!$H$5+I425*Prislapp!$I$5+J425*Prislapp!$J$5+K425*Prislapp!$K$5+L425*Prislapp!$L$5+M425*Prislapp!$M$5+N425*Prislapp!$N$5</f>
        <v>22600</v>
      </c>
      <c r="R425" s="9">
        <f>VLOOKUP(A425,'Ansvar kurs'!$A$2:$B$943,2,FALSE)</f>
        <v>5740</v>
      </c>
      <c r="S425" s="157"/>
      <c r="T425" s="157"/>
      <c r="U425" s="157"/>
      <c r="V425" s="157"/>
      <c r="W425" s="157"/>
      <c r="X425" s="157"/>
      <c r="Y425" s="157"/>
      <c r="Z425" s="157"/>
    </row>
    <row r="426" spans="1:26" x14ac:dyDescent="0.25">
      <c r="A426" s="221" t="s">
        <v>883</v>
      </c>
      <c r="B426" s="31" t="s">
        <v>890</v>
      </c>
      <c r="L426" s="31">
        <v>1</v>
      </c>
      <c r="O426" s="40">
        <f>C426*Prislapp!$C$2+D426*Prislapp!$D$2+E426*Prislapp!$E$2+F426*Prislapp!$F$2+G426*Prislapp!$G$2+H426*Prislapp!$H$2+I426*Prislapp!$I$2+J426*Prislapp!$J$2+K426*Prislapp!$K$2+L426*Prislapp!$L$2+M426*Prislapp!$M$2+N426*Prislapp!$N$2</f>
        <v>20766</v>
      </c>
      <c r="P426" s="40">
        <f>C426*Prislapp!$C$3+D426*Prislapp!$D$3+E426*Prislapp!$E$3+F426*Prislapp!$F$3+G426*Prislapp!$G$3+H426*Prislapp!$H$3+I426*Prislapp!$I$3+J426*Prislapp!$J$3+K426*Prislapp!$K$3+M426*Prislapp!$M$3+N426*Prislapp!$N$3+L426*Prislapp!$L$3</f>
        <v>17442</v>
      </c>
      <c r="Q426" s="40">
        <f>C426*Prislapp!$C$5+D426*Prislapp!$D$5+E426*Prislapp!$E$5+F426*Prislapp!$F$5+G426*Prislapp!$G$5+H426*Prislapp!$H$5+I426*Prislapp!$I$5+J426*Prislapp!$J$5+K426*Prislapp!$K$5+L426*Prislapp!$L$5+M426*Prislapp!$M$5+N426*Prislapp!$N$5</f>
        <v>6000</v>
      </c>
      <c r="R426" s="9">
        <f>VLOOKUP(A426,'Ansvar kurs'!$A$2:$B$943,2,FALSE)</f>
        <v>5740</v>
      </c>
      <c r="S426" s="157"/>
      <c r="T426" s="157"/>
      <c r="U426" s="157"/>
      <c r="V426" s="157"/>
      <c r="W426" s="157"/>
      <c r="X426" s="157"/>
      <c r="Y426" s="157"/>
      <c r="Z426" s="157"/>
    </row>
    <row r="427" spans="1:26" x14ac:dyDescent="0.25">
      <c r="A427" s="221" t="s">
        <v>1090</v>
      </c>
      <c r="B427" s="31" t="s">
        <v>692</v>
      </c>
      <c r="H427" s="31">
        <v>1</v>
      </c>
      <c r="O427" s="40">
        <f>C427*Prislapp!$C$2+D427*Prislapp!$D$2+E427*Prislapp!$E$2+F427*Prislapp!$F$2+G427*Prislapp!$G$2+H427*Prislapp!$H$2+I427*Prislapp!$I$2+J427*Prislapp!$J$2+K427*Prislapp!$K$2+L427*Prislapp!$L$2+M427*Prislapp!$M$2+N427*Prislapp!$N$2</f>
        <v>20757</v>
      </c>
      <c r="P427" s="40">
        <f>C427*Prislapp!$C$3+D427*Prislapp!$D$3+E427*Prislapp!$E$3+F427*Prislapp!$F$3+G427*Prislapp!$G$3+H427*Prislapp!$H$3+I427*Prislapp!$I$3+J427*Prislapp!$J$3+K427*Prislapp!$K$3+M427*Prislapp!$M$3+N427*Prislapp!$N$3+L427*Prislapp!$L$3</f>
        <v>36082</v>
      </c>
      <c r="Q427" s="40">
        <f>C427*Prislapp!$C$5+D427*Prislapp!$D$5+E427*Prislapp!$E$5+F427*Prislapp!$F$5+G427*Prislapp!$G$5+H427*Prislapp!$H$5+I427*Prislapp!$I$5+J427*Prislapp!$J$5+K427*Prislapp!$K$5+L427*Prislapp!$L$5+M427*Prislapp!$M$5+N427*Prislapp!$N$5</f>
        <v>22600</v>
      </c>
      <c r="R427" s="9">
        <f>VLOOKUP(A427,'Ansvar kurs'!$A$2:$B$943,2,FALSE)</f>
        <v>5740</v>
      </c>
      <c r="S427" s="157" t="s">
        <v>1088</v>
      </c>
      <c r="T427" s="157"/>
      <c r="U427" s="157"/>
      <c r="V427" s="157"/>
      <c r="W427" s="157"/>
      <c r="X427" s="157"/>
      <c r="Y427" s="157"/>
      <c r="Z427" s="157"/>
    </row>
    <row r="428" spans="1:26" x14ac:dyDescent="0.25">
      <c r="A428" s="221" t="s">
        <v>1091</v>
      </c>
      <c r="B428" s="31" t="s">
        <v>693</v>
      </c>
      <c r="H428" s="31">
        <v>1</v>
      </c>
      <c r="O428" s="40">
        <f>C428*Prislapp!$C$2+D428*Prislapp!$D$2+E428*Prislapp!$E$2+F428*Prislapp!$F$2+G428*Prislapp!$G$2+H428*Prislapp!$H$2+I428*Prislapp!$I$2+J428*Prislapp!$J$2+K428*Prislapp!$K$2+L428*Prislapp!$L$2+M428*Prislapp!$M$2+N428*Prislapp!$N$2</f>
        <v>20757</v>
      </c>
      <c r="P428" s="40">
        <f>C428*Prislapp!$C$3+D428*Prislapp!$D$3+E428*Prislapp!$E$3+F428*Prislapp!$F$3+G428*Prislapp!$G$3+H428*Prislapp!$H$3+I428*Prislapp!$I$3+J428*Prislapp!$J$3+K428*Prislapp!$K$3+M428*Prislapp!$M$3+N428*Prislapp!$N$3+L428*Prislapp!$L$3</f>
        <v>36082</v>
      </c>
      <c r="Q428" s="40">
        <f>C428*Prislapp!$C$5+D428*Prislapp!$D$5+E428*Prislapp!$E$5+F428*Prislapp!$F$5+G428*Prislapp!$G$5+H428*Prislapp!$H$5+I428*Prislapp!$I$5+J428*Prislapp!$J$5+K428*Prislapp!$K$5+L428*Prislapp!$L$5+M428*Prislapp!$M$5+N428*Prislapp!$N$5</f>
        <v>22600</v>
      </c>
      <c r="R428" s="9">
        <f>VLOOKUP(A428,'Ansvar kurs'!$A$2:$B$943,2,FALSE)</f>
        <v>5740</v>
      </c>
      <c r="S428" s="157" t="s">
        <v>1088</v>
      </c>
      <c r="T428" s="157"/>
      <c r="U428" s="157"/>
      <c r="V428" s="157"/>
      <c r="W428" s="157"/>
      <c r="X428" s="157"/>
      <c r="Y428" s="157"/>
      <c r="Z428" s="157"/>
    </row>
    <row r="429" spans="1:26" x14ac:dyDescent="0.25">
      <c r="A429" s="221" t="s">
        <v>1092</v>
      </c>
      <c r="B429" s="31" t="s">
        <v>694</v>
      </c>
      <c r="H429" s="31">
        <v>1</v>
      </c>
      <c r="O429" s="40">
        <f>C429*Prislapp!$C$2+D429*Prislapp!$D$2+E429*Prislapp!$E$2+F429*Prislapp!$F$2+G429*Prislapp!$G$2+H429*Prislapp!$H$2+I429*Prislapp!$I$2+J429*Prislapp!$J$2+K429*Prislapp!$K$2+L429*Prislapp!$L$2+M429*Prislapp!$M$2+N429*Prislapp!$N$2</f>
        <v>20757</v>
      </c>
      <c r="P429" s="40">
        <f>C429*Prislapp!$C$3+D429*Prislapp!$D$3+E429*Prislapp!$E$3+F429*Prislapp!$F$3+G429*Prislapp!$G$3+H429*Prislapp!$H$3+I429*Prislapp!$I$3+J429*Prislapp!$J$3+K429*Prislapp!$K$3+M429*Prislapp!$M$3+N429*Prislapp!$N$3+L429*Prislapp!$L$3</f>
        <v>36082</v>
      </c>
      <c r="Q429" s="40">
        <f>C429*Prislapp!$C$5+D429*Prislapp!$D$5+E429*Prislapp!$E$5+F429*Prislapp!$F$5+G429*Prislapp!$G$5+H429*Prislapp!$H$5+I429*Prislapp!$I$5+J429*Prislapp!$J$5+K429*Prislapp!$K$5+L429*Prislapp!$L$5+M429*Prislapp!$M$5+N429*Prislapp!$N$5</f>
        <v>22600</v>
      </c>
      <c r="R429" s="9">
        <f>VLOOKUP(A429,'Ansvar kurs'!$A$2:$B$943,2,FALSE)</f>
        <v>5740</v>
      </c>
      <c r="S429" s="157" t="s">
        <v>1088</v>
      </c>
      <c r="T429" s="157"/>
      <c r="U429" s="157"/>
      <c r="V429" s="157"/>
      <c r="W429" s="157"/>
      <c r="X429" s="157"/>
      <c r="Y429" s="157"/>
      <c r="Z429" s="157"/>
    </row>
    <row r="430" spans="1:26" x14ac:dyDescent="0.25">
      <c r="A430" s="221" t="s">
        <v>1902</v>
      </c>
      <c r="B430" s="31" t="s">
        <v>1912</v>
      </c>
      <c r="H430" s="31">
        <v>1</v>
      </c>
      <c r="O430" s="40">
        <f>C430*Prislapp!$C$2+D430*Prislapp!$D$2+E430*Prislapp!$E$2+F430*Prislapp!$F$2+G430*Prislapp!$G$2+H430*Prislapp!$H$2+I430*Prislapp!$I$2+J430*Prislapp!$J$2+K430*Prislapp!$K$2+L430*Prislapp!$L$2+M430*Prislapp!$M$2+N430*Prislapp!$N$2</f>
        <v>20757</v>
      </c>
      <c r="P430" s="40">
        <f>C430*Prislapp!$C$3+D430*Prislapp!$D$3+E430*Prislapp!$E$3+F430*Prislapp!$F$3+G430*Prislapp!$G$3+H430*Prislapp!$H$3+I430*Prislapp!$I$3+J430*Prislapp!$J$3+K430*Prislapp!$K$3+M430*Prislapp!$M$3+N430*Prislapp!$N$3+L430*Prislapp!$L$3</f>
        <v>36082</v>
      </c>
      <c r="Q430" s="40">
        <f>C430*Prislapp!$C$5+D430*Prislapp!$D$5+E430*Prislapp!$E$5+F430*Prislapp!$F$5+G430*Prislapp!$G$5+H430*Prislapp!$H$5+I430*Prislapp!$I$5+J430*Prislapp!$J$5+K430*Prislapp!$K$5+L430*Prislapp!$L$5+M430*Prislapp!$M$5+N430*Prislapp!$N$5</f>
        <v>22600</v>
      </c>
      <c r="R430" s="9">
        <f>VLOOKUP(A430,'Ansvar kurs'!$A$2:$B$943,2,FALSE)</f>
        <v>5740</v>
      </c>
      <c r="T430" s="157"/>
      <c r="U430" s="157"/>
      <c r="V430" s="157"/>
      <c r="W430" s="157"/>
      <c r="X430" s="157"/>
      <c r="Y430" s="157"/>
      <c r="Z430" s="157"/>
    </row>
    <row r="431" spans="1:26" x14ac:dyDescent="0.25">
      <c r="A431" s="221" t="s">
        <v>1321</v>
      </c>
      <c r="B431" s="31" t="s">
        <v>1322</v>
      </c>
      <c r="H431" s="31">
        <v>1</v>
      </c>
      <c r="O431" s="40">
        <f>C431*Prislapp!$C$2+D431*Prislapp!$D$2+E431*Prislapp!$E$2+F431*Prislapp!$F$2+G431*Prislapp!$G$2+H431*Prislapp!$H$2+I431*Prislapp!$I$2+J431*Prislapp!$J$2+K431*Prislapp!$K$2+L431*Prislapp!$L$2+M431*Prislapp!$M$2+N431*Prislapp!$N$2</f>
        <v>20757</v>
      </c>
      <c r="P431" s="40">
        <f>C431*Prislapp!$C$3+D431*Prislapp!$D$3+E431*Prislapp!$E$3+F431*Prislapp!$F$3+G431*Prislapp!$G$3+H431*Prislapp!$H$3+I431*Prislapp!$I$3+J431*Prislapp!$J$3+K431*Prislapp!$K$3+M431*Prislapp!$M$3+N431*Prislapp!$N$3+L431*Prislapp!$L$3</f>
        <v>36082</v>
      </c>
      <c r="Q431" s="40">
        <f>C431*Prislapp!$C$5+D431*Prislapp!$D$5+E431*Prislapp!$E$5+F431*Prislapp!$F$5+G431*Prislapp!$G$5+H431*Prislapp!$H$5+I431*Prislapp!$I$5+J431*Prislapp!$J$5+K431*Prislapp!$K$5+L431*Prislapp!$L$5+M431*Prislapp!$M$5+N431*Prislapp!$N$5</f>
        <v>22600</v>
      </c>
      <c r="R431" s="9">
        <f>VLOOKUP(A431,'Ansvar kurs'!$A$2:$B$943,2,FALSE)</f>
        <v>5740</v>
      </c>
      <c r="S431" s="157"/>
      <c r="T431" s="157"/>
      <c r="U431" s="157"/>
      <c r="V431" s="157"/>
      <c r="W431" s="157"/>
      <c r="X431" s="157"/>
      <c r="Y431" s="157"/>
      <c r="Z431" s="157"/>
    </row>
    <row r="432" spans="1:26" x14ac:dyDescent="0.25">
      <c r="A432" s="221" t="s">
        <v>1420</v>
      </c>
      <c r="B432" s="31" t="s">
        <v>1421</v>
      </c>
      <c r="H432" s="31">
        <v>1</v>
      </c>
      <c r="O432" s="40">
        <f>C432*Prislapp!$C$2+D432*Prislapp!$D$2+E432*Prislapp!$E$2+F432*Prislapp!$F$2+G432*Prislapp!$G$2+H432*Prislapp!$H$2+I432*Prislapp!$I$2+J432*Prislapp!$J$2+K432*Prislapp!$K$2+L432*Prislapp!$L$2+M432*Prislapp!$M$2+N432*Prislapp!$N$2</f>
        <v>20757</v>
      </c>
      <c r="P432" s="40">
        <f>C432*Prislapp!$C$3+D432*Prislapp!$D$3+E432*Prislapp!$E$3+F432*Prislapp!$F$3+G432*Prislapp!$G$3+H432*Prislapp!$H$3+I432*Prislapp!$I$3+J432*Prislapp!$J$3+K432*Prislapp!$K$3+M432*Prislapp!$M$3+N432*Prislapp!$N$3+L432*Prislapp!$L$3</f>
        <v>36082</v>
      </c>
      <c r="Q432" s="40">
        <f>C432*Prislapp!$C$5+D432*Prislapp!$D$5+E432*Prislapp!$E$5+F432*Prislapp!$F$5+G432*Prislapp!$G$5+H432*Prislapp!$H$5+I432*Prislapp!$I$5+J432*Prislapp!$J$5+K432*Prislapp!$K$5+L432*Prislapp!$L$5+M432*Prislapp!$M$5+N432*Prislapp!$N$5</f>
        <v>22600</v>
      </c>
      <c r="R432" s="9">
        <f>VLOOKUP(A432,'Ansvar kurs'!$A$2:$B$943,2,FALSE)</f>
        <v>5740</v>
      </c>
      <c r="S432" s="157"/>
      <c r="T432" s="157"/>
      <c r="U432" s="157"/>
      <c r="V432" s="157"/>
      <c r="W432" s="157"/>
      <c r="X432" s="157"/>
      <c r="Y432" s="157"/>
      <c r="Z432" s="157"/>
    </row>
    <row r="433" spans="1:26" x14ac:dyDescent="0.25">
      <c r="A433" s="221" t="s">
        <v>1422</v>
      </c>
      <c r="B433" s="31" t="s">
        <v>1423</v>
      </c>
      <c r="H433" s="31">
        <v>1</v>
      </c>
      <c r="O433" s="40">
        <f>C433*Prislapp!$C$2+D433*Prislapp!$D$2+E433*Prislapp!$E$2+F433*Prislapp!$F$2+G433*Prislapp!$G$2+H433*Prislapp!$H$2+I433*Prislapp!$I$2+J433*Prislapp!$J$2+K433*Prislapp!$K$2+L433*Prislapp!$L$2+M433*Prislapp!$M$2+N433*Prislapp!$N$2</f>
        <v>20757</v>
      </c>
      <c r="P433" s="40">
        <f>C433*Prislapp!$C$3+D433*Prislapp!$D$3+E433*Prislapp!$E$3+F433*Prislapp!$F$3+G433*Prislapp!$G$3+H433*Prislapp!$H$3+I433*Prislapp!$I$3+J433*Prislapp!$J$3+K433*Prislapp!$K$3+M433*Prislapp!$M$3+N433*Prislapp!$N$3+L433*Prislapp!$L$3</f>
        <v>36082</v>
      </c>
      <c r="Q433" s="40">
        <f>C433*Prislapp!$C$5+D433*Prislapp!$D$5+E433*Prislapp!$E$5+F433*Prislapp!$F$5+G433*Prislapp!$G$5+H433*Prislapp!$H$5+I433*Prislapp!$I$5+J433*Prislapp!$J$5+K433*Prislapp!$K$5+L433*Prislapp!$L$5+M433*Prislapp!$M$5+N433*Prislapp!$N$5</f>
        <v>22600</v>
      </c>
      <c r="R433" s="9">
        <f>VLOOKUP(A433,'Ansvar kurs'!$A$2:$B$943,2,FALSE)</f>
        <v>5740</v>
      </c>
      <c r="S433" s="157"/>
      <c r="T433" s="157"/>
      <c r="U433" s="157"/>
      <c r="V433" s="157"/>
      <c r="W433" s="157"/>
      <c r="X433" s="157"/>
      <c r="Y433" s="157"/>
      <c r="Z433" s="157"/>
    </row>
    <row r="434" spans="1:26" x14ac:dyDescent="0.25">
      <c r="A434" s="221" t="s">
        <v>1424</v>
      </c>
      <c r="B434" s="31" t="s">
        <v>1425</v>
      </c>
      <c r="H434" s="31">
        <v>1</v>
      </c>
      <c r="O434" s="40">
        <f>C434*Prislapp!$C$2+D434*Prislapp!$D$2+E434*Prislapp!$E$2+F434*Prislapp!$F$2+G434*Prislapp!$G$2+H434*Prislapp!$H$2+I434*Prislapp!$I$2+J434*Prislapp!$J$2+K434*Prislapp!$K$2+L434*Prislapp!$L$2+M434*Prislapp!$M$2+N434*Prislapp!$N$2</f>
        <v>20757</v>
      </c>
      <c r="P434" s="40">
        <f>C434*Prislapp!$C$3+D434*Prislapp!$D$3+E434*Prislapp!$E$3+F434*Prislapp!$F$3+G434*Prislapp!$G$3+H434*Prislapp!$H$3+I434*Prislapp!$I$3+J434*Prislapp!$J$3+K434*Prislapp!$K$3+M434*Prislapp!$M$3+N434*Prislapp!$N$3+L434*Prislapp!$L$3</f>
        <v>36082</v>
      </c>
      <c r="Q434" s="40">
        <f>C434*Prislapp!$C$5+D434*Prislapp!$D$5+E434*Prislapp!$E$5+F434*Prislapp!$F$5+G434*Prislapp!$G$5+H434*Prislapp!$H$5+I434*Prislapp!$I$5+J434*Prislapp!$J$5+K434*Prislapp!$K$5+L434*Prislapp!$L$5+M434*Prislapp!$M$5+N434*Prislapp!$N$5</f>
        <v>22600</v>
      </c>
      <c r="R434" s="9">
        <f>VLOOKUP(A434,'Ansvar kurs'!$A$2:$B$943,2,FALSE)</f>
        <v>5740</v>
      </c>
      <c r="S434" s="157"/>
      <c r="T434" s="157"/>
      <c r="U434" s="157"/>
      <c r="V434" s="157"/>
      <c r="W434" s="157"/>
      <c r="X434" s="157"/>
      <c r="Y434" s="157"/>
      <c r="Z434" s="157"/>
    </row>
    <row r="435" spans="1:26" x14ac:dyDescent="0.25">
      <c r="A435" s="221" t="s">
        <v>1426</v>
      </c>
      <c r="B435" s="31" t="s">
        <v>1427</v>
      </c>
      <c r="H435" s="31">
        <v>1</v>
      </c>
      <c r="O435" s="40">
        <f>C435*Prislapp!$C$2+D435*Prislapp!$D$2+E435*Prislapp!$E$2+F435*Prislapp!$F$2+G435*Prislapp!$G$2+H435*Prislapp!$H$2+I435*Prislapp!$I$2+J435*Prislapp!$J$2+K435*Prislapp!$K$2+L435*Prislapp!$L$2+M435*Prislapp!$M$2+N435*Prislapp!$N$2</f>
        <v>20757</v>
      </c>
      <c r="P435" s="40">
        <f>C435*Prislapp!$C$3+D435*Prislapp!$D$3+E435*Prislapp!$E$3+F435*Prislapp!$F$3+G435*Prislapp!$G$3+H435*Prislapp!$H$3+I435*Prislapp!$I$3+J435*Prislapp!$J$3+K435*Prislapp!$K$3+M435*Prislapp!$M$3+N435*Prislapp!$N$3+L435*Prislapp!$L$3</f>
        <v>36082</v>
      </c>
      <c r="Q435" s="40">
        <f>C435*Prislapp!$C$5+D435*Prislapp!$D$5+E435*Prislapp!$E$5+F435*Prislapp!$F$5+G435*Prislapp!$G$5+H435*Prislapp!$H$5+I435*Prislapp!$I$5+J435*Prislapp!$J$5+K435*Prislapp!$K$5+L435*Prislapp!$L$5+M435*Prislapp!$M$5+N435*Prislapp!$N$5</f>
        <v>22600</v>
      </c>
      <c r="R435" s="9">
        <f>VLOOKUP(A435,'Ansvar kurs'!$A$2:$B$943,2,FALSE)</f>
        <v>5740</v>
      </c>
      <c r="S435" s="157"/>
      <c r="T435" s="157"/>
      <c r="U435" s="157"/>
      <c r="V435" s="157"/>
      <c r="W435" s="157"/>
      <c r="X435" s="157"/>
      <c r="Y435" s="157"/>
      <c r="Z435" s="157"/>
    </row>
    <row r="436" spans="1:26" x14ac:dyDescent="0.25">
      <c r="A436" s="221" t="s">
        <v>1428</v>
      </c>
      <c r="B436" s="31" t="s">
        <v>1429</v>
      </c>
      <c r="H436" s="31">
        <v>1</v>
      </c>
      <c r="O436" s="40">
        <f>C436*Prislapp!$C$2+D436*Prislapp!$D$2+E436*Prislapp!$E$2+F436*Prislapp!$F$2+G436*Prislapp!$G$2+H436*Prislapp!$H$2+I436*Prislapp!$I$2+J436*Prislapp!$J$2+K436*Prislapp!$K$2+L436*Prislapp!$L$2+M436*Prislapp!$M$2+N436*Prislapp!$N$2</f>
        <v>20757</v>
      </c>
      <c r="P436" s="40">
        <f>C436*Prislapp!$C$3+D436*Prislapp!$D$3+E436*Prislapp!$E$3+F436*Prislapp!$F$3+G436*Prislapp!$G$3+H436*Prislapp!$H$3+I436*Prislapp!$I$3+J436*Prislapp!$J$3+K436*Prislapp!$K$3+M436*Prislapp!$M$3+N436*Prislapp!$N$3+L436*Prislapp!$L$3</f>
        <v>36082</v>
      </c>
      <c r="Q436" s="40">
        <f>C436*Prislapp!$C$5+D436*Prislapp!$D$5+E436*Prislapp!$E$5+F436*Prislapp!$F$5+G436*Prislapp!$G$5+H436*Prislapp!$H$5+I436*Prislapp!$I$5+J436*Prislapp!$J$5+K436*Prislapp!$K$5+L436*Prislapp!$L$5+M436*Prislapp!$M$5+N436*Prislapp!$N$5</f>
        <v>22600</v>
      </c>
      <c r="R436" s="9">
        <f>VLOOKUP(A436,'Ansvar kurs'!$A$2:$B$943,2,FALSE)</f>
        <v>5740</v>
      </c>
      <c r="S436" s="157"/>
      <c r="T436" s="157"/>
      <c r="U436" s="157"/>
      <c r="V436" s="157"/>
      <c r="W436" s="157"/>
      <c r="X436" s="157"/>
      <c r="Y436" s="157"/>
      <c r="Z436" s="157"/>
    </row>
    <row r="437" spans="1:26" x14ac:dyDescent="0.25">
      <c r="A437" s="57" t="s">
        <v>1530</v>
      </c>
      <c r="B437" s="31" t="s">
        <v>1389</v>
      </c>
      <c r="H437" s="31">
        <v>1</v>
      </c>
      <c r="O437" s="40">
        <f>C437*Prislapp!$C$2+D437*Prislapp!$D$2+E437*Prislapp!$E$2+F437*Prislapp!$F$2+G437*Prislapp!$G$2+H437*Prislapp!$H$2+I437*Prislapp!$I$2+J437*Prislapp!$J$2+K437*Prislapp!$K$2+L437*Prislapp!$L$2+M437*Prislapp!$M$2+N437*Prislapp!$N$2</f>
        <v>20757</v>
      </c>
      <c r="P437" s="40">
        <f>C437*Prislapp!$C$3+D437*Prislapp!$D$3+E437*Prislapp!$E$3+F437*Prislapp!$F$3+G437*Prislapp!$G$3+H437*Prislapp!$H$3+I437*Prislapp!$I$3+J437*Prislapp!$J$3+K437*Prislapp!$K$3+M437*Prislapp!$M$3+N437*Prislapp!$N$3+L437*Prislapp!$L$3</f>
        <v>36082</v>
      </c>
      <c r="Q437" s="40">
        <f>C437*Prislapp!$C$5+D437*Prislapp!$D$5+E437*Prislapp!$E$5+F437*Prislapp!$F$5+G437*Prislapp!$G$5+H437*Prislapp!$H$5+I437*Prislapp!$I$5+J437*Prislapp!$J$5+K437*Prislapp!$K$5+L437*Prislapp!$L$5+M437*Prislapp!$M$5+N437*Prislapp!$N$5</f>
        <v>22600</v>
      </c>
      <c r="R437" s="9">
        <f>VLOOKUP(A437,'Ansvar kurs'!$A$2:$B$943,2,FALSE)</f>
        <v>5740</v>
      </c>
    </row>
    <row r="438" spans="1:26" x14ac:dyDescent="0.25">
      <c r="A438" s="284" t="s">
        <v>1607</v>
      </c>
      <c r="B438" s="31" t="s">
        <v>1629</v>
      </c>
      <c r="H438" s="31">
        <v>1</v>
      </c>
      <c r="O438" s="40">
        <f>C438*Prislapp!$C$2+D438*Prislapp!$D$2+E438*Prislapp!$E$2+F438*Prislapp!$F$2+G438*Prislapp!$G$2+H438*Prislapp!$H$2+I438*Prislapp!$I$2+J438*Prislapp!$J$2+K438*Prislapp!$K$2+L438*Prislapp!$L$2+M438*Prislapp!$M$2+N438*Prislapp!$N$2</f>
        <v>20757</v>
      </c>
      <c r="P438" s="40">
        <f>C438*Prislapp!$C$3+D438*Prislapp!$D$3+E438*Prislapp!$E$3+F438*Prislapp!$F$3+G438*Prislapp!$G$3+H438*Prislapp!$H$3+I438*Prislapp!$I$3+J438*Prislapp!$J$3+K438*Prislapp!$K$3+M438*Prislapp!$M$3+N438*Prislapp!$N$3+L438*Prislapp!$L$3</f>
        <v>36082</v>
      </c>
      <c r="Q438" s="40">
        <f>C438*Prislapp!$C$5+D438*Prislapp!$D$5+E438*Prislapp!$E$5+F438*Prislapp!$F$5+G438*Prislapp!$G$5+H438*Prislapp!$H$5+I438*Prislapp!$I$5+J438*Prislapp!$J$5+K438*Prislapp!$K$5+L438*Prislapp!$L$5+M438*Prislapp!$M$5+N438*Prislapp!$N$5</f>
        <v>22600</v>
      </c>
      <c r="R438" s="9">
        <f>VLOOKUP(A438,'Ansvar kurs'!$A$2:$B$943,2,FALSE)</f>
        <v>5740</v>
      </c>
    </row>
    <row r="439" spans="1:26" x14ac:dyDescent="0.25">
      <c r="A439" s="284" t="s">
        <v>1608</v>
      </c>
      <c r="B439" s="31" t="s">
        <v>1630</v>
      </c>
      <c r="H439" s="31">
        <v>1</v>
      </c>
      <c r="O439" s="40">
        <f>C439*Prislapp!$C$2+D439*Prislapp!$D$2+E439*Prislapp!$E$2+F439*Prislapp!$F$2+G439*Prislapp!$G$2+H439*Prislapp!$H$2+I439*Prislapp!$I$2+J439*Prislapp!$J$2+K439*Prislapp!$K$2+L439*Prislapp!$L$2+M439*Prislapp!$M$2+N439*Prislapp!$N$2</f>
        <v>20757</v>
      </c>
      <c r="P439" s="40">
        <f>C439*Prislapp!$C$3+D439*Prislapp!$D$3+E439*Prislapp!$E$3+F439*Prislapp!$F$3+G439*Prislapp!$G$3+H439*Prislapp!$H$3+I439*Prislapp!$I$3+J439*Prislapp!$J$3+K439*Prislapp!$K$3+M439*Prislapp!$M$3+N439*Prislapp!$N$3+L439*Prislapp!$L$3</f>
        <v>36082</v>
      </c>
      <c r="Q439" s="40">
        <f>C439*Prislapp!$C$5+D439*Prislapp!$D$5+E439*Prislapp!$E$5+F439*Prislapp!$F$5+G439*Prislapp!$G$5+H439*Prislapp!$H$5+I439*Prislapp!$I$5+J439*Prislapp!$J$5+K439*Prislapp!$K$5+L439*Prislapp!$L$5+M439*Prislapp!$M$5+N439*Prislapp!$N$5</f>
        <v>22600</v>
      </c>
      <c r="R439" s="9">
        <f>VLOOKUP(A439,'Ansvar kurs'!$A$2:$B$943,2,FALSE)</f>
        <v>5740</v>
      </c>
    </row>
    <row r="440" spans="1:26" x14ac:dyDescent="0.25">
      <c r="A440" s="57" t="s">
        <v>1605</v>
      </c>
      <c r="B440" s="31" t="s">
        <v>1628</v>
      </c>
      <c r="H440" s="31">
        <v>1</v>
      </c>
      <c r="O440" s="40">
        <f>C440*Prislapp!$C$2+D440*Prislapp!$D$2+E440*Prislapp!$E$2+F440*Prislapp!$F$2+G440*Prislapp!$G$2+H440*Prislapp!$H$2+I440*Prislapp!$I$2+J440*Prislapp!$J$2+K440*Prislapp!$K$2+L440*Prislapp!$L$2+M440*Prislapp!$M$2+N440*Prislapp!$N$2</f>
        <v>20757</v>
      </c>
      <c r="P440" s="40">
        <f>C440*Prislapp!$C$3+D440*Prislapp!$D$3+E440*Prislapp!$E$3+F440*Prislapp!$F$3+G440*Prislapp!$G$3+H440*Prislapp!$H$3+I440*Prislapp!$I$3+J440*Prislapp!$J$3+K440*Prislapp!$K$3+M440*Prislapp!$M$3+N440*Prislapp!$N$3+L440*Prislapp!$L$3</f>
        <v>36082</v>
      </c>
      <c r="Q440" s="40">
        <f>C440*Prislapp!$C$5+D440*Prislapp!$D$5+E440*Prislapp!$E$5+F440*Prislapp!$F$5+G440*Prislapp!$G$5+H440*Prislapp!$H$5+I440*Prislapp!$I$5+J440*Prislapp!$J$5+K440*Prislapp!$K$5+L440*Prislapp!$L$5+M440*Prislapp!$M$5+N440*Prislapp!$N$5</f>
        <v>22600</v>
      </c>
      <c r="R440" s="9">
        <f>VLOOKUP(A440,'Ansvar kurs'!$A$2:$B$943,2,FALSE)</f>
        <v>5740</v>
      </c>
    </row>
    <row r="441" spans="1:26" x14ac:dyDescent="0.25">
      <c r="A441" s="284" t="s">
        <v>1872</v>
      </c>
      <c r="B441" s="31" t="s">
        <v>1873</v>
      </c>
      <c r="H441" s="31">
        <v>1</v>
      </c>
      <c r="O441" s="40">
        <f>C441*Prislapp!$C$2+D441*Prislapp!$D$2+E441*Prislapp!$E$2+F441*Prislapp!$F$2+G441*Prislapp!$G$2+H441*Prislapp!$H$2+I441*Prislapp!$I$2+J441*Prislapp!$J$2+K441*Prislapp!$K$2+L441*Prislapp!$L$2+M441*Prislapp!$M$2+N441*Prislapp!$N$2</f>
        <v>20757</v>
      </c>
      <c r="P441" s="40">
        <f>C441*Prislapp!$C$3+D441*Prislapp!$D$3+E441*Prislapp!$E$3+F441*Prislapp!$F$3+G441*Prislapp!$G$3+H441*Prislapp!$H$3+I441*Prislapp!$I$3+J441*Prislapp!$J$3+K441*Prislapp!$K$3+M441*Prislapp!$M$3+N441*Prislapp!$N$3+L441*Prislapp!$L$3</f>
        <v>36082</v>
      </c>
      <c r="Q441" s="40">
        <f>C441*Prislapp!$C$5+D441*Prislapp!$D$5+E441*Prislapp!$E$5+F441*Prislapp!$F$5+G441*Prislapp!$G$5+H441*Prislapp!$H$5+I441*Prislapp!$I$5+J441*Prislapp!$J$5+K441*Prislapp!$K$5+L441*Prislapp!$L$5+M441*Prislapp!$M$5+N441*Prislapp!$N$5</f>
        <v>22600</v>
      </c>
      <c r="R441" s="9">
        <f>VLOOKUP(A441,'Ansvar kurs'!$A$2:$B$943,2,FALSE)</f>
        <v>5740</v>
      </c>
    </row>
    <row r="442" spans="1:26" x14ac:dyDescent="0.25">
      <c r="A442" s="284" t="s">
        <v>1881</v>
      </c>
      <c r="B442" s="31" t="s">
        <v>1978</v>
      </c>
      <c r="H442" s="31">
        <v>1</v>
      </c>
      <c r="O442" s="40">
        <f>C442*Prislapp!$C$2+D442*Prislapp!$D$2+E442*Prislapp!$E$2+F442*Prislapp!$F$2+G442*Prislapp!$G$2+H442*Prislapp!$H$2+I442*Prislapp!$I$2+J442*Prislapp!$J$2+K442*Prislapp!$K$2+L442*Prislapp!$L$2+M442*Prislapp!$M$2+N442*Prislapp!$N$2</f>
        <v>20757</v>
      </c>
      <c r="P442" s="40">
        <f>C442*Prislapp!$C$3+D442*Prislapp!$D$3+E442*Prislapp!$E$3+F442*Prislapp!$F$3+G442*Prislapp!$G$3+H442*Prislapp!$H$3+I442*Prislapp!$I$3+J442*Prislapp!$J$3+K442*Prislapp!$K$3+M442*Prislapp!$M$3+N442*Prislapp!$N$3+L442*Prislapp!$L$3</f>
        <v>36082</v>
      </c>
      <c r="Q442" s="40">
        <f>C442*Prislapp!$C$5+D442*Prislapp!$D$5+E442*Prislapp!$E$5+F442*Prislapp!$F$5+G442*Prislapp!$G$5+H442*Prislapp!$H$5+I442*Prislapp!$I$5+J442*Prislapp!$J$5+K442*Prislapp!$K$5+L442*Prislapp!$L$5+M442*Prislapp!$M$5+N442*Prislapp!$N$5</f>
        <v>22600</v>
      </c>
      <c r="R442" s="9">
        <f>VLOOKUP(A442,'Ansvar kurs'!$A$2:$B$943,2,FALSE)</f>
        <v>5740</v>
      </c>
    </row>
    <row r="443" spans="1:26" x14ac:dyDescent="0.25">
      <c r="A443" s="31" t="s">
        <v>637</v>
      </c>
      <c r="B443" s="31" t="s">
        <v>145</v>
      </c>
      <c r="H443" s="31">
        <v>1</v>
      </c>
      <c r="O443" s="40">
        <f>C443*Prislapp!$C$2+D443*Prislapp!$D$2+E443*Prislapp!$E$2+F443*Prislapp!$F$2+G443*Prislapp!$G$2+H443*Prislapp!$H$2+I443*Prislapp!$I$2+J443*Prislapp!$J$2+K443*Prislapp!$K$2+L443*Prislapp!$L$2+M443*Prislapp!$M$2+N443*Prislapp!$N$2</f>
        <v>20757</v>
      </c>
      <c r="P443" s="40">
        <f>C443*Prislapp!$C$3+D443*Prislapp!$D$3+E443*Prislapp!$E$3+F443*Prislapp!$F$3+G443*Prislapp!$G$3+H443*Prislapp!$H$3+I443*Prislapp!$I$3+J443*Prislapp!$J$3+K443*Prislapp!$K$3+M443*Prislapp!$M$3+N443*Prislapp!$N$3+L443*Prislapp!$L$3</f>
        <v>36082</v>
      </c>
      <c r="Q443" s="40">
        <f>C443*Prislapp!$C$5+D443*Prislapp!$D$5+E443*Prislapp!$E$5+F443*Prislapp!$F$5+G443*Prislapp!$G$5+H443*Prislapp!$H$5+I443*Prislapp!$I$5+J443*Prislapp!$J$5+K443*Prislapp!$K$5+L443*Prislapp!$L$5+M443*Prislapp!$M$5+N443*Prislapp!$N$5</f>
        <v>22600</v>
      </c>
      <c r="R443" s="9">
        <f>VLOOKUP(A443,'Ansvar kurs'!$A$2:$B$943,2,FALSE)</f>
        <v>5730</v>
      </c>
      <c r="S443" s="157"/>
      <c r="T443" s="157"/>
      <c r="U443" s="157"/>
      <c r="V443" s="157"/>
      <c r="W443" s="157"/>
      <c r="X443" s="157"/>
      <c r="Y443" s="157"/>
      <c r="Z443" s="157"/>
    </row>
    <row r="444" spans="1:26" x14ac:dyDescent="0.25">
      <c r="A444" s="284" t="s">
        <v>1880</v>
      </c>
      <c r="B444" s="31" t="s">
        <v>145</v>
      </c>
      <c r="H444" s="31">
        <v>1</v>
      </c>
      <c r="O444" s="40">
        <f>C444*Prislapp!$C$2+D444*Prislapp!$D$2+E444*Prislapp!$E$2+F444*Prislapp!$F$2+G444*Prislapp!$G$2+H444*Prislapp!$H$2+I444*Prislapp!$I$2+J444*Prislapp!$J$2+K444*Prislapp!$K$2+L444*Prislapp!$L$2+M444*Prislapp!$M$2+N444*Prislapp!$N$2</f>
        <v>20757</v>
      </c>
      <c r="P444" s="40">
        <f>C444*Prislapp!$C$3+D444*Prislapp!$D$3+E444*Prislapp!$E$3+F444*Prislapp!$F$3+G444*Prislapp!$G$3+H444*Prislapp!$H$3+I444*Prislapp!$I$3+J444*Prislapp!$J$3+K444*Prislapp!$K$3+M444*Prislapp!$M$3+N444*Prislapp!$N$3+L444*Prislapp!$L$3</f>
        <v>36082</v>
      </c>
      <c r="Q444" s="40">
        <f>C444*Prislapp!$C$5+D444*Prislapp!$D$5+E444*Prislapp!$E$5+F444*Prislapp!$F$5+G444*Prislapp!$G$5+H444*Prislapp!$H$5+I444*Prislapp!$I$5+J444*Prislapp!$J$5+K444*Prislapp!$K$5+L444*Prislapp!$L$5+M444*Prislapp!$M$5+N444*Prislapp!$N$5</f>
        <v>22600</v>
      </c>
      <c r="R444" s="9">
        <f>VLOOKUP(A444,'Ansvar kurs'!$A$2:$B$943,2,FALSE)</f>
        <v>5730</v>
      </c>
      <c r="S444" s="157"/>
      <c r="T444" s="157"/>
      <c r="U444" s="157"/>
      <c r="V444" s="157"/>
      <c r="W444" s="157"/>
      <c r="X444" s="157"/>
      <c r="Y444" s="157"/>
      <c r="Z444" s="157"/>
    </row>
    <row r="445" spans="1:26" x14ac:dyDescent="0.25">
      <c r="A445" s="222" t="s">
        <v>1931</v>
      </c>
      <c r="B445" s="60" t="s">
        <v>1958</v>
      </c>
      <c r="H445" s="57">
        <v>0.5</v>
      </c>
      <c r="J445" s="31">
        <v>0.5</v>
      </c>
      <c r="O445" s="40">
        <f>C445*Prislapp!$C$2+D445*Prislapp!$D$2+E445*Prislapp!$E$2+F445*Prislapp!$F$2+G445*Prislapp!$G$2+H445*Prislapp!$H$2+I445*Prislapp!$I$2+J445*Prislapp!$J$2+K445*Prislapp!$K$2+L445*Prislapp!$L$2+M445*Prislapp!$M$2+N445*Prislapp!$N$2</f>
        <v>20757</v>
      </c>
      <c r="P445" s="40">
        <f>C445*Prislapp!$C$3+D445*Prislapp!$D$3+E445*Prislapp!$E$3+F445*Prislapp!$F$3+G445*Prislapp!$G$3+H445*Prislapp!$H$3+I445*Prislapp!$I$3+J445*Prislapp!$J$3+K445*Prislapp!$K$3+M445*Prislapp!$M$3+N445*Prislapp!$N$3+L445*Prislapp!$L$3</f>
        <v>36082</v>
      </c>
      <c r="Q445" s="40">
        <f>C445*Prislapp!$C$5+D445*Prislapp!$D$5+E445*Prislapp!$E$5+F445*Prislapp!$F$5+G445*Prislapp!$G$5+H445*Prislapp!$H$5+I445*Prislapp!$I$5+J445*Prislapp!$J$5+K445*Prislapp!$K$5+L445*Prislapp!$L$5+M445*Prislapp!$M$5+N445*Prislapp!$N$5</f>
        <v>22600</v>
      </c>
      <c r="R445" s="9">
        <f>VLOOKUP(A445,'Ansvar kurs'!$A$2:$B$943,2,FALSE)</f>
        <v>5730</v>
      </c>
      <c r="T445" s="157"/>
      <c r="U445" s="157"/>
      <c r="V445" s="157"/>
      <c r="W445" s="157"/>
      <c r="X445" s="157"/>
      <c r="Y445" s="157"/>
      <c r="Z445" s="157"/>
    </row>
    <row r="446" spans="1:26" x14ac:dyDescent="0.25">
      <c r="A446" s="31" t="s">
        <v>335</v>
      </c>
      <c r="B446" s="31" t="s">
        <v>347</v>
      </c>
      <c r="G446" s="31">
        <v>0.75</v>
      </c>
      <c r="M446" s="31">
        <v>0.25</v>
      </c>
      <c r="O446" s="40">
        <f>C446*Prislapp!$C$2+D446*Prislapp!$D$2+E446*Prislapp!$E$2+F446*Prislapp!$F$2+G446*Prislapp!$G$2+H446*Prislapp!$H$2+I446*Prislapp!$I$2+J446*Prislapp!$J$2+K446*Prislapp!$K$2+L446*Prislapp!$L$2+M446*Prislapp!$M$2+N446*Prislapp!$N$2</f>
        <v>29277</v>
      </c>
      <c r="P446" s="40">
        <f>C446*Prislapp!$C$3+D446*Prislapp!$D$3+E446*Prislapp!$E$3+F446*Prislapp!$F$3+G446*Prislapp!$G$3+H446*Prislapp!$H$3+I446*Prislapp!$I$3+J446*Prislapp!$J$3+K446*Prislapp!$K$3+M446*Prislapp!$M$3+N446*Prislapp!$N$3+L446*Prislapp!$L$3</f>
        <v>56581</v>
      </c>
      <c r="Q446" s="40">
        <f>C446*Prislapp!$C$5+D446*Prislapp!$D$5+E446*Prislapp!$E$5+F446*Prislapp!$F$5+G446*Prislapp!$G$5+H446*Prislapp!$H$5+I446*Prislapp!$I$5+J446*Prislapp!$J$5+K446*Prislapp!$K$5+L446*Prislapp!$L$5+M446*Prislapp!$M$5+N446*Prislapp!$N$5</f>
        <v>58925</v>
      </c>
      <c r="R446" s="9">
        <f>VLOOKUP(A446,'Ansvar kurs'!$A$2:$B$943,2,FALSE)</f>
        <v>1650</v>
      </c>
      <c r="S446" s="157"/>
      <c r="T446" s="157"/>
      <c r="U446" s="157"/>
      <c r="V446" s="157"/>
      <c r="W446" s="157"/>
      <c r="X446" s="157"/>
      <c r="Y446" s="157"/>
      <c r="Z446" s="157"/>
    </row>
    <row r="447" spans="1:26" x14ac:dyDescent="0.25">
      <c r="A447" s="31" t="s">
        <v>151</v>
      </c>
      <c r="B447" s="31" t="s">
        <v>1162</v>
      </c>
      <c r="G447" s="31">
        <v>0.75</v>
      </c>
      <c r="K447" s="31">
        <v>0.25</v>
      </c>
      <c r="O447" s="40">
        <f>C447*Prislapp!$C$2+D447*Prislapp!$D$2+E447*Prislapp!$E$2+F447*Prislapp!$F$2+G447*Prislapp!$G$2+H447*Prislapp!$H$2+I447*Prislapp!$I$2+J447*Prislapp!$J$2+K447*Prislapp!$K$2+L447*Prislapp!$L$2+M447*Prislapp!$M$2+N447*Prislapp!$N$2</f>
        <v>31355.75</v>
      </c>
      <c r="P447" s="40">
        <f>C447*Prislapp!$C$3+D447*Prislapp!$D$3+E447*Prislapp!$E$3+F447*Prislapp!$F$3+G447*Prislapp!$G$3+H447*Prislapp!$H$3+I447*Prislapp!$I$3+J447*Prislapp!$J$3+K447*Prislapp!$K$3+M447*Prislapp!$M$3+N447*Prislapp!$N$3+L447*Prislapp!$L$3</f>
        <v>56596.75</v>
      </c>
      <c r="Q447" s="40">
        <f>C447*Prislapp!$C$5+D447*Prislapp!$D$5+E447*Prislapp!$E$5+F447*Prislapp!$F$5+G447*Prislapp!$G$5+H447*Prislapp!$H$5+I447*Prislapp!$I$5+J447*Prislapp!$J$5+K447*Prislapp!$K$5+L447*Prislapp!$L$5+M447*Prislapp!$M$5+N447*Prislapp!$N$5</f>
        <v>55350</v>
      </c>
      <c r="R447" s="9">
        <f>VLOOKUP(A447,'Ansvar kurs'!$A$2:$B$943,2,FALSE)</f>
        <v>1650</v>
      </c>
      <c r="S447" s="157"/>
      <c r="T447" s="157"/>
      <c r="U447" s="157"/>
      <c r="V447" s="157"/>
      <c r="W447" s="157"/>
      <c r="X447" s="157"/>
      <c r="Y447" s="157"/>
      <c r="Z447" s="157"/>
    </row>
    <row r="448" spans="1:26" x14ac:dyDescent="0.25">
      <c r="A448" s="31" t="s">
        <v>414</v>
      </c>
      <c r="B448" s="31" t="s">
        <v>701</v>
      </c>
      <c r="G448" s="31">
        <v>1</v>
      </c>
      <c r="O448" s="40">
        <f>C448*Prislapp!$C$2+D448*Prislapp!$D$2+E448*Prislapp!$E$2+F448*Prislapp!$F$2+G448*Prislapp!$G$2+H448*Prislapp!$H$2+I448*Prislapp!$I$2+J448*Prislapp!$J$2+K448*Prislapp!$K$2+L448*Prislapp!$L$2+M448*Prislapp!$M$2+N448*Prislapp!$N$2</f>
        <v>33396</v>
      </c>
      <c r="P448" s="40">
        <f>C448*Prislapp!$C$3+D448*Prislapp!$D$3+E448*Prislapp!$E$3+F448*Prislapp!$F$3+G448*Prislapp!$G$3+H448*Prislapp!$H$3+I448*Prislapp!$I$3+J448*Prislapp!$J$3+K448*Prislapp!$K$3+M448*Prislapp!$M$3+N448*Prislapp!$N$3+L448*Prislapp!$L$3</f>
        <v>66137</v>
      </c>
      <c r="Q448" s="40">
        <f>C448*Prislapp!$C$5+D448*Prislapp!$D$5+E448*Prislapp!$E$5+F448*Prislapp!$F$5+G448*Prislapp!$G$5+H448*Prislapp!$H$5+I448*Prislapp!$I$5+J448*Prislapp!$J$5+K448*Prislapp!$K$5+L448*Prislapp!$L$5+M448*Prislapp!$M$5+N448*Prislapp!$N$5</f>
        <v>72600</v>
      </c>
      <c r="R448" s="9">
        <f>VLOOKUP(A448,'Ansvar kurs'!$A$2:$B$943,2,FALSE)</f>
        <v>1650</v>
      </c>
      <c r="S448" s="157" t="s">
        <v>1325</v>
      </c>
      <c r="T448" s="157"/>
      <c r="U448" s="157"/>
      <c r="V448" s="157"/>
      <c r="W448" s="157"/>
      <c r="X448" s="157"/>
      <c r="Y448" s="157"/>
      <c r="Z448" s="157"/>
    </row>
    <row r="449" spans="1:26" x14ac:dyDescent="0.25">
      <c r="A449" s="31" t="s">
        <v>477</v>
      </c>
      <c r="B449" s="31" t="s">
        <v>476</v>
      </c>
      <c r="G449" s="31">
        <v>1</v>
      </c>
      <c r="O449" s="40">
        <f>C449*Prislapp!$C$2+D449*Prislapp!$D$2+E449*Prislapp!$E$2+F449*Prislapp!$F$2+G449*Prislapp!$G$2+H449*Prislapp!$H$2+I449*Prislapp!$I$2+J449*Prislapp!$J$2+K449*Prislapp!$K$2+L449*Prislapp!$L$2+M449*Prislapp!$M$2+N449*Prislapp!$N$2</f>
        <v>33396</v>
      </c>
      <c r="P449" s="40">
        <f>C449*Prislapp!$C$3+D449*Prislapp!$D$3+E449*Prislapp!$E$3+F449*Prislapp!$F$3+G449*Prislapp!$G$3+H449*Prislapp!$H$3+I449*Prislapp!$I$3+J449*Prislapp!$J$3+K449*Prislapp!$K$3+M449*Prislapp!$M$3+N449*Prislapp!$N$3+L449*Prislapp!$L$3</f>
        <v>66137</v>
      </c>
      <c r="Q449" s="40">
        <f>C449*Prislapp!$C$5+D449*Prislapp!$D$5+E449*Prislapp!$E$5+F449*Prislapp!$F$5+G449*Prislapp!$G$5+H449*Prislapp!$H$5+I449*Prislapp!$I$5+J449*Prislapp!$J$5+K449*Prislapp!$K$5+L449*Prislapp!$L$5+M449*Prislapp!$M$5+N449*Prislapp!$N$5</f>
        <v>72600</v>
      </c>
      <c r="R449" s="9">
        <f>VLOOKUP(A449,'Ansvar kurs'!$A$2:$B$943,2,FALSE)</f>
        <v>1650</v>
      </c>
      <c r="S449" s="157"/>
      <c r="T449" s="157"/>
      <c r="U449" s="157"/>
      <c r="V449" s="157"/>
      <c r="W449" s="157"/>
      <c r="X449" s="157"/>
      <c r="Y449" s="157"/>
      <c r="Z449" s="157"/>
    </row>
    <row r="450" spans="1:26" x14ac:dyDescent="0.25">
      <c r="A450" s="31" t="s">
        <v>525</v>
      </c>
      <c r="B450" s="31" t="s">
        <v>538</v>
      </c>
      <c r="G450" s="31">
        <v>1</v>
      </c>
      <c r="O450" s="40">
        <f>C450*Prislapp!$C$2+D450*Prislapp!$D$2+E450*Prislapp!$E$2+F450*Prislapp!$F$2+G450*Prislapp!$G$2+H450*Prislapp!$H$2+I450*Prislapp!$I$2+J450*Prislapp!$J$2+K450*Prislapp!$K$2+L450*Prislapp!$L$2+M450*Prislapp!$M$2+N450*Prislapp!$N$2</f>
        <v>33396</v>
      </c>
      <c r="P450" s="40">
        <f>C450*Prislapp!$C$3+D450*Prislapp!$D$3+E450*Prislapp!$E$3+F450*Prislapp!$F$3+G450*Prislapp!$G$3+H450*Prislapp!$H$3+I450*Prislapp!$I$3+J450*Prislapp!$J$3+K450*Prislapp!$K$3+M450*Prislapp!$M$3+N450*Prislapp!$N$3+L450*Prislapp!$L$3</f>
        <v>66137</v>
      </c>
      <c r="Q450" s="40">
        <f>C450*Prislapp!$C$5+D450*Prislapp!$D$5+E450*Prislapp!$E$5+F450*Prislapp!$F$5+G450*Prislapp!$G$5+H450*Prislapp!$H$5+I450*Prislapp!$I$5+J450*Prislapp!$J$5+K450*Prislapp!$K$5+L450*Prislapp!$L$5+M450*Prislapp!$M$5+N450*Prislapp!$N$5</f>
        <v>72600</v>
      </c>
      <c r="R450" s="9">
        <f>VLOOKUP(A450,'Ansvar kurs'!$A$2:$B$943,2,FALSE)</f>
        <v>1650</v>
      </c>
      <c r="S450" s="157"/>
      <c r="T450" s="157"/>
      <c r="U450" s="157"/>
      <c r="V450" s="157"/>
      <c r="W450" s="157"/>
      <c r="X450" s="157"/>
      <c r="Y450" s="157"/>
      <c r="Z450" s="157"/>
    </row>
    <row r="451" spans="1:26" x14ac:dyDescent="0.25">
      <c r="A451" s="31" t="s">
        <v>764</v>
      </c>
      <c r="B451" s="31" t="s">
        <v>760</v>
      </c>
      <c r="G451" s="31">
        <v>1</v>
      </c>
      <c r="O451" s="40">
        <f>C451*Prislapp!$C$2+D451*Prislapp!$D$2+E451*Prislapp!$E$2+F451*Prislapp!$F$2+G451*Prislapp!$G$2+H451*Prislapp!$H$2+I451*Prislapp!$I$2+J451*Prislapp!$J$2+K451*Prislapp!$K$2+L451*Prislapp!$L$2+M451*Prislapp!$M$2+N451*Prislapp!$N$2</f>
        <v>33396</v>
      </c>
      <c r="P451" s="40">
        <f>C451*Prislapp!$C$3+D451*Prislapp!$D$3+E451*Prislapp!$E$3+F451*Prislapp!$F$3+G451*Prislapp!$G$3+H451*Prislapp!$H$3+I451*Prislapp!$I$3+J451*Prislapp!$J$3+K451*Prislapp!$K$3+M451*Prislapp!$M$3+N451*Prislapp!$N$3+L451*Prislapp!$L$3</f>
        <v>66137</v>
      </c>
      <c r="Q451" s="40">
        <f>C451*Prislapp!$C$5+D451*Prislapp!$D$5+E451*Prislapp!$E$5+F451*Prislapp!$F$5+G451*Prislapp!$G$5+H451*Prislapp!$H$5+I451*Prislapp!$I$5+J451*Prislapp!$J$5+K451*Prislapp!$K$5+L451*Prislapp!$L$5+M451*Prislapp!$M$5+N451*Prislapp!$N$5</f>
        <v>72600</v>
      </c>
      <c r="R451" s="9">
        <f>VLOOKUP(A451,'Ansvar kurs'!$A$2:$B$943,2,FALSE)</f>
        <v>1650</v>
      </c>
      <c r="S451" s="157"/>
      <c r="T451" s="157"/>
      <c r="U451" s="157"/>
      <c r="V451" s="157"/>
      <c r="W451" s="157"/>
      <c r="X451" s="157"/>
      <c r="Y451" s="157"/>
      <c r="Z451" s="157"/>
    </row>
    <row r="452" spans="1:26" x14ac:dyDescent="0.25">
      <c r="A452" s="57" t="s">
        <v>850</v>
      </c>
      <c r="B452" s="31" t="s">
        <v>1163</v>
      </c>
      <c r="G452" s="31">
        <v>1</v>
      </c>
      <c r="O452" s="40">
        <f>C452*Prislapp!$C$2+D452*Prislapp!$D$2+E452*Prislapp!$E$2+F452*Prislapp!$F$2+G452*Prislapp!$G$2+H452*Prislapp!$H$2+I452*Prislapp!$I$2+J452*Prislapp!$J$2+K452*Prislapp!$K$2+L452*Prislapp!$L$2+M452*Prislapp!$M$2+N452*Prislapp!$N$2</f>
        <v>33396</v>
      </c>
      <c r="P452" s="40">
        <f>C452*Prislapp!$C$3+D452*Prislapp!$D$3+E452*Prislapp!$E$3+F452*Prislapp!$F$3+G452*Prislapp!$G$3+H452*Prislapp!$H$3+I452*Prislapp!$I$3+J452*Prislapp!$J$3+K452*Prislapp!$K$3+M452*Prislapp!$M$3+N452*Prislapp!$N$3+L452*Prislapp!$L$3</f>
        <v>66137</v>
      </c>
      <c r="Q452" s="40">
        <f>C452*Prislapp!$C$5+D452*Prislapp!$D$5+E452*Prislapp!$E$5+F452*Prislapp!$F$5+G452*Prislapp!$G$5+H452*Prislapp!$H$5+I452*Prislapp!$I$5+J452*Prislapp!$J$5+K452*Prislapp!$K$5+L452*Prislapp!$L$5+M452*Prislapp!$M$5+N452*Prislapp!$N$5</f>
        <v>72600</v>
      </c>
      <c r="R452" s="9">
        <f>VLOOKUP(A452,'Ansvar kurs'!$A$2:$B$943,2,FALSE)</f>
        <v>1650</v>
      </c>
      <c r="S452" s="157"/>
      <c r="T452" s="157"/>
      <c r="U452" s="157"/>
      <c r="V452" s="157"/>
      <c r="W452" s="157"/>
      <c r="X452" s="157"/>
      <c r="Y452" s="157"/>
      <c r="Z452" s="157"/>
    </row>
    <row r="453" spans="1:26" x14ac:dyDescent="0.25">
      <c r="A453" s="31" t="s">
        <v>564</v>
      </c>
      <c r="B453" s="31" t="s">
        <v>702</v>
      </c>
      <c r="G453" s="31">
        <v>1</v>
      </c>
      <c r="O453" s="40">
        <f>C453*Prislapp!$C$2+D453*Prislapp!$D$2+E453*Prislapp!$E$2+F453*Prislapp!$F$2+G453*Prislapp!$G$2+H453*Prislapp!$H$2+I453*Prislapp!$I$2+J453*Prislapp!$J$2+K453*Prislapp!$K$2+L453*Prislapp!$L$2+M453*Prislapp!$M$2+N453*Prislapp!$N$2</f>
        <v>33396</v>
      </c>
      <c r="P453" s="40">
        <f>C453*Prislapp!$C$3+D453*Prislapp!$D$3+E453*Prislapp!$E$3+F453*Prislapp!$F$3+G453*Prislapp!$G$3+H453*Prislapp!$H$3+I453*Prislapp!$I$3+J453*Prislapp!$J$3+K453*Prislapp!$K$3+M453*Prislapp!$M$3+N453*Prislapp!$N$3+L453*Prislapp!$L$3</f>
        <v>66137</v>
      </c>
      <c r="Q453" s="40">
        <f>C453*Prislapp!$C$5+D453*Prislapp!$D$5+E453*Prislapp!$E$5+F453*Prislapp!$F$5+G453*Prislapp!$G$5+H453*Prislapp!$H$5+I453*Prislapp!$I$5+J453*Prislapp!$J$5+K453*Prislapp!$K$5+L453*Prislapp!$L$5+M453*Prislapp!$M$5+N453*Prislapp!$N$5</f>
        <v>72600</v>
      </c>
      <c r="R453" s="9">
        <f>VLOOKUP(A453,'Ansvar kurs'!$A$2:$B$943,2,FALSE)</f>
        <v>1650</v>
      </c>
      <c r="S453" s="157"/>
      <c r="T453" s="157"/>
      <c r="U453" s="157"/>
      <c r="V453" s="157"/>
      <c r="W453" s="157"/>
      <c r="X453" s="157"/>
      <c r="Y453" s="157"/>
      <c r="Z453" s="157"/>
    </row>
    <row r="454" spans="1:26" x14ac:dyDescent="0.25">
      <c r="A454" s="31" t="s">
        <v>643</v>
      </c>
      <c r="B454" s="31" t="s">
        <v>762</v>
      </c>
      <c r="G454" s="31">
        <v>1</v>
      </c>
      <c r="O454" s="40">
        <f>C454*Prislapp!$C$2+D454*Prislapp!$D$2+E454*Prislapp!$E$2+F454*Prislapp!$F$2+G454*Prislapp!$G$2+H454*Prislapp!$H$2+I454*Prislapp!$I$2+J454*Prislapp!$J$2+K454*Prislapp!$K$2+L454*Prislapp!$L$2+M454*Prislapp!$M$2+N454*Prislapp!$N$2</f>
        <v>33396</v>
      </c>
      <c r="P454" s="40">
        <f>C454*Prislapp!$C$3+D454*Prislapp!$D$3+E454*Prislapp!$E$3+F454*Prislapp!$F$3+G454*Prislapp!$G$3+H454*Prislapp!$H$3+I454*Prislapp!$I$3+J454*Prislapp!$J$3+K454*Prislapp!$K$3+M454*Prislapp!$M$3+N454*Prislapp!$N$3+L454*Prislapp!$L$3</f>
        <v>66137</v>
      </c>
      <c r="Q454" s="40">
        <f>C454*Prislapp!$C$5+D454*Prislapp!$D$5+E454*Prislapp!$E$5+F454*Prislapp!$F$5+G454*Prislapp!$G$5+H454*Prislapp!$H$5+I454*Prislapp!$I$5+J454*Prislapp!$J$5+K454*Prislapp!$K$5+L454*Prislapp!$L$5+M454*Prislapp!$M$5+N454*Prislapp!$N$5</f>
        <v>72600</v>
      </c>
      <c r="R454" s="9">
        <f>VLOOKUP(A454,'Ansvar kurs'!$A$2:$B$943,2,FALSE)</f>
        <v>1650</v>
      </c>
      <c r="S454" s="157"/>
      <c r="T454" s="157"/>
      <c r="U454" s="157"/>
      <c r="V454" s="157"/>
      <c r="W454" s="157"/>
      <c r="X454" s="157"/>
      <c r="Y454" s="157"/>
      <c r="Z454" s="157"/>
    </row>
    <row r="455" spans="1:26" x14ac:dyDescent="0.25">
      <c r="A455" s="31" t="s">
        <v>1107</v>
      </c>
      <c r="B455" s="31" t="s">
        <v>1164</v>
      </c>
      <c r="G455" s="31">
        <v>1</v>
      </c>
      <c r="O455" s="40">
        <f>C455*Prislapp!$C$2+D455*Prislapp!$D$2+E455*Prislapp!$E$2+F455*Prislapp!$F$2+G455*Prislapp!$G$2+H455*Prislapp!$H$2+I455*Prislapp!$I$2+J455*Prislapp!$J$2+K455*Prislapp!$K$2+L455*Prislapp!$L$2+M455*Prislapp!$M$2+N455*Prislapp!$N$2</f>
        <v>33396</v>
      </c>
      <c r="P455" s="40">
        <f>C455*Prislapp!$C$3+D455*Prislapp!$D$3+E455*Prislapp!$E$3+F455*Prislapp!$F$3+G455*Prislapp!$G$3+H455*Prislapp!$H$3+I455*Prislapp!$I$3+J455*Prislapp!$J$3+K455*Prislapp!$K$3+M455*Prislapp!$M$3+N455*Prislapp!$N$3+L455*Prislapp!$L$3</f>
        <v>66137</v>
      </c>
      <c r="Q455" s="40">
        <f>C455*Prislapp!$C$5+D455*Prislapp!$D$5+E455*Prislapp!$E$5+F455*Prislapp!$F$5+G455*Prislapp!$G$5+H455*Prislapp!$H$5+I455*Prislapp!$I$5+J455*Prislapp!$J$5+K455*Prislapp!$K$5+L455*Prislapp!$L$5+M455*Prislapp!$M$5+N455*Prislapp!$N$5</f>
        <v>72600</v>
      </c>
      <c r="R455" s="9">
        <f>VLOOKUP(A455,'Ansvar kurs'!$A$2:$B$943,2,FALSE)</f>
        <v>1650</v>
      </c>
      <c r="S455" s="31" t="s">
        <v>1325</v>
      </c>
      <c r="U455" s="157"/>
      <c r="V455" s="157"/>
      <c r="W455" s="157"/>
      <c r="X455" s="157"/>
      <c r="Y455" s="157"/>
      <c r="Z455" s="157"/>
    </row>
    <row r="456" spans="1:26" x14ac:dyDescent="0.25">
      <c r="A456" s="31" t="s">
        <v>1288</v>
      </c>
      <c r="B456" t="s">
        <v>1289</v>
      </c>
      <c r="D456" s="31">
        <v>1</v>
      </c>
      <c r="O456" s="40">
        <f>C456*Prislapp!$C$2+D456*Prislapp!$D$2+E456*Prislapp!$E$2+F456*Prislapp!$F$2+G456*Prislapp!$G$2+H456*Prislapp!$H$2+I456*Prislapp!$I$2+J456*Prislapp!$J$2+K456*Prislapp!$K$2+L456*Prislapp!$L$2+M456*Prislapp!$M$2+N456*Prislapp!$N$2</f>
        <v>20766</v>
      </c>
      <c r="P456" s="40">
        <f>C456*Prislapp!$C$3+D456*Prislapp!$D$3+E456*Prislapp!$E$3+F456*Prislapp!$F$3+G456*Prislapp!$G$3+H456*Prislapp!$H$3+I456*Prislapp!$I$3+J456*Prislapp!$J$3+K456*Prislapp!$K$3+M456*Prislapp!$M$3+N456*Prislapp!$N$3+L456*Prislapp!$L$3</f>
        <v>17442</v>
      </c>
      <c r="Q456" s="40">
        <f>C456*Prislapp!$C$5+D456*Prislapp!$D$5+E456*Prislapp!$E$5+F456*Prislapp!$F$5+G456*Prislapp!$G$5+H456*Prislapp!$H$5+I456*Prislapp!$I$5+J456*Prislapp!$J$5+K456*Prislapp!$K$5+L456*Prislapp!$L$5+M456*Prislapp!$M$5+N456*Prislapp!$N$5</f>
        <v>6000</v>
      </c>
      <c r="R456" s="9">
        <f>VLOOKUP(A456,'Ansvar kurs'!$A$2:$B$943,2,FALSE)</f>
        <v>1650</v>
      </c>
      <c r="U456" s="157"/>
      <c r="V456" s="157"/>
      <c r="W456" s="157"/>
      <c r="X456" s="157"/>
      <c r="Y456" s="157"/>
      <c r="Z456" s="157"/>
    </row>
    <row r="457" spans="1:26" x14ac:dyDescent="0.25">
      <c r="A457" s="31" t="s">
        <v>1290</v>
      </c>
      <c r="B457" t="s">
        <v>1313</v>
      </c>
      <c r="G457" s="31">
        <v>1</v>
      </c>
      <c r="O457" s="40">
        <f>C457*Prislapp!$C$2+D457*Prislapp!$D$2+E457*Prislapp!$E$2+F457*Prislapp!$F$2+G457*Prislapp!$G$2+H457*Prislapp!$H$2+I457*Prislapp!$I$2+J457*Prislapp!$J$2+K457*Prislapp!$K$2+L457*Prislapp!$L$2+M457*Prislapp!$M$2+N457*Prislapp!$N$2</f>
        <v>33396</v>
      </c>
      <c r="P457" s="40">
        <f>C457*Prislapp!$C$3+D457*Prislapp!$D$3+E457*Prislapp!$E$3+F457*Prislapp!$F$3+G457*Prislapp!$G$3+H457*Prislapp!$H$3+I457*Prislapp!$I$3+J457*Prislapp!$J$3+K457*Prislapp!$K$3+M457*Prislapp!$M$3+N457*Prislapp!$N$3+L457*Prislapp!$L$3</f>
        <v>66137</v>
      </c>
      <c r="Q457" s="40">
        <f>C457*Prislapp!$C$5+D457*Prislapp!$D$5+E457*Prislapp!$E$5+F457*Prislapp!$F$5+G457*Prislapp!$G$5+H457*Prislapp!$H$5+I457*Prislapp!$I$5+J457*Prislapp!$J$5+K457*Prislapp!$K$5+L457*Prislapp!$L$5+M457*Prislapp!$M$5+N457*Prislapp!$N$5</f>
        <v>72600</v>
      </c>
      <c r="R457" s="9">
        <f>VLOOKUP(A457,'Ansvar kurs'!$A$2:$B$943,2,FALSE)</f>
        <v>1650</v>
      </c>
      <c r="S457" s="31" t="s">
        <v>1325</v>
      </c>
      <c r="U457" s="157"/>
      <c r="V457" s="157"/>
      <c r="W457" s="157"/>
      <c r="X457" s="157"/>
      <c r="Y457" s="157"/>
      <c r="Z457" s="157"/>
    </row>
    <row r="458" spans="1:26" x14ac:dyDescent="0.25">
      <c r="A458" s="222" t="s">
        <v>1326</v>
      </c>
      <c r="B458" s="60" t="s">
        <v>1303</v>
      </c>
      <c r="G458" s="31">
        <v>1</v>
      </c>
      <c r="O458" s="40">
        <f>C458*Prislapp!$C$2+D458*Prislapp!$D$2+E458*Prislapp!$E$2+F458*Prislapp!$F$2+G458*Prislapp!$G$2+H458*Prislapp!$H$2+I458*Prislapp!$I$2+J458*Prislapp!$J$2+K458*Prislapp!$K$2+L458*Prislapp!$L$2+M458*Prislapp!$M$2+N458*Prislapp!$N$2</f>
        <v>33396</v>
      </c>
      <c r="P458" s="40">
        <f>C458*Prislapp!$C$3+D458*Prislapp!$D$3+E458*Prislapp!$E$3+F458*Prislapp!$F$3+G458*Prislapp!$G$3+H458*Prislapp!$H$3+I458*Prislapp!$I$3+J458*Prislapp!$J$3+K458*Prislapp!$K$3+M458*Prislapp!$M$3+N458*Prislapp!$N$3+L458*Prislapp!$L$3</f>
        <v>66137</v>
      </c>
      <c r="Q458" s="40">
        <f>C458*Prislapp!$C$5+D458*Prislapp!$D$5+E458*Prislapp!$E$5+F458*Prislapp!$F$5+G458*Prislapp!$G$5+H458*Prislapp!$H$5+I458*Prislapp!$I$5+J458*Prislapp!$J$5+K458*Prislapp!$K$5+L458*Prislapp!$L$5+M458*Prislapp!$M$5+N458*Prislapp!$N$5</f>
        <v>72600</v>
      </c>
      <c r="R458" s="9">
        <f>VLOOKUP(A458,'Ansvar kurs'!$A$2:$B$943,2,FALSE)</f>
        <v>1650</v>
      </c>
      <c r="S458" s="176" t="s">
        <v>1488</v>
      </c>
      <c r="T458" s="176"/>
      <c r="U458" s="157"/>
      <c r="V458" s="157"/>
      <c r="W458" s="157"/>
      <c r="X458" s="157"/>
      <c r="Y458" s="157"/>
      <c r="Z458" s="157"/>
    </row>
    <row r="459" spans="1:26" x14ac:dyDescent="0.25">
      <c r="A459" s="222" t="s">
        <v>1327</v>
      </c>
      <c r="B459" s="60" t="s">
        <v>1328</v>
      </c>
      <c r="G459" s="31">
        <v>1</v>
      </c>
      <c r="O459" s="40">
        <f>C459*Prislapp!$C$2+D459*Prislapp!$D$2+E459*Prislapp!$E$2+F459*Prislapp!$F$2+G459*Prislapp!$G$2+H459*Prislapp!$H$2+I459*Prislapp!$I$2+J459*Prislapp!$J$2+K459*Prislapp!$K$2+L459*Prislapp!$L$2+M459*Prislapp!$M$2+N459*Prislapp!$N$2</f>
        <v>33396</v>
      </c>
      <c r="P459" s="40">
        <f>C459*Prislapp!$C$3+D459*Prislapp!$D$3+E459*Prislapp!$E$3+F459*Prislapp!$F$3+G459*Prislapp!$G$3+H459*Prislapp!$H$3+I459*Prislapp!$I$3+J459*Prislapp!$J$3+K459*Prislapp!$K$3+M459*Prislapp!$M$3+N459*Prislapp!$N$3+L459*Prislapp!$L$3</f>
        <v>66137</v>
      </c>
      <c r="Q459" s="40">
        <f>C459*Prislapp!$C$5+D459*Prislapp!$D$5+E459*Prislapp!$E$5+F459*Prislapp!$F$5+G459*Prislapp!$G$5+H459*Prislapp!$H$5+I459*Prislapp!$I$5+J459*Prislapp!$J$5+K459*Prislapp!$K$5+L459*Prislapp!$L$5+M459*Prislapp!$M$5+N459*Prislapp!$N$5</f>
        <v>72600</v>
      </c>
      <c r="R459" s="9">
        <f>VLOOKUP(A459,'Ansvar kurs'!$A$2:$B$943,2,FALSE)</f>
        <v>1650</v>
      </c>
      <c r="S459" s="176" t="s">
        <v>1488</v>
      </c>
      <c r="T459" s="176"/>
      <c r="U459" s="157"/>
      <c r="V459" s="157"/>
      <c r="W459" s="157"/>
      <c r="X459" s="157"/>
      <c r="Y459" s="157"/>
      <c r="Z459" s="157"/>
    </row>
    <row r="460" spans="1:26" x14ac:dyDescent="0.25">
      <c r="A460" s="222" t="s">
        <v>1549</v>
      </c>
      <c r="B460" s="60" t="s">
        <v>1567</v>
      </c>
      <c r="G460" s="31">
        <v>1</v>
      </c>
      <c r="O460" s="40">
        <f>C460*Prislapp!$C$2+D460*Prislapp!$D$2+E460*Prislapp!$E$2+F460*Prislapp!$F$2+G460*Prislapp!$G$2+H460*Prislapp!$H$2+I460*Prislapp!$I$2+J460*Prislapp!$J$2+K460*Prislapp!$K$2+L460*Prislapp!$L$2+M460*Prislapp!$M$2+N460*Prislapp!$N$2</f>
        <v>33396</v>
      </c>
      <c r="P460" s="40">
        <f>C460*Prislapp!$C$3+D460*Prislapp!$D$3+E460*Prislapp!$E$3+F460*Prislapp!$F$3+G460*Prislapp!$G$3+H460*Prislapp!$H$3+I460*Prislapp!$I$3+J460*Prislapp!$J$3+K460*Prislapp!$K$3+M460*Prislapp!$M$3+N460*Prislapp!$N$3+L460*Prislapp!$L$3</f>
        <v>66137</v>
      </c>
      <c r="Q460" s="40">
        <f>C460*Prislapp!$C$5+D460*Prislapp!$D$5+E460*Prislapp!$E$5+F460*Prislapp!$F$5+G460*Prislapp!$G$5+H460*Prislapp!$H$5+I460*Prislapp!$I$5+J460*Prislapp!$J$5+K460*Prislapp!$K$5+L460*Prislapp!$L$5+M460*Prislapp!$M$5+N460*Prislapp!$N$5</f>
        <v>72600</v>
      </c>
      <c r="R460" s="9">
        <f>VLOOKUP(A460,'Ansvar kurs'!$A$2:$B$943,2,FALSE)</f>
        <v>1650</v>
      </c>
      <c r="S460" s="176"/>
      <c r="T460" s="176"/>
      <c r="U460" s="157"/>
      <c r="V460" s="157"/>
      <c r="W460" s="157"/>
      <c r="X460" s="157"/>
      <c r="Y460" s="157"/>
      <c r="Z460" s="157"/>
    </row>
    <row r="461" spans="1:26" x14ac:dyDescent="0.25">
      <c r="A461" s="222" t="s">
        <v>1551</v>
      </c>
      <c r="B461" s="60" t="s">
        <v>1568</v>
      </c>
      <c r="G461" s="31">
        <v>1</v>
      </c>
      <c r="O461" s="40">
        <f>C461*Prislapp!$C$2+D461*Prislapp!$D$2+E461*Prislapp!$E$2+F461*Prislapp!$F$2+G461*Prislapp!$G$2+H461*Prislapp!$H$2+I461*Prislapp!$I$2+J461*Prislapp!$J$2+K461*Prislapp!$K$2+L461*Prislapp!$L$2+M461*Prislapp!$M$2+N461*Prislapp!$N$2</f>
        <v>33396</v>
      </c>
      <c r="P461" s="40">
        <f>C461*Prislapp!$C$3+D461*Prislapp!$D$3+E461*Prislapp!$E$3+F461*Prislapp!$F$3+G461*Prislapp!$G$3+H461*Prislapp!$H$3+I461*Prislapp!$I$3+J461*Prislapp!$J$3+K461*Prislapp!$K$3+M461*Prislapp!$M$3+N461*Prislapp!$N$3+L461*Prislapp!$L$3</f>
        <v>66137</v>
      </c>
      <c r="Q461" s="40">
        <f>C461*Prislapp!$C$5+D461*Prislapp!$D$5+E461*Prislapp!$E$5+F461*Prislapp!$F$5+G461*Prislapp!$G$5+H461*Prislapp!$H$5+I461*Prislapp!$I$5+J461*Prislapp!$J$5+K461*Prislapp!$K$5+L461*Prislapp!$L$5+M461*Prislapp!$M$5+N461*Prislapp!$N$5</f>
        <v>72600</v>
      </c>
      <c r="R461" s="9">
        <f>VLOOKUP(A461,'Ansvar kurs'!$A$2:$B$943,2,FALSE)</f>
        <v>1650</v>
      </c>
      <c r="S461" s="176"/>
      <c r="T461" s="176"/>
      <c r="U461" s="157"/>
      <c r="V461" s="157"/>
      <c r="W461" s="157"/>
      <c r="X461" s="157"/>
      <c r="Y461" s="157"/>
      <c r="Z461" s="157"/>
    </row>
    <row r="462" spans="1:26" x14ac:dyDescent="0.25">
      <c r="A462" s="31" t="s">
        <v>1690</v>
      </c>
      <c r="B462" s="31" t="s">
        <v>1596</v>
      </c>
      <c r="M462" s="31">
        <v>1</v>
      </c>
      <c r="O462" s="40">
        <f>C462*Prislapp!$C$2+D462*Prislapp!$D$2+E462*Prislapp!$E$2+F462*Prislapp!$F$2+G462*Prislapp!$G$2+H462*Prislapp!$H$2+I462*Prislapp!$I$2+J462*Prislapp!$J$2+K462*Prislapp!$K$2+L462*Prislapp!$L$2+M462*Prislapp!$M$2+N462*Prislapp!$N$2</f>
        <v>16920</v>
      </c>
      <c r="P462" s="40">
        <f>C462*Prislapp!$C$3+D462*Prislapp!$D$3+E462*Prislapp!$E$3+F462*Prislapp!$F$3+G462*Prislapp!$G$3+H462*Prislapp!$H$3+I462*Prislapp!$I$3+J462*Prislapp!$J$3+K462*Prislapp!$K$3+M462*Prislapp!$M$3+N462*Prislapp!$N$3+L462*Prislapp!$L$3</f>
        <v>27913</v>
      </c>
      <c r="Q462" s="40">
        <f>C462*Prislapp!$C$5+D462*Prislapp!$D$5+E462*Prislapp!$E$5+F462*Prislapp!$F$5+G462*Prislapp!$G$5+H462*Prislapp!$H$5+I462*Prislapp!$I$5+J462*Prislapp!$J$5+K462*Prislapp!$K$5+L462*Prislapp!$L$5+M462*Prislapp!$M$5+N462*Prislapp!$N$5</f>
        <v>17900</v>
      </c>
      <c r="R462" s="9">
        <f>VLOOKUP(A462,'Ansvar kurs'!$A$2:$B$943,2,FALSE)</f>
        <v>1650</v>
      </c>
      <c r="S462" s="157" t="s">
        <v>1844</v>
      </c>
      <c r="T462" s="157"/>
      <c r="U462" s="157"/>
      <c r="V462" s="157"/>
      <c r="W462" s="157"/>
      <c r="X462" s="157"/>
      <c r="Y462" s="157"/>
      <c r="Z462" s="157"/>
    </row>
    <row r="463" spans="1:26" x14ac:dyDescent="0.25">
      <c r="A463" s="31" t="s">
        <v>1857</v>
      </c>
      <c r="B463" s="31" t="s">
        <v>1858</v>
      </c>
      <c r="G463" s="31">
        <v>1</v>
      </c>
      <c r="O463" s="40">
        <f>C463*Prislapp!$C$2+D463*Prislapp!$D$2+E463*Prislapp!$E$2+F463*Prislapp!$F$2+G463*Prislapp!$G$2+H463*Prislapp!$H$2+I463*Prislapp!$I$2+J463*Prislapp!$J$2+K463*Prislapp!$K$2+L463*Prislapp!$L$2+M463*Prislapp!$M$2+N463*Prislapp!$N$2</f>
        <v>33396</v>
      </c>
      <c r="P463" s="40">
        <f>C463*Prislapp!$C$3+D463*Prislapp!$D$3+E463*Prislapp!$E$3+F463*Prislapp!$F$3+G463*Prislapp!$G$3+H463*Prislapp!$H$3+I463*Prislapp!$I$3+J463*Prislapp!$J$3+K463*Prislapp!$K$3+M463*Prislapp!$M$3+N463*Prislapp!$N$3+L463*Prislapp!$L$3</f>
        <v>66137</v>
      </c>
      <c r="Q463" s="40">
        <f>C463*Prislapp!$C$5+D463*Prislapp!$D$5+E463*Prislapp!$E$5+F463*Prislapp!$F$5+G463*Prislapp!$G$5+H463*Prislapp!$H$5+I463*Prislapp!$I$5+J463*Prislapp!$J$5+K463*Prislapp!$K$5+L463*Prislapp!$L$5+M463*Prislapp!$M$5+N463*Prislapp!$N$5</f>
        <v>72600</v>
      </c>
      <c r="R463" s="9">
        <f>VLOOKUP(A463,'Ansvar kurs'!$A$2:$B$943,2,FALSE)</f>
        <v>1650</v>
      </c>
      <c r="S463" s="157"/>
      <c r="T463" s="157"/>
      <c r="U463" s="157"/>
      <c r="V463" s="157"/>
      <c r="W463" s="157"/>
      <c r="X463" s="157"/>
      <c r="Y463" s="157"/>
      <c r="Z463" s="157"/>
    </row>
    <row r="464" spans="1:26" x14ac:dyDescent="0.25">
      <c r="A464" s="222" t="s">
        <v>2091</v>
      </c>
      <c r="B464" s="60" t="s">
        <v>2108</v>
      </c>
      <c r="G464" s="57">
        <v>1</v>
      </c>
      <c r="O464" s="40">
        <f>C464*Prislapp!$C$2+D464*Prislapp!$D$2+E464*Prislapp!$E$2+F464*Prislapp!$F$2+G464*Prislapp!$G$2+H464*Prislapp!$H$2+I464*Prislapp!$I$2+J464*Prislapp!$J$2+K464*Prislapp!$K$2+L464*Prislapp!$L$2+M464*Prislapp!$M$2+N464*Prislapp!$N$2</f>
        <v>33396</v>
      </c>
      <c r="P464" s="40">
        <f>C464*Prislapp!$C$3+D464*Prislapp!$D$3+E464*Prislapp!$E$3+F464*Prislapp!$F$3+G464*Prislapp!$G$3+H464*Prislapp!$H$3+I464*Prislapp!$I$3+J464*Prislapp!$J$3+K464*Prislapp!$K$3+M464*Prislapp!$M$3+N464*Prislapp!$N$3+L464*Prislapp!$L$3</f>
        <v>66137</v>
      </c>
      <c r="Q464" s="40">
        <f>C464*Prislapp!$C$5+D464*Prislapp!$D$5+E464*Prislapp!$E$5+F464*Prislapp!$F$5+G464*Prislapp!$G$5+H464*Prislapp!$H$5+I464*Prislapp!$I$5+J464*Prislapp!$J$5+K464*Prislapp!$K$5+L464*Prislapp!$L$5+M464*Prislapp!$M$5+N464*Prislapp!$N$5</f>
        <v>72600</v>
      </c>
      <c r="R464" s="9">
        <f>VLOOKUP(A464,'Ansvar kurs'!$A$2:$B$943,2,FALSE)</f>
        <v>1650</v>
      </c>
      <c r="S464" s="157"/>
      <c r="T464" s="157"/>
      <c r="U464" s="157"/>
      <c r="V464" s="157"/>
      <c r="W464" s="157"/>
      <c r="X464" s="157"/>
      <c r="Y464" s="157"/>
      <c r="Z464" s="157"/>
    </row>
    <row r="465" spans="1:26" x14ac:dyDescent="0.25">
      <c r="A465" s="222" t="s">
        <v>2092</v>
      </c>
      <c r="B465" s="60" t="s">
        <v>2109</v>
      </c>
      <c r="G465" s="57">
        <v>1</v>
      </c>
      <c r="O465" s="40">
        <f>C465*Prislapp!$C$2+D465*Prislapp!$D$2+E465*Prislapp!$E$2+F465*Prislapp!$F$2+G465*Prislapp!$G$2+H465*Prislapp!$H$2+I465*Prislapp!$I$2+J465*Prislapp!$J$2+K465*Prislapp!$K$2+L465*Prislapp!$L$2+M465*Prislapp!$M$2+N465*Prislapp!$N$2</f>
        <v>33396</v>
      </c>
      <c r="P465" s="40">
        <f>C465*Prislapp!$C$3+D465*Prislapp!$D$3+E465*Prislapp!$E$3+F465*Prislapp!$F$3+G465*Prislapp!$G$3+H465*Prislapp!$H$3+I465*Prislapp!$I$3+J465*Prislapp!$J$3+K465*Prislapp!$K$3+M465*Prislapp!$M$3+N465*Prislapp!$N$3+L465*Prislapp!$L$3</f>
        <v>66137</v>
      </c>
      <c r="Q465" s="40">
        <f>C465*Prislapp!$C$5+D465*Prislapp!$D$5+E465*Prislapp!$E$5+F465*Prislapp!$F$5+G465*Prislapp!$G$5+H465*Prislapp!$H$5+I465*Prislapp!$I$5+J465*Prislapp!$J$5+K465*Prislapp!$K$5+L465*Prislapp!$L$5+M465*Prislapp!$M$5+N465*Prislapp!$N$5</f>
        <v>72600</v>
      </c>
      <c r="R465" s="9">
        <f>VLOOKUP(A465,'Ansvar kurs'!$A$2:$B$943,2,FALSE)</f>
        <v>1650</v>
      </c>
      <c r="S465" s="157"/>
      <c r="T465" s="157"/>
      <c r="U465" s="157"/>
      <c r="V465" s="157"/>
      <c r="W465" s="157"/>
      <c r="X465" s="157"/>
      <c r="Y465" s="157"/>
      <c r="Z465" s="157"/>
    </row>
    <row r="466" spans="1:26" x14ac:dyDescent="0.25">
      <c r="A466" s="222" t="s">
        <v>2093</v>
      </c>
      <c r="B466" s="60" t="s">
        <v>2110</v>
      </c>
      <c r="G466" s="57">
        <v>1</v>
      </c>
      <c r="O466" s="40">
        <f>C466*Prislapp!$C$2+D466*Prislapp!$D$2+E466*Prislapp!$E$2+F466*Prislapp!$F$2+G466*Prislapp!$G$2+H466*Prislapp!$H$2+I466*Prislapp!$I$2+J466*Prislapp!$J$2+K466*Prislapp!$K$2+L466*Prislapp!$L$2+M466*Prislapp!$M$2+N466*Prislapp!$N$2</f>
        <v>33396</v>
      </c>
      <c r="P466" s="40">
        <f>C466*Prislapp!$C$3+D466*Prislapp!$D$3+E466*Prislapp!$E$3+F466*Prislapp!$F$3+G466*Prislapp!$G$3+H466*Prislapp!$H$3+I466*Prislapp!$I$3+J466*Prislapp!$J$3+K466*Prislapp!$K$3+M466*Prislapp!$M$3+N466*Prislapp!$N$3+L466*Prislapp!$L$3</f>
        <v>66137</v>
      </c>
      <c r="Q466" s="40">
        <f>C466*Prislapp!$C$5+D466*Prislapp!$D$5+E466*Prislapp!$E$5+F466*Prislapp!$F$5+G466*Prislapp!$G$5+H466*Prislapp!$H$5+I466*Prislapp!$I$5+J466*Prislapp!$J$5+K466*Prislapp!$K$5+L466*Prislapp!$L$5+M466*Prislapp!$M$5+N466*Prislapp!$N$5</f>
        <v>72600</v>
      </c>
      <c r="R466" s="9">
        <f>VLOOKUP(A466,'Ansvar kurs'!$A$2:$B$943,2,FALSE)</f>
        <v>1650</v>
      </c>
      <c r="S466" s="157"/>
      <c r="T466" s="157"/>
      <c r="U466" s="157"/>
      <c r="V466" s="157"/>
      <c r="W466" s="157"/>
      <c r="X466" s="157"/>
      <c r="Y466" s="157"/>
      <c r="Z466" s="157"/>
    </row>
    <row r="467" spans="1:26" x14ac:dyDescent="0.25">
      <c r="A467" s="37" t="s">
        <v>2022</v>
      </c>
      <c r="B467" s="31" t="s">
        <v>761</v>
      </c>
      <c r="G467" s="31">
        <v>1</v>
      </c>
      <c r="O467" s="40">
        <f>C467*Prislapp!$C$2+D467*Prislapp!$D$2+E467*Prislapp!$E$2+F467*Prislapp!$F$2+G467*Prislapp!$G$2+H467*Prislapp!$H$2+I467*Prislapp!$I$2+J467*Prislapp!$J$2+K467*Prislapp!$K$2+L467*Prislapp!$L$2+M467*Prislapp!$M$2+N467*Prislapp!$N$2</f>
        <v>33396</v>
      </c>
      <c r="P467" s="40">
        <f>C467*Prislapp!$C$3+D467*Prislapp!$D$3+E467*Prislapp!$E$3+F467*Prislapp!$F$3+G467*Prislapp!$G$3+H467*Prislapp!$H$3+I467*Prislapp!$I$3+J467*Prislapp!$J$3+K467*Prislapp!$K$3+M467*Prislapp!$M$3+N467*Prislapp!$N$3+L467*Prislapp!$L$3</f>
        <v>66137</v>
      </c>
      <c r="Q467" s="40">
        <f>C467*Prislapp!$C$5+D467*Prislapp!$D$5+E467*Prislapp!$E$5+F467*Prislapp!$F$5+G467*Prislapp!$G$5+H467*Prislapp!$H$5+I467*Prislapp!$I$5+J467*Prislapp!$J$5+K467*Prislapp!$K$5+L467*Prislapp!$L$5+M467*Prislapp!$M$5+N467*Prislapp!$N$5</f>
        <v>72600</v>
      </c>
      <c r="R467" s="9">
        <f>VLOOKUP(A467,'Ansvar kurs'!$A$2:$B$943,2,FALSE)</f>
        <v>1650</v>
      </c>
      <c r="S467" s="157"/>
      <c r="T467" s="157"/>
      <c r="U467" s="157"/>
      <c r="V467" s="157"/>
      <c r="W467" s="157"/>
      <c r="X467" s="157"/>
      <c r="Y467" s="157"/>
      <c r="Z467" s="157"/>
    </row>
    <row r="468" spans="1:26" x14ac:dyDescent="0.25">
      <c r="A468" s="37" t="s">
        <v>2022</v>
      </c>
      <c r="B468" s="31" t="s">
        <v>761</v>
      </c>
      <c r="G468" s="57">
        <v>1</v>
      </c>
      <c r="O468" s="40">
        <f>C468*Prislapp!$C$2+D468*Prislapp!$D$2+E468*Prislapp!$E$2+F468*Prislapp!$F$2+G468*Prislapp!$G$2+H468*Prislapp!$H$2+I468*Prislapp!$I$2+J468*Prislapp!$J$2+K468*Prislapp!$K$2+L468*Prislapp!$L$2+M468*Prislapp!$M$2+N468*Prislapp!$N$2</f>
        <v>33396</v>
      </c>
      <c r="P468" s="40">
        <f>C468*Prislapp!$C$3+D468*Prislapp!$D$3+E468*Prislapp!$E$3+F468*Prislapp!$F$3+G468*Prislapp!$G$3+H468*Prislapp!$H$3+I468*Prislapp!$I$3+J468*Prislapp!$J$3+K468*Prislapp!$K$3+M468*Prislapp!$M$3+N468*Prislapp!$N$3+L468*Prislapp!$L$3</f>
        <v>66137</v>
      </c>
      <c r="Q468" s="40">
        <f>C468*Prislapp!$C$5+D468*Prislapp!$D$5+E468*Prislapp!$E$5+F468*Prislapp!$F$5+G468*Prislapp!$G$5+H468*Prislapp!$H$5+I468*Prislapp!$I$5+J468*Prislapp!$J$5+K468*Prislapp!$K$5+L468*Prislapp!$L$5+M468*Prislapp!$M$5+N468*Prislapp!$N$5</f>
        <v>72600</v>
      </c>
      <c r="R468" s="9">
        <f>VLOOKUP(A468,'Ansvar kurs'!$A$2:$B$943,2,FALSE)</f>
        <v>1650</v>
      </c>
      <c r="S468" s="157"/>
      <c r="T468" s="157"/>
      <c r="U468" s="157"/>
      <c r="V468" s="157"/>
      <c r="W468" s="157"/>
      <c r="X468" s="157"/>
      <c r="Y468" s="157"/>
      <c r="Z468" s="157"/>
    </row>
    <row r="469" spans="1:26" x14ac:dyDescent="0.25">
      <c r="A469" s="222" t="s">
        <v>2095</v>
      </c>
      <c r="B469" s="60" t="s">
        <v>2112</v>
      </c>
      <c r="G469" s="57">
        <v>1</v>
      </c>
      <c r="O469" s="40">
        <f>C469*Prislapp!$C$2+D469*Prislapp!$D$2+E469*Prislapp!$E$2+F469*Prislapp!$F$2+G469*Prislapp!$G$2+H469*Prislapp!$H$2+I469*Prislapp!$I$2+J469*Prislapp!$J$2+K469*Prislapp!$K$2+L469*Prislapp!$L$2+M469*Prislapp!$M$2+N469*Prislapp!$N$2</f>
        <v>33396</v>
      </c>
      <c r="P469" s="40">
        <f>C469*Prislapp!$C$3+D469*Prislapp!$D$3+E469*Prislapp!$E$3+F469*Prislapp!$F$3+G469*Prislapp!$G$3+H469*Prislapp!$H$3+I469*Prislapp!$I$3+J469*Prislapp!$J$3+K469*Prislapp!$K$3+M469*Prislapp!$M$3+N469*Prislapp!$N$3+L469*Prislapp!$L$3</f>
        <v>66137</v>
      </c>
      <c r="Q469" s="40">
        <f>C469*Prislapp!$C$5+D469*Prislapp!$D$5+E469*Prislapp!$E$5+F469*Prislapp!$F$5+G469*Prislapp!$G$5+H469*Prislapp!$H$5+I469*Prislapp!$I$5+J469*Prislapp!$J$5+K469*Prislapp!$K$5+L469*Prislapp!$L$5+M469*Prislapp!$M$5+N469*Prislapp!$N$5</f>
        <v>72600</v>
      </c>
      <c r="R469" s="9">
        <f>VLOOKUP(A469,'Ansvar kurs'!$A$2:$B$943,2,FALSE)</f>
        <v>1650</v>
      </c>
      <c r="S469" s="157"/>
      <c r="T469" s="157"/>
      <c r="U469" s="157"/>
      <c r="V469" s="157"/>
      <c r="W469" s="157"/>
      <c r="X469" s="157"/>
      <c r="Y469" s="157"/>
      <c r="Z469" s="157"/>
    </row>
    <row r="470" spans="1:26" x14ac:dyDescent="0.25">
      <c r="A470" s="393" t="s">
        <v>2029</v>
      </c>
      <c r="B470" s="60" t="s">
        <v>1556</v>
      </c>
      <c r="G470" s="57">
        <v>1</v>
      </c>
      <c r="O470" s="40">
        <f>C470*Prislapp!$C$2+D470*Prislapp!$D$2+E470*Prislapp!$E$2+F470*Prislapp!$F$2+G470*Prislapp!$G$2+H470*Prislapp!$H$2+I470*Prislapp!$I$2+J470*Prislapp!$J$2+K470*Prislapp!$K$2+L470*Prislapp!$L$2+M470*Prislapp!$M$2+N470*Prislapp!$N$2</f>
        <v>33396</v>
      </c>
      <c r="P470" s="40">
        <f>C470*Prislapp!$C$3+D470*Prislapp!$D$3+E470*Prislapp!$E$3+F470*Prislapp!$F$3+G470*Prislapp!$G$3+H470*Prislapp!$H$3+I470*Prislapp!$I$3+J470*Prislapp!$J$3+K470*Prislapp!$K$3+M470*Prislapp!$M$3+N470*Prislapp!$N$3+L470*Prislapp!$L$3</f>
        <v>66137</v>
      </c>
      <c r="Q470" s="40">
        <f>C470*Prislapp!$C$5+D470*Prislapp!$D$5+E470*Prislapp!$E$5+F470*Prislapp!$F$5+G470*Prislapp!$G$5+H470*Prislapp!$H$5+I470*Prislapp!$I$5+J470*Prislapp!$J$5+K470*Prislapp!$K$5+L470*Prislapp!$L$5+M470*Prislapp!$M$5+N470*Prislapp!$N$5</f>
        <v>72600</v>
      </c>
      <c r="R470" s="9">
        <f>VLOOKUP(A470,'Ansvar kurs'!$A$2:$B$943,2,FALSE)</f>
        <v>1650</v>
      </c>
      <c r="S470" s="176"/>
      <c r="T470" s="176"/>
      <c r="U470" s="157"/>
      <c r="V470" s="157"/>
      <c r="W470" s="157"/>
      <c r="X470" s="157"/>
      <c r="Y470" s="157"/>
      <c r="Z470" s="157"/>
    </row>
    <row r="471" spans="1:26" x14ac:dyDescent="0.25">
      <c r="A471" s="31" t="s">
        <v>434</v>
      </c>
      <c r="B471" s="31" t="s">
        <v>703</v>
      </c>
      <c r="I471" s="31">
        <v>1</v>
      </c>
      <c r="O471" s="40">
        <f>C471*Prislapp!$C$2+D471*Prislapp!$D$2+E471*Prislapp!$E$2+F471*Prislapp!$F$2+G471*Prislapp!$G$2+H471*Prislapp!$H$2+I471*Prislapp!$I$2+J471*Prislapp!$J$2+K471*Prislapp!$K$2+L471*Prislapp!$L$2+M471*Prislapp!$M$2+N471*Prislapp!$N$2</f>
        <v>20766</v>
      </c>
      <c r="P471" s="40">
        <f>C471*Prislapp!$C$3+D471*Prislapp!$D$3+E471*Prislapp!$E$3+F471*Prislapp!$F$3+G471*Prislapp!$G$3+H471*Prislapp!$H$3+I471*Prislapp!$I$3+J471*Prislapp!$J$3+K471*Prislapp!$K$3+M471*Prislapp!$M$3+N471*Prislapp!$N$3+L471*Prislapp!$L$3</f>
        <v>17442</v>
      </c>
      <c r="Q471" s="40">
        <f>C471*Prislapp!$C$5+D471*Prislapp!$D$5+E471*Prislapp!$E$5+F471*Prislapp!$F$5+G471*Prislapp!$G$5+H471*Prislapp!$H$5+I471*Prislapp!$I$5+J471*Prislapp!$J$5+K471*Prislapp!$K$5+L471*Prislapp!$L$5+M471*Prislapp!$M$5+N471*Prislapp!$N$5</f>
        <v>6000</v>
      </c>
      <c r="R471" s="9">
        <f>VLOOKUP(A471,'Ansvar kurs'!$A$2:$B$943,2,FALSE)</f>
        <v>2271</v>
      </c>
      <c r="S471" s="157"/>
      <c r="T471" s="157"/>
      <c r="U471" s="157"/>
      <c r="V471" s="157"/>
      <c r="W471" s="157"/>
      <c r="X471" s="157"/>
      <c r="Y471" s="157"/>
      <c r="Z471" s="157"/>
    </row>
    <row r="472" spans="1:26" x14ac:dyDescent="0.25">
      <c r="A472" s="31" t="s">
        <v>2206</v>
      </c>
      <c r="B472" s="31" t="s">
        <v>2207</v>
      </c>
      <c r="I472" s="31">
        <v>1</v>
      </c>
      <c r="O472" s="40">
        <f>C472*Prislapp!$C$2+D472*Prislapp!$D$2+E472*Prislapp!$E$2+F472*Prislapp!$F$2+G472*Prislapp!$G$2+H472*Prislapp!$H$2+I472*Prislapp!$I$2+J472*Prislapp!$J$2+K472*Prislapp!$K$2+L472*Prislapp!$L$2+M472*Prislapp!$M$2+N472*Prislapp!$N$2</f>
        <v>20766</v>
      </c>
      <c r="P472" s="40">
        <f>C472*Prislapp!$C$3+D472*Prislapp!$D$3+E472*Prislapp!$E$3+F472*Prislapp!$F$3+G472*Prislapp!$G$3+H472*Prislapp!$H$3+I472*Prislapp!$I$3+J472*Prislapp!$J$3+K472*Prislapp!$K$3+M472*Prislapp!$M$3+N472*Prislapp!$N$3+L472*Prislapp!$L$3</f>
        <v>17442</v>
      </c>
      <c r="Q472" s="40">
        <f>C472*Prislapp!$C$5+D472*Prislapp!$D$5+E472*Prislapp!$E$5+F472*Prislapp!$F$5+G472*Prislapp!$G$5+H472*Prislapp!$H$5+I472*Prislapp!$I$5+J472*Prislapp!$J$5+K472*Prislapp!$K$5+L472*Prislapp!$L$5+M472*Prislapp!$M$5+N472*Prislapp!$N$5</f>
        <v>6000</v>
      </c>
      <c r="R472" s="9">
        <f>VLOOKUP(A472,'Ansvar kurs'!$A$2:$B$943,2,FALSE)</f>
        <v>2271</v>
      </c>
      <c r="S472" s="157"/>
      <c r="T472" s="157"/>
      <c r="U472" s="157"/>
      <c r="V472" s="157"/>
      <c r="W472" s="157"/>
      <c r="X472" s="157"/>
      <c r="Y472" s="157"/>
      <c r="Z472" s="157"/>
    </row>
    <row r="473" spans="1:26" x14ac:dyDescent="0.25">
      <c r="A473" s="222" t="s">
        <v>2468</v>
      </c>
      <c r="B473" s="31" t="s">
        <v>2474</v>
      </c>
      <c r="K473" s="31">
        <v>1</v>
      </c>
      <c r="O473" s="40">
        <f>C473*Prislapp!$C$2+D473*Prislapp!$D$2+E473*Prislapp!$E$2+F473*Prislapp!$F$2+G473*Prislapp!$G$2+H473*Prislapp!$H$2+I473*Prislapp!$I$2+J473*Prislapp!$J$2+K473*Prislapp!$K$2+L473*Prislapp!$L$2+M473*Prislapp!$M$2+N473*Prislapp!$N$2</f>
        <v>25235</v>
      </c>
      <c r="P473" s="40">
        <f>C473*Prislapp!$C$3+D473*Prislapp!$D$3+E473*Prislapp!$E$3+F473*Prislapp!$F$3+G473*Prislapp!$G$3+H473*Prislapp!$H$3+I473*Prislapp!$I$3+J473*Prislapp!$J$3+K473*Prislapp!$K$3+M473*Prislapp!$M$3+N473*Prislapp!$N$3+L473*Prislapp!$L$3</f>
        <v>27976</v>
      </c>
      <c r="Q473" s="40">
        <f>C473*Prislapp!$C$5+D473*Prislapp!$D$5+E473*Prislapp!$E$5+F473*Prislapp!$F$5+G473*Prislapp!$G$5+H473*Prislapp!$H$5+I473*Prislapp!$I$5+J473*Prislapp!$J$5+K473*Prislapp!$K$5+L473*Prislapp!$L$5+M473*Prislapp!$M$5+N473*Prislapp!$N$5</f>
        <v>3600</v>
      </c>
      <c r="R473" s="9">
        <f>VLOOKUP(A473,'Ansvar kurs'!$A$2:$B$943,2,FALSE)</f>
        <v>5740</v>
      </c>
      <c r="S473" s="157"/>
      <c r="T473" s="157"/>
      <c r="U473" s="157"/>
      <c r="V473" s="157"/>
      <c r="W473" s="157"/>
      <c r="X473" s="157"/>
      <c r="Y473" s="157"/>
      <c r="Z473" s="157"/>
    </row>
    <row r="474" spans="1:26" x14ac:dyDescent="0.25">
      <c r="A474" s="222" t="s">
        <v>1985</v>
      </c>
      <c r="B474" s="31" t="s">
        <v>1998</v>
      </c>
      <c r="H474" s="31">
        <v>1</v>
      </c>
      <c r="O474" s="40">
        <f>C474*Prislapp!$C$2+D474*Prislapp!$D$2+E474*Prislapp!$E$2+F474*Prislapp!$F$2+G474*Prislapp!$G$2+H474*Prislapp!$H$2+I474*Prislapp!$I$2+J474*Prislapp!$J$2+K474*Prislapp!$K$2+L474*Prislapp!$L$2+M474*Prislapp!$M$2+N474*Prislapp!$N$2</f>
        <v>20757</v>
      </c>
      <c r="P474" s="40">
        <f>C474*Prislapp!$C$3+D474*Prislapp!$D$3+E474*Prislapp!$E$3+F474*Prislapp!$F$3+G474*Prislapp!$G$3+H474*Prislapp!$H$3+I474*Prislapp!$I$3+J474*Prislapp!$J$3+K474*Prislapp!$K$3+M474*Prislapp!$M$3+N474*Prislapp!$N$3+L474*Prislapp!$L$3</f>
        <v>36082</v>
      </c>
      <c r="Q474" s="40">
        <f>C474*Prislapp!$C$5+D474*Prislapp!$D$5+E474*Prislapp!$E$5+F474*Prislapp!$F$5+G474*Prislapp!$G$5+H474*Prislapp!$H$5+I474*Prislapp!$I$5+J474*Prislapp!$J$5+K474*Prislapp!$K$5+L474*Prislapp!$L$5+M474*Prislapp!$M$5+N474*Prislapp!$N$5</f>
        <v>22600</v>
      </c>
      <c r="R474" s="9">
        <f>VLOOKUP(A474,'Ansvar kurs'!$A$2:$B$943,2,FALSE)</f>
        <v>5740</v>
      </c>
      <c r="S474" s="157"/>
      <c r="T474" s="157"/>
      <c r="U474" s="157"/>
      <c r="V474" s="157"/>
      <c r="W474" s="157"/>
      <c r="X474" s="157"/>
      <c r="Y474" s="157"/>
      <c r="Z474" s="157"/>
    </row>
    <row r="475" spans="1:26" x14ac:dyDescent="0.25">
      <c r="A475" s="222" t="s">
        <v>1746</v>
      </c>
      <c r="B475" s="31" t="s">
        <v>1754</v>
      </c>
      <c r="H475" s="31">
        <v>1</v>
      </c>
      <c r="O475" s="40">
        <f>C475*Prislapp!$C$2+D475*Prislapp!$D$2+E475*Prislapp!$E$2+F475*Prislapp!$F$2+G475*Prislapp!$G$2+H475*Prislapp!$H$2+I475*Prislapp!$I$2+J475*Prislapp!$J$2+K475*Prislapp!$K$2+L475*Prislapp!$L$2+M475*Prislapp!$M$2+N475*Prislapp!$N$2</f>
        <v>20757</v>
      </c>
      <c r="P475" s="40">
        <f>C475*Prislapp!$C$3+D475*Prislapp!$D$3+E475*Prislapp!$E$3+F475*Prislapp!$F$3+G475*Prislapp!$G$3+H475*Prislapp!$H$3+I475*Prislapp!$I$3+J475*Prislapp!$J$3+K475*Prislapp!$K$3+M475*Prislapp!$M$3+N475*Prislapp!$N$3+L475*Prislapp!$L$3</f>
        <v>36082</v>
      </c>
      <c r="Q475" s="40">
        <f>C475*Prislapp!$C$5+D475*Prislapp!$D$5+E475*Prislapp!$E$5+F475*Prislapp!$F$5+G475*Prislapp!$G$5+H475*Prislapp!$H$5+I475*Prislapp!$I$5+J475*Prislapp!$J$5+K475*Prislapp!$K$5+L475*Prislapp!$L$5+M475*Prislapp!$M$5+N475*Prislapp!$N$5</f>
        <v>22600</v>
      </c>
      <c r="R475" s="9">
        <f>VLOOKUP(A475,'Ansvar kurs'!$A$2:$B$943,2,FALSE)</f>
        <v>5740</v>
      </c>
      <c r="S475" s="157"/>
      <c r="T475" s="157"/>
      <c r="U475" s="157"/>
      <c r="V475" s="157"/>
      <c r="W475" s="157"/>
      <c r="X475" s="157"/>
      <c r="Y475" s="157"/>
      <c r="Z475" s="157"/>
    </row>
    <row r="476" spans="1:26" x14ac:dyDescent="0.25">
      <c r="A476" s="222" t="s">
        <v>1747</v>
      </c>
      <c r="B476" s="31" t="s">
        <v>1755</v>
      </c>
      <c r="H476" s="31">
        <v>1</v>
      </c>
      <c r="O476" s="40">
        <f>C476*Prislapp!$C$2+D476*Prislapp!$D$2+E476*Prislapp!$E$2+F476*Prislapp!$F$2+G476*Prislapp!$G$2+H476*Prislapp!$H$2+I476*Prislapp!$I$2+J476*Prislapp!$J$2+K476*Prislapp!$K$2+L476*Prislapp!$L$2+M476*Prislapp!$M$2+N476*Prislapp!$N$2</f>
        <v>20757</v>
      </c>
      <c r="P476" s="40">
        <f>C476*Prislapp!$C$3+D476*Prislapp!$D$3+E476*Prislapp!$E$3+F476*Prislapp!$F$3+G476*Prislapp!$G$3+H476*Prislapp!$H$3+I476*Prislapp!$I$3+J476*Prislapp!$J$3+K476*Prislapp!$K$3+M476*Prislapp!$M$3+N476*Prislapp!$N$3+L476*Prislapp!$L$3</f>
        <v>36082</v>
      </c>
      <c r="Q476" s="40">
        <f>C476*Prislapp!$C$5+D476*Prislapp!$D$5+E476*Prislapp!$E$5+F476*Prislapp!$F$5+G476*Prislapp!$G$5+H476*Prislapp!$H$5+I476*Prislapp!$I$5+J476*Prislapp!$J$5+K476*Prislapp!$K$5+L476*Prislapp!$L$5+M476*Prislapp!$M$5+N476*Prislapp!$N$5</f>
        <v>22600</v>
      </c>
      <c r="R476" s="9">
        <f>VLOOKUP(A476,'Ansvar kurs'!$A$2:$B$943,2,FALSE)</f>
        <v>5740</v>
      </c>
      <c r="S476" s="157"/>
      <c r="T476" s="157"/>
      <c r="U476" s="157"/>
      <c r="V476" s="157"/>
      <c r="W476" s="157"/>
      <c r="X476" s="157"/>
      <c r="Y476" s="157"/>
      <c r="Z476" s="157"/>
    </row>
    <row r="477" spans="1:26" x14ac:dyDescent="0.25">
      <c r="A477" s="31" t="s">
        <v>103</v>
      </c>
      <c r="B477" s="31" t="s">
        <v>704</v>
      </c>
      <c r="H477" s="31">
        <v>1</v>
      </c>
      <c r="O477" s="40">
        <f>C477*Prislapp!$C$2+D477*Prislapp!$D$2+E477*Prislapp!$E$2+F477*Prislapp!$F$2+G477*Prislapp!$G$2+H477*Prislapp!$H$2+I477*Prislapp!$I$2+J477*Prislapp!$J$2+K477*Prislapp!$K$2+L477*Prislapp!$L$2+M477*Prislapp!$M$2+N477*Prislapp!$N$2</f>
        <v>20757</v>
      </c>
      <c r="P477" s="40">
        <f>C477*Prislapp!$C$3+D477*Prislapp!$D$3+E477*Prislapp!$E$3+F477*Prislapp!$F$3+G477*Prislapp!$G$3+H477*Prislapp!$H$3+I477*Prislapp!$I$3+J477*Prislapp!$J$3+K477*Prislapp!$K$3+M477*Prislapp!$M$3+N477*Prislapp!$N$3+L477*Prislapp!$L$3</f>
        <v>36082</v>
      </c>
      <c r="Q477" s="40">
        <f>C477*Prislapp!$C$5+D477*Prislapp!$D$5+E477*Prislapp!$E$5+F477*Prislapp!$F$5+G477*Prislapp!$G$5+H477*Prislapp!$H$5+I477*Prislapp!$I$5+J477*Prislapp!$J$5+K477*Prislapp!$K$5+L477*Prislapp!$L$5+M477*Prislapp!$M$5+N477*Prislapp!$N$5</f>
        <v>22600</v>
      </c>
      <c r="R477" s="9">
        <f>VLOOKUP(A477,'Ansvar kurs'!$A$2:$B$943,2,FALSE)</f>
        <v>5740</v>
      </c>
      <c r="S477" s="157"/>
      <c r="T477" s="157"/>
      <c r="U477" s="157"/>
      <c r="V477" s="157"/>
      <c r="W477" s="157"/>
      <c r="X477" s="157"/>
      <c r="Y477" s="157"/>
      <c r="Z477" s="157"/>
    </row>
    <row r="478" spans="1:26" x14ac:dyDescent="0.25">
      <c r="A478" s="31" t="s">
        <v>652</v>
      </c>
      <c r="B478" s="31" t="s">
        <v>705</v>
      </c>
      <c r="H478" s="31">
        <v>1</v>
      </c>
      <c r="O478" s="40">
        <f>C478*Prislapp!$C$2+D478*Prislapp!$D$2+E478*Prislapp!$E$2+F478*Prislapp!$F$2+G478*Prislapp!$G$2+H478*Prislapp!$H$2+I478*Prislapp!$I$2+J478*Prislapp!$J$2+K478*Prislapp!$K$2+L478*Prislapp!$L$2+M478*Prislapp!$M$2+N478*Prislapp!$N$2</f>
        <v>20757</v>
      </c>
      <c r="P478" s="40">
        <f>C478*Prislapp!$C$3+D478*Prislapp!$D$3+E478*Prislapp!$E$3+F478*Prislapp!$F$3+G478*Prislapp!$G$3+H478*Prislapp!$H$3+I478*Prislapp!$I$3+J478*Prislapp!$J$3+K478*Prislapp!$K$3+M478*Prislapp!$M$3+N478*Prislapp!$N$3+L478*Prislapp!$L$3</f>
        <v>36082</v>
      </c>
      <c r="Q478" s="40">
        <f>C478*Prislapp!$C$5+D478*Prislapp!$D$5+E478*Prislapp!$E$5+F478*Prislapp!$F$5+G478*Prislapp!$G$5+H478*Prislapp!$H$5+I478*Prislapp!$I$5+J478*Prislapp!$J$5+K478*Prislapp!$K$5+L478*Prislapp!$L$5+M478*Prislapp!$M$5+N478*Prislapp!$N$5</f>
        <v>22600</v>
      </c>
      <c r="R478" s="9">
        <f>VLOOKUP(A478,'Ansvar kurs'!$A$2:$B$943,2,FALSE)</f>
        <v>5740</v>
      </c>
      <c r="S478" s="157"/>
      <c r="T478" s="157"/>
      <c r="U478" s="157"/>
      <c r="V478" s="157"/>
      <c r="W478" s="157"/>
      <c r="X478" s="157"/>
      <c r="Y478" s="157"/>
      <c r="Z478" s="157"/>
    </row>
    <row r="479" spans="1:26" x14ac:dyDescent="0.25">
      <c r="A479" s="31" t="s">
        <v>851</v>
      </c>
      <c r="B479" s="31" t="s">
        <v>1165</v>
      </c>
      <c r="H479" s="31">
        <v>1</v>
      </c>
      <c r="O479" s="40">
        <f>C479*Prislapp!$C$2+D479*Prislapp!$D$2+E479*Prislapp!$E$2+F479*Prislapp!$F$2+G479*Prislapp!$G$2+H479*Prislapp!$H$2+I479*Prislapp!$I$2+J479*Prislapp!$J$2+K479*Prislapp!$K$2+L479*Prislapp!$L$2+M479*Prislapp!$M$2+N479*Prislapp!$N$2</f>
        <v>20757</v>
      </c>
      <c r="P479" s="40">
        <f>C479*Prislapp!$C$3+D479*Prislapp!$D$3+E479*Prislapp!$E$3+F479*Prislapp!$F$3+G479*Prislapp!$G$3+H479*Prislapp!$H$3+I479*Prislapp!$I$3+J479*Prislapp!$J$3+K479*Prislapp!$K$3+M479*Prislapp!$M$3+N479*Prislapp!$N$3+L479*Prislapp!$L$3</f>
        <v>36082</v>
      </c>
      <c r="Q479" s="40">
        <f>C479*Prislapp!$C$5+D479*Prislapp!$D$5+E479*Prislapp!$E$5+F479*Prislapp!$F$5+G479*Prislapp!$G$5+H479*Prislapp!$H$5+I479*Prislapp!$I$5+J479*Prislapp!$J$5+K479*Prislapp!$K$5+L479*Prislapp!$L$5+M479*Prislapp!$M$5+N479*Prislapp!$N$5</f>
        <v>22600</v>
      </c>
      <c r="R479" s="9">
        <f>VLOOKUP(A479,'Ansvar kurs'!$A$2:$B$943,2,FALSE)</f>
        <v>5740</v>
      </c>
      <c r="S479" s="157"/>
      <c r="T479" s="157"/>
      <c r="U479" s="157"/>
      <c r="V479" s="157"/>
      <c r="W479" s="157"/>
      <c r="X479" s="157"/>
      <c r="Y479" s="157"/>
      <c r="Z479" s="157"/>
    </row>
    <row r="480" spans="1:26" x14ac:dyDescent="0.25">
      <c r="A480" s="57" t="s">
        <v>852</v>
      </c>
      <c r="B480" s="31" t="s">
        <v>1166</v>
      </c>
      <c r="H480" s="31">
        <v>1</v>
      </c>
      <c r="O480" s="40">
        <f>C480*Prislapp!$C$2+D480*Prislapp!$D$2+E480*Prislapp!$E$2+F480*Prislapp!$F$2+G480*Prislapp!$G$2+H480*Prislapp!$H$2+I480*Prislapp!$I$2+J480*Prislapp!$J$2+K480*Prislapp!$K$2+L480*Prislapp!$L$2+M480*Prislapp!$M$2+N480*Prislapp!$N$2</f>
        <v>20757</v>
      </c>
      <c r="P480" s="40">
        <f>C480*Prislapp!$C$3+D480*Prislapp!$D$3+E480*Prislapp!$E$3+F480*Prislapp!$F$3+G480*Prislapp!$G$3+H480*Prislapp!$H$3+I480*Prislapp!$I$3+J480*Prislapp!$J$3+K480*Prislapp!$K$3+M480*Prislapp!$M$3+N480*Prislapp!$N$3+L480*Prislapp!$L$3</f>
        <v>36082</v>
      </c>
      <c r="Q480" s="40">
        <f>C480*Prislapp!$C$5+D480*Prislapp!$D$5+E480*Prislapp!$E$5+F480*Prislapp!$F$5+G480*Prislapp!$G$5+H480*Prislapp!$H$5+I480*Prislapp!$I$5+J480*Prislapp!$J$5+K480*Prislapp!$K$5+L480*Prislapp!$L$5+M480*Prislapp!$M$5+N480*Prislapp!$N$5</f>
        <v>22600</v>
      </c>
      <c r="R480" s="9">
        <f>VLOOKUP(A480,'Ansvar kurs'!$A$2:$B$943,2,FALSE)</f>
        <v>5740</v>
      </c>
      <c r="S480" s="157"/>
      <c r="T480" s="157"/>
      <c r="U480" s="157"/>
      <c r="V480" s="157"/>
      <c r="W480" s="157"/>
      <c r="X480" s="157"/>
      <c r="Y480" s="157"/>
      <c r="Z480" s="157"/>
    </row>
    <row r="481" spans="1:26" x14ac:dyDescent="0.25">
      <c r="A481" s="31" t="s">
        <v>881</v>
      </c>
      <c r="B481" s="31" t="s">
        <v>1167</v>
      </c>
      <c r="H481" s="31">
        <v>1</v>
      </c>
      <c r="O481" s="40">
        <f>C481*Prislapp!$C$2+D481*Prislapp!$D$2+E481*Prislapp!$E$2+F481*Prislapp!$F$2+G481*Prislapp!$G$2+H481*Prislapp!$H$2+I481*Prislapp!$I$2+J481*Prislapp!$J$2+K481*Prislapp!$K$2+L481*Prislapp!$L$2+M481*Prislapp!$M$2+N481*Prislapp!$N$2</f>
        <v>20757</v>
      </c>
      <c r="P481" s="40">
        <f>C481*Prislapp!$C$3+D481*Prislapp!$D$3+E481*Prislapp!$E$3+F481*Prislapp!$F$3+G481*Prislapp!$G$3+H481*Prislapp!$H$3+I481*Prislapp!$I$3+J481*Prislapp!$J$3+K481*Prislapp!$K$3+M481*Prislapp!$M$3+N481*Prislapp!$N$3+L481*Prislapp!$L$3</f>
        <v>36082</v>
      </c>
      <c r="Q481" s="40">
        <f>C481*Prislapp!$C$5+D481*Prislapp!$D$5+E481*Prislapp!$E$5+F481*Prislapp!$F$5+G481*Prislapp!$G$5+H481*Prislapp!$H$5+I481*Prislapp!$I$5+J481*Prislapp!$J$5+K481*Prislapp!$K$5+L481*Prislapp!$L$5+M481*Prislapp!$M$5+N481*Prislapp!$N$5</f>
        <v>22600</v>
      </c>
      <c r="R481" s="9">
        <f>VLOOKUP(A481,'Ansvar kurs'!$A$2:$B$943,2,FALSE)</f>
        <v>5740</v>
      </c>
      <c r="S481" s="157"/>
      <c r="T481" s="157"/>
      <c r="U481" s="157"/>
      <c r="V481" s="157"/>
      <c r="W481" s="157"/>
      <c r="X481" s="157"/>
      <c r="Y481" s="157"/>
      <c r="Z481" s="157"/>
    </row>
    <row r="482" spans="1:26" x14ac:dyDescent="0.25">
      <c r="A482" s="31" t="s">
        <v>882</v>
      </c>
      <c r="B482" s="31" t="s">
        <v>889</v>
      </c>
      <c r="H482" s="31">
        <v>1</v>
      </c>
      <c r="O482" s="40">
        <f>C482*Prislapp!$C$2+D482*Prislapp!$D$2+E482*Prislapp!$E$2+F482*Prislapp!$F$2+G482*Prislapp!$G$2+H482*Prislapp!$H$2+I482*Prislapp!$I$2+J482*Prislapp!$J$2+K482*Prislapp!$K$2+L482*Prislapp!$L$2+M482*Prislapp!$M$2+N482*Prislapp!$N$2</f>
        <v>20757</v>
      </c>
      <c r="P482" s="40">
        <f>C482*Prislapp!$C$3+D482*Prislapp!$D$3+E482*Prislapp!$E$3+F482*Prislapp!$F$3+G482*Prislapp!$G$3+H482*Prislapp!$H$3+I482*Prislapp!$I$3+J482*Prislapp!$J$3+K482*Prislapp!$K$3+M482*Prislapp!$M$3+N482*Prislapp!$N$3+L482*Prislapp!$L$3</f>
        <v>36082</v>
      </c>
      <c r="Q482" s="40">
        <f>C482*Prislapp!$C$5+D482*Prislapp!$D$5+E482*Prislapp!$E$5+F482*Prislapp!$F$5+G482*Prislapp!$G$5+H482*Prislapp!$H$5+I482*Prislapp!$I$5+J482*Prislapp!$J$5+K482*Prislapp!$K$5+L482*Prislapp!$L$5+M482*Prislapp!$M$5+N482*Prislapp!$N$5</f>
        <v>22600</v>
      </c>
      <c r="R482" s="9">
        <f>VLOOKUP(A482,'Ansvar kurs'!$A$2:$B$943,2,FALSE)</f>
        <v>5740</v>
      </c>
      <c r="S482" s="157"/>
      <c r="T482" s="157"/>
      <c r="U482" s="157"/>
      <c r="V482" s="157"/>
      <c r="W482" s="157"/>
      <c r="X482" s="157"/>
      <c r="Y482" s="157"/>
      <c r="Z482" s="157"/>
    </row>
    <row r="483" spans="1:26" x14ac:dyDescent="0.25">
      <c r="A483" s="31" t="s">
        <v>1606</v>
      </c>
      <c r="B483" s="31" t="s">
        <v>1660</v>
      </c>
      <c r="H483" s="31">
        <v>1</v>
      </c>
      <c r="O483" s="40">
        <f>C483*Prislapp!$C$2+D483*Prislapp!$D$2+E483*Prislapp!$E$2+F483*Prislapp!$F$2+G483*Prislapp!$G$2+H483*Prislapp!$H$2+I483*Prislapp!$I$2+J483*Prislapp!$J$2+K483*Prislapp!$K$2+L483*Prislapp!$L$2+M483*Prislapp!$M$2+N483*Prislapp!$N$2</f>
        <v>20757</v>
      </c>
      <c r="P483" s="40">
        <f>C483*Prislapp!$C$3+D483*Prislapp!$D$3+E483*Prislapp!$E$3+F483*Prislapp!$F$3+G483*Prislapp!$G$3+H483*Prislapp!$H$3+I483*Prislapp!$I$3+J483*Prislapp!$J$3+K483*Prislapp!$K$3+M483*Prislapp!$M$3+N483*Prislapp!$N$3+L483*Prislapp!$L$3</f>
        <v>36082</v>
      </c>
      <c r="Q483" s="40">
        <f>C483*Prislapp!$C$5+D483*Prislapp!$D$5+E483*Prislapp!$E$5+F483*Prislapp!$F$5+G483*Prislapp!$G$5+H483*Prislapp!$H$5+I483*Prislapp!$I$5+J483*Prislapp!$J$5+K483*Prislapp!$K$5+L483*Prislapp!$L$5+M483*Prislapp!$M$5+N483*Prislapp!$N$5</f>
        <v>22600</v>
      </c>
      <c r="R483" s="9">
        <f>VLOOKUP(A483,'Ansvar kurs'!$A$2:$B$943,2,FALSE)</f>
        <v>5740</v>
      </c>
      <c r="S483" s="157"/>
      <c r="T483" s="157"/>
      <c r="U483" s="157"/>
      <c r="V483" s="157"/>
      <c r="W483" s="157"/>
      <c r="X483" s="157"/>
      <c r="Y483" s="157"/>
      <c r="Z483" s="157"/>
    </row>
    <row r="484" spans="1:26" x14ac:dyDescent="0.25">
      <c r="A484" s="31" t="s">
        <v>1537</v>
      </c>
      <c r="B484" s="31" t="s">
        <v>1402</v>
      </c>
      <c r="H484" s="31">
        <v>1</v>
      </c>
      <c r="O484" s="40">
        <f>C484*Prislapp!$C$2+D484*Prislapp!$D$2+E484*Prislapp!$E$2+F484*Prislapp!$F$2+G484*Prislapp!$G$2+H484*Prislapp!$H$2+I484*Prislapp!$I$2+J484*Prislapp!$J$2+K484*Prislapp!$K$2+L484*Prislapp!$L$2+M484*Prislapp!$M$2+N484*Prislapp!$N$2</f>
        <v>20757</v>
      </c>
      <c r="P484" s="40">
        <f>C484*Prislapp!$C$3+D484*Prislapp!$D$3+E484*Prislapp!$E$3+F484*Prislapp!$F$3+G484*Prislapp!$G$3+H484*Prislapp!$H$3+I484*Prislapp!$I$3+J484*Prislapp!$J$3+K484*Prislapp!$K$3+M484*Prislapp!$M$3+N484*Prislapp!$N$3+L484*Prislapp!$L$3</f>
        <v>36082</v>
      </c>
      <c r="Q484" s="40">
        <f>C484*Prislapp!$C$5+D484*Prislapp!$D$5+E484*Prislapp!$E$5+F484*Prislapp!$F$5+G484*Prislapp!$G$5+H484*Prislapp!$H$5+I484*Prislapp!$I$5+J484*Prislapp!$J$5+K484*Prislapp!$K$5+L484*Prislapp!$L$5+M484*Prislapp!$M$5+N484*Prislapp!$N$5</f>
        <v>22600</v>
      </c>
      <c r="R484" s="9">
        <f>VLOOKUP(A484,'Ansvar kurs'!$A$2:$B$943,2,FALSE)</f>
        <v>5740</v>
      </c>
      <c r="S484" s="157"/>
      <c r="T484" s="157"/>
      <c r="U484" s="157"/>
      <c r="V484" s="157"/>
      <c r="W484" s="157"/>
      <c r="X484" s="157"/>
      <c r="Y484" s="157"/>
      <c r="Z484" s="157"/>
    </row>
    <row r="485" spans="1:26" x14ac:dyDescent="0.25">
      <c r="A485" s="31" t="s">
        <v>1535</v>
      </c>
      <c r="B485" s="31" t="s">
        <v>1569</v>
      </c>
      <c r="H485" s="31">
        <v>1</v>
      </c>
      <c r="O485" s="40">
        <f>C485*Prislapp!$C$2+D485*Prislapp!$D$2+E485*Prislapp!$E$2+F485*Prislapp!$F$2+G485*Prislapp!$G$2+H485*Prislapp!$H$2+I485*Prislapp!$I$2+J485*Prislapp!$J$2+K485*Prislapp!$K$2+L485*Prislapp!$L$2+M485*Prislapp!$M$2+N485*Prislapp!$N$2</f>
        <v>20757</v>
      </c>
      <c r="P485" s="40">
        <f>C485*Prislapp!$C$3+D485*Prislapp!$D$3+E485*Prislapp!$E$3+F485*Prislapp!$F$3+G485*Prislapp!$G$3+H485*Prislapp!$H$3+I485*Prislapp!$I$3+J485*Prislapp!$J$3+K485*Prislapp!$K$3+M485*Prislapp!$M$3+N485*Prislapp!$N$3+L485*Prislapp!$L$3</f>
        <v>36082</v>
      </c>
      <c r="Q485" s="40">
        <f>C485*Prislapp!$C$5+D485*Prislapp!$D$5+E485*Prislapp!$E$5+F485*Prislapp!$F$5+G485*Prislapp!$G$5+H485*Prislapp!$H$5+I485*Prislapp!$I$5+J485*Prislapp!$J$5+K485*Prislapp!$K$5+L485*Prislapp!$L$5+M485*Prislapp!$M$5+N485*Prislapp!$N$5</f>
        <v>22600</v>
      </c>
      <c r="R485" s="9">
        <f>VLOOKUP(A485,'Ansvar kurs'!$A$2:$B$943,2,FALSE)</f>
        <v>5740</v>
      </c>
      <c r="S485" s="157"/>
      <c r="T485" s="157"/>
      <c r="U485" s="157"/>
      <c r="V485" s="157"/>
      <c r="W485" s="157"/>
      <c r="X485" s="157"/>
      <c r="Y485" s="157"/>
      <c r="Z485" s="157"/>
    </row>
    <row r="486" spans="1:26" x14ac:dyDescent="0.25">
      <c r="A486" s="31" t="s">
        <v>1538</v>
      </c>
      <c r="B486" s="31" t="s">
        <v>1570</v>
      </c>
      <c r="H486" s="31">
        <v>1</v>
      </c>
      <c r="O486" s="40">
        <f>C486*Prislapp!$C$2+D486*Prislapp!$D$2+E486*Prislapp!$E$2+F486*Prislapp!$F$2+G486*Prislapp!$G$2+H486*Prislapp!$H$2+I486*Prislapp!$I$2+J486*Prislapp!$J$2+K486*Prislapp!$K$2+L486*Prislapp!$L$2+M486*Prislapp!$M$2+N486*Prislapp!$N$2</f>
        <v>20757</v>
      </c>
      <c r="P486" s="40">
        <f>C486*Prislapp!$C$3+D486*Prislapp!$D$3+E486*Prislapp!$E$3+F486*Prislapp!$F$3+G486*Prislapp!$G$3+H486*Prislapp!$H$3+I486*Prislapp!$I$3+J486*Prislapp!$J$3+K486*Prislapp!$K$3+M486*Prislapp!$M$3+N486*Prislapp!$N$3+L486*Prislapp!$L$3</f>
        <v>36082</v>
      </c>
      <c r="Q486" s="40">
        <f>C486*Prislapp!$C$5+D486*Prislapp!$D$5+E486*Prislapp!$E$5+F486*Prislapp!$F$5+G486*Prislapp!$G$5+H486*Prislapp!$H$5+I486*Prislapp!$I$5+J486*Prislapp!$J$5+K486*Prislapp!$K$5+L486*Prislapp!$L$5+M486*Prislapp!$M$5+N486*Prislapp!$N$5</f>
        <v>22600</v>
      </c>
      <c r="R486" s="9">
        <f>VLOOKUP(A486,'Ansvar kurs'!$A$2:$B$943,2,FALSE)</f>
        <v>5740</v>
      </c>
      <c r="S486" s="157"/>
      <c r="T486" s="157"/>
      <c r="U486" s="157"/>
      <c r="V486" s="157"/>
      <c r="W486" s="157"/>
      <c r="X486" s="157"/>
      <c r="Y486" s="157"/>
      <c r="Z486" s="157"/>
    </row>
    <row r="487" spans="1:26" x14ac:dyDescent="0.25">
      <c r="A487" s="31" t="s">
        <v>1770</v>
      </c>
      <c r="B487" s="31" t="s">
        <v>1788</v>
      </c>
      <c r="H487" s="31">
        <v>1</v>
      </c>
      <c r="O487" s="40">
        <f>C487*Prislapp!$C$2+D487*Prislapp!$D$2+E487*Prislapp!$E$2+F487*Prislapp!$F$2+G487*Prislapp!$G$2+H487*Prislapp!$H$2+I487*Prislapp!$I$2+J487*Prislapp!$J$2+K487*Prislapp!$K$2+L487*Prislapp!$L$2+M487*Prislapp!$M$2+N487*Prislapp!$N$2</f>
        <v>20757</v>
      </c>
      <c r="P487" s="40">
        <f>C487*Prislapp!$C$3+D487*Prislapp!$D$3+E487*Prislapp!$E$3+F487*Prislapp!$F$3+G487*Prislapp!$G$3+H487*Prislapp!$H$3+I487*Prislapp!$I$3+J487*Prislapp!$J$3+K487*Prislapp!$K$3+M487*Prislapp!$M$3+N487*Prislapp!$N$3+L487*Prislapp!$L$3</f>
        <v>36082</v>
      </c>
      <c r="Q487" s="40">
        <f>C487*Prislapp!$C$5+D487*Prislapp!$D$5+E487*Prislapp!$E$5+F487*Prislapp!$F$5+G487*Prislapp!$G$5+H487*Prislapp!$H$5+I487*Prislapp!$I$5+J487*Prislapp!$J$5+K487*Prislapp!$K$5+L487*Prislapp!$L$5+M487*Prislapp!$M$5+N487*Prislapp!$N$5</f>
        <v>22600</v>
      </c>
      <c r="R487" s="9">
        <f>VLOOKUP(A487,'Ansvar kurs'!$A$2:$B$943,2,FALSE)</f>
        <v>5740</v>
      </c>
      <c r="T487" s="157"/>
      <c r="U487" s="157"/>
      <c r="V487" s="157"/>
      <c r="W487" s="157"/>
      <c r="X487" s="157"/>
      <c r="Y487" s="157"/>
      <c r="Z487" s="157"/>
    </row>
    <row r="488" spans="1:26" x14ac:dyDescent="0.25">
      <c r="A488" s="31" t="s">
        <v>1769</v>
      </c>
      <c r="B488" s="31" t="s">
        <v>1785</v>
      </c>
      <c r="H488" s="31">
        <v>1</v>
      </c>
      <c r="O488" s="40">
        <f>C488*Prislapp!$C$2+D488*Prislapp!$D$2+E488*Prislapp!$E$2+F488*Prislapp!$F$2+G488*Prislapp!$G$2+H488*Prislapp!$H$2+I488*Prislapp!$I$2+J488*Prislapp!$J$2+K488*Prislapp!$K$2+L488*Prislapp!$L$2+M488*Prislapp!$M$2+N488*Prislapp!$N$2</f>
        <v>20757</v>
      </c>
      <c r="P488" s="40">
        <f>C488*Prislapp!$C$3+D488*Prislapp!$D$3+E488*Prislapp!$E$3+F488*Prislapp!$F$3+G488*Prislapp!$G$3+H488*Prislapp!$H$3+I488*Prislapp!$I$3+J488*Prislapp!$J$3+K488*Prislapp!$K$3+M488*Prislapp!$M$3+N488*Prislapp!$N$3+L488*Prislapp!$L$3</f>
        <v>36082</v>
      </c>
      <c r="Q488" s="40">
        <f>C488*Prislapp!$C$5+D488*Prislapp!$D$5+E488*Prislapp!$E$5+F488*Prislapp!$F$5+G488*Prislapp!$G$5+H488*Prislapp!$H$5+I488*Prislapp!$I$5+J488*Prislapp!$J$5+K488*Prislapp!$K$5+L488*Prislapp!$L$5+M488*Prislapp!$M$5+N488*Prislapp!$N$5</f>
        <v>22600</v>
      </c>
      <c r="R488" s="9">
        <f>VLOOKUP(A488,'Ansvar kurs'!$A$2:$B$943,2,FALSE)</f>
        <v>5740</v>
      </c>
      <c r="T488" s="157"/>
      <c r="U488" s="157"/>
      <c r="V488" s="157"/>
      <c r="W488" s="157"/>
      <c r="X488" s="157"/>
      <c r="Y488" s="157"/>
      <c r="Z488" s="157"/>
    </row>
    <row r="489" spans="1:26" x14ac:dyDescent="0.25">
      <c r="A489" s="60" t="s">
        <v>1805</v>
      </c>
      <c r="B489" s="31" t="s">
        <v>1818</v>
      </c>
      <c r="H489" s="31">
        <v>1</v>
      </c>
      <c r="O489" s="40">
        <f>C489*Prislapp!$C$2+D489*Prislapp!$D$2+E489*Prislapp!$E$2+F489*Prislapp!$F$2+G489*Prislapp!$G$2+H489*Prislapp!$H$2+I489*Prislapp!$I$2+J489*Prislapp!$J$2+K489*Prislapp!$K$2+L489*Prislapp!$L$2+M489*Prislapp!$M$2+N489*Prislapp!$N$2</f>
        <v>20757</v>
      </c>
      <c r="P489" s="40">
        <f>C489*Prislapp!$C$3+D489*Prislapp!$D$3+E489*Prislapp!$E$3+F489*Prislapp!$F$3+G489*Prislapp!$G$3+H489*Prislapp!$H$3+I489*Prislapp!$I$3+J489*Prislapp!$J$3+K489*Prislapp!$K$3+M489*Prislapp!$M$3+N489*Prislapp!$N$3+L489*Prislapp!$L$3</f>
        <v>36082</v>
      </c>
      <c r="Q489" s="40">
        <f>C489*Prislapp!$C$5+D489*Prislapp!$D$5+E489*Prislapp!$E$5+F489*Prislapp!$F$5+G489*Prislapp!$G$5+H489*Prislapp!$H$5+I489*Prislapp!$I$5+J489*Prislapp!$J$5+K489*Prislapp!$K$5+L489*Prislapp!$L$5+M489*Prislapp!$M$5+N489*Prislapp!$N$5</f>
        <v>22600</v>
      </c>
      <c r="R489" s="9">
        <f>VLOOKUP(A489,'Ansvar kurs'!$A$2:$B$943,2,FALSE)</f>
        <v>5740</v>
      </c>
    </row>
    <row r="490" spans="1:26" x14ac:dyDescent="0.25">
      <c r="A490" s="60" t="s">
        <v>2284</v>
      </c>
      <c r="B490" s="31" t="s">
        <v>2286</v>
      </c>
      <c r="H490" s="31">
        <v>1</v>
      </c>
      <c r="O490" s="40">
        <f>C490*Prislapp!$C$2+D490*Prislapp!$D$2+E490*Prislapp!$E$2+F490*Prislapp!$F$2+G490*Prislapp!$G$2+H490*Prislapp!$H$2+I490*Prislapp!$I$2+J490*Prislapp!$J$2+K490*Prislapp!$K$2+L490*Prislapp!$L$2+M490*Prislapp!$M$2+N490*Prislapp!$N$2</f>
        <v>20757</v>
      </c>
      <c r="P490" s="40">
        <f>C490*Prislapp!$C$3+D490*Prislapp!$D$3+E490*Prislapp!$E$3+F490*Prislapp!$F$3+G490*Prislapp!$G$3+H490*Prislapp!$H$3+I490*Prislapp!$I$3+J490*Prislapp!$J$3+K490*Prislapp!$K$3+M490*Prislapp!$M$3+N490*Prislapp!$N$3+L490*Prislapp!$L$3</f>
        <v>36082</v>
      </c>
      <c r="Q490" s="40">
        <f>C490*Prislapp!$C$5+D490*Prislapp!$D$5+E490*Prislapp!$E$5+F490*Prislapp!$F$5+G490*Prislapp!$G$5+H490*Prislapp!$H$5+I490*Prislapp!$I$5+J490*Prislapp!$J$5+K490*Prislapp!$K$5+L490*Prislapp!$L$5+M490*Prislapp!$M$5+N490*Prislapp!$N$5</f>
        <v>22600</v>
      </c>
      <c r="R490" s="9">
        <f>VLOOKUP(A490,'Ansvar kurs'!$A$2:$B$943,2,FALSE)</f>
        <v>5740</v>
      </c>
    </row>
    <row r="491" spans="1:26" x14ac:dyDescent="0.25">
      <c r="A491" s="60" t="s">
        <v>2285</v>
      </c>
      <c r="B491" s="31" t="s">
        <v>2287</v>
      </c>
      <c r="H491" s="31">
        <v>1</v>
      </c>
      <c r="O491" s="40">
        <f>C491*Prislapp!$C$2+D491*Prislapp!$D$2+E491*Prislapp!$E$2+F491*Prislapp!$F$2+G491*Prislapp!$G$2+H491*Prislapp!$H$2+I491*Prislapp!$I$2+J491*Prislapp!$J$2+K491*Prislapp!$K$2+L491*Prislapp!$L$2+M491*Prislapp!$M$2+N491*Prislapp!$N$2</f>
        <v>20757</v>
      </c>
      <c r="P491" s="40">
        <f>C491*Prislapp!$C$3+D491*Prislapp!$D$3+E491*Prislapp!$E$3+F491*Prislapp!$F$3+G491*Prislapp!$G$3+H491*Prislapp!$H$3+I491*Prislapp!$I$3+J491*Prislapp!$J$3+K491*Prislapp!$K$3+M491*Prislapp!$M$3+N491*Prislapp!$N$3+L491*Prislapp!$L$3</f>
        <v>36082</v>
      </c>
      <c r="Q491" s="40">
        <f>C491*Prislapp!$C$5+D491*Prislapp!$D$5+E491*Prislapp!$E$5+F491*Prislapp!$F$5+G491*Prislapp!$G$5+H491*Prislapp!$H$5+I491*Prislapp!$I$5+J491*Prislapp!$J$5+K491*Prislapp!$K$5+L491*Prislapp!$L$5+M491*Prislapp!$M$5+N491*Prislapp!$N$5</f>
        <v>22600</v>
      </c>
      <c r="R491" s="9">
        <f>VLOOKUP(A491,'Ansvar kurs'!$A$2:$B$943,2,FALSE)</f>
        <v>5740</v>
      </c>
    </row>
    <row r="492" spans="1:26" x14ac:dyDescent="0.25">
      <c r="A492" s="60" t="s">
        <v>2151</v>
      </c>
      <c r="B492" s="31" t="s">
        <v>2152</v>
      </c>
      <c r="H492" s="375">
        <v>1</v>
      </c>
      <c r="O492" s="40">
        <f>C492*Prislapp!$C$2+D492*Prislapp!$D$2+E492*Prislapp!$E$2+F492*Prislapp!$F$2+G492*Prislapp!$G$2+H492*Prislapp!$H$2+I492*Prislapp!$I$2+J492*Prislapp!$J$2+K492*Prislapp!$K$2+L492*Prislapp!$L$2+M492*Prislapp!$M$2+N492*Prislapp!$N$2</f>
        <v>20757</v>
      </c>
      <c r="P492" s="40">
        <f>C492*Prislapp!$C$3+D492*Prislapp!$D$3+E492*Prislapp!$E$3+F492*Prislapp!$F$3+G492*Prislapp!$G$3+H492*Prislapp!$H$3+I492*Prislapp!$I$3+J492*Prislapp!$J$3+K492*Prislapp!$K$3+M492*Prislapp!$M$3+N492*Prislapp!$N$3+L492*Prislapp!$L$3</f>
        <v>36082</v>
      </c>
      <c r="Q492" s="40">
        <f>C492*Prislapp!$C$5+D492*Prislapp!$D$5+E492*Prislapp!$E$5+F492*Prislapp!$F$5+G492*Prislapp!$G$5+H492*Prislapp!$H$5+I492*Prislapp!$I$5+J492*Prislapp!$J$5+K492*Prislapp!$K$5+L492*Prislapp!$L$5+M492*Prislapp!$M$5+N492*Prislapp!$N$5</f>
        <v>22600</v>
      </c>
      <c r="R492" s="9">
        <f>VLOOKUP(A492,'Ansvar kurs'!$A$2:$B$943,2,FALSE)</f>
        <v>5740</v>
      </c>
      <c r="S492" s="57" t="s">
        <v>2153</v>
      </c>
    </row>
    <row r="493" spans="1:26" x14ac:dyDescent="0.25">
      <c r="A493" s="57" t="s">
        <v>853</v>
      </c>
      <c r="B493" s="31" t="s">
        <v>1168</v>
      </c>
      <c r="F493" s="31">
        <v>1</v>
      </c>
      <c r="O493" s="40">
        <f>C493*Prislapp!$C$2+D493*Prislapp!$D$2+E493*Prislapp!$E$2+F493*Prislapp!$F$2+G493*Prislapp!$G$2+H493*Prislapp!$H$2+I493*Prislapp!$I$2+J493*Prislapp!$J$2+K493*Prislapp!$K$2+L493*Prislapp!$L$2+M493*Prislapp!$M$2+N493*Prislapp!$N$2</f>
        <v>26554</v>
      </c>
      <c r="P493" s="40">
        <f>C493*Prislapp!$C$3+D493*Prislapp!$D$3+E493*Prislapp!$E$3+F493*Prislapp!$F$3+G493*Prislapp!$G$3+H493*Prislapp!$H$3+I493*Prislapp!$I$3+J493*Prislapp!$J$3+K493*Prislapp!$K$3+M493*Prislapp!$M$3+N493*Prislapp!$N$3+L493*Prislapp!$L$3</f>
        <v>33465</v>
      </c>
      <c r="Q493" s="40">
        <f>C493*Prislapp!$C$5+D493*Prislapp!$D$5+E493*Prislapp!$E$5+F493*Prislapp!$F$5+G493*Prislapp!$G$5+H493*Prislapp!$H$5+I493*Prislapp!$I$5+J493*Prislapp!$J$5+K493*Prislapp!$K$5+L493*Prislapp!$L$5+M493*Prislapp!$M$5+N493*Prislapp!$N$5</f>
        <v>6000</v>
      </c>
      <c r="R493" s="9">
        <f>VLOOKUP(A493,'Ansvar kurs'!$A$2:$B$943,2,FALSE)</f>
        <v>2180</v>
      </c>
      <c r="S493" s="157"/>
      <c r="T493" s="157"/>
      <c r="U493" s="157"/>
      <c r="V493" s="157"/>
      <c r="W493" s="157"/>
      <c r="X493" s="157"/>
      <c r="Y493" s="157"/>
      <c r="Z493" s="157"/>
    </row>
    <row r="494" spans="1:26" x14ac:dyDescent="0.25">
      <c r="A494" s="31" t="s">
        <v>436</v>
      </c>
      <c r="B494" s="31" t="s">
        <v>706</v>
      </c>
      <c r="H494" s="31">
        <v>0.4</v>
      </c>
      <c r="K494" s="31">
        <v>0.6</v>
      </c>
      <c r="O494" s="40">
        <f>C494*Prislapp!$C$2+D494*Prislapp!$D$2+E494*Prislapp!$E$2+F494*Prislapp!$F$2+G494*Prislapp!$G$2+H494*Prislapp!$H$2+I494*Prislapp!$I$2+J494*Prislapp!$J$2+K494*Prislapp!$K$2+L494*Prislapp!$L$2+M494*Prislapp!$M$2+N494*Prislapp!$N$2</f>
        <v>23443.800000000003</v>
      </c>
      <c r="P494" s="40">
        <f>C494*Prislapp!$C$3+D494*Prislapp!$D$3+E494*Prislapp!$E$3+F494*Prislapp!$F$3+G494*Prislapp!$G$3+H494*Prislapp!$H$3+I494*Prislapp!$I$3+J494*Prislapp!$J$3+K494*Prislapp!$K$3+M494*Prislapp!$M$3+N494*Prislapp!$N$3+L494*Prislapp!$L$3</f>
        <v>31218.400000000001</v>
      </c>
      <c r="Q494" s="40">
        <f>C494*Prislapp!$C$5+D494*Prislapp!$D$5+E494*Prislapp!$E$5+F494*Prislapp!$F$5+G494*Prislapp!$G$5+H494*Prislapp!$H$5+I494*Prislapp!$I$5+J494*Prislapp!$J$5+K494*Prislapp!$K$5+L494*Prislapp!$L$5+M494*Prislapp!$M$5+N494*Prislapp!$N$5</f>
        <v>11200</v>
      </c>
      <c r="R494" s="9">
        <f>VLOOKUP(A494,'Ansvar kurs'!$A$2:$B$943,2,FALSE)</f>
        <v>5740</v>
      </c>
      <c r="S494" s="157"/>
      <c r="T494" s="157"/>
      <c r="U494" s="157"/>
      <c r="V494" s="157"/>
      <c r="W494" s="157"/>
      <c r="X494" s="157"/>
      <c r="Y494" s="157"/>
      <c r="Z494" s="157"/>
    </row>
    <row r="495" spans="1:26" x14ac:dyDescent="0.25">
      <c r="A495" s="31" t="s">
        <v>1017</v>
      </c>
      <c r="B495" s="31" t="s">
        <v>1045</v>
      </c>
      <c r="F495" s="31">
        <v>0.6</v>
      </c>
      <c r="H495" s="31">
        <v>0.4</v>
      </c>
      <c r="O495" s="40">
        <f>C495*Prislapp!$C$2+D495*Prislapp!$D$2+E495*Prislapp!$E$2+F495*Prislapp!$F$2+G495*Prislapp!$G$2+H495*Prislapp!$H$2+I495*Prislapp!$I$2+J495*Prislapp!$J$2+K495*Prislapp!$K$2+L495*Prislapp!$L$2+M495*Prislapp!$M$2+N495*Prislapp!$N$2</f>
        <v>24235.200000000001</v>
      </c>
      <c r="P495" s="40">
        <f>C495*Prislapp!$C$3+D495*Prislapp!$D$3+E495*Prislapp!$E$3+F495*Prislapp!$F$3+G495*Prislapp!$G$3+H495*Prislapp!$H$3+I495*Prislapp!$I$3+J495*Prislapp!$J$3+K495*Prislapp!$K$3+M495*Prislapp!$M$3+N495*Prislapp!$N$3+L495*Prislapp!$L$3</f>
        <v>34511.800000000003</v>
      </c>
      <c r="Q495" s="40">
        <f>C495*Prislapp!$C$5+D495*Prislapp!$D$5+E495*Prislapp!$E$5+F495*Prislapp!$F$5+G495*Prislapp!$G$5+H495*Prislapp!$H$5+I495*Prislapp!$I$5+J495*Prislapp!$J$5+K495*Prislapp!$K$5+L495*Prislapp!$L$5+M495*Prislapp!$M$5+N495*Prislapp!$N$5</f>
        <v>12640</v>
      </c>
      <c r="R495" s="9">
        <f>VLOOKUP(A495,'Ansvar kurs'!$A$2:$B$943,2,FALSE)</f>
        <v>5740</v>
      </c>
      <c r="S495" s="157"/>
      <c r="T495" s="157"/>
      <c r="U495" s="157"/>
      <c r="V495" s="157"/>
      <c r="W495" s="157"/>
      <c r="X495" s="157"/>
      <c r="Y495" s="157"/>
      <c r="Z495" s="157"/>
    </row>
    <row r="496" spans="1:26" x14ac:dyDescent="0.25">
      <c r="A496" s="31" t="s">
        <v>1018</v>
      </c>
      <c r="B496" s="31" t="s">
        <v>323</v>
      </c>
      <c r="F496" s="31">
        <v>1</v>
      </c>
      <c r="O496" s="40">
        <f>C496*Prislapp!$C$2+D496*Prislapp!$D$2+E496*Prislapp!$E$2+F496*Prislapp!$F$2+G496*Prislapp!$G$2+H496*Prislapp!$H$2+I496*Prislapp!$I$2+J496*Prislapp!$J$2+K496*Prislapp!$K$2+L496*Prislapp!$L$2+M496*Prislapp!$M$2+N496*Prislapp!$N$2</f>
        <v>26554</v>
      </c>
      <c r="P496" s="40">
        <f>C496*Prislapp!$C$3+D496*Prislapp!$D$3+E496*Prislapp!$E$3+F496*Prislapp!$F$3+G496*Prislapp!$G$3+H496*Prislapp!$H$3+I496*Prislapp!$I$3+J496*Prislapp!$J$3+K496*Prislapp!$K$3+M496*Prislapp!$M$3+N496*Prislapp!$N$3+L496*Prislapp!$L$3</f>
        <v>33465</v>
      </c>
      <c r="Q496" s="40">
        <f>C496*Prislapp!$C$5+D496*Prislapp!$D$5+E496*Prislapp!$E$5+F496*Prislapp!$F$5+G496*Prislapp!$G$5+H496*Prislapp!$H$5+I496*Prislapp!$I$5+J496*Prislapp!$J$5+K496*Prislapp!$K$5+L496*Prislapp!$L$5+M496*Prislapp!$M$5+N496*Prislapp!$N$5</f>
        <v>6000</v>
      </c>
      <c r="R496" s="9">
        <f>VLOOKUP(A496,'Ansvar kurs'!$A$2:$B$943,2,FALSE)</f>
        <v>5740</v>
      </c>
      <c r="S496" s="157"/>
      <c r="T496" s="157"/>
      <c r="U496" s="157"/>
      <c r="V496" s="157"/>
      <c r="W496" s="157"/>
      <c r="X496" s="157"/>
      <c r="Y496" s="157"/>
      <c r="Z496" s="157"/>
    </row>
    <row r="497" spans="1:26" x14ac:dyDescent="0.25">
      <c r="A497" s="31" t="s">
        <v>146</v>
      </c>
      <c r="B497" s="31" t="s">
        <v>707</v>
      </c>
      <c r="H497" s="31">
        <v>0.4</v>
      </c>
      <c r="K497" s="31">
        <v>0.6</v>
      </c>
      <c r="O497" s="40">
        <f>C497*Prislapp!$C$2+D497*Prislapp!$D$2+E497*Prislapp!$E$2+F497*Prislapp!$F$2+G497*Prislapp!$G$2+H497*Prislapp!$H$2+I497*Prislapp!$I$2+J497*Prislapp!$J$2+K497*Prislapp!$K$2+L497*Prislapp!$L$2+M497*Prislapp!$M$2+N497*Prislapp!$N$2</f>
        <v>23443.800000000003</v>
      </c>
      <c r="P497" s="40">
        <f>C497*Prislapp!$C$3+D497*Prislapp!$D$3+E497*Prislapp!$E$3+F497*Prislapp!$F$3+G497*Prislapp!$G$3+H497*Prislapp!$H$3+I497*Prislapp!$I$3+J497*Prislapp!$J$3+K497*Prislapp!$K$3+M497*Prislapp!$M$3+N497*Prislapp!$N$3+L497*Prislapp!$L$3</f>
        <v>31218.400000000001</v>
      </c>
      <c r="Q497" s="40">
        <f>C497*Prislapp!$C$5+D497*Prislapp!$D$5+E497*Prislapp!$E$5+F497*Prislapp!$F$5+G497*Prislapp!$G$5+H497*Prislapp!$H$5+I497*Prislapp!$I$5+J497*Prislapp!$J$5+K497*Prislapp!$K$5+L497*Prislapp!$L$5+M497*Prislapp!$M$5+N497*Prislapp!$N$5</f>
        <v>11200</v>
      </c>
      <c r="R497" s="9">
        <f>VLOOKUP(A497,'Ansvar kurs'!$A$2:$B$943,2,FALSE)</f>
        <v>5740</v>
      </c>
      <c r="S497" s="157"/>
      <c r="T497" s="157"/>
      <c r="U497" s="157"/>
      <c r="V497" s="157"/>
      <c r="W497" s="157"/>
      <c r="X497" s="157"/>
      <c r="Y497" s="157"/>
      <c r="Z497" s="157"/>
    </row>
    <row r="498" spans="1:26" x14ac:dyDescent="0.25">
      <c r="A498" s="31" t="s">
        <v>147</v>
      </c>
      <c r="B498" s="31" t="s">
        <v>708</v>
      </c>
      <c r="H498" s="31">
        <v>0.4</v>
      </c>
      <c r="K498" s="31">
        <v>0.6</v>
      </c>
      <c r="O498" s="40">
        <f>C498*Prislapp!$C$2+D498*Prislapp!$D$2+E498*Prislapp!$E$2+F498*Prislapp!$F$2+G498*Prislapp!$G$2+H498*Prislapp!$H$2+I498*Prislapp!$I$2+J498*Prislapp!$J$2+K498*Prislapp!$K$2+L498*Prislapp!$L$2+M498*Prislapp!$M$2+N498*Prislapp!$N$2</f>
        <v>23443.800000000003</v>
      </c>
      <c r="P498" s="40">
        <f>C498*Prislapp!$C$3+D498*Prislapp!$D$3+E498*Prislapp!$E$3+F498*Prislapp!$F$3+G498*Prislapp!$G$3+H498*Prislapp!$H$3+I498*Prislapp!$I$3+J498*Prislapp!$J$3+K498*Prislapp!$K$3+M498*Prislapp!$M$3+N498*Prislapp!$N$3+L498*Prislapp!$L$3</f>
        <v>31218.400000000001</v>
      </c>
      <c r="Q498" s="40">
        <f>C498*Prislapp!$C$5+D498*Prislapp!$D$5+E498*Prislapp!$E$5+F498*Prislapp!$F$5+G498*Prislapp!$G$5+H498*Prislapp!$H$5+I498*Prislapp!$I$5+J498*Prislapp!$J$5+K498*Prislapp!$K$5+L498*Prislapp!$L$5+M498*Prislapp!$M$5+N498*Prislapp!$N$5</f>
        <v>11200</v>
      </c>
      <c r="R498" s="9">
        <f>VLOOKUP(A498,'Ansvar kurs'!$A$2:$B$943,2,FALSE)</f>
        <v>5740</v>
      </c>
      <c r="S498" s="157"/>
      <c r="T498" s="157"/>
      <c r="U498" s="157"/>
      <c r="V498" s="157"/>
      <c r="W498" s="157"/>
      <c r="X498" s="157"/>
      <c r="Y498" s="157"/>
      <c r="Z498" s="157"/>
    </row>
    <row r="499" spans="1:26" x14ac:dyDescent="0.25">
      <c r="A499" s="31" t="s">
        <v>91</v>
      </c>
      <c r="B499" s="31" t="s">
        <v>709</v>
      </c>
      <c r="F499" s="31">
        <v>1</v>
      </c>
      <c r="O499" s="40">
        <f>C499*Prislapp!$C$2+D499*Prislapp!$D$2+E499*Prislapp!$E$2+F499*Prislapp!$F$2+G499*Prislapp!$G$2+H499*Prislapp!$H$2+I499*Prislapp!$I$2+J499*Prislapp!$J$2+K499*Prislapp!$K$2+L499*Prislapp!$L$2+M499*Prislapp!$M$2+N499*Prislapp!$N$2</f>
        <v>26554</v>
      </c>
      <c r="P499" s="40">
        <f>C499*Prislapp!$C$3+D499*Prislapp!$D$3+E499*Prislapp!$E$3+F499*Prislapp!$F$3+G499*Prislapp!$G$3+H499*Prislapp!$H$3+I499*Prislapp!$I$3+J499*Prislapp!$J$3+K499*Prislapp!$K$3+M499*Prislapp!$M$3+N499*Prislapp!$N$3+L499*Prislapp!$L$3</f>
        <v>33465</v>
      </c>
      <c r="Q499" s="40">
        <f>C499*Prislapp!$C$5+D499*Prislapp!$D$5+E499*Prislapp!$E$5+F499*Prislapp!$F$5+G499*Prislapp!$G$5+H499*Prislapp!$H$5+I499*Prislapp!$I$5+J499*Prislapp!$J$5+K499*Prislapp!$K$5+L499*Prislapp!$L$5+M499*Prislapp!$M$5+N499*Prislapp!$N$5</f>
        <v>6000</v>
      </c>
      <c r="R499" s="9">
        <f>VLOOKUP(A499,'Ansvar kurs'!$A$2:$B$943,2,FALSE)</f>
        <v>2180</v>
      </c>
      <c r="S499" s="157"/>
      <c r="T499" s="157"/>
      <c r="U499" s="157"/>
      <c r="V499" s="157"/>
      <c r="W499" s="157"/>
      <c r="X499" s="157"/>
      <c r="Y499" s="157"/>
      <c r="Z499" s="157"/>
    </row>
    <row r="500" spans="1:26" x14ac:dyDescent="0.25">
      <c r="A500" s="31" t="s">
        <v>139</v>
      </c>
      <c r="B500" s="31" t="s">
        <v>323</v>
      </c>
      <c r="F500" s="31">
        <v>1</v>
      </c>
      <c r="O500" s="40">
        <f>C500*Prislapp!$C$2+D500*Prislapp!$D$2+E500*Prislapp!$E$2+F500*Prislapp!$F$2+G500*Prislapp!$G$2+H500*Prislapp!$H$2+I500*Prislapp!$I$2+J500*Prislapp!$J$2+K500*Prislapp!$K$2+L500*Prislapp!$L$2+M500*Prislapp!$M$2+N500*Prislapp!$N$2</f>
        <v>26554</v>
      </c>
      <c r="P500" s="40">
        <f>C500*Prislapp!$C$3+D500*Prislapp!$D$3+E500*Prislapp!$E$3+F500*Prislapp!$F$3+G500*Prislapp!$G$3+H500*Prislapp!$H$3+I500*Prislapp!$I$3+J500*Prislapp!$J$3+K500*Prislapp!$K$3+M500*Prislapp!$M$3+N500*Prislapp!$N$3+L500*Prislapp!$L$3</f>
        <v>33465</v>
      </c>
      <c r="Q500" s="40">
        <f>C500*Prislapp!$C$5+D500*Prislapp!$D$5+E500*Prislapp!$E$5+F500*Prislapp!$F$5+G500*Prislapp!$G$5+H500*Prislapp!$H$5+I500*Prislapp!$I$5+J500*Prislapp!$J$5+K500*Prislapp!$K$5+L500*Prislapp!$L$5+M500*Prislapp!$M$5+N500*Prislapp!$N$5</f>
        <v>6000</v>
      </c>
      <c r="R500" s="9">
        <f>VLOOKUP(A500,'Ansvar kurs'!$A$2:$B$943,2,FALSE)</f>
        <v>2193</v>
      </c>
      <c r="S500" s="157"/>
      <c r="T500" s="157"/>
      <c r="U500" s="157"/>
      <c r="V500" s="157"/>
      <c r="W500" s="157"/>
      <c r="X500" s="157"/>
      <c r="Y500" s="157"/>
      <c r="Z500" s="157"/>
    </row>
    <row r="501" spans="1:26" x14ac:dyDescent="0.25">
      <c r="A501" s="31" t="s">
        <v>140</v>
      </c>
      <c r="B501" s="31" t="s">
        <v>710</v>
      </c>
      <c r="I501" s="31">
        <v>1</v>
      </c>
      <c r="O501" s="40">
        <f>C501*Prislapp!$C$2+D501*Prislapp!$D$2+E501*Prislapp!$E$2+F501*Prislapp!$F$2+G501*Prislapp!$G$2+H501*Prislapp!$H$2+I501*Prislapp!$I$2+J501*Prislapp!$J$2+K501*Prislapp!$K$2+L501*Prislapp!$L$2+M501*Prislapp!$M$2+N501*Prislapp!$N$2</f>
        <v>20766</v>
      </c>
      <c r="P501" s="40">
        <f>C501*Prislapp!$C$3+D501*Prislapp!$D$3+E501*Prislapp!$E$3+F501*Prislapp!$F$3+G501*Prislapp!$G$3+H501*Prislapp!$H$3+I501*Prislapp!$I$3+J501*Prislapp!$J$3+K501*Prislapp!$K$3+M501*Prislapp!$M$3+N501*Prislapp!$N$3+L501*Prislapp!$L$3</f>
        <v>17442</v>
      </c>
      <c r="Q501" s="40">
        <f>C501*Prislapp!$C$5+D501*Prislapp!$D$5+E501*Prislapp!$E$5+F501*Prislapp!$F$5+G501*Prislapp!$G$5+H501*Prislapp!$H$5+I501*Prislapp!$I$5+J501*Prislapp!$J$5+K501*Prislapp!$K$5+L501*Prislapp!$L$5+M501*Prislapp!$M$5+N501*Prislapp!$N$5</f>
        <v>6000</v>
      </c>
      <c r="R501" s="9">
        <f>VLOOKUP(A501,'Ansvar kurs'!$A$2:$B$943,2,FALSE)</f>
        <v>2193</v>
      </c>
      <c r="S501" s="157" t="s">
        <v>1276</v>
      </c>
      <c r="T501" s="157"/>
      <c r="U501" s="157"/>
      <c r="V501" s="157"/>
      <c r="W501" s="157"/>
      <c r="X501" s="157"/>
      <c r="Y501" s="157"/>
      <c r="Z501" s="157"/>
    </row>
    <row r="502" spans="1:26" x14ac:dyDescent="0.25">
      <c r="A502" s="31" t="s">
        <v>1019</v>
      </c>
      <c r="B502" s="31" t="s">
        <v>1169</v>
      </c>
      <c r="I502" s="31">
        <v>1</v>
      </c>
      <c r="O502" s="40">
        <f>C502*Prislapp!$C$2+D502*Prislapp!$D$2+E502*Prislapp!$E$2+F502*Prislapp!$F$2+G502*Prislapp!$G$2+H502*Prislapp!$H$2+I502*Prislapp!$I$2+J502*Prislapp!$J$2+K502*Prislapp!$K$2+L502*Prislapp!$L$2+M502*Prislapp!$M$2+N502*Prislapp!$N$2</f>
        <v>20766</v>
      </c>
      <c r="P502" s="40">
        <f>C502*Prislapp!$C$3+D502*Prislapp!$D$3+E502*Prislapp!$E$3+F502*Prislapp!$F$3+G502*Prislapp!$G$3+H502*Prislapp!$H$3+I502*Prislapp!$I$3+J502*Prislapp!$J$3+K502*Prislapp!$K$3+M502*Prislapp!$M$3+N502*Prislapp!$N$3+L502*Prislapp!$L$3</f>
        <v>17442</v>
      </c>
      <c r="Q502" s="40">
        <f>C502*Prislapp!$C$5+D502*Prislapp!$D$5+E502*Prislapp!$E$5+F502*Prislapp!$F$5+G502*Prislapp!$G$5+H502*Prislapp!$H$5+I502*Prislapp!$I$5+J502*Prislapp!$J$5+K502*Prislapp!$K$5+L502*Prislapp!$L$5+M502*Prislapp!$M$5+N502*Prislapp!$N$5</f>
        <v>6000</v>
      </c>
      <c r="R502" s="9">
        <f>VLOOKUP(A502,'Ansvar kurs'!$A$2:$B$943,2,FALSE)</f>
        <v>2180</v>
      </c>
      <c r="S502" s="157"/>
      <c r="T502" s="157"/>
      <c r="U502" s="157"/>
      <c r="V502" s="157"/>
      <c r="W502" s="157"/>
      <c r="X502" s="157"/>
      <c r="Y502" s="157"/>
      <c r="Z502" s="157"/>
    </row>
    <row r="503" spans="1:26" x14ac:dyDescent="0.25">
      <c r="A503" s="31" t="s">
        <v>500</v>
      </c>
      <c r="B503" s="31" t="s">
        <v>711</v>
      </c>
      <c r="F503" s="31">
        <v>1</v>
      </c>
      <c r="O503" s="40">
        <f>C503*Prislapp!$C$2+D503*Prislapp!$D$2+E503*Prislapp!$E$2+F503*Prislapp!$F$2+G503*Prislapp!$G$2+H503*Prislapp!$H$2+I503*Prislapp!$I$2+J503*Prislapp!$J$2+K503*Prislapp!$K$2+L503*Prislapp!$L$2+M503*Prislapp!$M$2+N503*Prislapp!$N$2</f>
        <v>26554</v>
      </c>
      <c r="P503" s="40">
        <f>C503*Prislapp!$C$3+D503*Prislapp!$D$3+E503*Prislapp!$E$3+F503*Prislapp!$F$3+G503*Prislapp!$G$3+H503*Prislapp!$H$3+I503*Prislapp!$I$3+J503*Prislapp!$J$3+K503*Prislapp!$K$3+M503*Prislapp!$M$3+N503*Prislapp!$N$3+L503*Prislapp!$L$3</f>
        <v>33465</v>
      </c>
      <c r="Q503" s="40">
        <f>C503*Prislapp!$C$5+D503*Prislapp!$D$5+E503*Prislapp!$E$5+F503*Prislapp!$F$5+G503*Prislapp!$G$5+H503*Prislapp!$H$5+I503*Prislapp!$I$5+J503*Prislapp!$J$5+K503*Prislapp!$K$5+L503*Prislapp!$L$5+M503*Prislapp!$M$5+N503*Prislapp!$N$5</f>
        <v>6000</v>
      </c>
      <c r="R503" s="9">
        <f>VLOOKUP(A503,'Ansvar kurs'!$A$2:$B$943,2,FALSE)</f>
        <v>1620</v>
      </c>
      <c r="S503" s="157"/>
      <c r="T503" s="157"/>
      <c r="U503" s="157"/>
      <c r="V503" s="157"/>
      <c r="W503" s="157"/>
      <c r="X503" s="157"/>
      <c r="Y503" s="157"/>
      <c r="Z503" s="157"/>
    </row>
    <row r="504" spans="1:26" x14ac:dyDescent="0.25">
      <c r="A504" s="31" t="s">
        <v>129</v>
      </c>
      <c r="B504" s="31" t="s">
        <v>712</v>
      </c>
      <c r="F504" s="31">
        <v>1</v>
      </c>
      <c r="O504" s="40">
        <f>C504*Prislapp!$C$2+D504*Prislapp!$D$2+E504*Prislapp!$E$2+F504*Prislapp!$F$2+G504*Prislapp!$G$2+H504*Prislapp!$H$2+I504*Prislapp!$I$2+J504*Prislapp!$J$2+K504*Prislapp!$K$2+L504*Prislapp!$L$2+M504*Prislapp!$M$2+N504*Prislapp!$N$2</f>
        <v>26554</v>
      </c>
      <c r="P504" s="40">
        <f>C504*Prislapp!$C$3+D504*Prislapp!$D$3+E504*Prislapp!$E$3+F504*Prislapp!$F$3+G504*Prislapp!$G$3+H504*Prislapp!$H$3+I504*Prislapp!$I$3+J504*Prislapp!$J$3+K504*Prislapp!$K$3+M504*Prislapp!$M$3+N504*Prislapp!$N$3+L504*Prislapp!$L$3</f>
        <v>33465</v>
      </c>
      <c r="Q504" s="40">
        <f>C504*Prislapp!$C$5+D504*Prislapp!$D$5+E504*Prislapp!$E$5+F504*Prislapp!$F$5+G504*Prislapp!$G$5+H504*Prislapp!$H$5+I504*Prislapp!$I$5+J504*Prislapp!$J$5+K504*Prislapp!$K$5+L504*Prislapp!$L$5+M504*Prislapp!$M$5+N504*Prislapp!$N$5</f>
        <v>6000</v>
      </c>
      <c r="R504" s="9">
        <f>VLOOKUP(A504,'Ansvar kurs'!$A$2:$B$943,2,FALSE)</f>
        <v>2180</v>
      </c>
      <c r="S504" s="157"/>
      <c r="T504" s="157"/>
      <c r="U504" s="157"/>
      <c r="V504" s="157"/>
      <c r="W504" s="157"/>
      <c r="X504" s="157"/>
      <c r="Y504" s="157"/>
      <c r="Z504" s="157"/>
    </row>
    <row r="505" spans="1:26" x14ac:dyDescent="0.25">
      <c r="A505" s="31" t="s">
        <v>334</v>
      </c>
      <c r="B505" s="31" t="s">
        <v>713</v>
      </c>
      <c r="F505" s="31">
        <v>0.25</v>
      </c>
      <c r="K505" s="31">
        <v>0.75</v>
      </c>
      <c r="O505" s="40">
        <f>C505*Prislapp!$C$2+D505*Prislapp!$D$2+E505*Prislapp!$E$2+F505*Prislapp!$F$2+G505*Prislapp!$G$2+H505*Prislapp!$H$2+I505*Prislapp!$I$2+J505*Prislapp!$J$2+K505*Prislapp!$K$2+L505*Prislapp!$L$2+M505*Prislapp!$M$2+N505*Prislapp!$N$2</f>
        <v>25564.75</v>
      </c>
      <c r="P505" s="40">
        <f>C505*Prislapp!$C$3+D505*Prislapp!$D$3+E505*Prislapp!$E$3+F505*Prislapp!$F$3+G505*Prislapp!$G$3+H505*Prislapp!$H$3+I505*Prislapp!$I$3+J505*Prislapp!$J$3+K505*Prislapp!$K$3+M505*Prislapp!$M$3+N505*Prislapp!$N$3+L505*Prislapp!$L$3</f>
        <v>29348.25</v>
      </c>
      <c r="Q505" s="40">
        <f>C505*Prislapp!$C$5+D505*Prislapp!$D$5+E505*Prislapp!$E$5+F505*Prislapp!$F$5+G505*Prislapp!$G$5+H505*Prislapp!$H$5+I505*Prislapp!$I$5+J505*Prislapp!$J$5+K505*Prislapp!$K$5+L505*Prislapp!$L$5+M505*Prislapp!$M$5+N505*Prislapp!$N$5</f>
        <v>4200</v>
      </c>
      <c r="R505" s="9">
        <f>VLOOKUP(A505,'Ansvar kurs'!$A$2:$B$943,2,FALSE)</f>
        <v>2180</v>
      </c>
      <c r="S505" s="176" t="s">
        <v>1079</v>
      </c>
      <c r="T505" s="157"/>
      <c r="U505" s="157"/>
      <c r="V505" s="157"/>
      <c r="W505" s="157"/>
      <c r="X505" s="157"/>
      <c r="Y505" s="157"/>
      <c r="Z505" s="157"/>
    </row>
    <row r="506" spans="1:26" x14ac:dyDescent="0.25">
      <c r="A506" s="31" t="s">
        <v>121</v>
      </c>
      <c r="B506" s="31" t="s">
        <v>714</v>
      </c>
      <c r="I506" s="31">
        <v>0.2</v>
      </c>
      <c r="N506" s="31">
        <v>0.8</v>
      </c>
      <c r="O506" s="40">
        <f>C506*Prislapp!$C$2+D506*Prislapp!$D$2+E506*Prislapp!$E$2+F506*Prislapp!$F$2+G506*Prislapp!$G$2+H506*Prislapp!$H$2+I506*Prislapp!$I$2+J506*Prislapp!$J$2+K506*Prislapp!$K$2+L506*Prislapp!$L$2+M506*Prislapp!$M$2+N506*Prislapp!$N$2</f>
        <v>36229.199999999997</v>
      </c>
      <c r="P506" s="40">
        <f>C506*Prislapp!$C$3+D506*Prislapp!$D$3+E506*Prislapp!$E$3+F506*Prislapp!$F$3+G506*Prislapp!$G$3+H506*Prislapp!$H$3+I506*Prislapp!$I$3+J506*Prislapp!$J$3+K506*Prislapp!$K$3+M506*Prislapp!$M$3+N506*Prislapp!$N$3+L506*Prislapp!$L$3</f>
        <v>35006.800000000003</v>
      </c>
      <c r="Q506" s="40">
        <f>C506*Prislapp!$C$5+D506*Prislapp!$D$5+E506*Prislapp!$E$5+F506*Prislapp!$F$5+G506*Prislapp!$G$5+H506*Prislapp!$H$5+I506*Prislapp!$I$5+J506*Prislapp!$J$5+K506*Prislapp!$K$5+L506*Prislapp!$L$5+M506*Prislapp!$M$5+N506*Prislapp!$N$5</f>
        <v>6000</v>
      </c>
      <c r="R506" s="9">
        <f>VLOOKUP(A506,'Ansvar kurs'!$A$2:$B$943,2,FALSE)</f>
        <v>2193</v>
      </c>
      <c r="S506" s="157" t="s">
        <v>1276</v>
      </c>
      <c r="T506" s="157"/>
      <c r="U506" s="157"/>
      <c r="V506" s="157"/>
      <c r="W506" s="157"/>
      <c r="X506" s="157"/>
      <c r="Y506" s="157"/>
      <c r="Z506" s="157"/>
    </row>
    <row r="507" spans="1:26" x14ac:dyDescent="0.25">
      <c r="A507" s="31" t="s">
        <v>393</v>
      </c>
      <c r="B507" s="31" t="s">
        <v>715</v>
      </c>
      <c r="C507" s="102"/>
      <c r="D507" s="102"/>
      <c r="E507" s="102"/>
      <c r="F507" s="102">
        <v>1</v>
      </c>
      <c r="G507" s="102"/>
      <c r="H507" s="102"/>
      <c r="I507" s="102"/>
      <c r="J507" s="102"/>
      <c r="K507" s="102"/>
      <c r="L507" s="102"/>
      <c r="M507" s="102"/>
      <c r="N507" s="102"/>
      <c r="O507" s="40">
        <f>C507*Prislapp!$C$2+D507*Prislapp!$D$2+E507*Prislapp!$E$2+F507*Prislapp!$F$2+G507*Prislapp!$G$2+H507*Prislapp!$H$2+I507*Prislapp!$I$2+J507*Prislapp!$J$2+K507*Prislapp!$K$2+L507*Prislapp!$L$2+M507*Prislapp!$M$2+N507*Prislapp!$N$2</f>
        <v>26554</v>
      </c>
      <c r="P507" s="40">
        <f>C507*Prislapp!$C$3+D507*Prislapp!$D$3+E507*Prislapp!$E$3+F507*Prislapp!$F$3+G507*Prislapp!$G$3+H507*Prislapp!$H$3+I507*Prislapp!$I$3+J507*Prislapp!$J$3+K507*Prislapp!$K$3+M507*Prislapp!$M$3+N507*Prislapp!$N$3+L507*Prislapp!$L$3</f>
        <v>33465</v>
      </c>
      <c r="Q507" s="40">
        <f>C507*Prislapp!$C$5+D507*Prislapp!$D$5+E507*Prislapp!$E$5+F507*Prislapp!$F$5+G507*Prislapp!$G$5+H507*Prislapp!$H$5+I507*Prislapp!$I$5+J507*Prislapp!$J$5+K507*Prislapp!$K$5+L507*Prislapp!$L$5+M507*Prislapp!$M$5+N507*Prislapp!$N$5</f>
        <v>6000</v>
      </c>
      <c r="R507" s="9">
        <f>VLOOKUP(A507,'Ansvar kurs'!$A$2:$B$943,2,FALSE)</f>
        <v>5740</v>
      </c>
      <c r="S507" s="157"/>
      <c r="T507" s="157"/>
      <c r="U507" s="157"/>
      <c r="V507" s="157"/>
      <c r="W507" s="157"/>
      <c r="X507" s="157"/>
      <c r="Y507" s="157"/>
      <c r="Z507" s="157"/>
    </row>
    <row r="508" spans="1:26" x14ac:dyDescent="0.25">
      <c r="A508" s="31" t="s">
        <v>369</v>
      </c>
      <c r="B508" s="31" t="s">
        <v>359</v>
      </c>
      <c r="F508" s="31">
        <v>1</v>
      </c>
      <c r="O508" s="40">
        <f>C508*Prislapp!$C$2+D508*Prislapp!$D$2+E508*Prislapp!$E$2+F508*Prislapp!$F$2+G508*Prislapp!$G$2+H508*Prislapp!$H$2+I508*Prislapp!$I$2+J508*Prislapp!$J$2+K508*Prislapp!$K$2+L508*Prislapp!$L$2+M508*Prislapp!$M$2+N508*Prislapp!$N$2</f>
        <v>26554</v>
      </c>
      <c r="P508" s="40">
        <f>C508*Prislapp!$C$3+D508*Prislapp!$D$3+E508*Prislapp!$E$3+F508*Prislapp!$F$3+G508*Prislapp!$G$3+H508*Prislapp!$H$3+I508*Prislapp!$I$3+J508*Prislapp!$J$3+K508*Prislapp!$K$3+M508*Prislapp!$M$3+N508*Prislapp!$N$3+L508*Prislapp!$L$3</f>
        <v>33465</v>
      </c>
      <c r="Q508" s="40">
        <f>C508*Prislapp!$C$5+D508*Prislapp!$D$5+E508*Prislapp!$E$5+F508*Prislapp!$F$5+G508*Prislapp!$G$5+H508*Prislapp!$H$5+I508*Prislapp!$I$5+J508*Prislapp!$J$5+K508*Prislapp!$K$5+L508*Prislapp!$L$5+M508*Prislapp!$M$5+N508*Prislapp!$N$5</f>
        <v>6000</v>
      </c>
      <c r="R508" s="9">
        <f>VLOOKUP(A508,'Ansvar kurs'!$A$2:$B$943,2,FALSE)</f>
        <v>5740</v>
      </c>
      <c r="S508" s="157"/>
      <c r="T508" s="157"/>
      <c r="U508" s="157"/>
      <c r="V508" s="157"/>
      <c r="W508" s="157"/>
      <c r="X508" s="157"/>
      <c r="Y508" s="157"/>
      <c r="Z508" s="157"/>
    </row>
    <row r="509" spans="1:26" x14ac:dyDescent="0.25">
      <c r="A509" s="31" t="s">
        <v>716</v>
      </c>
      <c r="B509" s="31" t="s">
        <v>359</v>
      </c>
      <c r="F509" s="31">
        <v>1</v>
      </c>
      <c r="O509" s="40">
        <f>C509*Prislapp!$C$2+D509*Prislapp!$D$2+E509*Prislapp!$E$2+F509*Prislapp!$F$2+G509*Prislapp!$G$2+H509*Prislapp!$H$2+I509*Prislapp!$I$2+J509*Prislapp!$J$2+K509*Prislapp!$K$2+L509*Prislapp!$L$2+M509*Prislapp!$M$2+N509*Prislapp!$N$2</f>
        <v>26554</v>
      </c>
      <c r="P509" s="40">
        <f>C509*Prislapp!$C$3+D509*Prislapp!$D$3+E509*Prislapp!$E$3+F509*Prislapp!$F$3+G509*Prislapp!$G$3+H509*Prislapp!$H$3+I509*Prislapp!$I$3+J509*Prislapp!$J$3+K509*Prislapp!$K$3+M509*Prislapp!$M$3+N509*Prislapp!$N$3+L509*Prislapp!$L$3</f>
        <v>33465</v>
      </c>
      <c r="Q509" s="40">
        <f>C509*Prislapp!$C$5+D509*Prislapp!$D$5+E509*Prislapp!$E$5+F509*Prislapp!$F$5+G509*Prislapp!$G$5+H509*Prislapp!$H$5+I509*Prislapp!$I$5+J509*Prislapp!$J$5+K509*Prislapp!$K$5+L509*Prislapp!$L$5+M509*Prislapp!$M$5+N509*Prislapp!$N$5</f>
        <v>6000</v>
      </c>
      <c r="R509" s="9">
        <f>VLOOKUP(A509,'Ansvar kurs'!$A$2:$B$943,2,FALSE)</f>
        <v>2193</v>
      </c>
      <c r="S509" s="157"/>
      <c r="T509" s="157"/>
      <c r="U509" s="157"/>
      <c r="V509" s="157"/>
      <c r="W509" s="157"/>
      <c r="X509" s="157"/>
      <c r="Y509" s="157"/>
      <c r="Z509" s="157"/>
    </row>
    <row r="510" spans="1:26" x14ac:dyDescent="0.25">
      <c r="A510" s="31" t="s">
        <v>370</v>
      </c>
      <c r="B510" s="31" t="s">
        <v>359</v>
      </c>
      <c r="F510" s="31">
        <v>1</v>
      </c>
      <c r="O510" s="40">
        <f>C510*Prislapp!$C$2+D510*Prislapp!$D$2+E510*Prislapp!$E$2+F510*Prislapp!$F$2+G510*Prislapp!$G$2+H510*Prislapp!$H$2+I510*Prislapp!$I$2+J510*Prislapp!$J$2+K510*Prislapp!$K$2+L510*Prislapp!$L$2+M510*Prislapp!$M$2+N510*Prislapp!$N$2</f>
        <v>26554</v>
      </c>
      <c r="P510" s="40">
        <f>C510*Prislapp!$C$3+D510*Prislapp!$D$3+E510*Prislapp!$E$3+F510*Prislapp!$F$3+G510*Prislapp!$G$3+H510*Prislapp!$H$3+I510*Prislapp!$I$3+J510*Prislapp!$J$3+K510*Prislapp!$K$3+M510*Prislapp!$M$3+N510*Prislapp!$N$3+L510*Prislapp!$L$3</f>
        <v>33465</v>
      </c>
      <c r="Q510" s="40">
        <f>C510*Prislapp!$C$5+D510*Prislapp!$D$5+E510*Prislapp!$E$5+F510*Prislapp!$F$5+G510*Prislapp!$G$5+H510*Prislapp!$H$5+I510*Prislapp!$I$5+J510*Prislapp!$J$5+K510*Prislapp!$K$5+L510*Prislapp!$L$5+M510*Prislapp!$M$5+N510*Prislapp!$N$5</f>
        <v>6000</v>
      </c>
      <c r="R510" s="9">
        <f>VLOOKUP(A510,'Ansvar kurs'!$A$2:$B$943,2,FALSE)</f>
        <v>2180</v>
      </c>
      <c r="S510" s="157"/>
      <c r="T510" s="157"/>
      <c r="U510" s="157"/>
      <c r="V510" s="157"/>
      <c r="W510" s="157"/>
      <c r="X510" s="157"/>
      <c r="Y510" s="157"/>
      <c r="Z510" s="157"/>
    </row>
    <row r="511" spans="1:26" x14ac:dyDescent="0.25">
      <c r="A511" s="221" t="s">
        <v>590</v>
      </c>
      <c r="B511" s="31" t="s">
        <v>1455</v>
      </c>
      <c r="F511" s="31">
        <v>1</v>
      </c>
      <c r="O511" s="40">
        <f>C511*Prislapp!$C$2+D511*Prislapp!$D$2+E511*Prislapp!$E$2+F511*Prislapp!$F$2+G511*Prislapp!$G$2+H511*Prislapp!$H$2+I511*Prislapp!$I$2+J511*Prislapp!$J$2+K511*Prislapp!$K$2+L511*Prislapp!$L$2+M511*Prislapp!$M$2+N511*Prislapp!$N$2</f>
        <v>26554</v>
      </c>
      <c r="P511" s="40">
        <f>C511*Prislapp!$C$3+D511*Prislapp!$D$3+E511*Prislapp!$E$3+F511*Prislapp!$F$3+G511*Prislapp!$G$3+H511*Prislapp!$H$3+I511*Prislapp!$I$3+J511*Prislapp!$J$3+K511*Prislapp!$K$3+M511*Prislapp!$M$3+N511*Prislapp!$N$3+L511*Prislapp!$L$3</f>
        <v>33465</v>
      </c>
      <c r="Q511" s="40">
        <f>C511*Prislapp!$C$5+D511*Prislapp!$D$5+E511*Prislapp!$E$5+F511*Prislapp!$F$5+G511*Prislapp!$G$5+H511*Prislapp!$H$5+I511*Prislapp!$I$5+J511*Prislapp!$J$5+K511*Prislapp!$K$5+L511*Prislapp!$L$5+M511*Prislapp!$M$5+N511*Prislapp!$N$5</f>
        <v>6000</v>
      </c>
      <c r="R511" s="9">
        <f>VLOOKUP(A511,'Ansvar kurs'!$A$2:$B$943,2,FALSE)</f>
        <v>2193</v>
      </c>
      <c r="S511" s="157"/>
      <c r="T511" s="157"/>
      <c r="U511" s="157"/>
      <c r="V511" s="157"/>
      <c r="W511" s="157"/>
      <c r="X511" s="157"/>
      <c r="Y511" s="157"/>
      <c r="Z511" s="157"/>
    </row>
    <row r="512" spans="1:26" x14ac:dyDescent="0.25">
      <c r="A512" s="221" t="s">
        <v>480</v>
      </c>
      <c r="B512" s="31" t="s">
        <v>1170</v>
      </c>
      <c r="K512" s="31">
        <v>1</v>
      </c>
      <c r="O512" s="40">
        <f>C512*Prislapp!$C$2+D512*Prislapp!$D$2+E512*Prislapp!$E$2+F512*Prislapp!$F$2+G512*Prislapp!$G$2+H512*Prislapp!$H$2+I512*Prislapp!$I$2+J512*Prislapp!$J$2+K512*Prislapp!$K$2+L512*Prislapp!$L$2+M512*Prislapp!$M$2+N512*Prislapp!$N$2</f>
        <v>25235</v>
      </c>
      <c r="P512" s="40">
        <f>C512*Prislapp!$C$3+D512*Prislapp!$D$3+E512*Prislapp!$E$3+F512*Prislapp!$F$3+G512*Prislapp!$G$3+H512*Prislapp!$H$3+I512*Prislapp!$I$3+J512*Prislapp!$J$3+K512*Prislapp!$K$3+M512*Prislapp!$M$3+N512*Prislapp!$N$3+L512*Prislapp!$L$3</f>
        <v>27976</v>
      </c>
      <c r="Q512" s="40">
        <f>C512*Prislapp!$C$5+D512*Prislapp!$D$5+E512*Prislapp!$E$5+F512*Prislapp!$F$5+G512*Prislapp!$G$5+H512*Prislapp!$H$5+I512*Prislapp!$I$5+J512*Prislapp!$J$5+K512*Prislapp!$K$5+L512*Prislapp!$L$5+M512*Prislapp!$M$5+N512*Prislapp!$N$5</f>
        <v>3600</v>
      </c>
      <c r="R512" s="9">
        <f>VLOOKUP(A512,'Ansvar kurs'!$A$2:$B$943,2,FALSE)</f>
        <v>2193</v>
      </c>
      <c r="S512" s="157"/>
      <c r="T512" s="157"/>
      <c r="U512" s="157"/>
      <c r="V512" s="157"/>
      <c r="W512" s="157"/>
      <c r="X512" s="157"/>
      <c r="Y512" s="157"/>
      <c r="Z512" s="157"/>
    </row>
    <row r="513" spans="1:26" x14ac:dyDescent="0.25">
      <c r="A513" s="31" t="s">
        <v>501</v>
      </c>
      <c r="B513" s="31" t="s">
        <v>550</v>
      </c>
      <c r="H513" s="31">
        <v>0.12</v>
      </c>
      <c r="I513" s="31">
        <v>0.88</v>
      </c>
      <c r="O513" s="40">
        <f>C513*Prislapp!$C$2+D513*Prislapp!$D$2+E513*Prislapp!$E$2+F513*Prislapp!$F$2+G513*Prislapp!$G$2+H513*Prislapp!$H$2+I513*Prislapp!$I$2+J513*Prislapp!$J$2+K513*Prislapp!$K$2+L513*Prislapp!$L$2+M513*Prislapp!$M$2+N513*Prislapp!$N$2</f>
        <v>20764.920000000002</v>
      </c>
      <c r="P513" s="40">
        <f>C513*Prislapp!$C$3+D513*Prislapp!$D$3+E513*Prislapp!$E$3+F513*Prislapp!$F$3+G513*Prislapp!$G$3+H513*Prislapp!$H$3+I513*Prislapp!$I$3+J513*Prislapp!$J$3+K513*Prislapp!$K$3+M513*Prislapp!$M$3+N513*Prislapp!$N$3+L513*Prislapp!$L$3</f>
        <v>19678.800000000003</v>
      </c>
      <c r="Q513" s="40">
        <f>C513*Prislapp!$C$5+D513*Prislapp!$D$5+E513*Prislapp!$E$5+F513*Prislapp!$F$5+G513*Prislapp!$G$5+H513*Prislapp!$H$5+I513*Prislapp!$I$5+J513*Prislapp!$J$5+K513*Prislapp!$K$5+L513*Prislapp!$L$5+M513*Prislapp!$M$5+N513*Prislapp!$N$5</f>
        <v>7992</v>
      </c>
      <c r="R513" s="9">
        <f>VLOOKUP(A513,'Ansvar kurs'!$A$2:$B$943,2,FALSE)</f>
        <v>2193</v>
      </c>
      <c r="S513" s="157" t="s">
        <v>1276</v>
      </c>
      <c r="T513" s="157"/>
      <c r="U513" s="157"/>
      <c r="V513" s="157"/>
      <c r="W513" s="157"/>
      <c r="X513" s="157"/>
      <c r="Y513" s="157"/>
      <c r="Z513" s="157"/>
    </row>
    <row r="514" spans="1:26" x14ac:dyDescent="0.25">
      <c r="A514" s="221" t="s">
        <v>591</v>
      </c>
      <c r="B514" s="31" t="s">
        <v>1456</v>
      </c>
      <c r="F514" s="31">
        <v>1</v>
      </c>
      <c r="O514" s="40">
        <f>C514*Prislapp!$C$2+D514*Prislapp!$D$2+E514*Prislapp!$E$2+F514*Prislapp!$F$2+G514*Prislapp!$G$2+H514*Prislapp!$H$2+I514*Prislapp!$I$2+J514*Prislapp!$J$2+K514*Prislapp!$K$2+L514*Prislapp!$L$2+M514*Prislapp!$M$2+N514*Prislapp!$N$2</f>
        <v>26554</v>
      </c>
      <c r="P514" s="40">
        <f>C514*Prislapp!$C$3+D514*Prislapp!$D$3+E514*Prislapp!$E$3+F514*Prislapp!$F$3+G514*Prislapp!$G$3+H514*Prislapp!$H$3+I514*Prislapp!$I$3+J514*Prislapp!$J$3+K514*Prislapp!$K$3+M514*Prislapp!$M$3+N514*Prislapp!$N$3+L514*Prislapp!$L$3</f>
        <v>33465</v>
      </c>
      <c r="Q514" s="40">
        <f>C514*Prislapp!$C$5+D514*Prislapp!$D$5+E514*Prislapp!$E$5+F514*Prislapp!$F$5+G514*Prislapp!$G$5+H514*Prislapp!$H$5+I514*Prislapp!$I$5+J514*Prislapp!$J$5+K514*Prislapp!$K$5+L514*Prislapp!$L$5+M514*Prislapp!$M$5+N514*Prislapp!$N$5</f>
        <v>6000</v>
      </c>
      <c r="R514" s="9">
        <f>VLOOKUP(A514,'Ansvar kurs'!$A$2:$B$943,2,FALSE)</f>
        <v>2193</v>
      </c>
      <c r="S514" s="157"/>
      <c r="T514" s="157"/>
      <c r="U514" s="157"/>
      <c r="V514" s="157"/>
      <c r="W514" s="157"/>
      <c r="X514" s="157"/>
      <c r="Y514" s="157"/>
      <c r="Z514" s="157"/>
    </row>
    <row r="515" spans="1:26" x14ac:dyDescent="0.25">
      <c r="A515" s="31" t="s">
        <v>502</v>
      </c>
      <c r="B515" s="31" t="s">
        <v>717</v>
      </c>
      <c r="K515" s="31">
        <v>1</v>
      </c>
      <c r="O515" s="40">
        <f>C515*Prislapp!$C$2+D515*Prislapp!$D$2+E515*Prislapp!$E$2+F515*Prislapp!$F$2+G515*Prislapp!$G$2+H515*Prislapp!$H$2+I515*Prislapp!$I$2+J515*Prislapp!$J$2+K515*Prislapp!$K$2+L515*Prislapp!$L$2+M515*Prislapp!$M$2+N515*Prislapp!$N$2</f>
        <v>25235</v>
      </c>
      <c r="P515" s="40">
        <f>C515*Prislapp!$C$3+D515*Prislapp!$D$3+E515*Prislapp!$E$3+F515*Prislapp!$F$3+G515*Prislapp!$G$3+H515*Prislapp!$H$3+I515*Prislapp!$I$3+J515*Prislapp!$J$3+K515*Prislapp!$K$3+M515*Prislapp!$M$3+N515*Prislapp!$N$3+L515*Prislapp!$L$3</f>
        <v>27976</v>
      </c>
      <c r="Q515" s="40">
        <f>C515*Prislapp!$C$5+D515*Prislapp!$D$5+E515*Prislapp!$E$5+F515*Prislapp!$F$5+G515*Prislapp!$G$5+H515*Prislapp!$H$5+I515*Prislapp!$I$5+J515*Prislapp!$J$5+K515*Prislapp!$K$5+L515*Prislapp!$L$5+M515*Prislapp!$M$5+N515*Prislapp!$N$5</f>
        <v>3600</v>
      </c>
      <c r="R515" s="9">
        <f>VLOOKUP(A515,'Ansvar kurs'!$A$2:$B$943,2,FALSE)</f>
        <v>2193</v>
      </c>
      <c r="S515" s="157"/>
      <c r="T515" s="157"/>
      <c r="U515" s="157"/>
      <c r="V515" s="157"/>
      <c r="W515" s="157"/>
      <c r="X515" s="157"/>
      <c r="Y515" s="157"/>
      <c r="Z515" s="157"/>
    </row>
    <row r="516" spans="1:26" x14ac:dyDescent="0.25">
      <c r="A516" s="221" t="s">
        <v>592</v>
      </c>
      <c r="B516" s="31" t="s">
        <v>1457</v>
      </c>
      <c r="F516" s="31">
        <v>1</v>
      </c>
      <c r="O516" s="40">
        <f>C516*Prislapp!$C$2+D516*Prislapp!$D$2+E516*Prislapp!$E$2+F516*Prislapp!$F$2+G516*Prislapp!$G$2+H516*Prislapp!$H$2+I516*Prislapp!$I$2+J516*Prislapp!$J$2+K516*Prislapp!$K$2+L516*Prislapp!$L$2+M516*Prislapp!$M$2+N516*Prislapp!$N$2</f>
        <v>26554</v>
      </c>
      <c r="P516" s="40">
        <f>C516*Prislapp!$C$3+D516*Prislapp!$D$3+E516*Prislapp!$E$3+F516*Prislapp!$F$3+G516*Prislapp!$G$3+H516*Prislapp!$H$3+I516*Prislapp!$I$3+J516*Prislapp!$J$3+K516*Prislapp!$K$3+M516*Prislapp!$M$3+N516*Prislapp!$N$3+L516*Prislapp!$L$3</f>
        <v>33465</v>
      </c>
      <c r="Q516" s="40">
        <f>C516*Prislapp!$C$5+D516*Prislapp!$D$5+E516*Prislapp!$E$5+F516*Prislapp!$F$5+G516*Prislapp!$G$5+H516*Prislapp!$H$5+I516*Prislapp!$I$5+J516*Prislapp!$J$5+K516*Prislapp!$K$5+L516*Prislapp!$L$5+M516*Prislapp!$M$5+N516*Prislapp!$N$5</f>
        <v>6000</v>
      </c>
      <c r="R516" s="9">
        <f>VLOOKUP(A516,'Ansvar kurs'!$A$2:$B$943,2,FALSE)</f>
        <v>2193</v>
      </c>
      <c r="S516" s="157"/>
      <c r="T516" s="157"/>
      <c r="U516" s="157"/>
      <c r="V516" s="157"/>
      <c r="W516" s="157"/>
      <c r="X516" s="157"/>
      <c r="Y516" s="157"/>
      <c r="Z516" s="157"/>
    </row>
    <row r="517" spans="1:26" x14ac:dyDescent="0.25">
      <c r="A517" s="221" t="s">
        <v>593</v>
      </c>
      <c r="B517" s="157" t="s">
        <v>1717</v>
      </c>
      <c r="K517" s="31">
        <v>1</v>
      </c>
      <c r="O517" s="40">
        <f>C517*Prislapp!$C$2+D517*Prislapp!$D$2+E517*Prislapp!$E$2+F517*Prislapp!$F$2+G517*Prislapp!$G$2+H517*Prislapp!$H$2+I517*Prislapp!$I$2+J517*Prislapp!$J$2+K517*Prislapp!$K$2+L517*Prislapp!$L$2+M517*Prislapp!$M$2+N517*Prislapp!$N$2</f>
        <v>25235</v>
      </c>
      <c r="P517" s="40">
        <f>C517*Prislapp!$C$3+D517*Prislapp!$D$3+E517*Prislapp!$E$3+F517*Prislapp!$F$3+G517*Prislapp!$G$3+H517*Prislapp!$H$3+I517*Prislapp!$I$3+J517*Prislapp!$J$3+K517*Prislapp!$K$3+M517*Prislapp!$M$3+N517*Prislapp!$N$3+L517*Prislapp!$L$3</f>
        <v>27976</v>
      </c>
      <c r="Q517" s="40">
        <f>C517*Prislapp!$C$5+D517*Prislapp!$D$5+E517*Prislapp!$E$5+F517*Prislapp!$F$5+G517*Prislapp!$G$5+H517*Prislapp!$H$5+I517*Prislapp!$I$5+J517*Prislapp!$J$5+K517*Prislapp!$K$5+L517*Prislapp!$L$5+M517*Prislapp!$M$5+N517*Prislapp!$N$5</f>
        <v>3600</v>
      </c>
      <c r="R517" s="9">
        <f>VLOOKUP(A517,'Ansvar kurs'!$A$2:$B$943,2,FALSE)</f>
        <v>2193</v>
      </c>
      <c r="S517" s="157"/>
      <c r="T517" s="157"/>
      <c r="U517" s="157"/>
      <c r="V517" s="157"/>
      <c r="W517" s="157"/>
      <c r="X517" s="157"/>
      <c r="Y517" s="157"/>
      <c r="Z517" s="157"/>
    </row>
    <row r="518" spans="1:26" x14ac:dyDescent="0.25">
      <c r="A518" s="221" t="s">
        <v>594</v>
      </c>
      <c r="B518" s="31" t="s">
        <v>611</v>
      </c>
      <c r="H518" s="31">
        <v>0.47</v>
      </c>
      <c r="I518" s="31">
        <v>0.53</v>
      </c>
      <c r="O518" s="40">
        <f>C518*Prislapp!$C$2+D518*Prislapp!$D$2+E518*Prislapp!$E$2+F518*Prislapp!$F$2+G518*Prislapp!$G$2+H518*Prislapp!$H$2+I518*Prislapp!$I$2+J518*Prislapp!$J$2+K518*Prislapp!$K$2+L518*Prislapp!$L$2+M518*Prislapp!$M$2+N518*Prislapp!$N$2</f>
        <v>20761.77</v>
      </c>
      <c r="P518" s="40">
        <f>C518*Prislapp!$C$3+D518*Prislapp!$D$3+E518*Prislapp!$E$3+F518*Prislapp!$F$3+G518*Prislapp!$G$3+H518*Prislapp!$H$3+I518*Prislapp!$I$3+J518*Prislapp!$J$3+K518*Prislapp!$K$3+M518*Prislapp!$M$3+N518*Prislapp!$N$3+L518*Prislapp!$L$3</f>
        <v>26202.799999999996</v>
      </c>
      <c r="Q518" s="40">
        <f>C518*Prislapp!$C$5+D518*Prislapp!$D$5+E518*Prislapp!$E$5+F518*Prislapp!$F$5+G518*Prislapp!$G$5+H518*Prislapp!$H$5+I518*Prislapp!$I$5+J518*Prislapp!$J$5+K518*Prislapp!$K$5+L518*Prislapp!$L$5+M518*Prislapp!$M$5+N518*Prislapp!$N$5</f>
        <v>13802</v>
      </c>
      <c r="R518" s="9">
        <f>VLOOKUP(A518,'Ansvar kurs'!$A$2:$B$943,2,FALSE)</f>
        <v>2193</v>
      </c>
      <c r="S518" s="157" t="s">
        <v>1276</v>
      </c>
      <c r="T518" s="157"/>
      <c r="U518" s="157"/>
      <c r="V518" s="157"/>
      <c r="W518" s="157"/>
      <c r="X518" s="157"/>
      <c r="Y518" s="157"/>
      <c r="Z518" s="157"/>
    </row>
    <row r="519" spans="1:26" x14ac:dyDescent="0.25">
      <c r="A519" s="222" t="s">
        <v>854</v>
      </c>
      <c r="B519" s="31" t="s">
        <v>871</v>
      </c>
      <c r="D519" s="31">
        <v>1</v>
      </c>
      <c r="O519" s="40">
        <f>C519*Prislapp!$C$2+D519*Prislapp!$D$2+E519*Prislapp!$E$2+F519*Prislapp!$F$2+G519*Prislapp!$G$2+H519*Prislapp!$H$2+I519*Prislapp!$I$2+J519*Prislapp!$J$2+K519*Prislapp!$K$2+L519*Prislapp!$L$2+M519*Prislapp!$M$2+N519*Prislapp!$N$2</f>
        <v>20766</v>
      </c>
      <c r="P519" s="40">
        <f>C519*Prislapp!$C$3+D519*Prislapp!$D$3+E519*Prislapp!$E$3+F519*Prislapp!$F$3+G519*Prislapp!$G$3+H519*Prislapp!$H$3+I519*Prislapp!$I$3+J519*Prislapp!$J$3+K519*Prislapp!$K$3+M519*Prislapp!$M$3+N519*Prislapp!$N$3+L519*Prislapp!$L$3</f>
        <v>17442</v>
      </c>
      <c r="Q519" s="40">
        <f>C519*Prislapp!$C$5+D519*Prislapp!$D$5+E519*Prislapp!$E$5+F519*Prislapp!$F$5+G519*Prislapp!$G$5+H519*Prislapp!$H$5+I519*Prislapp!$I$5+J519*Prislapp!$J$5+K519*Prislapp!$K$5+L519*Prislapp!$L$5+M519*Prislapp!$M$5+N519*Prislapp!$N$5</f>
        <v>6000</v>
      </c>
      <c r="R519" s="9">
        <f>VLOOKUP(A519,'Ansvar kurs'!$A$2:$B$943,2,FALSE)</f>
        <v>2193</v>
      </c>
      <c r="S519" s="157" t="s">
        <v>1276</v>
      </c>
      <c r="T519" s="157"/>
      <c r="U519" s="157"/>
      <c r="V519" s="157"/>
      <c r="W519" s="157"/>
      <c r="X519" s="157"/>
      <c r="Y519" s="157"/>
      <c r="Z519" s="157"/>
    </row>
    <row r="520" spans="1:26" x14ac:dyDescent="0.25">
      <c r="A520" s="222" t="s">
        <v>855</v>
      </c>
      <c r="B520" s="31" t="s">
        <v>1713</v>
      </c>
      <c r="K520" s="31">
        <v>1</v>
      </c>
      <c r="O520" s="40">
        <f>C520*Prislapp!$C$2+D520*Prislapp!$D$2+E520*Prislapp!$E$2+F520*Prislapp!$F$2+G520*Prislapp!$G$2+H520*Prislapp!$H$2+I520*Prislapp!$I$2+J520*Prislapp!$J$2+K520*Prislapp!$K$2+L520*Prislapp!$L$2+M520*Prislapp!$M$2+N520*Prislapp!$N$2</f>
        <v>25235</v>
      </c>
      <c r="P520" s="40">
        <f>C520*Prislapp!$C$3+D520*Prislapp!$D$3+E520*Prislapp!$E$3+F520*Prislapp!$F$3+G520*Prislapp!$G$3+H520*Prislapp!$H$3+I520*Prislapp!$I$3+J520*Prislapp!$J$3+K520*Prislapp!$K$3+M520*Prislapp!$M$3+N520*Prislapp!$N$3+L520*Prislapp!$L$3</f>
        <v>27976</v>
      </c>
      <c r="Q520" s="40">
        <f>C520*Prislapp!$C$5+D520*Prislapp!$D$5+E520*Prislapp!$E$5+F520*Prislapp!$F$5+G520*Prislapp!$G$5+H520*Prislapp!$H$5+I520*Prislapp!$I$5+J520*Prislapp!$J$5+K520*Prislapp!$K$5+L520*Prislapp!$L$5+M520*Prislapp!$M$5+N520*Prislapp!$N$5</f>
        <v>3600</v>
      </c>
      <c r="R520" s="9">
        <f>VLOOKUP(A520,'Ansvar kurs'!$A$2:$B$943,2,FALSE)</f>
        <v>2193</v>
      </c>
      <c r="S520" s="157"/>
      <c r="T520" s="157"/>
      <c r="U520" s="157"/>
      <c r="V520" s="157"/>
      <c r="W520" s="157"/>
      <c r="X520" s="157"/>
      <c r="Y520" s="157"/>
      <c r="Z520" s="157"/>
    </row>
    <row r="521" spans="1:26" x14ac:dyDescent="0.25">
      <c r="A521" s="222" t="s">
        <v>856</v>
      </c>
      <c r="B521" s="31" t="s">
        <v>1171</v>
      </c>
      <c r="I521" s="31">
        <v>1</v>
      </c>
      <c r="O521" s="40">
        <f>C521*Prislapp!$C$2+D521*Prislapp!$D$2+E521*Prislapp!$E$2+F521*Prislapp!$F$2+G521*Prislapp!$G$2+H521*Prislapp!$H$2+I521*Prislapp!$I$2+J521*Prislapp!$J$2+K521*Prislapp!$K$2+L521*Prislapp!$L$2+M521*Prislapp!$M$2+N521*Prislapp!$N$2</f>
        <v>20766</v>
      </c>
      <c r="P521" s="40">
        <f>C521*Prislapp!$C$3+D521*Prislapp!$D$3+E521*Prislapp!$E$3+F521*Prislapp!$F$3+G521*Prislapp!$G$3+H521*Prislapp!$H$3+I521*Prislapp!$I$3+J521*Prislapp!$J$3+K521*Prislapp!$K$3+M521*Prislapp!$M$3+N521*Prislapp!$N$3+L521*Prislapp!$L$3</f>
        <v>17442</v>
      </c>
      <c r="Q521" s="40">
        <f>C521*Prislapp!$C$5+D521*Prislapp!$D$5+E521*Prislapp!$E$5+F521*Prislapp!$F$5+G521*Prislapp!$G$5+H521*Prislapp!$H$5+I521*Prislapp!$I$5+J521*Prislapp!$J$5+K521*Prislapp!$K$5+L521*Prislapp!$L$5+M521*Prislapp!$M$5+N521*Prislapp!$N$5</f>
        <v>6000</v>
      </c>
      <c r="R521" s="9">
        <f>VLOOKUP(A521,'Ansvar kurs'!$A$2:$B$943,2,FALSE)</f>
        <v>2193</v>
      </c>
      <c r="S521" s="157" t="s">
        <v>1276</v>
      </c>
      <c r="T521" s="157"/>
      <c r="U521" s="157"/>
      <c r="V521" s="157"/>
      <c r="W521" s="157"/>
      <c r="X521" s="157"/>
      <c r="Y521" s="157"/>
      <c r="Z521" s="157"/>
    </row>
    <row r="522" spans="1:26" x14ac:dyDescent="0.25">
      <c r="A522" s="222" t="s">
        <v>857</v>
      </c>
      <c r="B522" s="31" t="s">
        <v>1458</v>
      </c>
      <c r="F522" s="31">
        <v>1</v>
      </c>
      <c r="O522" s="40">
        <f>C522*Prislapp!$C$2+D522*Prislapp!$D$2+E522*Prislapp!$E$2+F522*Prislapp!$F$2+G522*Prislapp!$G$2+H522*Prislapp!$H$2+I522*Prislapp!$I$2+J522*Prislapp!$J$2+K522*Prislapp!$K$2+L522*Prislapp!$L$2+M522*Prislapp!$M$2+N522*Prislapp!$N$2</f>
        <v>26554</v>
      </c>
      <c r="P522" s="40">
        <f>C522*Prislapp!$C$3+D522*Prislapp!$D$3+E522*Prislapp!$E$3+F522*Prislapp!$F$3+G522*Prislapp!$G$3+H522*Prislapp!$H$3+I522*Prislapp!$I$3+J522*Prislapp!$J$3+K522*Prislapp!$K$3+M522*Prislapp!$M$3+N522*Prislapp!$N$3+L522*Prislapp!$L$3</f>
        <v>33465</v>
      </c>
      <c r="Q522" s="40">
        <f>C522*Prislapp!$C$5+D522*Prislapp!$D$5+E522*Prislapp!$E$5+F522*Prislapp!$F$5+G522*Prislapp!$G$5+H522*Prislapp!$H$5+I522*Prislapp!$I$5+J522*Prislapp!$J$5+K522*Prislapp!$K$5+L522*Prislapp!$L$5+M522*Prislapp!$M$5+N522*Prislapp!$N$5</f>
        <v>6000</v>
      </c>
      <c r="R522" s="9">
        <f>VLOOKUP(A522,'Ansvar kurs'!$A$2:$B$943,2,FALSE)</f>
        <v>2193</v>
      </c>
      <c r="S522" s="157"/>
      <c r="T522" s="157"/>
      <c r="U522" s="157"/>
      <c r="V522" s="157"/>
      <c r="W522" s="157"/>
      <c r="X522" s="157"/>
      <c r="Y522" s="157"/>
      <c r="Z522" s="157"/>
    </row>
    <row r="523" spans="1:26" x14ac:dyDescent="0.25">
      <c r="A523" s="222" t="s">
        <v>858</v>
      </c>
      <c r="B523" s="31" t="s">
        <v>872</v>
      </c>
      <c r="F523" s="31">
        <v>1</v>
      </c>
      <c r="O523" s="40">
        <f>C523*Prislapp!$C$2+D523*Prislapp!$D$2+E523*Prislapp!$E$2+F523*Prislapp!$F$2+G523*Prislapp!$G$2+H523*Prislapp!$H$2+I523*Prislapp!$I$2+J523*Prislapp!$J$2+K523*Prislapp!$K$2+L523*Prislapp!$L$2+M523*Prislapp!$M$2+N523*Prislapp!$N$2</f>
        <v>26554</v>
      </c>
      <c r="P523" s="40">
        <f>C523*Prislapp!$C$3+D523*Prislapp!$D$3+E523*Prislapp!$E$3+F523*Prislapp!$F$3+G523*Prislapp!$G$3+H523*Prislapp!$H$3+I523*Prislapp!$I$3+J523*Prislapp!$J$3+K523*Prislapp!$K$3+M523*Prislapp!$M$3+N523*Prislapp!$N$3+L523*Prislapp!$L$3</f>
        <v>33465</v>
      </c>
      <c r="Q523" s="40">
        <f>C523*Prislapp!$C$5+D523*Prislapp!$D$5+E523*Prislapp!$E$5+F523*Prislapp!$F$5+G523*Prislapp!$G$5+H523*Prislapp!$H$5+I523*Prislapp!$I$5+J523*Prislapp!$J$5+K523*Prislapp!$K$5+L523*Prislapp!$L$5+M523*Prislapp!$M$5+N523*Prislapp!$N$5</f>
        <v>6000</v>
      </c>
      <c r="R523" s="9">
        <f>VLOOKUP(A523,'Ansvar kurs'!$A$2:$B$943,2,FALSE)</f>
        <v>2193</v>
      </c>
      <c r="S523" s="157"/>
      <c r="T523" s="157"/>
      <c r="U523" s="157"/>
      <c r="V523" s="157"/>
      <c r="W523" s="157"/>
      <c r="X523" s="157"/>
      <c r="Y523" s="157"/>
      <c r="Z523" s="157"/>
    </row>
    <row r="524" spans="1:26" x14ac:dyDescent="0.25">
      <c r="A524" s="31" t="s">
        <v>503</v>
      </c>
      <c r="B524" s="31" t="s">
        <v>551</v>
      </c>
      <c r="H524" s="31">
        <v>0.2</v>
      </c>
      <c r="I524" s="31">
        <v>0.8</v>
      </c>
      <c r="O524" s="40">
        <f>C524*Prislapp!$C$2+D524*Prislapp!$D$2+E524*Prislapp!$E$2+F524*Prislapp!$F$2+G524*Prislapp!$G$2+H524*Prislapp!$H$2+I524*Prislapp!$I$2+J524*Prislapp!$J$2+K524*Prislapp!$K$2+L524*Prislapp!$L$2+M524*Prislapp!$M$2+N524*Prislapp!$N$2</f>
        <v>20764.2</v>
      </c>
      <c r="P524" s="40">
        <f>C524*Prislapp!$C$3+D524*Prislapp!$D$3+E524*Prislapp!$E$3+F524*Prislapp!$F$3+G524*Prislapp!$G$3+H524*Prislapp!$H$3+I524*Prislapp!$I$3+J524*Prislapp!$J$3+K524*Prislapp!$K$3+M524*Prislapp!$M$3+N524*Prislapp!$N$3+L524*Prislapp!$L$3</f>
        <v>21170</v>
      </c>
      <c r="Q524" s="40">
        <f>C524*Prislapp!$C$5+D524*Prislapp!$D$5+E524*Prislapp!$E$5+F524*Prislapp!$F$5+G524*Prislapp!$G$5+H524*Prislapp!$H$5+I524*Prislapp!$I$5+J524*Prislapp!$J$5+K524*Prislapp!$K$5+L524*Prislapp!$L$5+M524*Prislapp!$M$5+N524*Prislapp!$N$5</f>
        <v>9320</v>
      </c>
      <c r="R524" s="9">
        <f>VLOOKUP(A524,'Ansvar kurs'!$A$2:$B$943,2,FALSE)</f>
        <v>2193</v>
      </c>
      <c r="S524" s="31" t="s">
        <v>1276</v>
      </c>
      <c r="T524" s="157" t="s">
        <v>1049</v>
      </c>
      <c r="U524" s="157"/>
      <c r="V524" s="157"/>
      <c r="W524" s="157"/>
      <c r="X524" s="157"/>
      <c r="Y524" s="157"/>
      <c r="Z524" s="157"/>
    </row>
    <row r="525" spans="1:26" x14ac:dyDescent="0.25">
      <c r="A525" s="31" t="s">
        <v>504</v>
      </c>
      <c r="B525" s="31" t="s">
        <v>718</v>
      </c>
      <c r="H525" s="31">
        <v>0.33</v>
      </c>
      <c r="I525" s="31">
        <v>0.67</v>
      </c>
      <c r="O525" s="40">
        <f>C525*Prislapp!$C$2+D525*Prislapp!$D$2+E525*Prislapp!$E$2+F525*Prislapp!$F$2+G525*Prislapp!$G$2+H525*Prislapp!$H$2+I525*Prislapp!$I$2+J525*Prislapp!$J$2+K525*Prislapp!$K$2+L525*Prislapp!$L$2+M525*Prislapp!$M$2+N525*Prislapp!$N$2</f>
        <v>20763.030000000002</v>
      </c>
      <c r="P525" s="40">
        <f>C525*Prislapp!$C$3+D525*Prislapp!$D$3+E525*Prislapp!$E$3+F525*Prislapp!$F$3+G525*Prislapp!$G$3+H525*Prislapp!$H$3+I525*Prislapp!$I$3+J525*Prislapp!$J$3+K525*Prislapp!$K$3+M525*Prislapp!$M$3+N525*Prislapp!$N$3+L525*Prislapp!$L$3</f>
        <v>23593.200000000004</v>
      </c>
      <c r="Q525" s="40">
        <f>C525*Prislapp!$C$5+D525*Prislapp!$D$5+E525*Prislapp!$E$5+F525*Prislapp!$F$5+G525*Prislapp!$G$5+H525*Prislapp!$H$5+I525*Prislapp!$I$5+J525*Prislapp!$J$5+K525*Prislapp!$K$5+L525*Prislapp!$L$5+M525*Prislapp!$M$5+N525*Prislapp!$N$5</f>
        <v>11478</v>
      </c>
      <c r="R525" s="9">
        <f>VLOOKUP(A525,'Ansvar kurs'!$A$2:$B$943,2,FALSE)</f>
        <v>2193</v>
      </c>
      <c r="S525" s="31" t="s">
        <v>1276</v>
      </c>
      <c r="T525" s="157" t="s">
        <v>1049</v>
      </c>
      <c r="U525" s="157"/>
      <c r="V525" s="157"/>
      <c r="W525" s="157"/>
      <c r="X525" s="157"/>
      <c r="Y525" s="157"/>
      <c r="Z525" s="157"/>
    </row>
    <row r="526" spans="1:26" x14ac:dyDescent="0.25">
      <c r="A526" s="31" t="s">
        <v>505</v>
      </c>
      <c r="B526" s="31" t="s">
        <v>552</v>
      </c>
      <c r="I526" s="31">
        <v>1</v>
      </c>
      <c r="O526" s="40">
        <f>C526*Prislapp!$C$2+D526*Prislapp!$D$2+E526*Prislapp!$E$2+F526*Prislapp!$F$2+G526*Prislapp!$G$2+H526*Prislapp!$H$2+I526*Prislapp!$I$2+J526*Prislapp!$J$2+K526*Prislapp!$K$2+L526*Prislapp!$L$2+M526*Prislapp!$M$2+N526*Prislapp!$N$2</f>
        <v>20766</v>
      </c>
      <c r="P526" s="40">
        <f>C526*Prislapp!$C$3+D526*Prislapp!$D$3+E526*Prislapp!$E$3+F526*Prislapp!$F$3+G526*Prislapp!$G$3+H526*Prislapp!$H$3+I526*Prislapp!$I$3+J526*Prislapp!$J$3+K526*Prislapp!$K$3+M526*Prislapp!$M$3+N526*Prislapp!$N$3+L526*Prislapp!$L$3</f>
        <v>17442</v>
      </c>
      <c r="Q526" s="40">
        <f>C526*Prislapp!$C$5+D526*Prislapp!$D$5+E526*Prislapp!$E$5+F526*Prislapp!$F$5+G526*Prislapp!$G$5+H526*Prislapp!$H$5+I526*Prislapp!$I$5+J526*Prislapp!$J$5+K526*Prislapp!$K$5+L526*Prislapp!$L$5+M526*Prislapp!$M$5+N526*Prislapp!$N$5</f>
        <v>6000</v>
      </c>
      <c r="R526" s="9">
        <f>VLOOKUP(A526,'Ansvar kurs'!$A$2:$B$943,2,FALSE)</f>
        <v>2193</v>
      </c>
      <c r="S526" s="31" t="s">
        <v>1276</v>
      </c>
      <c r="T526" s="157"/>
      <c r="U526" s="157"/>
      <c r="V526" s="157"/>
      <c r="W526" s="157"/>
      <c r="X526" s="157"/>
      <c r="Y526" s="157"/>
      <c r="Z526" s="157"/>
    </row>
    <row r="527" spans="1:26" x14ac:dyDescent="0.25">
      <c r="A527" s="221" t="s">
        <v>506</v>
      </c>
      <c r="B527" s="31" t="s">
        <v>1172</v>
      </c>
      <c r="K527" s="31">
        <v>1</v>
      </c>
      <c r="O527" s="40">
        <f>C527*Prislapp!$C$2+D527*Prislapp!$D$2+E527*Prislapp!$E$2+F527*Prislapp!$F$2+G527*Prislapp!$G$2+H527*Prislapp!$H$2+I527*Prislapp!$I$2+J527*Prislapp!$J$2+K527*Prislapp!$K$2+L527*Prislapp!$L$2+M527*Prislapp!$M$2+N527*Prislapp!$N$2</f>
        <v>25235</v>
      </c>
      <c r="P527" s="40">
        <f>C527*Prislapp!$C$3+D527*Prislapp!$D$3+E527*Prislapp!$E$3+F527*Prislapp!$F$3+G527*Prislapp!$G$3+H527*Prislapp!$H$3+I527*Prislapp!$I$3+J527*Prislapp!$J$3+K527*Prislapp!$K$3+M527*Prislapp!$M$3+N527*Prislapp!$N$3+L527*Prislapp!$L$3</f>
        <v>27976</v>
      </c>
      <c r="Q527" s="40">
        <f>C527*Prislapp!$C$5+D527*Prislapp!$D$5+E527*Prislapp!$E$5+F527*Prislapp!$F$5+G527*Prislapp!$G$5+H527*Prislapp!$H$5+I527*Prislapp!$I$5+J527*Prislapp!$J$5+K527*Prislapp!$K$5+L527*Prislapp!$L$5+M527*Prislapp!$M$5+N527*Prislapp!$N$5</f>
        <v>3600</v>
      </c>
      <c r="R527" s="9">
        <f>VLOOKUP(A527,'Ansvar kurs'!$A$2:$B$943,2,FALSE)</f>
        <v>2193</v>
      </c>
      <c r="S527" s="157"/>
      <c r="T527" s="157"/>
      <c r="U527" s="157"/>
      <c r="V527" s="157"/>
      <c r="W527" s="157"/>
      <c r="X527" s="157"/>
      <c r="Y527" s="157"/>
      <c r="Z527" s="157"/>
    </row>
    <row r="528" spans="1:26" x14ac:dyDescent="0.25">
      <c r="A528" s="221" t="s">
        <v>507</v>
      </c>
      <c r="B528" s="31" t="s">
        <v>553</v>
      </c>
      <c r="I528" s="31">
        <v>1</v>
      </c>
      <c r="O528" s="40">
        <f>C528*Prislapp!$C$2+D528*Prislapp!$D$2+E528*Prislapp!$E$2+F528*Prislapp!$F$2+G528*Prislapp!$G$2+H528*Prislapp!$H$2+I528*Prislapp!$I$2+J528*Prislapp!$J$2+K528*Prislapp!$K$2+L528*Prislapp!$L$2+M528*Prislapp!$M$2+N528*Prislapp!$N$2</f>
        <v>20766</v>
      </c>
      <c r="P528" s="40">
        <f>C528*Prislapp!$C$3+D528*Prislapp!$D$3+E528*Prislapp!$E$3+F528*Prislapp!$F$3+G528*Prislapp!$G$3+H528*Prislapp!$H$3+I528*Prislapp!$I$3+J528*Prislapp!$J$3+K528*Prislapp!$K$3+M528*Prislapp!$M$3+N528*Prislapp!$N$3+L528*Prislapp!$L$3</f>
        <v>17442</v>
      </c>
      <c r="Q528" s="40">
        <f>C528*Prislapp!$C$5+D528*Prislapp!$D$5+E528*Prislapp!$E$5+F528*Prislapp!$F$5+G528*Prislapp!$G$5+H528*Prislapp!$H$5+I528*Prislapp!$I$5+J528*Prislapp!$J$5+K528*Prislapp!$K$5+L528*Prislapp!$L$5+M528*Prislapp!$M$5+N528*Prislapp!$N$5</f>
        <v>6000</v>
      </c>
      <c r="R528" s="9">
        <f>VLOOKUP(A528,'Ansvar kurs'!$A$2:$B$943,2,FALSE)</f>
        <v>2193</v>
      </c>
      <c r="S528" s="31" t="s">
        <v>1276</v>
      </c>
      <c r="T528" s="157"/>
      <c r="U528" s="157"/>
      <c r="V528" s="157"/>
      <c r="W528" s="157"/>
      <c r="X528" s="157"/>
      <c r="Y528" s="157"/>
      <c r="Z528" s="157"/>
    </row>
    <row r="529" spans="1:26" x14ac:dyDescent="0.25">
      <c r="A529" s="221" t="s">
        <v>508</v>
      </c>
      <c r="B529" s="31" t="s">
        <v>554</v>
      </c>
      <c r="F529" s="31">
        <v>1</v>
      </c>
      <c r="O529" s="40">
        <f>C529*Prislapp!$C$2+D529*Prislapp!$D$2+E529*Prislapp!$E$2+F529*Prislapp!$F$2+G529*Prislapp!$G$2+H529*Prislapp!$H$2+I529*Prislapp!$I$2+J529*Prislapp!$J$2+K529*Prislapp!$K$2+L529*Prislapp!$L$2+M529*Prislapp!$M$2+N529*Prislapp!$N$2</f>
        <v>26554</v>
      </c>
      <c r="P529" s="40">
        <f>C529*Prislapp!$C$3+D529*Prislapp!$D$3+E529*Prislapp!$E$3+F529*Prislapp!$F$3+G529*Prislapp!$G$3+H529*Prislapp!$H$3+I529*Prislapp!$I$3+J529*Prislapp!$J$3+K529*Prislapp!$K$3+M529*Prislapp!$M$3+N529*Prislapp!$N$3+L529*Prislapp!$L$3</f>
        <v>33465</v>
      </c>
      <c r="Q529" s="40">
        <f>C529*Prislapp!$C$5+D529*Prislapp!$D$5+E529*Prislapp!$E$5+F529*Prislapp!$F$5+G529*Prislapp!$G$5+H529*Prislapp!$H$5+I529*Prislapp!$I$5+J529*Prislapp!$J$5+K529*Prislapp!$K$5+L529*Prislapp!$L$5+M529*Prislapp!$M$5+N529*Prislapp!$N$5</f>
        <v>6000</v>
      </c>
      <c r="R529" s="9">
        <f>VLOOKUP(A529,'Ansvar kurs'!$A$2:$B$943,2,FALSE)</f>
        <v>2193</v>
      </c>
      <c r="S529" s="157"/>
      <c r="T529" s="157"/>
      <c r="U529" s="157"/>
      <c r="V529" s="157"/>
      <c r="W529" s="157"/>
      <c r="X529" s="157"/>
      <c r="Y529" s="157"/>
      <c r="Z529" s="157"/>
    </row>
    <row r="530" spans="1:26" x14ac:dyDescent="0.25">
      <c r="A530" s="221" t="s">
        <v>595</v>
      </c>
      <c r="B530" s="31" t="s">
        <v>612</v>
      </c>
      <c r="F530" s="31">
        <v>1</v>
      </c>
      <c r="O530" s="40">
        <f>C530*Prislapp!$C$2+D530*Prislapp!$D$2+E530*Prislapp!$E$2+F530*Prislapp!$F$2+G530*Prislapp!$G$2+H530*Prislapp!$H$2+I530*Prislapp!$I$2+J530*Prislapp!$J$2+K530*Prislapp!$K$2+L530*Prislapp!$L$2+M530*Prislapp!$M$2+N530*Prislapp!$N$2</f>
        <v>26554</v>
      </c>
      <c r="P530" s="40">
        <f>C530*Prislapp!$C$3+D530*Prislapp!$D$3+E530*Prislapp!$E$3+F530*Prislapp!$F$3+G530*Prislapp!$G$3+H530*Prislapp!$H$3+I530*Prislapp!$I$3+J530*Prislapp!$J$3+K530*Prislapp!$K$3+M530*Prislapp!$M$3+N530*Prislapp!$N$3+L530*Prislapp!$L$3</f>
        <v>33465</v>
      </c>
      <c r="Q530" s="40">
        <f>C530*Prislapp!$C$5+D530*Prislapp!$D$5+E530*Prislapp!$E$5+F530*Prislapp!$F$5+G530*Prislapp!$G$5+H530*Prislapp!$H$5+I530*Prislapp!$I$5+J530*Prislapp!$J$5+K530*Prislapp!$K$5+L530*Prislapp!$L$5+M530*Prislapp!$M$5+N530*Prislapp!$N$5</f>
        <v>6000</v>
      </c>
      <c r="R530" s="9">
        <f>VLOOKUP(A530,'Ansvar kurs'!$A$2:$B$943,2,FALSE)</f>
        <v>2193</v>
      </c>
      <c r="S530" s="157"/>
      <c r="T530" s="157"/>
      <c r="U530" s="157"/>
      <c r="V530" s="157"/>
      <c r="W530" s="157"/>
      <c r="X530" s="157"/>
      <c r="Y530" s="157"/>
      <c r="Z530" s="157"/>
    </row>
    <row r="531" spans="1:26" x14ac:dyDescent="0.25">
      <c r="A531" s="221" t="s">
        <v>596</v>
      </c>
      <c r="B531" s="31" t="s">
        <v>613</v>
      </c>
      <c r="K531" s="31">
        <v>1</v>
      </c>
      <c r="O531" s="40">
        <f>C531*Prislapp!$C$2+D531*Prislapp!$D$2+E531*Prislapp!$E$2+F531*Prislapp!$F$2+G531*Prislapp!$G$2+H531*Prislapp!$H$2+I531*Prislapp!$I$2+J531*Prislapp!$J$2+K531*Prislapp!$K$2+L531*Prislapp!$L$2+M531*Prislapp!$M$2+N531*Prislapp!$N$2</f>
        <v>25235</v>
      </c>
      <c r="P531" s="40">
        <f>C531*Prislapp!$C$3+D531*Prislapp!$D$3+E531*Prislapp!$E$3+F531*Prislapp!$F$3+G531*Prislapp!$G$3+H531*Prislapp!$H$3+I531*Prislapp!$I$3+J531*Prislapp!$J$3+K531*Prislapp!$K$3+M531*Prislapp!$M$3+N531*Prislapp!$N$3+L531*Prislapp!$L$3</f>
        <v>27976</v>
      </c>
      <c r="Q531" s="40">
        <f>C531*Prislapp!$C$5+D531*Prislapp!$D$5+E531*Prislapp!$E$5+F531*Prislapp!$F$5+G531*Prislapp!$G$5+H531*Prislapp!$H$5+I531*Prislapp!$I$5+J531*Prislapp!$J$5+K531*Prislapp!$K$5+L531*Prislapp!$L$5+M531*Prislapp!$M$5+N531*Prislapp!$N$5</f>
        <v>3600</v>
      </c>
      <c r="R531" s="9">
        <f>VLOOKUP(A531,'Ansvar kurs'!$A$2:$B$943,2,FALSE)</f>
        <v>2193</v>
      </c>
      <c r="S531" s="157"/>
      <c r="T531" s="157"/>
      <c r="U531" s="157"/>
      <c r="V531" s="157"/>
      <c r="W531" s="157"/>
      <c r="X531" s="157"/>
      <c r="Y531" s="157"/>
      <c r="Z531" s="157"/>
    </row>
    <row r="532" spans="1:26" x14ac:dyDescent="0.25">
      <c r="A532" s="323" t="s">
        <v>859</v>
      </c>
      <c r="B532" s="31" t="s">
        <v>1173</v>
      </c>
      <c r="K532" s="31">
        <v>1</v>
      </c>
      <c r="O532" s="40">
        <f>C532*Prislapp!$C$2+D532*Prislapp!$D$2+E532*Prislapp!$E$2+F532*Prislapp!$F$2+G532*Prislapp!$G$2+H532*Prislapp!$H$2+I532*Prislapp!$I$2+J532*Prislapp!$J$2+K532*Prislapp!$K$2+L532*Prislapp!$L$2+M532*Prislapp!$M$2+N532*Prislapp!$N$2</f>
        <v>25235</v>
      </c>
      <c r="P532" s="40">
        <f>C532*Prislapp!$C$3+D532*Prislapp!$D$3+E532*Prislapp!$E$3+F532*Prislapp!$F$3+G532*Prislapp!$G$3+H532*Prislapp!$H$3+I532*Prislapp!$I$3+J532*Prislapp!$J$3+K532*Prislapp!$K$3+M532*Prislapp!$M$3+N532*Prislapp!$N$3+L532*Prislapp!$L$3</f>
        <v>27976</v>
      </c>
      <c r="Q532" s="40">
        <f>C532*Prislapp!$C$5+D532*Prislapp!$D$5+E532*Prislapp!$E$5+F532*Prislapp!$F$5+G532*Prislapp!$G$5+H532*Prislapp!$H$5+I532*Prislapp!$I$5+J532*Prislapp!$J$5+K532*Prislapp!$K$5+L532*Prislapp!$L$5+M532*Prislapp!$M$5+N532*Prislapp!$N$5</f>
        <v>3600</v>
      </c>
      <c r="R532" s="9">
        <f>VLOOKUP(A532,'Ansvar kurs'!$A$2:$B$943,2,FALSE)</f>
        <v>2193</v>
      </c>
      <c r="S532" s="157"/>
      <c r="T532" s="157"/>
      <c r="U532" s="157"/>
      <c r="V532" s="157"/>
      <c r="W532" s="157"/>
      <c r="X532" s="157"/>
      <c r="Y532" s="157"/>
      <c r="Z532" s="157"/>
    </row>
    <row r="533" spans="1:26" x14ac:dyDescent="0.25">
      <c r="A533" s="222" t="s">
        <v>860</v>
      </c>
      <c r="B533" s="31" t="s">
        <v>1174</v>
      </c>
      <c r="I533" s="31">
        <v>1</v>
      </c>
      <c r="O533" s="40">
        <f>C533*Prislapp!$C$2+D533*Prislapp!$D$2+E533*Prislapp!$E$2+F533*Prislapp!$F$2+G533*Prislapp!$G$2+H533*Prislapp!$H$2+I533*Prislapp!$I$2+J533*Prislapp!$J$2+K533*Prislapp!$K$2+L533*Prislapp!$L$2+M533*Prislapp!$M$2+N533*Prislapp!$N$2</f>
        <v>20766</v>
      </c>
      <c r="P533" s="40">
        <f>C533*Prislapp!$C$3+D533*Prislapp!$D$3+E533*Prislapp!$E$3+F533*Prislapp!$F$3+G533*Prislapp!$G$3+H533*Prislapp!$H$3+I533*Prislapp!$I$3+J533*Prislapp!$J$3+K533*Prislapp!$K$3+M533*Prislapp!$M$3+N533*Prislapp!$N$3+L533*Prislapp!$L$3</f>
        <v>17442</v>
      </c>
      <c r="Q533" s="40">
        <f>C533*Prislapp!$C$5+D533*Prislapp!$D$5+E533*Prislapp!$E$5+F533*Prislapp!$F$5+G533*Prislapp!$G$5+H533*Prislapp!$H$5+I533*Prislapp!$I$5+J533*Prislapp!$J$5+K533*Prislapp!$K$5+L533*Prislapp!$L$5+M533*Prislapp!$M$5+N533*Prislapp!$N$5</f>
        <v>6000</v>
      </c>
      <c r="R533" s="9">
        <f>VLOOKUP(A533,'Ansvar kurs'!$A$2:$B$943,2,FALSE)</f>
        <v>2193</v>
      </c>
      <c r="S533" s="31" t="s">
        <v>1276</v>
      </c>
      <c r="T533" s="157"/>
      <c r="U533" s="157"/>
      <c r="V533" s="157"/>
      <c r="W533" s="157"/>
      <c r="X533" s="157"/>
      <c r="Y533" s="157"/>
      <c r="Z533" s="157"/>
    </row>
    <row r="534" spans="1:26" x14ac:dyDescent="0.25">
      <c r="A534" s="222" t="s">
        <v>1051</v>
      </c>
      <c r="B534" s="31" t="s">
        <v>1135</v>
      </c>
      <c r="K534" s="31">
        <v>1</v>
      </c>
      <c r="O534" s="40">
        <f>C534*Prislapp!$C$2+D534*Prislapp!$D$2+E534*Prislapp!$E$2+F534*Prislapp!$F$2+G534*Prislapp!$G$2+H534*Prislapp!$H$2+I534*Prislapp!$I$2+J534*Prislapp!$J$2+K534*Prislapp!$K$2+L534*Prislapp!$L$2+M534*Prislapp!$M$2+N534*Prislapp!$N$2</f>
        <v>25235</v>
      </c>
      <c r="P534" s="40">
        <f>C534*Prislapp!$C$3+D534*Prislapp!$D$3+E534*Prislapp!$E$3+F534*Prislapp!$F$3+G534*Prislapp!$G$3+H534*Prislapp!$H$3+I534*Prislapp!$I$3+J534*Prislapp!$J$3+K534*Prislapp!$K$3+M534*Prislapp!$M$3+N534*Prislapp!$N$3+L534*Prislapp!$L$3</f>
        <v>27976</v>
      </c>
      <c r="Q534" s="40">
        <f>C534*Prislapp!$C$5+D534*Prislapp!$D$5+E534*Prislapp!$E$5+F534*Prislapp!$F$5+G534*Prislapp!$G$5+H534*Prislapp!$H$5+I534*Prislapp!$I$5+J534*Prislapp!$J$5+K534*Prislapp!$K$5+L534*Prislapp!$L$5+M534*Prislapp!$M$5+N534*Prislapp!$N$5</f>
        <v>3600</v>
      </c>
      <c r="R534" s="9">
        <f>VLOOKUP(A534,'Ansvar kurs'!$A$2:$B$943,2,FALSE)</f>
        <v>2193</v>
      </c>
      <c r="S534" s="157"/>
      <c r="T534" s="157"/>
      <c r="U534" s="157"/>
      <c r="V534" s="157"/>
      <c r="W534" s="157"/>
      <c r="X534" s="157"/>
      <c r="Y534" s="157"/>
      <c r="Z534" s="157"/>
    </row>
    <row r="535" spans="1:26" x14ac:dyDescent="0.25">
      <c r="A535" s="31" t="s">
        <v>634</v>
      </c>
      <c r="B535" s="31" t="s">
        <v>635</v>
      </c>
      <c r="I535" s="31">
        <v>0.4</v>
      </c>
      <c r="K535" s="31">
        <v>0.6</v>
      </c>
      <c r="O535" s="40">
        <f>C535*Prislapp!$C$2+D535*Prislapp!$D$2+E535*Prislapp!$E$2+F535*Prislapp!$F$2+G535*Prislapp!$G$2+H535*Prislapp!$H$2+I535*Prislapp!$I$2+J535*Prislapp!$J$2+K535*Prislapp!$K$2+L535*Prislapp!$L$2+M535*Prislapp!$M$2+N535*Prislapp!$N$2</f>
        <v>23447.4</v>
      </c>
      <c r="P535" s="40">
        <f>C535*Prislapp!$C$3+D535*Prislapp!$D$3+E535*Prislapp!$E$3+F535*Prislapp!$F$3+G535*Prislapp!$G$3+H535*Prislapp!$H$3+I535*Prislapp!$I$3+J535*Prislapp!$J$3+K535*Prislapp!$K$3+M535*Prislapp!$M$3+N535*Prislapp!$N$3+L535*Prislapp!$L$3</f>
        <v>23762.399999999998</v>
      </c>
      <c r="Q535" s="40">
        <f>C535*Prislapp!$C$5+D535*Prislapp!$D$5+E535*Prislapp!$E$5+F535*Prislapp!$F$5+G535*Prislapp!$G$5+H535*Prislapp!$H$5+I535*Prislapp!$I$5+J535*Prislapp!$J$5+K535*Prislapp!$K$5+L535*Prislapp!$L$5+M535*Prislapp!$M$5+N535*Prislapp!$N$5</f>
        <v>4560</v>
      </c>
      <c r="R535" s="9">
        <f>VLOOKUP(A535,'Ansvar kurs'!$A$2:$B$943,2,FALSE)</f>
        <v>2180</v>
      </c>
      <c r="S535" s="157" t="s">
        <v>1049</v>
      </c>
      <c r="T535" s="157"/>
      <c r="U535" s="157"/>
      <c r="V535" s="157"/>
      <c r="W535" s="157"/>
      <c r="X535" s="157"/>
      <c r="Y535" s="157"/>
      <c r="Z535" s="157"/>
    </row>
    <row r="536" spans="1:26" x14ac:dyDescent="0.25">
      <c r="A536" s="31" t="s">
        <v>629</v>
      </c>
      <c r="B536" s="31" t="s">
        <v>719</v>
      </c>
      <c r="I536" s="31">
        <v>1</v>
      </c>
      <c r="O536" s="40">
        <f>C536*Prislapp!$C$2+D536*Prislapp!$D$2+E536*Prislapp!$E$2+F536*Prislapp!$F$2+G536*Prislapp!$G$2+H536*Prislapp!$H$2+I536*Prislapp!$I$2+J536*Prislapp!$J$2+K536*Prislapp!$K$2+L536*Prislapp!$L$2+M536*Prislapp!$M$2+N536*Prislapp!$N$2</f>
        <v>20766</v>
      </c>
      <c r="P536" s="40">
        <f>C536*Prislapp!$C$3+D536*Prislapp!$D$3+E536*Prislapp!$E$3+F536*Prislapp!$F$3+G536*Prislapp!$G$3+H536*Prislapp!$H$3+I536*Prislapp!$I$3+J536*Prislapp!$J$3+K536*Prislapp!$K$3+M536*Prislapp!$M$3+N536*Prislapp!$N$3+L536*Prislapp!$L$3</f>
        <v>17442</v>
      </c>
      <c r="Q536" s="40">
        <f>C536*Prislapp!$C$5+D536*Prislapp!$D$5+E536*Prislapp!$E$5+F536*Prislapp!$F$5+G536*Prislapp!$G$5+H536*Prislapp!$H$5+I536*Prislapp!$I$5+J536*Prislapp!$J$5+K536*Prislapp!$K$5+L536*Prislapp!$L$5+M536*Prislapp!$M$5+N536*Prislapp!$N$5</f>
        <v>6000</v>
      </c>
      <c r="R536" s="9">
        <f>VLOOKUP(A536,'Ansvar kurs'!$A$2:$B$943,2,FALSE)</f>
        <v>2180</v>
      </c>
      <c r="S536" s="176" t="s">
        <v>1401</v>
      </c>
      <c r="T536" s="157"/>
      <c r="U536" s="157"/>
      <c r="V536" s="157"/>
      <c r="W536" s="157"/>
      <c r="X536" s="157"/>
      <c r="Y536" s="157"/>
      <c r="Z536" s="157"/>
    </row>
    <row r="537" spans="1:26" x14ac:dyDescent="0.25">
      <c r="A537" s="31" t="s">
        <v>630</v>
      </c>
      <c r="B537" s="31" t="s">
        <v>720</v>
      </c>
      <c r="I537" s="31">
        <v>1</v>
      </c>
      <c r="O537" s="40">
        <f>C537*Prislapp!$C$2+D537*Prislapp!$D$2+E537*Prislapp!$E$2+F537*Prislapp!$F$2+G537*Prislapp!$G$2+H537*Prislapp!$H$2+I537*Prislapp!$I$2+J537*Prislapp!$J$2+K537*Prislapp!$K$2+L537*Prislapp!$L$2+M537*Prislapp!$M$2+N537*Prislapp!$N$2</f>
        <v>20766</v>
      </c>
      <c r="P537" s="40">
        <f>C537*Prislapp!$C$3+D537*Prislapp!$D$3+E537*Prislapp!$E$3+F537*Prislapp!$F$3+G537*Prislapp!$G$3+H537*Prislapp!$H$3+I537*Prislapp!$I$3+J537*Prislapp!$J$3+K537*Prislapp!$K$3+M537*Prislapp!$M$3+N537*Prislapp!$N$3+L537*Prislapp!$L$3</f>
        <v>17442</v>
      </c>
      <c r="Q537" s="40">
        <f>C537*Prislapp!$C$5+D537*Prislapp!$D$5+E537*Prislapp!$E$5+F537*Prislapp!$F$5+G537*Prislapp!$G$5+H537*Prislapp!$H$5+I537*Prislapp!$I$5+J537*Prislapp!$J$5+K537*Prislapp!$K$5+L537*Prislapp!$L$5+M537*Prislapp!$M$5+N537*Prislapp!$N$5</f>
        <v>6000</v>
      </c>
      <c r="R537" s="9">
        <f>VLOOKUP(A537,'Ansvar kurs'!$A$2:$B$943,2,FALSE)</f>
        <v>2180</v>
      </c>
      <c r="S537" s="176" t="s">
        <v>1401</v>
      </c>
      <c r="T537" s="157"/>
      <c r="U537" s="157"/>
      <c r="V537" s="157"/>
      <c r="W537" s="157"/>
      <c r="X537" s="157"/>
      <c r="Y537" s="157"/>
      <c r="Z537" s="157"/>
    </row>
    <row r="538" spans="1:26" x14ac:dyDescent="0.25">
      <c r="A538" s="221" t="s">
        <v>810</v>
      </c>
      <c r="B538" s="31" t="s">
        <v>812</v>
      </c>
      <c r="F538" s="31">
        <v>1</v>
      </c>
      <c r="O538" s="40">
        <f>C538*Prislapp!$C$2+D538*Prislapp!$D$2+E538*Prislapp!$E$2+F538*Prislapp!$F$2+G538*Prislapp!$G$2+H538*Prislapp!$H$2+I538*Prislapp!$I$2+J538*Prislapp!$J$2+K538*Prislapp!$K$2+L538*Prislapp!$L$2+M538*Prislapp!$M$2+N538*Prislapp!$N$2</f>
        <v>26554</v>
      </c>
      <c r="P538" s="40">
        <f>C538*Prislapp!$C$3+D538*Prislapp!$D$3+E538*Prislapp!$E$3+F538*Prislapp!$F$3+G538*Prislapp!$G$3+H538*Prislapp!$H$3+I538*Prislapp!$I$3+J538*Prislapp!$J$3+K538*Prislapp!$K$3+M538*Prislapp!$M$3+N538*Prislapp!$N$3+L538*Prislapp!$L$3</f>
        <v>33465</v>
      </c>
      <c r="Q538" s="40">
        <f>C538*Prislapp!$C$5+D538*Prislapp!$D$5+E538*Prislapp!$E$5+F538*Prislapp!$F$5+G538*Prislapp!$G$5+H538*Prislapp!$H$5+I538*Prislapp!$I$5+J538*Prislapp!$J$5+K538*Prislapp!$K$5+L538*Prislapp!$L$5+M538*Prislapp!$M$5+N538*Prislapp!$N$5</f>
        <v>6000</v>
      </c>
      <c r="R538" s="9">
        <f>VLOOKUP(A538,'Ansvar kurs'!$A$2:$B$943,2,FALSE)</f>
        <v>5740</v>
      </c>
      <c r="S538" s="157"/>
      <c r="T538" s="157"/>
      <c r="U538" s="157"/>
      <c r="V538" s="157"/>
      <c r="W538" s="157"/>
      <c r="X538" s="157"/>
      <c r="Y538" s="157"/>
      <c r="Z538" s="157"/>
    </row>
    <row r="539" spans="1:26" x14ac:dyDescent="0.25">
      <c r="A539" s="221" t="s">
        <v>811</v>
      </c>
      <c r="B539" s="31" t="s">
        <v>813</v>
      </c>
      <c r="F539" s="31">
        <v>1</v>
      </c>
      <c r="O539" s="40">
        <f>C539*Prislapp!$C$2+D539*Prislapp!$D$2+E539*Prislapp!$E$2+F539*Prislapp!$F$2+G539*Prislapp!$G$2+H539*Prislapp!$H$2+I539*Prislapp!$I$2+J539*Prislapp!$J$2+K539*Prislapp!$K$2+L539*Prislapp!$L$2+M539*Prislapp!$M$2+N539*Prislapp!$N$2</f>
        <v>26554</v>
      </c>
      <c r="P539" s="40">
        <f>C539*Prislapp!$C$3+D539*Prislapp!$D$3+E539*Prislapp!$E$3+F539*Prislapp!$F$3+G539*Prislapp!$G$3+H539*Prislapp!$H$3+I539*Prislapp!$I$3+J539*Prislapp!$J$3+K539*Prislapp!$K$3+M539*Prislapp!$M$3+N539*Prislapp!$N$3+L539*Prislapp!$L$3</f>
        <v>33465</v>
      </c>
      <c r="Q539" s="40">
        <f>C539*Prislapp!$C$5+D539*Prislapp!$D$5+E539*Prislapp!$E$5+F539*Prislapp!$F$5+G539*Prislapp!$G$5+H539*Prislapp!$H$5+I539*Prislapp!$I$5+J539*Prislapp!$J$5+K539*Prislapp!$K$5+L539*Prislapp!$L$5+M539*Prislapp!$M$5+N539*Prislapp!$N$5</f>
        <v>6000</v>
      </c>
      <c r="R539" s="9">
        <f>VLOOKUP(A539,'Ansvar kurs'!$A$2:$B$943,2,FALSE)</f>
        <v>5740</v>
      </c>
      <c r="S539" s="157"/>
      <c r="T539" s="157"/>
      <c r="U539" s="157"/>
      <c r="V539" s="157"/>
      <c r="W539" s="157"/>
      <c r="X539" s="157"/>
      <c r="Y539" s="157"/>
      <c r="Z539" s="157"/>
    </row>
    <row r="540" spans="1:26" x14ac:dyDescent="0.25">
      <c r="A540" s="221" t="s">
        <v>951</v>
      </c>
      <c r="B540" s="31" t="s">
        <v>1175</v>
      </c>
      <c r="I540" s="31">
        <v>1</v>
      </c>
      <c r="O540" s="40">
        <f>C540*Prislapp!$C$2+D540*Prislapp!$D$2+E540*Prislapp!$E$2+F540*Prislapp!$F$2+G540*Prislapp!$G$2+H540*Prislapp!$H$2+I540*Prislapp!$I$2+J540*Prislapp!$J$2+K540*Prislapp!$K$2+L540*Prislapp!$L$2+M540*Prislapp!$M$2+N540*Prislapp!$N$2</f>
        <v>20766</v>
      </c>
      <c r="P540" s="40">
        <f>C540*Prislapp!$C$3+D540*Prislapp!$D$3+E540*Prislapp!$E$3+F540*Prislapp!$F$3+G540*Prislapp!$G$3+H540*Prislapp!$H$3+I540*Prislapp!$I$3+J540*Prislapp!$J$3+K540*Prislapp!$K$3+M540*Prislapp!$M$3+N540*Prislapp!$N$3+L540*Prislapp!$L$3</f>
        <v>17442</v>
      </c>
      <c r="Q540" s="40">
        <f>C540*Prislapp!$C$5+D540*Prislapp!$D$5+E540*Prislapp!$E$5+F540*Prislapp!$F$5+G540*Prislapp!$G$5+H540*Prislapp!$H$5+I540*Prislapp!$I$5+J540*Prislapp!$J$5+K540*Prislapp!$K$5+L540*Prislapp!$L$5+M540*Prislapp!$M$5+N540*Prislapp!$N$5</f>
        <v>6000</v>
      </c>
      <c r="R540" s="9">
        <f>VLOOKUP(A540,'Ansvar kurs'!$A$2:$B$943,2,FALSE)</f>
        <v>2193</v>
      </c>
      <c r="S540" s="157"/>
      <c r="T540" s="157"/>
      <c r="U540" s="157"/>
      <c r="V540" s="157"/>
      <c r="W540" s="157"/>
      <c r="X540" s="157"/>
      <c r="Y540" s="157"/>
      <c r="Z540" s="157"/>
    </row>
    <row r="541" spans="1:26" x14ac:dyDescent="0.25">
      <c r="A541" s="222" t="s">
        <v>921</v>
      </c>
      <c r="B541" s="31" t="s">
        <v>1176</v>
      </c>
      <c r="I541" s="31">
        <v>1</v>
      </c>
      <c r="O541" s="40">
        <f>C541*Prislapp!$C$2+D541*Prislapp!$D$2+E541*Prislapp!$E$2+F541*Prislapp!$F$2+G541*Prislapp!$G$2+H541*Prislapp!$H$2+I541*Prislapp!$I$2+J541*Prislapp!$J$2+K541*Prislapp!$K$2+L541*Prislapp!$L$2+M541*Prislapp!$M$2+N541*Prislapp!$N$2</f>
        <v>20766</v>
      </c>
      <c r="P541" s="40">
        <f>C541*Prislapp!$C$3+D541*Prislapp!$D$3+E541*Prislapp!$E$3+F541*Prislapp!$F$3+G541*Prislapp!$G$3+H541*Prislapp!$H$3+I541*Prislapp!$I$3+J541*Prislapp!$J$3+K541*Prislapp!$K$3+M541*Prislapp!$M$3+N541*Prislapp!$N$3+L541*Prislapp!$L$3</f>
        <v>17442</v>
      </c>
      <c r="Q541" s="40">
        <f>C541*Prislapp!$C$5+D541*Prislapp!$D$5+E541*Prislapp!$E$5+F541*Prislapp!$F$5+G541*Prislapp!$G$5+H541*Prislapp!$H$5+I541*Prislapp!$I$5+J541*Prislapp!$J$5+K541*Prislapp!$K$5+L541*Prislapp!$L$5+M541*Prislapp!$M$5+N541*Prislapp!$N$5</f>
        <v>6000</v>
      </c>
      <c r="R541" s="9">
        <f>VLOOKUP(A541,'Ansvar kurs'!$A$2:$B$943,2,FALSE)</f>
        <v>2180</v>
      </c>
      <c r="S541" s="157"/>
      <c r="T541" s="157"/>
    </row>
    <row r="542" spans="1:26" x14ac:dyDescent="0.25">
      <c r="A542" s="222" t="s">
        <v>1068</v>
      </c>
      <c r="B542" s="31" t="s">
        <v>1072</v>
      </c>
      <c r="I542" s="31">
        <v>1</v>
      </c>
      <c r="O542" s="40">
        <f>C542*Prislapp!$C$2+D542*Prislapp!$D$2+E542*Prislapp!$E$2+F542*Prislapp!$F$2+G542*Prislapp!$G$2+H542*Prislapp!$H$2+I542*Prislapp!$I$2+J542*Prislapp!$J$2+K542*Prislapp!$K$2+L542*Prislapp!$L$2+M542*Prislapp!$M$2+N542*Prislapp!$N$2</f>
        <v>20766</v>
      </c>
      <c r="P542" s="40">
        <f>C542*Prislapp!$C$3+D542*Prislapp!$D$3+E542*Prislapp!$E$3+F542*Prislapp!$F$3+G542*Prislapp!$G$3+H542*Prislapp!$H$3+I542*Prislapp!$I$3+J542*Prislapp!$J$3+K542*Prislapp!$K$3+M542*Prislapp!$M$3+N542*Prislapp!$N$3+L542*Prislapp!$L$3</f>
        <v>17442</v>
      </c>
      <c r="Q542" s="40">
        <f>C542*Prislapp!$C$5+D542*Prislapp!$D$5+E542*Prislapp!$E$5+F542*Prislapp!$F$5+G542*Prislapp!$G$5+H542*Prislapp!$H$5+I542*Prislapp!$I$5+J542*Prislapp!$J$5+K542*Prislapp!$K$5+L542*Prislapp!$L$5+M542*Prislapp!$M$5+N542*Prislapp!$N$5</f>
        <v>6000</v>
      </c>
      <c r="R542" s="9">
        <f>VLOOKUP(A542,'Ansvar kurs'!$A$2:$B$943,2,FALSE)</f>
        <v>2193</v>
      </c>
      <c r="S542" s="157"/>
      <c r="T542" s="157"/>
    </row>
    <row r="543" spans="1:26" x14ac:dyDescent="0.25">
      <c r="A543" s="222" t="s">
        <v>952</v>
      </c>
      <c r="B543" s="31" t="s">
        <v>1177</v>
      </c>
      <c r="I543" s="31">
        <v>1</v>
      </c>
      <c r="O543" s="40">
        <f>C543*Prislapp!$C$2+D543*Prislapp!$D$2+E543*Prislapp!$E$2+F543*Prislapp!$F$2+G543*Prislapp!$G$2+H543*Prislapp!$H$2+I543*Prislapp!$I$2+J543*Prislapp!$J$2+K543*Prislapp!$K$2+L543*Prislapp!$L$2+M543*Prislapp!$M$2+N543*Prislapp!$N$2</f>
        <v>20766</v>
      </c>
      <c r="P543" s="40">
        <f>C543*Prislapp!$C$3+D543*Prislapp!$D$3+E543*Prislapp!$E$3+F543*Prislapp!$F$3+G543*Prislapp!$G$3+H543*Prislapp!$H$3+I543*Prislapp!$I$3+J543*Prislapp!$J$3+K543*Prislapp!$K$3+M543*Prislapp!$M$3+N543*Prislapp!$N$3+L543*Prislapp!$L$3</f>
        <v>17442</v>
      </c>
      <c r="Q543" s="40">
        <f>C543*Prislapp!$C$5+D543*Prislapp!$D$5+E543*Prislapp!$E$5+F543*Prislapp!$F$5+G543*Prislapp!$G$5+H543*Prislapp!$H$5+I543*Prislapp!$I$5+J543*Prislapp!$J$5+K543*Prislapp!$K$5+L543*Prislapp!$L$5+M543*Prislapp!$M$5+N543*Prislapp!$N$5</f>
        <v>6000</v>
      </c>
      <c r="R543" s="9">
        <f>VLOOKUP(A543,'Ansvar kurs'!$A$2:$B$943,2,FALSE)</f>
        <v>2193</v>
      </c>
      <c r="S543" s="157"/>
      <c r="T543" s="157"/>
    </row>
    <row r="544" spans="1:26" x14ac:dyDescent="0.25">
      <c r="A544" s="222" t="s">
        <v>953</v>
      </c>
      <c r="B544" s="31" t="s">
        <v>1177</v>
      </c>
      <c r="I544" s="31">
        <v>1</v>
      </c>
      <c r="O544" s="40">
        <f>C544*Prislapp!$C$2+D544*Prislapp!$D$2+E544*Prislapp!$E$2+F544*Prislapp!$F$2+G544*Prislapp!$G$2+H544*Prislapp!$H$2+I544*Prislapp!$I$2+J544*Prislapp!$J$2+K544*Prislapp!$K$2+L544*Prislapp!$L$2+M544*Prislapp!$M$2+N544*Prislapp!$N$2</f>
        <v>20766</v>
      </c>
      <c r="P544" s="40">
        <f>C544*Prislapp!$C$3+D544*Prislapp!$D$3+E544*Prislapp!$E$3+F544*Prislapp!$F$3+G544*Prislapp!$G$3+H544*Prislapp!$H$3+I544*Prislapp!$I$3+J544*Prislapp!$J$3+K544*Prislapp!$K$3+M544*Prislapp!$M$3+N544*Prislapp!$N$3+L544*Prislapp!$L$3</f>
        <v>17442</v>
      </c>
      <c r="Q544" s="40">
        <f>C544*Prislapp!$C$5+D544*Prislapp!$D$5+E544*Prislapp!$E$5+F544*Prislapp!$F$5+G544*Prislapp!$G$5+H544*Prislapp!$H$5+I544*Prislapp!$I$5+J544*Prislapp!$J$5+K544*Prislapp!$K$5+L544*Prislapp!$L$5+M544*Prislapp!$M$5+N544*Prislapp!$N$5</f>
        <v>6000</v>
      </c>
      <c r="R544" s="9">
        <f>VLOOKUP(A544,'Ansvar kurs'!$A$2:$B$943,2,FALSE)</f>
        <v>2193</v>
      </c>
      <c r="S544" s="157"/>
      <c r="T544" s="157"/>
    </row>
    <row r="545" spans="1:26" x14ac:dyDescent="0.25">
      <c r="A545" s="222" t="s">
        <v>960</v>
      </c>
      <c r="B545" s="31" t="s">
        <v>1178</v>
      </c>
      <c r="K545" s="31">
        <v>1</v>
      </c>
      <c r="O545" s="40">
        <f>C545*Prislapp!$C$2+D545*Prislapp!$D$2+E545*Prislapp!$E$2+F545*Prislapp!$F$2+G545*Prislapp!$G$2+H545*Prislapp!$H$2+I545*Prislapp!$I$2+J545*Prislapp!$J$2+K545*Prislapp!$K$2+L545*Prislapp!$L$2+M545*Prislapp!$M$2+N545*Prislapp!$N$2</f>
        <v>25235</v>
      </c>
      <c r="P545" s="40">
        <f>C545*Prislapp!$C$3+D545*Prislapp!$D$3+E545*Prislapp!$E$3+F545*Prislapp!$F$3+G545*Prislapp!$G$3+H545*Prislapp!$H$3+I545*Prislapp!$I$3+J545*Prislapp!$J$3+K545*Prislapp!$K$3+M545*Prislapp!$M$3+N545*Prislapp!$N$3+L545*Prislapp!$L$3</f>
        <v>27976</v>
      </c>
      <c r="Q545" s="40">
        <f>C545*Prislapp!$C$5+D545*Prislapp!$D$5+E545*Prislapp!$E$5+F545*Prislapp!$F$5+G545*Prislapp!$G$5+H545*Prislapp!$H$5+I545*Prislapp!$I$5+J545*Prislapp!$J$5+K545*Prislapp!$K$5+L545*Prislapp!$L$5+M545*Prislapp!$M$5+N545*Prislapp!$N$5</f>
        <v>3600</v>
      </c>
      <c r="R545" s="9">
        <f>VLOOKUP(A545,'Ansvar kurs'!$A$2:$B$943,2,FALSE)</f>
        <v>5740</v>
      </c>
      <c r="S545" s="31" t="s">
        <v>945</v>
      </c>
      <c r="T545" s="31" t="s">
        <v>947</v>
      </c>
      <c r="U545" s="157"/>
      <c r="V545" s="157"/>
      <c r="W545" s="157"/>
      <c r="X545" s="157"/>
      <c r="Y545" s="157"/>
      <c r="Z545" s="157"/>
    </row>
    <row r="546" spans="1:26" x14ac:dyDescent="0.25">
      <c r="A546" s="222" t="s">
        <v>959</v>
      </c>
      <c r="B546" s="31" t="s">
        <v>1179</v>
      </c>
      <c r="K546" s="31">
        <v>1</v>
      </c>
      <c r="O546" s="40">
        <f>C546*Prislapp!$C$2+D546*Prislapp!$D$2+E546*Prislapp!$E$2+F546*Prislapp!$F$2+G546*Prislapp!$G$2+H546*Prislapp!$H$2+I546*Prislapp!$I$2+J546*Prislapp!$J$2+K546*Prislapp!$K$2+L546*Prislapp!$L$2+M546*Prislapp!$M$2+N546*Prislapp!$N$2</f>
        <v>25235</v>
      </c>
      <c r="P546" s="40">
        <f>C546*Prislapp!$C$3+D546*Prislapp!$D$3+E546*Prislapp!$E$3+F546*Prislapp!$F$3+G546*Prislapp!$G$3+H546*Prislapp!$H$3+I546*Prislapp!$I$3+J546*Prislapp!$J$3+K546*Prislapp!$K$3+M546*Prislapp!$M$3+N546*Prislapp!$N$3+L546*Prislapp!$L$3</f>
        <v>27976</v>
      </c>
      <c r="Q546" s="40">
        <f>C546*Prislapp!$C$5+D546*Prislapp!$D$5+E546*Prislapp!$E$5+F546*Prislapp!$F$5+G546*Prislapp!$G$5+H546*Prislapp!$H$5+I546*Prislapp!$I$5+J546*Prislapp!$J$5+K546*Prislapp!$K$5+L546*Prislapp!$L$5+M546*Prislapp!$M$5+N546*Prislapp!$N$5</f>
        <v>3600</v>
      </c>
      <c r="R546" s="9">
        <f>VLOOKUP(A546,'Ansvar kurs'!$A$2:$B$943,2,FALSE)</f>
        <v>5740</v>
      </c>
      <c r="S546" s="31" t="s">
        <v>944</v>
      </c>
      <c r="T546" s="31" t="s">
        <v>946</v>
      </c>
    </row>
    <row r="547" spans="1:26" x14ac:dyDescent="0.25">
      <c r="A547" s="57" t="s">
        <v>954</v>
      </c>
      <c r="B547" s="31" t="s">
        <v>1228</v>
      </c>
      <c r="K547" s="31">
        <v>1</v>
      </c>
      <c r="O547" s="40">
        <f>C547*Prislapp!$C$2+D547*Prislapp!$D$2+E547*Prislapp!$E$2+F547*Prislapp!$F$2+G547*Prislapp!$G$2+H547*Prislapp!$H$2+I547*Prislapp!$I$2+J547*Prislapp!$J$2+K547*Prislapp!$K$2+L547*Prislapp!$L$2+M547*Prislapp!$M$2+N547*Prislapp!$N$2</f>
        <v>25235</v>
      </c>
      <c r="P547" s="40">
        <f>C547*Prislapp!$C$3+D547*Prislapp!$D$3+E547*Prislapp!$E$3+F547*Prislapp!$F$3+G547*Prislapp!$G$3+H547*Prislapp!$H$3+I547*Prislapp!$I$3+J547*Prislapp!$J$3+K547*Prislapp!$K$3+M547*Prislapp!$M$3+N547*Prislapp!$N$3+L547*Prislapp!$L$3</f>
        <v>27976</v>
      </c>
      <c r="Q547" s="40">
        <f>C547*Prislapp!$C$5+D547*Prislapp!$D$5+E547*Prislapp!$E$5+F547*Prislapp!$F$5+G547*Prislapp!$G$5+H547*Prislapp!$H$5+I547*Prislapp!$I$5+J547*Prislapp!$J$5+K547*Prislapp!$K$5+L547*Prislapp!$L$5+M547*Prislapp!$M$5+N547*Prislapp!$N$5</f>
        <v>3600</v>
      </c>
      <c r="R547" s="9">
        <f>VLOOKUP(A547,'Ansvar kurs'!$A$2:$B$943,2,FALSE)</f>
        <v>2180</v>
      </c>
      <c r="S547" s="31" t="s">
        <v>955</v>
      </c>
    </row>
    <row r="548" spans="1:26" x14ac:dyDescent="0.25">
      <c r="A548" s="57" t="s">
        <v>1086</v>
      </c>
      <c r="B548" s="31" t="s">
        <v>1180</v>
      </c>
      <c r="I548" s="31">
        <v>1</v>
      </c>
      <c r="O548" s="40">
        <f>C548*Prislapp!$C$2+D548*Prislapp!$D$2+E548*Prislapp!$E$2+F548*Prislapp!$F$2+G548*Prislapp!$G$2+H548*Prislapp!$H$2+I548*Prislapp!$I$2+J548*Prislapp!$J$2+K548*Prislapp!$K$2+L548*Prislapp!$L$2+M548*Prislapp!$M$2+N548*Prislapp!$N$2</f>
        <v>20766</v>
      </c>
      <c r="P548" s="40">
        <f>C548*Prislapp!$C$3+D548*Prislapp!$D$3+E548*Prislapp!$E$3+F548*Prislapp!$F$3+G548*Prislapp!$G$3+H548*Prislapp!$H$3+I548*Prislapp!$I$3+J548*Prislapp!$J$3+K548*Prislapp!$K$3+M548*Prislapp!$M$3+N548*Prislapp!$N$3+L548*Prislapp!$L$3</f>
        <v>17442</v>
      </c>
      <c r="Q548" s="40">
        <f>C548*Prislapp!$C$5+D548*Prislapp!$D$5+E548*Prislapp!$E$5+F548*Prislapp!$F$5+G548*Prislapp!$G$5+H548*Prislapp!$H$5+I548*Prislapp!$I$5+J548*Prislapp!$J$5+K548*Prislapp!$K$5+L548*Prislapp!$L$5+M548*Prislapp!$M$5+N548*Prislapp!$N$5</f>
        <v>6000</v>
      </c>
      <c r="R548" s="9">
        <f>VLOOKUP(A548,'Ansvar kurs'!$A$2:$B$943,2,FALSE)</f>
        <v>2180</v>
      </c>
    </row>
    <row r="549" spans="1:26" x14ac:dyDescent="0.25">
      <c r="A549" s="221" t="s">
        <v>973</v>
      </c>
      <c r="B549" s="31" t="s">
        <v>1181</v>
      </c>
      <c r="F549" s="31">
        <v>1</v>
      </c>
      <c r="O549" s="40">
        <f>C549*Prislapp!$C$2+D549*Prislapp!$D$2+E549*Prislapp!$E$2+F549*Prislapp!$F$2+G549*Prislapp!$G$2+H549*Prislapp!$H$2+I549*Prislapp!$I$2+J549*Prislapp!$J$2+K549*Prislapp!$K$2+L549*Prislapp!$L$2+M549*Prislapp!$M$2+N549*Prislapp!$N$2</f>
        <v>26554</v>
      </c>
      <c r="P549" s="40">
        <f>C549*Prislapp!$C$3+D549*Prislapp!$D$3+E549*Prislapp!$E$3+F549*Prislapp!$F$3+G549*Prislapp!$G$3+H549*Prislapp!$H$3+I549*Prislapp!$I$3+J549*Prislapp!$J$3+K549*Prislapp!$K$3+M549*Prislapp!$M$3+N549*Prislapp!$N$3+L549*Prislapp!$L$3</f>
        <v>33465</v>
      </c>
      <c r="Q549" s="40">
        <f>C549*Prislapp!$C$5+D549*Prislapp!$D$5+E549*Prislapp!$E$5+F549*Prislapp!$F$5+G549*Prislapp!$G$5+H549*Prislapp!$H$5+I549*Prislapp!$I$5+J549*Prislapp!$J$5+K549*Prislapp!$K$5+L549*Prislapp!$L$5+M549*Prislapp!$M$5+N549*Prislapp!$N$5</f>
        <v>6000</v>
      </c>
      <c r="R549" s="9">
        <f>VLOOKUP(A549,'Ansvar kurs'!$A$2:$B$943,2,FALSE)</f>
        <v>5740</v>
      </c>
      <c r="S549" s="157"/>
      <c r="T549" s="157" t="s">
        <v>972</v>
      </c>
      <c r="U549" s="157"/>
      <c r="V549" s="157"/>
      <c r="W549" s="157"/>
      <c r="X549" s="157"/>
      <c r="Y549" s="157"/>
      <c r="Z549" s="157"/>
    </row>
    <row r="550" spans="1:26" x14ac:dyDescent="0.25">
      <c r="A550" s="221" t="s">
        <v>1020</v>
      </c>
      <c r="B550" s="31" t="s">
        <v>1182</v>
      </c>
      <c r="K550" s="31">
        <v>1</v>
      </c>
      <c r="O550" s="40">
        <f>C550*Prislapp!$C$2+D550*Prislapp!$D$2+E550*Prislapp!$E$2+F550*Prislapp!$F$2+G550*Prislapp!$G$2+H550*Prislapp!$H$2+I550*Prislapp!$I$2+J550*Prislapp!$J$2+K550*Prislapp!$K$2+L550*Prislapp!$L$2+M550*Prislapp!$M$2+N550*Prislapp!$N$2</f>
        <v>25235</v>
      </c>
      <c r="P550" s="40">
        <f>C550*Prislapp!$C$3+D550*Prislapp!$D$3+E550*Prislapp!$E$3+F550*Prislapp!$F$3+G550*Prislapp!$G$3+H550*Prislapp!$H$3+I550*Prislapp!$I$3+J550*Prislapp!$J$3+K550*Prislapp!$K$3+M550*Prislapp!$M$3+N550*Prislapp!$N$3+L550*Prislapp!$L$3</f>
        <v>27976</v>
      </c>
      <c r="Q550" s="40">
        <f>C550*Prislapp!$C$5+D550*Prislapp!$D$5+E550*Prislapp!$E$5+F550*Prislapp!$F$5+G550*Prislapp!$G$5+H550*Prislapp!$H$5+I550*Prislapp!$I$5+J550*Prislapp!$J$5+K550*Prislapp!$K$5+L550*Prislapp!$L$5+M550*Prislapp!$M$5+N550*Prislapp!$N$5</f>
        <v>3600</v>
      </c>
      <c r="R550" s="9">
        <f>VLOOKUP(A550,'Ansvar kurs'!$A$2:$B$943,2,FALSE)</f>
        <v>5740</v>
      </c>
      <c r="S550" s="157"/>
      <c r="T550" s="157"/>
      <c r="U550" s="157"/>
      <c r="V550" s="157"/>
      <c r="W550" s="157"/>
      <c r="X550" s="157"/>
      <c r="Y550" s="157"/>
      <c r="Z550" s="157"/>
    </row>
    <row r="551" spans="1:26" x14ac:dyDescent="0.25">
      <c r="A551" s="221" t="s">
        <v>1021</v>
      </c>
      <c r="B551" s="31" t="s">
        <v>1183</v>
      </c>
      <c r="K551" s="31">
        <v>1</v>
      </c>
      <c r="O551" s="40">
        <f>C551*Prislapp!$C$2+D551*Prislapp!$D$2+E551*Prislapp!$E$2+F551*Prislapp!$F$2+G551*Prislapp!$G$2+H551*Prislapp!$H$2+I551*Prislapp!$I$2+J551*Prislapp!$J$2+K551*Prislapp!$K$2+L551*Prislapp!$L$2+M551*Prislapp!$M$2+N551*Prislapp!$N$2</f>
        <v>25235</v>
      </c>
      <c r="P551" s="40">
        <f>C551*Prislapp!$C$3+D551*Prislapp!$D$3+E551*Prislapp!$E$3+F551*Prislapp!$F$3+G551*Prislapp!$G$3+H551*Prislapp!$H$3+I551*Prislapp!$I$3+J551*Prislapp!$J$3+K551*Prislapp!$K$3+M551*Prislapp!$M$3+N551*Prislapp!$N$3+L551*Prislapp!$L$3</f>
        <v>27976</v>
      </c>
      <c r="Q551" s="40">
        <f>C551*Prislapp!$C$5+D551*Prislapp!$D$5+E551*Prislapp!$E$5+F551*Prislapp!$F$5+G551*Prislapp!$G$5+H551*Prislapp!$H$5+I551*Prislapp!$I$5+J551*Prislapp!$J$5+K551*Prislapp!$K$5+L551*Prislapp!$L$5+M551*Prislapp!$M$5+N551*Prislapp!$N$5</f>
        <v>3600</v>
      </c>
      <c r="R551" s="9">
        <f>VLOOKUP(A551,'Ansvar kurs'!$A$2:$B$943,2,FALSE)</f>
        <v>5740</v>
      </c>
      <c r="S551" s="157"/>
      <c r="T551" s="157"/>
      <c r="U551" s="157"/>
      <c r="V551" s="157"/>
      <c r="W551" s="157"/>
      <c r="X551" s="157"/>
      <c r="Y551" s="157"/>
      <c r="Z551" s="157"/>
    </row>
    <row r="552" spans="1:26" x14ac:dyDescent="0.25">
      <c r="A552" s="221" t="s">
        <v>968</v>
      </c>
      <c r="B552" s="31" t="s">
        <v>1184</v>
      </c>
      <c r="F552" s="31">
        <v>1</v>
      </c>
      <c r="O552" s="40">
        <f>C552*Prislapp!$C$2+D552*Prislapp!$D$2+E552*Prislapp!$E$2+F552*Prislapp!$F$2+G552*Prislapp!$G$2+H552*Prislapp!$H$2+I552*Prislapp!$I$2+J552*Prislapp!$J$2+K552*Prislapp!$K$2+L552*Prislapp!$L$2+M552*Prislapp!$M$2+N552*Prislapp!$N$2</f>
        <v>26554</v>
      </c>
      <c r="P552" s="40">
        <f>C552*Prislapp!$C$3+D552*Prislapp!$D$3+E552*Prislapp!$E$3+F552*Prislapp!$F$3+G552*Prislapp!$G$3+H552*Prislapp!$H$3+I552*Prislapp!$I$3+J552*Prislapp!$J$3+K552*Prislapp!$K$3+M552*Prislapp!$M$3+N552*Prislapp!$N$3+L552*Prislapp!$L$3</f>
        <v>33465</v>
      </c>
      <c r="Q552" s="40">
        <f>C552*Prislapp!$C$5+D552*Prislapp!$D$5+E552*Prislapp!$E$5+F552*Prislapp!$F$5+G552*Prislapp!$G$5+H552*Prislapp!$H$5+I552*Prislapp!$I$5+J552*Prislapp!$J$5+K552*Prislapp!$K$5+L552*Prislapp!$L$5+M552*Prislapp!$M$5+N552*Prislapp!$N$5</f>
        <v>6000</v>
      </c>
      <c r="R552" s="9">
        <f>VLOOKUP(A552,'Ansvar kurs'!$A$2:$B$943,2,FALSE)</f>
        <v>5740</v>
      </c>
      <c r="S552" s="157" t="s">
        <v>915</v>
      </c>
      <c r="T552" s="157" t="s">
        <v>969</v>
      </c>
      <c r="U552" s="157"/>
      <c r="V552" s="157"/>
      <c r="W552" s="157"/>
      <c r="X552" s="157"/>
      <c r="Y552" s="157"/>
      <c r="Z552" s="157"/>
    </row>
    <row r="553" spans="1:26" x14ac:dyDescent="0.25">
      <c r="A553" s="221" t="s">
        <v>971</v>
      </c>
      <c r="B553" s="31" t="s">
        <v>1185</v>
      </c>
      <c r="F553" s="31">
        <v>1</v>
      </c>
      <c r="O553" s="40">
        <f>C553*Prislapp!$C$2+D553*Prislapp!$D$2+E553*Prislapp!$E$2+F553*Prislapp!$F$2+G553*Prislapp!$G$2+H553*Prislapp!$H$2+I553*Prislapp!$I$2+J553*Prislapp!$J$2+K553*Prislapp!$K$2+L553*Prislapp!$L$2+M553*Prislapp!$M$2+N553*Prislapp!$N$2</f>
        <v>26554</v>
      </c>
      <c r="P553" s="40">
        <f>C553*Prislapp!$C$3+D553*Prislapp!$D$3+E553*Prislapp!$E$3+F553*Prislapp!$F$3+G553*Prislapp!$G$3+H553*Prislapp!$H$3+I553*Prislapp!$I$3+J553*Prislapp!$J$3+K553*Prislapp!$K$3+M553*Prislapp!$M$3+N553*Prislapp!$N$3+L553*Prislapp!$L$3</f>
        <v>33465</v>
      </c>
      <c r="Q553" s="40">
        <f>C553*Prislapp!$C$5+D553*Prislapp!$D$5+E553*Prislapp!$E$5+F553*Prislapp!$F$5+G553*Prislapp!$G$5+H553*Prislapp!$H$5+I553*Prislapp!$I$5+J553*Prislapp!$J$5+K553*Prislapp!$K$5+L553*Prislapp!$L$5+M553*Prislapp!$M$5+N553*Prislapp!$N$5</f>
        <v>6000</v>
      </c>
      <c r="R553" s="9">
        <f>VLOOKUP(A553,'Ansvar kurs'!$A$2:$B$943,2,FALSE)</f>
        <v>5740</v>
      </c>
      <c r="S553" s="157" t="s">
        <v>915</v>
      </c>
      <c r="T553" s="157" t="s">
        <v>970</v>
      </c>
      <c r="U553" s="157"/>
      <c r="V553" s="157"/>
      <c r="W553" s="157"/>
      <c r="X553" s="157"/>
      <c r="Y553" s="157"/>
      <c r="Z553" s="157"/>
    </row>
    <row r="554" spans="1:26" x14ac:dyDescent="0.25">
      <c r="A554" s="221" t="s">
        <v>982</v>
      </c>
      <c r="B554" s="31" t="s">
        <v>1186</v>
      </c>
      <c r="F554" s="31">
        <v>1</v>
      </c>
      <c r="O554" s="40">
        <f>C554*Prislapp!$C$2+D554*Prislapp!$D$2+E554*Prislapp!$E$2+F554*Prislapp!$F$2+G554*Prislapp!$G$2+H554*Prislapp!$H$2+I554*Prislapp!$I$2+J554*Prislapp!$J$2+K554*Prislapp!$K$2+L554*Prislapp!$L$2+M554*Prislapp!$M$2+N554*Prislapp!$N$2</f>
        <v>26554</v>
      </c>
      <c r="P554" s="40">
        <f>C554*Prislapp!$C$3+D554*Prislapp!$D$3+E554*Prislapp!$E$3+F554*Prislapp!$F$3+G554*Prislapp!$G$3+H554*Prislapp!$H$3+I554*Prislapp!$I$3+J554*Prislapp!$J$3+K554*Prislapp!$K$3+M554*Prislapp!$M$3+N554*Prislapp!$N$3+L554*Prislapp!$L$3</f>
        <v>33465</v>
      </c>
      <c r="Q554" s="40">
        <f>C554*Prislapp!$C$5+D554*Prislapp!$D$5+E554*Prislapp!$E$5+F554*Prislapp!$F$5+G554*Prislapp!$G$5+H554*Prislapp!$H$5+I554*Prislapp!$I$5+J554*Prislapp!$J$5+K554*Prislapp!$K$5+L554*Prislapp!$L$5+M554*Prislapp!$M$5+N554*Prislapp!$N$5</f>
        <v>6000</v>
      </c>
      <c r="R554" s="9">
        <f>VLOOKUP(A554,'Ansvar kurs'!$A$2:$B$943,2,FALSE)</f>
        <v>2193</v>
      </c>
      <c r="S554" s="157" t="s">
        <v>915</v>
      </c>
      <c r="T554" s="157" t="s">
        <v>986</v>
      </c>
      <c r="U554" s="157"/>
      <c r="V554" s="157"/>
      <c r="W554" s="157"/>
      <c r="X554" s="157"/>
      <c r="Y554" s="157"/>
      <c r="Z554" s="157"/>
    </row>
    <row r="555" spans="1:26" x14ac:dyDescent="0.25">
      <c r="A555" s="221" t="s">
        <v>983</v>
      </c>
      <c r="B555" s="31" t="s">
        <v>1187</v>
      </c>
      <c r="F555" s="31">
        <v>1</v>
      </c>
      <c r="O555" s="40">
        <f>C555*Prislapp!$C$2+D555*Prislapp!$D$2+E555*Prislapp!$E$2+F555*Prislapp!$F$2+G555*Prislapp!$G$2+H555*Prislapp!$H$2+I555*Prislapp!$I$2+J555*Prislapp!$J$2+K555*Prislapp!$K$2+L555*Prislapp!$L$2+M555*Prislapp!$M$2+N555*Prislapp!$N$2</f>
        <v>26554</v>
      </c>
      <c r="P555" s="40">
        <f>C555*Prislapp!$C$3+D555*Prislapp!$D$3+E555*Prislapp!$E$3+F555*Prislapp!$F$3+G555*Prislapp!$G$3+H555*Prislapp!$H$3+I555*Prislapp!$I$3+J555*Prislapp!$J$3+K555*Prislapp!$K$3+M555*Prislapp!$M$3+N555*Prislapp!$N$3+L555*Prislapp!$L$3</f>
        <v>33465</v>
      </c>
      <c r="Q555" s="40">
        <f>C555*Prislapp!$C$5+D555*Prislapp!$D$5+E555*Prislapp!$E$5+F555*Prislapp!$F$5+G555*Prislapp!$G$5+H555*Prislapp!$H$5+I555*Prislapp!$I$5+J555*Prislapp!$J$5+K555*Prislapp!$K$5+L555*Prislapp!$L$5+M555*Prislapp!$M$5+N555*Prislapp!$N$5</f>
        <v>6000</v>
      </c>
      <c r="R555" s="9">
        <f>VLOOKUP(A555,'Ansvar kurs'!$A$2:$B$943,2,FALSE)</f>
        <v>2193</v>
      </c>
      <c r="S555" s="157" t="s">
        <v>915</v>
      </c>
      <c r="T555" s="157" t="s">
        <v>987</v>
      </c>
      <c r="U555" s="157"/>
      <c r="V555" s="157"/>
      <c r="W555" s="157"/>
      <c r="X555" s="157"/>
      <c r="Y555" s="157"/>
      <c r="Z555" s="157"/>
    </row>
    <row r="556" spans="1:26" x14ac:dyDescent="0.25">
      <c r="A556" s="221" t="s">
        <v>984</v>
      </c>
      <c r="B556" s="31" t="s">
        <v>1188</v>
      </c>
      <c r="F556" s="31">
        <v>1</v>
      </c>
      <c r="O556" s="40">
        <f>C556*Prislapp!$C$2+D556*Prislapp!$D$2+E556*Prislapp!$E$2+F556*Prislapp!$F$2+G556*Prislapp!$G$2+H556*Prislapp!$H$2+I556*Prislapp!$I$2+J556*Prislapp!$J$2+K556*Prislapp!$K$2+L556*Prislapp!$L$2+M556*Prislapp!$M$2+N556*Prislapp!$N$2</f>
        <v>26554</v>
      </c>
      <c r="P556" s="40">
        <f>C556*Prislapp!$C$3+D556*Prislapp!$D$3+E556*Prislapp!$E$3+F556*Prislapp!$F$3+G556*Prislapp!$G$3+H556*Prislapp!$H$3+I556*Prislapp!$I$3+J556*Prislapp!$J$3+K556*Prislapp!$K$3+M556*Prislapp!$M$3+N556*Prislapp!$N$3+L556*Prislapp!$L$3</f>
        <v>33465</v>
      </c>
      <c r="Q556" s="40">
        <f>C556*Prislapp!$C$5+D556*Prislapp!$D$5+E556*Prislapp!$E$5+F556*Prislapp!$F$5+G556*Prislapp!$G$5+H556*Prislapp!$H$5+I556*Prislapp!$I$5+J556*Prislapp!$J$5+K556*Prislapp!$K$5+L556*Prislapp!$L$5+M556*Prislapp!$M$5+N556*Prislapp!$N$5</f>
        <v>6000</v>
      </c>
      <c r="R556" s="9">
        <f>VLOOKUP(A556,'Ansvar kurs'!$A$2:$B$943,2,FALSE)</f>
        <v>2180</v>
      </c>
      <c r="S556" s="157" t="s">
        <v>915</v>
      </c>
      <c r="T556" s="157" t="s">
        <v>988</v>
      </c>
      <c r="U556" s="157"/>
      <c r="V556" s="157"/>
      <c r="W556" s="157"/>
      <c r="X556" s="157"/>
      <c r="Y556" s="157"/>
      <c r="Z556" s="157"/>
    </row>
    <row r="557" spans="1:26" x14ac:dyDescent="0.25">
      <c r="A557" s="221" t="s">
        <v>985</v>
      </c>
      <c r="B557" s="31" t="s">
        <v>1189</v>
      </c>
      <c r="F557" s="31">
        <v>1</v>
      </c>
      <c r="O557" s="40">
        <f>C557*Prislapp!$C$2+D557*Prislapp!$D$2+E557*Prislapp!$E$2+F557*Prislapp!$F$2+G557*Prislapp!$G$2+H557*Prislapp!$H$2+I557*Prislapp!$I$2+J557*Prislapp!$J$2+K557*Prislapp!$K$2+L557*Prislapp!$L$2+M557*Prislapp!$M$2+N557*Prislapp!$N$2</f>
        <v>26554</v>
      </c>
      <c r="P557" s="40">
        <f>C557*Prislapp!$C$3+D557*Prislapp!$D$3+E557*Prislapp!$E$3+F557*Prislapp!$F$3+G557*Prislapp!$G$3+H557*Prislapp!$H$3+I557*Prislapp!$I$3+J557*Prislapp!$J$3+K557*Prislapp!$K$3+M557*Prislapp!$M$3+N557*Prislapp!$N$3+L557*Prislapp!$L$3</f>
        <v>33465</v>
      </c>
      <c r="Q557" s="40">
        <f>C557*Prislapp!$C$5+D557*Prislapp!$D$5+E557*Prislapp!$E$5+F557*Prislapp!$F$5+G557*Prislapp!$G$5+H557*Prislapp!$H$5+I557*Prislapp!$I$5+J557*Prislapp!$J$5+K557*Prislapp!$K$5+L557*Prislapp!$L$5+M557*Prislapp!$M$5+N557*Prislapp!$N$5</f>
        <v>6000</v>
      </c>
      <c r="R557" s="9">
        <f>VLOOKUP(A557,'Ansvar kurs'!$A$2:$B$943,2,FALSE)</f>
        <v>2180</v>
      </c>
      <c r="S557" s="157" t="s">
        <v>915</v>
      </c>
      <c r="T557" s="157" t="s">
        <v>989</v>
      </c>
      <c r="U557" s="157"/>
      <c r="V557" s="157"/>
      <c r="W557" s="157"/>
      <c r="X557" s="157"/>
      <c r="Y557" s="157"/>
      <c r="Z557" s="157"/>
    </row>
    <row r="558" spans="1:26" x14ac:dyDescent="0.25">
      <c r="A558" s="222" t="s">
        <v>1239</v>
      </c>
      <c r="B558" s="60" t="s">
        <v>1190</v>
      </c>
      <c r="H558" s="31">
        <v>1</v>
      </c>
      <c r="O558" s="40">
        <f>C558*Prislapp!$C$2+D558*Prislapp!$D$2+E558*Prislapp!$E$2+F558*Prislapp!$F$2+G558*Prislapp!$G$2+H558*Prislapp!$H$2+I558*Prislapp!$I$2+J558*Prislapp!$J$2+K558*Prislapp!$K$2+L558*Prislapp!$L$2+M558*Prislapp!$M$2+N558*Prislapp!$N$2</f>
        <v>20757</v>
      </c>
      <c r="P558" s="40">
        <f>C558*Prislapp!$C$3+D558*Prislapp!$D$3+E558*Prislapp!$E$3+F558*Prislapp!$F$3+G558*Prislapp!$G$3+H558*Prislapp!$H$3+I558*Prislapp!$I$3+J558*Prislapp!$J$3+K558*Prislapp!$K$3+M558*Prislapp!$M$3+N558*Prislapp!$N$3+L558*Prislapp!$L$3</f>
        <v>36082</v>
      </c>
      <c r="Q558" s="40">
        <f>C558*Prislapp!$C$5+D558*Prislapp!$D$5+E558*Prislapp!$E$5+F558*Prislapp!$F$5+G558*Prislapp!$G$5+H558*Prislapp!$H$5+I558*Prislapp!$I$5+J558*Prislapp!$J$5+K558*Prislapp!$K$5+L558*Prislapp!$L$5+M558*Prislapp!$M$5+N558*Prislapp!$N$5</f>
        <v>22600</v>
      </c>
      <c r="R558" s="9">
        <f>VLOOKUP(A558,'Ansvar kurs'!$A$2:$B$943,2,FALSE)</f>
        <v>5740</v>
      </c>
      <c r="S558" s="157"/>
      <c r="T558" s="157"/>
      <c r="U558" s="157"/>
      <c r="V558" s="157"/>
      <c r="W558" s="157"/>
      <c r="X558" s="157"/>
      <c r="Y558" s="157"/>
      <c r="Z558" s="157"/>
    </row>
    <row r="559" spans="1:26" x14ac:dyDescent="0.25">
      <c r="A559" s="222" t="s">
        <v>1291</v>
      </c>
      <c r="B559" t="s">
        <v>1093</v>
      </c>
      <c r="H559" s="31">
        <v>1</v>
      </c>
      <c r="O559" s="40">
        <f>C559*Prislapp!$C$2+D559*Prislapp!$D$2+E559*Prislapp!$E$2+F559*Prislapp!$F$2+G559*Prislapp!$G$2+H559*Prislapp!$H$2+I559*Prislapp!$I$2+J559*Prislapp!$J$2+K559*Prislapp!$K$2+L559*Prislapp!$L$2+M559*Prislapp!$M$2+N559*Prislapp!$N$2</f>
        <v>20757</v>
      </c>
      <c r="P559" s="40">
        <f>C559*Prislapp!$C$3+D559*Prislapp!$D$3+E559*Prislapp!$E$3+F559*Prislapp!$F$3+G559*Prislapp!$G$3+H559*Prislapp!$H$3+I559*Prislapp!$I$3+J559*Prislapp!$J$3+K559*Prislapp!$K$3+M559*Prislapp!$M$3+N559*Prislapp!$N$3+L559*Prislapp!$L$3</f>
        <v>36082</v>
      </c>
      <c r="Q559" s="40">
        <f>C559*Prislapp!$C$5+D559*Prislapp!$D$5+E559*Prislapp!$E$5+F559*Prislapp!$F$5+G559*Prislapp!$G$5+H559*Prislapp!$H$5+I559*Prislapp!$I$5+J559*Prislapp!$J$5+K559*Prislapp!$K$5+L559*Prislapp!$L$5+M559*Prislapp!$M$5+N559*Prislapp!$N$5</f>
        <v>22600</v>
      </c>
      <c r="R559" s="9">
        <f>VLOOKUP(A559,'Ansvar kurs'!$A$2:$B$943,2,FALSE)</f>
        <v>5740</v>
      </c>
      <c r="S559" s="157"/>
    </row>
    <row r="560" spans="1:26" x14ac:dyDescent="0.25">
      <c r="A560" s="222" t="s">
        <v>1292</v>
      </c>
      <c r="B560" t="s">
        <v>1094</v>
      </c>
      <c r="H560" s="31">
        <v>1</v>
      </c>
      <c r="O560" s="40">
        <f>C560*Prislapp!$C$2+D560*Prislapp!$D$2+E560*Prislapp!$E$2+F560*Prislapp!$F$2+G560*Prislapp!$G$2+H560*Prislapp!$H$2+I560*Prislapp!$I$2+J560*Prislapp!$J$2+K560*Prislapp!$K$2+L560*Prislapp!$L$2+M560*Prislapp!$M$2+N560*Prislapp!$N$2</f>
        <v>20757</v>
      </c>
      <c r="P560" s="40">
        <f>C560*Prislapp!$C$3+D560*Prislapp!$D$3+E560*Prislapp!$E$3+F560*Prislapp!$F$3+G560*Prislapp!$G$3+H560*Prislapp!$H$3+I560*Prislapp!$I$3+J560*Prislapp!$J$3+K560*Prislapp!$K$3+M560*Prislapp!$M$3+N560*Prislapp!$N$3+L560*Prislapp!$L$3</f>
        <v>36082</v>
      </c>
      <c r="Q560" s="40">
        <f>C560*Prislapp!$C$5+D560*Prislapp!$D$5+E560*Prislapp!$E$5+F560*Prislapp!$F$5+G560*Prislapp!$G$5+H560*Prislapp!$H$5+I560*Prislapp!$I$5+J560*Prislapp!$J$5+K560*Prislapp!$K$5+L560*Prislapp!$L$5+M560*Prislapp!$M$5+N560*Prislapp!$N$5</f>
        <v>22600</v>
      </c>
      <c r="R560" s="9">
        <f>VLOOKUP(A560,'Ansvar kurs'!$A$2:$B$943,2,FALSE)</f>
        <v>5740</v>
      </c>
      <c r="S560" s="157"/>
    </row>
    <row r="561" spans="1:26" x14ac:dyDescent="0.25">
      <c r="A561" s="222" t="s">
        <v>1293</v>
      </c>
      <c r="B561" t="s">
        <v>1095</v>
      </c>
      <c r="H561" s="31">
        <v>1</v>
      </c>
      <c r="O561" s="40">
        <f>C561*Prislapp!$C$2+D561*Prislapp!$D$2+E561*Prislapp!$E$2+F561*Prislapp!$F$2+G561*Prislapp!$G$2+H561*Prislapp!$H$2+I561*Prislapp!$I$2+J561*Prislapp!$J$2+K561*Prislapp!$K$2+L561*Prislapp!$L$2+M561*Prislapp!$M$2+N561*Prislapp!$N$2</f>
        <v>20757</v>
      </c>
      <c r="P561" s="40">
        <f>C561*Prislapp!$C$3+D561*Prislapp!$D$3+E561*Prislapp!$E$3+F561*Prislapp!$F$3+G561*Prislapp!$G$3+H561*Prislapp!$H$3+I561*Prislapp!$I$3+J561*Prislapp!$J$3+K561*Prislapp!$K$3+M561*Prislapp!$M$3+N561*Prislapp!$N$3+L561*Prislapp!$L$3</f>
        <v>36082</v>
      </c>
      <c r="Q561" s="40">
        <f>C561*Prislapp!$C$5+D561*Prislapp!$D$5+E561*Prislapp!$E$5+F561*Prislapp!$F$5+G561*Prislapp!$G$5+H561*Prislapp!$H$5+I561*Prislapp!$I$5+J561*Prislapp!$J$5+K561*Prislapp!$K$5+L561*Prislapp!$L$5+M561*Prislapp!$M$5+N561*Prislapp!$N$5</f>
        <v>22600</v>
      </c>
      <c r="R561" s="9">
        <f>VLOOKUP(A561,'Ansvar kurs'!$A$2:$B$943,2,FALSE)</f>
        <v>5740</v>
      </c>
      <c r="S561" s="157"/>
    </row>
    <row r="562" spans="1:26" x14ac:dyDescent="0.25">
      <c r="A562" s="222" t="s">
        <v>1294</v>
      </c>
      <c r="B562" t="s">
        <v>1128</v>
      </c>
      <c r="H562" s="31">
        <v>1</v>
      </c>
      <c r="O562" s="40">
        <f>C562*Prislapp!$C$2+D562*Prislapp!$D$2+E562*Prislapp!$E$2+F562*Prislapp!$F$2+G562*Prislapp!$G$2+H562*Prislapp!$H$2+I562*Prislapp!$I$2+J562*Prislapp!$J$2+K562*Prislapp!$K$2+L562*Prislapp!$L$2+M562*Prislapp!$M$2+N562*Prislapp!$N$2</f>
        <v>20757</v>
      </c>
      <c r="P562" s="40">
        <f>C562*Prislapp!$C$3+D562*Prislapp!$D$3+E562*Prislapp!$E$3+F562*Prislapp!$F$3+G562*Prislapp!$G$3+H562*Prislapp!$H$3+I562*Prislapp!$I$3+J562*Prislapp!$J$3+K562*Prislapp!$K$3+M562*Prislapp!$M$3+N562*Prislapp!$N$3+L562*Prislapp!$L$3</f>
        <v>36082</v>
      </c>
      <c r="Q562" s="40">
        <f>C562*Prislapp!$C$5+D562*Prislapp!$D$5+E562*Prislapp!$E$5+F562*Prislapp!$F$5+G562*Prislapp!$G$5+H562*Prislapp!$H$5+I562*Prislapp!$I$5+J562*Prislapp!$J$5+K562*Prislapp!$K$5+L562*Prislapp!$L$5+M562*Prislapp!$M$5+N562*Prislapp!$N$5</f>
        <v>22600</v>
      </c>
      <c r="R562" s="9">
        <f>VLOOKUP(A562,'Ansvar kurs'!$A$2:$B$943,2,FALSE)</f>
        <v>5740</v>
      </c>
      <c r="S562" s="157"/>
    </row>
    <row r="563" spans="1:26" x14ac:dyDescent="0.25">
      <c r="A563" s="222" t="s">
        <v>1295</v>
      </c>
      <c r="B563" t="s">
        <v>1129</v>
      </c>
      <c r="H563" s="31">
        <v>1</v>
      </c>
      <c r="O563" s="40">
        <f>C563*Prislapp!$C$2+D563*Prislapp!$D$2+E563*Prislapp!$E$2+F563*Prislapp!$F$2+G563*Prislapp!$G$2+H563*Prislapp!$H$2+I563*Prislapp!$I$2+J563*Prislapp!$J$2+K563*Prislapp!$K$2+L563*Prislapp!$L$2+M563*Prislapp!$M$2+N563*Prislapp!$N$2</f>
        <v>20757</v>
      </c>
      <c r="P563" s="40">
        <f>C563*Prislapp!$C$3+D563*Prislapp!$D$3+E563*Prislapp!$E$3+F563*Prislapp!$F$3+G563*Prislapp!$G$3+H563*Prislapp!$H$3+I563*Prislapp!$I$3+J563*Prislapp!$J$3+K563*Prislapp!$K$3+M563*Prislapp!$M$3+N563*Prislapp!$N$3+L563*Prislapp!$L$3</f>
        <v>36082</v>
      </c>
      <c r="Q563" s="40">
        <f>C563*Prislapp!$C$5+D563*Prislapp!$D$5+E563*Prislapp!$E$5+F563*Prislapp!$F$5+G563*Prislapp!$G$5+H563*Prislapp!$H$5+I563*Prislapp!$I$5+J563*Prislapp!$J$5+K563*Prislapp!$K$5+L563*Prislapp!$L$5+M563*Prislapp!$M$5+N563*Prislapp!$N$5</f>
        <v>22600</v>
      </c>
      <c r="R563" s="9">
        <f>VLOOKUP(A563,'Ansvar kurs'!$A$2:$B$943,2,FALSE)</f>
        <v>5740</v>
      </c>
      <c r="S563" s="157"/>
    </row>
    <row r="564" spans="1:26" x14ac:dyDescent="0.25">
      <c r="A564" s="222" t="s">
        <v>1296</v>
      </c>
      <c r="B564" t="s">
        <v>1130</v>
      </c>
      <c r="H564" s="31">
        <v>1</v>
      </c>
      <c r="O564" s="40">
        <f>C564*Prislapp!$C$2+D564*Prislapp!$D$2+E564*Prislapp!$E$2+F564*Prislapp!$F$2+G564*Prislapp!$G$2+H564*Prislapp!$H$2+I564*Prislapp!$I$2+J564*Prislapp!$J$2+K564*Prislapp!$K$2+L564*Prislapp!$L$2+M564*Prislapp!$M$2+N564*Prislapp!$N$2</f>
        <v>20757</v>
      </c>
      <c r="P564" s="40">
        <f>C564*Prislapp!$C$3+D564*Prislapp!$D$3+E564*Prislapp!$E$3+F564*Prislapp!$F$3+G564*Prislapp!$G$3+H564*Prislapp!$H$3+I564*Prislapp!$I$3+J564*Prislapp!$J$3+K564*Prislapp!$K$3+M564*Prislapp!$M$3+N564*Prislapp!$N$3+L564*Prislapp!$L$3</f>
        <v>36082</v>
      </c>
      <c r="Q564" s="40">
        <f>C564*Prislapp!$C$5+D564*Prislapp!$D$5+E564*Prislapp!$E$5+F564*Prislapp!$F$5+G564*Prislapp!$G$5+H564*Prislapp!$H$5+I564*Prislapp!$I$5+J564*Prislapp!$J$5+K564*Prislapp!$K$5+L564*Prislapp!$L$5+M564*Prislapp!$M$5+N564*Prislapp!$N$5</f>
        <v>22600</v>
      </c>
      <c r="R564" s="9">
        <f>VLOOKUP(A564,'Ansvar kurs'!$A$2:$B$943,2,FALSE)</f>
        <v>5740</v>
      </c>
      <c r="S564" s="157"/>
    </row>
    <row r="565" spans="1:26" x14ac:dyDescent="0.25">
      <c r="A565" s="222" t="s">
        <v>1297</v>
      </c>
      <c r="B565" t="s">
        <v>1131</v>
      </c>
      <c r="H565" s="31">
        <v>1</v>
      </c>
      <c r="O565" s="40">
        <f>C565*Prislapp!$C$2+D565*Prislapp!$D$2+E565*Prislapp!$E$2+F565*Prislapp!$F$2+G565*Prislapp!$G$2+H565*Prislapp!$H$2+I565*Prislapp!$I$2+J565*Prislapp!$J$2+K565*Prislapp!$K$2+L565*Prislapp!$L$2+M565*Prislapp!$M$2+N565*Prislapp!$N$2</f>
        <v>20757</v>
      </c>
      <c r="P565" s="40">
        <f>C565*Prislapp!$C$3+D565*Prislapp!$D$3+E565*Prislapp!$E$3+F565*Prislapp!$F$3+G565*Prislapp!$G$3+H565*Prislapp!$H$3+I565*Prislapp!$I$3+J565*Prislapp!$J$3+K565*Prislapp!$K$3+M565*Prislapp!$M$3+N565*Prislapp!$N$3+L565*Prislapp!$L$3</f>
        <v>36082</v>
      </c>
      <c r="Q565" s="40">
        <f>C565*Prislapp!$C$5+D565*Prislapp!$D$5+E565*Prislapp!$E$5+F565*Prislapp!$F$5+G565*Prislapp!$G$5+H565*Prislapp!$H$5+I565*Prislapp!$I$5+J565*Prislapp!$J$5+K565*Prislapp!$K$5+L565*Prislapp!$L$5+M565*Prislapp!$M$5+N565*Prislapp!$N$5</f>
        <v>22600</v>
      </c>
      <c r="R565" s="9">
        <f>VLOOKUP(A565,'Ansvar kurs'!$A$2:$B$943,2,FALSE)</f>
        <v>5740</v>
      </c>
      <c r="S565" s="157"/>
    </row>
    <row r="566" spans="1:26" x14ac:dyDescent="0.25">
      <c r="A566" s="222" t="s">
        <v>1298</v>
      </c>
      <c r="B566" t="s">
        <v>1132</v>
      </c>
      <c r="H566" s="31">
        <v>1</v>
      </c>
      <c r="O566" s="40">
        <f>C566*Prislapp!$C$2+D566*Prislapp!$D$2+E566*Prislapp!$E$2+F566*Prislapp!$F$2+G566*Prislapp!$G$2+H566*Prislapp!$H$2+I566*Prislapp!$I$2+J566*Prislapp!$J$2+K566*Prislapp!$K$2+L566*Prislapp!$L$2+M566*Prislapp!$M$2+N566*Prislapp!$N$2</f>
        <v>20757</v>
      </c>
      <c r="P566" s="40">
        <f>C566*Prislapp!$C$3+D566*Prislapp!$D$3+E566*Prislapp!$E$3+F566*Prislapp!$F$3+G566*Prislapp!$G$3+H566*Prislapp!$H$3+I566*Prislapp!$I$3+J566*Prislapp!$J$3+K566*Prislapp!$K$3+M566*Prislapp!$M$3+N566*Prislapp!$N$3+L566*Prislapp!$L$3</f>
        <v>36082</v>
      </c>
      <c r="Q566" s="40">
        <f>C566*Prislapp!$C$5+D566*Prislapp!$D$5+E566*Prislapp!$E$5+F566*Prislapp!$F$5+G566*Prislapp!$G$5+H566*Prislapp!$H$5+I566*Prislapp!$I$5+J566*Prislapp!$J$5+K566*Prislapp!$K$5+L566*Prislapp!$L$5+M566*Prislapp!$M$5+N566*Prislapp!$N$5</f>
        <v>22600</v>
      </c>
      <c r="R566" s="9">
        <f>VLOOKUP(A566,'Ansvar kurs'!$A$2:$B$943,2,FALSE)</f>
        <v>5740</v>
      </c>
      <c r="S566" s="157"/>
    </row>
    <row r="567" spans="1:26" x14ac:dyDescent="0.25">
      <c r="A567" s="222" t="s">
        <v>1299</v>
      </c>
      <c r="B567" t="s">
        <v>1133</v>
      </c>
      <c r="H567" s="31">
        <v>1</v>
      </c>
      <c r="O567" s="40">
        <f>C567*Prislapp!$C$2+D567*Prislapp!$D$2+E567*Prislapp!$E$2+F567*Prislapp!$F$2+G567*Prislapp!$G$2+H567*Prislapp!$H$2+I567*Prislapp!$I$2+J567*Prislapp!$J$2+K567*Prislapp!$K$2+L567*Prislapp!$L$2+M567*Prislapp!$M$2+N567*Prislapp!$N$2</f>
        <v>20757</v>
      </c>
      <c r="P567" s="40">
        <f>C567*Prislapp!$C$3+D567*Prislapp!$D$3+E567*Prislapp!$E$3+F567*Prislapp!$F$3+G567*Prislapp!$G$3+H567*Prislapp!$H$3+I567*Prislapp!$I$3+J567*Prislapp!$J$3+K567*Prislapp!$K$3+M567*Prislapp!$M$3+N567*Prislapp!$N$3+L567*Prislapp!$L$3</f>
        <v>36082</v>
      </c>
      <c r="Q567" s="40">
        <f>C567*Prislapp!$C$5+D567*Prislapp!$D$5+E567*Prislapp!$E$5+F567*Prislapp!$F$5+G567*Prislapp!$G$5+H567*Prislapp!$H$5+I567*Prislapp!$I$5+J567*Prislapp!$J$5+K567*Prislapp!$K$5+L567*Prislapp!$L$5+M567*Prislapp!$M$5+N567*Prislapp!$N$5</f>
        <v>22600</v>
      </c>
      <c r="R567" s="9">
        <f>VLOOKUP(A567,'Ansvar kurs'!$A$2:$B$943,2,FALSE)</f>
        <v>5740</v>
      </c>
      <c r="S567" s="157"/>
    </row>
    <row r="568" spans="1:26" x14ac:dyDescent="0.25">
      <c r="A568" s="221" t="s">
        <v>1080</v>
      </c>
      <c r="B568" s="31" t="s">
        <v>757</v>
      </c>
      <c r="F568" s="31">
        <v>1</v>
      </c>
      <c r="O568" s="40">
        <f>C568*Prislapp!$C$2+D568*Prislapp!$D$2+E568*Prislapp!$E$2+F568*Prislapp!$F$2+G568*Prislapp!$G$2+H568*Prislapp!$H$2+I568*Prislapp!$I$2+J568*Prislapp!$J$2+K568*Prislapp!$K$2+L568*Prislapp!$L$2+M568*Prislapp!$M$2+N568*Prislapp!$N$2</f>
        <v>26554</v>
      </c>
      <c r="P568" s="40">
        <f>C568*Prislapp!$C$3+D568*Prislapp!$D$3+E568*Prislapp!$E$3+F568*Prislapp!$F$3+G568*Prislapp!$G$3+H568*Prislapp!$H$3+I568*Prislapp!$I$3+J568*Prislapp!$J$3+K568*Prislapp!$K$3+M568*Prislapp!$M$3+N568*Prislapp!$N$3+L568*Prislapp!$L$3</f>
        <v>33465</v>
      </c>
      <c r="Q568" s="40">
        <f>C568*Prislapp!$C$5+D568*Prislapp!$D$5+E568*Prislapp!$E$5+F568*Prislapp!$F$5+G568*Prislapp!$G$5+H568*Prislapp!$H$5+I568*Prislapp!$I$5+J568*Prislapp!$J$5+K568*Prislapp!$K$5+L568*Prislapp!$L$5+M568*Prislapp!$M$5+N568*Prislapp!$N$5</f>
        <v>6000</v>
      </c>
      <c r="R568" s="9">
        <f>VLOOKUP(A568,'Ansvar kurs'!$A$2:$B$943,2,FALSE)</f>
        <v>2193</v>
      </c>
      <c r="S568" s="157" t="s">
        <v>1088</v>
      </c>
      <c r="T568" s="157" t="s">
        <v>915</v>
      </c>
    </row>
    <row r="569" spans="1:26" x14ac:dyDescent="0.25">
      <c r="A569" s="221" t="s">
        <v>1083</v>
      </c>
      <c r="B569" s="31" t="s">
        <v>1193</v>
      </c>
      <c r="K569" s="31">
        <v>1</v>
      </c>
      <c r="O569" s="40">
        <f>C569*Prislapp!$C$2+D569*Prislapp!$D$2+E569*Prislapp!$E$2+F569*Prislapp!$F$2+G569*Prislapp!$G$2+H569*Prislapp!$H$2+I569*Prislapp!$I$2+J569*Prislapp!$J$2+K569*Prislapp!$K$2+L569*Prislapp!$L$2+M569*Prislapp!$M$2+N569*Prislapp!$N$2</f>
        <v>25235</v>
      </c>
      <c r="P569" s="40">
        <f>C569*Prislapp!$C$3+D569*Prislapp!$D$3+E569*Prislapp!$E$3+F569*Prislapp!$F$3+G569*Prislapp!$G$3+H569*Prislapp!$H$3+I569*Prislapp!$I$3+J569*Prislapp!$J$3+K569*Prislapp!$K$3+M569*Prislapp!$M$3+N569*Prislapp!$N$3+L569*Prislapp!$L$3</f>
        <v>27976</v>
      </c>
      <c r="Q569" s="40">
        <f>C569*Prislapp!$C$5+D569*Prislapp!$D$5+E569*Prislapp!$E$5+F569*Prislapp!$F$5+G569*Prislapp!$G$5+H569*Prislapp!$H$5+I569*Prislapp!$I$5+J569*Prislapp!$J$5+K569*Prislapp!$K$5+L569*Prislapp!$L$5+M569*Prislapp!$M$5+N569*Prislapp!$N$5</f>
        <v>3600</v>
      </c>
      <c r="R569" s="9">
        <f>VLOOKUP(A569,'Ansvar kurs'!$A$2:$B$943,2,FALSE)</f>
        <v>2180</v>
      </c>
      <c r="S569" s="157" t="s">
        <v>1088</v>
      </c>
      <c r="T569" s="157" t="s">
        <v>915</v>
      </c>
      <c r="U569" s="157"/>
      <c r="V569" s="157"/>
      <c r="W569" s="157"/>
      <c r="X569" s="157"/>
      <c r="Y569" s="157"/>
      <c r="Z569" s="157"/>
    </row>
    <row r="570" spans="1:26" x14ac:dyDescent="0.25">
      <c r="A570" s="221" t="s">
        <v>1081</v>
      </c>
      <c r="B570" s="31" t="s">
        <v>1194</v>
      </c>
      <c r="K570" s="31">
        <v>1</v>
      </c>
      <c r="O570" s="40">
        <f>C570*Prislapp!$C$2+D570*Prislapp!$D$2+E570*Prislapp!$E$2+F570*Prislapp!$F$2+G570*Prislapp!$G$2+H570*Prislapp!$H$2+I570*Prislapp!$I$2+J570*Prislapp!$J$2+K570*Prislapp!$K$2+L570*Prislapp!$L$2+M570*Prislapp!$M$2+N570*Prislapp!$N$2</f>
        <v>25235</v>
      </c>
      <c r="P570" s="40">
        <f>C570*Prislapp!$C$3+D570*Prislapp!$D$3+E570*Prislapp!$E$3+F570*Prislapp!$F$3+G570*Prislapp!$G$3+H570*Prislapp!$H$3+I570*Prislapp!$I$3+J570*Prislapp!$J$3+K570*Prislapp!$K$3+M570*Prislapp!$M$3+N570*Prislapp!$N$3+L570*Prislapp!$L$3</f>
        <v>27976</v>
      </c>
      <c r="Q570" s="40">
        <f>C570*Prislapp!$C$5+D570*Prislapp!$D$5+E570*Prislapp!$E$5+F570*Prislapp!$F$5+G570*Prislapp!$G$5+H570*Prislapp!$H$5+I570*Prislapp!$I$5+J570*Prislapp!$J$5+K570*Prislapp!$K$5+L570*Prislapp!$L$5+M570*Prislapp!$M$5+N570*Prislapp!$N$5</f>
        <v>3600</v>
      </c>
      <c r="R570" s="9">
        <f>VLOOKUP(A570,'Ansvar kurs'!$A$2:$B$943,2,FALSE)</f>
        <v>5740</v>
      </c>
      <c r="S570" s="157" t="s">
        <v>1088</v>
      </c>
      <c r="T570" s="157" t="s">
        <v>915</v>
      </c>
    </row>
    <row r="571" spans="1:26" x14ac:dyDescent="0.25">
      <c r="A571" s="221" t="s">
        <v>1082</v>
      </c>
      <c r="B571" s="31" t="s">
        <v>1190</v>
      </c>
      <c r="F571" s="31">
        <v>1</v>
      </c>
      <c r="O571" s="40">
        <f>C571*Prislapp!$C$2+D571*Prislapp!$D$2+E571*Prislapp!$E$2+F571*Prislapp!$F$2+G571*Prislapp!$G$2+H571*Prislapp!$H$2+I571*Prislapp!$I$2+J571*Prislapp!$J$2+K571*Prislapp!$K$2+L571*Prislapp!$L$2+M571*Prislapp!$M$2+N571*Prislapp!$N$2</f>
        <v>26554</v>
      </c>
      <c r="P571" s="40">
        <f>C571*Prislapp!$C$3+D571*Prislapp!$D$3+E571*Prislapp!$E$3+F571*Prislapp!$F$3+G571*Prislapp!$G$3+H571*Prislapp!$H$3+I571*Prislapp!$I$3+J571*Prislapp!$J$3+K571*Prislapp!$K$3+M571*Prislapp!$M$3+N571*Prislapp!$N$3+L571*Prislapp!$L$3</f>
        <v>33465</v>
      </c>
      <c r="Q571" s="40">
        <f>C571*Prislapp!$C$5+D571*Prislapp!$D$5+E571*Prislapp!$E$5+F571*Prislapp!$F$5+G571*Prislapp!$G$5+H571*Prislapp!$H$5+I571*Prislapp!$I$5+J571*Prislapp!$J$5+K571*Prislapp!$K$5+L571*Prislapp!$L$5+M571*Prislapp!$M$5+N571*Prislapp!$N$5</f>
        <v>6000</v>
      </c>
      <c r="R571" s="9">
        <f>VLOOKUP(A571,'Ansvar kurs'!$A$2:$B$943,2,FALSE)</f>
        <v>5740</v>
      </c>
      <c r="S571" s="157" t="s">
        <v>1088</v>
      </c>
      <c r="T571" s="157" t="s">
        <v>915</v>
      </c>
    </row>
    <row r="572" spans="1:26" x14ac:dyDescent="0.25">
      <c r="A572" s="221" t="s">
        <v>1096</v>
      </c>
      <c r="B572" s="31" t="s">
        <v>1196</v>
      </c>
      <c r="H572" s="31">
        <v>1</v>
      </c>
      <c r="O572" s="40">
        <f>C572*Prislapp!$C$2+D572*Prislapp!$D$2+E572*Prislapp!$E$2+F572*Prislapp!$F$2+G572*Prislapp!$G$2+H572*Prislapp!$H$2+I572*Prislapp!$I$2+J572*Prislapp!$J$2+K572*Prislapp!$K$2+L572*Prislapp!$L$2+M572*Prislapp!$M$2+N572*Prislapp!$N$2</f>
        <v>20757</v>
      </c>
      <c r="P572" s="40">
        <f>C572*Prislapp!$C$3+D572*Prislapp!$D$3+E572*Prislapp!$E$3+F572*Prislapp!$F$3+G572*Prislapp!$G$3+H572*Prislapp!$H$3+I572*Prislapp!$I$3+J572*Prislapp!$J$3+K572*Prislapp!$K$3+M572*Prislapp!$M$3+N572*Prislapp!$N$3+L572*Prislapp!$L$3</f>
        <v>36082</v>
      </c>
      <c r="Q572" s="40">
        <f>C572*Prislapp!$C$5+D572*Prislapp!$D$5+E572*Prislapp!$E$5+F572*Prislapp!$F$5+G572*Prislapp!$G$5+H572*Prislapp!$H$5+I572*Prislapp!$I$5+J572*Prislapp!$J$5+K572*Prislapp!$K$5+L572*Prislapp!$L$5+M572*Prislapp!$M$5+N572*Prislapp!$N$5</f>
        <v>22600</v>
      </c>
      <c r="R572" s="9">
        <f>VLOOKUP(A572,'Ansvar kurs'!$A$2:$B$943,2,FALSE)</f>
        <v>5740</v>
      </c>
      <c r="S572" s="157" t="s">
        <v>1088</v>
      </c>
      <c r="T572" s="157"/>
    </row>
    <row r="573" spans="1:26" x14ac:dyDescent="0.25">
      <c r="A573" s="221" t="s">
        <v>1084</v>
      </c>
      <c r="B573" s="31" t="s">
        <v>1197</v>
      </c>
      <c r="I573" s="31">
        <v>1</v>
      </c>
      <c r="O573" s="40">
        <f>C573*Prislapp!$C$2+D573*Prislapp!$D$2+E573*Prislapp!$E$2+F573*Prislapp!$F$2+G573*Prislapp!$G$2+H573*Prislapp!$H$2+I573*Prislapp!$I$2+J573*Prislapp!$J$2+K573*Prislapp!$K$2+L573*Prislapp!$L$2+M573*Prislapp!$M$2+N573*Prislapp!$N$2</f>
        <v>20766</v>
      </c>
      <c r="P573" s="40">
        <f>C573*Prislapp!$C$3+D573*Prislapp!$D$3+E573*Prislapp!$E$3+F573*Prislapp!$F$3+G573*Prislapp!$G$3+H573*Prislapp!$H$3+I573*Prislapp!$I$3+J573*Prislapp!$J$3+K573*Prislapp!$K$3+M573*Prislapp!$M$3+N573*Prislapp!$N$3+L573*Prislapp!$L$3</f>
        <v>17442</v>
      </c>
      <c r="Q573" s="40">
        <f>C573*Prislapp!$C$5+D573*Prislapp!$D$5+E573*Prislapp!$E$5+F573*Prislapp!$F$5+G573*Prislapp!$G$5+H573*Prislapp!$H$5+I573*Prislapp!$I$5+J573*Prislapp!$J$5+K573*Prislapp!$K$5+L573*Prislapp!$L$5+M573*Prislapp!$M$5+N573*Prislapp!$N$5</f>
        <v>6000</v>
      </c>
      <c r="R573" s="9">
        <f>VLOOKUP(A573,'Ansvar kurs'!$A$2:$B$943,2,FALSE)</f>
        <v>2193</v>
      </c>
      <c r="S573" s="157" t="s">
        <v>1088</v>
      </c>
    </row>
    <row r="574" spans="1:26" x14ac:dyDescent="0.25">
      <c r="A574" s="221" t="s">
        <v>1375</v>
      </c>
      <c r="B574" s="31" t="s">
        <v>1380</v>
      </c>
      <c r="F574" s="31">
        <v>1</v>
      </c>
      <c r="O574" s="40">
        <f>C574*Prislapp!$C$2+D574*Prislapp!$D$2+E574*Prislapp!$E$2+F574*Prislapp!$F$2+G574*Prislapp!$G$2+H574*Prislapp!$H$2+I574*Prislapp!$I$2+J574*Prislapp!$J$2+K574*Prislapp!$K$2+L574*Prislapp!$L$2+M574*Prislapp!$M$2+N574*Prislapp!$N$2</f>
        <v>26554</v>
      </c>
      <c r="P574" s="40">
        <f>C574*Prislapp!$C$3+D574*Prislapp!$D$3+E574*Prislapp!$E$3+F574*Prislapp!$F$3+G574*Prislapp!$G$3+H574*Prislapp!$H$3+I574*Prislapp!$I$3+J574*Prislapp!$J$3+K574*Prislapp!$K$3+M574*Prislapp!$M$3+N574*Prislapp!$N$3+L574*Prislapp!$L$3</f>
        <v>33465</v>
      </c>
      <c r="Q574" s="40">
        <f>C574*Prislapp!$C$5+D574*Prislapp!$D$5+E574*Prislapp!$E$5+F574*Prislapp!$F$5+G574*Prislapp!$G$5+H574*Prislapp!$H$5+I574*Prislapp!$I$5+J574*Prislapp!$J$5+K574*Prislapp!$K$5+L574*Prislapp!$L$5+M574*Prislapp!$M$5+N574*Prislapp!$N$5</f>
        <v>6000</v>
      </c>
      <c r="R574" s="9">
        <f>VLOOKUP(A574,'Ansvar kurs'!$A$2:$B$943,2,FALSE)</f>
        <v>2193</v>
      </c>
      <c r="S574" s="157"/>
    </row>
    <row r="575" spans="1:26" x14ac:dyDescent="0.25">
      <c r="A575" s="221" t="s">
        <v>1376</v>
      </c>
      <c r="B575" s="31" t="s">
        <v>1381</v>
      </c>
      <c r="F575" s="31">
        <v>1</v>
      </c>
      <c r="O575" s="40">
        <f>C575*Prislapp!$C$2+D575*Prislapp!$D$2+E575*Prislapp!$E$2+F575*Prislapp!$F$2+G575*Prislapp!$G$2+H575*Prislapp!$H$2+I575*Prislapp!$I$2+J575*Prislapp!$J$2+K575*Prislapp!$K$2+L575*Prislapp!$L$2+M575*Prislapp!$M$2+N575*Prislapp!$N$2</f>
        <v>26554</v>
      </c>
      <c r="P575" s="40">
        <f>C575*Prislapp!$C$3+D575*Prislapp!$D$3+E575*Prislapp!$E$3+F575*Prislapp!$F$3+G575*Prislapp!$G$3+H575*Prislapp!$H$3+I575*Prislapp!$I$3+J575*Prislapp!$J$3+K575*Prislapp!$K$3+M575*Prislapp!$M$3+N575*Prislapp!$N$3+L575*Prislapp!$L$3</f>
        <v>33465</v>
      </c>
      <c r="Q575" s="40">
        <f>C575*Prislapp!$C$5+D575*Prislapp!$D$5+E575*Prislapp!$E$5+F575*Prislapp!$F$5+G575*Prislapp!$G$5+H575*Prislapp!$H$5+I575*Prislapp!$I$5+J575*Prislapp!$J$5+K575*Prislapp!$K$5+L575*Prislapp!$L$5+M575*Prislapp!$M$5+N575*Prislapp!$N$5</f>
        <v>6000</v>
      </c>
      <c r="R575" s="9">
        <f>VLOOKUP(A575,'Ansvar kurs'!$A$2:$B$943,2,FALSE)</f>
        <v>2193</v>
      </c>
      <c r="S575" s="157"/>
    </row>
    <row r="576" spans="1:26" x14ac:dyDescent="0.25">
      <c r="A576" s="221" t="s">
        <v>1377</v>
      </c>
      <c r="B576" s="31" t="s">
        <v>1382</v>
      </c>
      <c r="F576" s="31">
        <v>1</v>
      </c>
      <c r="O576" s="40">
        <f>C576*Prislapp!$C$2+D576*Prislapp!$D$2+E576*Prislapp!$E$2+F576*Prislapp!$F$2+G576*Prislapp!$G$2+H576*Prislapp!$H$2+I576*Prislapp!$I$2+J576*Prislapp!$J$2+K576*Prislapp!$K$2+L576*Prislapp!$L$2+M576*Prislapp!$M$2+N576*Prislapp!$N$2</f>
        <v>26554</v>
      </c>
      <c r="P576" s="40">
        <f>C576*Prislapp!$C$3+D576*Prislapp!$D$3+E576*Prislapp!$E$3+F576*Prislapp!$F$3+G576*Prislapp!$G$3+H576*Prislapp!$H$3+I576*Prislapp!$I$3+J576*Prislapp!$J$3+K576*Prislapp!$K$3+M576*Prislapp!$M$3+N576*Prislapp!$N$3+L576*Prislapp!$L$3</f>
        <v>33465</v>
      </c>
      <c r="Q576" s="40">
        <f>C576*Prislapp!$C$5+D576*Prislapp!$D$5+E576*Prislapp!$E$5+F576*Prislapp!$F$5+G576*Prislapp!$G$5+H576*Prislapp!$H$5+I576*Prislapp!$I$5+J576*Prislapp!$J$5+K576*Prislapp!$K$5+L576*Prislapp!$L$5+M576*Prislapp!$M$5+N576*Prislapp!$N$5</f>
        <v>6000</v>
      </c>
      <c r="R576" s="9">
        <f>VLOOKUP(A576,'Ansvar kurs'!$A$2:$B$943,2,FALSE)</f>
        <v>2193</v>
      </c>
      <c r="S576" s="157"/>
    </row>
    <row r="577" spans="1:26" x14ac:dyDescent="0.25">
      <c r="A577" s="221" t="s">
        <v>1378</v>
      </c>
      <c r="B577" s="31" t="s">
        <v>1383</v>
      </c>
      <c r="F577" s="31">
        <v>1</v>
      </c>
      <c r="O577" s="40">
        <f>C577*Prislapp!$C$2+D577*Prislapp!$D$2+E577*Prislapp!$E$2+F577*Prislapp!$F$2+G577*Prislapp!$G$2+H577*Prislapp!$H$2+I577*Prislapp!$I$2+J577*Prislapp!$J$2+K577*Prislapp!$K$2+L577*Prislapp!$L$2+M577*Prislapp!$M$2+N577*Prislapp!$N$2</f>
        <v>26554</v>
      </c>
      <c r="P577" s="40">
        <f>C577*Prislapp!$C$3+D577*Prislapp!$D$3+E577*Prislapp!$E$3+F577*Prislapp!$F$3+G577*Prislapp!$G$3+H577*Prislapp!$H$3+I577*Prislapp!$I$3+J577*Prislapp!$J$3+K577*Prislapp!$K$3+M577*Prislapp!$M$3+N577*Prislapp!$N$3+L577*Prislapp!$L$3</f>
        <v>33465</v>
      </c>
      <c r="Q577" s="40">
        <f>C577*Prislapp!$C$5+D577*Prislapp!$D$5+E577*Prislapp!$E$5+F577*Prislapp!$F$5+G577*Prislapp!$G$5+H577*Prislapp!$H$5+I577*Prislapp!$I$5+J577*Prislapp!$J$5+K577*Prislapp!$K$5+L577*Prislapp!$L$5+M577*Prislapp!$M$5+N577*Prislapp!$N$5</f>
        <v>6000</v>
      </c>
      <c r="R577" s="9">
        <f>VLOOKUP(A577,'Ansvar kurs'!$A$2:$B$943,2,FALSE)</f>
        <v>2180</v>
      </c>
      <c r="S577" s="157"/>
    </row>
    <row r="578" spans="1:26" x14ac:dyDescent="0.25">
      <c r="A578" s="221" t="s">
        <v>1379</v>
      </c>
      <c r="B578" s="31" t="s">
        <v>1384</v>
      </c>
      <c r="F578" s="31">
        <v>1</v>
      </c>
      <c r="O578" s="40">
        <f>C578*Prislapp!$C$2+D578*Prislapp!$D$2+E578*Prislapp!$E$2+F578*Prislapp!$F$2+G578*Prislapp!$G$2+H578*Prislapp!$H$2+I578*Prislapp!$I$2+J578*Prislapp!$J$2+K578*Prislapp!$K$2+L578*Prislapp!$L$2+M578*Prislapp!$M$2+N578*Prislapp!$N$2</f>
        <v>26554</v>
      </c>
      <c r="P578" s="40">
        <f>C578*Prislapp!$C$3+D578*Prislapp!$D$3+E578*Prislapp!$E$3+F578*Prislapp!$F$3+G578*Prislapp!$G$3+H578*Prislapp!$H$3+I578*Prislapp!$I$3+J578*Prislapp!$J$3+K578*Prislapp!$K$3+M578*Prislapp!$M$3+N578*Prislapp!$N$3+L578*Prislapp!$L$3</f>
        <v>33465</v>
      </c>
      <c r="Q578" s="40">
        <f>C578*Prislapp!$C$5+D578*Prislapp!$D$5+E578*Prislapp!$E$5+F578*Prislapp!$F$5+G578*Prislapp!$G$5+H578*Prislapp!$H$5+I578*Prislapp!$I$5+J578*Prislapp!$J$5+K578*Prislapp!$K$5+L578*Prislapp!$L$5+M578*Prislapp!$M$5+N578*Prislapp!$N$5</f>
        <v>6000</v>
      </c>
      <c r="R578" s="9">
        <f>VLOOKUP(A578,'Ansvar kurs'!$A$2:$B$943,2,FALSE)</f>
        <v>2180</v>
      </c>
      <c r="S578" s="157"/>
    </row>
    <row r="579" spans="1:26" x14ac:dyDescent="0.25">
      <c r="A579" s="221" t="s">
        <v>1385</v>
      </c>
      <c r="B579" t="s">
        <v>1849</v>
      </c>
      <c r="F579" s="31">
        <v>1</v>
      </c>
      <c r="O579" s="40">
        <f>C579*Prislapp!$C$2+D579*Prislapp!$D$2+E579*Prislapp!$E$2+F579*Prislapp!$F$2+G579*Prislapp!$G$2+H579*Prislapp!$H$2+I579*Prislapp!$I$2+J579*Prislapp!$J$2+K579*Prislapp!$K$2+L579*Prislapp!$L$2+M579*Prislapp!$M$2+N579*Prislapp!$N$2</f>
        <v>26554</v>
      </c>
      <c r="P579" s="40">
        <f>C579*Prislapp!$C$3+D579*Prislapp!$D$3+E579*Prislapp!$E$3+F579*Prislapp!$F$3+G579*Prislapp!$G$3+H579*Prislapp!$H$3+I579*Prislapp!$I$3+J579*Prislapp!$J$3+K579*Prislapp!$K$3+M579*Prislapp!$M$3+N579*Prislapp!$N$3+L579*Prislapp!$L$3</f>
        <v>33465</v>
      </c>
      <c r="Q579" s="40">
        <f>C579*Prislapp!$C$5+D579*Prislapp!$D$5+E579*Prislapp!$E$5+F579*Prislapp!$F$5+G579*Prislapp!$G$5+H579*Prislapp!$H$5+I579*Prislapp!$I$5+J579*Prislapp!$J$5+K579*Prislapp!$K$5+L579*Prislapp!$L$5+M579*Prislapp!$M$5+N579*Prislapp!$N$5</f>
        <v>6000</v>
      </c>
      <c r="R579" s="9">
        <f>VLOOKUP(A579,'Ansvar kurs'!$A$2:$B$943,2,FALSE)</f>
        <v>2180</v>
      </c>
      <c r="S579" s="157"/>
    </row>
    <row r="580" spans="1:26" x14ac:dyDescent="0.25">
      <c r="A580" s="226" t="s">
        <v>1103</v>
      </c>
      <c r="B580" s="31" t="s">
        <v>1065</v>
      </c>
      <c r="H580" s="31">
        <v>1</v>
      </c>
      <c r="O580" s="40">
        <f>C580*Prislapp!$C$2+D580*Prislapp!$D$2+E580*Prislapp!$E$2+F580*Prislapp!$F$2+G580*Prislapp!$G$2+H580*Prislapp!$H$2+I580*Prislapp!$I$2+J580*Prislapp!$J$2+K580*Prislapp!$K$2+L580*Prislapp!$L$2+M580*Prislapp!$M$2+N580*Prislapp!$N$2</f>
        <v>20757</v>
      </c>
      <c r="P580" s="40">
        <f>C580*Prislapp!$C$3+D580*Prislapp!$D$3+E580*Prislapp!$E$3+F580*Prislapp!$F$3+G580*Prislapp!$G$3+H580*Prislapp!$H$3+I580*Prislapp!$I$3+J580*Prislapp!$J$3+K580*Prislapp!$K$3+M580*Prislapp!$M$3+N580*Prislapp!$N$3+L580*Prislapp!$L$3</f>
        <v>36082</v>
      </c>
      <c r="Q580" s="40">
        <f>C580*Prislapp!$C$5+D580*Prislapp!$D$5+E580*Prislapp!$E$5+F580*Prislapp!$F$5+G580*Prislapp!$G$5+H580*Prislapp!$H$5+I580*Prislapp!$I$5+J580*Prislapp!$J$5+K580*Prislapp!$K$5+L580*Prislapp!$L$5+M580*Prislapp!$M$5+N580*Prislapp!$N$5</f>
        <v>22600</v>
      </c>
      <c r="R580" s="9">
        <f>VLOOKUP(A580,'Ansvar kurs'!$A$2:$B$943,2,FALSE)</f>
        <v>5740</v>
      </c>
      <c r="S580" s="157" t="s">
        <v>1260</v>
      </c>
      <c r="U580" s="157"/>
      <c r="V580" s="157"/>
      <c r="W580" s="157"/>
      <c r="X580" s="157"/>
      <c r="Y580" s="157"/>
      <c r="Z580" s="157"/>
    </row>
    <row r="581" spans="1:26" x14ac:dyDescent="0.25">
      <c r="A581" s="57" t="s">
        <v>1122</v>
      </c>
      <c r="B581" s="31" t="s">
        <v>1198</v>
      </c>
      <c r="F581" s="31">
        <v>1</v>
      </c>
      <c r="O581" s="40">
        <f>C581*Prislapp!$C$2+D581*Prislapp!$D$2+E581*Prislapp!$E$2+F581*Prislapp!$F$2+G581*Prislapp!$G$2+H581*Prislapp!$H$2+I581*Prislapp!$I$2+J581*Prislapp!$J$2+K581*Prislapp!$K$2+L581*Prislapp!$L$2+M581*Prislapp!$M$2+N581*Prislapp!$N$2</f>
        <v>26554</v>
      </c>
      <c r="P581" s="40">
        <f>C581*Prislapp!$C$3+D581*Prislapp!$D$3+E581*Prislapp!$E$3+F581*Prislapp!$F$3+G581*Prislapp!$G$3+H581*Prislapp!$H$3+I581*Prislapp!$I$3+J581*Prislapp!$J$3+K581*Prislapp!$K$3+M581*Prislapp!$M$3+N581*Prislapp!$N$3+L581*Prislapp!$L$3</f>
        <v>33465</v>
      </c>
      <c r="Q581" s="40">
        <f>C581*Prislapp!$C$5+D581*Prislapp!$D$5+E581*Prislapp!$E$5+F581*Prislapp!$F$5+G581*Prislapp!$G$5+H581*Prislapp!$H$5+I581*Prislapp!$I$5+J581*Prislapp!$J$5+K581*Prislapp!$K$5+L581*Prislapp!$L$5+M581*Prislapp!$M$5+N581*Prislapp!$N$5</f>
        <v>6000</v>
      </c>
      <c r="R581" s="9">
        <f>VLOOKUP(A581,'Ansvar kurs'!$A$2:$B$943,2,FALSE)</f>
        <v>2193</v>
      </c>
      <c r="S581" s="157" t="s">
        <v>1260</v>
      </c>
      <c r="T581" s="31" t="s">
        <v>1263</v>
      </c>
    </row>
    <row r="582" spans="1:26" x14ac:dyDescent="0.25">
      <c r="A582" s="57" t="s">
        <v>1123</v>
      </c>
      <c r="B582" s="31" t="s">
        <v>1199</v>
      </c>
      <c r="K582" s="31">
        <v>1</v>
      </c>
      <c r="O582" s="40">
        <f>C582*Prislapp!$C$2+D582*Prislapp!$D$2+E582*Prislapp!$E$2+F582*Prislapp!$F$2+G582*Prislapp!$G$2+H582*Prislapp!$H$2+I582*Prislapp!$I$2+J582*Prislapp!$J$2+K582*Prislapp!$K$2+L582*Prislapp!$L$2+M582*Prislapp!$M$2+N582*Prislapp!$N$2</f>
        <v>25235</v>
      </c>
      <c r="P582" s="40">
        <f>C582*Prislapp!$C$3+D582*Prislapp!$D$3+E582*Prislapp!$E$3+F582*Prislapp!$F$3+G582*Prislapp!$G$3+H582*Prislapp!$H$3+I582*Prislapp!$I$3+J582*Prislapp!$J$3+K582*Prislapp!$K$3+M582*Prislapp!$M$3+N582*Prislapp!$N$3+L582*Prislapp!$L$3</f>
        <v>27976</v>
      </c>
      <c r="Q582" s="40">
        <f>C582*Prislapp!$C$5+D582*Prislapp!$D$5+E582*Prislapp!$E$5+F582*Prislapp!$F$5+G582*Prislapp!$G$5+H582*Prislapp!$H$5+I582*Prislapp!$I$5+J582*Prislapp!$J$5+K582*Prislapp!$K$5+L582*Prislapp!$L$5+M582*Prislapp!$M$5+N582*Prislapp!$N$5</f>
        <v>3600</v>
      </c>
      <c r="R582" s="9">
        <f>VLOOKUP(A582,'Ansvar kurs'!$A$2:$B$943,2,FALSE)</f>
        <v>2193</v>
      </c>
      <c r="S582" s="157" t="s">
        <v>1260</v>
      </c>
      <c r="T582" s="31" t="s">
        <v>1264</v>
      </c>
    </row>
    <row r="583" spans="1:26" x14ac:dyDescent="0.25">
      <c r="A583" s="57" t="s">
        <v>1254</v>
      </c>
      <c r="B583" s="31" t="s">
        <v>1257</v>
      </c>
      <c r="F583" s="31">
        <v>1</v>
      </c>
      <c r="O583" s="40">
        <f>C583*Prislapp!$C$2+D583*Prislapp!$D$2+E583*Prislapp!$E$2+F583*Prislapp!$F$2+G583*Prislapp!$G$2+H583*Prislapp!$H$2+I583*Prislapp!$I$2+J583*Prislapp!$J$2+K583*Prislapp!$K$2+L583*Prislapp!$L$2+M583*Prislapp!$M$2+N583*Prislapp!$N$2</f>
        <v>26554</v>
      </c>
      <c r="P583" s="40">
        <f>C583*Prislapp!$C$3+D583*Prislapp!$D$3+E583*Prislapp!$E$3+F583*Prislapp!$F$3+G583*Prislapp!$G$3+H583*Prislapp!$H$3+I583*Prislapp!$I$3+J583*Prislapp!$J$3+K583*Prislapp!$K$3+M583*Prislapp!$M$3+N583*Prislapp!$N$3+L583*Prislapp!$L$3</f>
        <v>33465</v>
      </c>
      <c r="Q583" s="40">
        <f>C583*Prislapp!$C$5+D583*Prislapp!$D$5+E583*Prislapp!$E$5+F583*Prislapp!$F$5+G583*Prislapp!$G$5+H583*Prislapp!$H$5+I583*Prislapp!$I$5+J583*Prislapp!$J$5+K583*Prislapp!$K$5+L583*Prislapp!$L$5+M583*Prislapp!$M$5+N583*Prislapp!$N$5</f>
        <v>6000</v>
      </c>
      <c r="R583" s="9">
        <f>VLOOKUP(A583,'Ansvar kurs'!$A$2:$B$943,2,FALSE)</f>
        <v>2180</v>
      </c>
      <c r="S583" s="31" t="s">
        <v>1108</v>
      </c>
      <c r="T583" s="31" t="s">
        <v>1109</v>
      </c>
    </row>
    <row r="584" spans="1:26" x14ac:dyDescent="0.25">
      <c r="A584" s="57" t="s">
        <v>1255</v>
      </c>
      <c r="B584" s="31" t="s">
        <v>1258</v>
      </c>
      <c r="K584" s="31">
        <v>1</v>
      </c>
      <c r="O584" s="40">
        <f>C584*Prislapp!$C$2+D584*Prislapp!$D$2+E584*Prislapp!$E$2+F584*Prislapp!$F$2+G584*Prislapp!$G$2+H584*Prislapp!$H$2+I584*Prislapp!$I$2+J584*Prislapp!$J$2+K584*Prislapp!$K$2+L584*Prislapp!$L$2+M584*Prislapp!$M$2+N584*Prislapp!$N$2</f>
        <v>25235</v>
      </c>
      <c r="P584" s="40">
        <f>C584*Prislapp!$C$3+D584*Prislapp!$D$3+E584*Prislapp!$E$3+F584*Prislapp!$F$3+G584*Prislapp!$G$3+H584*Prislapp!$H$3+I584*Prislapp!$I$3+J584*Prislapp!$J$3+K584*Prislapp!$K$3+M584*Prislapp!$M$3+N584*Prislapp!$N$3+L584*Prislapp!$L$3</f>
        <v>27976</v>
      </c>
      <c r="Q584" s="40">
        <f>C584*Prislapp!$C$5+D584*Prislapp!$D$5+E584*Prislapp!$E$5+F584*Prislapp!$F$5+G584*Prislapp!$G$5+H584*Prislapp!$H$5+I584*Prislapp!$I$5+J584*Prislapp!$J$5+K584*Prislapp!$K$5+L584*Prislapp!$L$5+M584*Prislapp!$M$5+N584*Prislapp!$N$5</f>
        <v>3600</v>
      </c>
      <c r="R584" s="9">
        <f>VLOOKUP(A584,'Ansvar kurs'!$A$2:$B$943,2,FALSE)</f>
        <v>2180</v>
      </c>
      <c r="S584" s="31" t="s">
        <v>770</v>
      </c>
      <c r="T584" s="31" t="s">
        <v>1109</v>
      </c>
    </row>
    <row r="585" spans="1:26" x14ac:dyDescent="0.25">
      <c r="A585" s="57" t="s">
        <v>1252</v>
      </c>
      <c r="B585" s="31" t="s">
        <v>1256</v>
      </c>
      <c r="F585" s="31">
        <v>1</v>
      </c>
      <c r="O585" s="40">
        <f>C585*Prislapp!$C$2+D585*Prislapp!$D$2+E585*Prislapp!$E$2+F585*Prislapp!$F$2+G585*Prislapp!$G$2+H585*Prislapp!$H$2+I585*Prislapp!$I$2+J585*Prislapp!$J$2+K585*Prislapp!$K$2+L585*Prislapp!$L$2+M585*Prislapp!$M$2+N585*Prislapp!$N$2</f>
        <v>26554</v>
      </c>
      <c r="P585" s="40">
        <f>C585*Prislapp!$C$3+D585*Prislapp!$D$3+E585*Prislapp!$E$3+F585*Prislapp!$F$3+G585*Prislapp!$G$3+H585*Prislapp!$H$3+I585*Prislapp!$I$3+J585*Prislapp!$J$3+K585*Prislapp!$K$3+M585*Prislapp!$M$3+N585*Prislapp!$N$3+L585*Prislapp!$L$3</f>
        <v>33465</v>
      </c>
      <c r="Q585" s="40">
        <f>C585*Prislapp!$C$5+D585*Prislapp!$D$5+E585*Prislapp!$E$5+F585*Prislapp!$F$5+G585*Prislapp!$G$5+H585*Prislapp!$H$5+I585*Prislapp!$I$5+J585*Prislapp!$J$5+K585*Prislapp!$K$5+L585*Prislapp!$L$5+M585*Prislapp!$M$5+N585*Prislapp!$N$5</f>
        <v>6000</v>
      </c>
      <c r="R585" s="9">
        <f>VLOOKUP(A585,'Ansvar kurs'!$A$2:$B$943,2,FALSE)</f>
        <v>2180</v>
      </c>
      <c r="S585" s="31" t="s">
        <v>1108</v>
      </c>
    </row>
    <row r="586" spans="1:26" x14ac:dyDescent="0.25">
      <c r="A586" s="57" t="s">
        <v>1253</v>
      </c>
      <c r="B586" s="31" t="s">
        <v>1259</v>
      </c>
      <c r="K586" s="31">
        <v>1</v>
      </c>
      <c r="O586" s="40">
        <f>C586*Prislapp!$C$2+D586*Prislapp!$D$2+E586*Prislapp!$E$2+F586*Prislapp!$F$2+G586*Prislapp!$G$2+H586*Prislapp!$H$2+I586*Prislapp!$I$2+J586*Prislapp!$J$2+K586*Prislapp!$K$2+L586*Prislapp!$L$2+M586*Prislapp!$M$2+N586*Prislapp!$N$2</f>
        <v>25235</v>
      </c>
      <c r="P586" s="40">
        <f>C586*Prislapp!$C$3+D586*Prislapp!$D$3+E586*Prislapp!$E$3+F586*Prislapp!$F$3+G586*Prislapp!$G$3+H586*Prislapp!$H$3+I586*Prislapp!$I$3+J586*Prislapp!$J$3+K586*Prislapp!$K$3+M586*Prislapp!$M$3+N586*Prislapp!$N$3+L586*Prislapp!$L$3</f>
        <v>27976</v>
      </c>
      <c r="Q586" s="40">
        <f>C586*Prislapp!$C$5+D586*Prislapp!$D$5+E586*Prislapp!$E$5+F586*Prislapp!$F$5+G586*Prislapp!$G$5+H586*Prislapp!$H$5+I586*Prislapp!$I$5+J586*Prislapp!$J$5+K586*Prislapp!$K$5+L586*Prislapp!$L$5+M586*Prislapp!$M$5+N586*Prislapp!$N$5</f>
        <v>3600</v>
      </c>
      <c r="R586" s="9">
        <f>VLOOKUP(A586,'Ansvar kurs'!$A$2:$B$943,2,FALSE)</f>
        <v>5740</v>
      </c>
      <c r="S586" s="157" t="s">
        <v>1260</v>
      </c>
      <c r="T586" s="31" t="s">
        <v>1265</v>
      </c>
    </row>
    <row r="587" spans="1:26" x14ac:dyDescent="0.25">
      <c r="A587" s="57" t="s">
        <v>1300</v>
      </c>
      <c r="B587" t="s">
        <v>1301</v>
      </c>
      <c r="I587" s="31">
        <v>1</v>
      </c>
      <c r="O587" s="40">
        <f>C587*Prislapp!$C$2+D587*Prislapp!$D$2+E587*Prislapp!$E$2+F587*Prislapp!$F$2+G587*Prislapp!$G$2+H587*Prislapp!$H$2+I587*Prislapp!$I$2+J587*Prislapp!$J$2+K587*Prislapp!$K$2+L587*Prislapp!$L$2+M587*Prislapp!$M$2+N587*Prislapp!$N$2</f>
        <v>20766</v>
      </c>
      <c r="P587" s="40">
        <f>C587*Prislapp!$C$3+D587*Prislapp!$D$3+E587*Prislapp!$E$3+F587*Prislapp!$F$3+G587*Prislapp!$G$3+H587*Prislapp!$H$3+I587*Prislapp!$I$3+J587*Prislapp!$J$3+K587*Prislapp!$K$3+M587*Prislapp!$M$3+N587*Prislapp!$N$3+L587*Prislapp!$L$3</f>
        <v>17442</v>
      </c>
      <c r="Q587" s="40">
        <f>C587*Prislapp!$C$5+D587*Prislapp!$D$5+E587*Prislapp!$E$5+F587*Prislapp!$F$5+G587*Prislapp!$G$5+H587*Prislapp!$H$5+I587*Prislapp!$I$5+J587*Prislapp!$J$5+K587*Prislapp!$K$5+L587*Prislapp!$L$5+M587*Prislapp!$M$5+N587*Prislapp!$N$5</f>
        <v>6000</v>
      </c>
      <c r="R587" s="9">
        <f>VLOOKUP(A587,'Ansvar kurs'!$A$2:$B$943,2,FALSE)</f>
        <v>2193</v>
      </c>
      <c r="S587" s="157"/>
    </row>
    <row r="588" spans="1:26" x14ac:dyDescent="0.25">
      <c r="A588" s="57" t="s">
        <v>1302</v>
      </c>
      <c r="B588" t="s">
        <v>1314</v>
      </c>
      <c r="I588" s="31">
        <v>1</v>
      </c>
      <c r="O588" s="40">
        <f>C588*Prislapp!$C$2+D588*Prislapp!$D$2+E588*Prislapp!$E$2+F588*Prislapp!$F$2+G588*Prislapp!$G$2+H588*Prislapp!$H$2+I588*Prislapp!$I$2+J588*Prislapp!$J$2+K588*Prislapp!$K$2+L588*Prislapp!$L$2+M588*Prislapp!$M$2+N588*Prislapp!$N$2</f>
        <v>20766</v>
      </c>
      <c r="P588" s="40">
        <f>C588*Prislapp!$C$3+D588*Prislapp!$D$3+E588*Prislapp!$E$3+F588*Prislapp!$F$3+G588*Prislapp!$G$3+H588*Prislapp!$H$3+I588*Prislapp!$I$3+J588*Prislapp!$J$3+K588*Prislapp!$K$3+M588*Prislapp!$M$3+N588*Prislapp!$N$3+L588*Prislapp!$L$3</f>
        <v>17442</v>
      </c>
      <c r="Q588" s="40">
        <f>C588*Prislapp!$C$5+D588*Prislapp!$D$5+E588*Prislapp!$E$5+F588*Prislapp!$F$5+G588*Prislapp!$G$5+H588*Prislapp!$H$5+I588*Prislapp!$I$5+J588*Prislapp!$J$5+K588*Prislapp!$K$5+L588*Prislapp!$L$5+M588*Prislapp!$M$5+N588*Prislapp!$N$5</f>
        <v>6000</v>
      </c>
      <c r="R588" s="9">
        <f>VLOOKUP(A588,'Ansvar kurs'!$A$2:$B$943,2,FALSE)</f>
        <v>2193</v>
      </c>
      <c r="S588" s="157"/>
    </row>
    <row r="589" spans="1:26" x14ac:dyDescent="0.25">
      <c r="A589" s="57" t="s">
        <v>1334</v>
      </c>
      <c r="B589" s="37" t="s">
        <v>720</v>
      </c>
      <c r="I589" s="31">
        <v>0.2</v>
      </c>
      <c r="K589" s="31">
        <v>0.8</v>
      </c>
      <c r="O589" s="40">
        <f>C589*Prislapp!$C$2+D589*Prislapp!$D$2+E589*Prislapp!$E$2+F589*Prislapp!$F$2+G589*Prislapp!$G$2+H589*Prislapp!$H$2+I589*Prislapp!$I$2+J589*Prislapp!$J$2+K589*Prislapp!$K$2+L589*Prislapp!$L$2+M589*Prislapp!$M$2+N589*Prislapp!$N$2</f>
        <v>24341.200000000001</v>
      </c>
      <c r="P589" s="40">
        <f>C589*Prislapp!$C$3+D589*Prislapp!$D$3+E589*Prislapp!$E$3+F589*Prislapp!$F$3+G589*Prislapp!$G$3+H589*Prislapp!$H$3+I589*Prislapp!$I$3+J589*Prislapp!$J$3+K589*Prislapp!$K$3+M589*Prislapp!$M$3+N589*Prislapp!$N$3+L589*Prislapp!$L$3</f>
        <v>25869.200000000004</v>
      </c>
      <c r="Q589" s="40">
        <f>C589*Prislapp!$C$5+D589*Prislapp!$D$5+E589*Prislapp!$E$5+F589*Prislapp!$F$5+G589*Prislapp!$G$5+H589*Prislapp!$H$5+I589*Prislapp!$I$5+J589*Prislapp!$J$5+K589*Prislapp!$K$5+L589*Prislapp!$L$5+M589*Prislapp!$M$5+N589*Prislapp!$N$5</f>
        <v>4080</v>
      </c>
      <c r="R589" s="9">
        <f>VLOOKUP(A589,'Ansvar kurs'!$A$2:$B$943,2,FALSE)</f>
        <v>2180</v>
      </c>
      <c r="S589" s="176" t="s">
        <v>1341</v>
      </c>
      <c r="T589" s="57"/>
    </row>
    <row r="590" spans="1:26" x14ac:dyDescent="0.25">
      <c r="A590" s="57" t="s">
        <v>1336</v>
      </c>
      <c r="B590" s="37" t="s">
        <v>1338</v>
      </c>
      <c r="I590" s="31">
        <v>1</v>
      </c>
      <c r="O590" s="40">
        <f>C590*Prislapp!$C$2+D590*Prislapp!$D$2+E590*Prislapp!$E$2+F590*Prislapp!$F$2+G590*Prislapp!$G$2+H590*Prislapp!$H$2+I590*Prislapp!$I$2+J590*Prislapp!$J$2+K590*Prislapp!$K$2+L590*Prislapp!$L$2+M590*Prislapp!$M$2+N590*Prislapp!$N$2</f>
        <v>20766</v>
      </c>
      <c r="P590" s="40">
        <f>C590*Prislapp!$C$3+D590*Prislapp!$D$3+E590*Prislapp!$E$3+F590*Prislapp!$F$3+G590*Prislapp!$G$3+H590*Prislapp!$H$3+I590*Prislapp!$I$3+J590*Prislapp!$J$3+K590*Prislapp!$K$3+M590*Prislapp!$M$3+N590*Prislapp!$N$3+L590*Prislapp!$L$3</f>
        <v>17442</v>
      </c>
      <c r="Q590" s="40">
        <f>C590*Prislapp!$C$5+D590*Prislapp!$D$5+E590*Prislapp!$E$5+F590*Prislapp!$F$5+G590*Prislapp!$G$5+H590*Prislapp!$H$5+I590*Prislapp!$I$5+J590*Prislapp!$J$5+K590*Prislapp!$K$5+L590*Prislapp!$L$5+M590*Prislapp!$M$5+N590*Prislapp!$N$5</f>
        <v>6000</v>
      </c>
      <c r="R590" s="9">
        <f>VLOOKUP(A590,'Ansvar kurs'!$A$2:$B$943,2,FALSE)</f>
        <v>2180</v>
      </c>
      <c r="S590" s="176" t="s">
        <v>1341</v>
      </c>
    </row>
    <row r="591" spans="1:26" x14ac:dyDescent="0.25">
      <c r="A591" s="57" t="s">
        <v>1335</v>
      </c>
      <c r="B591" s="37" t="s">
        <v>1339</v>
      </c>
      <c r="I591" s="31">
        <v>1</v>
      </c>
      <c r="O591" s="40">
        <f>C591*Prislapp!$C$2+D591*Prislapp!$D$2+E591*Prislapp!$E$2+F591*Prislapp!$F$2+G591*Prislapp!$G$2+H591*Prislapp!$H$2+I591*Prislapp!$I$2+J591*Prislapp!$J$2+K591*Prislapp!$K$2+L591*Prislapp!$L$2+M591*Prislapp!$M$2+N591*Prislapp!$N$2</f>
        <v>20766</v>
      </c>
      <c r="P591" s="40">
        <f>C591*Prislapp!$C$3+D591*Prislapp!$D$3+E591*Prislapp!$E$3+F591*Prislapp!$F$3+G591*Prislapp!$G$3+H591*Prislapp!$H$3+I591*Prislapp!$I$3+J591*Prislapp!$J$3+K591*Prislapp!$K$3+M591*Prislapp!$M$3+N591*Prislapp!$N$3+L591*Prislapp!$L$3</f>
        <v>17442</v>
      </c>
      <c r="Q591" s="40">
        <f>C591*Prislapp!$C$5+D591*Prislapp!$D$5+E591*Prislapp!$E$5+F591*Prislapp!$F$5+G591*Prislapp!$G$5+H591*Prislapp!$H$5+I591*Prislapp!$I$5+J591*Prislapp!$J$5+K591*Prislapp!$K$5+L591*Prislapp!$L$5+M591*Prislapp!$M$5+N591*Prislapp!$N$5</f>
        <v>6000</v>
      </c>
      <c r="R591" s="9">
        <f>VLOOKUP(A591,'Ansvar kurs'!$A$2:$B$943,2,FALSE)</f>
        <v>2180</v>
      </c>
      <c r="S591" s="176" t="s">
        <v>1341</v>
      </c>
    </row>
    <row r="592" spans="1:26" x14ac:dyDescent="0.25">
      <c r="A592" s="57" t="s">
        <v>1337</v>
      </c>
      <c r="B592" s="37" t="s">
        <v>1340</v>
      </c>
      <c r="I592" s="31">
        <v>1</v>
      </c>
      <c r="O592" s="40">
        <f>C592*Prislapp!$C$2+D592*Prislapp!$D$2+E592*Prislapp!$E$2+F592*Prislapp!$F$2+G592*Prislapp!$G$2+H592*Prislapp!$H$2+I592*Prislapp!$I$2+J592*Prislapp!$J$2+K592*Prislapp!$K$2+L592*Prislapp!$L$2+M592*Prislapp!$M$2+N592*Prislapp!$N$2</f>
        <v>20766</v>
      </c>
      <c r="P592" s="40">
        <f>C592*Prislapp!$C$3+D592*Prislapp!$D$3+E592*Prislapp!$E$3+F592*Prislapp!$F$3+G592*Prislapp!$G$3+H592*Prislapp!$H$3+I592*Prislapp!$I$3+J592*Prislapp!$J$3+K592*Prislapp!$K$3+M592*Prislapp!$M$3+N592*Prislapp!$N$3+L592*Prislapp!$L$3</f>
        <v>17442</v>
      </c>
      <c r="Q592" s="40">
        <f>C592*Prislapp!$C$5+D592*Prislapp!$D$5+E592*Prislapp!$E$5+F592*Prislapp!$F$5+G592*Prislapp!$G$5+H592*Prislapp!$H$5+I592*Prislapp!$I$5+J592*Prislapp!$J$5+K592*Prislapp!$K$5+L592*Prislapp!$L$5+M592*Prislapp!$M$5+N592*Prislapp!$N$5</f>
        <v>6000</v>
      </c>
      <c r="R592" s="9">
        <f>VLOOKUP(A592,'Ansvar kurs'!$A$2:$B$943,2,FALSE)</f>
        <v>2180</v>
      </c>
      <c r="S592" s="176" t="s">
        <v>1341</v>
      </c>
    </row>
    <row r="593" spans="1:26" x14ac:dyDescent="0.25">
      <c r="A593" s="57" t="s">
        <v>1503</v>
      </c>
      <c r="B593" s="37" t="s">
        <v>1518</v>
      </c>
      <c r="H593" s="31">
        <v>1</v>
      </c>
      <c r="O593" s="40">
        <f>C593*Prislapp!$C$2+D593*Prislapp!$D$2+E593*Prislapp!$E$2+F593*Prislapp!$F$2+G593*Prislapp!$G$2+H593*Prislapp!$H$2+I593*Prislapp!$I$2+J593*Prislapp!$J$2+K593*Prislapp!$K$2+L593*Prislapp!$L$2+M593*Prislapp!$M$2+N593*Prislapp!$N$2</f>
        <v>20757</v>
      </c>
      <c r="P593" s="40">
        <f>C593*Prislapp!$C$3+D593*Prislapp!$D$3+E593*Prislapp!$E$3+F593*Prislapp!$F$3+G593*Prislapp!$G$3+H593*Prislapp!$H$3+I593*Prislapp!$I$3+J593*Prislapp!$J$3+K593*Prislapp!$K$3+M593*Prislapp!$M$3+N593*Prislapp!$N$3+L593*Prislapp!$L$3</f>
        <v>36082</v>
      </c>
      <c r="Q593" s="40">
        <f>C593*Prislapp!$C$5+D593*Prislapp!$D$5+E593*Prislapp!$E$5+F593*Prislapp!$F$5+G593*Prislapp!$G$5+H593*Prislapp!$H$5+I593*Prislapp!$I$5+J593*Prislapp!$J$5+K593*Prislapp!$K$5+L593*Prislapp!$L$5+M593*Prislapp!$M$5+N593*Prislapp!$N$5</f>
        <v>22600</v>
      </c>
      <c r="R593" s="9">
        <f>VLOOKUP(A593,'Ansvar kurs'!$A$2:$B$943,2,FALSE)</f>
        <v>5740</v>
      </c>
      <c r="S593" s="176"/>
    </row>
    <row r="594" spans="1:26" x14ac:dyDescent="0.25">
      <c r="A594" s="57" t="s">
        <v>1504</v>
      </c>
      <c r="B594" s="37" t="s">
        <v>1519</v>
      </c>
      <c r="H594" s="31">
        <v>1</v>
      </c>
      <c r="O594" s="40">
        <f>C594*Prislapp!$C$2+D594*Prislapp!$D$2+E594*Prislapp!$E$2+F594*Prislapp!$F$2+G594*Prislapp!$G$2+H594*Prislapp!$H$2+I594*Prislapp!$I$2+J594*Prislapp!$J$2+K594*Prislapp!$K$2+L594*Prislapp!$L$2+M594*Prislapp!$M$2+N594*Prislapp!$N$2</f>
        <v>20757</v>
      </c>
      <c r="P594" s="40">
        <f>C594*Prislapp!$C$3+D594*Prislapp!$D$3+E594*Prislapp!$E$3+F594*Prislapp!$F$3+G594*Prislapp!$G$3+H594*Prislapp!$H$3+I594*Prislapp!$I$3+J594*Prislapp!$J$3+K594*Prislapp!$K$3+M594*Prislapp!$M$3+N594*Prislapp!$N$3+L594*Prislapp!$L$3</f>
        <v>36082</v>
      </c>
      <c r="Q594" s="40">
        <f>C594*Prislapp!$C$5+D594*Prislapp!$D$5+E594*Prislapp!$E$5+F594*Prislapp!$F$5+G594*Prislapp!$G$5+H594*Prislapp!$H$5+I594*Prislapp!$I$5+J594*Prislapp!$J$5+K594*Prislapp!$K$5+L594*Prislapp!$L$5+M594*Prislapp!$M$5+N594*Prislapp!$N$5</f>
        <v>22600</v>
      </c>
      <c r="R594" s="9">
        <f>VLOOKUP(A594,'Ansvar kurs'!$A$2:$B$943,2,FALSE)</f>
        <v>5740</v>
      </c>
      <c r="S594" s="176"/>
    </row>
    <row r="595" spans="1:26" ht="30" customHeight="1" x14ac:dyDescent="0.25">
      <c r="A595" s="57" t="s">
        <v>1505</v>
      </c>
      <c r="B595" s="260" t="s">
        <v>1520</v>
      </c>
      <c r="H595" s="31">
        <v>1</v>
      </c>
      <c r="O595" s="40">
        <f>C595*Prislapp!$C$2+D595*Prislapp!$D$2+E595*Prislapp!$E$2+F595*Prislapp!$F$2+G595*Prislapp!$G$2+H595*Prislapp!$H$2+I595*Prislapp!$I$2+J595*Prislapp!$J$2+K595*Prislapp!$K$2+L595*Prislapp!$L$2+M595*Prislapp!$M$2+N595*Prislapp!$N$2</f>
        <v>20757</v>
      </c>
      <c r="P595" s="40">
        <f>C595*Prislapp!$C$3+D595*Prislapp!$D$3+E595*Prislapp!$E$3+F595*Prislapp!$F$3+G595*Prislapp!$G$3+H595*Prislapp!$H$3+I595*Prislapp!$I$3+J595*Prislapp!$J$3+K595*Prislapp!$K$3+M595*Prislapp!$M$3+N595*Prislapp!$N$3+L595*Prislapp!$L$3</f>
        <v>36082</v>
      </c>
      <c r="Q595" s="40">
        <f>C595*Prislapp!$C$5+D595*Prislapp!$D$5+E595*Prislapp!$E$5+F595*Prislapp!$F$5+G595*Prislapp!$G$5+H595*Prislapp!$H$5+I595*Prislapp!$I$5+J595*Prislapp!$J$5+K595*Prislapp!$K$5+L595*Prislapp!$L$5+M595*Prislapp!$M$5+N595*Prislapp!$N$5</f>
        <v>22600</v>
      </c>
      <c r="R595" s="9">
        <f>VLOOKUP(A595,'Ansvar kurs'!$A$2:$B$943,2,FALSE)</f>
        <v>5740</v>
      </c>
      <c r="S595" s="176"/>
    </row>
    <row r="596" spans="1:26" x14ac:dyDescent="0.25">
      <c r="A596" s="57" t="s">
        <v>1403</v>
      </c>
      <c r="B596" s="31" t="s">
        <v>1404</v>
      </c>
      <c r="K596" s="31">
        <v>1</v>
      </c>
      <c r="O596" s="40">
        <f>C596*Prislapp!$C$2+D596*Prislapp!$D$2+E596*Prislapp!$E$2+F596*Prislapp!$F$2+G596*Prislapp!$G$2+H596*Prislapp!$H$2+I596*Prislapp!$I$2+J596*Prislapp!$J$2+K596*Prislapp!$K$2+L596*Prislapp!$L$2+M596*Prislapp!$M$2+N596*Prislapp!$N$2</f>
        <v>25235</v>
      </c>
      <c r="P596" s="40">
        <f>C596*Prislapp!$C$3+D596*Prislapp!$D$3+E596*Prislapp!$E$3+F596*Prislapp!$F$3+G596*Prislapp!$G$3+H596*Prislapp!$H$3+I596*Prislapp!$I$3+J596*Prislapp!$J$3+K596*Prislapp!$K$3+M596*Prislapp!$M$3+N596*Prislapp!$N$3+L596*Prislapp!$L$3</f>
        <v>27976</v>
      </c>
      <c r="Q596" s="40">
        <f>C596*Prislapp!$C$5+D596*Prislapp!$D$5+E596*Prislapp!$E$5+F596*Prislapp!$F$5+G596*Prislapp!$G$5+H596*Prislapp!$H$5+I596*Prislapp!$I$5+J596*Prislapp!$J$5+K596*Prislapp!$K$5+L596*Prislapp!$L$5+M596*Prislapp!$M$5+N596*Prislapp!$N$5</f>
        <v>3600</v>
      </c>
      <c r="R596" s="9">
        <f>VLOOKUP(A596,'Ansvar kurs'!$A$2:$B$943,2,FALSE)</f>
        <v>2180</v>
      </c>
      <c r="S596" s="176" t="s">
        <v>1405</v>
      </c>
      <c r="T596" s="31" t="s">
        <v>1406</v>
      </c>
    </row>
    <row r="597" spans="1:26" x14ac:dyDescent="0.25">
      <c r="A597" s="60" t="s">
        <v>1407</v>
      </c>
      <c r="B597" s="31" t="s">
        <v>1387</v>
      </c>
      <c r="I597" s="31">
        <v>1</v>
      </c>
      <c r="O597" s="40">
        <f>C597*Prislapp!$C$2+D597*Prislapp!$D$2+E597*Prislapp!$E$2+F597*Prislapp!$F$2+G597*Prislapp!$G$2+H597*Prislapp!$H$2+I597*Prislapp!$I$2+J597*Prislapp!$J$2+K597*Prislapp!$K$2+L597*Prislapp!$L$2+M597*Prislapp!$M$2+N597*Prislapp!$N$2</f>
        <v>20766</v>
      </c>
      <c r="P597" s="40">
        <f>C597*Prislapp!$C$3+D597*Prislapp!$D$3+E597*Prislapp!$E$3+F597*Prislapp!$F$3+G597*Prislapp!$G$3+H597*Prislapp!$H$3+I597*Prislapp!$I$3+J597*Prislapp!$J$3+K597*Prislapp!$K$3+M597*Prislapp!$M$3+N597*Prislapp!$N$3+L597*Prislapp!$L$3</f>
        <v>17442</v>
      </c>
      <c r="Q597" s="40">
        <f>C597*Prislapp!$C$5+D597*Prislapp!$D$5+E597*Prislapp!$E$5+F597*Prislapp!$F$5+G597*Prislapp!$G$5+H597*Prislapp!$H$5+I597*Prislapp!$I$5+J597*Prislapp!$J$5+K597*Prislapp!$K$5+L597*Prislapp!$L$5+M597*Prislapp!$M$5+N597*Prislapp!$N$5</f>
        <v>6000</v>
      </c>
      <c r="R597" s="9">
        <f>VLOOKUP(A597,'Ansvar kurs'!$A$2:$B$943,2,FALSE)</f>
        <v>2193</v>
      </c>
    </row>
    <row r="598" spans="1:26" x14ac:dyDescent="0.25">
      <c r="A598" s="60" t="s">
        <v>1408</v>
      </c>
      <c r="B598" s="31" t="s">
        <v>1388</v>
      </c>
      <c r="I598" s="31">
        <v>1</v>
      </c>
      <c r="O598" s="40">
        <f>C598*Prislapp!$C$2+D598*Prislapp!$D$2+E598*Prislapp!$E$2+F598*Prislapp!$F$2+G598*Prislapp!$G$2+H598*Prislapp!$H$2+I598*Prislapp!$I$2+J598*Prislapp!$J$2+K598*Prislapp!$K$2+L598*Prislapp!$L$2+M598*Prislapp!$M$2+N598*Prislapp!$N$2</f>
        <v>20766</v>
      </c>
      <c r="P598" s="40">
        <f>C598*Prislapp!$C$3+D598*Prislapp!$D$3+E598*Prislapp!$E$3+F598*Prislapp!$F$3+G598*Prislapp!$G$3+H598*Prislapp!$H$3+I598*Prislapp!$I$3+J598*Prislapp!$J$3+K598*Prislapp!$K$3+M598*Prislapp!$M$3+N598*Prislapp!$N$3+L598*Prislapp!$L$3</f>
        <v>17442</v>
      </c>
      <c r="Q598" s="40">
        <f>C598*Prislapp!$C$5+D598*Prislapp!$D$5+E598*Prislapp!$E$5+F598*Prislapp!$F$5+G598*Prislapp!$G$5+H598*Prislapp!$H$5+I598*Prislapp!$I$5+J598*Prislapp!$J$5+K598*Prislapp!$K$5+L598*Prislapp!$L$5+M598*Prislapp!$M$5+N598*Prislapp!$N$5</f>
        <v>6000</v>
      </c>
      <c r="R598" s="9">
        <f>VLOOKUP(A598,'Ansvar kurs'!$A$2:$B$943,2,FALSE)</f>
        <v>2193</v>
      </c>
    </row>
    <row r="599" spans="1:26" x14ac:dyDescent="0.25">
      <c r="A599" s="31" t="s">
        <v>1409</v>
      </c>
      <c r="B599" s="31" t="s">
        <v>1410</v>
      </c>
      <c r="H599" s="31">
        <v>1</v>
      </c>
      <c r="O599" s="40">
        <f>C599*Prislapp!$C$2+D599*Prislapp!$D$2+E599*Prislapp!$E$2+F599*Prislapp!$F$2+G599*Prislapp!$G$2+H599*Prislapp!$H$2+I599*Prislapp!$I$2+J599*Prislapp!$J$2+K599*Prislapp!$K$2+L599*Prislapp!$L$2+M599*Prislapp!$M$2+N599*Prislapp!$N$2</f>
        <v>20757</v>
      </c>
      <c r="P599" s="40">
        <f>C599*Prislapp!$C$3+D599*Prislapp!$D$3+E599*Prislapp!$E$3+F599*Prislapp!$F$3+G599*Prislapp!$G$3+H599*Prislapp!$H$3+I599*Prislapp!$I$3+J599*Prislapp!$J$3+K599*Prislapp!$K$3+M599*Prislapp!$M$3+N599*Prislapp!$N$3+L599*Prislapp!$L$3</f>
        <v>36082</v>
      </c>
      <c r="Q599" s="40">
        <f>C599*Prislapp!$C$5+D599*Prislapp!$D$5+E599*Prislapp!$E$5+F599*Prislapp!$F$5+G599*Prislapp!$G$5+H599*Prislapp!$H$5+I599*Prislapp!$I$5+J599*Prislapp!$J$5+K599*Prislapp!$K$5+L599*Prislapp!$L$5+M599*Prislapp!$M$5+N599*Prislapp!$N$5</f>
        <v>22600</v>
      </c>
      <c r="R599" s="9">
        <f>VLOOKUP(A599,'Ansvar kurs'!$A$2:$B$943,2,FALSE)</f>
        <v>5740</v>
      </c>
      <c r="S599" s="176" t="s">
        <v>1405</v>
      </c>
      <c r="T599" s="157" t="s">
        <v>1411</v>
      </c>
      <c r="U599" s="157"/>
      <c r="V599" s="157"/>
      <c r="W599" s="157"/>
      <c r="X599" s="157"/>
      <c r="Y599" s="157"/>
      <c r="Z599" s="157"/>
    </row>
    <row r="600" spans="1:26" x14ac:dyDescent="0.25">
      <c r="A600" s="31" t="s">
        <v>1477</v>
      </c>
      <c r="B600" s="31" t="s">
        <v>1486</v>
      </c>
      <c r="K600" s="31">
        <v>1</v>
      </c>
      <c r="O600" s="40">
        <f>C600*Prislapp!$C$2+D600*Prislapp!$D$2+E600*Prislapp!$E$2+F600*Prislapp!$F$2+G600*Prislapp!$G$2+H600*Prislapp!$H$2+I600*Prislapp!$I$2+J600*Prislapp!$J$2+K600*Prislapp!$K$2+L600*Prislapp!$L$2+M600*Prislapp!$M$2+N600*Prislapp!$N$2</f>
        <v>25235</v>
      </c>
      <c r="P600" s="40">
        <f>C600*Prislapp!$C$3+D600*Prislapp!$D$3+E600*Prislapp!$E$3+F600*Prislapp!$F$3+G600*Prislapp!$G$3+H600*Prislapp!$H$3+I600*Prislapp!$I$3+J600*Prislapp!$J$3+K600*Prislapp!$K$3+M600*Prislapp!$M$3+N600*Prislapp!$N$3+L600*Prislapp!$L$3</f>
        <v>27976</v>
      </c>
      <c r="Q600" s="40">
        <f>C600*Prislapp!$C$5+D600*Prislapp!$D$5+E600*Prislapp!$E$5+F600*Prislapp!$F$5+G600*Prislapp!$G$5+H600*Prislapp!$H$5+I600*Prislapp!$I$5+J600*Prislapp!$J$5+K600*Prislapp!$K$5+L600*Prislapp!$L$5+M600*Prislapp!$M$5+N600*Prislapp!$N$5</f>
        <v>3600</v>
      </c>
      <c r="R600" s="9">
        <f>VLOOKUP(A600,'Ansvar kurs'!$A$2:$B$943,2,FALSE)</f>
        <v>2180</v>
      </c>
      <c r="S600" s="176"/>
      <c r="T600" s="157"/>
    </row>
    <row r="601" spans="1:26" x14ac:dyDescent="0.25">
      <c r="A601" s="60" t="s">
        <v>1448</v>
      </c>
      <c r="B601" s="31" t="s">
        <v>1196</v>
      </c>
      <c r="H601" s="31">
        <v>1</v>
      </c>
      <c r="O601" s="40">
        <f>C601*Prislapp!$C$2+D601*Prislapp!$D$2+E601*Prislapp!$E$2+F601*Prislapp!$F$2+G601*Prislapp!$G$2+H601*Prislapp!$H$2+I601*Prislapp!$I$2+J601*Prislapp!$J$2+K601*Prislapp!$K$2+L601*Prislapp!$L$2+M601*Prislapp!$M$2+N601*Prislapp!$N$2</f>
        <v>20757</v>
      </c>
      <c r="P601" s="40">
        <f>C601*Prislapp!$C$3+D601*Prislapp!$D$3+E601*Prislapp!$E$3+F601*Prislapp!$F$3+G601*Prislapp!$G$3+H601*Prislapp!$H$3+I601*Prislapp!$I$3+J601*Prislapp!$J$3+K601*Prislapp!$K$3+M601*Prislapp!$M$3+N601*Prislapp!$N$3+L601*Prislapp!$L$3</f>
        <v>36082</v>
      </c>
      <c r="Q601" s="40">
        <f>C601*Prislapp!$C$5+D601*Prislapp!$D$5+E601*Prislapp!$E$5+F601*Prislapp!$F$5+G601*Prislapp!$G$5+H601*Prislapp!$H$5+I601*Prislapp!$I$5+J601*Prislapp!$J$5+K601*Prislapp!$K$5+L601*Prislapp!$L$5+M601*Prislapp!$M$5+N601*Prislapp!$N$5</f>
        <v>22600</v>
      </c>
      <c r="R601" s="9">
        <f>VLOOKUP(A601,'Ansvar kurs'!$A$2:$B$943,2,FALSE)</f>
        <v>5740</v>
      </c>
      <c r="U601" s="157"/>
      <c r="V601" s="157"/>
      <c r="W601" s="157"/>
      <c r="X601" s="157"/>
      <c r="Y601" s="157"/>
      <c r="Z601" s="157"/>
    </row>
    <row r="602" spans="1:26" x14ac:dyDescent="0.25">
      <c r="A602" s="31" t="s">
        <v>1478</v>
      </c>
      <c r="B602" s="31" t="s">
        <v>1395</v>
      </c>
      <c r="K602" s="31">
        <v>1</v>
      </c>
      <c r="O602" s="40">
        <f>C602*Prislapp!$C$2+D602*Prislapp!$D$2+E602*Prislapp!$E$2+F602*Prislapp!$F$2+G602*Prislapp!$G$2+H602*Prislapp!$H$2+I602*Prislapp!$I$2+J602*Prislapp!$J$2+K602*Prislapp!$K$2+L602*Prislapp!$L$2+M602*Prislapp!$M$2+N602*Prislapp!$N$2</f>
        <v>25235</v>
      </c>
      <c r="P602" s="40">
        <f>C602*Prislapp!$C$3+D602*Prislapp!$D$3+E602*Prislapp!$E$3+F602*Prislapp!$F$3+G602*Prislapp!$G$3+H602*Prislapp!$H$3+I602*Prislapp!$I$3+J602*Prislapp!$J$3+K602*Prislapp!$K$3+M602*Prislapp!$M$3+N602*Prislapp!$N$3+L602*Prislapp!$L$3</f>
        <v>27976</v>
      </c>
      <c r="Q602" s="40">
        <f>C602*Prislapp!$C$5+D602*Prislapp!$D$5+E602*Prislapp!$E$5+F602*Prislapp!$F$5+G602*Prislapp!$G$5+H602*Prislapp!$H$5+I602*Prislapp!$I$5+J602*Prislapp!$J$5+K602*Prislapp!$K$5+L602*Prislapp!$L$5+M602*Prislapp!$M$5+N602*Prislapp!$N$5</f>
        <v>3600</v>
      </c>
      <c r="R602" s="9">
        <f>VLOOKUP(A602,'Ansvar kurs'!$A$2:$B$943,2,FALSE)</f>
        <v>2193</v>
      </c>
      <c r="S602" s="176"/>
      <c r="T602" s="157"/>
      <c r="U602" s="157"/>
      <c r="V602" s="157"/>
      <c r="W602" s="157"/>
      <c r="X602" s="157"/>
      <c r="Y602" s="157"/>
      <c r="Z602" s="157"/>
    </row>
    <row r="603" spans="1:26" x14ac:dyDescent="0.25">
      <c r="A603" s="221" t="s">
        <v>1861</v>
      </c>
      <c r="B603" s="31" t="s">
        <v>1195</v>
      </c>
      <c r="I603" s="31">
        <v>1</v>
      </c>
      <c r="O603" s="40">
        <f>C603*Prislapp!$C$2+D603*Prislapp!$D$2+E603*Prislapp!$E$2+F603*Prislapp!$F$2+G603*Prislapp!$G$2+H603*Prislapp!$H$2+I603*Prislapp!$I$2+J603*Prislapp!$J$2+K603*Prislapp!$K$2+L603*Prislapp!$L$2+M603*Prislapp!$M$2+N603*Prislapp!$N$2</f>
        <v>20766</v>
      </c>
      <c r="P603" s="40">
        <f>C603*Prislapp!$C$3+D603*Prislapp!$D$3+E603*Prislapp!$E$3+F603*Prislapp!$F$3+G603*Prislapp!$G$3+H603*Prislapp!$H$3+I603*Prislapp!$I$3+J603*Prislapp!$J$3+K603*Prislapp!$K$3+M603*Prislapp!$M$3+N603*Prislapp!$N$3+L603*Prislapp!$L$3</f>
        <v>17442</v>
      </c>
      <c r="Q603" s="40">
        <f>C603*Prislapp!$C$5+D603*Prislapp!$D$5+E603*Prislapp!$E$5+F603*Prislapp!$F$5+G603*Prislapp!$G$5+H603*Prislapp!$H$5+I603*Prislapp!$I$5+J603*Prislapp!$J$5+K603*Prislapp!$K$5+L603*Prislapp!$L$5+M603*Prislapp!$M$5+N603*Prislapp!$N$5</f>
        <v>6000</v>
      </c>
      <c r="R603" s="9">
        <f>VLOOKUP(A603,'Ansvar kurs'!$A$2:$B$943,2,FALSE)</f>
        <v>2193</v>
      </c>
      <c r="S603" s="157" t="s">
        <v>1088</v>
      </c>
      <c r="T603" s="157"/>
    </row>
    <row r="604" spans="1:26" x14ac:dyDescent="0.25">
      <c r="A604" s="31" t="s">
        <v>1444</v>
      </c>
      <c r="B604" s="31" t="s">
        <v>1443</v>
      </c>
      <c r="K604" s="31">
        <v>1</v>
      </c>
      <c r="O604" s="40">
        <f>C604*Prislapp!$C$2+D604*Prislapp!$D$2+E604*Prislapp!$E$2+F604*Prislapp!$F$2+G604*Prislapp!$G$2+H604*Prislapp!$H$2+I604*Prislapp!$I$2+J604*Prislapp!$J$2+K604*Prislapp!$K$2+L604*Prislapp!$L$2+M604*Prislapp!$M$2+N604*Prislapp!$N$2</f>
        <v>25235</v>
      </c>
      <c r="P604" s="40">
        <f>C604*Prislapp!$C$3+D604*Prislapp!$D$3+E604*Prislapp!$E$3+F604*Prislapp!$F$3+G604*Prislapp!$G$3+H604*Prislapp!$H$3+I604*Prislapp!$I$3+J604*Prislapp!$J$3+K604*Prislapp!$K$3+M604*Prislapp!$M$3+N604*Prislapp!$N$3+L604*Prislapp!$L$3</f>
        <v>27976</v>
      </c>
      <c r="Q604" s="40">
        <f>C604*Prislapp!$C$5+D604*Prislapp!$D$5+E604*Prislapp!$E$5+F604*Prislapp!$F$5+G604*Prislapp!$G$5+H604*Prislapp!$H$5+I604*Prislapp!$I$5+J604*Prislapp!$J$5+K604*Prislapp!$K$5+L604*Prislapp!$L$5+M604*Prislapp!$M$5+N604*Prislapp!$N$5</f>
        <v>3600</v>
      </c>
      <c r="R604" s="9">
        <f>VLOOKUP(A604,'Ansvar kurs'!$A$2:$B$943,2,FALSE)</f>
        <v>2180</v>
      </c>
      <c r="S604" s="176"/>
      <c r="T604" s="157"/>
      <c r="U604" s="157"/>
      <c r="V604" s="157"/>
      <c r="W604" s="157"/>
      <c r="X604" s="157"/>
      <c r="Y604" s="157"/>
      <c r="Z604" s="157"/>
    </row>
    <row r="605" spans="1:26" x14ac:dyDescent="0.25">
      <c r="A605" s="31" t="s">
        <v>1446</v>
      </c>
      <c r="B605" s="31" t="s">
        <v>1157</v>
      </c>
      <c r="H605" s="31">
        <v>1</v>
      </c>
      <c r="O605" s="40">
        <f>C605*Prislapp!$C$2+D605*Prislapp!$D$2+E605*Prislapp!$E$2+F605*Prislapp!$F$2+G605*Prislapp!$G$2+H605*Prislapp!$H$2+I605*Prislapp!$I$2+J605*Prislapp!$J$2+K605*Prislapp!$K$2+L605*Prislapp!$L$2+M605*Prislapp!$M$2+N605*Prislapp!$N$2</f>
        <v>20757</v>
      </c>
      <c r="P605" s="40">
        <f>C605*Prislapp!$C$3+D605*Prislapp!$D$3+E605*Prislapp!$E$3+F605*Prislapp!$F$3+G605*Prislapp!$G$3+H605*Prislapp!$H$3+I605*Prislapp!$I$3+J605*Prislapp!$J$3+K605*Prislapp!$K$3+M605*Prislapp!$M$3+N605*Prislapp!$N$3+L605*Prislapp!$L$3</f>
        <v>36082</v>
      </c>
      <c r="Q605" s="40">
        <f>C605*Prislapp!$C$5+D605*Prislapp!$D$5+E605*Prislapp!$E$5+F605*Prislapp!$F$5+G605*Prislapp!$G$5+H605*Prislapp!$H$5+I605*Prislapp!$I$5+J605*Prislapp!$J$5+K605*Prislapp!$K$5+L605*Prislapp!$L$5+M605*Prislapp!$M$5+N605*Prislapp!$N$5</f>
        <v>22600</v>
      </c>
      <c r="R605" s="9">
        <f>VLOOKUP(A605,'Ansvar kurs'!$A$2:$B$943,2,FALSE)</f>
        <v>5740</v>
      </c>
      <c r="S605" s="176"/>
      <c r="T605" s="157"/>
      <c r="U605" s="157"/>
      <c r="V605" s="157"/>
      <c r="W605" s="157"/>
      <c r="X605" s="157"/>
      <c r="Y605" s="157"/>
      <c r="Z605" s="157"/>
    </row>
    <row r="606" spans="1:26" x14ac:dyDescent="0.25">
      <c r="A606" s="31" t="s">
        <v>1447</v>
      </c>
      <c r="B606" s="31" t="s">
        <v>1158</v>
      </c>
      <c r="H606" s="31">
        <v>1</v>
      </c>
      <c r="O606" s="40">
        <f>C606*Prislapp!$C$2+D606*Prislapp!$D$2+E606*Prislapp!$E$2+F606*Prislapp!$F$2+G606*Prislapp!$G$2+H606*Prislapp!$H$2+I606*Prislapp!$I$2+J606*Prislapp!$J$2+K606*Prislapp!$K$2+L606*Prislapp!$L$2+M606*Prislapp!$M$2+N606*Prislapp!$N$2</f>
        <v>20757</v>
      </c>
      <c r="P606" s="40">
        <f>C606*Prislapp!$C$3+D606*Prislapp!$D$3+E606*Prislapp!$E$3+F606*Prislapp!$F$3+G606*Prislapp!$G$3+H606*Prislapp!$H$3+I606*Prislapp!$I$3+J606*Prislapp!$J$3+K606*Prislapp!$K$3+M606*Prislapp!$M$3+N606*Prislapp!$N$3+L606*Prislapp!$L$3</f>
        <v>36082</v>
      </c>
      <c r="Q606" s="40">
        <f>C606*Prislapp!$C$5+D606*Prislapp!$D$5+E606*Prislapp!$E$5+F606*Prislapp!$F$5+G606*Prislapp!$G$5+H606*Prislapp!$H$5+I606*Prislapp!$I$5+J606*Prislapp!$J$5+K606*Prislapp!$K$5+L606*Prislapp!$L$5+M606*Prislapp!$M$5+N606*Prislapp!$N$5</f>
        <v>22600</v>
      </c>
      <c r="R606" s="9">
        <f>VLOOKUP(A606,'Ansvar kurs'!$A$2:$B$943,2,FALSE)</f>
        <v>5740</v>
      </c>
      <c r="S606" s="176"/>
      <c r="T606" s="157"/>
      <c r="U606" s="157"/>
      <c r="V606" s="157"/>
      <c r="W606" s="157"/>
      <c r="X606" s="157"/>
      <c r="Y606" s="157"/>
      <c r="Z606" s="157"/>
    </row>
    <row r="607" spans="1:26" x14ac:dyDescent="0.25">
      <c r="A607" s="31" t="s">
        <v>1437</v>
      </c>
      <c r="B607" s="31" t="s">
        <v>1438</v>
      </c>
      <c r="F607" s="31">
        <v>0.83</v>
      </c>
      <c r="K607" s="31">
        <v>0.17</v>
      </c>
      <c r="O607" s="40">
        <f>C607*Prislapp!$C$2+D607*Prislapp!$D$2+E607*Prislapp!$E$2+F607*Prislapp!$F$2+G607*Prislapp!$G$2+H607*Prislapp!$H$2+I607*Prislapp!$I$2+J607*Prislapp!$J$2+K607*Prislapp!$K$2+L607*Prislapp!$L$2+M607*Prislapp!$M$2+N607*Prislapp!$N$2</f>
        <v>26329.77</v>
      </c>
      <c r="P607" s="40">
        <f>C607*Prislapp!$C$3+D607*Prislapp!$D$3+E607*Prislapp!$E$3+F607*Prislapp!$F$3+G607*Prislapp!$G$3+H607*Prislapp!$H$3+I607*Prislapp!$I$3+J607*Prislapp!$J$3+K607*Prislapp!$K$3+M607*Prislapp!$M$3+N607*Prislapp!$N$3+L607*Prislapp!$L$3</f>
        <v>32531.869999999995</v>
      </c>
      <c r="Q607" s="40">
        <f>C607*Prislapp!$C$5+D607*Prislapp!$D$5+E607*Prislapp!$E$5+F607*Prislapp!$F$5+G607*Prislapp!$G$5+H607*Prislapp!$H$5+I607*Prislapp!$I$5+J607*Prislapp!$J$5+K607*Prislapp!$K$5+L607*Prislapp!$L$5+M607*Prislapp!$M$5+N607*Prislapp!$N$5</f>
        <v>5592</v>
      </c>
      <c r="R607" s="9">
        <f>VLOOKUP(A607,'Ansvar kurs'!$A$2:$B$943,2,FALSE)</f>
        <v>2180</v>
      </c>
      <c r="S607" s="176"/>
      <c r="T607" s="157"/>
      <c r="U607" s="157"/>
      <c r="V607" s="157"/>
      <c r="W607" s="157"/>
      <c r="X607" s="157"/>
      <c r="Y607" s="157"/>
      <c r="Z607" s="157"/>
    </row>
    <row r="608" spans="1:26" x14ac:dyDescent="0.25">
      <c r="A608" s="31" t="s">
        <v>1489</v>
      </c>
      <c r="B608" s="31" t="s">
        <v>1687</v>
      </c>
      <c r="F608" s="31">
        <v>1</v>
      </c>
      <c r="O608" s="40">
        <f>C608*Prislapp!$C$2+D608*Prislapp!$D$2+E608*Prislapp!$E$2+F608*Prislapp!$F$2+G608*Prislapp!$G$2+H608*Prislapp!$H$2+I608*Prislapp!$I$2+J608*Prislapp!$J$2+K608*Prislapp!$K$2+L608*Prislapp!$L$2+M608*Prislapp!$M$2+N608*Prislapp!$N$2</f>
        <v>26554</v>
      </c>
      <c r="P608" s="40">
        <f>C608*Prislapp!$C$3+D608*Prislapp!$D$3+E608*Prislapp!$E$3+F608*Prislapp!$F$3+G608*Prislapp!$G$3+H608*Prislapp!$H$3+I608*Prislapp!$I$3+J608*Prislapp!$J$3+K608*Prislapp!$K$3+M608*Prislapp!$M$3+N608*Prislapp!$N$3+L608*Prislapp!$L$3</f>
        <v>33465</v>
      </c>
      <c r="Q608" s="40">
        <f>C608*Prislapp!$C$5+D608*Prislapp!$D$5+E608*Prislapp!$E$5+F608*Prislapp!$F$5+G608*Prislapp!$G$5+H608*Prislapp!$H$5+I608*Prislapp!$I$5+J608*Prislapp!$J$5+K608*Prislapp!$K$5+L608*Prislapp!$L$5+M608*Prislapp!$M$5+N608*Prislapp!$N$5</f>
        <v>6000</v>
      </c>
      <c r="R608" s="9">
        <f>VLOOKUP(A608,'Ansvar kurs'!$A$2:$B$943,2,FALSE)</f>
        <v>5740</v>
      </c>
      <c r="S608" s="176"/>
      <c r="T608" s="157"/>
      <c r="U608" s="157"/>
      <c r="V608" s="157"/>
      <c r="W608" s="157"/>
      <c r="X608" s="157"/>
      <c r="Y608" s="157"/>
      <c r="Z608" s="157"/>
    </row>
    <row r="609" spans="1:26" x14ac:dyDescent="0.25">
      <c r="A609" s="31" t="s">
        <v>1502</v>
      </c>
      <c r="B609" s="31" t="s">
        <v>1517</v>
      </c>
      <c r="F609" s="31">
        <v>1</v>
      </c>
      <c r="O609" s="40">
        <f>C609*Prislapp!$C$2+D609*Prislapp!$D$2+E609*Prislapp!$E$2+F609*Prislapp!$F$2+G609*Prislapp!$G$2+H609*Prislapp!$H$2+I609*Prislapp!$I$2+J609*Prislapp!$J$2+K609*Prislapp!$K$2+L609*Prislapp!$L$2+M609*Prislapp!$M$2+N609*Prislapp!$N$2</f>
        <v>26554</v>
      </c>
      <c r="P609" s="40">
        <f>C609*Prislapp!$C$3+D609*Prislapp!$D$3+E609*Prislapp!$E$3+F609*Prislapp!$F$3+G609*Prislapp!$G$3+H609*Prislapp!$H$3+I609*Prislapp!$I$3+J609*Prislapp!$J$3+K609*Prislapp!$K$3+M609*Prislapp!$M$3+N609*Prislapp!$N$3+L609*Prislapp!$L$3</f>
        <v>33465</v>
      </c>
      <c r="Q609" s="40">
        <f>C609*Prislapp!$C$5+D609*Prislapp!$D$5+E609*Prislapp!$E$5+F609*Prislapp!$F$5+G609*Prislapp!$G$5+H609*Prislapp!$H$5+I609*Prislapp!$I$5+J609*Prislapp!$J$5+K609*Prislapp!$K$5+L609*Prislapp!$L$5+M609*Prislapp!$M$5+N609*Prislapp!$N$5</f>
        <v>6000</v>
      </c>
      <c r="R609" s="9">
        <f>VLOOKUP(A609,'Ansvar kurs'!$A$2:$B$943,2,FALSE)</f>
        <v>5740</v>
      </c>
      <c r="S609" s="176"/>
      <c r="T609" s="157"/>
      <c r="U609" s="157"/>
      <c r="V609" s="157"/>
      <c r="W609" s="157"/>
      <c r="X609" s="157"/>
      <c r="Y609" s="157"/>
      <c r="Z609" s="157"/>
    </row>
    <row r="610" spans="1:26" x14ac:dyDescent="0.25">
      <c r="A610" s="31" t="s">
        <v>1578</v>
      </c>
      <c r="B610" s="31" t="s">
        <v>1579</v>
      </c>
      <c r="F610" s="31">
        <v>1</v>
      </c>
      <c r="O610" s="40">
        <f>C610*Prislapp!$C$2+D610*Prislapp!$D$2+E610*Prislapp!$E$2+F610*Prislapp!$F$2+G610*Prislapp!$G$2+H610*Prislapp!$H$2+I610*Prislapp!$I$2+J610*Prislapp!$J$2+K610*Prislapp!$K$2+L610*Prislapp!$L$2+M610*Prislapp!$M$2+N610*Prislapp!$N$2</f>
        <v>26554</v>
      </c>
      <c r="P610" s="40">
        <f>C610*Prislapp!$C$3+D610*Prislapp!$D$3+E610*Prislapp!$E$3+F610*Prislapp!$F$3+G610*Prislapp!$G$3+H610*Prislapp!$H$3+I610*Prislapp!$I$3+J610*Prislapp!$J$3+K610*Prislapp!$K$3+M610*Prislapp!$M$3+N610*Prislapp!$N$3+L610*Prislapp!$L$3</f>
        <v>33465</v>
      </c>
      <c r="Q610" s="40">
        <f>C610*Prislapp!$C$5+D610*Prislapp!$D$5+E610*Prislapp!$E$5+F610*Prislapp!$F$5+G610*Prislapp!$G$5+H610*Prislapp!$H$5+I610*Prislapp!$I$5+J610*Prislapp!$J$5+K610*Prislapp!$K$5+L610*Prislapp!$L$5+M610*Prislapp!$M$5+N610*Prislapp!$N$5</f>
        <v>6000</v>
      </c>
      <c r="R610" s="9">
        <f>VLOOKUP(A610,'Ansvar kurs'!$A$2:$B$943,2,FALSE)</f>
        <v>2193</v>
      </c>
      <c r="S610" s="176"/>
      <c r="T610" s="157"/>
      <c r="U610" s="157"/>
      <c r="V610" s="157"/>
      <c r="W610" s="157"/>
      <c r="X610" s="157"/>
      <c r="Y610" s="157"/>
      <c r="Z610" s="157"/>
    </row>
    <row r="611" spans="1:26" x14ac:dyDescent="0.25">
      <c r="A611" s="31" t="s">
        <v>1581</v>
      </c>
      <c r="B611" s="31" t="s">
        <v>1582</v>
      </c>
      <c r="F611" s="31">
        <v>1</v>
      </c>
      <c r="O611" s="40">
        <f>C611*Prislapp!$C$2+D611*Prislapp!$D$2+E611*Prislapp!$E$2+F611*Prislapp!$F$2+G611*Prislapp!$G$2+H611*Prislapp!$H$2+I611*Prislapp!$I$2+J611*Prislapp!$J$2+K611*Prislapp!$K$2+L611*Prislapp!$L$2+M611*Prislapp!$M$2+N611*Prislapp!$N$2</f>
        <v>26554</v>
      </c>
      <c r="P611" s="40">
        <f>C611*Prislapp!$C$3+D611*Prislapp!$D$3+E611*Prislapp!$E$3+F611*Prislapp!$F$3+G611*Prislapp!$G$3+H611*Prislapp!$H$3+I611*Prislapp!$I$3+J611*Prislapp!$J$3+K611*Prislapp!$K$3+M611*Prislapp!$M$3+N611*Prislapp!$N$3+L611*Prislapp!$L$3</f>
        <v>33465</v>
      </c>
      <c r="Q611" s="40">
        <f>C611*Prislapp!$C$5+D611*Prislapp!$D$5+E611*Prislapp!$E$5+F611*Prislapp!$F$5+G611*Prislapp!$G$5+H611*Prislapp!$H$5+I611*Prislapp!$I$5+J611*Prislapp!$J$5+K611*Prislapp!$K$5+L611*Prislapp!$L$5+M611*Prislapp!$M$5+N611*Prislapp!$N$5</f>
        <v>6000</v>
      </c>
      <c r="R611" s="9">
        <f>VLOOKUP(A611,'Ansvar kurs'!$A$2:$B$943,2,FALSE)</f>
        <v>2193</v>
      </c>
      <c r="S611" s="176"/>
      <c r="T611" s="157"/>
      <c r="U611" s="157"/>
      <c r="V611" s="157"/>
      <c r="W611" s="157"/>
      <c r="X611" s="157"/>
      <c r="Y611" s="157"/>
      <c r="Z611" s="157"/>
    </row>
    <row r="612" spans="1:26" x14ac:dyDescent="0.25">
      <c r="A612" s="31" t="s">
        <v>1534</v>
      </c>
      <c r="B612" s="31" t="s">
        <v>1572</v>
      </c>
      <c r="F612" s="31">
        <v>1</v>
      </c>
      <c r="O612" s="40">
        <f>C612*Prislapp!$C$2+D612*Prislapp!$D$2+E612*Prislapp!$E$2+F612*Prislapp!$F$2+G612*Prislapp!$G$2+H612*Prislapp!$H$2+I612*Prislapp!$I$2+J612*Prislapp!$J$2+K612*Prislapp!$K$2+L612*Prislapp!$L$2+M612*Prislapp!$M$2+N612*Prislapp!$N$2</f>
        <v>26554</v>
      </c>
      <c r="P612" s="40">
        <f>C612*Prislapp!$C$3+D612*Prislapp!$D$3+E612*Prislapp!$E$3+F612*Prislapp!$F$3+G612*Prislapp!$G$3+H612*Prislapp!$H$3+I612*Prislapp!$I$3+J612*Prislapp!$J$3+K612*Prislapp!$K$3+M612*Prislapp!$M$3+N612*Prislapp!$N$3+L612*Prislapp!$L$3</f>
        <v>33465</v>
      </c>
      <c r="Q612" s="40">
        <f>C612*Prislapp!$C$5+D612*Prislapp!$D$5+E612*Prislapp!$E$5+F612*Prislapp!$F$5+G612*Prislapp!$G$5+H612*Prislapp!$H$5+I612*Prislapp!$I$5+J612*Prislapp!$J$5+K612*Prislapp!$K$5+L612*Prislapp!$L$5+M612*Prislapp!$M$5+N612*Prislapp!$N$5</f>
        <v>6000</v>
      </c>
      <c r="R612" s="9">
        <f>VLOOKUP(A612,'Ansvar kurs'!$A$2:$B$943,2,FALSE)</f>
        <v>2193</v>
      </c>
      <c r="S612" s="176"/>
      <c r="T612" s="157"/>
      <c r="U612" s="157"/>
      <c r="V612" s="157"/>
      <c r="W612" s="157"/>
      <c r="X612" s="157"/>
      <c r="Y612" s="157"/>
      <c r="Z612" s="157"/>
    </row>
    <row r="613" spans="1:26" x14ac:dyDescent="0.25">
      <c r="A613" s="31" t="s">
        <v>1531</v>
      </c>
      <c r="B613" s="31" t="s">
        <v>1571</v>
      </c>
      <c r="F613" s="31">
        <v>1</v>
      </c>
      <c r="O613" s="40">
        <f>C613*Prislapp!$C$2+D613*Prislapp!$D$2+E613*Prislapp!$E$2+F613*Prislapp!$F$2+G613*Prislapp!$G$2+H613*Prislapp!$H$2+I613*Prislapp!$I$2+J613*Prislapp!$J$2+K613*Prislapp!$K$2+L613*Prislapp!$L$2+M613*Prislapp!$M$2+N613*Prislapp!$N$2</f>
        <v>26554</v>
      </c>
      <c r="P613" s="40">
        <f>C613*Prislapp!$C$3+D613*Prislapp!$D$3+E613*Prislapp!$E$3+F613*Prislapp!$F$3+G613*Prislapp!$G$3+H613*Prislapp!$H$3+I613*Prislapp!$I$3+J613*Prislapp!$J$3+K613*Prislapp!$K$3+M613*Prislapp!$M$3+N613*Prislapp!$N$3+L613*Prislapp!$L$3</f>
        <v>33465</v>
      </c>
      <c r="Q613" s="40">
        <f>C613*Prislapp!$C$5+D613*Prislapp!$D$5+E613*Prislapp!$E$5+F613*Prislapp!$F$5+G613*Prislapp!$G$5+H613*Prislapp!$H$5+I613*Prislapp!$I$5+J613*Prislapp!$J$5+K613*Prislapp!$K$5+L613*Prislapp!$L$5+M613*Prislapp!$M$5+N613*Prislapp!$N$5</f>
        <v>6000</v>
      </c>
      <c r="R613" s="9">
        <f>VLOOKUP(A613,'Ansvar kurs'!$A$2:$B$943,2,FALSE)</f>
        <v>2193</v>
      </c>
      <c r="S613" s="176"/>
      <c r="T613" s="157"/>
      <c r="U613" s="157"/>
      <c r="V613" s="157"/>
      <c r="W613" s="157"/>
      <c r="X613" s="157"/>
      <c r="Y613" s="157"/>
      <c r="Z613" s="157"/>
    </row>
    <row r="614" spans="1:26" x14ac:dyDescent="0.25">
      <c r="A614" s="60" t="s">
        <v>1523</v>
      </c>
      <c r="B614" s="31" t="s">
        <v>1524</v>
      </c>
      <c r="F614" s="31">
        <v>1</v>
      </c>
      <c r="O614" s="40">
        <f>C614*Prislapp!$C$2+D614*Prislapp!$D$2+E614*Prislapp!$E$2+F614*Prislapp!$F$2+G614*Prislapp!$G$2+H614*Prislapp!$H$2+I614*Prislapp!$I$2+J614*Prislapp!$J$2+K614*Prislapp!$K$2+L614*Prislapp!$L$2+M614*Prislapp!$M$2+N614*Prislapp!$N$2</f>
        <v>26554</v>
      </c>
      <c r="P614" s="40">
        <f>C614*Prislapp!$C$3+D614*Prislapp!$D$3+E614*Prislapp!$E$3+F614*Prislapp!$F$3+G614*Prislapp!$G$3+H614*Prislapp!$H$3+I614*Prislapp!$I$3+J614*Prislapp!$J$3+K614*Prislapp!$K$3+M614*Prislapp!$M$3+N614*Prislapp!$N$3+L614*Prislapp!$L$3</f>
        <v>33465</v>
      </c>
      <c r="Q614" s="40">
        <f>C614*Prislapp!$C$5+D614*Prislapp!$D$5+E614*Prislapp!$E$5+F614*Prislapp!$F$5+G614*Prislapp!$G$5+H614*Prislapp!$H$5+I614*Prislapp!$I$5+J614*Prislapp!$J$5+K614*Prislapp!$K$5+L614*Prislapp!$L$5+M614*Prislapp!$M$5+N614*Prislapp!$N$5</f>
        <v>6000</v>
      </c>
      <c r="R614" s="9">
        <f>VLOOKUP(A614,'Ansvar kurs'!$A$2:$B$943,2,FALSE)</f>
        <v>2180</v>
      </c>
    </row>
    <row r="615" spans="1:26" x14ac:dyDescent="0.25">
      <c r="A615" s="60" t="s">
        <v>1610</v>
      </c>
      <c r="B615" s="31" t="s">
        <v>1631</v>
      </c>
      <c r="F615" s="31">
        <v>1</v>
      </c>
      <c r="O615" s="40">
        <f>C615*Prislapp!$C$2+D615*Prislapp!$D$2+E615*Prislapp!$E$2+F615*Prislapp!$F$2+G615*Prislapp!$G$2+H615*Prislapp!$H$2+I615*Prislapp!$I$2+J615*Prislapp!$J$2+K615*Prislapp!$K$2+L615*Prislapp!$L$2+M615*Prislapp!$M$2+N615*Prislapp!$N$2</f>
        <v>26554</v>
      </c>
      <c r="P615" s="40">
        <f>C615*Prislapp!$C$3+D615*Prislapp!$D$3+E615*Prislapp!$E$3+F615*Prislapp!$F$3+G615*Prislapp!$G$3+H615*Prislapp!$H$3+I615*Prislapp!$I$3+J615*Prislapp!$J$3+K615*Prislapp!$K$3+M615*Prislapp!$M$3+N615*Prislapp!$N$3+L615*Prislapp!$L$3</f>
        <v>33465</v>
      </c>
      <c r="Q615" s="40">
        <f>C615*Prislapp!$C$5+D615*Prislapp!$D$5+E615*Prislapp!$E$5+F615*Prislapp!$F$5+G615*Prislapp!$G$5+H615*Prislapp!$H$5+I615*Prislapp!$I$5+J615*Prislapp!$J$5+K615*Prislapp!$K$5+L615*Prislapp!$L$5+M615*Prislapp!$M$5+N615*Prislapp!$N$5</f>
        <v>6000</v>
      </c>
      <c r="R615" s="9">
        <f>VLOOKUP(A615,'Ansvar kurs'!$A$2:$B$943,2,FALSE)</f>
        <v>2180</v>
      </c>
    </row>
    <row r="616" spans="1:26" x14ac:dyDescent="0.25">
      <c r="A616" s="60" t="s">
        <v>1540</v>
      </c>
      <c r="B616" s="31" t="s">
        <v>1573</v>
      </c>
      <c r="F616" s="31">
        <v>1</v>
      </c>
      <c r="O616" s="40">
        <f>C616*Prislapp!$C$2+D616*Prislapp!$D$2+E616*Prislapp!$E$2+F616*Prislapp!$F$2+G616*Prislapp!$G$2+H616*Prislapp!$H$2+I616*Prislapp!$I$2+J616*Prislapp!$J$2+K616*Prislapp!$K$2+L616*Prislapp!$L$2+M616*Prislapp!$M$2+N616*Prislapp!$N$2</f>
        <v>26554</v>
      </c>
      <c r="P616" s="40">
        <f>C616*Prislapp!$C$3+D616*Prislapp!$D$3+E616*Prislapp!$E$3+F616*Prislapp!$F$3+G616*Prislapp!$G$3+H616*Prislapp!$H$3+I616*Prislapp!$I$3+J616*Prislapp!$J$3+K616*Prislapp!$K$3+M616*Prislapp!$M$3+N616*Prislapp!$N$3+L616*Prislapp!$L$3</f>
        <v>33465</v>
      </c>
      <c r="Q616" s="40">
        <f>C616*Prislapp!$C$5+D616*Prislapp!$D$5+E616*Prislapp!$E$5+F616*Prislapp!$F$5+G616*Prislapp!$G$5+H616*Prislapp!$H$5+I616*Prislapp!$I$5+J616*Prislapp!$J$5+K616*Prislapp!$K$5+L616*Prislapp!$L$5+M616*Prislapp!$M$5+N616*Prislapp!$N$5</f>
        <v>6000</v>
      </c>
      <c r="R616" s="9">
        <f>VLOOKUP(A616,'Ansvar kurs'!$A$2:$B$943,2,FALSE)</f>
        <v>2180</v>
      </c>
    </row>
    <row r="617" spans="1:26" x14ac:dyDescent="0.25">
      <c r="A617" s="60" t="s">
        <v>1541</v>
      </c>
      <c r="B617" s="31" t="s">
        <v>1574</v>
      </c>
      <c r="F617" s="31">
        <v>1</v>
      </c>
      <c r="O617" s="40">
        <f>C617*Prislapp!$C$2+D617*Prislapp!$D$2+E617*Prislapp!$E$2+F617*Prislapp!$F$2+G617*Prislapp!$G$2+H617*Prislapp!$H$2+I617*Prislapp!$I$2+J617*Prislapp!$J$2+K617*Prislapp!$K$2+L617*Prislapp!$L$2+M617*Prislapp!$M$2+N617*Prislapp!$N$2</f>
        <v>26554</v>
      </c>
      <c r="P617" s="40">
        <f>C617*Prislapp!$C$3+D617*Prislapp!$D$3+E617*Prislapp!$E$3+F617*Prislapp!$F$3+G617*Prislapp!$G$3+H617*Prislapp!$H$3+I617*Prislapp!$I$3+J617*Prislapp!$J$3+K617*Prislapp!$K$3+M617*Prislapp!$M$3+N617*Prislapp!$N$3+L617*Prislapp!$L$3</f>
        <v>33465</v>
      </c>
      <c r="Q617" s="40">
        <f>C617*Prislapp!$C$5+D617*Prislapp!$D$5+E617*Prislapp!$E$5+F617*Prislapp!$F$5+G617*Prislapp!$G$5+H617*Prislapp!$H$5+I617*Prislapp!$I$5+J617*Prislapp!$J$5+K617*Prislapp!$K$5+L617*Prislapp!$L$5+M617*Prislapp!$M$5+N617*Prislapp!$N$5</f>
        <v>6000</v>
      </c>
      <c r="R617" s="9">
        <f>VLOOKUP(A617,'Ansvar kurs'!$A$2:$B$943,2,FALSE)</f>
        <v>2180</v>
      </c>
    </row>
    <row r="618" spans="1:26" x14ac:dyDescent="0.25">
      <c r="A618" s="60" t="s">
        <v>1642</v>
      </c>
      <c r="B618" s="31" t="s">
        <v>1643</v>
      </c>
      <c r="F618" s="31">
        <v>1</v>
      </c>
      <c r="O618" s="40">
        <f>C618*Prislapp!$C$2+D618*Prislapp!$D$2+E618*Prislapp!$E$2+F618*Prislapp!$F$2+G618*Prislapp!$G$2+H618*Prislapp!$H$2+I618*Prislapp!$I$2+J618*Prislapp!$J$2+K618*Prislapp!$K$2+L618*Prislapp!$L$2+M618*Prislapp!$M$2+N618*Prislapp!$N$2</f>
        <v>26554</v>
      </c>
      <c r="P618" s="40">
        <f>C618*Prislapp!$C$3+D618*Prislapp!$D$3+E618*Prislapp!$E$3+F618*Prislapp!$F$3+G618*Prislapp!$G$3+H618*Prislapp!$H$3+I618*Prislapp!$I$3+J618*Prislapp!$J$3+K618*Prislapp!$K$3+M618*Prislapp!$M$3+N618*Prislapp!$N$3+L618*Prislapp!$L$3</f>
        <v>33465</v>
      </c>
      <c r="Q618" s="40">
        <f>C618*Prislapp!$C$5+D618*Prislapp!$D$5+E618*Prislapp!$E$5+F618*Prislapp!$F$5+G618*Prislapp!$G$5+H618*Prislapp!$H$5+I618*Prislapp!$I$5+J618*Prislapp!$J$5+K618*Prislapp!$K$5+L618*Prislapp!$L$5+M618*Prislapp!$M$5+N618*Prislapp!$N$5</f>
        <v>6000</v>
      </c>
      <c r="R618" s="9">
        <f>VLOOKUP(A618,'Ansvar kurs'!$A$2:$B$943,2,FALSE)</f>
        <v>2180</v>
      </c>
    </row>
    <row r="619" spans="1:26" x14ac:dyDescent="0.25">
      <c r="A619" s="60" t="s">
        <v>1583</v>
      </c>
      <c r="B619" s="31" t="s">
        <v>1584</v>
      </c>
      <c r="F619" s="31">
        <v>1</v>
      </c>
      <c r="O619" s="40">
        <f>C619*Prislapp!$C$2+D619*Prislapp!$D$2+E619*Prislapp!$E$2+F619*Prislapp!$F$2+G619*Prislapp!$G$2+H619*Prislapp!$H$2+I619*Prislapp!$I$2+J619*Prislapp!$J$2+K619*Prislapp!$K$2+L619*Prislapp!$L$2+M619*Prislapp!$M$2+N619*Prislapp!$N$2</f>
        <v>26554</v>
      </c>
      <c r="P619" s="40">
        <f>C619*Prislapp!$C$3+D619*Prislapp!$D$3+E619*Prislapp!$E$3+F619*Prislapp!$F$3+G619*Prislapp!$G$3+H619*Prislapp!$H$3+I619*Prislapp!$I$3+J619*Prislapp!$J$3+K619*Prislapp!$K$3+M619*Prislapp!$M$3+N619*Prislapp!$N$3+L619*Prislapp!$L$3</f>
        <v>33465</v>
      </c>
      <c r="Q619" s="40">
        <f>C619*Prislapp!$C$5+D619*Prislapp!$D$5+E619*Prislapp!$E$5+F619*Prislapp!$F$5+G619*Prislapp!$G$5+H619*Prislapp!$H$5+I619*Prislapp!$I$5+J619*Prislapp!$J$5+K619*Prislapp!$K$5+L619*Prislapp!$L$5+M619*Prislapp!$M$5+N619*Prislapp!$N$5</f>
        <v>6000</v>
      </c>
      <c r="R619" s="9">
        <f>VLOOKUP(A619,'Ansvar kurs'!$A$2:$B$943,2,FALSE)</f>
        <v>2180</v>
      </c>
    </row>
    <row r="620" spans="1:26" x14ac:dyDescent="0.25">
      <c r="A620" s="60" t="s">
        <v>1536</v>
      </c>
      <c r="B620" s="31" t="s">
        <v>1393</v>
      </c>
      <c r="I620" s="31">
        <v>1</v>
      </c>
      <c r="O620" s="40">
        <f>C620*Prislapp!$C$2+D620*Prislapp!$D$2+E620*Prislapp!$E$2+F620*Prislapp!$F$2+G620*Prislapp!$G$2+H620*Prislapp!$H$2+I620*Prislapp!$I$2+J620*Prislapp!$J$2+K620*Prislapp!$K$2+L620*Prislapp!$L$2+M620*Prislapp!$M$2+N620*Prislapp!$N$2</f>
        <v>20766</v>
      </c>
      <c r="P620" s="40">
        <f>C620*Prislapp!$C$3+D620*Prislapp!$D$3+E620*Prislapp!$E$3+F620*Prislapp!$F$3+G620*Prislapp!$G$3+H620*Prislapp!$H$3+I620*Prislapp!$I$3+J620*Prislapp!$J$3+K620*Prislapp!$K$3+M620*Prislapp!$M$3+N620*Prislapp!$N$3+L620*Prislapp!$L$3</f>
        <v>17442</v>
      </c>
      <c r="Q620" s="40">
        <f>C620*Prislapp!$C$5+D620*Prislapp!$D$5+E620*Prislapp!$E$5+F620*Prislapp!$F$5+G620*Prislapp!$G$5+H620*Prislapp!$H$5+I620*Prislapp!$I$5+J620*Prislapp!$J$5+K620*Prislapp!$K$5+L620*Prislapp!$L$5+M620*Prislapp!$M$5+N620*Prislapp!$N$5</f>
        <v>6000</v>
      </c>
      <c r="R620" s="9">
        <f>VLOOKUP(A620,'Ansvar kurs'!$A$2:$B$943,2,FALSE)</f>
        <v>2193</v>
      </c>
    </row>
    <row r="621" spans="1:26" x14ac:dyDescent="0.25">
      <c r="A621" s="60" t="s">
        <v>1539</v>
      </c>
      <c r="B621" s="31" t="s">
        <v>1398</v>
      </c>
      <c r="K621" s="31">
        <v>1</v>
      </c>
      <c r="O621" s="40">
        <f>C621*Prislapp!$C$2+D621*Prislapp!$D$2+E621*Prislapp!$E$2+F621*Prislapp!$F$2+G621*Prislapp!$G$2+H621*Prislapp!$H$2+I621*Prislapp!$I$2+J621*Prislapp!$J$2+K621*Prislapp!$K$2+L621*Prislapp!$L$2+M621*Prislapp!$M$2+N621*Prislapp!$N$2</f>
        <v>25235</v>
      </c>
      <c r="P621" s="40">
        <f>C621*Prislapp!$C$3+D621*Prislapp!$D$3+E621*Prislapp!$E$3+F621*Prislapp!$F$3+G621*Prislapp!$G$3+H621*Prislapp!$H$3+I621*Prislapp!$I$3+J621*Prislapp!$J$3+K621*Prislapp!$K$3+M621*Prislapp!$M$3+N621*Prislapp!$N$3+L621*Prislapp!$L$3</f>
        <v>27976</v>
      </c>
      <c r="Q621" s="40">
        <f>C621*Prislapp!$C$5+D621*Prislapp!$D$5+E621*Prislapp!$E$5+F621*Prislapp!$F$5+G621*Prislapp!$G$5+H621*Prislapp!$H$5+I621*Prislapp!$I$5+J621*Prislapp!$J$5+K621*Prislapp!$K$5+L621*Prislapp!$L$5+M621*Prislapp!$M$5+N621*Prislapp!$N$5</f>
        <v>3600</v>
      </c>
      <c r="R621" s="9">
        <f>VLOOKUP(A621,'Ansvar kurs'!$A$2:$B$943,2,FALSE)</f>
        <v>2193</v>
      </c>
    </row>
    <row r="622" spans="1:26" x14ac:dyDescent="0.25">
      <c r="A622" s="60" t="s">
        <v>2107</v>
      </c>
      <c r="B622" s="31" t="s">
        <v>2121</v>
      </c>
      <c r="I622" s="31">
        <v>1</v>
      </c>
      <c r="O622" s="40">
        <f>C622*Prislapp!$C$2+D622*Prislapp!$D$2+E622*Prislapp!$E$2+F622*Prislapp!$F$2+G622*Prislapp!$G$2+H622*Prislapp!$H$2+I622*Prislapp!$I$2+J622*Prislapp!$J$2+K622*Prislapp!$K$2+L622*Prislapp!$L$2+M622*Prislapp!$M$2+N622*Prislapp!$N$2</f>
        <v>20766</v>
      </c>
      <c r="P622" s="40">
        <f>C622*Prislapp!$C$3+D622*Prislapp!$D$3+E622*Prislapp!$E$3+F622*Prislapp!$F$3+G622*Prislapp!$G$3+H622*Prislapp!$H$3+I622*Prislapp!$I$3+J622*Prislapp!$J$3+K622*Prislapp!$K$3+M622*Prislapp!$M$3+N622*Prislapp!$N$3+L622*Prislapp!$L$3</f>
        <v>17442</v>
      </c>
      <c r="Q622" s="40">
        <f>C622*Prislapp!$C$5+D622*Prislapp!$D$5+E622*Prislapp!$E$5+F622*Prislapp!$F$5+G622*Prislapp!$G$5+H622*Prislapp!$H$5+I622*Prislapp!$I$5+J622*Prislapp!$J$5+K622*Prislapp!$K$5+L622*Prislapp!$L$5+M622*Prislapp!$M$5+N622*Prislapp!$N$5</f>
        <v>6000</v>
      </c>
      <c r="R622" s="9">
        <f>VLOOKUP(A622,'Ansvar kurs'!$A$2:$B$943,2,FALSE)</f>
        <v>2193</v>
      </c>
    </row>
    <row r="623" spans="1:26" x14ac:dyDescent="0.25">
      <c r="A623" s="60" t="s">
        <v>2106</v>
      </c>
      <c r="B623" s="31" t="s">
        <v>1618</v>
      </c>
      <c r="I623" s="31">
        <v>1</v>
      </c>
      <c r="O623" s="40">
        <f>C623*Prislapp!$C$2+D623*Prislapp!$D$2+E623*Prislapp!$E$2+F623*Prislapp!$F$2+G623*Prislapp!$G$2+H623*Prislapp!$H$2+I623*Prislapp!$I$2+J623*Prislapp!$J$2+K623*Prislapp!$K$2+L623*Prislapp!$L$2+M623*Prislapp!$M$2+N623*Prislapp!$N$2</f>
        <v>20766</v>
      </c>
      <c r="P623" s="40">
        <f>C623*Prislapp!$C$3+D623*Prislapp!$D$3+E623*Prislapp!$E$3+F623*Prislapp!$F$3+G623*Prislapp!$G$3+H623*Prislapp!$H$3+I623*Prislapp!$I$3+J623*Prislapp!$J$3+K623*Prislapp!$K$3+M623*Prislapp!$M$3+N623*Prislapp!$N$3+L623*Prislapp!$L$3</f>
        <v>17442</v>
      </c>
      <c r="Q623" s="40">
        <f>C623*Prislapp!$C$5+D623*Prislapp!$D$5+E623*Prislapp!$E$5+F623*Prislapp!$F$5+G623*Prislapp!$G$5+H623*Prislapp!$H$5+I623*Prislapp!$I$5+J623*Prislapp!$J$5+K623*Prislapp!$K$5+L623*Prislapp!$L$5+M623*Prislapp!$M$5+N623*Prislapp!$N$5</f>
        <v>6000</v>
      </c>
      <c r="R623" s="9">
        <f>VLOOKUP(A623,'Ansvar kurs'!$A$2:$B$943,2,FALSE)</f>
        <v>2193</v>
      </c>
    </row>
    <row r="624" spans="1:26" x14ac:dyDescent="0.25">
      <c r="A624" s="60" t="s">
        <v>2105</v>
      </c>
      <c r="B624" s="31" t="s">
        <v>1617</v>
      </c>
      <c r="I624" s="31">
        <v>1</v>
      </c>
      <c r="O624" s="40">
        <f>C624*Prislapp!$C$2+D624*Prislapp!$D$2+E624*Prislapp!$E$2+F624*Prislapp!$F$2+G624*Prislapp!$G$2+H624*Prislapp!$H$2+I624*Prislapp!$I$2+J624*Prislapp!$J$2+K624*Prislapp!$K$2+L624*Prislapp!$L$2+M624*Prislapp!$M$2+N624*Prislapp!$N$2</f>
        <v>20766</v>
      </c>
      <c r="P624" s="40">
        <f>C624*Prislapp!$C$3+D624*Prislapp!$D$3+E624*Prislapp!$E$3+F624*Prislapp!$F$3+G624*Prislapp!$G$3+H624*Prislapp!$H$3+I624*Prislapp!$I$3+J624*Prislapp!$J$3+K624*Prislapp!$K$3+M624*Prislapp!$M$3+N624*Prislapp!$N$3+L624*Prislapp!$L$3</f>
        <v>17442</v>
      </c>
      <c r="Q624" s="40">
        <f>C624*Prislapp!$C$5+D624*Prislapp!$D$5+E624*Prislapp!$E$5+F624*Prislapp!$F$5+G624*Prislapp!$G$5+H624*Prislapp!$H$5+I624*Prislapp!$I$5+J624*Prislapp!$J$5+K624*Prislapp!$K$5+L624*Prislapp!$L$5+M624*Prislapp!$M$5+N624*Prislapp!$N$5</f>
        <v>6000</v>
      </c>
      <c r="R624" s="9">
        <f>VLOOKUP(A624,'Ansvar kurs'!$A$2:$B$943,2,FALSE)</f>
        <v>2193</v>
      </c>
    </row>
    <row r="625" spans="1:26" x14ac:dyDescent="0.25">
      <c r="A625" s="222" t="s">
        <v>1553</v>
      </c>
      <c r="B625" s="31" t="s">
        <v>1515</v>
      </c>
      <c r="K625" s="31">
        <v>1</v>
      </c>
      <c r="O625" s="40">
        <f>C625*Prislapp!$C$2+D625*Prislapp!$D$2+E625*Prislapp!$E$2+F625*Prislapp!$F$2+G625*Prislapp!$G$2+H625*Prislapp!$H$2+I625*Prislapp!$I$2+J625*Prislapp!$J$2+K625*Prislapp!$K$2+L625*Prislapp!$L$2+M625*Prislapp!$M$2+N625*Prislapp!$N$2</f>
        <v>25235</v>
      </c>
      <c r="P625" s="40">
        <f>C625*Prislapp!$C$3+D625*Prislapp!$D$3+E625*Prislapp!$E$3+F625*Prislapp!$F$3+G625*Prislapp!$G$3+H625*Prislapp!$H$3+I625*Prislapp!$I$3+J625*Prislapp!$J$3+K625*Prislapp!$K$3+M625*Prislapp!$M$3+N625*Prislapp!$N$3+L625*Prislapp!$L$3</f>
        <v>27976</v>
      </c>
      <c r="Q625" s="40">
        <f>C625*Prislapp!$C$5+D625*Prislapp!$D$5+E625*Prislapp!$E$5+F625*Prislapp!$F$5+G625*Prislapp!$G$5+H625*Prislapp!$H$5+I625*Prislapp!$I$5+J625*Prislapp!$J$5+K625*Prislapp!$K$5+L625*Prislapp!$L$5+M625*Prislapp!$M$5+N625*Prislapp!$N$5</f>
        <v>3600</v>
      </c>
      <c r="R625" s="9">
        <f>VLOOKUP(A625,'Ansvar kurs'!$A$2:$B$943,2,FALSE)</f>
        <v>5740</v>
      </c>
      <c r="T625" s="157"/>
      <c r="U625" s="197"/>
      <c r="V625" s="197"/>
      <c r="W625" s="197"/>
      <c r="X625" s="197"/>
      <c r="Y625" s="197"/>
      <c r="Z625" s="191"/>
    </row>
    <row r="626" spans="1:26" x14ac:dyDescent="0.25">
      <c r="A626" s="222" t="s">
        <v>1552</v>
      </c>
      <c r="B626" s="31" t="s">
        <v>1516</v>
      </c>
      <c r="F626" s="31">
        <v>1</v>
      </c>
      <c r="O626" s="40">
        <f>C626*Prislapp!$C$2+D626*Prislapp!$D$2+E626*Prislapp!$E$2+F626*Prislapp!$F$2+G626*Prislapp!$G$2+H626*Prislapp!$H$2+I626*Prislapp!$I$2+J626*Prislapp!$J$2+K626*Prislapp!$K$2+L626*Prislapp!$L$2+M626*Prislapp!$M$2+N626*Prislapp!$N$2</f>
        <v>26554</v>
      </c>
      <c r="P626" s="40">
        <f>C626*Prislapp!$C$3+D626*Prislapp!$D$3+E626*Prislapp!$E$3+F626*Prislapp!$F$3+G626*Prislapp!$G$3+H626*Prislapp!$H$3+I626*Prislapp!$I$3+J626*Prislapp!$J$3+K626*Prislapp!$K$3+M626*Prislapp!$M$3+N626*Prislapp!$N$3+L626*Prislapp!$L$3</f>
        <v>33465</v>
      </c>
      <c r="Q626" s="40">
        <f>C626*Prislapp!$C$5+D626*Prislapp!$D$5+E626*Prislapp!$E$5+F626*Prislapp!$F$5+G626*Prislapp!$G$5+H626*Prislapp!$H$5+I626*Prislapp!$I$5+J626*Prislapp!$J$5+K626*Prislapp!$K$5+L626*Prislapp!$L$5+M626*Prislapp!$M$5+N626*Prislapp!$N$5</f>
        <v>6000</v>
      </c>
      <c r="R626" s="9">
        <f>VLOOKUP(A626,'Ansvar kurs'!$A$2:$B$943,2,FALSE)</f>
        <v>5740</v>
      </c>
      <c r="T626" s="157"/>
      <c r="U626" s="197"/>
      <c r="V626" s="197"/>
      <c r="W626" s="197"/>
      <c r="X626" s="197"/>
      <c r="Y626" s="197"/>
      <c r="Z626" s="191"/>
    </row>
    <row r="627" spans="1:26" x14ac:dyDescent="0.25">
      <c r="A627" s="60" t="s">
        <v>1542</v>
      </c>
      <c r="B627" s="31" t="s">
        <v>1575</v>
      </c>
      <c r="F627" s="31">
        <v>1</v>
      </c>
      <c r="O627" s="40">
        <f>C627*Prislapp!$C$2+D627*Prislapp!$D$2+E627*Prislapp!$E$2+F627*Prislapp!$F$2+G627*Prislapp!$G$2+H627*Prislapp!$H$2+I627*Prislapp!$I$2+J627*Prislapp!$J$2+K627*Prislapp!$K$2+L627*Prislapp!$L$2+M627*Prislapp!$M$2+N627*Prislapp!$N$2</f>
        <v>26554</v>
      </c>
      <c r="P627" s="40">
        <f>C627*Prislapp!$C$3+D627*Prislapp!$D$3+E627*Prislapp!$E$3+F627*Prislapp!$F$3+G627*Prislapp!$G$3+H627*Prislapp!$H$3+I627*Prislapp!$I$3+J627*Prislapp!$J$3+K627*Prislapp!$K$3+M627*Prislapp!$M$3+N627*Prislapp!$N$3+L627*Prislapp!$L$3</f>
        <v>33465</v>
      </c>
      <c r="Q627" s="40">
        <f>C627*Prislapp!$C$5+D627*Prislapp!$D$5+E627*Prislapp!$E$5+F627*Prislapp!$F$5+G627*Prislapp!$G$5+H627*Prislapp!$H$5+I627*Prislapp!$I$5+J627*Prislapp!$J$5+K627*Prislapp!$K$5+L627*Prislapp!$L$5+M627*Prislapp!$M$5+N627*Prislapp!$N$5</f>
        <v>6000</v>
      </c>
      <c r="R627" s="9">
        <f>VLOOKUP(A627,'Ansvar kurs'!$A$2:$B$943,2,FALSE)</f>
        <v>5740</v>
      </c>
    </row>
    <row r="628" spans="1:26" x14ac:dyDescent="0.25">
      <c r="A628" s="60" t="s">
        <v>1533</v>
      </c>
      <c r="B628" s="31" t="s">
        <v>1576</v>
      </c>
      <c r="F628" s="31">
        <v>1</v>
      </c>
      <c r="O628" s="40">
        <f>C628*Prislapp!$C$2+D628*Prislapp!$D$2+E628*Prislapp!$E$2+F628*Prislapp!$F$2+G628*Prislapp!$G$2+H628*Prislapp!$H$2+I628*Prislapp!$I$2+J628*Prislapp!$J$2+K628*Prislapp!$K$2+L628*Prislapp!$L$2+M628*Prislapp!$M$2+N628*Prislapp!$N$2</f>
        <v>26554</v>
      </c>
      <c r="P628" s="40">
        <f>C628*Prislapp!$C$3+D628*Prislapp!$D$3+E628*Prislapp!$E$3+F628*Prislapp!$F$3+G628*Prislapp!$G$3+H628*Prislapp!$H$3+I628*Prislapp!$I$3+J628*Prislapp!$J$3+K628*Prislapp!$K$3+M628*Prislapp!$M$3+N628*Prislapp!$N$3+L628*Prislapp!$L$3</f>
        <v>33465</v>
      </c>
      <c r="Q628" s="40">
        <f>C628*Prislapp!$C$5+D628*Prislapp!$D$5+E628*Prislapp!$E$5+F628*Prislapp!$F$5+G628*Prislapp!$G$5+H628*Prislapp!$H$5+I628*Prislapp!$I$5+J628*Prislapp!$J$5+K628*Prislapp!$K$5+L628*Prislapp!$L$5+M628*Prislapp!$M$5+N628*Prislapp!$N$5</f>
        <v>6000</v>
      </c>
      <c r="R628" s="9">
        <f>VLOOKUP(A628,'Ansvar kurs'!$A$2:$B$943,2,FALSE)</f>
        <v>5740</v>
      </c>
    </row>
    <row r="629" spans="1:26" x14ac:dyDescent="0.25">
      <c r="A629" s="60" t="s">
        <v>1658</v>
      </c>
      <c r="B629" s="31" t="s">
        <v>1659</v>
      </c>
      <c r="F629" s="31">
        <v>1</v>
      </c>
      <c r="O629" s="40">
        <f>C629*Prislapp!$C$2+D629*Prislapp!$D$2+E629*Prislapp!$E$2+F629*Prislapp!$F$2+G629*Prislapp!$G$2+H629*Prislapp!$H$2+I629*Prislapp!$I$2+J629*Prislapp!$J$2+K629*Prislapp!$K$2+L629*Prislapp!$L$2+M629*Prislapp!$M$2+N629*Prislapp!$N$2</f>
        <v>26554</v>
      </c>
      <c r="P629" s="40">
        <f>C629*Prislapp!$C$3+D629*Prislapp!$D$3+E629*Prislapp!$E$3+F629*Prislapp!$F$3+G629*Prislapp!$G$3+H629*Prislapp!$H$3+I629*Prislapp!$I$3+J629*Prislapp!$J$3+K629*Prislapp!$K$3+M629*Prislapp!$M$3+N629*Prislapp!$N$3+L629*Prislapp!$L$3</f>
        <v>33465</v>
      </c>
      <c r="Q629" s="40">
        <f>C629*Prislapp!$C$5+D629*Prislapp!$D$5+E629*Prislapp!$E$5+F629*Prislapp!$F$5+G629*Prislapp!$G$5+H629*Prislapp!$H$5+I629*Prislapp!$I$5+J629*Prislapp!$J$5+K629*Prislapp!$K$5+L629*Prislapp!$L$5+M629*Prislapp!$M$5+N629*Prislapp!$N$5</f>
        <v>6000</v>
      </c>
      <c r="R629" s="9">
        <f>VLOOKUP(A629,'Ansvar kurs'!$A$2:$B$943,2,FALSE)</f>
        <v>5740</v>
      </c>
    </row>
    <row r="630" spans="1:26" x14ac:dyDescent="0.25">
      <c r="A630" s="222" t="s">
        <v>1662</v>
      </c>
      <c r="B630" t="s">
        <v>1845</v>
      </c>
      <c r="I630" s="31">
        <v>1</v>
      </c>
      <c r="O630" s="40">
        <f>C630*Prislapp!$C$2+D630*Prislapp!$D$2+E630*Prislapp!$E$2+F630*Prislapp!$F$2+G630*Prislapp!$G$2+H630*Prislapp!$H$2+I630*Prislapp!$I$2+J630*Prislapp!$J$2+K630*Prislapp!$K$2+L630*Prislapp!$L$2+M630*Prislapp!$M$2+N630*Prislapp!$N$2</f>
        <v>20766</v>
      </c>
      <c r="P630" s="40">
        <f>C630*Prislapp!$C$3+D630*Prislapp!$D$3+E630*Prislapp!$E$3+F630*Prislapp!$F$3+G630*Prislapp!$G$3+H630*Prislapp!$H$3+I630*Prislapp!$I$3+J630*Prislapp!$J$3+K630*Prislapp!$K$3+M630*Prislapp!$M$3+N630*Prislapp!$N$3+L630*Prislapp!$L$3</f>
        <v>17442</v>
      </c>
      <c r="Q630" s="40">
        <f>C630*Prislapp!$C$5+D630*Prislapp!$D$5+E630*Prislapp!$E$5+F630*Prislapp!$F$5+G630*Prislapp!$G$5+H630*Prislapp!$H$5+I630*Prislapp!$I$5+J630*Prislapp!$J$5+K630*Prislapp!$K$5+L630*Prislapp!$L$5+M630*Prislapp!$M$5+N630*Prislapp!$N$5</f>
        <v>6000</v>
      </c>
      <c r="R630" s="9">
        <f>VLOOKUP(A630,'Ansvar kurs'!$A$2:$B$943,2,FALSE)</f>
        <v>2193</v>
      </c>
      <c r="S630" s="157"/>
      <c r="T630" s="157"/>
      <c r="U630" s="157"/>
      <c r="V630" s="157"/>
      <c r="W630" s="157"/>
      <c r="X630" s="157"/>
      <c r="Y630" s="157"/>
      <c r="Z630" s="157"/>
    </row>
    <row r="631" spans="1:26" x14ac:dyDescent="0.25">
      <c r="A631" s="244" t="s">
        <v>1691</v>
      </c>
      <c r="B631" t="s">
        <v>1609</v>
      </c>
      <c r="H631" s="31">
        <v>1</v>
      </c>
      <c r="O631" s="40">
        <f>C631*Prislapp!$C$2+D631*Prislapp!$D$2+E631*Prislapp!$E$2+F631*Prislapp!$F$2+G631*Prislapp!$G$2+H631*Prislapp!$H$2+I631*Prislapp!$I$2+J631*Prislapp!$J$2+K631*Prislapp!$K$2+L631*Prislapp!$L$2+M631*Prislapp!$M$2+N631*Prislapp!$N$2</f>
        <v>20757</v>
      </c>
      <c r="P631" s="40">
        <f>C631*Prislapp!$C$3+D631*Prislapp!$D$3+E631*Prislapp!$E$3+F631*Prislapp!$F$3+G631*Prislapp!$G$3+H631*Prislapp!$H$3+I631*Prislapp!$I$3+J631*Prislapp!$J$3+K631*Prislapp!$K$3+M631*Prislapp!$M$3+N631*Prislapp!$N$3+L631*Prislapp!$L$3</f>
        <v>36082</v>
      </c>
      <c r="Q631" s="40">
        <f>C631*Prislapp!$C$5+D631*Prislapp!$D$5+E631*Prislapp!$E$5+F631*Prislapp!$F$5+G631*Prislapp!$G$5+H631*Prislapp!$H$5+I631*Prislapp!$I$5+J631*Prislapp!$J$5+K631*Prislapp!$K$5+L631*Prislapp!$L$5+M631*Prislapp!$M$5+N631*Prislapp!$N$5</f>
        <v>22600</v>
      </c>
      <c r="R631" s="9">
        <f>VLOOKUP(A631,'Ansvar kurs'!$A$2:$B$943,2,FALSE)</f>
        <v>5740</v>
      </c>
      <c r="S631" s="157"/>
      <c r="T631" s="157"/>
      <c r="U631" s="157"/>
      <c r="V631" s="157"/>
      <c r="W631" s="157"/>
      <c r="X631" s="157"/>
      <c r="Y631" s="157"/>
      <c r="Z631" s="157"/>
    </row>
    <row r="632" spans="1:26" x14ac:dyDescent="0.25">
      <c r="A632" s="222" t="s">
        <v>1664</v>
      </c>
      <c r="B632" s="31" t="s">
        <v>1177</v>
      </c>
      <c r="I632" s="31">
        <v>1</v>
      </c>
      <c r="O632" s="40">
        <f>C632*Prislapp!$C$2+D632*Prislapp!$D$2+E632*Prislapp!$E$2+F632*Prislapp!$F$2+G632*Prislapp!$G$2+H632*Prislapp!$H$2+I632*Prislapp!$I$2+J632*Prislapp!$J$2+K632*Prislapp!$K$2+L632*Prislapp!$L$2+M632*Prislapp!$M$2+N632*Prislapp!$N$2</f>
        <v>20766</v>
      </c>
      <c r="P632" s="40">
        <f>C632*Prislapp!$C$3+D632*Prislapp!$D$3+E632*Prislapp!$E$3+F632*Prislapp!$F$3+G632*Prislapp!$G$3+H632*Prislapp!$H$3+I632*Prislapp!$I$3+J632*Prislapp!$J$3+K632*Prislapp!$K$3+M632*Prislapp!$M$3+N632*Prislapp!$N$3+L632*Prislapp!$L$3</f>
        <v>17442</v>
      </c>
      <c r="Q632" s="40">
        <f>C632*Prislapp!$C$5+D632*Prislapp!$D$5+E632*Prislapp!$E$5+F632*Prislapp!$F$5+G632*Prislapp!$G$5+H632*Prislapp!$H$5+I632*Prislapp!$I$5+J632*Prislapp!$J$5+K632*Prislapp!$K$5+L632*Prislapp!$L$5+M632*Prislapp!$M$5+N632*Prislapp!$N$5</f>
        <v>6000</v>
      </c>
      <c r="R632" s="9">
        <f>VLOOKUP(A632,'Ansvar kurs'!$A$2:$B$943,2,FALSE)</f>
        <v>2193</v>
      </c>
      <c r="S632" s="157"/>
      <c r="T632" s="157"/>
      <c r="U632" s="157"/>
      <c r="V632" s="157"/>
      <c r="W632" s="157"/>
      <c r="X632" s="157"/>
      <c r="Y632" s="157"/>
      <c r="Z632" s="157"/>
    </row>
    <row r="633" spans="1:26" x14ac:dyDescent="0.25">
      <c r="A633" s="222" t="s">
        <v>1665</v>
      </c>
      <c r="B633" s="31" t="s">
        <v>1177</v>
      </c>
      <c r="I633" s="31">
        <v>1</v>
      </c>
      <c r="O633" s="40">
        <f>C633*Prislapp!$C$2+D633*Prislapp!$D$2+E633*Prislapp!$E$2+F633*Prislapp!$F$2+G633*Prislapp!$G$2+H633*Prislapp!$H$2+I633*Prislapp!$I$2+J633*Prislapp!$J$2+K633*Prislapp!$K$2+L633*Prislapp!$L$2+M633*Prislapp!$M$2+N633*Prislapp!$N$2</f>
        <v>20766</v>
      </c>
      <c r="P633" s="40">
        <f>C633*Prislapp!$C$3+D633*Prislapp!$D$3+E633*Prislapp!$E$3+F633*Prislapp!$F$3+G633*Prislapp!$G$3+H633*Prislapp!$H$3+I633*Prislapp!$I$3+J633*Prislapp!$J$3+K633*Prislapp!$K$3+M633*Prislapp!$M$3+N633*Prislapp!$N$3+L633*Prislapp!$L$3</f>
        <v>17442</v>
      </c>
      <c r="Q633" s="40">
        <f>C633*Prislapp!$C$5+D633*Prislapp!$D$5+E633*Prislapp!$E$5+F633*Prislapp!$F$5+G633*Prislapp!$G$5+H633*Prislapp!$H$5+I633*Prislapp!$I$5+J633*Prislapp!$J$5+K633*Prislapp!$K$5+L633*Prislapp!$L$5+M633*Prislapp!$M$5+N633*Prislapp!$N$5</f>
        <v>6000</v>
      </c>
      <c r="R633" s="9">
        <f>VLOOKUP(A633,'Ansvar kurs'!$A$2:$B$943,2,FALSE)</f>
        <v>2193</v>
      </c>
      <c r="S633" s="157"/>
      <c r="T633" s="157"/>
      <c r="U633" s="157"/>
      <c r="V633" s="157"/>
      <c r="W633" s="157"/>
      <c r="X633" s="157"/>
      <c r="Y633" s="157"/>
      <c r="Z633" s="157"/>
    </row>
    <row r="634" spans="1:26" x14ac:dyDescent="0.25">
      <c r="A634" s="222" t="s">
        <v>1668</v>
      </c>
      <c r="B634" t="s">
        <v>1622</v>
      </c>
      <c r="I634" s="31">
        <v>1</v>
      </c>
      <c r="O634" s="40">
        <f>C634*Prislapp!$C$2+D634*Prislapp!$D$2+E634*Prislapp!$E$2+F634*Prislapp!$F$2+G634*Prislapp!$G$2+H634*Prislapp!$H$2+I634*Prislapp!$I$2+J634*Prislapp!$J$2+K634*Prislapp!$K$2+L634*Prislapp!$L$2+M634*Prislapp!$M$2+N634*Prislapp!$N$2</f>
        <v>20766</v>
      </c>
      <c r="P634" s="40">
        <f>C634*Prislapp!$C$3+D634*Prislapp!$D$3+E634*Prislapp!$E$3+F634*Prislapp!$F$3+G634*Prislapp!$G$3+H634*Prislapp!$H$3+I634*Prislapp!$I$3+J634*Prislapp!$J$3+K634*Prislapp!$K$3+M634*Prislapp!$M$3+N634*Prislapp!$N$3+L634*Prislapp!$L$3</f>
        <v>17442</v>
      </c>
      <c r="Q634" s="40">
        <f>C634*Prislapp!$C$5+D634*Prislapp!$D$5+E634*Prislapp!$E$5+F634*Prislapp!$F$5+G634*Prislapp!$G$5+H634*Prislapp!$H$5+I634*Prislapp!$I$5+J634*Prislapp!$J$5+K634*Prislapp!$K$5+L634*Prislapp!$L$5+M634*Prislapp!$M$5+N634*Prislapp!$N$5</f>
        <v>6000</v>
      </c>
      <c r="R634" s="9">
        <f>VLOOKUP(A634,'Ansvar kurs'!$A$2:$B$943,2,FALSE)</f>
        <v>2193</v>
      </c>
      <c r="S634" s="157"/>
      <c r="T634" s="157"/>
      <c r="U634" s="157"/>
      <c r="V634" s="157"/>
      <c r="W634" s="157"/>
      <c r="X634" s="157"/>
      <c r="Y634" s="157"/>
      <c r="Z634" s="157"/>
    </row>
    <row r="635" spans="1:26" x14ac:dyDescent="0.25">
      <c r="A635" s="244" t="s">
        <v>1692</v>
      </c>
      <c r="B635" t="s">
        <v>1621</v>
      </c>
      <c r="I635" s="31">
        <v>1</v>
      </c>
      <c r="O635" s="40">
        <f>C635*Prislapp!$C$2+D635*Prislapp!$D$2+E635*Prislapp!$E$2+F635*Prislapp!$F$2+G635*Prislapp!$G$2+H635*Prislapp!$H$2+I635*Prislapp!$I$2+J635*Prislapp!$J$2+K635*Prislapp!$K$2+L635*Prislapp!$L$2+M635*Prislapp!$M$2+N635*Prislapp!$N$2</f>
        <v>20766</v>
      </c>
      <c r="P635" s="40">
        <f>C635*Prislapp!$C$3+D635*Prislapp!$D$3+E635*Prislapp!$E$3+F635*Prislapp!$F$3+G635*Prislapp!$G$3+H635*Prislapp!$H$3+I635*Prislapp!$I$3+J635*Prislapp!$J$3+K635*Prislapp!$K$3+M635*Prislapp!$M$3+N635*Prislapp!$N$3+L635*Prislapp!$L$3</f>
        <v>17442</v>
      </c>
      <c r="Q635" s="40">
        <f>C635*Prislapp!$C$5+D635*Prislapp!$D$5+E635*Prislapp!$E$5+F635*Prislapp!$F$5+G635*Prislapp!$G$5+H635*Prislapp!$H$5+I635*Prislapp!$I$5+J635*Prislapp!$J$5+K635*Prislapp!$K$5+L635*Prislapp!$L$5+M635*Prislapp!$M$5+N635*Prislapp!$N$5</f>
        <v>6000</v>
      </c>
      <c r="R635" s="9">
        <f>VLOOKUP(A635,'Ansvar kurs'!$A$2:$B$943,2,FALSE)</f>
        <v>2193</v>
      </c>
      <c r="S635" s="157"/>
      <c r="T635" s="157"/>
      <c r="U635" s="157"/>
      <c r="V635" s="157"/>
      <c r="W635" s="157"/>
      <c r="X635" s="157"/>
      <c r="Y635" s="157"/>
      <c r="Z635" s="157"/>
    </row>
    <row r="636" spans="1:26" x14ac:dyDescent="0.25">
      <c r="A636" s="18" t="s">
        <v>2047</v>
      </c>
      <c r="B636" t="s">
        <v>1617</v>
      </c>
      <c r="I636" s="31">
        <v>1</v>
      </c>
      <c r="O636" s="40">
        <f>C636*Prislapp!$C$2+D636*Prislapp!$D$2+E636*Prislapp!$E$2+F636*Prislapp!$F$2+G636*Prislapp!$G$2+H636*Prislapp!$H$2+I636*Prislapp!$I$2+J636*Prislapp!$J$2+K636*Prislapp!$K$2+L636*Prislapp!$L$2+M636*Prislapp!$M$2+N636*Prislapp!$N$2</f>
        <v>20766</v>
      </c>
      <c r="P636" s="40">
        <f>C636*Prislapp!$C$3+D636*Prislapp!$D$3+E636*Prislapp!$E$3+F636*Prislapp!$F$3+G636*Prislapp!$G$3+H636*Prislapp!$H$3+I636*Prislapp!$I$3+J636*Prislapp!$J$3+K636*Prislapp!$K$3+M636*Prislapp!$M$3+N636*Prislapp!$N$3+L636*Prislapp!$L$3</f>
        <v>17442</v>
      </c>
      <c r="Q636" s="40">
        <f>C636*Prislapp!$C$5+D636*Prislapp!$D$5+E636*Prislapp!$E$5+F636*Prislapp!$F$5+G636*Prislapp!$G$5+H636*Prislapp!$H$5+I636*Prislapp!$I$5+J636*Prislapp!$J$5+K636*Prislapp!$K$5+L636*Prislapp!$L$5+M636*Prislapp!$M$5+N636*Prislapp!$N$5</f>
        <v>6000</v>
      </c>
      <c r="R636" s="9">
        <f>VLOOKUP(A636,'Ansvar kurs'!$A$2:$B$943,2,FALSE)</f>
        <v>2193</v>
      </c>
      <c r="S636" s="157"/>
      <c r="T636" s="157"/>
      <c r="U636" s="157"/>
      <c r="V636" s="157"/>
      <c r="W636" s="157"/>
      <c r="X636" s="157"/>
      <c r="Y636" s="157"/>
      <c r="Z636" s="157"/>
    </row>
    <row r="637" spans="1:26" x14ac:dyDescent="0.25">
      <c r="A637" s="18" t="s">
        <v>2048</v>
      </c>
      <c r="B637" t="s">
        <v>1618</v>
      </c>
      <c r="I637" s="31">
        <v>1</v>
      </c>
      <c r="O637" s="40">
        <f>C637*Prislapp!$C$2+D637*Prislapp!$D$2+E637*Prislapp!$E$2+F637*Prislapp!$F$2+G637*Prislapp!$G$2+H637*Prislapp!$H$2+I637*Prislapp!$I$2+J637*Prislapp!$J$2+K637*Prislapp!$K$2+L637*Prislapp!$L$2+M637*Prislapp!$M$2+N637*Prislapp!$N$2</f>
        <v>20766</v>
      </c>
      <c r="P637" s="40">
        <f>C637*Prislapp!$C$3+D637*Prislapp!$D$3+E637*Prislapp!$E$3+F637*Prislapp!$F$3+G637*Prislapp!$G$3+H637*Prislapp!$H$3+I637*Prislapp!$I$3+J637*Prislapp!$J$3+K637*Prislapp!$K$3+M637*Prislapp!$M$3+N637*Prislapp!$N$3+L637*Prislapp!$L$3</f>
        <v>17442</v>
      </c>
      <c r="Q637" s="40">
        <f>C637*Prislapp!$C$5+D637*Prislapp!$D$5+E637*Prislapp!$E$5+F637*Prislapp!$F$5+G637*Prislapp!$G$5+H637*Prislapp!$H$5+I637*Prislapp!$I$5+J637*Prislapp!$J$5+K637*Prislapp!$K$5+L637*Prislapp!$L$5+M637*Prislapp!$M$5+N637*Prislapp!$N$5</f>
        <v>6000</v>
      </c>
      <c r="R637" s="9">
        <f>VLOOKUP(A637,'Ansvar kurs'!$A$2:$B$943,2,FALSE)</f>
        <v>2193</v>
      </c>
      <c r="S637" s="157"/>
      <c r="T637" s="157"/>
      <c r="U637" s="157"/>
      <c r="V637" s="157"/>
      <c r="W637" s="157"/>
      <c r="X637" s="157"/>
      <c r="Y637" s="157"/>
      <c r="Z637" s="157"/>
    </row>
    <row r="638" spans="1:26" x14ac:dyDescent="0.25">
      <c r="A638" s="18" t="s">
        <v>2172</v>
      </c>
      <c r="B638" t="s">
        <v>2176</v>
      </c>
      <c r="F638" s="31">
        <v>1</v>
      </c>
      <c r="O638" s="40">
        <f>C638*Prislapp!$C$2+D638*Prislapp!$D$2+E638*Prislapp!$E$2+F638*Prislapp!$F$2+G638*Prislapp!$G$2+H638*Prislapp!$H$2+I638*Prislapp!$I$2+J638*Prislapp!$J$2+K638*Prislapp!$K$2+L638*Prislapp!$L$2+M638*Prislapp!$M$2+N638*Prislapp!$N$2</f>
        <v>26554</v>
      </c>
      <c r="P638" s="40">
        <f>C638*Prislapp!$C$3+D638*Prislapp!$D$3+E638*Prislapp!$E$3+F638*Prislapp!$F$3+G638*Prislapp!$G$3+H638*Prislapp!$H$3+I638*Prislapp!$I$3+J638*Prislapp!$J$3+K638*Prislapp!$K$3+M638*Prislapp!$M$3+N638*Prislapp!$N$3+L638*Prislapp!$L$3</f>
        <v>33465</v>
      </c>
      <c r="Q638" s="40">
        <f>C638*Prislapp!$C$5+D638*Prislapp!$D$5+E638*Prislapp!$E$5+F638*Prislapp!$F$5+G638*Prislapp!$G$5+H638*Prislapp!$H$5+I638*Prislapp!$I$5+J638*Prislapp!$J$5+K638*Prislapp!$K$5+L638*Prislapp!$L$5+M638*Prislapp!$M$5+N638*Prislapp!$N$5</f>
        <v>6000</v>
      </c>
      <c r="R638" s="9">
        <f>VLOOKUP(A638,'Ansvar kurs'!$A$2:$B$943,2,FALSE)</f>
        <v>2193</v>
      </c>
      <c r="S638" s="157"/>
      <c r="T638" s="157" t="s">
        <v>2177</v>
      </c>
      <c r="U638" s="157"/>
      <c r="V638" s="157"/>
      <c r="W638" s="157"/>
      <c r="X638" s="157"/>
      <c r="Y638" s="157"/>
      <c r="Z638" s="157"/>
    </row>
    <row r="639" spans="1:26" x14ac:dyDescent="0.25">
      <c r="A639" s="222" t="s">
        <v>1682</v>
      </c>
      <c r="B639" t="s">
        <v>1683</v>
      </c>
      <c r="K639" s="31">
        <v>1</v>
      </c>
      <c r="O639" s="40">
        <f>C639*Prislapp!$C$2+D639*Prislapp!$D$2+E639*Prislapp!$E$2+F639*Prislapp!$F$2+G639*Prislapp!$G$2+H639*Prislapp!$H$2+I639*Prislapp!$I$2+J639*Prislapp!$J$2+K639*Prislapp!$K$2+L639*Prislapp!$L$2+M639*Prislapp!$M$2+N639*Prislapp!$N$2</f>
        <v>25235</v>
      </c>
      <c r="P639" s="40">
        <f>C639*Prislapp!$C$3+D639*Prislapp!$D$3+E639*Prislapp!$E$3+F639*Prislapp!$F$3+G639*Prislapp!$G$3+H639*Prislapp!$H$3+I639*Prislapp!$I$3+J639*Prislapp!$J$3+K639*Prislapp!$K$3+M639*Prislapp!$M$3+N639*Prislapp!$N$3+L639*Prislapp!$L$3</f>
        <v>27976</v>
      </c>
      <c r="Q639" s="40">
        <f>C639*Prislapp!$C$5+D639*Prislapp!$D$5+E639*Prislapp!$E$5+F639*Prislapp!$F$5+G639*Prislapp!$G$5+H639*Prislapp!$H$5+I639*Prislapp!$I$5+J639*Prislapp!$J$5+K639*Prislapp!$K$5+L639*Prislapp!$L$5+M639*Prislapp!$M$5+N639*Prislapp!$N$5</f>
        <v>3600</v>
      </c>
      <c r="R639" s="9">
        <f>VLOOKUP(A639,'Ansvar kurs'!$A$2:$B$943,2,FALSE)</f>
        <v>2180</v>
      </c>
      <c r="S639" s="157"/>
      <c r="T639" s="157"/>
      <c r="U639" s="157"/>
      <c r="V639" s="157"/>
      <c r="W639" s="157"/>
      <c r="X639" s="157"/>
      <c r="Y639" s="157"/>
      <c r="Z639" s="157"/>
    </row>
    <row r="640" spans="1:26" x14ac:dyDescent="0.25">
      <c r="A640" s="60" t="s">
        <v>1684</v>
      </c>
      <c r="B640" s="31" t="s">
        <v>1685</v>
      </c>
      <c r="I640" s="31">
        <v>1</v>
      </c>
      <c r="O640" s="40">
        <f>C640*Prislapp!$C$2+D640*Prislapp!$D$2+E640*Prislapp!$E$2+F640*Prislapp!$F$2+G640*Prislapp!$G$2+H640*Prislapp!$H$2+I640*Prislapp!$I$2+J640*Prislapp!$J$2+K640*Prislapp!$K$2+L640*Prislapp!$L$2+M640*Prislapp!$M$2+N640*Prislapp!$N$2</f>
        <v>20766</v>
      </c>
      <c r="P640" s="40">
        <f>C640*Prislapp!$C$3+D640*Prislapp!$D$3+E640*Prislapp!$E$3+F640*Prislapp!$F$3+G640*Prislapp!$G$3+H640*Prislapp!$H$3+I640*Prislapp!$I$3+J640*Prislapp!$J$3+K640*Prislapp!$K$3+M640*Prislapp!$M$3+N640*Prislapp!$N$3+L640*Prislapp!$L$3</f>
        <v>17442</v>
      </c>
      <c r="Q640" s="40">
        <f>C640*Prislapp!$C$5+D640*Prislapp!$D$5+E640*Prislapp!$E$5+F640*Prislapp!$F$5+G640*Prislapp!$G$5+H640*Prislapp!$H$5+I640*Prislapp!$I$5+J640*Prislapp!$J$5+K640*Prislapp!$K$5+L640*Prislapp!$L$5+M640*Prislapp!$M$5+N640*Prislapp!$N$5</f>
        <v>6000</v>
      </c>
      <c r="R640" s="9">
        <f>VLOOKUP(A640,'Ansvar kurs'!$A$2:$B$943,2,FALSE)</f>
        <v>2193</v>
      </c>
    </row>
    <row r="641" spans="1:26" x14ac:dyDescent="0.25">
      <c r="A641" s="222" t="s">
        <v>1705</v>
      </c>
      <c r="B641" s="31" t="s">
        <v>1714</v>
      </c>
      <c r="K641" s="31">
        <v>1</v>
      </c>
      <c r="O641" s="40">
        <f>C641*Prislapp!$C$2+D641*Prislapp!$D$2+E641*Prislapp!$E$2+F641*Prislapp!$F$2+G641*Prislapp!$G$2+H641*Prislapp!$H$2+I641*Prislapp!$I$2+J641*Prislapp!$J$2+K641*Prislapp!$K$2+L641*Prislapp!$L$2+M641*Prislapp!$M$2+N641*Prislapp!$N$2</f>
        <v>25235</v>
      </c>
      <c r="P641" s="40">
        <f>C641*Prislapp!$C$3+D641*Prislapp!$D$3+E641*Prislapp!$E$3+F641*Prislapp!$F$3+G641*Prislapp!$G$3+H641*Prislapp!$H$3+I641*Prislapp!$I$3+J641*Prislapp!$J$3+K641*Prislapp!$K$3+M641*Prislapp!$M$3+N641*Prislapp!$N$3+L641*Prislapp!$L$3</f>
        <v>27976</v>
      </c>
      <c r="Q641" s="40">
        <f>C641*Prislapp!$C$5+D641*Prislapp!$D$5+E641*Prislapp!$E$5+F641*Prislapp!$F$5+G641*Prislapp!$G$5+H641*Prislapp!$H$5+I641*Prislapp!$I$5+J641*Prislapp!$J$5+K641*Prislapp!$K$5+L641*Prislapp!$L$5+M641*Prislapp!$M$5+N641*Prislapp!$N$5</f>
        <v>3600</v>
      </c>
      <c r="R641" s="9">
        <f>VLOOKUP(A641,'Ansvar kurs'!$A$2:$B$943,2,FALSE)</f>
        <v>2193</v>
      </c>
    </row>
    <row r="642" spans="1:26" x14ac:dyDescent="0.25">
      <c r="A642" s="60" t="s">
        <v>1686</v>
      </c>
      <c r="B642" s="31" t="s">
        <v>1390</v>
      </c>
      <c r="I642" s="31">
        <v>1</v>
      </c>
      <c r="O642" s="40">
        <f>C642*Prislapp!$C$2+D642*Prislapp!$D$2+E642*Prislapp!$E$2+F642*Prislapp!$F$2+G642*Prislapp!$G$2+H642*Prislapp!$H$2+I642*Prislapp!$I$2+J642*Prislapp!$J$2+K642*Prislapp!$K$2+L642*Prislapp!$L$2+M642*Prislapp!$M$2+N642*Prislapp!$N$2</f>
        <v>20766</v>
      </c>
      <c r="P642" s="40">
        <f>C642*Prislapp!$C$3+D642*Prislapp!$D$3+E642*Prislapp!$E$3+F642*Prislapp!$F$3+G642*Prislapp!$G$3+H642*Prislapp!$H$3+I642*Prislapp!$I$3+J642*Prislapp!$J$3+K642*Prislapp!$K$3+M642*Prislapp!$M$3+N642*Prislapp!$N$3+L642*Prislapp!$L$3</f>
        <v>17442</v>
      </c>
      <c r="Q642" s="40">
        <f>C642*Prislapp!$C$5+D642*Prislapp!$D$5+E642*Prislapp!$E$5+F642*Prislapp!$F$5+G642*Prislapp!$G$5+H642*Prislapp!$H$5+I642*Prislapp!$I$5+J642*Prislapp!$J$5+K642*Prislapp!$K$5+L642*Prislapp!$L$5+M642*Prislapp!$M$5+N642*Prislapp!$N$5</f>
        <v>6000</v>
      </c>
      <c r="R642" s="9">
        <f>VLOOKUP(A642,'Ansvar kurs'!$A$2:$B$943,2,FALSE)</f>
        <v>2193</v>
      </c>
    </row>
    <row r="643" spans="1:26" x14ac:dyDescent="0.25">
      <c r="A643" s="222" t="s">
        <v>1677</v>
      </c>
      <c r="B643" s="57" t="s">
        <v>1678</v>
      </c>
      <c r="K643" s="31">
        <v>1</v>
      </c>
      <c r="O643" s="40">
        <f>C643*Prislapp!$C$2+D643*Prislapp!$D$2+E643*Prislapp!$E$2+F643*Prislapp!$F$2+G643*Prislapp!$G$2+H643*Prislapp!$H$2+I643*Prislapp!$I$2+J643*Prislapp!$J$2+K643*Prislapp!$K$2+L643*Prislapp!$L$2+M643*Prislapp!$M$2+N643*Prislapp!$N$2</f>
        <v>25235</v>
      </c>
      <c r="P643" s="40">
        <f>C643*Prislapp!$C$3+D643*Prislapp!$D$3+E643*Prislapp!$E$3+F643*Prislapp!$F$3+G643*Prislapp!$G$3+H643*Prislapp!$H$3+I643*Prislapp!$I$3+J643*Prislapp!$J$3+K643*Prislapp!$K$3+M643*Prislapp!$M$3+N643*Prislapp!$N$3+L643*Prislapp!$L$3</f>
        <v>27976</v>
      </c>
      <c r="Q643" s="40">
        <f>C643*Prislapp!$C$5+D643*Prislapp!$D$5+E643*Prislapp!$E$5+F643*Prislapp!$F$5+G643*Prislapp!$G$5+H643*Prislapp!$H$5+I643*Prislapp!$I$5+J643*Prislapp!$J$5+K643*Prislapp!$K$5+L643*Prislapp!$L$5+M643*Prislapp!$M$5+N643*Prislapp!$N$5</f>
        <v>3600</v>
      </c>
      <c r="R643" s="9">
        <f>VLOOKUP(A643,'Ansvar kurs'!$A$2:$B$943,2,FALSE)</f>
        <v>2193</v>
      </c>
      <c r="S643" s="157"/>
      <c r="T643" s="157"/>
      <c r="U643" s="157"/>
      <c r="V643" s="157"/>
      <c r="W643" s="157"/>
      <c r="X643" s="157"/>
      <c r="Y643" s="157"/>
      <c r="Z643" s="157"/>
    </row>
    <row r="644" spans="1:26" x14ac:dyDescent="0.25">
      <c r="A644" s="222" t="s">
        <v>1679</v>
      </c>
      <c r="B644" s="57" t="s">
        <v>1680</v>
      </c>
      <c r="K644" s="31">
        <v>1</v>
      </c>
      <c r="O644" s="40">
        <f>C644*Prislapp!$C$2+D644*Prislapp!$D$2+E644*Prislapp!$E$2+F644*Prislapp!$F$2+G644*Prislapp!$G$2+H644*Prislapp!$H$2+I644*Prislapp!$I$2+J644*Prislapp!$J$2+K644*Prislapp!$K$2+L644*Prislapp!$L$2+M644*Prislapp!$M$2+N644*Prislapp!$N$2</f>
        <v>25235</v>
      </c>
      <c r="P644" s="40">
        <f>C644*Prislapp!$C$3+D644*Prislapp!$D$3+E644*Prislapp!$E$3+F644*Prislapp!$F$3+G644*Prislapp!$G$3+H644*Prislapp!$H$3+I644*Prislapp!$I$3+J644*Prislapp!$J$3+K644*Prislapp!$K$3+M644*Prislapp!$M$3+N644*Prislapp!$N$3+L644*Prislapp!$L$3</f>
        <v>27976</v>
      </c>
      <c r="Q644" s="40">
        <f>C644*Prislapp!$C$5+D644*Prislapp!$D$5+E644*Prislapp!$E$5+F644*Prislapp!$F$5+G644*Prislapp!$G$5+H644*Prislapp!$H$5+I644*Prislapp!$I$5+J644*Prislapp!$J$5+K644*Prislapp!$K$5+L644*Prislapp!$L$5+M644*Prislapp!$M$5+N644*Prislapp!$N$5</f>
        <v>3600</v>
      </c>
      <c r="R644" s="9">
        <f>VLOOKUP(A644,'Ansvar kurs'!$A$2:$B$943,2,FALSE)</f>
        <v>2193</v>
      </c>
      <c r="S644" s="157"/>
      <c r="T644" s="157"/>
      <c r="U644" s="157"/>
      <c r="V644" s="157"/>
      <c r="W644" s="157"/>
      <c r="X644" s="157"/>
      <c r="Y644" s="157"/>
      <c r="Z644" s="157"/>
    </row>
    <row r="645" spans="1:26" x14ac:dyDescent="0.25">
      <c r="A645" s="222" t="s">
        <v>1735</v>
      </c>
      <c r="B645" s="57" t="s">
        <v>1736</v>
      </c>
      <c r="I645" s="31">
        <v>1</v>
      </c>
      <c r="O645" s="40">
        <f>C645*Prislapp!$C$2+D645*Prislapp!$D$2+E645*Prislapp!$E$2+F645*Prislapp!$F$2+G645*Prislapp!$G$2+H645*Prislapp!$H$2+I645*Prislapp!$I$2+J645*Prislapp!$J$2+K645*Prislapp!$K$2+L645*Prislapp!$L$2+M645*Prislapp!$M$2+N645*Prislapp!$N$2</f>
        <v>20766</v>
      </c>
      <c r="P645" s="40">
        <f>C645*Prislapp!$C$3+D645*Prislapp!$D$3+E645*Prislapp!$E$3+F645*Prislapp!$F$3+G645*Prislapp!$G$3+H645*Prislapp!$H$3+I645*Prislapp!$I$3+J645*Prislapp!$J$3+K645*Prislapp!$K$3+M645*Prislapp!$M$3+N645*Prislapp!$N$3+L645*Prislapp!$L$3</f>
        <v>17442</v>
      </c>
      <c r="Q645" s="40">
        <f>C645*Prislapp!$C$5+D645*Prislapp!$D$5+E645*Prislapp!$E$5+F645*Prislapp!$F$5+G645*Prislapp!$G$5+H645*Prislapp!$H$5+I645*Prislapp!$I$5+J645*Prislapp!$J$5+K645*Prislapp!$K$5+L645*Prislapp!$L$5+M645*Prislapp!$M$5+N645*Prislapp!$N$5</f>
        <v>6000</v>
      </c>
      <c r="R645" s="9">
        <f>VLOOKUP(A645,'Ansvar kurs'!$A$2:$B$943,2,FALSE)</f>
        <v>2193</v>
      </c>
      <c r="S645" s="157"/>
      <c r="T645" s="157"/>
      <c r="U645" s="157"/>
      <c r="V645" s="157"/>
      <c r="W645" s="157"/>
      <c r="X645" s="157"/>
      <c r="Y645" s="157"/>
      <c r="Z645" s="157"/>
    </row>
    <row r="646" spans="1:26" x14ac:dyDescent="0.25">
      <c r="A646" s="222" t="s">
        <v>1715</v>
      </c>
      <c r="B646" s="260" t="s">
        <v>1716</v>
      </c>
      <c r="F646" s="31">
        <v>1</v>
      </c>
      <c r="O646" s="40">
        <f>C646*Prislapp!$C$2+D646*Prislapp!$D$2+E646*Prislapp!$E$2+F646*Prislapp!$F$2+G646*Prislapp!$G$2+H646*Prislapp!$H$2+I646*Prislapp!$I$2+J646*Prislapp!$J$2+K646*Prislapp!$K$2+L646*Prislapp!$L$2+M646*Prislapp!$M$2+N646*Prislapp!$N$2</f>
        <v>26554</v>
      </c>
      <c r="P646" s="40">
        <f>C646*Prislapp!$C$3+D646*Prislapp!$D$3+E646*Prislapp!$E$3+F646*Prislapp!$F$3+G646*Prislapp!$G$3+H646*Prislapp!$H$3+I646*Prislapp!$I$3+J646*Prislapp!$J$3+K646*Prislapp!$K$3+M646*Prislapp!$M$3+N646*Prislapp!$N$3+L646*Prislapp!$L$3</f>
        <v>33465</v>
      </c>
      <c r="Q646" s="40">
        <f>C646*Prislapp!$C$5+D646*Prislapp!$D$5+E646*Prislapp!$E$5+F646*Prislapp!$F$5+G646*Prislapp!$G$5+H646*Prislapp!$H$5+I646*Prislapp!$I$5+J646*Prislapp!$J$5+K646*Prislapp!$K$5+L646*Prislapp!$L$5+M646*Prislapp!$M$5+N646*Prislapp!$N$5</f>
        <v>6000</v>
      </c>
      <c r="R646" s="9">
        <f>VLOOKUP(A646,'Ansvar kurs'!$A$2:$B$943,2,FALSE)</f>
        <v>5740</v>
      </c>
      <c r="S646" s="157"/>
      <c r="T646" s="157"/>
      <c r="U646" s="157"/>
      <c r="V646" s="157"/>
      <c r="W646" s="157"/>
      <c r="X646" s="157"/>
      <c r="Y646" s="157"/>
      <c r="Z646" s="157"/>
    </row>
    <row r="647" spans="1:26" x14ac:dyDescent="0.25">
      <c r="A647" s="222" t="s">
        <v>1703</v>
      </c>
      <c r="B647" s="57" t="s">
        <v>1711</v>
      </c>
      <c r="K647" s="31">
        <v>1</v>
      </c>
      <c r="O647" s="40">
        <f>C647*Prislapp!$C$2+D647*Prislapp!$D$2+E647*Prislapp!$E$2+F647*Prislapp!$F$2+G647*Prislapp!$G$2+H647*Prislapp!$H$2+I647*Prislapp!$I$2+J647*Prislapp!$J$2+K647*Prislapp!$K$2+L647*Prislapp!$L$2+M647*Prislapp!$M$2+N647*Prislapp!$N$2</f>
        <v>25235</v>
      </c>
      <c r="P647" s="40">
        <f>C647*Prislapp!$C$3+D647*Prislapp!$D$3+E647*Prislapp!$E$3+F647*Prislapp!$F$3+G647*Prislapp!$G$3+H647*Prislapp!$H$3+I647*Prislapp!$I$3+J647*Prislapp!$J$3+K647*Prislapp!$K$3+M647*Prislapp!$M$3+N647*Prislapp!$N$3+L647*Prislapp!$L$3</f>
        <v>27976</v>
      </c>
      <c r="Q647" s="40">
        <f>C647*Prislapp!$C$5+D647*Prislapp!$D$5+E647*Prislapp!$E$5+F647*Prislapp!$F$5+G647*Prislapp!$G$5+H647*Prislapp!$H$5+I647*Prislapp!$I$5+J647*Prislapp!$J$5+K647*Prislapp!$K$5+L647*Prislapp!$L$5+M647*Prislapp!$M$5+N647*Prislapp!$N$5</f>
        <v>3600</v>
      </c>
      <c r="R647" s="9">
        <f>VLOOKUP(A647,'Ansvar kurs'!$A$2:$B$943,2,FALSE)</f>
        <v>5740</v>
      </c>
      <c r="S647" s="157"/>
      <c r="T647" s="157"/>
      <c r="U647" s="157"/>
      <c r="V647" s="157"/>
      <c r="W647" s="157"/>
      <c r="X647" s="157"/>
      <c r="Y647" s="157"/>
      <c r="Z647" s="157"/>
    </row>
    <row r="648" spans="1:26" x14ac:dyDescent="0.25">
      <c r="A648" s="222" t="s">
        <v>1702</v>
      </c>
      <c r="B648" s="57" t="s">
        <v>1710</v>
      </c>
      <c r="K648" s="31">
        <v>1</v>
      </c>
      <c r="O648" s="40">
        <f>C648*Prislapp!$C$2+D648*Prislapp!$D$2+E648*Prislapp!$E$2+F648*Prislapp!$F$2+G648*Prislapp!$G$2+H648*Prislapp!$H$2+I648*Prislapp!$I$2+J648*Prislapp!$J$2+K648*Prislapp!$K$2+L648*Prislapp!$L$2+M648*Prislapp!$M$2+N648*Prislapp!$N$2</f>
        <v>25235</v>
      </c>
      <c r="P648" s="40">
        <f>C648*Prislapp!$C$3+D648*Prislapp!$D$3+E648*Prislapp!$E$3+F648*Prislapp!$F$3+G648*Prislapp!$G$3+H648*Prislapp!$H$3+I648*Prislapp!$I$3+J648*Prislapp!$J$3+K648*Prislapp!$K$3+M648*Prislapp!$M$3+N648*Prislapp!$N$3+L648*Prislapp!$L$3</f>
        <v>27976</v>
      </c>
      <c r="Q648" s="40">
        <f>C648*Prislapp!$C$5+D648*Prislapp!$D$5+E648*Prislapp!$E$5+F648*Prislapp!$F$5+G648*Prislapp!$G$5+H648*Prislapp!$H$5+I648*Prislapp!$I$5+J648*Prislapp!$J$5+K648*Prislapp!$K$5+L648*Prislapp!$L$5+M648*Prislapp!$M$5+N648*Prislapp!$N$5</f>
        <v>3600</v>
      </c>
      <c r="R648" s="9">
        <f>VLOOKUP(A648,'Ansvar kurs'!$A$2:$B$943,2,FALSE)</f>
        <v>5740</v>
      </c>
      <c r="S648" s="157"/>
      <c r="T648" s="157"/>
      <c r="U648" s="157"/>
      <c r="V648" s="157"/>
      <c r="W648" s="157"/>
      <c r="X648" s="157"/>
      <c r="Y648" s="157"/>
      <c r="Z648" s="157"/>
    </row>
    <row r="649" spans="1:26" x14ac:dyDescent="0.25">
      <c r="A649" s="222" t="s">
        <v>1733</v>
      </c>
      <c r="B649" s="57" t="s">
        <v>1734</v>
      </c>
      <c r="K649" s="31">
        <v>1</v>
      </c>
      <c r="O649" s="40">
        <f>C649*Prislapp!$C$2+D649*Prislapp!$D$2+E649*Prislapp!$E$2+F649*Prislapp!$F$2+G649*Prislapp!$G$2+H649*Prislapp!$H$2+I649*Prislapp!$I$2+J649*Prislapp!$J$2+K649*Prislapp!$K$2+L649*Prislapp!$L$2+M649*Prislapp!$M$2+N649*Prislapp!$N$2</f>
        <v>25235</v>
      </c>
      <c r="P649" s="40">
        <f>C649*Prislapp!$C$3+D649*Prislapp!$D$3+E649*Prislapp!$E$3+F649*Prislapp!$F$3+G649*Prislapp!$G$3+H649*Prislapp!$H$3+I649*Prislapp!$I$3+J649*Prislapp!$J$3+K649*Prislapp!$K$3+M649*Prislapp!$M$3+N649*Prislapp!$N$3+L649*Prislapp!$L$3</f>
        <v>27976</v>
      </c>
      <c r="Q649" s="40">
        <f>C649*Prislapp!$C$5+D649*Prislapp!$D$5+E649*Prislapp!$E$5+F649*Prislapp!$F$5+G649*Prislapp!$G$5+H649*Prislapp!$H$5+I649*Prislapp!$I$5+J649*Prislapp!$J$5+K649*Prislapp!$K$5+L649*Prislapp!$L$5+M649*Prislapp!$M$5+N649*Prislapp!$N$5</f>
        <v>3600</v>
      </c>
      <c r="R649" s="9">
        <f>VLOOKUP(A649,'Ansvar kurs'!$A$2:$B$943,2,FALSE)</f>
        <v>2193</v>
      </c>
      <c r="S649" s="157"/>
      <c r="T649" s="157"/>
      <c r="U649" s="157"/>
      <c r="V649" s="157"/>
      <c r="W649" s="157"/>
      <c r="X649" s="157"/>
      <c r="Y649" s="157"/>
      <c r="Z649" s="157"/>
    </row>
    <row r="650" spans="1:26" x14ac:dyDescent="0.25">
      <c r="A650" s="60" t="s">
        <v>1806</v>
      </c>
      <c r="B650" s="31" t="s">
        <v>1391</v>
      </c>
      <c r="I650" s="31">
        <v>1</v>
      </c>
      <c r="O650" s="40">
        <f>C650*Prislapp!$C$2+D650*Prislapp!$D$2+E650*Prislapp!$E$2+F650*Prislapp!$F$2+G650*Prislapp!$G$2+H650*Prislapp!$H$2+I650*Prislapp!$I$2+J650*Prislapp!$J$2+K650*Prislapp!$K$2+L650*Prislapp!$L$2+M650*Prislapp!$M$2+N650*Prislapp!$N$2</f>
        <v>20766</v>
      </c>
      <c r="P650" s="40">
        <f>C650*Prislapp!$C$3+D650*Prislapp!$D$3+E650*Prislapp!$E$3+F650*Prislapp!$F$3+G650*Prislapp!$G$3+H650*Prislapp!$H$3+I650*Prislapp!$I$3+J650*Prislapp!$J$3+K650*Prislapp!$K$3+M650*Prislapp!$M$3+N650*Prislapp!$N$3+L650*Prislapp!$L$3</f>
        <v>17442</v>
      </c>
      <c r="Q650" s="40">
        <f>C650*Prislapp!$C$5+D650*Prislapp!$D$5+E650*Prislapp!$E$5+F650*Prislapp!$F$5+G650*Prislapp!$G$5+H650*Prislapp!$H$5+I650*Prislapp!$I$5+J650*Prislapp!$J$5+K650*Prislapp!$K$5+L650*Prislapp!$L$5+M650*Prislapp!$M$5+N650*Prislapp!$N$5</f>
        <v>6000</v>
      </c>
      <c r="R650" s="9">
        <f>VLOOKUP(A650,'Ansvar kurs'!$A$2:$B$943,2,FALSE)</f>
        <v>2193</v>
      </c>
    </row>
    <row r="651" spans="1:26" x14ac:dyDescent="0.25">
      <c r="A651" s="222" t="s">
        <v>1807</v>
      </c>
      <c r="B651" s="31" t="s">
        <v>1458</v>
      </c>
      <c r="F651" s="31">
        <v>1</v>
      </c>
      <c r="O651" s="40">
        <f>C651*Prislapp!$C$2+D651*Prislapp!$D$2+E651*Prislapp!$E$2+F651*Prislapp!$F$2+G651*Prislapp!$G$2+H651*Prislapp!$H$2+I651*Prislapp!$I$2+J651*Prislapp!$J$2+K651*Prislapp!$K$2+L651*Prislapp!$L$2+M651*Prislapp!$M$2+N651*Prislapp!$N$2</f>
        <v>26554</v>
      </c>
      <c r="P651" s="40">
        <f>C651*Prislapp!$C$3+D651*Prislapp!$D$3+E651*Prislapp!$E$3+F651*Prislapp!$F$3+G651*Prislapp!$G$3+H651*Prislapp!$H$3+I651*Prislapp!$I$3+J651*Prislapp!$J$3+K651*Prislapp!$K$3+M651*Prislapp!$M$3+N651*Prislapp!$N$3+L651*Prislapp!$L$3</f>
        <v>33465</v>
      </c>
      <c r="Q651" s="40">
        <f>C651*Prislapp!$C$5+D651*Prislapp!$D$5+E651*Prislapp!$E$5+F651*Prislapp!$F$5+G651*Prislapp!$G$5+H651*Prislapp!$H$5+I651*Prislapp!$I$5+J651*Prislapp!$J$5+K651*Prislapp!$K$5+L651*Prislapp!$L$5+M651*Prislapp!$M$5+N651*Prislapp!$N$5</f>
        <v>6000</v>
      </c>
      <c r="R651" s="9">
        <f>VLOOKUP(A651,'Ansvar kurs'!$A$2:$B$943,2,FALSE)</f>
        <v>2193</v>
      </c>
    </row>
    <row r="652" spans="1:26" x14ac:dyDescent="0.25">
      <c r="A652" s="222" t="s">
        <v>1808</v>
      </c>
      <c r="B652" s="31" t="s">
        <v>1819</v>
      </c>
      <c r="F652" s="31">
        <v>1</v>
      </c>
      <c r="O652" s="40">
        <f>C652*Prislapp!$C$2+D652*Prislapp!$D$2+E652*Prislapp!$E$2+F652*Prislapp!$F$2+G652*Prislapp!$G$2+H652*Prislapp!$H$2+I652*Prislapp!$I$2+J652*Prislapp!$J$2+K652*Prislapp!$K$2+L652*Prislapp!$L$2+M652*Prislapp!$M$2+N652*Prislapp!$N$2</f>
        <v>26554</v>
      </c>
      <c r="P652" s="40">
        <f>C652*Prislapp!$C$3+D652*Prislapp!$D$3+E652*Prislapp!$E$3+F652*Prislapp!$F$3+G652*Prislapp!$G$3+H652*Prislapp!$H$3+I652*Prislapp!$I$3+J652*Prislapp!$J$3+K652*Prislapp!$K$3+M652*Prislapp!$M$3+N652*Prislapp!$N$3+L652*Prislapp!$L$3</f>
        <v>33465</v>
      </c>
      <c r="Q652" s="40">
        <f>C652*Prislapp!$C$5+D652*Prislapp!$D$5+E652*Prislapp!$E$5+F652*Prislapp!$F$5+G652*Prislapp!$G$5+H652*Prislapp!$H$5+I652*Prislapp!$I$5+J652*Prislapp!$J$5+K652*Prislapp!$K$5+L652*Prislapp!$L$5+M652*Prislapp!$M$5+N652*Prislapp!$N$5</f>
        <v>6000</v>
      </c>
      <c r="R652" s="9">
        <f>VLOOKUP(A652,'Ansvar kurs'!$A$2:$B$943,2,FALSE)</f>
        <v>2193</v>
      </c>
    </row>
    <row r="653" spans="1:26" x14ac:dyDescent="0.25">
      <c r="A653" s="222" t="s">
        <v>1847</v>
      </c>
      <c r="B653" s="31" t="s">
        <v>1846</v>
      </c>
      <c r="I653" s="31">
        <v>1</v>
      </c>
      <c r="O653" s="40">
        <f>C653*Prislapp!$C$2+D653*Prislapp!$D$2+E653*Prislapp!$E$2+F653*Prislapp!$F$2+G653*Prislapp!$G$2+H653*Prislapp!$H$2+I653*Prislapp!$I$2+J653*Prislapp!$J$2+K653*Prislapp!$K$2+L653*Prislapp!$L$2+M653*Prislapp!$M$2+N653*Prislapp!$N$2</f>
        <v>20766</v>
      </c>
      <c r="P653" s="40">
        <f>C653*Prislapp!$C$3+D653*Prislapp!$D$3+E653*Prislapp!$E$3+F653*Prislapp!$F$3+G653*Prislapp!$G$3+H653*Prislapp!$H$3+I653*Prislapp!$I$3+J653*Prislapp!$J$3+K653*Prislapp!$K$3+M653*Prislapp!$M$3+N653*Prislapp!$N$3+L653*Prislapp!$L$3</f>
        <v>17442</v>
      </c>
      <c r="Q653" s="40">
        <f>C653*Prislapp!$C$5+D653*Prislapp!$D$5+E653*Prislapp!$E$5+F653*Prislapp!$F$5+G653*Prislapp!$G$5+H653*Prislapp!$H$5+I653*Prislapp!$I$5+J653*Prislapp!$J$5+K653*Prislapp!$K$5+L653*Prislapp!$L$5+M653*Prislapp!$M$5+N653*Prislapp!$N$5</f>
        <v>6000</v>
      </c>
      <c r="R653" s="9">
        <f>VLOOKUP(A653,'Ansvar kurs'!$A$2:$B$943,2,FALSE)</f>
        <v>2193</v>
      </c>
      <c r="S653" s="157"/>
      <c r="T653" s="157"/>
      <c r="U653" s="157"/>
      <c r="V653" s="157"/>
      <c r="W653" s="157"/>
      <c r="X653" s="157"/>
      <c r="Y653" s="157"/>
      <c r="Z653" s="157"/>
    </row>
    <row r="654" spans="1:26" x14ac:dyDescent="0.25">
      <c r="A654" s="57" t="s">
        <v>1829</v>
      </c>
      <c r="B654" s="31" t="s">
        <v>1830</v>
      </c>
      <c r="F654" s="31">
        <v>1</v>
      </c>
      <c r="O654" s="40">
        <f>C654*Prislapp!$C$2+D654*Prislapp!$D$2+E654*Prislapp!$E$2+F654*Prislapp!$F$2+G654*Prislapp!$G$2+H654*Prislapp!$H$2+I654*Prislapp!$I$2+J654*Prislapp!$J$2+K654*Prislapp!$K$2+L654*Prislapp!$L$2+M654*Prislapp!$M$2+N654*Prislapp!$N$2</f>
        <v>26554</v>
      </c>
      <c r="P654" s="40">
        <f>C654*Prislapp!$C$3+D654*Prislapp!$D$3+E654*Prislapp!$E$3+F654*Prislapp!$F$3+G654*Prislapp!$G$3+H654*Prislapp!$H$3+I654*Prislapp!$I$3+J654*Prislapp!$J$3+K654*Prislapp!$K$3+M654*Prislapp!$M$3+N654*Prislapp!$N$3+L654*Prislapp!$L$3</f>
        <v>33465</v>
      </c>
      <c r="Q654" s="40">
        <f>C654*Prislapp!$C$5+D654*Prislapp!$D$5+E654*Prislapp!$E$5+F654*Prislapp!$F$5+G654*Prislapp!$G$5+H654*Prislapp!$H$5+I654*Prislapp!$I$5+J654*Prislapp!$J$5+K654*Prislapp!$K$5+L654*Prislapp!$L$5+M654*Prislapp!$M$5+N654*Prislapp!$N$5</f>
        <v>6000</v>
      </c>
      <c r="R654" s="9">
        <f>VLOOKUP(A654,'Ansvar kurs'!$A$2:$B$943,2,FALSE)</f>
        <v>5740</v>
      </c>
      <c r="S654" s="157"/>
      <c r="T654" s="31" t="s">
        <v>1266</v>
      </c>
    </row>
    <row r="655" spans="1:26" ht="15.75" x14ac:dyDescent="0.25">
      <c r="A655" s="392" t="s">
        <v>1827</v>
      </c>
      <c r="B655" s="31" t="s">
        <v>1192</v>
      </c>
      <c r="F655" s="31">
        <v>1</v>
      </c>
      <c r="O655" s="40">
        <f>C655*Prislapp!$C$2+D655*Prislapp!$D$2+E655*Prislapp!$E$2+F655*Prislapp!$F$2+G655*Prislapp!$G$2+H655*Prislapp!$H$2+I655*Prislapp!$I$2+J655*Prislapp!$J$2+K655*Prislapp!$K$2+L655*Prislapp!$L$2+M655*Prislapp!$M$2+N655*Prislapp!$N$2</f>
        <v>26554</v>
      </c>
      <c r="P655" s="40">
        <f>C655*Prislapp!$C$3+D655*Prislapp!$D$3+E655*Prislapp!$E$3+F655*Prislapp!$F$3+G655*Prislapp!$G$3+H655*Prislapp!$H$3+I655*Prislapp!$I$3+J655*Prislapp!$J$3+K655*Prislapp!$K$3+M655*Prislapp!$M$3+N655*Prislapp!$N$3+L655*Prislapp!$L$3</f>
        <v>33465</v>
      </c>
      <c r="Q655" s="40">
        <f>C655*Prislapp!$C$5+D655*Prislapp!$D$5+E655*Prislapp!$E$5+F655*Prislapp!$F$5+G655*Prislapp!$G$5+H655*Prislapp!$H$5+I655*Prislapp!$I$5+J655*Prislapp!$J$5+K655*Prislapp!$K$5+L655*Prislapp!$L$5+M655*Prislapp!$M$5+N655*Prislapp!$N$5</f>
        <v>6000</v>
      </c>
      <c r="R655" s="9">
        <f>VLOOKUP(A655,'Ansvar kurs'!$A$2:$B$943,2,FALSE)</f>
        <v>5740</v>
      </c>
      <c r="S655" s="157"/>
    </row>
    <row r="656" spans="1:26" ht="15.75" x14ac:dyDescent="0.25">
      <c r="A656" s="392" t="s">
        <v>1828</v>
      </c>
      <c r="B656" s="31" t="s">
        <v>2348</v>
      </c>
      <c r="F656" s="31">
        <v>1</v>
      </c>
      <c r="O656" s="40">
        <f>C656*Prislapp!$C$2+D656*Prislapp!$D$2+E656*Prislapp!$E$2+F656*Prislapp!$F$2+G656*Prislapp!$G$2+H656*Prislapp!$H$2+I656*Prislapp!$I$2+J656*Prislapp!$J$2+K656*Prislapp!$K$2+L656*Prislapp!$L$2+M656*Prislapp!$M$2+N656*Prislapp!$N$2</f>
        <v>26554</v>
      </c>
      <c r="P656" s="40">
        <f>C656*Prislapp!$C$3+D656*Prislapp!$D$3+E656*Prislapp!$E$3+F656*Prislapp!$F$3+G656*Prislapp!$G$3+H656*Prislapp!$H$3+I656*Prislapp!$I$3+J656*Prislapp!$J$3+K656*Prislapp!$K$3+M656*Prislapp!$M$3+N656*Prislapp!$N$3+L656*Prislapp!$L$3</f>
        <v>33465</v>
      </c>
      <c r="Q656" s="40">
        <f>C656*Prislapp!$C$5+D656*Prislapp!$D$5+E656*Prislapp!$E$5+F656*Prislapp!$F$5+G656*Prislapp!$G$5+H656*Prislapp!$H$5+I656*Prislapp!$I$5+J656*Prislapp!$J$5+K656*Prislapp!$K$5+L656*Prislapp!$L$5+M656*Prislapp!$M$5+N656*Prislapp!$N$5</f>
        <v>6000</v>
      </c>
      <c r="R656" s="9">
        <f>VLOOKUP(A656,'Ansvar kurs'!$A$2:$B$943,2,FALSE)</f>
        <v>5740</v>
      </c>
      <c r="S656" s="157"/>
    </row>
    <row r="657" spans="1:26" ht="15.75" x14ac:dyDescent="0.25">
      <c r="A657" s="392" t="s">
        <v>1851</v>
      </c>
      <c r="B657" s="157" t="s">
        <v>1852</v>
      </c>
      <c r="F657" s="31">
        <v>1</v>
      </c>
      <c r="O657" s="40">
        <f>C657*Prislapp!$C$2+D657*Prislapp!$D$2+E657*Prislapp!$E$2+F657*Prislapp!$F$2+G657*Prislapp!$G$2+H657*Prislapp!$H$2+I657*Prislapp!$I$2+J657*Prislapp!$J$2+K657*Prislapp!$K$2+L657*Prislapp!$L$2+M657*Prislapp!$M$2+N657*Prislapp!$N$2</f>
        <v>26554</v>
      </c>
      <c r="P657" s="40">
        <f>C657*Prislapp!$C$3+D657*Prislapp!$D$3+E657*Prislapp!$E$3+F657*Prislapp!$F$3+G657*Prislapp!$G$3+H657*Prislapp!$H$3+I657*Prislapp!$I$3+J657*Prislapp!$J$3+K657*Prislapp!$K$3+M657*Prislapp!$M$3+N657*Prislapp!$N$3+L657*Prislapp!$L$3</f>
        <v>33465</v>
      </c>
      <c r="Q657" s="40">
        <f>C657*Prislapp!$C$5+D657*Prislapp!$D$5+E657*Prislapp!$E$5+F657*Prislapp!$F$5+G657*Prislapp!$G$5+H657*Prislapp!$H$5+I657*Prislapp!$I$5+J657*Prislapp!$J$5+K657*Prislapp!$K$5+L657*Prislapp!$L$5+M657*Prislapp!$M$5+N657*Prislapp!$N$5</f>
        <v>6000</v>
      </c>
      <c r="R657" s="9">
        <f>VLOOKUP(A657,'Ansvar kurs'!$A$2:$B$943,2,FALSE)</f>
        <v>5740</v>
      </c>
      <c r="S657" s="157"/>
    </row>
    <row r="658" spans="1:26" x14ac:dyDescent="0.25">
      <c r="A658" s="57" t="s">
        <v>1831</v>
      </c>
      <c r="B658" s="31" t="s">
        <v>1259</v>
      </c>
      <c r="K658" s="31">
        <v>1</v>
      </c>
      <c r="O658" s="40">
        <f>C658*Prislapp!$C$2+D658*Prislapp!$D$2+E658*Prislapp!$E$2+F658*Prislapp!$F$2+G658*Prislapp!$G$2+H658*Prislapp!$H$2+I658*Prislapp!$I$2+J658*Prislapp!$J$2+K658*Prislapp!$K$2+L658*Prislapp!$L$2+M658*Prislapp!$M$2+N658*Prislapp!$N$2</f>
        <v>25235</v>
      </c>
      <c r="P658" s="40">
        <f>C658*Prislapp!$C$3+D658*Prislapp!$D$3+E658*Prislapp!$E$3+F658*Prislapp!$F$3+G658*Prislapp!$G$3+H658*Prislapp!$H$3+I658*Prislapp!$I$3+J658*Prislapp!$J$3+K658*Prislapp!$K$3+M658*Prislapp!$M$3+N658*Prislapp!$N$3+L658*Prislapp!$L$3</f>
        <v>27976</v>
      </c>
      <c r="Q658" s="40">
        <f>C658*Prislapp!$C$5+D658*Prislapp!$D$5+E658*Prislapp!$E$5+F658*Prislapp!$F$5+G658*Prislapp!$G$5+H658*Prislapp!$H$5+I658*Prislapp!$I$5+J658*Prislapp!$J$5+K658*Prislapp!$K$5+L658*Prislapp!$L$5+M658*Prislapp!$M$5+N658*Prislapp!$N$5</f>
        <v>3600</v>
      </c>
      <c r="R658" s="9">
        <f>VLOOKUP(A658,'Ansvar kurs'!$A$2:$B$943,2,FALSE)</f>
        <v>5740</v>
      </c>
      <c r="S658" s="157"/>
      <c r="T658" s="31" t="s">
        <v>1353</v>
      </c>
    </row>
    <row r="659" spans="1:26" x14ac:dyDescent="0.25">
      <c r="A659" s="60" t="s">
        <v>1993</v>
      </c>
      <c r="B659" s="60" t="s">
        <v>1751</v>
      </c>
      <c r="K659" s="31">
        <v>1</v>
      </c>
      <c r="O659" s="40">
        <f>C659*Prislapp!$C$2+D659*Prislapp!$D$2+E659*Prislapp!$E$2+F659*Prislapp!$F$2+G659*Prislapp!$G$2+H659*Prislapp!$H$2+I659*Prislapp!$I$2+J659*Prislapp!$J$2+K659*Prislapp!$K$2+L659*Prislapp!$L$2+M659*Prislapp!$M$2+N659*Prislapp!$N$2</f>
        <v>25235</v>
      </c>
      <c r="P659" s="40">
        <f>C659*Prislapp!$C$3+D659*Prislapp!$D$3+E659*Prislapp!$E$3+F659*Prislapp!$F$3+G659*Prislapp!$G$3+H659*Prislapp!$H$3+I659*Prislapp!$I$3+J659*Prislapp!$J$3+K659*Prislapp!$K$3+M659*Prislapp!$M$3+N659*Prislapp!$N$3+L659*Prislapp!$L$3</f>
        <v>27976</v>
      </c>
      <c r="Q659" s="40">
        <f>C659*Prislapp!$C$5+D659*Prislapp!$D$5+E659*Prislapp!$E$5+F659*Prislapp!$F$5+G659*Prislapp!$G$5+H659*Prislapp!$H$5+I659*Prislapp!$I$5+J659*Prislapp!$J$5+K659*Prislapp!$K$5+L659*Prislapp!$L$5+M659*Prislapp!$M$5+N659*Prislapp!$N$5</f>
        <v>3600</v>
      </c>
      <c r="R659" s="9">
        <f>VLOOKUP(A659,'Ansvar kurs'!$A$2:$B$943,2,FALSE)</f>
        <v>5740</v>
      </c>
      <c r="S659" s="157"/>
      <c r="T659" s="157"/>
      <c r="U659" s="157"/>
      <c r="V659" s="157"/>
      <c r="W659" s="157"/>
      <c r="X659" s="157"/>
      <c r="Y659" s="157"/>
      <c r="Z659" s="157"/>
    </row>
    <row r="660" spans="1:26" x14ac:dyDescent="0.25">
      <c r="A660" s="222" t="s">
        <v>2475</v>
      </c>
      <c r="B660" s="31" t="s">
        <v>1753</v>
      </c>
      <c r="K660" s="31">
        <v>1</v>
      </c>
      <c r="O660" s="40">
        <f>C660*Prislapp!$C$2+D660*Prislapp!$D$2+E660*Prislapp!$E$2+F660*Prislapp!$F$2+G660*Prislapp!$G$2+H660*Prislapp!$H$2+I660*Prislapp!$I$2+J660*Prislapp!$J$2+K660*Prislapp!$K$2+L660*Prislapp!$L$2+M660*Prislapp!$M$2+N660*Prislapp!$N$2</f>
        <v>25235</v>
      </c>
      <c r="P660" s="40">
        <f>C660*Prislapp!$C$3+D660*Prislapp!$D$3+E660*Prislapp!$E$3+F660*Prislapp!$F$3+G660*Prislapp!$G$3+H660*Prislapp!$H$3+I660*Prislapp!$I$3+J660*Prislapp!$J$3+K660*Prislapp!$K$3+M660*Prislapp!$M$3+N660*Prislapp!$N$3+L660*Prislapp!$L$3</f>
        <v>27976</v>
      </c>
      <c r="Q660" s="40">
        <f>C660*Prislapp!$C$5+D660*Prislapp!$D$5+E660*Prislapp!$E$5+F660*Prislapp!$F$5+G660*Prislapp!$G$5+H660*Prislapp!$H$5+I660*Prislapp!$I$5+J660*Prislapp!$J$5+K660*Prislapp!$K$5+L660*Prislapp!$L$5+M660*Prislapp!$M$5+N660*Prislapp!$N$5</f>
        <v>3600</v>
      </c>
      <c r="R660" s="9">
        <f>VLOOKUP(A660,'Ansvar kurs'!$A$2:$B$943,2,FALSE)</f>
        <v>5740</v>
      </c>
      <c r="S660" s="157"/>
      <c r="T660" s="157"/>
      <c r="U660" s="157"/>
      <c r="V660" s="157"/>
      <c r="W660" s="157"/>
      <c r="X660" s="157"/>
      <c r="Y660" s="157"/>
      <c r="Z660" s="157"/>
    </row>
    <row r="661" spans="1:26" x14ac:dyDescent="0.25">
      <c r="A661" s="57" t="s">
        <v>1903</v>
      </c>
      <c r="B661" s="31" t="s">
        <v>1913</v>
      </c>
      <c r="K661" s="31">
        <v>1</v>
      </c>
      <c r="O661" s="40">
        <f>C661*Prislapp!$C$2+D661*Prislapp!$D$2+E661*Prislapp!$E$2+F661*Prislapp!$F$2+G661*Prislapp!$G$2+H661*Prislapp!$H$2+I661*Prislapp!$I$2+J661*Prislapp!$J$2+K661*Prislapp!$K$2+L661*Prislapp!$L$2+M661*Prislapp!$M$2+N661*Prislapp!$N$2</f>
        <v>25235</v>
      </c>
      <c r="P661" s="40">
        <f>C661*Prislapp!$C$3+D661*Prislapp!$D$3+E661*Prislapp!$E$3+F661*Prislapp!$F$3+G661*Prislapp!$G$3+H661*Prislapp!$H$3+I661*Prislapp!$I$3+J661*Prislapp!$J$3+K661*Prislapp!$K$3+M661*Prislapp!$M$3+N661*Prislapp!$N$3+L661*Prislapp!$L$3</f>
        <v>27976</v>
      </c>
      <c r="Q661" s="40">
        <f>C661*Prislapp!$C$5+D661*Prislapp!$D$5+E661*Prislapp!$E$5+F661*Prislapp!$F$5+G661*Prislapp!$G$5+H661*Prislapp!$H$5+I661*Prislapp!$I$5+J661*Prislapp!$J$5+K661*Prislapp!$K$5+L661*Prislapp!$L$5+M661*Prislapp!$M$5+N661*Prislapp!$N$5</f>
        <v>3600</v>
      </c>
      <c r="R661" s="9">
        <f>VLOOKUP(A661,'Ansvar kurs'!$A$2:$B$943,2,FALSE)</f>
        <v>2180</v>
      </c>
      <c r="S661" s="157"/>
    </row>
    <row r="662" spans="1:26" x14ac:dyDescent="0.25">
      <c r="A662" s="57" t="s">
        <v>1904</v>
      </c>
      <c r="B662" s="31" t="s">
        <v>1914</v>
      </c>
      <c r="K662" s="31">
        <v>1</v>
      </c>
      <c r="O662" s="40">
        <f>C662*Prislapp!$C$2+D662*Prislapp!$D$2+E662*Prislapp!$E$2+F662*Prislapp!$F$2+G662*Prislapp!$G$2+H662*Prislapp!$H$2+I662*Prislapp!$I$2+J662*Prislapp!$J$2+K662*Prislapp!$K$2+L662*Prislapp!$L$2+M662*Prislapp!$M$2+N662*Prislapp!$N$2</f>
        <v>25235</v>
      </c>
      <c r="P662" s="40">
        <f>C662*Prislapp!$C$3+D662*Prislapp!$D$3+E662*Prislapp!$E$3+F662*Prislapp!$F$3+G662*Prislapp!$G$3+H662*Prislapp!$H$3+I662*Prislapp!$I$3+J662*Prislapp!$J$3+K662*Prislapp!$K$3+M662*Prislapp!$M$3+N662*Prislapp!$N$3+L662*Prislapp!$L$3</f>
        <v>27976</v>
      </c>
      <c r="Q662" s="40">
        <f>C662*Prislapp!$C$5+D662*Prislapp!$D$5+E662*Prislapp!$E$5+F662*Prislapp!$F$5+G662*Prislapp!$G$5+H662*Prislapp!$H$5+I662*Prislapp!$I$5+J662*Prislapp!$J$5+K662*Prislapp!$K$5+L662*Prislapp!$L$5+M662*Prislapp!$M$5+N662*Prislapp!$N$5</f>
        <v>3600</v>
      </c>
      <c r="R662" s="9">
        <f>VLOOKUP(A662,'Ansvar kurs'!$A$2:$B$943,2,FALSE)</f>
        <v>2180</v>
      </c>
      <c r="S662" s="157"/>
    </row>
    <row r="663" spans="1:26" x14ac:dyDescent="0.25">
      <c r="A663" s="9" t="s">
        <v>2032</v>
      </c>
      <c r="B663" s="37" t="s">
        <v>1950</v>
      </c>
      <c r="I663" s="57">
        <v>1</v>
      </c>
      <c r="O663" s="40">
        <f>C663*Prislapp!$C$2+D663*Prislapp!$D$2+E663*Prislapp!$E$2+F663*Prislapp!$F$2+G663*Prislapp!$G$2+H663*Prislapp!$H$2+I663*Prislapp!$I$2+J663*Prislapp!$J$2+K663*Prislapp!$K$2+L663*Prislapp!$L$2+M663*Prislapp!$M$2+N663*Prislapp!$N$2</f>
        <v>20766</v>
      </c>
      <c r="P663" s="40">
        <f>C663*Prislapp!$C$3+D663*Prislapp!$D$3+E663*Prislapp!$E$3+F663*Prislapp!$F$3+G663*Prislapp!$G$3+H663*Prislapp!$H$3+I663*Prislapp!$I$3+J663*Prislapp!$J$3+K663*Prislapp!$K$3+M663*Prislapp!$M$3+N663*Prislapp!$N$3+L663*Prislapp!$L$3</f>
        <v>17442</v>
      </c>
      <c r="Q663" s="40">
        <f>C663*Prislapp!$C$5+D663*Prislapp!$D$5+E663*Prislapp!$E$5+F663*Prislapp!$F$5+G663*Prislapp!$G$5+H663*Prislapp!$H$5+I663*Prislapp!$I$5+J663*Prislapp!$J$5+K663*Prislapp!$K$5+L663*Prislapp!$L$5+M663*Prislapp!$M$5+N663*Prislapp!$N$5</f>
        <v>6000</v>
      </c>
      <c r="R663" s="9">
        <f>VLOOKUP(A663,'Ansvar kurs'!$A$2:$B$943,2,FALSE)</f>
        <v>2180</v>
      </c>
      <c r="S663" s="176"/>
      <c r="T663" s="176"/>
      <c r="U663" s="157"/>
      <c r="V663" s="157"/>
      <c r="W663" s="157"/>
      <c r="X663" s="157"/>
      <c r="Y663" s="157"/>
      <c r="Z663" s="157"/>
    </row>
    <row r="664" spans="1:26" x14ac:dyDescent="0.25">
      <c r="A664" s="176" t="s">
        <v>2026</v>
      </c>
      <c r="B664" s="31" t="s">
        <v>1969</v>
      </c>
      <c r="I664" s="57">
        <v>1</v>
      </c>
      <c r="O664" s="40">
        <f>C664*Prislapp!$C$2+D664*Prislapp!$D$2+E664*Prislapp!$E$2+F664*Prislapp!$F$2+G664*Prislapp!$G$2+H664*Prislapp!$H$2+I664*Prislapp!$I$2+J664*Prislapp!$J$2+K664*Prislapp!$K$2+L664*Prislapp!$L$2+M664*Prislapp!$M$2+N664*Prislapp!$N$2</f>
        <v>20766</v>
      </c>
      <c r="P664" s="40">
        <f>C664*Prislapp!$C$3+D664*Prislapp!$D$3+E664*Prislapp!$E$3+F664*Prislapp!$F$3+G664*Prislapp!$G$3+H664*Prislapp!$H$3+I664*Prislapp!$I$3+J664*Prislapp!$J$3+K664*Prislapp!$K$3+M664*Prislapp!$M$3+N664*Prislapp!$N$3+L664*Prislapp!$L$3</f>
        <v>17442</v>
      </c>
      <c r="Q664" s="40">
        <f>C664*Prislapp!$C$5+D664*Prislapp!$D$5+E664*Prislapp!$E$5+F664*Prislapp!$F$5+G664*Prislapp!$G$5+H664*Prislapp!$H$5+I664*Prislapp!$I$5+J664*Prislapp!$J$5+K664*Prislapp!$K$5+L664*Prislapp!$L$5+M664*Prislapp!$M$5+N664*Prislapp!$N$5</f>
        <v>6000</v>
      </c>
      <c r="R664" s="9">
        <f>VLOOKUP(A664,'Ansvar kurs'!$A$2:$B$943,2,FALSE)</f>
        <v>2180</v>
      </c>
      <c r="S664" s="176"/>
      <c r="T664" s="157"/>
      <c r="U664" s="157"/>
      <c r="V664" s="157"/>
      <c r="W664" s="157"/>
      <c r="X664" s="157"/>
      <c r="Y664" s="157"/>
      <c r="Z664" s="157"/>
    </row>
    <row r="665" spans="1:26" x14ac:dyDescent="0.25">
      <c r="A665" s="18" t="s">
        <v>2043</v>
      </c>
      <c r="B665" t="s">
        <v>2044</v>
      </c>
      <c r="I665" s="31">
        <v>1</v>
      </c>
      <c r="O665" s="40">
        <f>C665*Prislapp!$C$2+D665*Prislapp!$D$2+E665*Prislapp!$E$2+F665*Prislapp!$F$2+G665*Prislapp!$G$2+H665*Prislapp!$H$2+I665*Prislapp!$I$2+J665*Prislapp!$J$2+K665*Prislapp!$K$2+L665*Prislapp!$L$2+M665*Prislapp!$M$2+N665*Prislapp!$N$2</f>
        <v>20766</v>
      </c>
      <c r="P665" s="40">
        <f>C665*Prislapp!$C$3+D665*Prislapp!$D$3+E665*Prislapp!$E$3+F665*Prislapp!$F$3+G665*Prislapp!$G$3+H665*Prislapp!$H$3+I665*Prislapp!$I$3+J665*Prislapp!$J$3+K665*Prislapp!$K$3+M665*Prislapp!$M$3+N665*Prislapp!$N$3+L665*Prislapp!$L$3</f>
        <v>17442</v>
      </c>
      <c r="Q665" s="40">
        <f>C665*Prislapp!$C$5+D665*Prislapp!$D$5+E665*Prislapp!$E$5+F665*Prislapp!$F$5+G665*Prislapp!$G$5+H665*Prislapp!$H$5+I665*Prislapp!$I$5+J665*Prislapp!$J$5+K665*Prislapp!$K$5+L665*Prislapp!$L$5+M665*Prislapp!$M$5+N665*Prislapp!$N$5</f>
        <v>6000</v>
      </c>
      <c r="R665" s="9">
        <f>VLOOKUP(A665,'Ansvar kurs'!$A$2:$B$943,2,FALSE)</f>
        <v>2193</v>
      </c>
      <c r="S665" s="157"/>
      <c r="T665" s="157"/>
      <c r="U665" s="157"/>
      <c r="V665" s="157"/>
      <c r="W665" s="157"/>
      <c r="X665" s="157"/>
      <c r="Y665" s="157"/>
      <c r="Z665" s="157"/>
    </row>
    <row r="666" spans="1:26" x14ac:dyDescent="0.25">
      <c r="A666" s="18" t="s">
        <v>2045</v>
      </c>
      <c r="B666" t="s">
        <v>2046</v>
      </c>
      <c r="I666" s="31">
        <v>1</v>
      </c>
      <c r="O666" s="40">
        <f>C666*Prislapp!$C$2+D666*Prislapp!$D$2+E666*Prislapp!$E$2+F666*Prislapp!$F$2+G666*Prislapp!$G$2+H666*Prislapp!$H$2+I666*Prislapp!$I$2+J666*Prislapp!$J$2+K666*Prislapp!$K$2+L666*Prislapp!$L$2+M666*Prislapp!$M$2+N666*Prislapp!$N$2</f>
        <v>20766</v>
      </c>
      <c r="P666" s="40">
        <f>C666*Prislapp!$C$3+D666*Prislapp!$D$3+E666*Prislapp!$E$3+F666*Prislapp!$F$3+G666*Prislapp!$G$3+H666*Prislapp!$H$3+I666*Prislapp!$I$3+J666*Prislapp!$J$3+K666*Prislapp!$K$3+M666*Prislapp!$M$3+N666*Prislapp!$N$3+L666*Prislapp!$L$3</f>
        <v>17442</v>
      </c>
      <c r="Q666" s="40">
        <f>C666*Prislapp!$C$5+D666*Prislapp!$D$5+E666*Prislapp!$E$5+F666*Prislapp!$F$5+G666*Prislapp!$G$5+H666*Prislapp!$H$5+I666*Prislapp!$I$5+J666*Prislapp!$J$5+K666*Prislapp!$K$5+L666*Prislapp!$L$5+M666*Prislapp!$M$5+N666*Prislapp!$N$5</f>
        <v>6000</v>
      </c>
      <c r="R666" s="9">
        <f>VLOOKUP(A666,'Ansvar kurs'!$A$2:$B$943,2,FALSE)</f>
        <v>2193</v>
      </c>
      <c r="S666" s="157"/>
      <c r="T666" s="157"/>
      <c r="U666" s="157"/>
      <c r="V666" s="157"/>
      <c r="W666" s="157"/>
      <c r="X666" s="157"/>
      <c r="Y666" s="157"/>
      <c r="Z666" s="157"/>
    </row>
    <row r="667" spans="1:26" x14ac:dyDescent="0.25">
      <c r="A667" s="9" t="s">
        <v>2009</v>
      </c>
      <c r="B667" s="31" t="s">
        <v>1871</v>
      </c>
      <c r="H667" s="57">
        <v>1</v>
      </c>
      <c r="O667" s="40">
        <f>C667*Prislapp!$C$2+D667*Prislapp!$D$2+E667*Prislapp!$E$2+F667*Prislapp!$F$2+G667*Prislapp!$G$2+H667*Prislapp!$H$2+I667*Prislapp!$I$2+J667*Prislapp!$J$2+K667*Prislapp!$K$2+L667*Prislapp!$L$2+M667*Prislapp!$M$2+N667*Prislapp!$N$2</f>
        <v>20757</v>
      </c>
      <c r="P667" s="40">
        <f>C667*Prislapp!$C$3+D667*Prislapp!$D$3+E667*Prislapp!$E$3+F667*Prislapp!$F$3+G667*Prislapp!$G$3+H667*Prislapp!$H$3+I667*Prislapp!$I$3+J667*Prislapp!$J$3+K667*Prislapp!$K$3+M667*Prislapp!$M$3+N667*Prislapp!$N$3+L667*Prislapp!$L$3</f>
        <v>36082</v>
      </c>
      <c r="Q667" s="40">
        <f>C667*Prislapp!$C$5+D667*Prislapp!$D$5+E667*Prislapp!$E$5+F667*Prislapp!$F$5+G667*Prislapp!$G$5+H667*Prislapp!$H$5+I667*Prislapp!$I$5+J667*Prislapp!$J$5+K667*Prislapp!$K$5+L667*Prislapp!$L$5+M667*Prislapp!$M$5+N667*Prislapp!$N$5</f>
        <v>22600</v>
      </c>
      <c r="R667" s="9">
        <f>VLOOKUP(A667,'Ansvar kurs'!$A$2:$B$943,2,FALSE)</f>
        <v>5740</v>
      </c>
    </row>
    <row r="668" spans="1:26" x14ac:dyDescent="0.25">
      <c r="A668" s="176" t="s">
        <v>2027</v>
      </c>
      <c r="B668" s="382" t="s">
        <v>2005</v>
      </c>
      <c r="I668" s="57">
        <v>1</v>
      </c>
      <c r="O668" s="40">
        <f>C668*Prislapp!$C$2+D668*Prislapp!$D$2+E668*Prislapp!$E$2+F668*Prislapp!$F$2+G668*Prislapp!$G$2+H668*Prislapp!$H$2+I668*Prislapp!$I$2+J668*Prislapp!$J$2+K668*Prislapp!$K$2+L668*Prislapp!$L$2+M668*Prislapp!$M$2+N668*Prislapp!$N$2</f>
        <v>20766</v>
      </c>
      <c r="P668" s="40">
        <f>C668*Prislapp!$C$3+D668*Prislapp!$D$3+E668*Prislapp!$E$3+F668*Prislapp!$F$3+G668*Prislapp!$G$3+H668*Prislapp!$H$3+I668*Prislapp!$I$3+J668*Prislapp!$J$3+K668*Prislapp!$K$3+M668*Prislapp!$M$3+N668*Prislapp!$N$3+L668*Prislapp!$L$3</f>
        <v>17442</v>
      </c>
      <c r="Q668" s="40">
        <f>C668*Prislapp!$C$5+D668*Prislapp!$D$5+E668*Prislapp!$E$5+F668*Prislapp!$F$5+G668*Prislapp!$G$5+H668*Prislapp!$H$5+I668*Prislapp!$I$5+J668*Prislapp!$J$5+K668*Prislapp!$K$5+L668*Prislapp!$L$5+M668*Prislapp!$M$5+N668*Prislapp!$N$5</f>
        <v>6000</v>
      </c>
      <c r="R668" s="9">
        <f>VLOOKUP(A668,'Ansvar kurs'!$A$2:$B$943,2,FALSE)</f>
        <v>2193</v>
      </c>
      <c r="S668" s="176"/>
      <c r="T668" s="157"/>
      <c r="U668" s="157"/>
      <c r="V668" s="157"/>
      <c r="W668" s="157"/>
      <c r="X668" s="157"/>
      <c r="Y668" s="157"/>
      <c r="Z668" s="157"/>
    </row>
    <row r="669" spans="1:26" x14ac:dyDescent="0.25">
      <c r="A669" s="57" t="s">
        <v>2007</v>
      </c>
      <c r="B669" s="31" t="s">
        <v>2008</v>
      </c>
      <c r="H669" s="57">
        <v>1</v>
      </c>
      <c r="O669" s="40">
        <f>C669*Prislapp!$C$2+D669*Prislapp!$D$2+E669*Prislapp!$E$2+F669*Prislapp!$F$2+G669*Prislapp!$G$2+H669*Prislapp!$H$2+I669*Prislapp!$I$2+J669*Prislapp!$J$2+K669*Prislapp!$K$2+L669*Prislapp!$L$2+M669*Prislapp!$M$2+N669*Prislapp!$N$2</f>
        <v>20757</v>
      </c>
      <c r="P669" s="40">
        <f>C669*Prislapp!$C$3+D669*Prislapp!$D$3+E669*Prislapp!$E$3+F669*Prislapp!$F$3+G669*Prislapp!$G$3+H669*Prislapp!$H$3+I669*Prislapp!$I$3+J669*Prislapp!$J$3+K669*Prislapp!$K$3+M669*Prislapp!$M$3+N669*Prislapp!$N$3+L669*Prislapp!$L$3</f>
        <v>36082</v>
      </c>
      <c r="Q669" s="40">
        <f>C669*Prislapp!$C$5+D669*Prislapp!$D$5+E669*Prislapp!$E$5+F669*Prislapp!$F$5+G669*Prislapp!$G$5+H669*Prislapp!$H$5+I669*Prislapp!$I$5+J669*Prislapp!$J$5+K669*Prislapp!$K$5+L669*Prislapp!$L$5+M669*Prislapp!$M$5+N669*Prislapp!$N$5</f>
        <v>22600</v>
      </c>
      <c r="R669" s="9">
        <f>VLOOKUP(A669,'Ansvar kurs'!$A$2:$B$943,2,FALSE)</f>
        <v>5740</v>
      </c>
    </row>
    <row r="670" spans="1:26" x14ac:dyDescent="0.25">
      <c r="A670" s="57" t="s">
        <v>2010</v>
      </c>
      <c r="B670" s="60" t="s">
        <v>2011</v>
      </c>
      <c r="H670" s="57">
        <v>1</v>
      </c>
      <c r="O670" s="40">
        <f>C670*Prislapp!$C$2+D670*Prislapp!$D$2+E670*Prislapp!$E$2+F670*Prislapp!$F$2+G670*Prislapp!$G$2+H670*Prislapp!$H$2+I670*Prislapp!$I$2+J670*Prislapp!$J$2+K670*Prislapp!$K$2+L670*Prislapp!$L$2+M670*Prislapp!$M$2+N670*Prislapp!$N$2</f>
        <v>20757</v>
      </c>
      <c r="P670" s="40">
        <f>C670*Prislapp!$C$3+D670*Prislapp!$D$3+E670*Prislapp!$E$3+F670*Prislapp!$F$3+G670*Prislapp!$G$3+H670*Prislapp!$H$3+I670*Prislapp!$I$3+J670*Prislapp!$J$3+K670*Prislapp!$K$3+M670*Prislapp!$M$3+N670*Prislapp!$N$3+L670*Prislapp!$L$3</f>
        <v>36082</v>
      </c>
      <c r="Q670" s="40">
        <f>C670*Prislapp!$C$5+D670*Prislapp!$D$5+E670*Prislapp!$E$5+F670*Prislapp!$F$5+G670*Prislapp!$G$5+H670*Prislapp!$H$5+I670*Prislapp!$I$5+J670*Prislapp!$J$5+K670*Prislapp!$K$5+L670*Prislapp!$L$5+M670*Prislapp!$M$5+N670*Prislapp!$N$5</f>
        <v>22600</v>
      </c>
      <c r="R670" s="9">
        <f>VLOOKUP(A670,'Ansvar kurs'!$A$2:$B$943,2,FALSE)</f>
        <v>5740</v>
      </c>
    </row>
    <row r="671" spans="1:26" x14ac:dyDescent="0.25">
      <c r="A671" s="60" t="s">
        <v>2327</v>
      </c>
      <c r="B671" s="31" t="s">
        <v>2328</v>
      </c>
      <c r="F671" s="31">
        <v>1</v>
      </c>
      <c r="O671" s="40">
        <f>C671*Prislapp!$C$2+D671*Prislapp!$D$2+E671*Prislapp!$E$2+F671*Prislapp!$F$2+G671*Prislapp!$G$2+H671*Prislapp!$H$2+I671*Prislapp!$I$2+J671*Prislapp!$J$2+K671*Prislapp!$K$2+L671*Prislapp!$L$2+M671*Prislapp!$M$2+N671*Prislapp!$N$2</f>
        <v>26554</v>
      </c>
      <c r="P671" s="40">
        <f>C671*Prislapp!$C$3+D671*Prislapp!$D$3+E671*Prislapp!$E$3+F671*Prislapp!$F$3+G671*Prislapp!$G$3+H671*Prislapp!$H$3+I671*Prislapp!$I$3+J671*Prislapp!$J$3+K671*Prislapp!$K$3+M671*Prislapp!$M$3+N671*Prislapp!$N$3+L671*Prislapp!$L$3</f>
        <v>33465</v>
      </c>
      <c r="Q671" s="40">
        <f>C671*Prislapp!$C$5+D671*Prislapp!$D$5+E671*Prislapp!$E$5+F671*Prislapp!$F$5+G671*Prislapp!$G$5+H671*Prislapp!$H$5+I671*Prislapp!$I$5+J671*Prislapp!$J$5+K671*Prislapp!$K$5+L671*Prislapp!$L$5+M671*Prislapp!$M$5+N671*Prislapp!$N$5</f>
        <v>6000</v>
      </c>
      <c r="R671" s="9">
        <f>VLOOKUP(A671,'Ansvar kurs'!$A$2:$B$943,2,FALSE)</f>
        <v>2193</v>
      </c>
      <c r="U671" s="157"/>
      <c r="V671" s="157"/>
      <c r="W671" s="157"/>
      <c r="X671" s="157"/>
      <c r="Y671" s="157"/>
      <c r="Z671" s="157"/>
    </row>
    <row r="672" spans="1:26" x14ac:dyDescent="0.25">
      <c r="A672" s="358" t="s">
        <v>2345</v>
      </c>
      <c r="B672" s="31" t="s">
        <v>2356</v>
      </c>
      <c r="F672" s="31">
        <v>1</v>
      </c>
      <c r="O672" s="40">
        <f>C672*Prislapp!$C$2+D672*Prislapp!$D$2+E672*Prislapp!$E$2+F672*Prislapp!$F$2+G672*Prislapp!$G$2+H672*Prislapp!$H$2+I672*Prislapp!$I$2+J672*Prislapp!$J$2+K672*Prislapp!$K$2+L672*Prislapp!$L$2+M672*Prislapp!$M$2+N672*Prislapp!$N$2</f>
        <v>26554</v>
      </c>
      <c r="P672" s="40">
        <f>C672*Prislapp!$C$3+D672*Prislapp!$D$3+E672*Prislapp!$E$3+F672*Prislapp!$F$3+G672*Prislapp!$G$3+H672*Prislapp!$H$3+I672*Prislapp!$I$3+J672*Prislapp!$J$3+K672*Prislapp!$K$3+M672*Prislapp!$M$3+N672*Prislapp!$N$3+L672*Prislapp!$L$3</f>
        <v>33465</v>
      </c>
      <c r="Q672" s="40">
        <f>C672*Prislapp!$C$5+D672*Prislapp!$D$5+E672*Prislapp!$E$5+F672*Prislapp!$F$5+G672*Prislapp!$G$5+H672*Prislapp!$H$5+I672*Prislapp!$I$5+J672*Prislapp!$J$5+K672*Prislapp!$K$5+L672*Prislapp!$L$5+M672*Prislapp!$M$5+N672*Prislapp!$N$5</f>
        <v>6000</v>
      </c>
      <c r="R672" s="9">
        <f>VLOOKUP(A672,'Ansvar kurs'!$A$2:$B$943,2,FALSE)</f>
        <v>2193</v>
      </c>
    </row>
    <row r="673" spans="1:28" x14ac:dyDescent="0.25">
      <c r="A673" s="397" t="s">
        <v>2173</v>
      </c>
      <c r="B673" s="31" t="s">
        <v>2178</v>
      </c>
      <c r="F673" s="31">
        <v>1</v>
      </c>
      <c r="O673" s="40">
        <f>C673*Prislapp!$C$2+D673*Prislapp!$D$2+E673*Prislapp!$E$2+F673*Prislapp!$F$2+G673*Prislapp!$G$2+H673*Prislapp!$H$2+I673*Prislapp!$I$2+J673*Prislapp!$J$2+K673*Prislapp!$K$2+L673*Prislapp!$L$2+M673*Prislapp!$M$2+N673*Prislapp!$N$2</f>
        <v>26554</v>
      </c>
      <c r="P673" s="40">
        <f>C673*Prislapp!$C$3+D673*Prislapp!$D$3+E673*Prislapp!$E$3+F673*Prislapp!$F$3+G673*Prislapp!$G$3+H673*Prislapp!$H$3+I673*Prislapp!$I$3+J673*Prislapp!$J$3+K673*Prislapp!$K$3+M673*Prislapp!$M$3+N673*Prislapp!$N$3+L673*Prislapp!$L$3</f>
        <v>33465</v>
      </c>
      <c r="Q673" s="40">
        <f>C673*Prislapp!$C$5+D673*Prislapp!$D$5+E673*Prislapp!$E$5+F673*Prislapp!$F$5+G673*Prislapp!$G$5+H673*Prislapp!$H$5+I673*Prislapp!$I$5+J673*Prislapp!$J$5+K673*Prislapp!$K$5+L673*Prislapp!$L$5+M673*Prislapp!$M$5+N673*Prislapp!$N$5</f>
        <v>6000</v>
      </c>
      <c r="R673" s="9">
        <f>VLOOKUP(A673,'Ansvar kurs'!$A$2:$B$943,2,FALSE)</f>
        <v>2180</v>
      </c>
      <c r="S673" s="157"/>
      <c r="T673" s="157"/>
      <c r="U673" s="157"/>
      <c r="V673" s="157"/>
      <c r="W673" s="157"/>
      <c r="X673" s="157"/>
      <c r="Y673" s="157"/>
      <c r="Z673" s="157"/>
    </row>
    <row r="674" spans="1:28" x14ac:dyDescent="0.25">
      <c r="A674" s="505" t="s">
        <v>2209</v>
      </c>
      <c r="B674" s="31" t="s">
        <v>2211</v>
      </c>
      <c r="F674" s="31">
        <v>1</v>
      </c>
      <c r="O674" s="40">
        <f>C674*Prislapp!$C$2+D674*Prislapp!$D$2+E674*Prislapp!$E$2+F674*Prislapp!$F$2+G674*Prislapp!$G$2+H674*Prislapp!$H$2+I674*Prislapp!$I$2+J674*Prislapp!$J$2+K674*Prislapp!$K$2+L674*Prislapp!$L$2+M674*Prislapp!$M$2+N674*Prislapp!$N$2</f>
        <v>26554</v>
      </c>
      <c r="P674" s="40">
        <f>C674*Prislapp!$C$3+D674*Prislapp!$D$3+E674*Prislapp!$E$3+F674*Prislapp!$F$3+G674*Prislapp!$G$3+H674*Prislapp!$H$3+I674*Prislapp!$I$3+J674*Prislapp!$J$3+K674*Prislapp!$K$3+M674*Prislapp!$M$3+N674*Prislapp!$N$3+L674*Prislapp!$L$3</f>
        <v>33465</v>
      </c>
      <c r="Q674" s="40">
        <f>C674*Prislapp!$C$5+D674*Prislapp!$D$5+E674*Prislapp!$E$5+F674*Prislapp!$F$5+G674*Prislapp!$G$5+H674*Prislapp!$H$5+I674*Prislapp!$I$5+J674*Prislapp!$J$5+K674*Prislapp!$K$5+L674*Prislapp!$L$5+M674*Prislapp!$M$5+N674*Prislapp!$N$5</f>
        <v>6000</v>
      </c>
      <c r="R674" s="9">
        <f>VLOOKUP(A674,'Ansvar kurs'!$A$2:$B$943,2,FALSE)</f>
        <v>2180</v>
      </c>
      <c r="S674" s="157"/>
      <c r="T674" s="157"/>
      <c r="U674" s="157"/>
      <c r="V674" s="157"/>
      <c r="W674" s="157"/>
      <c r="X674" s="157"/>
      <c r="Y674" s="157"/>
      <c r="Z674" s="157"/>
    </row>
    <row r="675" spans="1:28" x14ac:dyDescent="0.25">
      <c r="A675" s="57" t="s">
        <v>2174</v>
      </c>
      <c r="B675" s="60" t="s">
        <v>1443</v>
      </c>
      <c r="H675" s="57"/>
      <c r="K675" s="31">
        <v>1</v>
      </c>
      <c r="O675" s="40">
        <f>C675*Prislapp!$C$2+D675*Prislapp!$D$2+E675*Prislapp!$E$2+F675*Prislapp!$F$2+G675*Prislapp!$G$2+H675*Prislapp!$H$2+I675*Prislapp!$I$2+J675*Prislapp!$J$2+K675*Prislapp!$K$2+L675*Prislapp!$L$2+M675*Prislapp!$M$2+N675*Prislapp!$N$2</f>
        <v>25235</v>
      </c>
      <c r="P675" s="40">
        <f>C675*Prislapp!$C$3+D675*Prislapp!$D$3+E675*Prislapp!$E$3+F675*Prislapp!$F$3+G675*Prislapp!$G$3+H675*Prislapp!$H$3+I675*Prislapp!$I$3+J675*Prislapp!$J$3+K675*Prislapp!$K$3+M675*Prislapp!$M$3+N675*Prislapp!$N$3+L675*Prislapp!$L$3</f>
        <v>27976</v>
      </c>
      <c r="Q675" s="40">
        <f>C675*Prislapp!$C$5+D675*Prislapp!$D$5+E675*Prislapp!$E$5+F675*Prislapp!$F$5+G675*Prislapp!$G$5+H675*Prislapp!$H$5+I675*Prislapp!$I$5+J675*Prislapp!$J$5+K675*Prislapp!$K$5+L675*Prislapp!$L$5+M675*Prislapp!$M$5+N675*Prislapp!$N$5</f>
        <v>3600</v>
      </c>
      <c r="R675" s="9">
        <f>VLOOKUP(A675,'Ansvar kurs'!$A$2:$B$943,2,FALSE)</f>
        <v>2180</v>
      </c>
    </row>
    <row r="676" spans="1:28" x14ac:dyDescent="0.25">
      <c r="A676" s="57" t="s">
        <v>2136</v>
      </c>
      <c r="B676" s="60" t="s">
        <v>1680</v>
      </c>
      <c r="H676" s="57"/>
      <c r="K676" s="31">
        <v>1</v>
      </c>
      <c r="O676" s="40">
        <f>C676*Prislapp!$C$2+D676*Prislapp!$D$2+E676*Prislapp!$E$2+F676*Prislapp!$F$2+G676*Prislapp!$G$2+H676*Prislapp!$H$2+I676*Prislapp!$I$2+J676*Prislapp!$J$2+K676*Prislapp!$K$2+L676*Prislapp!$L$2+M676*Prislapp!$M$2+N676*Prislapp!$N$2</f>
        <v>25235</v>
      </c>
      <c r="P676" s="40">
        <f>C676*Prislapp!$C$3+D676*Prislapp!$D$3+E676*Prislapp!$E$3+F676*Prislapp!$F$3+G676*Prislapp!$G$3+H676*Prislapp!$H$3+I676*Prislapp!$I$3+J676*Prislapp!$J$3+K676*Prislapp!$K$3+M676*Prislapp!$M$3+N676*Prislapp!$N$3+L676*Prislapp!$L$3</f>
        <v>27976</v>
      </c>
      <c r="Q676" s="40">
        <f>C676*Prislapp!$C$5+D676*Prislapp!$D$5+E676*Prislapp!$E$5+F676*Prislapp!$F$5+G676*Prislapp!$G$5+H676*Prislapp!$H$5+I676*Prislapp!$I$5+J676*Prislapp!$J$5+K676*Prislapp!$K$5+L676*Prislapp!$L$5+M676*Prislapp!$M$5+N676*Prislapp!$N$5</f>
        <v>3600</v>
      </c>
      <c r="R676" s="9">
        <f>VLOOKUP(A676,'Ansvar kurs'!$A$2:$B$943,2,FALSE)</f>
        <v>2193</v>
      </c>
    </row>
    <row r="677" spans="1:28" x14ac:dyDescent="0.25">
      <c r="A677" s="57" t="s">
        <v>2137</v>
      </c>
      <c r="B677" s="60" t="s">
        <v>2157</v>
      </c>
      <c r="F677" s="31">
        <v>1</v>
      </c>
      <c r="H677" s="57"/>
      <c r="O677" s="40">
        <f>C677*Prislapp!$C$2+D677*Prislapp!$D$2+E677*Prislapp!$E$2+F677*Prislapp!$F$2+G677*Prislapp!$G$2+H677*Prislapp!$H$2+I677*Prislapp!$I$2+J677*Prislapp!$J$2+K677*Prislapp!$K$2+L677*Prislapp!$L$2+M677*Prislapp!$M$2+N677*Prislapp!$N$2</f>
        <v>26554</v>
      </c>
      <c r="P677" s="40">
        <f>C677*Prislapp!$C$3+D677*Prislapp!$D$3+E677*Prislapp!$E$3+F677*Prislapp!$F$3+G677*Prislapp!$G$3+H677*Prislapp!$H$3+I677*Prislapp!$I$3+J677*Prislapp!$J$3+K677*Prislapp!$K$3+M677*Prislapp!$M$3+N677*Prislapp!$N$3+L677*Prislapp!$L$3</f>
        <v>33465</v>
      </c>
      <c r="Q677" s="40">
        <f>C677*Prislapp!$C$5+D677*Prislapp!$D$5+E677*Prislapp!$E$5+F677*Prislapp!$F$5+G677*Prislapp!$G$5+H677*Prislapp!$H$5+I677*Prislapp!$I$5+J677*Prislapp!$J$5+K677*Prislapp!$K$5+L677*Prislapp!$L$5+M677*Prislapp!$M$5+N677*Prislapp!$N$5</f>
        <v>6000</v>
      </c>
      <c r="R677" s="9">
        <f>VLOOKUP(A677,'Ansvar kurs'!$A$2:$B$943,2,FALSE)</f>
        <v>2193</v>
      </c>
    </row>
    <row r="678" spans="1:28" x14ac:dyDescent="0.25">
      <c r="A678" s="57" t="s">
        <v>2138</v>
      </c>
      <c r="B678" s="60" t="s">
        <v>1736</v>
      </c>
      <c r="H678" s="57"/>
      <c r="I678" s="31">
        <v>1</v>
      </c>
      <c r="O678" s="40">
        <f>C678*Prislapp!$C$2+D678*Prislapp!$D$2+E678*Prislapp!$E$2+F678*Prislapp!$F$2+G678*Prislapp!$G$2+H678*Prislapp!$H$2+I678*Prislapp!$I$2+J678*Prislapp!$J$2+K678*Prislapp!$K$2+L678*Prislapp!$L$2+M678*Prislapp!$M$2+N678*Prislapp!$N$2</f>
        <v>20766</v>
      </c>
      <c r="P678" s="40">
        <f>C678*Prislapp!$C$3+D678*Prislapp!$D$3+E678*Prislapp!$E$3+F678*Prislapp!$F$3+G678*Prislapp!$G$3+H678*Prislapp!$H$3+I678*Prislapp!$I$3+J678*Prislapp!$J$3+K678*Prislapp!$K$3+M678*Prislapp!$M$3+N678*Prislapp!$N$3+L678*Prislapp!$L$3</f>
        <v>17442</v>
      </c>
      <c r="Q678" s="40">
        <f>C678*Prislapp!$C$5+D678*Prislapp!$D$5+E678*Prislapp!$E$5+F678*Prislapp!$F$5+G678*Prislapp!$G$5+H678*Prislapp!$H$5+I678*Prislapp!$I$5+J678*Prislapp!$J$5+K678*Prislapp!$K$5+L678*Prislapp!$L$5+M678*Prislapp!$M$5+N678*Prislapp!$N$5</f>
        <v>6000</v>
      </c>
      <c r="R678" s="9">
        <f>VLOOKUP(A678,'Ansvar kurs'!$A$2:$B$943,2,FALSE)</f>
        <v>2193</v>
      </c>
    </row>
    <row r="679" spans="1:28" x14ac:dyDescent="0.25">
      <c r="A679" s="57" t="s">
        <v>2197</v>
      </c>
      <c r="B679" s="60" t="s">
        <v>1573</v>
      </c>
      <c r="F679" s="31">
        <v>1</v>
      </c>
      <c r="H679" s="57"/>
      <c r="O679" s="40">
        <f>C679*Prislapp!$C$2+D679*Prislapp!$D$2+E679*Prislapp!$E$2+F679*Prislapp!$F$2+G679*Prislapp!$G$2+H679*Prislapp!$H$2+I679*Prislapp!$I$2+J679*Prislapp!$J$2+K679*Prislapp!$K$2+L679*Prislapp!$L$2+M679*Prislapp!$M$2+N679*Prislapp!$N$2</f>
        <v>26554</v>
      </c>
      <c r="P679" s="40">
        <f>C679*Prislapp!$C$3+D679*Prislapp!$D$3+E679*Prislapp!$E$3+F679*Prislapp!$F$3+G679*Prislapp!$G$3+H679*Prislapp!$H$3+I679*Prislapp!$I$3+J679*Prislapp!$J$3+K679*Prislapp!$K$3+M679*Prislapp!$M$3+N679*Prislapp!$N$3+L679*Prislapp!$L$3</f>
        <v>33465</v>
      </c>
      <c r="Q679" s="40">
        <f>C679*Prislapp!$C$5+D679*Prislapp!$D$5+E679*Prislapp!$E$5+F679*Prislapp!$F$5+G679*Prislapp!$G$5+H679*Prislapp!$H$5+I679*Prislapp!$I$5+J679*Prislapp!$J$5+K679*Prislapp!$K$5+L679*Prislapp!$L$5+M679*Prislapp!$M$5+N679*Prislapp!$N$5</f>
        <v>6000</v>
      </c>
      <c r="R679" s="9">
        <f>VLOOKUP(A679,'Ansvar kurs'!$A$2:$B$943,2,FALSE)</f>
        <v>2193</v>
      </c>
    </row>
    <row r="680" spans="1:28" x14ac:dyDescent="0.25">
      <c r="A680" s="157" t="s">
        <v>2368</v>
      </c>
      <c r="B680" s="31" t="s">
        <v>2289</v>
      </c>
      <c r="F680" s="31">
        <v>1</v>
      </c>
      <c r="H680" s="375"/>
      <c r="I680" s="375"/>
      <c r="O680" s="40">
        <f>C680*Prislapp!$C$2+D680*Prislapp!$D$2+E680*Prislapp!$E$2+F680*Prislapp!$F$2+G680*Prislapp!$G$2+H680*Prislapp!$H$2+I680*Prislapp!$I$2+J680*Prislapp!$J$2+K680*Prislapp!$K$2+L680*Prislapp!$L$2+M680*Prislapp!$M$2+N680*Prislapp!$N$2</f>
        <v>26554</v>
      </c>
      <c r="P680" s="40">
        <f>C680*Prislapp!$C$3+D680*Prislapp!$D$3+E680*Prislapp!$E$3+F680*Prislapp!$F$3+G680*Prislapp!$G$3+H680*Prislapp!$H$3+I680*Prislapp!$I$3+J680*Prislapp!$J$3+K680*Prislapp!$K$3+M680*Prislapp!$M$3+N680*Prislapp!$N$3+L680*Prislapp!$L$3</f>
        <v>33465</v>
      </c>
      <c r="Q680" s="40">
        <f>C680*Prislapp!$C$5+D680*Prislapp!$D$5+E680*Prislapp!$E$5+F680*Prislapp!$F$5+G680*Prislapp!$G$5+H680*Prislapp!$H$5+I680*Prislapp!$I$5+J680*Prislapp!$J$5+K680*Prislapp!$K$5+L680*Prislapp!$L$5+M680*Prislapp!$M$5+N680*Prislapp!$N$5</f>
        <v>6000</v>
      </c>
      <c r="R680" s="9">
        <f>VLOOKUP(A680,'Ansvar kurs'!$A$2:$B$943,2,FALSE)</f>
        <v>2180</v>
      </c>
      <c r="S680" s="176"/>
      <c r="T680" s="157"/>
      <c r="U680" s="157"/>
      <c r="V680" s="157"/>
      <c r="W680" s="157"/>
      <c r="X680" s="157"/>
      <c r="Y680" s="157"/>
      <c r="Z680" s="157"/>
    </row>
    <row r="681" spans="1:28" x14ac:dyDescent="0.25">
      <c r="A681" s="31" t="s">
        <v>472</v>
      </c>
      <c r="B681" s="31" t="s">
        <v>721</v>
      </c>
      <c r="F681" s="31">
        <v>1</v>
      </c>
      <c r="O681" s="40">
        <f>C681*Prislapp!$C$2+D681*Prislapp!$D$2+E681*Prislapp!$E$2+F681*Prislapp!$F$2+G681*Prislapp!$G$2+H681*Prislapp!$H$2+I681*Prislapp!$I$2+J681*Prislapp!$J$2+K681*Prislapp!$K$2+L681*Prislapp!$L$2+M681*Prislapp!$M$2+N681*Prislapp!$N$2</f>
        <v>26554</v>
      </c>
      <c r="P681" s="40">
        <f>C681*Prislapp!$C$3+D681*Prislapp!$D$3+E681*Prislapp!$E$3+F681*Prislapp!$F$3+G681*Prislapp!$G$3+H681*Prislapp!$H$3+I681*Prislapp!$I$3+J681*Prislapp!$J$3+K681*Prislapp!$K$3+M681*Prislapp!$M$3+N681*Prislapp!$N$3+L681*Prislapp!$L$3</f>
        <v>33465</v>
      </c>
      <c r="Q681" s="40">
        <f>C681*Prislapp!$C$5+D681*Prislapp!$D$5+E681*Prislapp!$E$5+F681*Prislapp!$F$5+G681*Prislapp!$G$5+H681*Prislapp!$H$5+I681*Prislapp!$I$5+J681*Prislapp!$J$5+K681*Prislapp!$K$5+L681*Prislapp!$L$5+M681*Prislapp!$M$5+N681*Prislapp!$N$5</f>
        <v>6000</v>
      </c>
      <c r="R681" s="9">
        <f>VLOOKUP(A681,'Ansvar kurs'!$A$2:$B$943,2,FALSE)</f>
        <v>2180</v>
      </c>
      <c r="S681" s="157"/>
      <c r="T681" s="157"/>
      <c r="U681" s="157"/>
      <c r="V681" s="157"/>
      <c r="W681" s="157"/>
      <c r="X681" s="157"/>
      <c r="Y681" s="157"/>
      <c r="Z681" s="157"/>
    </row>
    <row r="682" spans="1:28" x14ac:dyDescent="0.25">
      <c r="A682" s="222" t="s">
        <v>819</v>
      </c>
      <c r="B682" s="31" t="s">
        <v>1200</v>
      </c>
      <c r="F682" s="31">
        <v>1</v>
      </c>
      <c r="O682" s="40">
        <f>C682*Prislapp!$C$2+D682*Prislapp!$D$2+E682*Prislapp!$E$2+F682*Prislapp!$F$2+G682*Prislapp!$G$2+H682*Prislapp!$H$2+I682*Prislapp!$I$2+J682*Prislapp!$J$2+K682*Prislapp!$K$2+L682*Prislapp!$L$2+M682*Prislapp!$M$2+N682*Prislapp!$N$2</f>
        <v>26554</v>
      </c>
      <c r="P682" s="40">
        <f>C682*Prislapp!$C$3+D682*Prislapp!$D$3+E682*Prislapp!$E$3+F682*Prislapp!$F$3+G682*Prislapp!$G$3+H682*Prislapp!$H$3+I682*Prislapp!$I$3+J682*Prislapp!$J$3+K682*Prislapp!$K$3+M682*Prislapp!$M$3+N682*Prislapp!$N$3+L682*Prislapp!$L$3</f>
        <v>33465</v>
      </c>
      <c r="Q682" s="40">
        <f>C682*Prislapp!$C$5+D682*Prislapp!$D$5+E682*Prislapp!$E$5+F682*Prislapp!$F$5+G682*Prislapp!$G$5+H682*Prislapp!$H$5+I682*Prislapp!$I$5+J682*Prislapp!$J$5+K682*Prislapp!$K$5+L682*Prislapp!$L$5+M682*Prislapp!$M$5+N682*Prislapp!$N$5</f>
        <v>6000</v>
      </c>
      <c r="R682" s="9">
        <f>VLOOKUP(A682,'Ansvar kurs'!$A$2:$B$943,2,FALSE)</f>
        <v>2180</v>
      </c>
      <c r="S682" s="157"/>
      <c r="T682" s="157"/>
      <c r="U682" s="157"/>
      <c r="V682" s="157"/>
      <c r="W682" s="157"/>
      <c r="X682" s="157"/>
      <c r="Y682" s="157"/>
      <c r="Z682" s="157"/>
    </row>
    <row r="683" spans="1:28" x14ac:dyDescent="0.25">
      <c r="A683" s="222" t="s">
        <v>2375</v>
      </c>
      <c r="B683" s="157" t="s">
        <v>1714</v>
      </c>
      <c r="K683" s="31">
        <v>1</v>
      </c>
      <c r="O683" s="40">
        <f>C683*Prislapp!$C$2+D683*Prislapp!$D$2+E683*Prislapp!$E$2+F683*Prislapp!$F$2+G683*Prislapp!$G$2+H683*Prislapp!$H$2+I683*Prislapp!$I$2+J683*Prislapp!$J$2+K683*Prislapp!$K$2+L683*Prislapp!$L$2+M683*Prislapp!$M$2+N683*Prislapp!$N$2</f>
        <v>25235</v>
      </c>
      <c r="P683" s="40">
        <f>C683*Prislapp!$C$3+D683*Prislapp!$D$3+E683*Prislapp!$E$3+F683*Prislapp!$F$3+G683*Prislapp!$G$3+H683*Prislapp!$H$3+I683*Prislapp!$I$3+J683*Prislapp!$J$3+K683*Prislapp!$K$3+M683*Prislapp!$M$3+N683*Prislapp!$N$3+L683*Prislapp!$L$3</f>
        <v>27976</v>
      </c>
      <c r="Q683" s="40">
        <f>C683*Prislapp!$C$5+D683*Prislapp!$D$5+E683*Prislapp!$E$5+F683*Prislapp!$F$5+G683*Prislapp!$G$5+H683*Prislapp!$H$5+I683*Prislapp!$I$5+J683*Prislapp!$J$5+K683*Prislapp!$K$5+L683*Prislapp!$L$5+M683*Prislapp!$M$5+N683*Prislapp!$N$5</f>
        <v>3600</v>
      </c>
      <c r="R683" s="9">
        <f>VLOOKUP(A683,'Ansvar kurs'!$A$2:$B$943,2,FALSE)</f>
        <v>2193</v>
      </c>
      <c r="S683" s="157"/>
      <c r="T683" s="157"/>
      <c r="U683" s="157"/>
      <c r="V683" s="157"/>
      <c r="W683" s="157"/>
      <c r="X683" s="157"/>
      <c r="Y683" s="157"/>
      <c r="Z683" s="157"/>
    </row>
    <row r="684" spans="1:28" x14ac:dyDescent="0.25">
      <c r="A684" s="222" t="s">
        <v>2376</v>
      </c>
      <c r="B684" s="157" t="s">
        <v>1678</v>
      </c>
      <c r="K684" s="31">
        <v>1</v>
      </c>
      <c r="O684" s="40">
        <f>C684*Prislapp!$C$2+D684*Prislapp!$D$2+E684*Prislapp!$E$2+F684*Prislapp!$F$2+G684*Prislapp!$G$2+H684*Prislapp!$H$2+I684*Prislapp!$I$2+J684*Prislapp!$J$2+K684*Prislapp!$K$2+L684*Prislapp!$L$2+M684*Prislapp!$M$2+N684*Prislapp!$N$2</f>
        <v>25235</v>
      </c>
      <c r="P684" s="40">
        <f>C684*Prislapp!$C$3+D684*Prislapp!$D$3+E684*Prislapp!$E$3+F684*Prislapp!$F$3+G684*Prislapp!$G$3+H684*Prislapp!$H$3+I684*Prislapp!$I$3+J684*Prislapp!$J$3+K684*Prislapp!$K$3+M684*Prislapp!$M$3+N684*Prislapp!$N$3+L684*Prislapp!$L$3</f>
        <v>27976</v>
      </c>
      <c r="Q684" s="40">
        <f>C684*Prislapp!$C$5+D684*Prislapp!$D$5+E684*Prislapp!$E$5+F684*Prislapp!$F$5+G684*Prislapp!$G$5+H684*Prislapp!$H$5+I684*Prislapp!$I$5+J684*Prislapp!$J$5+K684*Prislapp!$K$5+L684*Prislapp!$L$5+M684*Prislapp!$M$5+N684*Prislapp!$N$5</f>
        <v>3600</v>
      </c>
      <c r="R684" s="9">
        <f>VLOOKUP(A684,'Ansvar kurs'!$A$2:$B$943,2,FALSE)</f>
        <v>2193</v>
      </c>
      <c r="S684" s="157"/>
      <c r="T684" s="157"/>
      <c r="U684" s="157"/>
      <c r="V684" s="157"/>
      <c r="W684" s="157"/>
      <c r="X684" s="157"/>
      <c r="Y684" s="157"/>
      <c r="Z684" s="157"/>
    </row>
    <row r="685" spans="1:28" x14ac:dyDescent="0.25">
      <c r="A685" s="221" t="s">
        <v>394</v>
      </c>
      <c r="B685" s="31" t="s">
        <v>401</v>
      </c>
      <c r="L685" s="31">
        <v>1</v>
      </c>
      <c r="O685" s="40">
        <f>C685*Prislapp!$C$2+D685*Prislapp!$D$2+E685*Prislapp!$E$2+F685*Prislapp!$F$2+G685*Prislapp!$G$2+H685*Prislapp!$H$2+I685*Prislapp!$I$2+J685*Prislapp!$J$2+K685*Prislapp!$K$2+L685*Prislapp!$L$2+M685*Prislapp!$M$2+N685*Prislapp!$N$2</f>
        <v>20766</v>
      </c>
      <c r="P685" s="40">
        <f>C685*Prislapp!$C$3+D685*Prislapp!$D$3+E685*Prislapp!$E$3+F685*Prislapp!$F$3+G685*Prislapp!$G$3+H685*Prislapp!$H$3+I685*Prislapp!$I$3+J685*Prislapp!$J$3+K685*Prislapp!$K$3+M685*Prislapp!$M$3+N685*Prislapp!$N$3+L685*Prislapp!$L$3</f>
        <v>17442</v>
      </c>
      <c r="Q685" s="40">
        <f>C685*Prislapp!$C$5+D685*Prislapp!$D$5+E685*Prislapp!$E$5+F685*Prislapp!$F$5+G685*Prislapp!$G$5+H685*Prislapp!$H$5+I685*Prislapp!$I$5+J685*Prislapp!$J$5+K685*Prislapp!$K$5+L685*Prislapp!$L$5+M685*Prislapp!$M$5+N685*Prislapp!$N$5</f>
        <v>6000</v>
      </c>
      <c r="R685" s="9">
        <f>VLOOKUP(A685,'Ansvar kurs'!$A$2:$B$943,2,FALSE)</f>
        <v>2200</v>
      </c>
      <c r="S685" s="157"/>
      <c r="T685" s="157"/>
      <c r="Z685" s="189"/>
    </row>
    <row r="686" spans="1:28" x14ac:dyDescent="0.25">
      <c r="A686" s="221" t="s">
        <v>395</v>
      </c>
      <c r="B686" s="31" t="s">
        <v>402</v>
      </c>
      <c r="L686" s="31">
        <v>1</v>
      </c>
      <c r="O686" s="40">
        <f>C686*Prislapp!$C$2+D686*Prislapp!$D$2+E686*Prislapp!$E$2+F686*Prislapp!$F$2+G686*Prislapp!$G$2+H686*Prislapp!$H$2+I686*Prislapp!$I$2+J686*Prislapp!$J$2+K686*Prislapp!$K$2+L686*Prislapp!$L$2+M686*Prislapp!$M$2+N686*Prislapp!$N$2</f>
        <v>20766</v>
      </c>
      <c r="P686" s="40">
        <f>C686*Prislapp!$C$3+D686*Prislapp!$D$3+E686*Prislapp!$E$3+F686*Prislapp!$F$3+G686*Prislapp!$G$3+H686*Prislapp!$H$3+I686*Prislapp!$I$3+J686*Prislapp!$J$3+K686*Prislapp!$K$3+M686*Prislapp!$M$3+N686*Prislapp!$N$3+L686*Prislapp!$L$3</f>
        <v>17442</v>
      </c>
      <c r="Q686" s="40">
        <f>C686*Prislapp!$C$5+D686*Prislapp!$D$5+E686*Prislapp!$E$5+F686*Prislapp!$F$5+G686*Prislapp!$G$5+H686*Prislapp!$H$5+I686*Prislapp!$I$5+J686*Prislapp!$J$5+K686*Prislapp!$K$5+L686*Prislapp!$L$5+M686*Prislapp!$M$5+N686*Prislapp!$N$5</f>
        <v>6000</v>
      </c>
      <c r="R686" s="9">
        <f>VLOOKUP(A686,'Ansvar kurs'!$A$2:$B$943,2,FALSE)</f>
        <v>2200</v>
      </c>
      <c r="S686" s="157"/>
      <c r="T686" s="157"/>
      <c r="X686" s="157"/>
      <c r="Y686" s="157"/>
      <c r="Z686" s="157"/>
      <c r="AA686" s="157"/>
      <c r="AB686" s="157"/>
    </row>
    <row r="687" spans="1:28" x14ac:dyDescent="0.25">
      <c r="A687" s="31" t="s">
        <v>142</v>
      </c>
      <c r="B687" s="31" t="s">
        <v>722</v>
      </c>
      <c r="D687" s="31">
        <v>0.75</v>
      </c>
      <c r="K687" s="31">
        <v>0.25</v>
      </c>
      <c r="O687" s="40">
        <f>C687*Prislapp!$C$2+D687*Prislapp!$D$2+E687*Prislapp!$E$2+F687*Prislapp!$F$2+G687*Prislapp!$G$2+H687*Prislapp!$H$2+I687*Prislapp!$I$2+J687*Prislapp!$J$2+K687*Prislapp!$K$2+L687*Prislapp!$L$2+M687*Prislapp!$M$2+N687*Prislapp!$N$2</f>
        <v>21883.25</v>
      </c>
      <c r="P687" s="40">
        <f>C687*Prislapp!$C$3+D687*Prislapp!$D$3+E687*Prislapp!$E$3+F687*Prislapp!$F$3+G687*Prislapp!$G$3+H687*Prislapp!$H$3+I687*Prislapp!$I$3+J687*Prislapp!$J$3+K687*Prislapp!$K$3+M687*Prislapp!$M$3+N687*Prislapp!$N$3+L687*Prislapp!$L$3</f>
        <v>20075.5</v>
      </c>
      <c r="Q687" s="40">
        <f>C687*Prislapp!$C$5+D687*Prislapp!$D$5+E687*Prislapp!$E$5+F687*Prislapp!$F$5+G687*Prislapp!$G$5+H687*Prislapp!$H$5+I687*Prislapp!$I$5+J687*Prislapp!$J$5+K687*Prislapp!$K$5+L687*Prislapp!$L$5+M687*Prislapp!$M$5+N687*Prislapp!$N$5</f>
        <v>5400</v>
      </c>
      <c r="R687" s="9">
        <f>VLOOKUP(A687,'Ansvar kurs'!$A$2:$B$943,2,FALSE)</f>
        <v>1630</v>
      </c>
      <c r="S687" s="197"/>
      <c r="T687" s="197"/>
      <c r="X687" s="157"/>
      <c r="Y687" s="198"/>
      <c r="Z687" s="197"/>
      <c r="AA687" s="197"/>
      <c r="AB687" s="157"/>
    </row>
    <row r="688" spans="1:28" x14ac:dyDescent="0.25">
      <c r="A688" s="31" t="s">
        <v>141</v>
      </c>
      <c r="B688" s="31" t="s">
        <v>723</v>
      </c>
      <c r="D688" s="31">
        <v>1</v>
      </c>
      <c r="O688" s="40">
        <f>C688*Prislapp!$C$2+D688*Prislapp!$D$2+E688*Prislapp!$E$2+F688*Prislapp!$F$2+G688*Prislapp!$G$2+H688*Prislapp!$H$2+I688*Prislapp!$I$2+J688*Prislapp!$J$2+K688*Prislapp!$K$2+L688*Prislapp!$L$2+M688*Prislapp!$M$2+N688*Prislapp!$N$2</f>
        <v>20766</v>
      </c>
      <c r="P688" s="40">
        <f>C688*Prislapp!$C$3+D688*Prislapp!$D$3+E688*Prislapp!$E$3+F688*Prislapp!$F$3+G688*Prislapp!$G$3+H688*Prislapp!$H$3+I688*Prislapp!$I$3+J688*Prislapp!$J$3+K688*Prislapp!$K$3+M688*Prislapp!$M$3+N688*Prislapp!$N$3+L688*Prislapp!$L$3</f>
        <v>17442</v>
      </c>
      <c r="Q688" s="40">
        <f>C688*Prislapp!$C$5+D688*Prislapp!$D$5+E688*Prislapp!$E$5+F688*Prislapp!$F$5+G688*Prislapp!$G$5+H688*Prislapp!$H$5+I688*Prislapp!$I$5+J688*Prislapp!$J$5+K688*Prislapp!$K$5+L688*Prislapp!$L$5+M688*Prislapp!$M$5+N688*Prislapp!$N$5</f>
        <v>6000</v>
      </c>
      <c r="R688" s="9">
        <f>VLOOKUP(A688,'Ansvar kurs'!$A$2:$B$943,2,FALSE)</f>
        <v>1630</v>
      </c>
      <c r="S688" s="157"/>
      <c r="T688" s="157"/>
      <c r="X688" s="157"/>
      <c r="Y688" s="197"/>
      <c r="Z688" s="197"/>
      <c r="AA688" s="197"/>
      <c r="AB688" s="157"/>
    </row>
    <row r="689" spans="1:28" x14ac:dyDescent="0.25">
      <c r="A689" s="31" t="s">
        <v>96</v>
      </c>
      <c r="B689" s="31" t="s">
        <v>724</v>
      </c>
      <c r="D689" s="31">
        <v>0.75</v>
      </c>
      <c r="K689" s="31">
        <v>0.25</v>
      </c>
      <c r="O689" s="40">
        <f>C689*Prislapp!$C$2+D689*Prislapp!$D$2+E689*Prislapp!$E$2+F689*Prislapp!$F$2+G689*Prislapp!$G$2+H689*Prislapp!$H$2+I689*Prislapp!$I$2+J689*Prislapp!$J$2+K689*Prislapp!$K$2+L689*Prislapp!$L$2+M689*Prislapp!$M$2+N689*Prislapp!$N$2</f>
        <v>21883.25</v>
      </c>
      <c r="P689" s="40">
        <f>C689*Prislapp!$C$3+D689*Prislapp!$D$3+E689*Prislapp!$E$3+F689*Prislapp!$F$3+G689*Prislapp!$G$3+H689*Prislapp!$H$3+I689*Prislapp!$I$3+J689*Prislapp!$J$3+K689*Prislapp!$K$3+M689*Prislapp!$M$3+N689*Prislapp!$N$3+L689*Prislapp!$L$3</f>
        <v>20075.5</v>
      </c>
      <c r="Q689" s="40">
        <f>C689*Prislapp!$C$5+D689*Prislapp!$D$5+E689*Prislapp!$E$5+F689*Prislapp!$F$5+G689*Prislapp!$G$5+H689*Prislapp!$H$5+I689*Prislapp!$I$5+J689*Prislapp!$J$5+K689*Prislapp!$K$5+L689*Prislapp!$L$5+M689*Prislapp!$M$5+N689*Prislapp!$N$5</f>
        <v>5400</v>
      </c>
      <c r="R689" s="9">
        <f>VLOOKUP(A689,'Ansvar kurs'!$A$2:$B$943,2,FALSE)</f>
        <v>1630</v>
      </c>
      <c r="S689" s="176"/>
      <c r="T689" s="176"/>
      <c r="X689" s="157"/>
      <c r="Y689" s="198"/>
      <c r="Z689" s="197"/>
      <c r="AA689" s="197"/>
      <c r="AB689" s="157"/>
    </row>
    <row r="690" spans="1:28" x14ac:dyDescent="0.25">
      <c r="A690" s="31" t="s">
        <v>435</v>
      </c>
      <c r="B690" s="31" t="s">
        <v>359</v>
      </c>
      <c r="F690" s="31">
        <v>1</v>
      </c>
      <c r="O690" s="40">
        <f>C690*Prislapp!$C$2+D690*Prislapp!$D$2+E690*Prislapp!$E$2+F690*Prislapp!$F$2+G690*Prislapp!$G$2+H690*Prislapp!$H$2+I690*Prislapp!$I$2+J690*Prislapp!$J$2+K690*Prislapp!$K$2+L690*Prislapp!$L$2+M690*Prislapp!$M$2+N690*Prislapp!$N$2</f>
        <v>26554</v>
      </c>
      <c r="P690" s="40">
        <f>C690*Prislapp!$C$3+D690*Prislapp!$D$3+E690*Prislapp!$E$3+F690*Prislapp!$F$3+G690*Prislapp!$G$3+H690*Prislapp!$H$3+I690*Prislapp!$I$3+J690*Prislapp!$J$3+K690*Prislapp!$K$3+M690*Prislapp!$M$3+N690*Prislapp!$N$3+L690*Prislapp!$L$3</f>
        <v>33465</v>
      </c>
      <c r="Q690" s="40">
        <f>C690*Prislapp!$C$5+D690*Prislapp!$D$5+E690*Prislapp!$E$5+F690*Prislapp!$F$5+G690*Prislapp!$G$5+H690*Prislapp!$H$5+I690*Prislapp!$I$5+J690*Prislapp!$J$5+K690*Prislapp!$K$5+L690*Prislapp!$L$5+M690*Prislapp!$M$5+N690*Prislapp!$N$5</f>
        <v>6000</v>
      </c>
      <c r="R690" s="9">
        <f>VLOOKUP(A690,'Ansvar kurs'!$A$2:$B$943,2,FALSE)</f>
        <v>1630</v>
      </c>
      <c r="S690" s="157"/>
      <c r="T690" s="157"/>
      <c r="U690" s="157"/>
      <c r="V690" s="157"/>
      <c r="W690" s="157"/>
      <c r="X690" s="157"/>
      <c r="Y690" s="157"/>
      <c r="Z690" s="191"/>
    </row>
    <row r="691" spans="1:28" x14ac:dyDescent="0.25">
      <c r="A691" s="31" t="s">
        <v>509</v>
      </c>
      <c r="B691" s="31" t="s">
        <v>725</v>
      </c>
      <c r="D691" s="31">
        <v>1</v>
      </c>
      <c r="O691" s="40">
        <f>C691*Prislapp!$C$2+D691*Prislapp!$D$2+E691*Prislapp!$E$2+F691*Prislapp!$F$2+G691*Prislapp!$G$2+H691*Prislapp!$H$2+I691*Prislapp!$I$2+J691*Prislapp!$J$2+K691*Prislapp!$K$2+L691*Prislapp!$L$2+M691*Prislapp!$M$2+N691*Prislapp!$N$2</f>
        <v>20766</v>
      </c>
      <c r="P691" s="40">
        <f>C691*Prislapp!$C$3+D691*Prislapp!$D$3+E691*Prislapp!$E$3+F691*Prislapp!$F$3+G691*Prislapp!$G$3+H691*Prislapp!$H$3+I691*Prislapp!$I$3+J691*Prislapp!$J$3+K691*Prislapp!$K$3+M691*Prislapp!$M$3+N691*Prislapp!$N$3+L691*Prislapp!$L$3</f>
        <v>17442</v>
      </c>
      <c r="Q691" s="40">
        <f>C691*Prislapp!$C$5+D691*Prislapp!$D$5+E691*Prislapp!$E$5+F691*Prislapp!$F$5+G691*Prislapp!$G$5+H691*Prislapp!$H$5+I691*Prislapp!$I$5+J691*Prislapp!$J$5+K691*Prislapp!$K$5+L691*Prislapp!$L$5+M691*Prislapp!$M$5+N691*Prislapp!$N$5</f>
        <v>6000</v>
      </c>
      <c r="R691" s="9">
        <f>VLOOKUP(A691,'Ansvar kurs'!$A$2:$B$943,2,FALSE)</f>
        <v>1630</v>
      </c>
      <c r="X691" s="157"/>
      <c r="Y691" s="198"/>
      <c r="Z691" s="197"/>
      <c r="AA691" s="197"/>
      <c r="AB691" s="157"/>
    </row>
    <row r="692" spans="1:28" x14ac:dyDescent="0.25">
      <c r="A692" s="31" t="s">
        <v>510</v>
      </c>
      <c r="B692" s="31" t="s">
        <v>726</v>
      </c>
      <c r="D692" s="31">
        <v>1</v>
      </c>
      <c r="O692" s="40">
        <f>C692*Prislapp!$C$2+D692*Prislapp!$D$2+E692*Prislapp!$E$2+F692*Prislapp!$F$2+G692*Prislapp!$G$2+H692*Prislapp!$H$2+I692*Prislapp!$I$2+J692*Prislapp!$J$2+K692*Prislapp!$K$2+L692*Prislapp!$L$2+M692*Prislapp!$M$2+N692*Prislapp!$N$2</f>
        <v>20766</v>
      </c>
      <c r="P692" s="40">
        <f>C692*Prislapp!$C$3+D692*Prislapp!$D$3+E692*Prislapp!$E$3+F692*Prislapp!$F$3+G692*Prislapp!$G$3+H692*Prislapp!$H$3+I692*Prislapp!$I$3+J692*Prislapp!$J$3+K692*Prislapp!$K$3+M692*Prislapp!$M$3+N692*Prislapp!$N$3+L692*Prislapp!$L$3</f>
        <v>17442</v>
      </c>
      <c r="Q692" s="40">
        <f>C692*Prislapp!$C$5+D692*Prislapp!$D$5+E692*Prislapp!$E$5+F692*Prislapp!$F$5+G692*Prislapp!$G$5+H692*Prislapp!$H$5+I692*Prislapp!$I$5+J692*Prislapp!$J$5+K692*Prislapp!$K$5+L692*Prislapp!$L$5+M692*Prislapp!$M$5+N692*Prislapp!$N$5</f>
        <v>6000</v>
      </c>
      <c r="R692" s="9">
        <f>VLOOKUP(A692,'Ansvar kurs'!$A$2:$B$943,2,FALSE)</f>
        <v>1630</v>
      </c>
      <c r="X692" s="157"/>
      <c r="Y692" s="197"/>
      <c r="Z692" s="197"/>
      <c r="AA692" s="197"/>
      <c r="AB692" s="157"/>
    </row>
    <row r="693" spans="1:28" x14ac:dyDescent="0.25">
      <c r="A693" s="221" t="s">
        <v>598</v>
      </c>
      <c r="B693" s="31" t="s">
        <v>1201</v>
      </c>
      <c r="D693" s="31">
        <v>1</v>
      </c>
      <c r="O693" s="40">
        <f>C693*Prislapp!$C$2+D693*Prislapp!$D$2+E693*Prislapp!$E$2+F693*Prislapp!$F$2+G693*Prislapp!$G$2+H693*Prislapp!$H$2+I693*Prislapp!$I$2+J693*Prislapp!$J$2+K693*Prislapp!$K$2+L693*Prislapp!$L$2+M693*Prislapp!$M$2+N693*Prislapp!$N$2</f>
        <v>20766</v>
      </c>
      <c r="P693" s="40">
        <f>C693*Prislapp!$C$3+D693*Prislapp!$D$3+E693*Prislapp!$E$3+F693*Prislapp!$F$3+G693*Prislapp!$G$3+H693*Prislapp!$H$3+I693*Prislapp!$I$3+J693*Prislapp!$J$3+K693*Prislapp!$K$3+M693*Prislapp!$M$3+N693*Prislapp!$N$3+L693*Prislapp!$L$3</f>
        <v>17442</v>
      </c>
      <c r="Q693" s="40">
        <f>C693*Prislapp!$C$5+D693*Prislapp!$D$5+E693*Prislapp!$E$5+F693*Prislapp!$F$5+G693*Prislapp!$G$5+H693*Prislapp!$H$5+I693*Prislapp!$I$5+J693*Prislapp!$J$5+K693*Prislapp!$K$5+L693*Prislapp!$L$5+M693*Prislapp!$M$5+N693*Prislapp!$N$5</f>
        <v>6000</v>
      </c>
      <c r="R693" s="9">
        <f>VLOOKUP(A693,'Ansvar kurs'!$A$2:$B$943,2,FALSE)</f>
        <v>1630</v>
      </c>
      <c r="X693" s="157"/>
      <c r="Y693" s="198"/>
      <c r="Z693" s="197"/>
      <c r="AA693" s="197"/>
      <c r="AB693" s="157"/>
    </row>
    <row r="694" spans="1:28" x14ac:dyDescent="0.25">
      <c r="A694" s="221" t="s">
        <v>599</v>
      </c>
      <c r="B694" s="31" t="s">
        <v>1202</v>
      </c>
      <c r="F694" s="31">
        <v>1</v>
      </c>
      <c r="K694" s="31">
        <v>0</v>
      </c>
      <c r="O694" s="40">
        <f>C694*Prislapp!$C$2+D694*Prislapp!$D$2+E694*Prislapp!$E$2+F694*Prislapp!$F$2+G694*Prislapp!$G$2+H694*Prislapp!$H$2+I694*Prislapp!$I$2+J694*Prislapp!$J$2+K694*Prislapp!$K$2+L694*Prislapp!$L$2+M694*Prislapp!$M$2+N694*Prislapp!$N$2</f>
        <v>26554</v>
      </c>
      <c r="P694" s="40">
        <f>C694*Prislapp!$C$3+D694*Prislapp!$D$3+E694*Prislapp!$E$3+F694*Prislapp!$F$3+G694*Prislapp!$G$3+H694*Prislapp!$H$3+I694*Prislapp!$I$3+J694*Prislapp!$J$3+K694*Prislapp!$K$3+M694*Prislapp!$M$3+N694*Prislapp!$N$3+L694*Prislapp!$L$3</f>
        <v>33465</v>
      </c>
      <c r="Q694" s="40">
        <f>C694*Prislapp!$C$5+D694*Prislapp!$D$5+E694*Prislapp!$E$5+F694*Prislapp!$F$5+G694*Prislapp!$G$5+H694*Prislapp!$H$5+I694*Prislapp!$I$5+J694*Prislapp!$J$5+K694*Prislapp!$K$5+L694*Prislapp!$L$5+M694*Prislapp!$M$5+N694*Prislapp!$N$5</f>
        <v>6000</v>
      </c>
      <c r="R694" s="9">
        <f>VLOOKUP(A694,'Ansvar kurs'!$A$2:$B$943,2,FALSE)</f>
        <v>1630</v>
      </c>
      <c r="X694" s="157"/>
      <c r="Y694" s="198"/>
      <c r="Z694" s="197"/>
      <c r="AA694" s="197"/>
      <c r="AB694" s="157"/>
    </row>
    <row r="695" spans="1:28" x14ac:dyDescent="0.25">
      <c r="A695" s="221" t="s">
        <v>1022</v>
      </c>
      <c r="B695" s="31" t="s">
        <v>1203</v>
      </c>
      <c r="F695" s="31">
        <v>1</v>
      </c>
      <c r="O695" s="40">
        <f>C695*Prislapp!$C$2+D695*Prislapp!$D$2+E695*Prislapp!$E$2+F695*Prislapp!$F$2+G695*Prislapp!$G$2+H695*Prislapp!$H$2+I695*Prislapp!$I$2+J695*Prislapp!$J$2+K695*Prislapp!$K$2+L695*Prislapp!$L$2+M695*Prislapp!$M$2+N695*Prislapp!$N$2</f>
        <v>26554</v>
      </c>
      <c r="P695" s="40">
        <f>C695*Prislapp!$C$3+D695*Prislapp!$D$3+E695*Prislapp!$E$3+F695*Prislapp!$F$3+G695*Prislapp!$G$3+H695*Prislapp!$H$3+I695*Prislapp!$I$3+J695*Prislapp!$J$3+K695*Prislapp!$K$3+M695*Prislapp!$M$3+N695*Prislapp!$N$3+L695*Prislapp!$L$3</f>
        <v>33465</v>
      </c>
      <c r="Q695" s="40">
        <f>C695*Prislapp!$C$5+D695*Prislapp!$D$5+E695*Prislapp!$E$5+F695*Prislapp!$F$5+G695*Prislapp!$G$5+H695*Prislapp!$H$5+I695*Prislapp!$I$5+J695*Prislapp!$J$5+K695*Prislapp!$K$5+L695*Prislapp!$L$5+M695*Prislapp!$M$5+N695*Prislapp!$N$5</f>
        <v>6000</v>
      </c>
      <c r="R695" s="9">
        <f>VLOOKUP(A695,'Ansvar kurs'!$A$2:$B$943,2,FALSE)</f>
        <v>1630</v>
      </c>
      <c r="X695" s="157"/>
      <c r="Y695" s="198"/>
      <c r="Z695" s="197"/>
      <c r="AA695" s="197"/>
      <c r="AB695" s="157"/>
    </row>
    <row r="696" spans="1:28" x14ac:dyDescent="0.25">
      <c r="A696" s="222" t="s">
        <v>1240</v>
      </c>
      <c r="B696" s="60" t="s">
        <v>1248</v>
      </c>
      <c r="F696" s="31">
        <v>1</v>
      </c>
      <c r="O696" s="40">
        <f>C696*Prislapp!$C$2+D696*Prislapp!$D$2+E696*Prislapp!$E$2+F696*Prislapp!$F$2+G696*Prislapp!$G$2+H696*Prislapp!$H$2+I696*Prislapp!$I$2+J696*Prislapp!$J$2+K696*Prislapp!$K$2+L696*Prislapp!$L$2+M696*Prislapp!$M$2+N696*Prislapp!$N$2</f>
        <v>26554</v>
      </c>
      <c r="P696" s="40">
        <f>C696*Prislapp!$C$3+D696*Prislapp!$D$3+E696*Prislapp!$E$3+F696*Prislapp!$F$3+G696*Prislapp!$G$3+H696*Prislapp!$H$3+I696*Prislapp!$I$3+J696*Prislapp!$J$3+K696*Prislapp!$K$3+M696*Prislapp!$M$3+N696*Prislapp!$N$3+L696*Prislapp!$L$3</f>
        <v>33465</v>
      </c>
      <c r="Q696" s="40">
        <f>C696*Prislapp!$C$5+D696*Prislapp!$D$5+E696*Prislapp!$E$5+F696*Prislapp!$F$5+G696*Prislapp!$G$5+H696*Prislapp!$H$5+I696*Prislapp!$I$5+J696*Prislapp!$J$5+K696*Prislapp!$K$5+L696*Prislapp!$L$5+M696*Prislapp!$M$5+N696*Prislapp!$N$5</f>
        <v>6000</v>
      </c>
      <c r="R696" s="9">
        <f>VLOOKUP(A696,'Ansvar kurs'!$A$2:$B$943,2,FALSE)</f>
        <v>1630</v>
      </c>
      <c r="X696" s="157"/>
      <c r="Y696" s="198"/>
      <c r="Z696" s="197"/>
      <c r="AA696" s="197"/>
      <c r="AB696" s="157"/>
    </row>
    <row r="697" spans="1:28" x14ac:dyDescent="0.25">
      <c r="A697" s="222" t="s">
        <v>1241</v>
      </c>
      <c r="B697" s="60" t="s">
        <v>1249</v>
      </c>
      <c r="F697" s="31">
        <v>1</v>
      </c>
      <c r="O697" s="40">
        <f>C697*Prislapp!$C$2+D697*Prislapp!$D$2+E697*Prislapp!$E$2+F697*Prislapp!$F$2+G697*Prislapp!$G$2+H697*Prislapp!$H$2+I697*Prislapp!$I$2+J697*Prislapp!$J$2+K697*Prislapp!$K$2+L697*Prislapp!$L$2+M697*Prislapp!$M$2+N697*Prislapp!$N$2</f>
        <v>26554</v>
      </c>
      <c r="P697" s="40">
        <f>C697*Prislapp!$C$3+D697*Prislapp!$D$3+E697*Prislapp!$E$3+F697*Prislapp!$F$3+G697*Prislapp!$G$3+H697*Prislapp!$H$3+I697*Prislapp!$I$3+J697*Prislapp!$J$3+K697*Prislapp!$K$3+M697*Prislapp!$M$3+N697*Prislapp!$N$3+L697*Prislapp!$L$3</f>
        <v>33465</v>
      </c>
      <c r="Q697" s="40">
        <f>C697*Prislapp!$C$5+D697*Prislapp!$D$5+E697*Prislapp!$E$5+F697*Prislapp!$F$5+G697*Prislapp!$G$5+H697*Prislapp!$H$5+I697*Prislapp!$I$5+J697*Prislapp!$J$5+K697*Prislapp!$K$5+L697*Prislapp!$L$5+M697*Prislapp!$M$5+N697*Prislapp!$N$5</f>
        <v>6000</v>
      </c>
      <c r="R697" s="9">
        <f>VLOOKUP(A697,'Ansvar kurs'!$A$2:$B$943,2,FALSE)</f>
        <v>1630</v>
      </c>
      <c r="X697" s="157"/>
      <c r="Y697" s="198"/>
      <c r="Z697" s="197"/>
      <c r="AA697" s="197"/>
      <c r="AB697" s="157"/>
    </row>
    <row r="698" spans="1:28" x14ac:dyDescent="0.25">
      <c r="A698" s="60" t="s">
        <v>948</v>
      </c>
      <c r="B698" s="31" t="s">
        <v>1204</v>
      </c>
      <c r="D698" s="31">
        <v>1</v>
      </c>
      <c r="O698" s="40">
        <f>C698*Prislapp!$C$2+D698*Prislapp!$D$2+E698*Prislapp!$E$2+F698*Prislapp!$F$2+G698*Prislapp!$G$2+H698*Prislapp!$H$2+I698*Prislapp!$I$2+J698*Prislapp!$J$2+K698*Prislapp!$K$2+L698*Prislapp!$L$2+M698*Prislapp!$M$2+N698*Prislapp!$N$2</f>
        <v>20766</v>
      </c>
      <c r="P698" s="40">
        <f>C698*Prislapp!$C$3+D698*Prislapp!$D$3+E698*Prislapp!$E$3+F698*Prislapp!$F$3+G698*Prislapp!$G$3+H698*Prislapp!$H$3+I698*Prislapp!$I$3+J698*Prislapp!$J$3+K698*Prislapp!$K$3+M698*Prislapp!$M$3+N698*Prislapp!$N$3+L698*Prislapp!$L$3</f>
        <v>17442</v>
      </c>
      <c r="Q698" s="40">
        <f>C698*Prislapp!$C$5+D698*Prislapp!$D$5+E698*Prislapp!$E$5+F698*Prislapp!$F$5+G698*Prislapp!$G$5+H698*Prislapp!$H$5+I698*Prislapp!$I$5+J698*Prislapp!$J$5+K698*Prislapp!$K$5+L698*Prislapp!$L$5+M698*Prislapp!$M$5+N698*Prislapp!$N$5</f>
        <v>6000</v>
      </c>
      <c r="R698" s="9">
        <f>VLOOKUP(A698,'Ansvar kurs'!$A$2:$B$943,2,FALSE)</f>
        <v>1630</v>
      </c>
      <c r="S698" s="157" t="s">
        <v>949</v>
      </c>
      <c r="T698" s="157"/>
      <c r="X698" s="157"/>
      <c r="Y698" s="198"/>
      <c r="Z698" s="197"/>
      <c r="AA698" s="197"/>
      <c r="AB698" s="157"/>
    </row>
    <row r="699" spans="1:28" x14ac:dyDescent="0.25">
      <c r="A699" s="60" t="s">
        <v>961</v>
      </c>
      <c r="B699" s="31" t="s">
        <v>1205</v>
      </c>
      <c r="K699" s="31">
        <v>1</v>
      </c>
      <c r="O699" s="40">
        <f>C699*Prislapp!$C$2+D699*Prislapp!$D$2+E699*Prislapp!$E$2+F699*Prislapp!$F$2+G699*Prislapp!$G$2+H699*Prislapp!$H$2+I699*Prislapp!$I$2+J699*Prislapp!$J$2+K699*Prislapp!$K$2+L699*Prislapp!$L$2+M699*Prislapp!$M$2+N699*Prislapp!$N$2</f>
        <v>25235</v>
      </c>
      <c r="P699" s="40">
        <f>C699*Prislapp!$C$3+D699*Prislapp!$D$3+E699*Prislapp!$E$3+F699*Prislapp!$F$3+G699*Prislapp!$G$3+H699*Prislapp!$H$3+I699*Prislapp!$I$3+J699*Prislapp!$J$3+K699*Prislapp!$K$3+M699*Prislapp!$M$3+N699*Prislapp!$N$3+L699*Prislapp!$L$3</f>
        <v>27976</v>
      </c>
      <c r="Q699" s="40">
        <f>C699*Prislapp!$C$5+D699*Prislapp!$D$5+E699*Prislapp!$E$5+F699*Prislapp!$F$5+G699*Prislapp!$G$5+H699*Prislapp!$H$5+I699*Prislapp!$I$5+J699*Prislapp!$J$5+K699*Prislapp!$K$5+L699*Prislapp!$L$5+M699*Prislapp!$M$5+N699*Prislapp!$N$5</f>
        <v>3600</v>
      </c>
      <c r="R699" s="9">
        <f>VLOOKUP(A699,'Ansvar kurs'!$A$2:$B$943,2,FALSE)</f>
        <v>1630</v>
      </c>
      <c r="S699" s="157"/>
      <c r="T699" s="157"/>
      <c r="X699" s="157"/>
      <c r="Y699" s="198"/>
      <c r="Z699" s="197"/>
      <c r="AA699" s="197"/>
      <c r="AB699" s="157"/>
    </row>
    <row r="700" spans="1:28" x14ac:dyDescent="0.25">
      <c r="A700" s="222" t="s">
        <v>1528</v>
      </c>
      <c r="B700" s="60" t="s">
        <v>1557</v>
      </c>
      <c r="D700" s="31">
        <v>1</v>
      </c>
      <c r="O700" s="40">
        <f>C700*Prislapp!$C$2+D700*Prislapp!$D$2+E700*Prislapp!$E$2+F700*Prislapp!$F$2+G700*Prislapp!$G$2+H700*Prislapp!$H$2+I700*Prislapp!$I$2+J700*Prislapp!$J$2+K700*Prislapp!$K$2+L700*Prislapp!$L$2+M700*Prislapp!$M$2+N700*Prislapp!$N$2</f>
        <v>20766</v>
      </c>
      <c r="P700" s="40">
        <f>C700*Prislapp!$C$3+D700*Prislapp!$D$3+E700*Prislapp!$E$3+F700*Prislapp!$F$3+G700*Prislapp!$G$3+H700*Prislapp!$H$3+I700*Prislapp!$I$3+J700*Prislapp!$J$3+K700*Prislapp!$K$3+M700*Prislapp!$M$3+N700*Prislapp!$N$3+L700*Prislapp!$L$3</f>
        <v>17442</v>
      </c>
      <c r="Q700" s="40">
        <f>C700*Prislapp!$C$5+D700*Prislapp!$D$5+E700*Prislapp!$E$5+F700*Prislapp!$F$5+G700*Prislapp!$G$5+H700*Prislapp!$H$5+I700*Prislapp!$I$5+J700*Prislapp!$J$5+K700*Prislapp!$K$5+L700*Prislapp!$L$5+M700*Prislapp!$M$5+N700*Prislapp!$N$5</f>
        <v>6000</v>
      </c>
      <c r="R700" s="9">
        <f>VLOOKUP(A700,'Ansvar kurs'!$A$2:$B$943,2,FALSE)</f>
        <v>1630</v>
      </c>
      <c r="S700" s="157"/>
      <c r="T700" s="157"/>
      <c r="X700" s="157"/>
      <c r="Y700" s="198"/>
      <c r="Z700" s="197"/>
      <c r="AA700" s="197"/>
      <c r="AB700" s="157"/>
    </row>
    <row r="701" spans="1:28" x14ac:dyDescent="0.25">
      <c r="A701" s="222" t="s">
        <v>1412</v>
      </c>
      <c r="B701" s="31" t="s">
        <v>1413</v>
      </c>
      <c r="K701" s="31">
        <v>1</v>
      </c>
      <c r="O701" s="40">
        <f>C701*Prislapp!$C$2+D701*Prislapp!$D$2+E701*Prislapp!$E$2+F701*Prislapp!$F$2+G701*Prislapp!$G$2+H701*Prislapp!$H$2+I701*Prislapp!$I$2+J701*Prislapp!$J$2+K701*Prislapp!$K$2+L701*Prislapp!$L$2+M701*Prislapp!$M$2+N701*Prislapp!$N$2</f>
        <v>25235</v>
      </c>
      <c r="P701" s="40">
        <f>C701*Prislapp!$C$3+D701*Prislapp!$D$3+E701*Prislapp!$E$3+F701*Prislapp!$F$3+G701*Prislapp!$G$3+H701*Prislapp!$H$3+I701*Prislapp!$I$3+J701*Prislapp!$J$3+K701*Prislapp!$K$3+M701*Prislapp!$M$3+N701*Prislapp!$N$3+L701*Prislapp!$L$3</f>
        <v>27976</v>
      </c>
      <c r="Q701" s="40">
        <f>C701*Prislapp!$C$5+D701*Prislapp!$D$5+E701*Prislapp!$E$5+F701*Prislapp!$F$5+G701*Prislapp!$G$5+H701*Prislapp!$H$5+I701*Prislapp!$I$5+J701*Prislapp!$J$5+K701*Prislapp!$K$5+L701*Prislapp!$L$5+M701*Prislapp!$M$5+N701*Prislapp!$N$5</f>
        <v>3600</v>
      </c>
      <c r="R701" s="9">
        <f>VLOOKUP(A701,'Ansvar kurs'!$A$2:$B$943,2,FALSE)</f>
        <v>1630</v>
      </c>
      <c r="S701" s="176" t="s">
        <v>1405</v>
      </c>
      <c r="T701" s="157" t="s">
        <v>1414</v>
      </c>
      <c r="X701" s="157"/>
      <c r="Y701" s="198"/>
      <c r="Z701" s="197"/>
      <c r="AA701" s="197"/>
      <c r="AB701" s="157"/>
    </row>
    <row r="702" spans="1:28" x14ac:dyDescent="0.25">
      <c r="A702" s="222" t="s">
        <v>1636</v>
      </c>
      <c r="B702" t="s">
        <v>1600</v>
      </c>
      <c r="D702" s="31">
        <v>1</v>
      </c>
      <c r="O702" s="40">
        <f>C702*Prislapp!$C$2+D702*Prislapp!$D$2+E702*Prislapp!$E$2+F702*Prislapp!$F$2+G702*Prislapp!$G$2+H702*Prislapp!$H$2+I702*Prislapp!$I$2+J702*Prislapp!$J$2+K702*Prislapp!$K$2+L702*Prislapp!$L$2+M702*Prislapp!$M$2+N702*Prislapp!$N$2</f>
        <v>20766</v>
      </c>
      <c r="P702" s="40">
        <f>C702*Prislapp!$C$3+D702*Prislapp!$D$3+E702*Prislapp!$E$3+F702*Prislapp!$F$3+G702*Prislapp!$G$3+H702*Prislapp!$H$3+I702*Prislapp!$I$3+J702*Prislapp!$J$3+K702*Prislapp!$K$3+M702*Prislapp!$M$3+N702*Prislapp!$N$3+L702*Prislapp!$L$3</f>
        <v>17442</v>
      </c>
      <c r="Q702" s="40">
        <f>C702*Prislapp!$C$5+D702*Prislapp!$D$5+E702*Prislapp!$E$5+F702*Prislapp!$F$5+G702*Prislapp!$G$5+H702*Prislapp!$H$5+I702*Prislapp!$I$5+J702*Prislapp!$J$5+K702*Prislapp!$K$5+L702*Prislapp!$L$5+M702*Prislapp!$M$5+N702*Prislapp!$N$5</f>
        <v>6000</v>
      </c>
      <c r="R702" s="9">
        <f>VLOOKUP(A702,'Ansvar kurs'!$A$2:$B$943,2,FALSE)</f>
        <v>1630</v>
      </c>
      <c r="S702" s="157"/>
      <c r="T702" s="157"/>
      <c r="U702" s="157"/>
      <c r="V702" s="157"/>
      <c r="W702" s="157"/>
      <c r="X702" s="157"/>
      <c r="Y702" s="157"/>
      <c r="Z702" s="157"/>
    </row>
    <row r="703" spans="1:28" x14ac:dyDescent="0.25">
      <c r="A703" s="222" t="s">
        <v>1637</v>
      </c>
      <c r="B703" t="s">
        <v>1601</v>
      </c>
      <c r="D703" s="31">
        <v>1</v>
      </c>
      <c r="O703" s="40">
        <f>C703*Prislapp!$C$2+D703*Prislapp!$D$2+E703*Prislapp!$E$2+F703*Prislapp!$F$2+G703*Prislapp!$G$2+H703*Prislapp!$H$2+I703*Prislapp!$I$2+J703*Prislapp!$J$2+K703*Prislapp!$K$2+L703*Prislapp!$L$2+M703*Prislapp!$M$2+N703*Prislapp!$N$2</f>
        <v>20766</v>
      </c>
      <c r="P703" s="40">
        <f>C703*Prislapp!$C$3+D703*Prislapp!$D$3+E703*Prislapp!$E$3+F703*Prislapp!$F$3+G703*Prislapp!$G$3+H703*Prislapp!$H$3+I703*Prislapp!$I$3+J703*Prislapp!$J$3+K703*Prislapp!$K$3+M703*Prislapp!$M$3+N703*Prislapp!$N$3+L703*Prislapp!$L$3</f>
        <v>17442</v>
      </c>
      <c r="Q703" s="40">
        <f>C703*Prislapp!$C$5+D703*Prislapp!$D$5+E703*Prislapp!$E$5+F703*Prislapp!$F$5+G703*Prislapp!$G$5+H703*Prislapp!$H$5+I703*Prislapp!$I$5+J703*Prislapp!$J$5+K703*Prislapp!$K$5+L703*Prislapp!$L$5+M703*Prislapp!$M$5+N703*Prislapp!$N$5</f>
        <v>6000</v>
      </c>
      <c r="R703" s="9">
        <f>VLOOKUP(A703,'Ansvar kurs'!$A$2:$B$943,2,FALSE)</f>
        <v>1630</v>
      </c>
      <c r="S703" s="157"/>
      <c r="T703" s="157"/>
      <c r="U703" s="157"/>
      <c r="V703" s="157"/>
      <c r="W703" s="157"/>
      <c r="X703" s="157"/>
      <c r="Y703" s="157"/>
      <c r="Z703" s="157"/>
    </row>
    <row r="704" spans="1:28" x14ac:dyDescent="0.25">
      <c r="A704" s="222" t="s">
        <v>1638</v>
      </c>
      <c r="B704" t="s">
        <v>1602</v>
      </c>
      <c r="D704" s="31">
        <v>1</v>
      </c>
      <c r="O704" s="40">
        <f>C704*Prislapp!$C$2+D704*Prislapp!$D$2+E704*Prislapp!$E$2+F704*Prislapp!$F$2+G704*Prislapp!$G$2+H704*Prislapp!$H$2+I704*Prislapp!$I$2+J704*Prislapp!$J$2+K704*Prislapp!$K$2+L704*Prislapp!$L$2+M704*Prislapp!$M$2+N704*Prislapp!$N$2</f>
        <v>20766</v>
      </c>
      <c r="P704" s="40">
        <f>C704*Prislapp!$C$3+D704*Prislapp!$D$3+E704*Prislapp!$E$3+F704*Prislapp!$F$3+G704*Prislapp!$G$3+H704*Prislapp!$H$3+I704*Prislapp!$I$3+J704*Prislapp!$J$3+K704*Prislapp!$K$3+M704*Prislapp!$M$3+N704*Prislapp!$N$3+L704*Prislapp!$L$3</f>
        <v>17442</v>
      </c>
      <c r="Q704" s="40">
        <f>C704*Prislapp!$C$5+D704*Prislapp!$D$5+E704*Prislapp!$E$5+F704*Prislapp!$F$5+G704*Prislapp!$G$5+H704*Prislapp!$H$5+I704*Prislapp!$I$5+J704*Prislapp!$J$5+K704*Prislapp!$K$5+L704*Prislapp!$L$5+M704*Prislapp!$M$5+N704*Prislapp!$N$5</f>
        <v>6000</v>
      </c>
      <c r="R704" s="9">
        <f>VLOOKUP(A704,'Ansvar kurs'!$A$2:$B$943,2,FALSE)</f>
        <v>1630</v>
      </c>
      <c r="S704" s="157"/>
      <c r="T704" s="157"/>
      <c r="U704" s="157"/>
      <c r="V704" s="157"/>
      <c r="W704" s="157"/>
      <c r="X704" s="157"/>
      <c r="Y704" s="157"/>
      <c r="Z704" s="157"/>
    </row>
    <row r="705" spans="1:26" x14ac:dyDescent="0.25">
      <c r="A705" s="222" t="s">
        <v>1639</v>
      </c>
      <c r="B705" t="s">
        <v>1603</v>
      </c>
      <c r="D705" s="31">
        <v>1</v>
      </c>
      <c r="O705" s="40">
        <f>C705*Prislapp!$C$2+D705*Prislapp!$D$2+E705*Prislapp!$E$2+F705*Prislapp!$F$2+G705*Prislapp!$G$2+H705*Prislapp!$H$2+I705*Prislapp!$I$2+J705*Prislapp!$J$2+K705*Prislapp!$K$2+L705*Prislapp!$L$2+M705*Prislapp!$M$2+N705*Prislapp!$N$2</f>
        <v>20766</v>
      </c>
      <c r="P705" s="40">
        <f>C705*Prislapp!$C$3+D705*Prislapp!$D$3+E705*Prislapp!$E$3+F705*Prislapp!$F$3+G705*Prislapp!$G$3+H705*Prislapp!$H$3+I705*Prislapp!$I$3+J705*Prislapp!$J$3+K705*Prislapp!$K$3+M705*Prislapp!$M$3+N705*Prislapp!$N$3+L705*Prislapp!$L$3</f>
        <v>17442</v>
      </c>
      <c r="Q705" s="40">
        <f>C705*Prislapp!$C$5+D705*Prislapp!$D$5+E705*Prislapp!$E$5+F705*Prislapp!$F$5+G705*Prislapp!$G$5+H705*Prislapp!$H$5+I705*Prislapp!$I$5+J705*Prislapp!$J$5+K705*Prislapp!$K$5+L705*Prislapp!$L$5+M705*Prislapp!$M$5+N705*Prislapp!$N$5</f>
        <v>6000</v>
      </c>
      <c r="R705" s="9">
        <f>VLOOKUP(A705,'Ansvar kurs'!$A$2:$B$943,2,FALSE)</f>
        <v>1630</v>
      </c>
      <c r="S705" s="157"/>
      <c r="T705" s="157"/>
      <c r="U705" s="157"/>
      <c r="V705" s="157"/>
      <c r="W705" s="157"/>
      <c r="X705" s="157"/>
      <c r="Y705" s="157"/>
      <c r="Z705" s="157"/>
    </row>
    <row r="706" spans="1:26" x14ac:dyDescent="0.25">
      <c r="A706" s="222" t="s">
        <v>1640</v>
      </c>
      <c r="B706" t="s">
        <v>1599</v>
      </c>
      <c r="D706" s="31">
        <v>1</v>
      </c>
      <c r="O706" s="40">
        <f>C706*Prislapp!$C$2+D706*Prislapp!$D$2+E706*Prislapp!$E$2+F706*Prislapp!$F$2+G706*Prislapp!$G$2+H706*Prislapp!$H$2+I706*Prislapp!$I$2+J706*Prislapp!$J$2+K706*Prislapp!$K$2+L706*Prislapp!$L$2+M706*Prislapp!$M$2+N706*Prislapp!$N$2</f>
        <v>20766</v>
      </c>
      <c r="P706" s="40">
        <f>C706*Prislapp!$C$3+D706*Prislapp!$D$3+E706*Prislapp!$E$3+F706*Prislapp!$F$3+G706*Prislapp!$G$3+H706*Prislapp!$H$3+I706*Prislapp!$I$3+J706*Prislapp!$J$3+K706*Prislapp!$K$3+M706*Prislapp!$M$3+N706*Prislapp!$N$3+L706*Prislapp!$L$3</f>
        <v>17442</v>
      </c>
      <c r="Q706" s="40">
        <f>C706*Prislapp!$C$5+D706*Prislapp!$D$5+E706*Prislapp!$E$5+F706*Prislapp!$F$5+G706*Prislapp!$G$5+H706*Prislapp!$H$5+I706*Prislapp!$I$5+J706*Prislapp!$J$5+K706*Prislapp!$K$5+L706*Prislapp!$L$5+M706*Prislapp!$M$5+N706*Prislapp!$N$5</f>
        <v>6000</v>
      </c>
      <c r="R706" s="9">
        <f>VLOOKUP(A706,'Ansvar kurs'!$A$2:$B$943,2,FALSE)</f>
        <v>1630</v>
      </c>
      <c r="S706" s="157"/>
      <c r="T706" s="157"/>
      <c r="U706" s="157"/>
      <c r="V706" s="157"/>
      <c r="W706" s="157"/>
      <c r="X706" s="157"/>
      <c r="Y706" s="157"/>
      <c r="Z706" s="157"/>
    </row>
    <row r="707" spans="1:26" x14ac:dyDescent="0.25">
      <c r="A707" s="222" t="s">
        <v>1748</v>
      </c>
      <c r="B707" t="s">
        <v>1756</v>
      </c>
      <c r="K707" s="31">
        <v>1</v>
      </c>
      <c r="O707" s="40">
        <f>C707*Prislapp!$C$2+D707*Prislapp!$D$2+E707*Prislapp!$E$2+F707*Prislapp!$F$2+G707*Prislapp!$G$2+H707*Prislapp!$H$2+I707*Prislapp!$I$2+J707*Prislapp!$J$2+K707*Prislapp!$K$2+L707*Prislapp!$L$2+M707*Prislapp!$M$2+N707*Prislapp!$N$2</f>
        <v>25235</v>
      </c>
      <c r="P707" s="40">
        <f>C707*Prislapp!$C$3+D707*Prislapp!$D$3+E707*Prislapp!$E$3+F707*Prislapp!$F$3+G707*Prislapp!$G$3+H707*Prislapp!$H$3+I707*Prislapp!$I$3+J707*Prislapp!$J$3+K707*Prislapp!$K$3+M707*Prislapp!$M$3+N707*Prislapp!$N$3+L707*Prislapp!$L$3</f>
        <v>27976</v>
      </c>
      <c r="Q707" s="40">
        <f>C707*Prislapp!$C$5+D707*Prislapp!$D$5+E707*Prislapp!$E$5+F707*Prislapp!$F$5+G707*Prislapp!$G$5+H707*Prislapp!$H$5+I707*Prislapp!$I$5+J707*Prislapp!$J$5+K707*Prislapp!$K$5+L707*Prislapp!$L$5+M707*Prislapp!$M$5+N707*Prislapp!$N$5</f>
        <v>3600</v>
      </c>
      <c r="R707" s="9">
        <f>VLOOKUP(A707,'Ansvar kurs'!$A$2:$B$943,2,FALSE)</f>
        <v>1630</v>
      </c>
      <c r="S707" s="157"/>
      <c r="T707" s="157"/>
      <c r="U707" s="157"/>
      <c r="V707" s="157"/>
      <c r="W707" s="157"/>
      <c r="X707" s="157"/>
      <c r="Y707" s="157"/>
      <c r="Z707" s="157"/>
    </row>
    <row r="708" spans="1:26" x14ac:dyDescent="0.25">
      <c r="A708" s="222" t="s">
        <v>1905</v>
      </c>
      <c r="B708" s="31" t="s">
        <v>1915</v>
      </c>
      <c r="K708" s="31">
        <v>1</v>
      </c>
      <c r="O708" s="40">
        <f>C708*Prislapp!$C$2+D708*Prislapp!$D$2+E708*Prislapp!$E$2+F708*Prislapp!$F$2+G708*Prislapp!$G$2+H708*Prislapp!$H$2+I708*Prislapp!$I$2+J708*Prislapp!$J$2+K708*Prislapp!$K$2+L708*Prislapp!$L$2+M708*Prislapp!$M$2+N708*Prislapp!$N$2</f>
        <v>25235</v>
      </c>
      <c r="P708" s="40">
        <f>C708*Prislapp!$C$3+D708*Prislapp!$D$3+E708*Prislapp!$E$3+F708*Prislapp!$F$3+G708*Prislapp!$G$3+H708*Prislapp!$H$3+I708*Prislapp!$I$3+J708*Prislapp!$J$3+K708*Prislapp!$K$3+M708*Prislapp!$M$3+N708*Prislapp!$N$3+L708*Prislapp!$L$3</f>
        <v>27976</v>
      </c>
      <c r="Q708" s="40">
        <f>C708*Prislapp!$C$5+D708*Prislapp!$D$5+E708*Prislapp!$E$5+F708*Prislapp!$F$5+G708*Prislapp!$G$5+H708*Prislapp!$H$5+I708*Prislapp!$I$5+J708*Prislapp!$J$5+K708*Prislapp!$K$5+L708*Prislapp!$L$5+M708*Prislapp!$M$5+N708*Prislapp!$N$5</f>
        <v>3600</v>
      </c>
      <c r="R708" s="9">
        <f>VLOOKUP(A708,'Ansvar kurs'!$A$2:$B$943,2,FALSE)</f>
        <v>1630</v>
      </c>
      <c r="S708" s="157"/>
      <c r="T708" s="157"/>
      <c r="U708" s="157"/>
      <c r="V708" s="157"/>
      <c r="W708" s="157"/>
      <c r="X708" s="157"/>
      <c r="Y708" s="157"/>
      <c r="Z708" s="157"/>
    </row>
    <row r="709" spans="1:26" x14ac:dyDescent="0.25">
      <c r="A709" s="222" t="s">
        <v>1884</v>
      </c>
      <c r="B709" t="s">
        <v>1890</v>
      </c>
      <c r="D709" s="31">
        <v>1</v>
      </c>
      <c r="O709" s="40">
        <f>C709*Prislapp!$C$2+D709*Prislapp!$D$2+E709*Prislapp!$E$2+F709*Prislapp!$F$2+G709*Prislapp!$G$2+H709*Prislapp!$H$2+I709*Prislapp!$I$2+J709*Prislapp!$J$2+K709*Prislapp!$K$2+L709*Prislapp!$L$2+M709*Prislapp!$M$2+N709*Prislapp!$N$2</f>
        <v>20766</v>
      </c>
      <c r="P709" s="40">
        <f>C709*Prislapp!$C$3+D709*Prislapp!$D$3+E709*Prislapp!$E$3+F709*Prislapp!$F$3+G709*Prislapp!$G$3+H709*Prislapp!$H$3+I709*Prislapp!$I$3+J709*Prislapp!$J$3+K709*Prislapp!$K$3+M709*Prislapp!$M$3+N709*Prislapp!$N$3+L709*Prislapp!$L$3</f>
        <v>17442</v>
      </c>
      <c r="Q709" s="40">
        <f>C709*Prislapp!$C$5+D709*Prislapp!$D$5+E709*Prislapp!$E$5+F709*Prislapp!$F$5+G709*Prislapp!$G$5+H709*Prislapp!$H$5+I709*Prislapp!$I$5+J709*Prislapp!$J$5+K709*Prislapp!$K$5+L709*Prislapp!$L$5+M709*Prislapp!$M$5+N709*Prislapp!$N$5</f>
        <v>6000</v>
      </c>
      <c r="R709" s="9">
        <f>VLOOKUP(A709,'Ansvar kurs'!$A$2:$B$943,2,FALSE)</f>
        <v>1630</v>
      </c>
      <c r="S709" s="157"/>
      <c r="T709" s="157"/>
      <c r="U709" s="157"/>
      <c r="V709" s="157"/>
      <c r="W709" s="157"/>
      <c r="X709" s="157"/>
      <c r="Y709" s="157"/>
      <c r="Z709" s="157"/>
    </row>
    <row r="710" spans="1:26" x14ac:dyDescent="0.25">
      <c r="A710" s="222" t="s">
        <v>1986</v>
      </c>
      <c r="B710" t="s">
        <v>1999</v>
      </c>
      <c r="D710" s="31">
        <v>1</v>
      </c>
      <c r="O710" s="40">
        <f>C710*Prislapp!$C$2+D710*Prislapp!$D$2+E710*Prislapp!$E$2+F710*Prislapp!$F$2+G710*Prislapp!$G$2+H710*Prislapp!$H$2+I710*Prislapp!$I$2+J710*Prislapp!$J$2+K710*Prislapp!$K$2+L710*Prislapp!$L$2+M710*Prislapp!$M$2+N710*Prislapp!$N$2</f>
        <v>20766</v>
      </c>
      <c r="P710" s="40">
        <f>C710*Prislapp!$C$3+D710*Prislapp!$D$3+E710*Prislapp!$E$3+F710*Prislapp!$F$3+G710*Prislapp!$G$3+H710*Prislapp!$H$3+I710*Prislapp!$I$3+J710*Prislapp!$J$3+K710*Prislapp!$K$3+M710*Prislapp!$M$3+N710*Prislapp!$N$3+L710*Prislapp!$L$3</f>
        <v>17442</v>
      </c>
      <c r="Q710" s="40">
        <f>C710*Prislapp!$C$5+D710*Prislapp!$D$5+E710*Prislapp!$E$5+F710*Prislapp!$F$5+G710*Prislapp!$G$5+H710*Prislapp!$H$5+I710*Prislapp!$I$5+J710*Prislapp!$J$5+K710*Prislapp!$K$5+L710*Prislapp!$L$5+M710*Prislapp!$M$5+N710*Prislapp!$N$5</f>
        <v>6000</v>
      </c>
      <c r="R710" s="9">
        <f>VLOOKUP(A710,'Ansvar kurs'!$A$2:$B$943,2,FALSE)</f>
        <v>1630</v>
      </c>
      <c r="S710" s="157"/>
      <c r="T710" s="157"/>
      <c r="U710" s="157"/>
      <c r="V710" s="157"/>
      <c r="W710" s="157"/>
      <c r="X710" s="157"/>
      <c r="Y710" s="157"/>
      <c r="Z710" s="157"/>
    </row>
    <row r="711" spans="1:26" x14ac:dyDescent="0.25">
      <c r="A711" s="222" t="s">
        <v>1987</v>
      </c>
      <c r="B711" t="s">
        <v>2000</v>
      </c>
      <c r="D711" s="31">
        <v>1</v>
      </c>
      <c r="O711" s="40">
        <f>C711*Prislapp!$C$2+D711*Prislapp!$D$2+E711*Prislapp!$E$2+F711*Prislapp!$F$2+G711*Prislapp!$G$2+H711*Prislapp!$H$2+I711*Prislapp!$I$2+J711*Prislapp!$J$2+K711*Prislapp!$K$2+L711*Prislapp!$L$2+M711*Prislapp!$M$2+N711*Prislapp!$N$2</f>
        <v>20766</v>
      </c>
      <c r="P711" s="40">
        <f>C711*Prislapp!$C$3+D711*Prislapp!$D$3+E711*Prislapp!$E$3+F711*Prislapp!$F$3+G711*Prislapp!$G$3+H711*Prislapp!$H$3+I711*Prislapp!$I$3+J711*Prislapp!$J$3+K711*Prislapp!$K$3+M711*Prislapp!$M$3+N711*Prislapp!$N$3+L711*Prislapp!$L$3</f>
        <v>17442</v>
      </c>
      <c r="Q711" s="40">
        <f>C711*Prislapp!$C$5+D711*Prislapp!$D$5+E711*Prislapp!$E$5+F711*Prislapp!$F$5+G711*Prislapp!$G$5+H711*Prislapp!$H$5+I711*Prislapp!$I$5+J711*Prislapp!$J$5+K711*Prislapp!$K$5+L711*Prislapp!$L$5+M711*Prislapp!$M$5+N711*Prislapp!$N$5</f>
        <v>6000</v>
      </c>
      <c r="R711" s="9">
        <f>VLOOKUP(A711,'Ansvar kurs'!$A$2:$B$943,2,FALSE)</f>
        <v>1630</v>
      </c>
      <c r="S711" s="157"/>
      <c r="T711" s="157"/>
      <c r="U711" s="157"/>
      <c r="V711" s="157"/>
      <c r="W711" s="157"/>
      <c r="X711" s="157"/>
      <c r="Y711" s="157"/>
      <c r="Z711" s="157"/>
    </row>
    <row r="712" spans="1:26" x14ac:dyDescent="0.25">
      <c r="A712" s="222" t="s">
        <v>2016</v>
      </c>
      <c r="B712" s="37" t="s">
        <v>2017</v>
      </c>
      <c r="D712" s="31">
        <v>1</v>
      </c>
      <c r="O712" s="40">
        <f>C712*Prislapp!$C$2+D712*Prislapp!$D$2+E712*Prislapp!$E$2+F712*Prislapp!$F$2+G712*Prislapp!$G$2+H712*Prislapp!$H$2+I712*Prislapp!$I$2+J712*Prislapp!$J$2+K712*Prislapp!$K$2+L712*Prislapp!$L$2+M712*Prislapp!$M$2+N712*Prislapp!$N$2</f>
        <v>20766</v>
      </c>
      <c r="P712" s="40">
        <f>C712*Prislapp!$C$3+D712*Prislapp!$D$3+E712*Prislapp!$E$3+F712*Prislapp!$F$3+G712*Prislapp!$G$3+H712*Prislapp!$H$3+I712*Prislapp!$I$3+J712*Prislapp!$J$3+K712*Prislapp!$K$3+M712*Prislapp!$M$3+N712*Prislapp!$N$3+L712*Prislapp!$L$3</f>
        <v>17442</v>
      </c>
      <c r="Q712" s="40">
        <f>C712*Prislapp!$C$5+D712*Prislapp!$D$5+E712*Prislapp!$E$5+F712*Prislapp!$F$5+G712*Prislapp!$G$5+H712*Prislapp!$H$5+I712*Prislapp!$I$5+J712*Prislapp!$J$5+K712*Prislapp!$K$5+L712*Prislapp!$L$5+M712*Prislapp!$M$5+N712*Prislapp!$N$5</f>
        <v>6000</v>
      </c>
      <c r="R712" s="9">
        <f>VLOOKUP(A712,'Ansvar kurs'!$A$2:$B$943,2,FALSE)</f>
        <v>1630</v>
      </c>
      <c r="S712" s="157"/>
      <c r="T712" s="157"/>
      <c r="U712" s="157"/>
      <c r="V712" s="157"/>
      <c r="W712" s="157"/>
      <c r="X712" s="157"/>
      <c r="Y712" s="157"/>
      <c r="Z712" s="157"/>
    </row>
    <row r="713" spans="1:26" x14ac:dyDescent="0.25">
      <c r="A713" s="60" t="s">
        <v>862</v>
      </c>
      <c r="B713" s="31" t="s">
        <v>1206</v>
      </c>
      <c r="D713" s="31">
        <v>1</v>
      </c>
      <c r="O713" s="40">
        <f>C713*Prislapp!$C$2+D713*Prislapp!$D$2+E713*Prislapp!$E$2+F713*Prislapp!$F$2+G713*Prislapp!$G$2+H713*Prislapp!$H$2+I713*Prislapp!$I$2+J713*Prislapp!$J$2+K713*Prislapp!$K$2+L713*Prislapp!$L$2+M713*Prislapp!$M$2+N713*Prislapp!$N$2</f>
        <v>20766</v>
      </c>
      <c r="P713" s="40">
        <f>C713*Prislapp!$C$3+D713*Prislapp!$D$3+E713*Prislapp!$E$3+F713*Prislapp!$F$3+G713*Prislapp!$G$3+H713*Prislapp!$H$3+I713*Prislapp!$I$3+J713*Prislapp!$J$3+K713*Prislapp!$K$3+M713*Prislapp!$M$3+N713*Prislapp!$N$3+L713*Prislapp!$L$3</f>
        <v>17442</v>
      </c>
      <c r="Q713" s="40">
        <f>C713*Prislapp!$C$5+D713*Prislapp!$D$5+E713*Prislapp!$E$5+F713*Prislapp!$F$5+G713*Prislapp!$G$5+H713*Prislapp!$H$5+I713*Prislapp!$I$5+J713*Prislapp!$J$5+K713*Prislapp!$K$5+L713*Prislapp!$L$5+M713*Prislapp!$M$5+N713*Prislapp!$N$5</f>
        <v>6000</v>
      </c>
      <c r="R713" s="9">
        <f>VLOOKUP(A713,'Ansvar kurs'!$A$2:$B$943,2,FALSE)</f>
        <v>1620</v>
      </c>
    </row>
    <row r="714" spans="1:26" x14ac:dyDescent="0.25">
      <c r="A714" s="60" t="s">
        <v>863</v>
      </c>
      <c r="B714" s="31" t="s">
        <v>1207</v>
      </c>
      <c r="D714" s="31">
        <v>1</v>
      </c>
      <c r="O714" s="40">
        <f>C714*Prislapp!$C$2+D714*Prislapp!$D$2+E714*Prislapp!$E$2+F714*Prislapp!$F$2+G714*Prislapp!$G$2+H714*Prislapp!$H$2+I714*Prislapp!$I$2+J714*Prislapp!$J$2+K714*Prislapp!$K$2+L714*Prislapp!$L$2+M714*Prislapp!$M$2+N714*Prislapp!$N$2</f>
        <v>20766</v>
      </c>
      <c r="P714" s="40">
        <f>C714*Prislapp!$C$3+D714*Prislapp!$D$3+E714*Prislapp!$E$3+F714*Prislapp!$F$3+G714*Prislapp!$G$3+H714*Prislapp!$H$3+I714*Prislapp!$I$3+J714*Prislapp!$J$3+K714*Prislapp!$K$3+M714*Prislapp!$M$3+N714*Prislapp!$N$3+L714*Prislapp!$L$3</f>
        <v>17442</v>
      </c>
      <c r="Q714" s="40">
        <f>C714*Prislapp!$C$5+D714*Prislapp!$D$5+E714*Prislapp!$E$5+F714*Prislapp!$F$5+G714*Prislapp!$G$5+H714*Prislapp!$H$5+I714*Prislapp!$I$5+J714*Prislapp!$J$5+K714*Prislapp!$K$5+L714*Prislapp!$L$5+M714*Prislapp!$M$5+N714*Prislapp!$N$5</f>
        <v>6000</v>
      </c>
      <c r="R714" s="9">
        <f>VLOOKUP(A714,'Ansvar kurs'!$A$2:$B$943,2,FALSE)</f>
        <v>1620</v>
      </c>
    </row>
    <row r="715" spans="1:26" x14ac:dyDescent="0.25">
      <c r="A715" s="60" t="s">
        <v>1023</v>
      </c>
      <c r="B715" s="31" t="s">
        <v>1046</v>
      </c>
      <c r="D715" s="31">
        <v>1</v>
      </c>
      <c r="O715" s="40">
        <f>C715*Prislapp!$C$2+D715*Prislapp!$D$2+E715*Prislapp!$E$2+F715*Prislapp!$F$2+G715*Prislapp!$G$2+H715*Prislapp!$H$2+I715*Prislapp!$I$2+J715*Prislapp!$J$2+K715*Prislapp!$K$2+L715*Prislapp!$L$2+M715*Prislapp!$M$2+N715*Prislapp!$N$2</f>
        <v>20766</v>
      </c>
      <c r="P715" s="40">
        <f>C715*Prislapp!$C$3+D715*Prislapp!$D$3+E715*Prislapp!$E$3+F715*Prislapp!$F$3+G715*Prislapp!$G$3+H715*Prislapp!$H$3+I715*Prislapp!$I$3+J715*Prislapp!$J$3+K715*Prislapp!$K$3+M715*Prislapp!$M$3+N715*Prislapp!$N$3+L715*Prislapp!$L$3</f>
        <v>17442</v>
      </c>
      <c r="Q715" s="40">
        <f>C715*Prislapp!$C$5+D715*Prislapp!$D$5+E715*Prislapp!$E$5+F715*Prislapp!$F$5+G715*Prislapp!$G$5+H715*Prislapp!$H$5+I715*Prislapp!$I$5+J715*Prislapp!$J$5+K715*Prislapp!$K$5+L715*Prislapp!$L$5+M715*Prislapp!$M$5+N715*Prislapp!$N$5</f>
        <v>6000</v>
      </c>
      <c r="R715" s="9">
        <f>VLOOKUP(A715,'Ansvar kurs'!$A$2:$B$943,2,FALSE)</f>
        <v>1620</v>
      </c>
    </row>
    <row r="716" spans="1:26" x14ac:dyDescent="0.25">
      <c r="A716" s="60" t="s">
        <v>1700</v>
      </c>
      <c r="B716" s="31" t="s">
        <v>1708</v>
      </c>
      <c r="D716" s="31">
        <v>1</v>
      </c>
      <c r="O716" s="40">
        <f>C716*Prislapp!$C$2+D716*Prislapp!$D$2+E716*Prislapp!$E$2+F716*Prislapp!$F$2+G716*Prislapp!$G$2+H716*Prislapp!$H$2+I716*Prislapp!$I$2+J716*Prislapp!$J$2+K716*Prislapp!$K$2+L716*Prislapp!$L$2+M716*Prislapp!$M$2+N716*Prislapp!$N$2</f>
        <v>20766</v>
      </c>
      <c r="P716" s="40">
        <f>C716*Prislapp!$C$3+D716*Prislapp!$D$3+E716*Prislapp!$E$3+F716*Prislapp!$F$3+G716*Prislapp!$G$3+H716*Prislapp!$H$3+I716*Prislapp!$I$3+J716*Prislapp!$J$3+K716*Prislapp!$K$3+M716*Prislapp!$M$3+N716*Prislapp!$N$3+L716*Prislapp!$L$3</f>
        <v>17442</v>
      </c>
      <c r="Q716" s="40">
        <f>C716*Prislapp!$C$5+D716*Prislapp!$D$5+E716*Prislapp!$E$5+F716*Prislapp!$F$5+G716*Prislapp!$G$5+H716*Prislapp!$H$5+I716*Prislapp!$I$5+J716*Prislapp!$J$5+K716*Prislapp!$K$5+L716*Prislapp!$L$5+M716*Prislapp!$M$5+N716*Prislapp!$N$5</f>
        <v>6000</v>
      </c>
      <c r="R716" s="9">
        <f>VLOOKUP(A716,'Ansvar kurs'!$A$2:$B$943,2,FALSE)</f>
        <v>1620</v>
      </c>
    </row>
    <row r="717" spans="1:26" x14ac:dyDescent="0.25">
      <c r="A717" s="60" t="s">
        <v>1701</v>
      </c>
      <c r="B717" s="31" t="s">
        <v>1709</v>
      </c>
      <c r="D717" s="31">
        <v>1</v>
      </c>
      <c r="O717" s="40">
        <f>C717*Prislapp!$C$2+D717*Prislapp!$D$2+E717*Prislapp!$E$2+F717*Prislapp!$F$2+G717*Prislapp!$G$2+H717*Prislapp!$H$2+I717*Prislapp!$I$2+J717*Prislapp!$J$2+K717*Prislapp!$K$2+L717*Prislapp!$L$2+M717*Prislapp!$M$2+N717*Prislapp!$N$2</f>
        <v>20766</v>
      </c>
      <c r="P717" s="40">
        <f>C717*Prislapp!$C$3+D717*Prislapp!$D$3+E717*Prislapp!$E$3+F717*Prislapp!$F$3+G717*Prislapp!$G$3+H717*Prislapp!$H$3+I717*Prislapp!$I$3+J717*Prislapp!$J$3+K717*Prislapp!$K$3+M717*Prislapp!$M$3+N717*Prislapp!$N$3+L717*Prislapp!$L$3</f>
        <v>17442</v>
      </c>
      <c r="Q717" s="40">
        <f>C717*Prislapp!$C$5+D717*Prislapp!$D$5+E717*Prislapp!$E$5+F717*Prislapp!$F$5+G717*Prislapp!$G$5+H717*Prislapp!$H$5+I717*Prislapp!$I$5+J717*Prislapp!$J$5+K717*Prislapp!$K$5+L717*Prislapp!$L$5+M717*Prislapp!$M$5+N717*Prislapp!$N$5</f>
        <v>6000</v>
      </c>
      <c r="R717" s="9">
        <f>VLOOKUP(A717,'Ansvar kurs'!$A$2:$B$943,2,FALSE)</f>
        <v>1620</v>
      </c>
    </row>
    <row r="718" spans="1:26" x14ac:dyDescent="0.25">
      <c r="A718" s="60" t="s">
        <v>1838</v>
      </c>
      <c r="B718" s="31" t="s">
        <v>1833</v>
      </c>
      <c r="K718" s="31">
        <v>1</v>
      </c>
      <c r="O718" s="40">
        <f>C718*Prislapp!$C$2+D718*Prislapp!$D$2+E718*Prislapp!$E$2+F718*Prislapp!$F$2+G718*Prislapp!$G$2+H718*Prislapp!$H$2+I718*Prislapp!$I$2+J718*Prislapp!$J$2+K718*Prislapp!$K$2+L718*Prislapp!$L$2+M718*Prislapp!$M$2+N718*Prislapp!$N$2</f>
        <v>25235</v>
      </c>
      <c r="P718" s="40">
        <f>C718*Prislapp!$C$3+D718*Prislapp!$D$3+E718*Prislapp!$E$3+F718*Prislapp!$F$3+G718*Prislapp!$G$3+H718*Prislapp!$H$3+I718*Prislapp!$I$3+J718*Prislapp!$J$3+K718*Prislapp!$K$3+M718*Prislapp!$M$3+N718*Prislapp!$N$3+L718*Prislapp!$L$3</f>
        <v>27976</v>
      </c>
      <c r="Q718" s="40">
        <f>C718*Prislapp!$C$5+D718*Prislapp!$D$5+E718*Prislapp!$E$5+F718*Prislapp!$F$5+G718*Prislapp!$G$5+H718*Prislapp!$H$5+I718*Prislapp!$I$5+J718*Prislapp!$J$5+K718*Prislapp!$K$5+L718*Prislapp!$L$5+M718*Prislapp!$M$5+N718*Prislapp!$N$5</f>
        <v>3600</v>
      </c>
      <c r="R718" s="9">
        <f>VLOOKUP(A718,'Ansvar kurs'!$A$2:$B$943,2,FALSE)</f>
        <v>1620</v>
      </c>
    </row>
    <row r="719" spans="1:26" x14ac:dyDescent="0.25">
      <c r="A719" s="60" t="s">
        <v>2063</v>
      </c>
      <c r="B719" s="31" t="s">
        <v>2066</v>
      </c>
      <c r="D719" s="57">
        <v>1</v>
      </c>
      <c r="O719" s="40">
        <f>C719*Prislapp!$C$2+D719*Prislapp!$D$2+E719*Prislapp!$E$2+F719*Prislapp!$F$2+G719*Prislapp!$G$2+H719*Prislapp!$H$2+I719*Prislapp!$I$2+J719*Prislapp!$J$2+K719*Prislapp!$K$2+L719*Prislapp!$L$2+M719*Prislapp!$M$2+N719*Prislapp!$N$2</f>
        <v>20766</v>
      </c>
      <c r="P719" s="40">
        <f>C719*Prislapp!$C$3+D719*Prislapp!$D$3+E719*Prislapp!$E$3+F719*Prislapp!$F$3+G719*Prislapp!$G$3+H719*Prislapp!$H$3+I719*Prislapp!$I$3+J719*Prislapp!$J$3+K719*Prislapp!$K$3+M719*Prislapp!$M$3+N719*Prislapp!$N$3+L719*Prislapp!$L$3</f>
        <v>17442</v>
      </c>
      <c r="Q719" s="40">
        <f>C719*Prislapp!$C$5+D719*Prislapp!$D$5+E719*Prislapp!$E$5+F719*Prislapp!$F$5+G719*Prislapp!$G$5+H719*Prislapp!$H$5+I719*Prislapp!$I$5+J719*Prislapp!$J$5+K719*Prislapp!$K$5+L719*Prislapp!$L$5+M719*Prislapp!$M$5+N719*Prislapp!$N$5</f>
        <v>6000</v>
      </c>
      <c r="R719" s="9">
        <f>VLOOKUP(A719,'Ansvar kurs'!$A$2:$B$943,2,FALSE)</f>
        <v>1620</v>
      </c>
    </row>
    <row r="720" spans="1:26" x14ac:dyDescent="0.25">
      <c r="A720" s="176" t="s">
        <v>2357</v>
      </c>
      <c r="B720" s="57" t="s">
        <v>2362</v>
      </c>
      <c r="D720" s="57">
        <v>1</v>
      </c>
      <c r="O720" s="40">
        <f>C720*Prislapp!$C$2+D720*Prislapp!$D$2+E720*Prislapp!$E$2+F720*Prislapp!$F$2+G720*Prislapp!$G$2+H720*Prislapp!$H$2+I720*Prislapp!$I$2+J720*Prislapp!$J$2+K720*Prislapp!$K$2+L720*Prislapp!$L$2+M720*Prislapp!$M$2+N720*Prislapp!$N$2</f>
        <v>20766</v>
      </c>
      <c r="P720" s="40">
        <f>C720*Prislapp!$C$3+D720*Prislapp!$D$3+E720*Prislapp!$E$3+F720*Prislapp!$F$3+G720*Prislapp!$G$3+H720*Prislapp!$H$3+I720*Prislapp!$I$3+J720*Prislapp!$J$3+K720*Prislapp!$K$3+M720*Prislapp!$M$3+N720*Prislapp!$N$3+L720*Prislapp!$L$3</f>
        <v>17442</v>
      </c>
      <c r="Q720" s="40">
        <f>C720*Prislapp!$C$5+D720*Prislapp!$D$5+E720*Prislapp!$E$5+F720*Prislapp!$F$5+G720*Prislapp!$G$5+H720*Prislapp!$H$5+I720*Prislapp!$I$5+J720*Prislapp!$J$5+K720*Prislapp!$K$5+L720*Prislapp!$L$5+M720*Prislapp!$M$5+N720*Prislapp!$N$5</f>
        <v>6000</v>
      </c>
      <c r="R720" s="9">
        <f>VLOOKUP(A720,'Ansvar kurs'!$A$2:$B$943,2,FALSE)</f>
        <v>1620</v>
      </c>
      <c r="S720" s="176"/>
      <c r="T720" s="157"/>
      <c r="U720" s="157"/>
      <c r="V720" s="157"/>
      <c r="W720" s="157"/>
      <c r="X720" s="157"/>
      <c r="Y720" s="157"/>
      <c r="Z720" s="157"/>
    </row>
    <row r="721" spans="1:26" x14ac:dyDescent="0.25">
      <c r="A721" s="31" t="s">
        <v>639</v>
      </c>
      <c r="B721" s="31" t="s">
        <v>727</v>
      </c>
      <c r="F721" s="31">
        <v>1</v>
      </c>
      <c r="O721" s="40">
        <f>C721*Prislapp!$C$2+D721*Prislapp!$D$2+E721*Prislapp!$E$2+F721*Prislapp!$F$2+G721*Prislapp!$G$2+H721*Prislapp!$H$2+I721*Prislapp!$I$2+J721*Prislapp!$J$2+K721*Prislapp!$K$2+L721*Prislapp!$L$2+M721*Prislapp!$M$2+N721*Prislapp!$N$2</f>
        <v>26554</v>
      </c>
      <c r="P721" s="40">
        <f>C721*Prislapp!$C$3+D721*Prislapp!$D$3+E721*Prislapp!$E$3+F721*Prislapp!$F$3+G721*Prislapp!$G$3+H721*Prislapp!$H$3+I721*Prislapp!$I$3+J721*Prislapp!$J$3+K721*Prislapp!$K$3+M721*Prislapp!$M$3+N721*Prislapp!$N$3+L721*Prislapp!$L$3</f>
        <v>33465</v>
      </c>
      <c r="Q721" s="40">
        <f>C721*Prislapp!$C$5+D721*Prislapp!$D$5+E721*Prislapp!$E$5+F721*Prislapp!$F$5+G721*Prislapp!$G$5+H721*Prislapp!$H$5+I721*Prislapp!$I$5+J721*Prislapp!$J$5+K721*Prislapp!$K$5+L721*Prislapp!$L$5+M721*Prislapp!$M$5+N721*Prislapp!$N$5</f>
        <v>6000</v>
      </c>
      <c r="R721" s="9">
        <f>VLOOKUP(A721,'Ansvar kurs'!$A$2:$B$943,2,FALSE)</f>
        <v>1620</v>
      </c>
    </row>
    <row r="722" spans="1:26" x14ac:dyDescent="0.25">
      <c r="A722" s="31" t="s">
        <v>638</v>
      </c>
      <c r="B722" s="31" t="s">
        <v>727</v>
      </c>
      <c r="F722" s="31">
        <v>1</v>
      </c>
      <c r="O722" s="40">
        <f>C722*Prislapp!$C$2+D722*Prislapp!$D$2+E722*Prislapp!$E$2+F722*Prislapp!$F$2+G722*Prislapp!$G$2+H722*Prislapp!$H$2+I722*Prislapp!$I$2+J722*Prislapp!$J$2+K722*Prislapp!$K$2+L722*Prislapp!$L$2+M722*Prislapp!$M$2+N722*Prislapp!$N$2</f>
        <v>26554</v>
      </c>
      <c r="P722" s="40">
        <f>C722*Prislapp!$C$3+D722*Prislapp!$D$3+E722*Prislapp!$E$3+F722*Prislapp!$F$3+G722*Prislapp!$G$3+H722*Prislapp!$H$3+I722*Prislapp!$I$3+J722*Prislapp!$J$3+K722*Prislapp!$K$3+M722*Prislapp!$M$3+N722*Prislapp!$N$3+L722*Prislapp!$L$3</f>
        <v>33465</v>
      </c>
      <c r="Q722" s="40">
        <f>C722*Prislapp!$C$5+D722*Prislapp!$D$5+E722*Prislapp!$E$5+F722*Prislapp!$F$5+G722*Prislapp!$G$5+H722*Prislapp!$H$5+I722*Prislapp!$I$5+J722*Prislapp!$J$5+K722*Prislapp!$K$5+L722*Prislapp!$L$5+M722*Prislapp!$M$5+N722*Prislapp!$N$5</f>
        <v>6000</v>
      </c>
      <c r="R722" s="9">
        <f>VLOOKUP(A722,'Ansvar kurs'!$A$2:$B$943,2,FALSE)</f>
        <v>1620</v>
      </c>
    </row>
    <row r="723" spans="1:26" x14ac:dyDescent="0.25">
      <c r="A723" s="60" t="s">
        <v>1242</v>
      </c>
      <c r="B723" s="60" t="s">
        <v>1250</v>
      </c>
      <c r="D723" s="31">
        <v>1</v>
      </c>
      <c r="O723" s="40">
        <f>C723*Prislapp!$C$2+D723*Prislapp!$D$2+E723*Prislapp!$E$2+F723*Prislapp!$F$2+G723*Prislapp!$G$2+H723*Prislapp!$H$2+I723*Prislapp!$I$2+J723*Prislapp!$J$2+K723*Prislapp!$K$2+L723*Prislapp!$L$2+M723*Prislapp!$M$2+N723*Prislapp!$N$2</f>
        <v>20766</v>
      </c>
      <c r="P723" s="40">
        <f>C723*Prislapp!$C$3+D723*Prislapp!$D$3+E723*Prislapp!$E$3+F723*Prislapp!$F$3+G723*Prislapp!$G$3+H723*Prislapp!$H$3+I723*Prislapp!$I$3+J723*Prislapp!$J$3+K723*Prislapp!$K$3+M723*Prislapp!$M$3+N723*Prislapp!$N$3+L723*Prislapp!$L$3</f>
        <v>17442</v>
      </c>
      <c r="Q723" s="40">
        <f>C723*Prislapp!$C$5+D723*Prislapp!$D$5+E723*Prislapp!$E$5+F723*Prislapp!$F$5+G723*Prislapp!$G$5+H723*Prislapp!$H$5+I723*Prislapp!$I$5+J723*Prislapp!$J$5+K723*Prislapp!$K$5+L723*Prislapp!$L$5+M723*Prislapp!$M$5+N723*Prislapp!$N$5</f>
        <v>6000</v>
      </c>
      <c r="R723" s="9">
        <f>VLOOKUP(A723,'Ansvar kurs'!$A$2:$B$943,2,FALSE)</f>
        <v>1620</v>
      </c>
      <c r="S723" s="157" t="s">
        <v>1260</v>
      </c>
    </row>
    <row r="724" spans="1:26" x14ac:dyDescent="0.25">
      <c r="A724" s="60" t="s">
        <v>1267</v>
      </c>
      <c r="B724" s="60" t="s">
        <v>1268</v>
      </c>
      <c r="D724" s="31">
        <v>1</v>
      </c>
      <c r="O724" s="40">
        <f>C724*Prislapp!$C$2+D724*Prislapp!$D$2+E724*Prislapp!$E$2+F724*Prislapp!$F$2+G724*Prislapp!$G$2+H724*Prislapp!$H$2+I724*Prislapp!$I$2+J724*Prislapp!$J$2+K724*Prislapp!$K$2+L724*Prislapp!$L$2+M724*Prislapp!$M$2+N724*Prislapp!$N$2</f>
        <v>20766</v>
      </c>
      <c r="P724" s="40">
        <f>C724*Prislapp!$C$3+D724*Prislapp!$D$3+E724*Prislapp!$E$3+F724*Prislapp!$F$3+G724*Prislapp!$G$3+H724*Prislapp!$H$3+I724*Prislapp!$I$3+J724*Prislapp!$J$3+K724*Prislapp!$K$3+M724*Prislapp!$M$3+N724*Prislapp!$N$3+L724*Prislapp!$L$3</f>
        <v>17442</v>
      </c>
      <c r="Q724" s="40">
        <f>C724*Prislapp!$C$5+D724*Prislapp!$D$5+E724*Prislapp!$E$5+F724*Prislapp!$F$5+G724*Prislapp!$G$5+H724*Prislapp!$H$5+I724*Prislapp!$I$5+J724*Prislapp!$J$5+K724*Prislapp!$K$5+L724*Prislapp!$L$5+M724*Prislapp!$M$5+N724*Prislapp!$N$5</f>
        <v>6000</v>
      </c>
      <c r="R724" s="9">
        <f>VLOOKUP(A724,'Ansvar kurs'!$A$2:$B$943,2,FALSE)</f>
        <v>1620</v>
      </c>
      <c r="S724" s="157" t="s">
        <v>1260</v>
      </c>
    </row>
    <row r="725" spans="1:26" x14ac:dyDescent="0.25">
      <c r="A725" s="222" t="s">
        <v>1345</v>
      </c>
      <c r="B725" s="60" t="s">
        <v>1346</v>
      </c>
      <c r="D725" s="31">
        <v>1</v>
      </c>
      <c r="O725" s="40">
        <f>C725*Prislapp!$C$2+D725*Prislapp!$D$2+E725*Prislapp!$E$2+F725*Prislapp!$F$2+G725*Prislapp!$G$2+H725*Prislapp!$H$2+I725*Prislapp!$I$2+J725*Prislapp!$J$2+K725*Prislapp!$K$2+L725*Prislapp!$L$2+M725*Prislapp!$M$2+N725*Prislapp!$N$2</f>
        <v>20766</v>
      </c>
      <c r="P725" s="40">
        <f>C725*Prislapp!$C$3+D725*Prislapp!$D$3+E725*Prislapp!$E$3+F725*Prislapp!$F$3+G725*Prislapp!$G$3+H725*Prislapp!$H$3+I725*Prislapp!$I$3+J725*Prislapp!$J$3+K725*Prislapp!$K$3+M725*Prislapp!$M$3+N725*Prislapp!$N$3+L725*Prislapp!$L$3</f>
        <v>17442</v>
      </c>
      <c r="Q725" s="40">
        <f>C725*Prislapp!$C$5+D725*Prislapp!$D$5+E725*Prislapp!$E$5+F725*Prislapp!$F$5+G725*Prislapp!$G$5+H725*Prislapp!$H$5+I725*Prislapp!$I$5+J725*Prislapp!$J$5+K725*Prislapp!$K$5+L725*Prislapp!$L$5+M725*Prislapp!$M$5+N725*Prislapp!$N$5</f>
        <v>6000</v>
      </c>
      <c r="R725" s="9">
        <f>VLOOKUP(A725,'Ansvar kurs'!$A$2:$B$943,2,FALSE)</f>
        <v>1620</v>
      </c>
      <c r="S725" s="176" t="s">
        <v>1341</v>
      </c>
      <c r="T725" s="157"/>
      <c r="U725" s="157"/>
      <c r="V725" s="157"/>
      <c r="W725" s="157"/>
      <c r="X725" s="157"/>
      <c r="Y725" s="157"/>
      <c r="Z725" s="157"/>
    </row>
    <row r="726" spans="1:26" x14ac:dyDescent="0.25">
      <c r="A726" s="222" t="s">
        <v>1765</v>
      </c>
      <c r="B726" s="60" t="s">
        <v>1775</v>
      </c>
      <c r="D726" s="31">
        <v>1</v>
      </c>
      <c r="O726" s="40">
        <f>C726*Prislapp!$C$2+D726*Prislapp!$D$2+E726*Prislapp!$E$2+F726*Prislapp!$F$2+G726*Prislapp!$G$2+H726*Prislapp!$H$2+I726*Prislapp!$I$2+J726*Prislapp!$J$2+K726*Prislapp!$K$2+L726*Prislapp!$L$2+M726*Prislapp!$M$2+N726*Prislapp!$N$2</f>
        <v>20766</v>
      </c>
      <c r="P726" s="40">
        <f>C726*Prislapp!$C$3+D726*Prislapp!$D$3+E726*Prislapp!$E$3+F726*Prislapp!$F$3+G726*Prislapp!$G$3+H726*Prislapp!$H$3+I726*Prislapp!$I$3+J726*Prislapp!$J$3+K726*Prislapp!$K$3+M726*Prislapp!$M$3+N726*Prislapp!$N$3+L726*Prislapp!$L$3</f>
        <v>17442</v>
      </c>
      <c r="Q726" s="40">
        <f>C726*Prislapp!$C$5+D726*Prislapp!$D$5+E726*Prislapp!$E$5+F726*Prislapp!$F$5+G726*Prislapp!$G$5+H726*Prislapp!$H$5+I726*Prislapp!$I$5+J726*Prislapp!$J$5+K726*Prislapp!$K$5+L726*Prislapp!$L$5+M726*Prislapp!$M$5+N726*Prislapp!$N$5</f>
        <v>6000</v>
      </c>
      <c r="R726" s="9">
        <f>VLOOKUP(A726,'Ansvar kurs'!$A$2:$B$943,2,FALSE)</f>
        <v>1620</v>
      </c>
      <c r="S726" s="176"/>
      <c r="T726" s="157"/>
      <c r="U726" s="157"/>
      <c r="V726" s="157"/>
      <c r="W726" s="157"/>
      <c r="X726" s="157"/>
      <c r="Y726" s="157"/>
      <c r="Z726" s="157"/>
    </row>
    <row r="727" spans="1:26" x14ac:dyDescent="0.25">
      <c r="A727" s="222" t="s">
        <v>1613</v>
      </c>
      <c r="B727" s="60" t="s">
        <v>1306</v>
      </c>
      <c r="D727" s="31">
        <v>1</v>
      </c>
      <c r="O727" s="40">
        <f>C727*Prislapp!$C$2+D727*Prislapp!$D$2+E727*Prislapp!$E$2+F727*Prislapp!$F$2+G727*Prislapp!$G$2+H727*Prislapp!$H$2+I727*Prislapp!$I$2+J727*Prislapp!$J$2+K727*Prislapp!$K$2+L727*Prislapp!$L$2+M727*Prislapp!$M$2+N727*Prislapp!$N$2</f>
        <v>20766</v>
      </c>
      <c r="P727" s="40">
        <f>C727*Prislapp!$C$3+D727*Prislapp!$D$3+E727*Prislapp!$E$3+F727*Prislapp!$F$3+G727*Prislapp!$G$3+H727*Prislapp!$H$3+I727*Prislapp!$I$3+J727*Prislapp!$J$3+K727*Prislapp!$K$3+M727*Prislapp!$M$3+N727*Prislapp!$N$3+L727*Prislapp!$L$3</f>
        <v>17442</v>
      </c>
      <c r="Q727" s="40">
        <f>C727*Prislapp!$C$5+D727*Prislapp!$D$5+E727*Prislapp!$E$5+F727*Prislapp!$F$5+G727*Prislapp!$G$5+H727*Prislapp!$H$5+I727*Prislapp!$I$5+J727*Prislapp!$J$5+K727*Prislapp!$K$5+L727*Prislapp!$L$5+M727*Prislapp!$M$5+N727*Prislapp!$N$5</f>
        <v>6000</v>
      </c>
      <c r="R727" s="9">
        <f>VLOOKUP(A727,'Ansvar kurs'!$A$2:$B$943,2,FALSE)</f>
        <v>1620</v>
      </c>
      <c r="S727" s="176"/>
      <c r="T727" s="157"/>
      <c r="U727" s="157"/>
      <c r="V727" s="157"/>
      <c r="W727" s="157"/>
      <c r="X727" s="157"/>
      <c r="Y727" s="157"/>
      <c r="Z727" s="157"/>
    </row>
    <row r="728" spans="1:26" x14ac:dyDescent="0.25">
      <c r="A728" s="222" t="s">
        <v>1941</v>
      </c>
      <c r="B728" s="60" t="s">
        <v>1966</v>
      </c>
      <c r="D728" s="31">
        <v>1</v>
      </c>
      <c r="O728" s="40">
        <f>C728*Prislapp!$C$2+D728*Prislapp!$D$2+E728*Prislapp!$E$2+F728*Prislapp!$F$2+G728*Prislapp!$G$2+H728*Prislapp!$H$2+I728*Prislapp!$I$2+J728*Prislapp!$J$2+K728*Prislapp!$K$2+L728*Prislapp!$L$2+M728*Prislapp!$M$2+N728*Prislapp!$N$2</f>
        <v>20766</v>
      </c>
      <c r="P728" s="40">
        <f>C728*Prislapp!$C$3+D728*Prislapp!$D$3+E728*Prislapp!$E$3+F728*Prislapp!$F$3+G728*Prislapp!$G$3+H728*Prislapp!$H$3+I728*Prislapp!$I$3+J728*Prislapp!$J$3+K728*Prislapp!$K$3+M728*Prislapp!$M$3+N728*Prislapp!$N$3+L728*Prislapp!$L$3</f>
        <v>17442</v>
      </c>
      <c r="Q728" s="40">
        <f>C728*Prislapp!$C$5+D728*Prislapp!$D$5+E728*Prislapp!$E$5+F728*Prislapp!$F$5+G728*Prislapp!$G$5+H728*Prislapp!$H$5+I728*Prislapp!$I$5+J728*Prislapp!$J$5+K728*Prislapp!$K$5+L728*Prislapp!$L$5+M728*Prislapp!$M$5+N728*Prislapp!$N$5</f>
        <v>6000</v>
      </c>
      <c r="R728" s="9">
        <f>VLOOKUP(A728,'Ansvar kurs'!$A$2:$B$943,2,FALSE)</f>
        <v>1620</v>
      </c>
      <c r="S728" s="176"/>
      <c r="T728" s="157"/>
      <c r="U728" s="157"/>
      <c r="V728" s="157"/>
      <c r="W728" s="157"/>
      <c r="X728" s="157"/>
      <c r="Y728" s="157"/>
      <c r="Z728" s="157"/>
    </row>
    <row r="729" spans="1:26" x14ac:dyDescent="0.25">
      <c r="A729" s="222" t="s">
        <v>1942</v>
      </c>
      <c r="B729" s="60" t="s">
        <v>1967</v>
      </c>
      <c r="D729" s="31">
        <v>1</v>
      </c>
      <c r="O729" s="40">
        <f>C729*Prislapp!$C$2+D729*Prislapp!$D$2+E729*Prislapp!$E$2+F729*Prislapp!$F$2+G729*Prislapp!$G$2+H729*Prislapp!$H$2+I729*Prislapp!$I$2+J729*Prislapp!$J$2+K729*Prislapp!$K$2+L729*Prislapp!$L$2+M729*Prislapp!$M$2+N729*Prislapp!$N$2</f>
        <v>20766</v>
      </c>
      <c r="P729" s="40">
        <f>C729*Prislapp!$C$3+D729*Prislapp!$D$3+E729*Prislapp!$E$3+F729*Prislapp!$F$3+G729*Prislapp!$G$3+H729*Prislapp!$H$3+I729*Prislapp!$I$3+J729*Prislapp!$J$3+K729*Prislapp!$K$3+M729*Prislapp!$M$3+N729*Prislapp!$N$3+L729*Prislapp!$L$3</f>
        <v>17442</v>
      </c>
      <c r="Q729" s="40">
        <f>C729*Prislapp!$C$5+D729*Prislapp!$D$5+E729*Prislapp!$E$5+F729*Prislapp!$F$5+G729*Prislapp!$G$5+H729*Prislapp!$H$5+I729*Prislapp!$I$5+J729*Prislapp!$J$5+K729*Prislapp!$K$5+L729*Prislapp!$L$5+M729*Prislapp!$M$5+N729*Prislapp!$N$5</f>
        <v>6000</v>
      </c>
      <c r="R729" s="9">
        <f>VLOOKUP(A729,'Ansvar kurs'!$A$2:$B$943,2,FALSE)</f>
        <v>1620</v>
      </c>
      <c r="S729" s="176"/>
      <c r="T729" s="157"/>
      <c r="U729" s="157"/>
      <c r="V729" s="157"/>
      <c r="W729" s="157"/>
      <c r="X729" s="157"/>
      <c r="Y729" s="157"/>
      <c r="Z729" s="157"/>
    </row>
    <row r="730" spans="1:26" x14ac:dyDescent="0.25">
      <c r="A730" s="31" t="s">
        <v>1976</v>
      </c>
      <c r="B730" s="31" t="s">
        <v>679</v>
      </c>
      <c r="D730" s="31">
        <v>1</v>
      </c>
      <c r="O730" s="40">
        <f>C730*Prislapp!$C$2+D730*Prislapp!$D$2+E730*Prislapp!$E$2+F730*Prislapp!$F$2+G730*Prislapp!$G$2+H730*Prislapp!$H$2+I730*Prislapp!$I$2+J730*Prislapp!$J$2+K730*Prislapp!$K$2+L730*Prislapp!$L$2+M730*Prislapp!$M$2+N730*Prislapp!$N$2</f>
        <v>20766</v>
      </c>
      <c r="P730" s="40">
        <f>C730*Prislapp!$C$3+D730*Prislapp!$D$3+E730*Prislapp!$E$3+F730*Prislapp!$F$3+G730*Prislapp!$G$3+H730*Prislapp!$H$3+I730*Prislapp!$I$3+J730*Prislapp!$J$3+K730*Prislapp!$K$3+M730*Prislapp!$M$3+N730*Prislapp!$N$3+L730*Prislapp!$L$3</f>
        <v>17442</v>
      </c>
      <c r="Q730" s="40">
        <f>C730*Prislapp!$C$5+D730*Prislapp!$D$5+E730*Prislapp!$E$5+F730*Prislapp!$F$5+G730*Prislapp!$G$5+H730*Prislapp!$H$5+I730*Prislapp!$I$5+J730*Prislapp!$J$5+K730*Prislapp!$K$5+L730*Prislapp!$L$5+M730*Prislapp!$M$5+N730*Prislapp!$N$5</f>
        <v>6000</v>
      </c>
      <c r="R730" s="9">
        <f>VLOOKUP(A730,'Ansvar kurs'!$A$2:$B$943,2,FALSE)</f>
        <v>1620</v>
      </c>
      <c r="S730" s="157"/>
      <c r="T730" s="157"/>
      <c r="U730" s="157"/>
      <c r="W730" s="157"/>
      <c r="X730" s="157"/>
      <c r="Y730" s="157"/>
      <c r="Z730" s="157"/>
    </row>
    <row r="731" spans="1:26" ht="30" x14ac:dyDescent="0.25">
      <c r="A731" s="9" t="s">
        <v>2012</v>
      </c>
      <c r="B731" s="390" t="s">
        <v>1441</v>
      </c>
      <c r="I731" s="57">
        <v>1</v>
      </c>
      <c r="O731" s="40">
        <f>C731*Prislapp!$C$2+D731*Prislapp!$D$2+E731*Prislapp!$E$2+F731*Prislapp!$F$2+G731*Prislapp!$G$2+H731*Prislapp!$H$2+I731*Prislapp!$I$2+J731*Prislapp!$J$2+K731*Prislapp!$K$2+L731*Prislapp!$L$2+M731*Prislapp!$M$2+N731*Prislapp!$N$2</f>
        <v>20766</v>
      </c>
      <c r="P731" s="40">
        <f>C731*Prislapp!$C$3+D731*Prislapp!$D$3+E731*Prislapp!$E$3+F731*Prislapp!$F$3+G731*Prislapp!$G$3+H731*Prislapp!$H$3+I731*Prislapp!$I$3+J731*Prislapp!$J$3+K731*Prislapp!$K$3+M731*Prislapp!$M$3+N731*Prislapp!$N$3+L731*Prislapp!$L$3</f>
        <v>17442</v>
      </c>
      <c r="Q731" s="40">
        <f>C731*Prislapp!$C$5+D731*Prislapp!$D$5+E731*Prislapp!$E$5+F731*Prislapp!$F$5+G731*Prislapp!$G$5+H731*Prislapp!$H$5+I731*Prislapp!$I$5+J731*Prislapp!$J$5+K731*Prislapp!$K$5+L731*Prislapp!$L$5+M731*Prislapp!$M$5+N731*Prislapp!$N$5</f>
        <v>6000</v>
      </c>
      <c r="R731" s="9">
        <f>VLOOKUP(A731,'Ansvar kurs'!$A$2:$B$943,2,FALSE)</f>
        <v>1620</v>
      </c>
    </row>
    <row r="732" spans="1:26" x14ac:dyDescent="0.25">
      <c r="A732" s="57" t="s">
        <v>2013</v>
      </c>
      <c r="B732" s="57" t="s">
        <v>2014</v>
      </c>
      <c r="D732" s="57">
        <v>1</v>
      </c>
      <c r="I732" s="375"/>
      <c r="O732" s="40">
        <f>C732*Prislapp!$C$2+D732*Prislapp!$D$2+E732*Prislapp!$E$2+F732*Prislapp!$F$2+G732*Prislapp!$G$2+H732*Prislapp!$H$2+I732*Prislapp!$I$2+J732*Prislapp!$J$2+K732*Prislapp!$K$2+L732*Prislapp!$L$2+M732*Prislapp!$M$2+N732*Prislapp!$N$2</f>
        <v>20766</v>
      </c>
      <c r="P732" s="40">
        <f>C732*Prislapp!$C$3+D732*Prislapp!$D$3+E732*Prislapp!$E$3+F732*Prislapp!$F$3+G732*Prislapp!$G$3+H732*Prislapp!$H$3+I732*Prislapp!$I$3+J732*Prislapp!$J$3+K732*Prislapp!$K$3+M732*Prislapp!$M$3+N732*Prislapp!$N$3+L732*Prislapp!$L$3</f>
        <v>17442</v>
      </c>
      <c r="Q732" s="40">
        <f>C732*Prislapp!$C$5+D732*Prislapp!$D$5+E732*Prislapp!$E$5+F732*Prislapp!$F$5+G732*Prislapp!$G$5+H732*Prislapp!$H$5+I732*Prislapp!$I$5+J732*Prislapp!$J$5+K732*Prislapp!$K$5+L732*Prislapp!$L$5+M732*Prislapp!$M$5+N732*Prislapp!$N$5</f>
        <v>6000</v>
      </c>
      <c r="R732" s="9">
        <f>VLOOKUP(A732,'Ansvar kurs'!$A$2:$B$943,2,FALSE)</f>
        <v>1620</v>
      </c>
    </row>
    <row r="733" spans="1:26" x14ac:dyDescent="0.25">
      <c r="A733" s="57" t="s">
        <v>2162</v>
      </c>
      <c r="B733" s="57" t="s">
        <v>1671</v>
      </c>
      <c r="D733" s="57">
        <v>1</v>
      </c>
      <c r="I733" s="375"/>
      <c r="O733" s="40">
        <f>C733*Prislapp!$C$2+D733*Prislapp!$D$2+E733*Prislapp!$E$2+F733*Prislapp!$F$2+G733*Prislapp!$G$2+H733*Prislapp!$H$2+I733*Prislapp!$I$2+J733*Prislapp!$J$2+K733*Prislapp!$K$2+L733*Prislapp!$L$2+M733*Prislapp!$M$2+N733*Prislapp!$N$2</f>
        <v>20766</v>
      </c>
      <c r="P733" s="40">
        <f>C733*Prislapp!$C$3+D733*Prislapp!$D$3+E733*Prislapp!$E$3+F733*Prislapp!$F$3+G733*Prislapp!$G$3+H733*Prislapp!$H$3+I733*Prislapp!$I$3+J733*Prislapp!$J$3+K733*Prislapp!$K$3+M733*Prislapp!$M$3+N733*Prislapp!$N$3+L733*Prislapp!$L$3</f>
        <v>17442</v>
      </c>
      <c r="Q733" s="40">
        <f>C733*Prislapp!$C$5+D733*Prislapp!$D$5+E733*Prislapp!$E$5+F733*Prislapp!$F$5+G733*Prislapp!$G$5+H733*Prislapp!$H$5+I733*Prislapp!$I$5+J733*Prislapp!$J$5+K733*Prislapp!$K$5+L733*Prislapp!$L$5+M733*Prislapp!$M$5+N733*Prislapp!$N$5</f>
        <v>6000</v>
      </c>
      <c r="R733" s="9">
        <f>VLOOKUP(A733,'Ansvar kurs'!$A$2:$B$943,2,FALSE)</f>
        <v>1620</v>
      </c>
    </row>
    <row r="734" spans="1:26" x14ac:dyDescent="0.25">
      <c r="A734" s="176" t="s">
        <v>2360</v>
      </c>
      <c r="B734" s="421" t="s">
        <v>2365</v>
      </c>
      <c r="D734" s="370">
        <v>1</v>
      </c>
      <c r="O734" s="40">
        <f>C734*Prislapp!$C$2+D734*Prislapp!$D$2+E734*Prislapp!$E$2+F734*Prislapp!$F$2+G734*Prislapp!$G$2+H734*Prislapp!$H$2+I734*Prislapp!$I$2+J734*Prislapp!$J$2+K734*Prislapp!$K$2+L734*Prislapp!$L$2+M734*Prislapp!$M$2+N734*Prislapp!$N$2</f>
        <v>20766</v>
      </c>
      <c r="P734" s="40">
        <f>C734*Prislapp!$C$3+D734*Prislapp!$D$3+E734*Prislapp!$E$3+F734*Prislapp!$F$3+G734*Prislapp!$G$3+H734*Prislapp!$H$3+I734*Prislapp!$I$3+J734*Prislapp!$J$3+K734*Prislapp!$K$3+M734*Prislapp!$M$3+N734*Prislapp!$N$3+L734*Prislapp!$L$3</f>
        <v>17442</v>
      </c>
      <c r="Q734" s="40">
        <f>C734*Prislapp!$C$5+D734*Prislapp!$D$5+E734*Prislapp!$E$5+F734*Prislapp!$F$5+G734*Prislapp!$G$5+H734*Prislapp!$H$5+I734*Prislapp!$I$5+J734*Prislapp!$J$5+K734*Prislapp!$K$5+L734*Prislapp!$L$5+M734*Prislapp!$M$5+N734*Prislapp!$N$5</f>
        <v>6000</v>
      </c>
      <c r="R734" s="9">
        <f>VLOOKUP(A734,'Ansvar kurs'!$A$2:$B$943,2,FALSE)</f>
        <v>1620</v>
      </c>
      <c r="S734" s="176"/>
      <c r="T734" s="157"/>
      <c r="U734" s="157"/>
      <c r="V734" s="157"/>
      <c r="W734" s="157"/>
      <c r="X734" s="157"/>
      <c r="Y734" s="157"/>
      <c r="Z734" s="157"/>
    </row>
    <row r="735" spans="1:26" x14ac:dyDescent="0.25">
      <c r="A735" s="31" t="s">
        <v>138</v>
      </c>
      <c r="B735" s="31" t="s">
        <v>728</v>
      </c>
      <c r="I735" s="31">
        <v>0.75</v>
      </c>
      <c r="K735" s="31">
        <v>0.25</v>
      </c>
      <c r="O735" s="40">
        <f>C735*Prislapp!$C$2+D735*Prislapp!$D$2+E735*Prislapp!$E$2+F735*Prislapp!$F$2+G735*Prislapp!$G$2+H735*Prislapp!$H$2+I735*Prislapp!$I$2+J735*Prislapp!$J$2+K735*Prislapp!$K$2+L735*Prislapp!$L$2+M735*Prislapp!$M$2+N735*Prislapp!$N$2</f>
        <v>21883.25</v>
      </c>
      <c r="P735" s="40">
        <f>C735*Prislapp!$C$3+D735*Prislapp!$D$3+E735*Prislapp!$E$3+F735*Prislapp!$F$3+G735*Prislapp!$G$3+H735*Prislapp!$H$3+I735*Prislapp!$I$3+J735*Prislapp!$J$3+K735*Prislapp!$K$3+M735*Prislapp!$M$3+N735*Prislapp!$N$3+L735*Prislapp!$L$3</f>
        <v>20075.5</v>
      </c>
      <c r="Q735" s="40">
        <f>C735*Prislapp!$C$5+D735*Prislapp!$D$5+E735*Prislapp!$E$5+F735*Prislapp!$F$5+G735*Prislapp!$G$5+H735*Prislapp!$H$5+I735*Prislapp!$I$5+J735*Prislapp!$J$5+K735*Prislapp!$K$5+L735*Prislapp!$L$5+M735*Prislapp!$M$5+N735*Prislapp!$N$5</f>
        <v>5400</v>
      </c>
      <c r="R735" s="9">
        <f>VLOOKUP(A735,'Ansvar kurs'!$A$2:$B$943,2,FALSE)</f>
        <v>2340</v>
      </c>
    </row>
    <row r="736" spans="1:26" x14ac:dyDescent="0.25">
      <c r="A736" s="31" t="s">
        <v>98</v>
      </c>
      <c r="B736" s="31" t="s">
        <v>729</v>
      </c>
      <c r="I736" s="31">
        <v>1</v>
      </c>
      <c r="O736" s="40">
        <f>C736*Prislapp!$C$2+D736*Prislapp!$D$2+E736*Prislapp!$E$2+F736*Prislapp!$F$2+G736*Prislapp!$G$2+H736*Prislapp!$H$2+I736*Prislapp!$I$2+J736*Prislapp!$J$2+K736*Prislapp!$K$2+L736*Prislapp!$L$2+M736*Prislapp!$M$2+N736*Prislapp!$N$2</f>
        <v>20766</v>
      </c>
      <c r="P736" s="40">
        <f>C736*Prislapp!$C$3+D736*Prislapp!$D$3+E736*Prislapp!$E$3+F736*Prislapp!$F$3+G736*Prislapp!$G$3+H736*Prislapp!$H$3+I736*Prislapp!$I$3+J736*Prislapp!$J$3+K736*Prislapp!$K$3+M736*Prislapp!$M$3+N736*Prislapp!$N$3+L736*Prislapp!$L$3</f>
        <v>17442</v>
      </c>
      <c r="Q736" s="40">
        <f>C736*Prislapp!$C$5+D736*Prislapp!$D$5+E736*Prislapp!$E$5+F736*Prislapp!$F$5+G736*Prislapp!$G$5+H736*Prislapp!$H$5+I736*Prislapp!$I$5+J736*Prislapp!$J$5+K736*Prislapp!$K$5+L736*Prislapp!$L$5+M736*Prislapp!$M$5+N736*Prislapp!$N$5</f>
        <v>6000</v>
      </c>
      <c r="R736" s="9">
        <f>VLOOKUP(A736,'Ansvar kurs'!$A$2:$B$943,2,FALSE)</f>
        <v>2340</v>
      </c>
    </row>
    <row r="737" spans="1:20" x14ac:dyDescent="0.25">
      <c r="A737" s="31" t="s">
        <v>97</v>
      </c>
      <c r="B737" s="31" t="s">
        <v>730</v>
      </c>
      <c r="I737" s="31">
        <v>1</v>
      </c>
      <c r="O737" s="40">
        <f>C737*Prislapp!$C$2+D737*Prislapp!$D$2+E737*Prislapp!$E$2+F737*Prislapp!$F$2+G737*Prislapp!$G$2+H737*Prislapp!$H$2+I737*Prislapp!$I$2+J737*Prislapp!$J$2+K737*Prislapp!$K$2+L737*Prislapp!$L$2+M737*Prislapp!$M$2+N737*Prislapp!$N$2</f>
        <v>20766</v>
      </c>
      <c r="P737" s="40">
        <f>C737*Prislapp!$C$3+D737*Prislapp!$D$3+E737*Prislapp!$E$3+F737*Prislapp!$F$3+G737*Prislapp!$G$3+H737*Prislapp!$H$3+I737*Prislapp!$I$3+J737*Prislapp!$J$3+K737*Prislapp!$K$3+M737*Prislapp!$M$3+N737*Prislapp!$N$3+L737*Prislapp!$L$3</f>
        <v>17442</v>
      </c>
      <c r="Q737" s="40">
        <f>C737*Prislapp!$C$5+D737*Prislapp!$D$5+E737*Prislapp!$E$5+F737*Prislapp!$F$5+G737*Prislapp!$G$5+H737*Prislapp!$H$5+I737*Prislapp!$I$5+J737*Prislapp!$J$5+K737*Prislapp!$K$5+L737*Prislapp!$L$5+M737*Prislapp!$M$5+N737*Prislapp!$N$5</f>
        <v>6000</v>
      </c>
      <c r="R737" s="9">
        <f>VLOOKUP(A737,'Ansvar kurs'!$A$2:$B$943,2,FALSE)</f>
        <v>2340</v>
      </c>
    </row>
    <row r="738" spans="1:20" x14ac:dyDescent="0.25">
      <c r="A738" s="31" t="s">
        <v>511</v>
      </c>
      <c r="B738" s="31" t="s">
        <v>555</v>
      </c>
      <c r="D738" s="31">
        <v>1</v>
      </c>
      <c r="O738" s="40">
        <f>C738*Prislapp!$C$2+D738*Prislapp!$D$2+E738*Prislapp!$E$2+F738*Prislapp!$F$2+G738*Prislapp!$G$2+H738*Prislapp!$H$2+I738*Prislapp!$I$2+J738*Prislapp!$J$2+K738*Prislapp!$K$2+L738*Prislapp!$L$2+M738*Prislapp!$M$2+N738*Prislapp!$N$2</f>
        <v>20766</v>
      </c>
      <c r="P738" s="40">
        <f>C738*Prislapp!$C$3+D738*Prislapp!$D$3+E738*Prislapp!$E$3+F738*Prislapp!$F$3+G738*Prislapp!$G$3+H738*Prislapp!$H$3+I738*Prislapp!$I$3+J738*Prislapp!$J$3+K738*Prislapp!$K$3+M738*Prislapp!$M$3+N738*Prislapp!$N$3+L738*Prislapp!$L$3</f>
        <v>17442</v>
      </c>
      <c r="Q738" s="40">
        <f>C738*Prislapp!$C$5+D738*Prislapp!$D$5+E738*Prislapp!$E$5+F738*Prislapp!$F$5+G738*Prislapp!$G$5+H738*Prislapp!$H$5+I738*Prislapp!$I$5+J738*Prislapp!$J$5+K738*Prislapp!$K$5+L738*Prislapp!$L$5+M738*Prislapp!$M$5+N738*Prislapp!$N$5</f>
        <v>6000</v>
      </c>
      <c r="R738" s="9">
        <f>VLOOKUP(A738,'Ansvar kurs'!$A$2:$B$943,2,FALSE)</f>
        <v>2340</v>
      </c>
    </row>
    <row r="739" spans="1:20" x14ac:dyDescent="0.25">
      <c r="A739" s="31" t="s">
        <v>512</v>
      </c>
      <c r="B739" s="31" t="s">
        <v>556</v>
      </c>
      <c r="I739" s="31">
        <v>1</v>
      </c>
      <c r="O739" s="40">
        <f>C739*Prislapp!$C$2+D739*Prislapp!$D$2+E739*Prislapp!$E$2+F739*Prislapp!$F$2+G739*Prislapp!$G$2+H739*Prislapp!$H$2+I739*Prislapp!$I$2+J739*Prislapp!$J$2+K739*Prislapp!$K$2+L739*Prislapp!$L$2+M739*Prislapp!$M$2+N739*Prislapp!$N$2</f>
        <v>20766</v>
      </c>
      <c r="P739" s="40">
        <f>C739*Prislapp!$C$3+D739*Prislapp!$D$3+E739*Prislapp!$E$3+F739*Prislapp!$F$3+G739*Prislapp!$G$3+H739*Prislapp!$H$3+I739*Prislapp!$I$3+J739*Prislapp!$J$3+K739*Prislapp!$K$3+M739*Prislapp!$M$3+N739*Prislapp!$N$3+L739*Prislapp!$L$3</f>
        <v>17442</v>
      </c>
      <c r="Q739" s="40">
        <f>C739*Prislapp!$C$5+D739*Prislapp!$D$5+E739*Prislapp!$E$5+F739*Prislapp!$F$5+G739*Prislapp!$G$5+H739*Prislapp!$H$5+I739*Prislapp!$I$5+J739*Prislapp!$J$5+K739*Prislapp!$K$5+L739*Prislapp!$L$5+M739*Prislapp!$M$5+N739*Prislapp!$N$5</f>
        <v>6000</v>
      </c>
      <c r="R739" s="9">
        <f>VLOOKUP(A739,'Ansvar kurs'!$A$2:$B$943,2,FALSE)</f>
        <v>2340</v>
      </c>
      <c r="S739" s="31" t="s">
        <v>1276</v>
      </c>
    </row>
    <row r="740" spans="1:20" x14ac:dyDescent="0.25">
      <c r="A740" s="221" t="s">
        <v>600</v>
      </c>
      <c r="B740" s="31" t="s">
        <v>615</v>
      </c>
      <c r="D740" s="31">
        <v>1</v>
      </c>
      <c r="O740" s="40">
        <f>C740*Prislapp!$C$2+D740*Prislapp!$D$2+E740*Prislapp!$E$2+F740*Prislapp!$F$2+G740*Prislapp!$G$2+H740*Prislapp!$H$2+I740*Prislapp!$I$2+J740*Prislapp!$J$2+K740*Prislapp!$K$2+L740*Prislapp!$L$2+M740*Prislapp!$M$2+N740*Prislapp!$N$2</f>
        <v>20766</v>
      </c>
      <c r="P740" s="40">
        <f>C740*Prislapp!$C$3+D740*Prislapp!$D$3+E740*Prislapp!$E$3+F740*Prislapp!$F$3+G740*Prislapp!$G$3+H740*Prislapp!$H$3+I740*Prislapp!$I$3+J740*Prislapp!$J$3+K740*Prislapp!$K$3+M740*Prislapp!$M$3+N740*Prislapp!$N$3+L740*Prislapp!$L$3</f>
        <v>17442</v>
      </c>
      <c r="Q740" s="40">
        <f>C740*Prislapp!$C$5+D740*Prislapp!$D$5+E740*Prislapp!$E$5+F740*Prislapp!$F$5+G740*Prislapp!$G$5+H740*Prislapp!$H$5+I740*Prislapp!$I$5+J740*Prislapp!$J$5+K740*Prislapp!$K$5+L740*Prislapp!$L$5+M740*Prislapp!$M$5+N740*Prislapp!$N$5</f>
        <v>6000</v>
      </c>
      <c r="R740" s="9">
        <f>VLOOKUP(A740,'Ansvar kurs'!$A$2:$B$943,2,FALSE)</f>
        <v>2340</v>
      </c>
    </row>
    <row r="741" spans="1:20" x14ac:dyDescent="0.25">
      <c r="A741" s="221" t="s">
        <v>1024</v>
      </c>
      <c r="B741" s="31" t="s">
        <v>757</v>
      </c>
      <c r="I741" s="31">
        <v>1</v>
      </c>
      <c r="O741" s="40">
        <f>C741*Prislapp!$C$2+D741*Prislapp!$D$2+E741*Prislapp!$E$2+F741*Prislapp!$F$2+G741*Prislapp!$G$2+H741*Prislapp!$H$2+I741*Prislapp!$I$2+J741*Prislapp!$J$2+K741*Prislapp!$K$2+L741*Prislapp!$L$2+M741*Prislapp!$M$2+N741*Prislapp!$N$2</f>
        <v>20766</v>
      </c>
      <c r="P741" s="40">
        <f>C741*Prislapp!$C$3+D741*Prislapp!$D$3+E741*Prislapp!$E$3+F741*Prislapp!$F$3+G741*Prislapp!$G$3+H741*Prislapp!$H$3+I741*Prislapp!$I$3+J741*Prislapp!$J$3+K741*Prislapp!$K$3+M741*Prislapp!$M$3+N741*Prislapp!$N$3+L741*Prislapp!$L$3</f>
        <v>17442</v>
      </c>
      <c r="Q741" s="40">
        <f>C741*Prislapp!$C$5+D741*Prislapp!$D$5+E741*Prislapp!$E$5+F741*Prislapp!$F$5+G741*Prislapp!$G$5+H741*Prislapp!$H$5+I741*Prislapp!$I$5+J741*Prislapp!$J$5+K741*Prislapp!$K$5+L741*Prislapp!$L$5+M741*Prislapp!$M$5+N741*Prislapp!$N$5</f>
        <v>6000</v>
      </c>
      <c r="R741" s="9">
        <f>VLOOKUP(A741,'Ansvar kurs'!$A$2:$B$943,2,FALSE)</f>
        <v>2340</v>
      </c>
      <c r="S741" s="31" t="s">
        <v>1276</v>
      </c>
    </row>
    <row r="742" spans="1:20" x14ac:dyDescent="0.25">
      <c r="A742" s="221" t="s">
        <v>1025</v>
      </c>
      <c r="B742" s="31" t="s">
        <v>1191</v>
      </c>
      <c r="F742" s="31">
        <v>1</v>
      </c>
      <c r="O742" s="40">
        <f>C742*Prislapp!$C$2+D742*Prislapp!$D$2+E742*Prislapp!$E$2+F742*Prislapp!$F$2+G742*Prislapp!$G$2+H742*Prislapp!$H$2+I742*Prislapp!$I$2+J742*Prislapp!$J$2+K742*Prislapp!$K$2+L742*Prislapp!$L$2+M742*Prislapp!$M$2+N742*Prislapp!$N$2</f>
        <v>26554</v>
      </c>
      <c r="P742" s="40">
        <f>C742*Prislapp!$C$3+D742*Prislapp!$D$3+E742*Prislapp!$E$3+F742*Prislapp!$F$3+G742*Prislapp!$G$3+H742*Prislapp!$H$3+I742*Prislapp!$I$3+J742*Prislapp!$J$3+K742*Prislapp!$K$3+M742*Prislapp!$M$3+N742*Prislapp!$N$3+L742*Prislapp!$L$3</f>
        <v>33465</v>
      </c>
      <c r="Q742" s="40">
        <f>C742*Prislapp!$C$5+D742*Prislapp!$D$5+E742*Prislapp!$E$5+F742*Prislapp!$F$5+G742*Prislapp!$G$5+H742*Prislapp!$H$5+I742*Prislapp!$I$5+J742*Prislapp!$J$5+K742*Prislapp!$K$5+L742*Prislapp!$L$5+M742*Prislapp!$M$5+N742*Prislapp!$N$5</f>
        <v>6000</v>
      </c>
      <c r="R742" s="9">
        <f>VLOOKUP(A742,'Ansvar kurs'!$A$2:$B$943,2,FALSE)</f>
        <v>2340</v>
      </c>
    </row>
    <row r="743" spans="1:20" x14ac:dyDescent="0.25">
      <c r="A743" s="221" t="s">
        <v>2230</v>
      </c>
      <c r="B743" s="31" t="s">
        <v>2264</v>
      </c>
      <c r="F743" s="31">
        <v>1</v>
      </c>
      <c r="O743" s="40">
        <f>C743*Prislapp!$C$2+D743*Prislapp!$D$2+E743*Prislapp!$E$2+F743*Prislapp!$F$2+G743*Prislapp!$G$2+H743*Prislapp!$H$2+I743*Prislapp!$I$2+J743*Prislapp!$J$2+K743*Prislapp!$K$2+L743*Prislapp!$L$2+M743*Prislapp!$M$2+N743*Prislapp!$N$2</f>
        <v>26554</v>
      </c>
      <c r="P743" s="40">
        <f>C743*Prislapp!$C$3+D743*Prislapp!$D$3+E743*Prislapp!$E$3+F743*Prislapp!$F$3+G743*Prislapp!$G$3+H743*Prislapp!$H$3+I743*Prislapp!$I$3+J743*Prislapp!$J$3+K743*Prislapp!$K$3+M743*Prislapp!$M$3+N743*Prislapp!$N$3+L743*Prislapp!$L$3</f>
        <v>33465</v>
      </c>
      <c r="Q743" s="40">
        <f>C743*Prislapp!$C$5+D743*Prislapp!$D$5+E743*Prislapp!$E$5+F743*Prislapp!$F$5+G743*Prislapp!$G$5+H743*Prislapp!$H$5+I743*Prislapp!$I$5+J743*Prislapp!$J$5+K743*Prislapp!$K$5+L743*Prislapp!$L$5+M743*Prislapp!$M$5+N743*Prislapp!$N$5</f>
        <v>6000</v>
      </c>
      <c r="R743" s="9">
        <f>VLOOKUP(A743,'Ansvar kurs'!$A$2:$B$943,2,FALSE)</f>
        <v>2340</v>
      </c>
    </row>
    <row r="744" spans="1:20" x14ac:dyDescent="0.25">
      <c r="A744" s="221" t="s">
        <v>1026</v>
      </c>
      <c r="B744" s="31" t="s">
        <v>1064</v>
      </c>
      <c r="K744" s="31">
        <v>1</v>
      </c>
      <c r="O744" s="40">
        <f>C744*Prislapp!$C$2+D744*Prislapp!$D$2+E744*Prislapp!$E$2+F744*Prislapp!$F$2+G744*Prislapp!$G$2+H744*Prislapp!$H$2+I744*Prislapp!$I$2+J744*Prislapp!$J$2+K744*Prislapp!$K$2+L744*Prislapp!$L$2+M744*Prislapp!$M$2+N744*Prislapp!$N$2</f>
        <v>25235</v>
      </c>
      <c r="P744" s="40">
        <f>C744*Prislapp!$C$3+D744*Prislapp!$D$3+E744*Prislapp!$E$3+F744*Prislapp!$F$3+G744*Prislapp!$G$3+H744*Prislapp!$H$3+I744*Prislapp!$I$3+J744*Prislapp!$J$3+K744*Prislapp!$K$3+M744*Prislapp!$M$3+N744*Prislapp!$N$3+L744*Prislapp!$L$3</f>
        <v>27976</v>
      </c>
      <c r="Q744" s="40">
        <f>C744*Prislapp!$C$5+D744*Prislapp!$D$5+E744*Prislapp!$E$5+F744*Prislapp!$F$5+G744*Prislapp!$G$5+H744*Prislapp!$H$5+I744*Prislapp!$I$5+J744*Prislapp!$J$5+K744*Prislapp!$K$5+L744*Prislapp!$L$5+M744*Prislapp!$M$5+N744*Prislapp!$N$5</f>
        <v>3600</v>
      </c>
      <c r="R744" s="9">
        <f>VLOOKUP(A744,'Ansvar kurs'!$A$2:$B$943,2,FALSE)</f>
        <v>2340</v>
      </c>
      <c r="S744" s="157"/>
    </row>
    <row r="745" spans="1:20" x14ac:dyDescent="0.25">
      <c r="A745" s="31" t="s">
        <v>80</v>
      </c>
      <c r="B745" s="31" t="s">
        <v>731</v>
      </c>
      <c r="J745" s="31">
        <v>0.85</v>
      </c>
      <c r="M745" s="31">
        <v>0.15</v>
      </c>
      <c r="O745" s="40">
        <f>C745*Prislapp!$C$2+D745*Prislapp!$D$2+E745*Prislapp!$E$2+F745*Prislapp!$F$2+G745*Prislapp!$G$2+H745*Prislapp!$H$2+I745*Prislapp!$I$2+J745*Prislapp!$J$2+K745*Prislapp!$K$2+L745*Prislapp!$L$2+M745*Prislapp!$M$2+N745*Prislapp!$N$2</f>
        <v>20181.45</v>
      </c>
      <c r="P745" s="40">
        <f>C745*Prislapp!$C$3+D745*Prislapp!$D$3+E745*Prislapp!$E$3+F745*Prislapp!$F$3+G745*Prislapp!$G$3+H745*Prislapp!$H$3+I745*Prislapp!$I$3+J745*Prislapp!$J$3+K745*Prislapp!$K$3+M745*Prislapp!$M$3+N745*Prislapp!$N$3+L745*Prislapp!$L$3</f>
        <v>34856.65</v>
      </c>
      <c r="Q745" s="40">
        <f>C745*Prislapp!$C$5+D745*Prislapp!$D$5+E745*Prislapp!$E$5+F745*Prislapp!$F$5+G745*Prislapp!$G$5+H745*Prislapp!$H$5+I745*Prislapp!$I$5+J745*Prislapp!$J$5+K745*Prislapp!$K$5+L745*Prislapp!$L$5+M745*Prislapp!$M$5+N745*Prislapp!$N$5</f>
        <v>21895</v>
      </c>
      <c r="R745" s="9">
        <f>VLOOKUP(A745,'Ansvar kurs'!$A$2:$B$943,2,FALSE)</f>
        <v>1650</v>
      </c>
    </row>
    <row r="746" spans="1:20" x14ac:dyDescent="0.25">
      <c r="A746" s="31" t="s">
        <v>68</v>
      </c>
      <c r="B746" s="31" t="s">
        <v>732</v>
      </c>
      <c r="J746" s="31">
        <v>0.65</v>
      </c>
      <c r="M746" s="31">
        <v>0.35</v>
      </c>
      <c r="O746" s="40">
        <f>C746*Prislapp!$C$2+D746*Prislapp!$D$2+E746*Prislapp!$E$2+F746*Prislapp!$F$2+G746*Prislapp!$G$2+H746*Prislapp!$H$2+I746*Prislapp!$I$2+J746*Prislapp!$J$2+K746*Prislapp!$K$2+L746*Prislapp!$L$2+M746*Prislapp!$M$2+N746*Prislapp!$N$2</f>
        <v>19414.050000000003</v>
      </c>
      <c r="P746" s="40">
        <f>C746*Prislapp!$C$3+D746*Prislapp!$D$3+E746*Prislapp!$E$3+F746*Prislapp!$F$3+G746*Prislapp!$G$3+H746*Prislapp!$H$3+I746*Prislapp!$I$3+J746*Prislapp!$J$3+K746*Prislapp!$K$3+M746*Prislapp!$M$3+N746*Prislapp!$N$3+L746*Prislapp!$L$3</f>
        <v>33222.85</v>
      </c>
      <c r="Q746" s="40">
        <f>C746*Prislapp!$C$5+D746*Prislapp!$D$5+E746*Prislapp!$E$5+F746*Prislapp!$F$5+G746*Prislapp!$G$5+H746*Prislapp!$H$5+I746*Prislapp!$I$5+J746*Prislapp!$J$5+K746*Prislapp!$K$5+L746*Prislapp!$L$5+M746*Prislapp!$M$5+N746*Prislapp!$N$5</f>
        <v>20955</v>
      </c>
      <c r="R746" s="9">
        <f>VLOOKUP(A746,'Ansvar kurs'!$A$2:$B$943,2,FALSE)</f>
        <v>1650</v>
      </c>
    </row>
    <row r="747" spans="1:20" x14ac:dyDescent="0.25">
      <c r="A747" s="31" t="s">
        <v>333</v>
      </c>
      <c r="B747" s="31" t="s">
        <v>733</v>
      </c>
      <c r="J747" s="31">
        <v>1</v>
      </c>
      <c r="O747" s="40">
        <f>C747*Prislapp!$C$2+D747*Prislapp!$D$2+E747*Prislapp!$E$2+F747*Prislapp!$F$2+G747*Prislapp!$G$2+H747*Prislapp!$H$2+I747*Prislapp!$I$2+J747*Prislapp!$J$2+K747*Prislapp!$K$2+L747*Prislapp!$L$2+M747*Prislapp!$M$2+N747*Prislapp!$N$2</f>
        <v>20757</v>
      </c>
      <c r="P747" s="40">
        <f>C747*Prislapp!$C$3+D747*Prislapp!$D$3+E747*Prislapp!$E$3+F747*Prislapp!$F$3+G747*Prislapp!$G$3+H747*Prislapp!$H$3+I747*Prislapp!$I$3+J747*Prislapp!$J$3+K747*Prislapp!$K$3+M747*Prislapp!$M$3+N747*Prislapp!$N$3+L747*Prislapp!$L$3</f>
        <v>36082</v>
      </c>
      <c r="Q747" s="40">
        <f>C747*Prislapp!$C$5+D747*Prislapp!$D$5+E747*Prislapp!$E$5+F747*Prislapp!$F$5+G747*Prislapp!$G$5+H747*Prislapp!$H$5+I747*Prislapp!$I$5+J747*Prislapp!$J$5+K747*Prislapp!$K$5+L747*Prislapp!$L$5+M747*Prislapp!$M$5+N747*Prislapp!$N$5</f>
        <v>22600</v>
      </c>
      <c r="R747" s="9">
        <f>VLOOKUP(A747,'Ansvar kurs'!$A$2:$B$943,2,FALSE)</f>
        <v>1650</v>
      </c>
    </row>
    <row r="748" spans="1:20" x14ac:dyDescent="0.25">
      <c r="A748" s="31" t="s">
        <v>152</v>
      </c>
      <c r="B748" s="31" t="s">
        <v>123</v>
      </c>
      <c r="J748" s="31">
        <v>1</v>
      </c>
      <c r="M748" s="31">
        <v>0</v>
      </c>
      <c r="O748" s="40">
        <f>C748*Prislapp!$C$2+D748*Prislapp!$D$2+E748*Prislapp!$E$2+F748*Prislapp!$F$2+G748*Prislapp!$G$2+H748*Prislapp!$H$2+I748*Prislapp!$I$2+J748*Prislapp!$J$2+K748*Prislapp!$K$2+L748*Prislapp!$L$2+M748*Prislapp!$M$2+N748*Prislapp!$N$2</f>
        <v>20757</v>
      </c>
      <c r="P748" s="40">
        <f>C748*Prislapp!$C$3+D748*Prislapp!$D$3+E748*Prislapp!$E$3+F748*Prislapp!$F$3+G748*Prislapp!$G$3+H748*Prislapp!$H$3+I748*Prislapp!$I$3+J748*Prislapp!$J$3+K748*Prislapp!$K$3+M748*Prislapp!$M$3+N748*Prislapp!$N$3+L748*Prislapp!$L$3</f>
        <v>36082</v>
      </c>
      <c r="Q748" s="40">
        <f>C748*Prislapp!$C$5+D748*Prislapp!$D$5+E748*Prislapp!$E$5+F748*Prislapp!$F$5+G748*Prislapp!$G$5+H748*Prislapp!$H$5+I748*Prislapp!$I$5+J748*Prislapp!$J$5+K748*Prislapp!$K$5+L748*Prislapp!$L$5+M748*Prislapp!$M$5+N748*Prislapp!$N$5</f>
        <v>22600</v>
      </c>
      <c r="R748" s="9">
        <f>VLOOKUP(A748,'Ansvar kurs'!$A$2:$B$943,2,FALSE)</f>
        <v>1650</v>
      </c>
      <c r="S748" s="176" t="s">
        <v>1488</v>
      </c>
      <c r="T748" s="176"/>
    </row>
    <row r="749" spans="1:20" x14ac:dyDescent="0.25">
      <c r="A749" s="31" t="s">
        <v>82</v>
      </c>
      <c r="B749" s="31" t="s">
        <v>328</v>
      </c>
      <c r="J749" s="31">
        <v>1</v>
      </c>
      <c r="M749" s="31">
        <v>0</v>
      </c>
      <c r="O749" s="40">
        <f>C749*Prislapp!$C$2+D749*Prislapp!$D$2+E749*Prislapp!$E$2+F749*Prislapp!$F$2+G749*Prislapp!$G$2+H749*Prislapp!$H$2+I749*Prislapp!$I$2+J749*Prislapp!$J$2+K749*Prislapp!$K$2+L749*Prislapp!$L$2+M749*Prislapp!$M$2+N749*Prislapp!$N$2</f>
        <v>20757</v>
      </c>
      <c r="P749" s="40">
        <f>C749*Prislapp!$C$3+D749*Prislapp!$D$3+E749*Prislapp!$E$3+F749*Prislapp!$F$3+G749*Prislapp!$G$3+H749*Prislapp!$H$3+I749*Prislapp!$I$3+J749*Prislapp!$J$3+K749*Prislapp!$K$3+M749*Prislapp!$M$3+N749*Prislapp!$N$3+L749*Prislapp!$L$3</f>
        <v>36082</v>
      </c>
      <c r="Q749" s="40">
        <f>C749*Prislapp!$C$5+D749*Prislapp!$D$5+E749*Prislapp!$E$5+F749*Prislapp!$F$5+G749*Prislapp!$G$5+H749*Prislapp!$H$5+I749*Prislapp!$I$5+J749*Prislapp!$J$5+K749*Prislapp!$K$5+L749*Prislapp!$L$5+M749*Prislapp!$M$5+N749*Prislapp!$N$5</f>
        <v>22600</v>
      </c>
      <c r="R749" s="9">
        <f>VLOOKUP(A749,'Ansvar kurs'!$A$2:$B$943,2,FALSE)</f>
        <v>1650</v>
      </c>
      <c r="S749" s="176" t="s">
        <v>1488</v>
      </c>
      <c r="T749" s="176"/>
    </row>
    <row r="750" spans="1:20" x14ac:dyDescent="0.25">
      <c r="A750" s="31" t="s">
        <v>478</v>
      </c>
      <c r="B750" s="31" t="s">
        <v>734</v>
      </c>
      <c r="J750" s="31">
        <v>1</v>
      </c>
      <c r="O750" s="40">
        <f>C750*Prislapp!$C$2+D750*Prislapp!$D$2+E750*Prislapp!$E$2+F750*Prislapp!$F$2+G750*Prislapp!$G$2+H750*Prislapp!$H$2+I750*Prislapp!$I$2+J750*Prislapp!$J$2+K750*Prislapp!$K$2+L750*Prislapp!$L$2+M750*Prislapp!$M$2+N750*Prislapp!$N$2</f>
        <v>20757</v>
      </c>
      <c r="P750" s="40">
        <f>C750*Prislapp!$C$3+D750*Prislapp!$D$3+E750*Prislapp!$E$3+F750*Prislapp!$F$3+G750*Prislapp!$G$3+H750*Prislapp!$H$3+I750*Prislapp!$I$3+J750*Prislapp!$J$3+K750*Prislapp!$K$3+M750*Prislapp!$M$3+N750*Prislapp!$N$3+L750*Prislapp!$L$3</f>
        <v>36082</v>
      </c>
      <c r="Q750" s="40">
        <f>C750*Prislapp!$C$5+D750*Prislapp!$D$5+E750*Prislapp!$E$5+F750*Prislapp!$F$5+G750*Prislapp!$G$5+H750*Prislapp!$H$5+I750*Prislapp!$I$5+J750*Prislapp!$J$5+K750*Prislapp!$K$5+L750*Prislapp!$L$5+M750*Prislapp!$M$5+N750*Prislapp!$N$5</f>
        <v>22600</v>
      </c>
      <c r="R750" s="9">
        <f>VLOOKUP(A750,'Ansvar kurs'!$A$2:$B$943,2,FALSE)</f>
        <v>1650</v>
      </c>
    </row>
    <row r="751" spans="1:20" x14ac:dyDescent="0.25">
      <c r="A751" s="31" t="s">
        <v>526</v>
      </c>
      <c r="B751" s="31" t="s">
        <v>539</v>
      </c>
      <c r="J751" s="31">
        <v>1</v>
      </c>
      <c r="O751" s="40">
        <f>C751*Prislapp!$C$2+D751*Prislapp!$D$2+E751*Prislapp!$E$2+F751*Prislapp!$F$2+G751*Prislapp!$G$2+H751*Prislapp!$H$2+I751*Prislapp!$I$2+J751*Prislapp!$J$2+K751*Prislapp!$K$2+L751*Prislapp!$L$2+M751*Prislapp!$M$2+N751*Prislapp!$N$2</f>
        <v>20757</v>
      </c>
      <c r="P751" s="40">
        <f>C751*Prislapp!$C$3+D751*Prislapp!$D$3+E751*Prislapp!$E$3+F751*Prislapp!$F$3+G751*Prislapp!$G$3+H751*Prislapp!$H$3+I751*Prislapp!$I$3+J751*Prislapp!$J$3+K751*Prislapp!$K$3+M751*Prislapp!$M$3+N751*Prislapp!$N$3+L751*Prislapp!$L$3</f>
        <v>36082</v>
      </c>
      <c r="Q751" s="40">
        <f>C751*Prislapp!$C$5+D751*Prislapp!$D$5+E751*Prislapp!$E$5+F751*Prislapp!$F$5+G751*Prislapp!$G$5+H751*Prislapp!$H$5+I751*Prislapp!$I$5+J751*Prislapp!$J$5+K751*Prislapp!$K$5+L751*Prislapp!$L$5+M751*Prislapp!$M$5+N751*Prislapp!$N$5</f>
        <v>22600</v>
      </c>
      <c r="R751" s="9">
        <f>VLOOKUP(A751,'Ansvar kurs'!$A$2:$B$943,2,FALSE)</f>
        <v>1650</v>
      </c>
    </row>
    <row r="752" spans="1:20" x14ac:dyDescent="0.25">
      <c r="A752" s="31" t="s">
        <v>645</v>
      </c>
      <c r="B752" s="31" t="s">
        <v>1208</v>
      </c>
      <c r="J752" s="31">
        <v>1</v>
      </c>
      <c r="O752" s="40">
        <f>C752*Prislapp!$C$2+D752*Prislapp!$D$2+E752*Prislapp!$E$2+F752*Prislapp!$F$2+G752*Prislapp!$G$2+H752*Prislapp!$H$2+I752*Prislapp!$I$2+J752*Prislapp!$J$2+K752*Prislapp!$K$2+L752*Prislapp!$L$2+M752*Prislapp!$M$2+N752*Prislapp!$N$2</f>
        <v>20757</v>
      </c>
      <c r="P752" s="40">
        <f>C752*Prislapp!$C$3+D752*Prislapp!$D$3+E752*Prislapp!$E$3+F752*Prislapp!$F$3+G752*Prislapp!$G$3+H752*Prislapp!$H$3+I752*Prislapp!$I$3+J752*Prislapp!$J$3+K752*Prislapp!$K$3+M752*Prislapp!$M$3+N752*Prislapp!$N$3+L752*Prislapp!$L$3</f>
        <v>36082</v>
      </c>
      <c r="Q752" s="40">
        <f>C752*Prislapp!$C$5+D752*Prislapp!$D$5+E752*Prislapp!$E$5+F752*Prislapp!$F$5+G752*Prislapp!$G$5+H752*Prislapp!$H$5+I752*Prislapp!$I$5+J752*Prislapp!$J$5+K752*Prislapp!$K$5+L752*Prislapp!$L$5+M752*Prislapp!$M$5+N752*Prislapp!$N$5</f>
        <v>22600</v>
      </c>
      <c r="R752" s="9">
        <f>VLOOKUP(A752,'Ansvar kurs'!$A$2:$B$943,2,FALSE)</f>
        <v>1650</v>
      </c>
    </row>
    <row r="753" spans="1:26" x14ac:dyDescent="0.25">
      <c r="A753" s="31" t="s">
        <v>765</v>
      </c>
      <c r="B753" s="31" t="s">
        <v>1209</v>
      </c>
      <c r="J753" s="31">
        <v>1</v>
      </c>
      <c r="O753" s="40">
        <f>C753*Prislapp!$C$2+D753*Prislapp!$D$2+E753*Prislapp!$E$2+F753*Prislapp!$F$2+G753*Prislapp!$G$2+H753*Prislapp!$H$2+I753*Prislapp!$I$2+J753*Prislapp!$J$2+K753*Prislapp!$K$2+L753*Prislapp!$L$2+M753*Prislapp!$M$2+N753*Prislapp!$N$2</f>
        <v>20757</v>
      </c>
      <c r="P753" s="40">
        <f>C753*Prislapp!$C$3+D753*Prislapp!$D$3+E753*Prislapp!$E$3+F753*Prislapp!$F$3+G753*Prislapp!$G$3+H753*Prislapp!$H$3+I753*Prislapp!$I$3+J753*Prislapp!$J$3+K753*Prislapp!$K$3+M753*Prislapp!$M$3+N753*Prislapp!$N$3+L753*Prislapp!$L$3</f>
        <v>36082</v>
      </c>
      <c r="Q753" s="40">
        <f>C753*Prislapp!$C$5+D753*Prislapp!$D$5+E753*Prislapp!$E$5+F753*Prislapp!$F$5+G753*Prislapp!$G$5+H753*Prislapp!$H$5+I753*Prislapp!$I$5+J753*Prislapp!$J$5+K753*Prislapp!$K$5+L753*Prislapp!$L$5+M753*Prislapp!$M$5+N753*Prislapp!$N$5</f>
        <v>22600</v>
      </c>
      <c r="R753" s="9">
        <f>VLOOKUP(A753,'Ansvar kurs'!$A$2:$B$943,2,FALSE)</f>
        <v>1650</v>
      </c>
      <c r="S753" s="157"/>
    </row>
    <row r="754" spans="1:26" x14ac:dyDescent="0.25">
      <c r="A754" s="31" t="s">
        <v>566</v>
      </c>
      <c r="B754" s="31" t="s">
        <v>735</v>
      </c>
      <c r="J754" s="31">
        <v>1</v>
      </c>
      <c r="M754" s="31">
        <v>0</v>
      </c>
      <c r="O754" s="40">
        <f>C754*Prislapp!$C$2+D754*Prislapp!$D$2+E754*Prislapp!$E$2+F754*Prislapp!$F$2+G754*Prislapp!$G$2+H754*Prislapp!$H$2+I754*Prislapp!$I$2+J754*Prislapp!$J$2+K754*Prislapp!$K$2+L754*Prislapp!$L$2+M754*Prislapp!$M$2+N754*Prislapp!$N$2</f>
        <v>20757</v>
      </c>
      <c r="P754" s="40">
        <f>C754*Prislapp!$C$3+D754*Prislapp!$D$3+E754*Prislapp!$E$3+F754*Prislapp!$F$3+G754*Prislapp!$G$3+H754*Prislapp!$H$3+I754*Prislapp!$I$3+J754*Prislapp!$J$3+K754*Prislapp!$K$3+M754*Prislapp!$M$3+N754*Prislapp!$N$3+L754*Prislapp!$L$3</f>
        <v>36082</v>
      </c>
      <c r="Q754" s="40">
        <f>C754*Prislapp!$C$5+D754*Prislapp!$D$5+E754*Prislapp!$E$5+F754*Prislapp!$F$5+G754*Prislapp!$G$5+H754*Prislapp!$H$5+I754*Prislapp!$I$5+J754*Prislapp!$J$5+K754*Prislapp!$K$5+L754*Prislapp!$L$5+M754*Prislapp!$M$5+N754*Prislapp!$N$5</f>
        <v>22600</v>
      </c>
      <c r="R754" s="9">
        <f>VLOOKUP(A754,'Ansvar kurs'!$A$2:$B$943,2,FALSE)</f>
        <v>1650</v>
      </c>
      <c r="S754" s="176" t="s">
        <v>1488</v>
      </c>
      <c r="T754" s="176"/>
    </row>
    <row r="755" spans="1:26" x14ac:dyDescent="0.25">
      <c r="A755" s="31" t="s">
        <v>644</v>
      </c>
      <c r="B755" s="31" t="s">
        <v>763</v>
      </c>
      <c r="J755" s="31">
        <v>1</v>
      </c>
      <c r="M755" s="31">
        <v>0</v>
      </c>
      <c r="O755" s="40">
        <f>C755*Prislapp!$C$2+D755*Prislapp!$D$2+E755*Prislapp!$E$2+F755*Prislapp!$F$2+G755*Prislapp!$G$2+H755*Prislapp!$H$2+I755*Prislapp!$I$2+J755*Prislapp!$J$2+K755*Prislapp!$K$2+L755*Prislapp!$L$2+M755*Prislapp!$M$2+N755*Prislapp!$N$2</f>
        <v>20757</v>
      </c>
      <c r="P755" s="40">
        <f>C755*Prislapp!$C$3+D755*Prislapp!$D$3+E755*Prislapp!$E$3+F755*Prislapp!$F$3+G755*Prislapp!$G$3+H755*Prislapp!$H$3+I755*Prislapp!$I$3+J755*Prislapp!$J$3+K755*Prislapp!$K$3+M755*Prislapp!$M$3+N755*Prislapp!$N$3+L755*Prislapp!$L$3</f>
        <v>36082</v>
      </c>
      <c r="Q755" s="40">
        <f>C755*Prislapp!$C$5+D755*Prislapp!$D$5+E755*Prislapp!$E$5+F755*Prislapp!$F$5+G755*Prislapp!$G$5+H755*Prislapp!$H$5+I755*Prislapp!$I$5+J755*Prislapp!$J$5+K755*Prislapp!$K$5+L755*Prislapp!$L$5+M755*Prislapp!$M$5+N755*Prislapp!$N$5</f>
        <v>22600</v>
      </c>
      <c r="R755" s="9">
        <f>VLOOKUP(A755,'Ansvar kurs'!$A$2:$B$943,2,FALSE)</f>
        <v>1650</v>
      </c>
      <c r="S755" s="176" t="s">
        <v>1488</v>
      </c>
      <c r="T755" s="176"/>
    </row>
    <row r="756" spans="1:26" x14ac:dyDescent="0.25">
      <c r="A756" s="31" t="s">
        <v>1105</v>
      </c>
      <c r="B756" s="31" t="s">
        <v>1210</v>
      </c>
      <c r="D756" s="31">
        <v>0</v>
      </c>
      <c r="J756" s="31">
        <v>1</v>
      </c>
      <c r="L756" s="31">
        <v>0</v>
      </c>
      <c r="O756" s="40">
        <f>C756*Prislapp!$C$2+D756*Prislapp!$D$2+E756*Prislapp!$E$2+F756*Prislapp!$F$2+G756*Prislapp!$G$2+H756*Prislapp!$H$2+I756*Prislapp!$I$2+J756*Prislapp!$J$2+K756*Prislapp!$K$2+L756*Prislapp!$L$2+M756*Prislapp!$M$2+N756*Prislapp!$N$2</f>
        <v>20757</v>
      </c>
      <c r="P756" s="40">
        <f>C756*Prislapp!$C$3+D756*Prislapp!$D$3+E756*Prislapp!$E$3+F756*Prislapp!$F$3+G756*Prislapp!$G$3+H756*Prislapp!$H$3+I756*Prislapp!$I$3+J756*Prislapp!$J$3+K756*Prislapp!$K$3+M756*Prislapp!$M$3+N756*Prislapp!$N$3+L756*Prislapp!$L$3</f>
        <v>36082</v>
      </c>
      <c r="Q756" s="40">
        <f>C756*Prislapp!$C$5+D756*Prislapp!$D$5+E756*Prislapp!$E$5+F756*Prislapp!$F$5+G756*Prislapp!$G$5+H756*Prislapp!$H$5+I756*Prislapp!$I$5+J756*Prislapp!$J$5+K756*Prislapp!$K$5+L756*Prislapp!$L$5+M756*Prislapp!$M$5+N756*Prislapp!$N$5</f>
        <v>22600</v>
      </c>
      <c r="R756" s="9">
        <f>VLOOKUP(A756,'Ansvar kurs'!$A$2:$B$943,2,FALSE)</f>
        <v>1650</v>
      </c>
      <c r="S756" s="176" t="s">
        <v>1488</v>
      </c>
      <c r="T756" s="176"/>
      <c r="U756" s="157"/>
      <c r="V756" s="157"/>
      <c r="W756" s="157"/>
      <c r="X756" s="157"/>
      <c r="Y756" s="157"/>
      <c r="Z756" s="157"/>
    </row>
    <row r="757" spans="1:26" x14ac:dyDescent="0.25">
      <c r="A757" s="222" t="s">
        <v>1721</v>
      </c>
      <c r="B757" t="s">
        <v>1598</v>
      </c>
      <c r="D757" s="31">
        <v>0</v>
      </c>
      <c r="J757" s="31">
        <v>1</v>
      </c>
      <c r="O757" s="40">
        <f>C757*Prislapp!$C$2+D757*Prislapp!$D$2+E757*Prislapp!$E$2+F757*Prislapp!$F$2+G757*Prislapp!$G$2+H757*Prislapp!$H$2+I757*Prislapp!$I$2+J757*Prislapp!$J$2+K757*Prislapp!$K$2+L757*Prislapp!$L$2+M757*Prislapp!$M$2+N757*Prislapp!$N$2</f>
        <v>20757</v>
      </c>
      <c r="P757" s="40">
        <f>C757*Prislapp!$C$3+D757*Prislapp!$D$3+E757*Prislapp!$E$3+F757*Prislapp!$F$3+G757*Prislapp!$G$3+H757*Prislapp!$H$3+I757*Prislapp!$I$3+J757*Prislapp!$J$3+K757*Prislapp!$K$3+M757*Prislapp!$M$3+N757*Prislapp!$N$3+L757*Prislapp!$L$3</f>
        <v>36082</v>
      </c>
      <c r="Q757" s="40">
        <f>C757*Prislapp!$C$5+D757*Prislapp!$D$5+E757*Prislapp!$E$5+F757*Prislapp!$F$5+G757*Prislapp!$G$5+H757*Prislapp!$H$5+I757*Prislapp!$I$5+J757*Prislapp!$J$5+K757*Prislapp!$K$5+L757*Prislapp!$L$5+M757*Prislapp!$M$5+N757*Prislapp!$N$5</f>
        <v>22600</v>
      </c>
      <c r="R757" s="9">
        <f>VLOOKUP(A757,'Ansvar kurs'!$A$2:$B$943,2,FALSE)</f>
        <v>1650</v>
      </c>
      <c r="S757" s="176" t="s">
        <v>1844</v>
      </c>
      <c r="T757" s="157"/>
      <c r="U757" s="157"/>
      <c r="V757" s="157"/>
      <c r="W757" s="157"/>
      <c r="X757" s="157"/>
      <c r="Y757" s="157"/>
      <c r="Z757" s="157"/>
    </row>
    <row r="758" spans="1:26" x14ac:dyDescent="0.25">
      <c r="A758" s="31" t="s">
        <v>1592</v>
      </c>
      <c r="B758" s="31" t="s">
        <v>1626</v>
      </c>
      <c r="J758" s="31">
        <v>1</v>
      </c>
      <c r="O758" s="40">
        <f>C758*Prislapp!$C$2+D758*Prislapp!$D$2+E758*Prislapp!$E$2+F758*Prislapp!$F$2+G758*Prislapp!$G$2+H758*Prislapp!$H$2+I758*Prislapp!$I$2+J758*Prislapp!$J$2+K758*Prislapp!$K$2+L758*Prislapp!$L$2+M758*Prislapp!$M$2+N758*Prislapp!$N$2</f>
        <v>20757</v>
      </c>
      <c r="P758" s="40">
        <f>C758*Prislapp!$C$3+D758*Prislapp!$D$3+E758*Prislapp!$E$3+F758*Prislapp!$F$3+G758*Prislapp!$G$3+H758*Prislapp!$H$3+I758*Prislapp!$I$3+J758*Prislapp!$J$3+K758*Prislapp!$K$3+M758*Prislapp!$M$3+N758*Prislapp!$N$3+L758*Prislapp!$L$3</f>
        <v>36082</v>
      </c>
      <c r="Q758" s="40">
        <f>C758*Prislapp!$C$5+D758*Prislapp!$D$5+E758*Prislapp!$E$5+F758*Prislapp!$F$5+G758*Prislapp!$G$5+H758*Prislapp!$H$5+I758*Prislapp!$I$5+J758*Prislapp!$J$5+K758*Prislapp!$K$5+L758*Prislapp!$L$5+M758*Prislapp!$M$5+N758*Prislapp!$N$5</f>
        <v>22600</v>
      </c>
      <c r="R758" s="9">
        <f>VLOOKUP(A758,'Ansvar kurs'!$A$2:$B$943,2,FALSE)</f>
        <v>1650</v>
      </c>
      <c r="S758" s="176"/>
      <c r="T758" s="176"/>
      <c r="U758" s="157"/>
      <c r="V758" s="157"/>
      <c r="W758" s="157"/>
      <c r="X758" s="157"/>
      <c r="Y758" s="157"/>
      <c r="Z758" s="157"/>
    </row>
    <row r="759" spans="1:26" x14ac:dyDescent="0.25">
      <c r="A759" s="31" t="s">
        <v>1593</v>
      </c>
      <c r="B759" s="31" t="s">
        <v>1627</v>
      </c>
      <c r="D759" s="31">
        <v>0</v>
      </c>
      <c r="J759" s="31">
        <v>1</v>
      </c>
      <c r="O759" s="40">
        <f>C759*Prislapp!$C$2+D759*Prislapp!$D$2+E759*Prislapp!$E$2+F759*Prislapp!$F$2+G759*Prislapp!$G$2+H759*Prislapp!$H$2+I759*Prislapp!$I$2+J759*Prislapp!$J$2+K759*Prislapp!$K$2+L759*Prislapp!$L$2+M759*Prislapp!$M$2+N759*Prislapp!$N$2</f>
        <v>20757</v>
      </c>
      <c r="P759" s="40">
        <f>C759*Prislapp!$C$3+D759*Prislapp!$D$3+E759*Prislapp!$E$3+F759*Prislapp!$F$3+G759*Prislapp!$G$3+H759*Prislapp!$H$3+I759*Prislapp!$I$3+J759*Prislapp!$J$3+K759*Prislapp!$K$3+M759*Prislapp!$M$3+N759*Prislapp!$N$3+L759*Prislapp!$L$3</f>
        <v>36082</v>
      </c>
      <c r="Q759" s="40">
        <f>C759*Prislapp!$C$5+D759*Prislapp!$D$5+E759*Prislapp!$E$5+F759*Prislapp!$F$5+G759*Prislapp!$G$5+H759*Prislapp!$H$5+I759*Prislapp!$I$5+J759*Prislapp!$J$5+K759*Prislapp!$K$5+L759*Prislapp!$L$5+M759*Prislapp!$M$5+N759*Prislapp!$N$5</f>
        <v>22600</v>
      </c>
      <c r="R759" s="9">
        <f>VLOOKUP(A759,'Ansvar kurs'!$A$2:$B$943,2,FALSE)</f>
        <v>1650</v>
      </c>
      <c r="S759" s="176" t="s">
        <v>1844</v>
      </c>
      <c r="T759" s="176"/>
      <c r="U759" s="157"/>
      <c r="V759" s="157"/>
      <c r="W759" s="157"/>
      <c r="X759" s="157"/>
      <c r="Y759" s="157"/>
      <c r="Z759" s="157"/>
    </row>
    <row r="760" spans="1:26" x14ac:dyDescent="0.25">
      <c r="A760" s="31" t="s">
        <v>1589</v>
      </c>
      <c r="B760" s="31" t="s">
        <v>1594</v>
      </c>
      <c r="D760" s="31">
        <v>0</v>
      </c>
      <c r="J760" s="31">
        <v>1</v>
      </c>
      <c r="O760" s="40">
        <f>C760*Prislapp!$C$2+D760*Prislapp!$D$2+E760*Prislapp!$E$2+F760*Prislapp!$F$2+G760*Prislapp!$G$2+H760*Prislapp!$H$2+I760*Prislapp!$I$2+J760*Prislapp!$J$2+K760*Prislapp!$K$2+L760*Prislapp!$L$2+M760*Prislapp!$M$2+N760*Prislapp!$N$2</f>
        <v>20757</v>
      </c>
      <c r="P760" s="40">
        <f>C760*Prislapp!$C$3+D760*Prislapp!$D$3+E760*Prislapp!$E$3+F760*Prislapp!$F$3+G760*Prislapp!$G$3+H760*Prislapp!$H$3+I760*Prislapp!$I$3+J760*Prislapp!$J$3+K760*Prislapp!$K$3+M760*Prislapp!$M$3+N760*Prislapp!$N$3+L760*Prislapp!$L$3</f>
        <v>36082</v>
      </c>
      <c r="Q760" s="40">
        <f>C760*Prislapp!$C$5+D760*Prislapp!$D$5+E760*Prislapp!$E$5+F760*Prislapp!$F$5+G760*Prislapp!$G$5+H760*Prislapp!$H$5+I760*Prislapp!$I$5+J760*Prislapp!$J$5+K760*Prislapp!$K$5+L760*Prislapp!$L$5+M760*Prislapp!$M$5+N760*Prislapp!$N$5</f>
        <v>22600</v>
      </c>
      <c r="R760" s="9">
        <f>VLOOKUP(A760,'Ansvar kurs'!$A$2:$B$943,2,FALSE)</f>
        <v>1650</v>
      </c>
      <c r="S760" s="176" t="s">
        <v>1674</v>
      </c>
      <c r="T760" s="176"/>
      <c r="U760" s="157"/>
      <c r="V760" s="157"/>
      <c r="W760" s="157"/>
      <c r="X760" s="157"/>
      <c r="Y760" s="157"/>
      <c r="Z760" s="157"/>
    </row>
    <row r="761" spans="1:26" x14ac:dyDescent="0.25">
      <c r="A761" s="31" t="s">
        <v>1809</v>
      </c>
      <c r="B761" s="31" t="s">
        <v>1739</v>
      </c>
      <c r="J761" s="31">
        <v>1</v>
      </c>
      <c r="O761" s="40">
        <f>C761*Prislapp!$C$2+D761*Prislapp!$D$2+E761*Prislapp!$E$2+F761*Prislapp!$F$2+G761*Prislapp!$G$2+H761*Prislapp!$H$2+I761*Prislapp!$I$2+J761*Prislapp!$J$2+K761*Prislapp!$K$2+L761*Prislapp!$L$2+M761*Prislapp!$M$2+N761*Prislapp!$N$2</f>
        <v>20757</v>
      </c>
      <c r="P761" s="40">
        <f>C761*Prislapp!$C$3+D761*Prislapp!$D$3+E761*Prislapp!$E$3+F761*Prislapp!$F$3+G761*Prislapp!$G$3+H761*Prislapp!$H$3+I761*Prislapp!$I$3+J761*Prislapp!$J$3+K761*Prislapp!$K$3+M761*Prislapp!$M$3+N761*Prislapp!$N$3+L761*Prislapp!$L$3</f>
        <v>36082</v>
      </c>
      <c r="Q761" s="40">
        <f>C761*Prislapp!$C$5+D761*Prislapp!$D$5+E761*Prislapp!$E$5+F761*Prislapp!$F$5+G761*Prislapp!$G$5+H761*Prislapp!$H$5+I761*Prislapp!$I$5+J761*Prislapp!$J$5+K761*Prislapp!$K$5+L761*Prislapp!$L$5+M761*Prislapp!$M$5+N761*Prislapp!$N$5</f>
        <v>22600</v>
      </c>
      <c r="R761" s="9">
        <f>VLOOKUP(A761,'Ansvar kurs'!$A$2:$B$943,2,FALSE)</f>
        <v>1650</v>
      </c>
      <c r="S761" s="157" t="s">
        <v>1887</v>
      </c>
      <c r="T761" s="176"/>
      <c r="U761" s="157"/>
      <c r="V761" s="157"/>
      <c r="W761" s="157"/>
      <c r="X761" s="157"/>
      <c r="Y761" s="157"/>
      <c r="Z761" s="157"/>
    </row>
    <row r="762" spans="1:26" x14ac:dyDescent="0.25">
      <c r="A762" s="157" t="s">
        <v>1820</v>
      </c>
      <c r="B762" s="31" t="s">
        <v>1781</v>
      </c>
      <c r="J762" s="31">
        <v>1</v>
      </c>
      <c r="O762" s="40">
        <f>C762*Prislapp!$C$2+D762*Prislapp!$D$2+E762*Prislapp!$E$2+F762*Prislapp!$F$2+G762*Prislapp!$G$2+H762*Prislapp!$H$2+I762*Prislapp!$I$2+J762*Prislapp!$J$2+K762*Prislapp!$K$2+L762*Prislapp!$L$2+M762*Prislapp!$M$2+N762*Prislapp!$N$2</f>
        <v>20757</v>
      </c>
      <c r="P762" s="40">
        <f>C762*Prislapp!$C$3+D762*Prislapp!$D$3+E762*Prislapp!$E$3+F762*Prislapp!$F$3+G762*Prislapp!$G$3+H762*Prislapp!$H$3+I762*Prislapp!$I$3+J762*Prislapp!$J$3+K762*Prislapp!$K$3+M762*Prislapp!$M$3+N762*Prislapp!$N$3+L762*Prislapp!$L$3</f>
        <v>36082</v>
      </c>
      <c r="Q762" s="40">
        <f>C762*Prislapp!$C$5+D762*Prislapp!$D$5+E762*Prislapp!$E$5+F762*Prislapp!$F$5+G762*Prislapp!$G$5+H762*Prislapp!$H$5+I762*Prislapp!$I$5+J762*Prislapp!$J$5+K762*Prislapp!$K$5+L762*Prislapp!$L$5+M762*Prislapp!$M$5+N762*Prislapp!$N$5</f>
        <v>22600</v>
      </c>
      <c r="R762" s="9">
        <f>VLOOKUP(A762,'Ansvar kurs'!$A$2:$B$943,2,FALSE)</f>
        <v>1650</v>
      </c>
      <c r="S762" s="157" t="s">
        <v>1887</v>
      </c>
      <c r="T762" s="157"/>
      <c r="U762" s="157"/>
      <c r="V762" s="157"/>
      <c r="W762" s="157"/>
      <c r="X762" s="157"/>
      <c r="Y762" s="157"/>
      <c r="Z762" s="157"/>
    </row>
    <row r="763" spans="1:26" x14ac:dyDescent="0.25">
      <c r="A763" s="397" t="s">
        <v>2163</v>
      </c>
      <c r="B763" s="31" t="s">
        <v>2170</v>
      </c>
      <c r="J763" s="31">
        <v>1</v>
      </c>
      <c r="O763" s="40">
        <f>C763*Prislapp!$C$2+D763*Prislapp!$D$2+E763*Prislapp!$E$2+F763*Prislapp!$F$2+G763*Prislapp!$G$2+H763*Prislapp!$H$2+I763*Prislapp!$I$2+J763*Prislapp!$J$2+K763*Prislapp!$K$2+L763*Prislapp!$L$2+M763*Prislapp!$M$2+N763*Prislapp!$N$2</f>
        <v>20757</v>
      </c>
      <c r="P763" s="40">
        <f>C763*Prislapp!$C$3+D763*Prislapp!$D$3+E763*Prislapp!$E$3+F763*Prislapp!$F$3+G763*Prislapp!$G$3+H763*Prislapp!$H$3+I763*Prislapp!$I$3+J763*Prislapp!$J$3+K763*Prislapp!$K$3+M763*Prislapp!$M$3+N763*Prislapp!$N$3+L763*Prislapp!$L$3</f>
        <v>36082</v>
      </c>
      <c r="Q763" s="40">
        <f>C763*Prislapp!$C$5+D763*Prislapp!$D$5+E763*Prislapp!$E$5+F763*Prislapp!$F$5+G763*Prislapp!$G$5+H763*Prislapp!$H$5+I763*Prislapp!$I$5+J763*Prislapp!$J$5+K763*Prislapp!$K$5+L763*Prislapp!$L$5+M763*Prislapp!$M$5+N763*Prislapp!$N$5</f>
        <v>22600</v>
      </c>
      <c r="R763" s="9">
        <f>VLOOKUP(A763,'Ansvar kurs'!$A$2:$B$943,2,FALSE)</f>
        <v>1650</v>
      </c>
      <c r="S763" s="157"/>
      <c r="T763" s="157"/>
      <c r="U763" s="157"/>
      <c r="V763" s="157"/>
      <c r="W763" s="157"/>
      <c r="X763" s="157"/>
      <c r="Y763" s="157"/>
      <c r="Z763" s="157"/>
    </row>
    <row r="764" spans="1:26" x14ac:dyDescent="0.25">
      <c r="A764" s="31" t="s">
        <v>1495</v>
      </c>
      <c r="B764" s="31" t="s">
        <v>1499</v>
      </c>
      <c r="D764" s="31">
        <v>0</v>
      </c>
      <c r="M764" s="31">
        <v>1</v>
      </c>
      <c r="O764" s="40">
        <f>C764*Prislapp!$C$2+D764*Prislapp!$D$2+E764*Prislapp!$E$2+F764*Prislapp!$F$2+G764*Prislapp!$G$2+H764*Prislapp!$H$2+I764*Prislapp!$I$2+J764*Prislapp!$J$2+K764*Prislapp!$K$2+L764*Prislapp!$L$2+M764*Prislapp!$M$2+N764*Prislapp!$N$2</f>
        <v>16920</v>
      </c>
      <c r="P764" s="40">
        <f>C764*Prislapp!$C$3+D764*Prislapp!$D$3+E764*Prislapp!$E$3+F764*Prislapp!$F$3+G764*Prislapp!$G$3+H764*Prislapp!$H$3+I764*Prislapp!$I$3+J764*Prislapp!$J$3+K764*Prislapp!$K$3+M764*Prislapp!$M$3+N764*Prislapp!$N$3+L764*Prislapp!$L$3</f>
        <v>27913</v>
      </c>
      <c r="Q764" s="40">
        <f>C764*Prislapp!$C$5+D764*Prislapp!$D$5+E764*Prislapp!$E$5+F764*Prislapp!$F$5+G764*Prislapp!$G$5+H764*Prislapp!$H$5+I764*Prislapp!$I$5+J764*Prislapp!$J$5+K764*Prislapp!$K$5+L764*Prislapp!$L$5+M764*Prislapp!$M$5+N764*Prislapp!$N$5</f>
        <v>17900</v>
      </c>
      <c r="R764" s="9">
        <f>VLOOKUP(A764,'Ansvar kurs'!$A$2:$B$943,2,FALSE)</f>
        <v>1620</v>
      </c>
      <c r="S764" s="176" t="s">
        <v>1726</v>
      </c>
      <c r="T764" s="176"/>
      <c r="U764" s="157"/>
      <c r="V764" s="157"/>
      <c r="W764" s="157"/>
      <c r="X764" s="157"/>
      <c r="Y764" s="157"/>
      <c r="Z764" s="157"/>
    </row>
    <row r="765" spans="1:26" x14ac:dyDescent="0.25">
      <c r="A765" s="31" t="s">
        <v>1496</v>
      </c>
      <c r="B765" s="31" t="s">
        <v>1509</v>
      </c>
      <c r="D765" s="31">
        <v>0</v>
      </c>
      <c r="M765" s="31">
        <v>1</v>
      </c>
      <c r="O765" s="40">
        <f>C765*Prislapp!$C$2+D765*Prislapp!$D$2+E765*Prislapp!$E$2+F765*Prislapp!$F$2+G765*Prislapp!$G$2+H765*Prislapp!$H$2+I765*Prislapp!$I$2+J765*Prislapp!$J$2+K765*Prislapp!$K$2+L765*Prislapp!$L$2+M765*Prislapp!$M$2+N765*Prislapp!$N$2</f>
        <v>16920</v>
      </c>
      <c r="P765" s="40">
        <f>C765*Prislapp!$C$3+D765*Prislapp!$D$3+E765*Prislapp!$E$3+F765*Prislapp!$F$3+G765*Prislapp!$G$3+H765*Prislapp!$H$3+I765*Prislapp!$I$3+J765*Prislapp!$J$3+K765*Prislapp!$K$3+M765*Prislapp!$M$3+N765*Prislapp!$N$3+L765*Prislapp!$L$3</f>
        <v>27913</v>
      </c>
      <c r="Q765" s="40">
        <f>C765*Prislapp!$C$5+D765*Prislapp!$D$5+E765*Prislapp!$E$5+F765*Prislapp!$F$5+G765*Prislapp!$G$5+H765*Prislapp!$H$5+I765*Prislapp!$I$5+J765*Prislapp!$J$5+K765*Prislapp!$K$5+L765*Prislapp!$L$5+M765*Prislapp!$M$5+N765*Prislapp!$N$5</f>
        <v>17900</v>
      </c>
      <c r="R765" s="9">
        <f>VLOOKUP(A765,'Ansvar kurs'!$A$2:$B$943,2,FALSE)</f>
        <v>1620</v>
      </c>
      <c r="S765" s="176" t="s">
        <v>1726</v>
      </c>
      <c r="T765" s="176"/>
      <c r="U765" s="157"/>
      <c r="V765" s="157"/>
      <c r="W765" s="157"/>
      <c r="X765" s="157"/>
      <c r="Y765" s="157"/>
      <c r="Z765" s="157"/>
    </row>
    <row r="766" spans="1:26" x14ac:dyDescent="0.25">
      <c r="A766" s="31" t="s">
        <v>1727</v>
      </c>
      <c r="B766" s="31" t="s">
        <v>1730</v>
      </c>
      <c r="D766" s="31">
        <v>0</v>
      </c>
      <c r="M766" s="31">
        <v>1</v>
      </c>
      <c r="O766" s="40">
        <f>C766*Prislapp!$C$2+D766*Prislapp!$D$2+E766*Prislapp!$E$2+F766*Prislapp!$F$2+G766*Prislapp!$G$2+H766*Prislapp!$H$2+I766*Prislapp!$I$2+J766*Prislapp!$J$2+K766*Prislapp!$K$2+L766*Prislapp!$L$2+M766*Prislapp!$M$2+N766*Prislapp!$N$2</f>
        <v>16920</v>
      </c>
      <c r="P766" s="40">
        <f>C766*Prislapp!$C$3+D766*Prislapp!$D$3+E766*Prislapp!$E$3+F766*Prislapp!$F$3+G766*Prislapp!$G$3+H766*Prislapp!$H$3+I766*Prislapp!$I$3+J766*Prislapp!$J$3+K766*Prislapp!$K$3+M766*Prislapp!$M$3+N766*Prislapp!$N$3+L766*Prislapp!$L$3</f>
        <v>27913</v>
      </c>
      <c r="Q766" s="40">
        <f>C766*Prislapp!$C$5+D766*Prislapp!$D$5+E766*Prislapp!$E$5+F766*Prislapp!$F$5+G766*Prislapp!$G$5+H766*Prislapp!$H$5+I766*Prislapp!$I$5+J766*Prislapp!$J$5+K766*Prislapp!$K$5+L766*Prislapp!$L$5+M766*Prislapp!$M$5+N766*Prislapp!$N$5</f>
        <v>17900</v>
      </c>
      <c r="R766" s="9">
        <f>VLOOKUP(A766,'Ansvar kurs'!$A$2:$B$943,2,FALSE)</f>
        <v>1620</v>
      </c>
      <c r="S766" s="176" t="s">
        <v>1726</v>
      </c>
      <c r="T766" s="176" t="s">
        <v>1860</v>
      </c>
      <c r="U766" s="157"/>
      <c r="V766" s="157"/>
      <c r="W766" s="157"/>
      <c r="X766" s="157"/>
      <c r="Y766" s="157"/>
      <c r="Z766" s="157"/>
    </row>
    <row r="767" spans="1:26" x14ac:dyDescent="0.25">
      <c r="A767" s="31" t="s">
        <v>1728</v>
      </c>
      <c r="B767" s="31" t="s">
        <v>1731</v>
      </c>
      <c r="D767" s="31">
        <v>0</v>
      </c>
      <c r="M767" s="31">
        <v>1</v>
      </c>
      <c r="O767" s="40">
        <f>C767*Prislapp!$C$2+D767*Prislapp!$D$2+E767*Prislapp!$E$2+F767*Prislapp!$F$2+G767*Prislapp!$G$2+H767*Prislapp!$H$2+I767*Prislapp!$I$2+J767*Prislapp!$J$2+K767*Prislapp!$K$2+L767*Prislapp!$L$2+M767*Prislapp!$M$2+N767*Prislapp!$N$2</f>
        <v>16920</v>
      </c>
      <c r="P767" s="40">
        <f>C767*Prislapp!$C$3+D767*Prislapp!$D$3+E767*Prislapp!$E$3+F767*Prislapp!$F$3+G767*Prislapp!$G$3+H767*Prislapp!$H$3+I767*Prislapp!$I$3+J767*Prislapp!$J$3+K767*Prislapp!$K$3+M767*Prislapp!$M$3+N767*Prislapp!$N$3+L767*Prislapp!$L$3</f>
        <v>27913</v>
      </c>
      <c r="Q767" s="40">
        <f>C767*Prislapp!$C$5+D767*Prislapp!$D$5+E767*Prislapp!$E$5+F767*Prislapp!$F$5+G767*Prislapp!$G$5+H767*Prislapp!$H$5+I767*Prislapp!$I$5+J767*Prislapp!$J$5+K767*Prislapp!$K$5+L767*Prislapp!$L$5+M767*Prislapp!$M$5+N767*Prislapp!$N$5</f>
        <v>17900</v>
      </c>
      <c r="R767" s="9">
        <f>VLOOKUP(A767,'Ansvar kurs'!$A$2:$B$943,2,FALSE)</f>
        <v>1620</v>
      </c>
      <c r="S767" s="176" t="s">
        <v>1726</v>
      </c>
      <c r="T767" s="176" t="s">
        <v>1860</v>
      </c>
      <c r="U767" s="157"/>
      <c r="V767" s="157"/>
      <c r="W767" s="157"/>
      <c r="X767" s="157"/>
      <c r="Y767" s="157"/>
      <c r="Z767" s="157"/>
    </row>
    <row r="768" spans="1:26" x14ac:dyDescent="0.25">
      <c r="A768" s="31" t="s">
        <v>1729</v>
      </c>
      <c r="B768" s="31" t="s">
        <v>1732</v>
      </c>
      <c r="D768" s="31">
        <v>0</v>
      </c>
      <c r="M768" s="31">
        <v>1</v>
      </c>
      <c r="O768" s="40">
        <f>C768*Prislapp!$C$2+D768*Prislapp!$D$2+E768*Prislapp!$E$2+F768*Prislapp!$F$2+G768*Prislapp!$G$2+H768*Prislapp!$H$2+I768*Prislapp!$I$2+J768*Prislapp!$J$2+K768*Prislapp!$K$2+L768*Prislapp!$L$2+M768*Prislapp!$M$2+N768*Prislapp!$N$2</f>
        <v>16920</v>
      </c>
      <c r="P768" s="40">
        <f>C768*Prislapp!$C$3+D768*Prislapp!$D$3+E768*Prislapp!$E$3+F768*Prislapp!$F$3+G768*Prislapp!$G$3+H768*Prislapp!$H$3+I768*Prislapp!$I$3+J768*Prislapp!$J$3+K768*Prislapp!$K$3+M768*Prislapp!$M$3+N768*Prislapp!$N$3+L768*Prislapp!$L$3</f>
        <v>27913</v>
      </c>
      <c r="Q768" s="40">
        <f>C768*Prislapp!$C$5+D768*Prislapp!$D$5+E768*Prislapp!$E$5+F768*Prislapp!$F$5+G768*Prislapp!$G$5+H768*Prislapp!$H$5+I768*Prislapp!$I$5+J768*Prislapp!$J$5+K768*Prislapp!$K$5+L768*Prislapp!$L$5+M768*Prislapp!$M$5+N768*Prislapp!$N$5</f>
        <v>17900</v>
      </c>
      <c r="R768" s="9">
        <f>VLOOKUP(A768,'Ansvar kurs'!$A$2:$B$943,2,FALSE)</f>
        <v>1620</v>
      </c>
      <c r="S768" s="176" t="s">
        <v>1726</v>
      </c>
      <c r="T768" s="176" t="s">
        <v>1860</v>
      </c>
      <c r="U768" s="157"/>
      <c r="V768" s="157"/>
      <c r="W768" s="157"/>
      <c r="X768" s="157"/>
      <c r="Y768" s="157"/>
      <c r="Z768" s="157"/>
    </row>
    <row r="769" spans="1:26" x14ac:dyDescent="0.25">
      <c r="A769" s="222" t="s">
        <v>1725</v>
      </c>
      <c r="B769" t="s">
        <v>1616</v>
      </c>
      <c r="D769" s="31">
        <v>0</v>
      </c>
      <c r="M769" s="31">
        <v>1</v>
      </c>
      <c r="O769" s="40">
        <f>C769*Prislapp!$C$2+D769*Prislapp!$D$2+E769*Prislapp!$E$2+F769*Prislapp!$F$2+G769*Prislapp!$G$2+H769*Prislapp!$H$2+I769*Prislapp!$I$2+J769*Prislapp!$J$2+K769*Prislapp!$K$2+L769*Prislapp!$L$2+M769*Prislapp!$M$2+N769*Prislapp!$N$2</f>
        <v>16920</v>
      </c>
      <c r="P769" s="40">
        <f>C769*Prislapp!$C$3+D769*Prislapp!$D$3+E769*Prislapp!$E$3+F769*Prislapp!$F$3+G769*Prislapp!$G$3+H769*Prislapp!$H$3+I769*Prislapp!$I$3+J769*Prislapp!$J$3+K769*Prislapp!$K$3+M769*Prislapp!$M$3+N769*Prislapp!$N$3+L769*Prislapp!$L$3</f>
        <v>27913</v>
      </c>
      <c r="Q769" s="40">
        <f>C769*Prislapp!$C$5+D769*Prislapp!$D$5+E769*Prislapp!$E$5+F769*Prislapp!$F$5+G769*Prislapp!$G$5+H769*Prislapp!$H$5+I769*Prislapp!$I$5+J769*Prislapp!$J$5+K769*Prislapp!$K$5+L769*Prislapp!$L$5+M769*Prislapp!$M$5+N769*Prislapp!$N$5</f>
        <v>17900</v>
      </c>
      <c r="R769" s="9">
        <f>VLOOKUP(A769,'Ansvar kurs'!$A$2:$B$943,2,FALSE)</f>
        <v>1620</v>
      </c>
      <c r="S769" s="176" t="s">
        <v>1726</v>
      </c>
      <c r="T769" s="176" t="s">
        <v>1860</v>
      </c>
      <c r="U769" s="157"/>
      <c r="V769" s="157"/>
      <c r="W769" s="157"/>
      <c r="X769" s="157"/>
      <c r="Y769" s="157"/>
      <c r="Z769" s="157"/>
    </row>
    <row r="770" spans="1:26" x14ac:dyDescent="0.25">
      <c r="A770" s="222" t="s">
        <v>1945</v>
      </c>
      <c r="B770" t="s">
        <v>1948</v>
      </c>
      <c r="H770" s="370">
        <v>1</v>
      </c>
      <c r="O770" s="40">
        <f>C770*Prislapp!$C$2+D770*Prislapp!$D$2+E770*Prislapp!$E$2+F770*Prislapp!$F$2+G770*Prislapp!$G$2+H770*Prislapp!$H$2+I770*Prislapp!$I$2+J770*Prislapp!$J$2+K770*Prislapp!$K$2+L770*Prislapp!$L$2+M770*Prislapp!$M$2+N770*Prislapp!$N$2</f>
        <v>20757</v>
      </c>
      <c r="P770" s="40">
        <f>C770*Prislapp!$C$3+D770*Prislapp!$D$3+E770*Prislapp!$E$3+F770*Prislapp!$F$3+G770*Prislapp!$G$3+H770*Prislapp!$H$3+I770*Prislapp!$I$3+J770*Prislapp!$J$3+K770*Prislapp!$K$3+M770*Prislapp!$M$3+N770*Prislapp!$N$3+L770*Prislapp!$L$3</f>
        <v>36082</v>
      </c>
      <c r="Q770" s="40">
        <f>C770*Prislapp!$C$5+D770*Prislapp!$D$5+E770*Prislapp!$E$5+F770*Prislapp!$F$5+G770*Prislapp!$G$5+H770*Prislapp!$H$5+I770*Prislapp!$I$5+J770*Prislapp!$J$5+K770*Prislapp!$K$5+L770*Prislapp!$L$5+M770*Prislapp!$M$5+N770*Prislapp!$N$5</f>
        <v>22600</v>
      </c>
      <c r="R770" s="9">
        <f>VLOOKUP(A770,'Ansvar kurs'!$A$2:$B$943,2,FALSE)</f>
        <v>2650</v>
      </c>
      <c r="S770" s="176" t="s">
        <v>1949</v>
      </c>
      <c r="T770" s="176"/>
      <c r="U770" s="157"/>
      <c r="V770" s="157"/>
      <c r="W770" s="157"/>
      <c r="X770" s="157"/>
      <c r="Y770" s="157"/>
      <c r="Z770" s="157"/>
    </row>
    <row r="771" spans="1:26" x14ac:dyDescent="0.25">
      <c r="A771" s="222" t="s">
        <v>1944</v>
      </c>
      <c r="B771" s="37" t="s">
        <v>1951</v>
      </c>
      <c r="D771" s="370">
        <v>1</v>
      </c>
      <c r="O771" s="40">
        <f>C771*Prislapp!$C$2+D771*Prislapp!$D$2+E771*Prislapp!$E$2+F771*Prislapp!$F$2+G771*Prislapp!$G$2+H771*Prislapp!$H$2+I771*Prislapp!$I$2+J771*Prislapp!$J$2+K771*Prislapp!$K$2+L771*Prislapp!$L$2+M771*Prislapp!$M$2+N771*Prislapp!$N$2</f>
        <v>20766</v>
      </c>
      <c r="P771" s="40">
        <f>C771*Prislapp!$C$3+D771*Prislapp!$D$3+E771*Prislapp!$E$3+F771*Prislapp!$F$3+G771*Prislapp!$G$3+H771*Prislapp!$H$3+I771*Prislapp!$I$3+J771*Prislapp!$J$3+K771*Prislapp!$K$3+M771*Prislapp!$M$3+N771*Prislapp!$N$3+L771*Prislapp!$L$3</f>
        <v>17442</v>
      </c>
      <c r="Q771" s="40">
        <f>C771*Prislapp!$C$5+D771*Prislapp!$D$5+E771*Prislapp!$E$5+F771*Prislapp!$F$5+G771*Prislapp!$G$5+H771*Prislapp!$H$5+I771*Prislapp!$I$5+J771*Prislapp!$J$5+K771*Prislapp!$K$5+L771*Prislapp!$L$5+M771*Prislapp!$M$5+N771*Prislapp!$N$5</f>
        <v>6000</v>
      </c>
      <c r="R771" s="9">
        <f>VLOOKUP(A771,'Ansvar kurs'!$A$2:$B$943,2,FALSE)</f>
        <v>1620</v>
      </c>
      <c r="S771" s="176" t="s">
        <v>1953</v>
      </c>
      <c r="T771" s="176"/>
      <c r="U771" s="157"/>
      <c r="V771" s="157"/>
      <c r="W771" s="157"/>
      <c r="X771" s="157"/>
      <c r="Y771" s="157"/>
      <c r="Z771" s="157"/>
    </row>
    <row r="772" spans="1:26" x14ac:dyDescent="0.25">
      <c r="A772" s="222" t="s">
        <v>1946</v>
      </c>
      <c r="B772" s="37" t="s">
        <v>1952</v>
      </c>
      <c r="D772" s="370">
        <v>1</v>
      </c>
      <c r="O772" s="40">
        <f>C772*Prislapp!$C$2+D772*Prislapp!$D$2+E772*Prislapp!$E$2+F772*Prislapp!$F$2+G772*Prislapp!$G$2+H772*Prislapp!$H$2+I772*Prislapp!$I$2+J772*Prislapp!$J$2+K772*Prislapp!$K$2+L772*Prislapp!$L$2+M772*Prislapp!$M$2+N772*Prislapp!$N$2</f>
        <v>20766</v>
      </c>
      <c r="P772" s="40">
        <f>C772*Prislapp!$C$3+D772*Prislapp!$D$3+E772*Prislapp!$E$3+F772*Prislapp!$F$3+G772*Prislapp!$G$3+H772*Prislapp!$H$3+I772*Prislapp!$I$3+J772*Prislapp!$J$3+K772*Prislapp!$K$3+M772*Prislapp!$M$3+N772*Prislapp!$N$3+L772*Prislapp!$L$3</f>
        <v>17442</v>
      </c>
      <c r="Q772" s="40">
        <f>C772*Prislapp!$C$5+D772*Prislapp!$D$5+E772*Prislapp!$E$5+F772*Prislapp!$F$5+G772*Prislapp!$G$5+H772*Prislapp!$H$5+I772*Prislapp!$I$5+J772*Prislapp!$J$5+K772*Prislapp!$K$5+L772*Prislapp!$L$5+M772*Prislapp!$M$5+N772*Prislapp!$N$5</f>
        <v>6000</v>
      </c>
      <c r="R772" s="9">
        <f>VLOOKUP(A772,'Ansvar kurs'!$A$2:$B$943,2,FALSE)</f>
        <v>1620</v>
      </c>
      <c r="S772" s="176" t="s">
        <v>1953</v>
      </c>
      <c r="T772" s="176"/>
      <c r="U772" s="157"/>
      <c r="V772" s="157"/>
      <c r="W772" s="157"/>
      <c r="X772" s="157"/>
      <c r="Y772" s="157"/>
      <c r="Z772" s="157"/>
    </row>
    <row r="773" spans="1:26" x14ac:dyDescent="0.25">
      <c r="A773" s="221" t="s">
        <v>372</v>
      </c>
      <c r="B773" s="31" t="s">
        <v>373</v>
      </c>
      <c r="F773" s="31">
        <v>0</v>
      </c>
      <c r="I773" s="31">
        <v>1</v>
      </c>
      <c r="O773" s="40">
        <f>C773*Prislapp!$C$2+D773*Prislapp!$D$2+E773*Prislapp!$E$2+F773*Prislapp!$F$2+G773*Prislapp!$G$2+H773*Prislapp!$H$2+I773*Prislapp!$I$2+J773*Prislapp!$J$2+K773*Prislapp!$K$2+L773*Prislapp!$L$2+M773*Prislapp!$M$2+N773*Prislapp!$N$2</f>
        <v>20766</v>
      </c>
      <c r="P773" s="40">
        <f>C773*Prislapp!$C$3+D773*Prislapp!$D$3+E773*Prislapp!$E$3+F773*Prislapp!$F$3+G773*Prislapp!$G$3+H773*Prislapp!$H$3+I773*Prislapp!$I$3+J773*Prislapp!$J$3+K773*Prislapp!$K$3+M773*Prislapp!$M$3+N773*Prislapp!$N$3+L773*Prislapp!$L$3</f>
        <v>17442</v>
      </c>
      <c r="Q773" s="40">
        <f>C773*Prislapp!$C$5+D773*Prislapp!$D$5+E773*Prislapp!$E$5+F773*Prislapp!$F$5+G773*Prislapp!$G$5+H773*Prislapp!$H$5+I773*Prislapp!$I$5+J773*Prislapp!$J$5+K773*Prislapp!$K$5+L773*Prislapp!$L$5+M773*Prislapp!$M$5+N773*Prislapp!$N$5</f>
        <v>6000</v>
      </c>
      <c r="R773" s="9">
        <f>VLOOKUP(A773,'Ansvar kurs'!$A$2:$B$943,2,FALSE)</f>
        <v>2193</v>
      </c>
      <c r="S773" s="176" t="s">
        <v>1401</v>
      </c>
      <c r="T773" s="157"/>
    </row>
    <row r="774" spans="1:26" x14ac:dyDescent="0.25">
      <c r="A774" s="31" t="s">
        <v>513</v>
      </c>
      <c r="B774" s="31" t="s">
        <v>373</v>
      </c>
      <c r="I774" s="31">
        <v>1</v>
      </c>
      <c r="O774" s="40">
        <f>C774*Prislapp!$C$2+D774*Prislapp!$D$2+E774*Prislapp!$E$2+F774*Prislapp!$F$2+G774*Prislapp!$G$2+H774*Prislapp!$H$2+I774*Prislapp!$I$2+J774*Prislapp!$J$2+K774*Prislapp!$K$2+L774*Prislapp!$L$2+M774*Prislapp!$M$2+N774*Prislapp!$N$2</f>
        <v>20766</v>
      </c>
      <c r="P774" s="40">
        <f>C774*Prislapp!$C$3+D774*Prislapp!$D$3+E774*Prislapp!$E$3+F774*Prislapp!$F$3+G774*Prislapp!$G$3+H774*Prislapp!$H$3+I774*Prislapp!$I$3+J774*Prislapp!$J$3+K774*Prislapp!$K$3+M774*Prislapp!$M$3+N774*Prislapp!$N$3+L774*Prislapp!$L$3</f>
        <v>17442</v>
      </c>
      <c r="Q774" s="40">
        <f>C774*Prislapp!$C$5+D774*Prislapp!$D$5+E774*Prislapp!$E$5+F774*Prislapp!$F$5+G774*Prislapp!$G$5+H774*Prislapp!$H$5+I774*Prislapp!$I$5+J774*Prislapp!$J$5+K774*Prislapp!$K$5+L774*Prislapp!$L$5+M774*Prislapp!$M$5+N774*Prislapp!$N$5</f>
        <v>6000</v>
      </c>
      <c r="R774" s="9">
        <f>VLOOKUP(A774,'Ansvar kurs'!$A$2:$B$943,2,FALSE)</f>
        <v>2180</v>
      </c>
      <c r="S774" s="31" t="s">
        <v>1276</v>
      </c>
    </row>
    <row r="775" spans="1:26" x14ac:dyDescent="0.25">
      <c r="A775" s="31" t="s">
        <v>1251</v>
      </c>
      <c r="B775" s="31" t="s">
        <v>1418</v>
      </c>
      <c r="I775" s="31">
        <v>1</v>
      </c>
      <c r="O775" s="40">
        <f>C775*Prislapp!$C$2+D775*Prislapp!$D$2+E775*Prislapp!$E$2+F775*Prislapp!$F$2+G775*Prislapp!$G$2+H775*Prislapp!$H$2+I775*Prislapp!$I$2+J775*Prislapp!$J$2+K775*Prislapp!$K$2+L775*Prislapp!$L$2+M775*Prislapp!$M$2+N775*Prislapp!$N$2</f>
        <v>20766</v>
      </c>
      <c r="P775" s="40">
        <f>C775*Prislapp!$C$3+D775*Prislapp!$D$3+E775*Prislapp!$E$3+F775*Prislapp!$F$3+G775*Prislapp!$G$3+H775*Prislapp!$H$3+I775*Prislapp!$I$3+J775*Prislapp!$J$3+K775*Prislapp!$K$3+M775*Prislapp!$M$3+N775*Prislapp!$N$3+L775*Prislapp!$L$3</f>
        <v>17442</v>
      </c>
      <c r="Q775" s="40">
        <f>C775*Prislapp!$C$5+D775*Prislapp!$D$5+E775*Prislapp!$E$5+F775*Prislapp!$F$5+G775*Prislapp!$G$5+H775*Prislapp!$H$5+I775*Prislapp!$I$5+J775*Prislapp!$J$5+K775*Prislapp!$K$5+L775*Prislapp!$L$5+M775*Prislapp!$M$5+N775*Prislapp!$N$5</f>
        <v>6000</v>
      </c>
      <c r="R775" s="9">
        <f>VLOOKUP(A775,'Ansvar kurs'!$A$2:$B$943,2,FALSE)</f>
        <v>2180</v>
      </c>
    </row>
    <row r="776" spans="1:26" x14ac:dyDescent="0.25">
      <c r="A776" s="31" t="s">
        <v>1864</v>
      </c>
      <c r="B776" s="31" t="s">
        <v>1865</v>
      </c>
      <c r="I776" s="31">
        <v>1</v>
      </c>
      <c r="O776" s="40">
        <f>C776*Prislapp!$C$2+D776*Prislapp!$D$2+E776*Prislapp!$E$2+F776*Prislapp!$F$2+G776*Prislapp!$G$2+H776*Prislapp!$H$2+I776*Prislapp!$I$2+J776*Prislapp!$J$2+K776*Prislapp!$K$2+L776*Prislapp!$L$2+M776*Prislapp!$M$2+N776*Prislapp!$N$2</f>
        <v>20766</v>
      </c>
      <c r="P776" s="40">
        <f>C776*Prislapp!$C$3+D776*Prislapp!$D$3+E776*Prislapp!$E$3+F776*Prislapp!$F$3+G776*Prislapp!$G$3+H776*Prislapp!$H$3+I776*Prislapp!$I$3+J776*Prislapp!$J$3+K776*Prislapp!$K$3+M776*Prislapp!$M$3+N776*Prislapp!$N$3+L776*Prislapp!$L$3</f>
        <v>17442</v>
      </c>
      <c r="Q776" s="40">
        <f>C776*Prislapp!$C$5+D776*Prislapp!$D$5+E776*Prislapp!$E$5+F776*Prislapp!$F$5+G776*Prislapp!$G$5+H776*Prislapp!$H$5+I776*Prislapp!$I$5+J776*Prislapp!$J$5+K776*Prislapp!$K$5+L776*Prislapp!$L$5+M776*Prislapp!$M$5+N776*Prislapp!$N$5</f>
        <v>6000</v>
      </c>
      <c r="R776" s="9">
        <f>VLOOKUP(A776,'Ansvar kurs'!$A$2:$B$943,2,FALSE)</f>
        <v>2180</v>
      </c>
    </row>
    <row r="777" spans="1:26" x14ac:dyDescent="0.25">
      <c r="A777" s="31" t="s">
        <v>1867</v>
      </c>
      <c r="B777" s="31" t="s">
        <v>1868</v>
      </c>
      <c r="I777" s="31">
        <v>1</v>
      </c>
      <c r="O777" s="40">
        <f>C777*Prislapp!$C$2+D777*Prislapp!$D$2+E777*Prislapp!$E$2+F777*Prislapp!$F$2+G777*Prislapp!$G$2+H777*Prislapp!$H$2+I777*Prislapp!$I$2+J777*Prislapp!$J$2+K777*Prislapp!$K$2+L777*Prislapp!$L$2+M777*Prislapp!$M$2+N777*Prislapp!$N$2</f>
        <v>20766</v>
      </c>
      <c r="P777" s="40">
        <f>C777*Prislapp!$C$3+D777*Prislapp!$D$3+E777*Prislapp!$E$3+F777*Prislapp!$F$3+G777*Prislapp!$G$3+H777*Prislapp!$H$3+I777*Prislapp!$I$3+J777*Prislapp!$J$3+K777*Prislapp!$K$3+M777*Prislapp!$M$3+N777*Prislapp!$N$3+L777*Prislapp!$L$3</f>
        <v>17442</v>
      </c>
      <c r="Q777" s="40">
        <f>C777*Prislapp!$C$5+D777*Prislapp!$D$5+E777*Prislapp!$E$5+F777*Prislapp!$F$5+G777*Prislapp!$G$5+H777*Prislapp!$H$5+I777*Prislapp!$I$5+J777*Prislapp!$J$5+K777*Prislapp!$K$5+L777*Prislapp!$L$5+M777*Prislapp!$M$5+N777*Prislapp!$N$5</f>
        <v>6000</v>
      </c>
      <c r="R777" s="9">
        <f>VLOOKUP(A777,'Ansvar kurs'!$A$2:$B$943,2,FALSE)</f>
        <v>2180</v>
      </c>
    </row>
    <row r="778" spans="1:26" x14ac:dyDescent="0.25">
      <c r="A778" s="31" t="s">
        <v>1866</v>
      </c>
      <c r="B778" s="31" t="s">
        <v>1869</v>
      </c>
      <c r="I778" s="31">
        <v>0.2</v>
      </c>
      <c r="N778" s="31">
        <v>0.8</v>
      </c>
      <c r="O778" s="40">
        <f>C778*Prislapp!$C$2+D778*Prislapp!$D$2+E778*Prislapp!$E$2+F778*Prislapp!$F$2+G778*Prislapp!$G$2+H778*Prislapp!$H$2+I778*Prislapp!$I$2+J778*Prislapp!$J$2+K778*Prislapp!$K$2+L778*Prislapp!$L$2+M778*Prislapp!$M$2+N778*Prislapp!$N$2</f>
        <v>36229.199999999997</v>
      </c>
      <c r="P778" s="40">
        <f>C778*Prislapp!$C$3+D778*Prislapp!$D$3+E778*Prislapp!$E$3+F778*Prislapp!$F$3+G778*Prislapp!$G$3+H778*Prislapp!$H$3+I778*Prislapp!$I$3+J778*Prislapp!$J$3+K778*Prislapp!$K$3+M778*Prislapp!$M$3+N778*Prislapp!$N$3+L778*Prislapp!$L$3</f>
        <v>35006.800000000003</v>
      </c>
      <c r="Q778" s="40">
        <f>C778*Prislapp!$C$5+D778*Prislapp!$D$5+E778*Prislapp!$E$5+F778*Prislapp!$F$5+G778*Prislapp!$G$5+H778*Prislapp!$H$5+I778*Prislapp!$I$5+J778*Prislapp!$J$5+K778*Prislapp!$K$5+L778*Prislapp!$L$5+M778*Prislapp!$M$5+N778*Prislapp!$N$5</f>
        <v>6000</v>
      </c>
      <c r="R778" s="9">
        <f>VLOOKUP(A778,'Ansvar kurs'!$A$2:$B$943,2,FALSE)</f>
        <v>2193</v>
      </c>
      <c r="S778" s="31" t="s">
        <v>1970</v>
      </c>
    </row>
    <row r="779" spans="1:26" ht="30" x14ac:dyDescent="0.25">
      <c r="A779" s="176" t="s">
        <v>2023</v>
      </c>
      <c r="B779" s="382" t="s">
        <v>1968</v>
      </c>
      <c r="I779" s="57">
        <v>1</v>
      </c>
      <c r="O779" s="40">
        <f>C779*Prislapp!$C$2+D779*Prislapp!$D$2+E779*Prislapp!$E$2+F779*Prislapp!$F$2+G779*Prislapp!$G$2+H779*Prislapp!$H$2+I779*Prislapp!$I$2+J779*Prislapp!$J$2+K779*Prislapp!$K$2+L779*Prislapp!$L$2+M779*Prislapp!$M$2+N779*Prislapp!$N$2</f>
        <v>20766</v>
      </c>
      <c r="P779" s="40">
        <f>C779*Prislapp!$C$3+D779*Prislapp!$D$3+E779*Prislapp!$E$3+F779*Prislapp!$F$3+G779*Prislapp!$G$3+H779*Prislapp!$H$3+I779*Prislapp!$I$3+J779*Prislapp!$J$3+K779*Prislapp!$K$3+M779*Prislapp!$M$3+N779*Prislapp!$N$3+L779*Prislapp!$L$3</f>
        <v>17442</v>
      </c>
      <c r="Q779" s="40">
        <f>C779*Prislapp!$C$5+D779*Prislapp!$D$5+E779*Prislapp!$E$5+F779*Prislapp!$F$5+G779*Prislapp!$G$5+H779*Prislapp!$H$5+I779*Prislapp!$I$5+J779*Prislapp!$J$5+K779*Prislapp!$K$5+L779*Prislapp!$L$5+M779*Prislapp!$M$5+N779*Prislapp!$N$5</f>
        <v>6000</v>
      </c>
      <c r="R779" s="9">
        <f>VLOOKUP(A779,'Ansvar kurs'!$A$2:$B$943,2,FALSE)</f>
        <v>2193</v>
      </c>
      <c r="S779" s="176"/>
      <c r="T779" s="157"/>
      <c r="U779" s="157"/>
      <c r="V779" s="157"/>
      <c r="W779" s="157"/>
      <c r="X779" s="157"/>
      <c r="Y779" s="157"/>
      <c r="Z779" s="157"/>
    </row>
    <row r="780" spans="1:26" x14ac:dyDescent="0.25">
      <c r="A780" s="221" t="s">
        <v>1975</v>
      </c>
      <c r="B780" s="31" t="s">
        <v>1211</v>
      </c>
      <c r="I780" s="31">
        <v>1</v>
      </c>
      <c r="O780" s="40">
        <f>C780*Prislapp!$C$2+D780*Prislapp!$D$2+E780*Prislapp!$E$2+F780*Prislapp!$F$2+G780*Prislapp!$G$2+H780*Prislapp!$H$2+I780*Prislapp!$I$2+J780*Prislapp!$J$2+K780*Prislapp!$K$2+L780*Prislapp!$L$2+M780*Prislapp!$M$2+N780*Prislapp!$N$2</f>
        <v>20766</v>
      </c>
      <c r="P780" s="40">
        <f>C780*Prislapp!$C$3+D780*Prislapp!$D$3+E780*Prislapp!$E$3+F780*Prislapp!$F$3+G780*Prislapp!$G$3+H780*Prislapp!$H$3+I780*Prislapp!$I$3+J780*Prislapp!$J$3+K780*Prislapp!$K$3+M780*Prislapp!$M$3+N780*Prislapp!$N$3+L780*Prislapp!$L$3</f>
        <v>17442</v>
      </c>
      <c r="Q780" s="40">
        <f>C780*Prislapp!$C$5+D780*Prislapp!$D$5+E780*Prislapp!$E$5+F780*Prislapp!$F$5+G780*Prislapp!$G$5+H780*Prislapp!$H$5+I780*Prislapp!$I$5+J780*Prislapp!$J$5+K780*Prislapp!$K$5+L780*Prislapp!$L$5+M780*Prislapp!$M$5+N780*Prislapp!$N$5</f>
        <v>6000</v>
      </c>
      <c r="R780" s="9">
        <f>VLOOKUP(A780,'Ansvar kurs'!$A$2:$B$943,2,FALSE)</f>
        <v>2193</v>
      </c>
    </row>
    <row r="781" spans="1:26" x14ac:dyDescent="0.25">
      <c r="A781" s="31" t="s">
        <v>2462</v>
      </c>
      <c r="B781" s="31" t="s">
        <v>2001</v>
      </c>
      <c r="I781" s="57">
        <v>1</v>
      </c>
      <c r="O781" s="40">
        <f>C781*Prislapp!$C$2+D781*Prislapp!$D$2+E781*Prislapp!$E$2+F781*Prislapp!$F$2+G781*Prislapp!$G$2+H781*Prislapp!$H$2+I781*Prislapp!$I$2+J781*Prislapp!$J$2+K781*Prislapp!$K$2+L781*Prislapp!$L$2+M781*Prislapp!$M$2+N781*Prislapp!$N$2</f>
        <v>20766</v>
      </c>
      <c r="P781" s="40">
        <f>C781*Prislapp!$C$3+D781*Prislapp!$D$3+E781*Prislapp!$E$3+F781*Prislapp!$F$3+G781*Prislapp!$G$3+H781*Prislapp!$H$3+I781*Prislapp!$I$3+J781*Prislapp!$J$3+K781*Prislapp!$K$3+M781*Prislapp!$M$3+N781*Prislapp!$N$3+L781*Prislapp!$L$3</f>
        <v>17442</v>
      </c>
      <c r="Q781" s="40">
        <f>C781*Prislapp!$C$5+D781*Prislapp!$D$5+E781*Prislapp!$E$5+F781*Prislapp!$F$5+G781*Prislapp!$G$5+H781*Prislapp!$H$5+I781*Prislapp!$I$5+J781*Prislapp!$J$5+K781*Prislapp!$K$5+L781*Prislapp!$L$5+M781*Prislapp!$M$5+N781*Prislapp!$N$5</f>
        <v>6000</v>
      </c>
      <c r="R781" s="9">
        <f>VLOOKUP(A781,'Ansvar kurs'!$A$2:$B$943,2,FALSE)</f>
        <v>2180</v>
      </c>
    </row>
    <row r="782" spans="1:26" x14ac:dyDescent="0.25">
      <c r="A782" s="31" t="s">
        <v>2004</v>
      </c>
      <c r="B782" s="31" t="s">
        <v>1418</v>
      </c>
      <c r="I782" s="57">
        <v>1</v>
      </c>
      <c r="O782" s="40">
        <f>C782*Prislapp!$C$2+D782*Prislapp!$D$2+E782*Prislapp!$E$2+F782*Prislapp!$F$2+G782*Prislapp!$G$2+H782*Prislapp!$H$2+I782*Prislapp!$I$2+J782*Prislapp!$J$2+K782*Prislapp!$K$2+L782*Prislapp!$L$2+M782*Prislapp!$M$2+N782*Prislapp!$N$2</f>
        <v>20766</v>
      </c>
      <c r="P782" s="40">
        <f>C782*Prislapp!$C$3+D782*Prislapp!$D$3+E782*Prislapp!$E$3+F782*Prislapp!$F$3+G782*Prislapp!$G$3+H782*Prislapp!$H$3+I782*Prislapp!$I$3+J782*Prislapp!$J$3+K782*Prislapp!$K$3+M782*Prislapp!$M$3+N782*Prislapp!$N$3+L782*Prislapp!$L$3</f>
        <v>17442</v>
      </c>
      <c r="Q782" s="40">
        <f>C782*Prislapp!$C$5+D782*Prislapp!$D$5+E782*Prislapp!$E$5+F782*Prislapp!$F$5+G782*Prislapp!$G$5+H782*Prislapp!$H$5+I782*Prislapp!$I$5+J782*Prislapp!$J$5+K782*Prislapp!$K$5+L782*Prislapp!$L$5+M782*Prislapp!$M$5+N782*Prislapp!$N$5</f>
        <v>6000</v>
      </c>
      <c r="R782" s="9">
        <f>VLOOKUP(A782,'Ansvar kurs'!$A$2:$B$943,2,FALSE)</f>
        <v>2180</v>
      </c>
    </row>
    <row r="783" spans="1:26" x14ac:dyDescent="0.25">
      <c r="A783" s="31" t="s">
        <v>2002</v>
      </c>
      <c r="B783" s="31" t="s">
        <v>2003</v>
      </c>
      <c r="I783" s="57">
        <v>1</v>
      </c>
      <c r="O783" s="40">
        <f>C783*Prislapp!$C$2+D783*Prislapp!$D$2+E783*Prislapp!$E$2+F783*Prislapp!$F$2+G783*Prislapp!$G$2+H783*Prislapp!$H$2+I783*Prislapp!$I$2+J783*Prislapp!$J$2+K783*Prislapp!$K$2+L783*Prislapp!$L$2+M783*Prislapp!$M$2+N783*Prislapp!$N$2</f>
        <v>20766</v>
      </c>
      <c r="P783" s="40">
        <f>C783*Prislapp!$C$3+D783*Prislapp!$D$3+E783*Prislapp!$E$3+F783*Prislapp!$F$3+G783*Prislapp!$G$3+H783*Prislapp!$H$3+I783*Prislapp!$I$3+J783*Prislapp!$J$3+K783*Prislapp!$K$3+M783*Prislapp!$M$3+N783*Prislapp!$N$3+L783*Prislapp!$L$3</f>
        <v>17442</v>
      </c>
      <c r="Q783" s="40">
        <f>C783*Prislapp!$C$5+D783*Prislapp!$D$5+E783*Prislapp!$E$5+F783*Prislapp!$F$5+G783*Prislapp!$G$5+H783*Prislapp!$H$5+I783*Prislapp!$I$5+J783*Prislapp!$J$5+K783*Prislapp!$K$5+L783*Prislapp!$L$5+M783*Prislapp!$M$5+N783*Prislapp!$N$5</f>
        <v>6000</v>
      </c>
      <c r="R783" s="9">
        <f>VLOOKUP(A783,'Ansvar kurs'!$A$2:$B$943,2,FALSE)</f>
        <v>2180</v>
      </c>
    </row>
    <row r="784" spans="1:26" x14ac:dyDescent="0.25">
      <c r="A784" s="31" t="s">
        <v>2256</v>
      </c>
      <c r="B784" s="31" t="s">
        <v>442</v>
      </c>
      <c r="I784" s="31">
        <v>1</v>
      </c>
      <c r="O784" s="40">
        <f>C784*Prislapp!$C$2+D784*Prislapp!$D$2+E784*Prislapp!$E$2+F784*Prislapp!$F$2+G784*Prislapp!$G$2+H784*Prislapp!$H$2+I784*Prislapp!$I$2+J784*Prislapp!$J$2+K784*Prislapp!$K$2+L784*Prislapp!$L$2+M784*Prislapp!$M$2+N784*Prislapp!$N$2</f>
        <v>20766</v>
      </c>
      <c r="P784" s="40">
        <f>C784*Prislapp!$C$3+D784*Prislapp!$D$3+E784*Prislapp!$E$3+F784*Prislapp!$F$3+G784*Prislapp!$G$3+H784*Prislapp!$H$3+I784*Prislapp!$I$3+J784*Prislapp!$J$3+K784*Prislapp!$K$3+M784*Prislapp!$M$3+N784*Prislapp!$N$3+L784*Prislapp!$L$3</f>
        <v>17442</v>
      </c>
      <c r="Q784" s="40">
        <f>C784*Prislapp!$C$5+D784*Prislapp!$D$5+E784*Prislapp!$E$5+F784*Prislapp!$F$5+G784*Prislapp!$G$5+H784*Prislapp!$H$5+I784*Prislapp!$I$5+J784*Prislapp!$J$5+K784*Prislapp!$K$5+L784*Prislapp!$L$5+M784*Prislapp!$M$5+N784*Prislapp!$N$5</f>
        <v>6000</v>
      </c>
      <c r="R784" s="9">
        <f>VLOOKUP(A784,'Ansvar kurs'!$A$2:$B$943,2,FALSE)</f>
        <v>2180</v>
      </c>
      <c r="S784" s="31" t="s">
        <v>1276</v>
      </c>
    </row>
    <row r="785" spans="1:19" ht="15.75" x14ac:dyDescent="0.25">
      <c r="A785" s="392" t="s">
        <v>2257</v>
      </c>
      <c r="B785" s="31" t="s">
        <v>2266</v>
      </c>
      <c r="I785" s="31">
        <v>1</v>
      </c>
      <c r="O785" s="40">
        <f>C785*Prislapp!$C$2+D785*Prislapp!$D$2+E785*Prislapp!$E$2+F785*Prislapp!$F$2+G785*Prislapp!$G$2+H785*Prislapp!$H$2+I785*Prislapp!$I$2+J785*Prislapp!$J$2+K785*Prislapp!$K$2+L785*Prislapp!$L$2+M785*Prislapp!$M$2+N785*Prislapp!$N$2</f>
        <v>20766</v>
      </c>
      <c r="P785" s="40">
        <f>C785*Prislapp!$C$3+D785*Prislapp!$D$3+E785*Prislapp!$E$3+F785*Prislapp!$F$3+G785*Prislapp!$G$3+H785*Prislapp!$H$3+I785*Prislapp!$I$3+J785*Prislapp!$J$3+K785*Prislapp!$K$3+M785*Prislapp!$M$3+N785*Prislapp!$N$3+L785*Prislapp!$L$3</f>
        <v>17442</v>
      </c>
      <c r="Q785" s="40">
        <f>C785*Prislapp!$C$5+D785*Prislapp!$D$5+E785*Prislapp!$E$5+F785*Prislapp!$F$5+G785*Prislapp!$G$5+H785*Prislapp!$H$5+I785*Prislapp!$I$5+J785*Prislapp!$J$5+K785*Prislapp!$K$5+L785*Prislapp!$L$5+M785*Prislapp!$M$5+N785*Prislapp!$N$5</f>
        <v>6000</v>
      </c>
      <c r="R785" s="9">
        <f>VLOOKUP(A785,'Ansvar kurs'!$A$2:$B$943,2,FALSE)</f>
        <v>2180</v>
      </c>
    </row>
    <row r="786" spans="1:19" ht="15.75" x14ac:dyDescent="0.25">
      <c r="A786" s="392" t="s">
        <v>2258</v>
      </c>
      <c r="B786" s="31" t="s">
        <v>2265</v>
      </c>
      <c r="I786" s="31">
        <v>1</v>
      </c>
      <c r="O786" s="40">
        <f>C786*Prislapp!$C$2+D786*Prislapp!$D$2+E786*Prislapp!$E$2+F786*Prislapp!$F$2+G786*Prislapp!$G$2+H786*Prislapp!$H$2+I786*Prislapp!$I$2+J786*Prislapp!$J$2+K786*Prislapp!$K$2+L786*Prislapp!$L$2+M786*Prislapp!$M$2+N786*Prislapp!$N$2</f>
        <v>20766</v>
      </c>
      <c r="P786" s="40">
        <f>C786*Prislapp!$C$3+D786*Prislapp!$D$3+E786*Prislapp!$E$3+F786*Prislapp!$F$3+G786*Prislapp!$G$3+H786*Prislapp!$H$3+I786*Prislapp!$I$3+J786*Prislapp!$J$3+K786*Prislapp!$K$3+M786*Prislapp!$M$3+N786*Prislapp!$N$3+L786*Prislapp!$L$3</f>
        <v>17442</v>
      </c>
      <c r="Q786" s="40">
        <f>C786*Prislapp!$C$5+D786*Prislapp!$D$5+E786*Prislapp!$E$5+F786*Prislapp!$F$5+G786*Prislapp!$G$5+H786*Prislapp!$H$5+I786*Prislapp!$I$5+J786*Prislapp!$J$5+K786*Prislapp!$K$5+L786*Prislapp!$L$5+M786*Prislapp!$M$5+N786*Prislapp!$N$5</f>
        <v>6000</v>
      </c>
      <c r="R786" s="9">
        <f>VLOOKUP(A786,'Ansvar kurs'!$A$2:$B$943,2,FALSE)</f>
        <v>2180</v>
      </c>
    </row>
    <row r="787" spans="1:19" x14ac:dyDescent="0.25">
      <c r="A787" s="31" t="s">
        <v>101</v>
      </c>
      <c r="B787" s="31" t="s">
        <v>736</v>
      </c>
      <c r="I787" s="31">
        <v>1</v>
      </c>
      <c r="O787" s="40">
        <f>C787*Prislapp!$C$2+D787*Prislapp!$D$2+E787*Prislapp!$E$2+F787*Prislapp!$F$2+G787*Prislapp!$G$2+H787*Prislapp!$H$2+I787*Prislapp!$I$2+J787*Prislapp!$J$2+K787*Prislapp!$K$2+L787*Prislapp!$L$2+M787*Prislapp!$M$2+N787*Prislapp!$N$2</f>
        <v>20766</v>
      </c>
      <c r="P787" s="40">
        <f>C787*Prislapp!$C$3+D787*Prislapp!$D$3+E787*Prislapp!$E$3+F787*Prislapp!$F$3+G787*Prislapp!$G$3+H787*Prislapp!$H$3+I787*Prislapp!$I$3+J787*Prislapp!$J$3+K787*Prislapp!$K$3+M787*Prislapp!$M$3+N787*Prislapp!$N$3+L787*Prislapp!$L$3</f>
        <v>17442</v>
      </c>
      <c r="Q787" s="40">
        <f>C787*Prislapp!$C$5+D787*Prislapp!$D$5+E787*Prislapp!$E$5+F787*Prislapp!$F$5+G787*Prislapp!$G$5+H787*Prislapp!$H$5+I787*Prislapp!$I$5+J787*Prislapp!$J$5+K787*Prislapp!$K$5+L787*Prislapp!$L$5+M787*Prislapp!$M$5+N787*Prislapp!$N$5</f>
        <v>6000</v>
      </c>
      <c r="R787" s="9">
        <f>VLOOKUP(A787,'Ansvar kurs'!$A$2:$B$943,2,FALSE)</f>
        <v>2340</v>
      </c>
    </row>
    <row r="788" spans="1:19" x14ac:dyDescent="0.25">
      <c r="A788" s="31" t="s">
        <v>102</v>
      </c>
      <c r="B788" s="31" t="s">
        <v>737</v>
      </c>
      <c r="I788" s="31">
        <v>1</v>
      </c>
      <c r="O788" s="40">
        <f>C788*Prislapp!$C$2+D788*Prislapp!$D$2+E788*Prislapp!$E$2+F788*Prislapp!$F$2+G788*Prislapp!$G$2+H788*Prislapp!$H$2+I788*Prislapp!$I$2+J788*Prislapp!$J$2+K788*Prislapp!$K$2+L788*Prislapp!$L$2+M788*Prislapp!$M$2+N788*Prislapp!$N$2</f>
        <v>20766</v>
      </c>
      <c r="P788" s="40">
        <f>C788*Prislapp!$C$3+D788*Prislapp!$D$3+E788*Prislapp!$E$3+F788*Prislapp!$F$3+G788*Prislapp!$G$3+H788*Prislapp!$H$3+I788*Prislapp!$I$3+J788*Prislapp!$J$3+K788*Prislapp!$K$3+M788*Prislapp!$M$3+N788*Prislapp!$N$3+L788*Prislapp!$L$3</f>
        <v>17442</v>
      </c>
      <c r="Q788" s="40">
        <f>C788*Prislapp!$C$5+D788*Prislapp!$D$5+E788*Prislapp!$E$5+F788*Prislapp!$F$5+G788*Prislapp!$G$5+H788*Prislapp!$H$5+I788*Prislapp!$I$5+J788*Prislapp!$J$5+K788*Prislapp!$K$5+L788*Prislapp!$L$5+M788*Prislapp!$M$5+N788*Prislapp!$N$5</f>
        <v>6000</v>
      </c>
      <c r="R788" s="9">
        <f>VLOOKUP(A788,'Ansvar kurs'!$A$2:$B$943,2,FALSE)</f>
        <v>2340</v>
      </c>
    </row>
    <row r="789" spans="1:19" x14ac:dyDescent="0.25">
      <c r="A789" s="60" t="s">
        <v>864</v>
      </c>
      <c r="B789" s="31" t="s">
        <v>323</v>
      </c>
      <c r="I789" s="31">
        <v>1</v>
      </c>
      <c r="O789" s="40">
        <f>C789*Prislapp!$C$2+D789*Prislapp!$D$2+E789*Prislapp!$E$2+F789*Prislapp!$F$2+G789*Prislapp!$G$2+H789*Prislapp!$H$2+I789*Prislapp!$I$2+J789*Prislapp!$J$2+K789*Prislapp!$K$2+L789*Prislapp!$L$2+M789*Prislapp!$M$2+N789*Prislapp!$N$2</f>
        <v>20766</v>
      </c>
      <c r="P789" s="40">
        <f>C789*Prislapp!$C$3+D789*Prislapp!$D$3+E789*Prislapp!$E$3+F789*Prislapp!$F$3+G789*Prislapp!$G$3+H789*Prislapp!$H$3+I789*Prislapp!$I$3+J789*Prislapp!$J$3+K789*Prislapp!$K$3+M789*Prislapp!$M$3+N789*Prislapp!$N$3+L789*Prislapp!$L$3</f>
        <v>17442</v>
      </c>
      <c r="Q789" s="40">
        <f>C789*Prislapp!$C$5+D789*Prislapp!$D$5+E789*Prislapp!$E$5+F789*Prislapp!$F$5+G789*Prislapp!$G$5+H789*Prislapp!$H$5+I789*Prislapp!$I$5+J789*Prislapp!$J$5+K789*Prislapp!$K$5+L789*Prislapp!$L$5+M789*Prislapp!$M$5+N789*Prislapp!$N$5</f>
        <v>6000</v>
      </c>
      <c r="R789" s="9">
        <f>VLOOKUP(A789,'Ansvar kurs'!$A$2:$B$943,2,FALSE)</f>
        <v>2340</v>
      </c>
    </row>
    <row r="790" spans="1:19" x14ac:dyDescent="0.25">
      <c r="A790" s="31" t="s">
        <v>2300</v>
      </c>
      <c r="B790" s="31" t="s">
        <v>2303</v>
      </c>
      <c r="I790" s="31">
        <v>1</v>
      </c>
      <c r="O790" s="40">
        <f>C790*Prislapp!$C$2+D790*Prislapp!$D$2+E790*Prislapp!$E$2+F790*Prislapp!$F$2+G790*Prislapp!$G$2+H790*Prislapp!$H$2+I790*Prislapp!$I$2+J790*Prislapp!$J$2+K790*Prislapp!$K$2+L790*Prislapp!$L$2+M790*Prislapp!$M$2+N790*Prislapp!$N$2</f>
        <v>20766</v>
      </c>
      <c r="P790" s="40">
        <f>C790*Prislapp!$C$3+D790*Prislapp!$D$3+E790*Prislapp!$E$3+F790*Prislapp!$F$3+G790*Prislapp!$G$3+H790*Prislapp!$H$3+I790*Prislapp!$I$3+J790*Prislapp!$J$3+K790*Prislapp!$K$3+M790*Prislapp!$M$3+N790*Prislapp!$N$3+L790*Prislapp!$L$3</f>
        <v>17442</v>
      </c>
      <c r="Q790" s="40">
        <f>C790*Prislapp!$C$5+D790*Prislapp!$D$5+E790*Prislapp!$E$5+F790*Prislapp!$F$5+G790*Prislapp!$G$5+H790*Prislapp!$H$5+I790*Prislapp!$I$5+J790*Prislapp!$J$5+K790*Prislapp!$K$5+L790*Prislapp!$L$5+M790*Prislapp!$M$5+N790*Prislapp!$N$5</f>
        <v>6000</v>
      </c>
      <c r="R790" s="9">
        <f>VLOOKUP(A790,'Ansvar kurs'!$A$2:$B$943,2,FALSE)</f>
        <v>2340</v>
      </c>
    </row>
    <row r="791" spans="1:19" x14ac:dyDescent="0.25">
      <c r="A791" s="31" t="s">
        <v>2301</v>
      </c>
      <c r="B791" s="31" t="s">
        <v>2304</v>
      </c>
      <c r="I791" s="31">
        <v>1</v>
      </c>
      <c r="O791" s="40">
        <f>C791*Prislapp!$C$2+D791*Prislapp!$D$2+E791*Prislapp!$E$2+F791*Prislapp!$F$2+G791*Prislapp!$G$2+H791*Prislapp!$H$2+I791*Prislapp!$I$2+J791*Prislapp!$J$2+K791*Prislapp!$K$2+L791*Prislapp!$L$2+M791*Prislapp!$M$2+N791*Prislapp!$N$2</f>
        <v>20766</v>
      </c>
      <c r="P791" s="40">
        <f>C791*Prislapp!$C$3+D791*Prislapp!$D$3+E791*Prislapp!$E$3+F791*Prislapp!$F$3+G791*Prislapp!$G$3+H791*Prislapp!$H$3+I791*Prislapp!$I$3+J791*Prislapp!$J$3+K791*Prislapp!$K$3+M791*Prislapp!$M$3+N791*Prislapp!$N$3+L791*Prislapp!$L$3</f>
        <v>17442</v>
      </c>
      <c r="Q791" s="40">
        <f>C791*Prislapp!$C$5+D791*Prislapp!$D$5+E791*Prislapp!$E$5+F791*Prislapp!$F$5+G791*Prislapp!$G$5+H791*Prislapp!$H$5+I791*Prislapp!$I$5+J791*Prislapp!$J$5+K791*Prislapp!$K$5+L791*Prislapp!$L$5+M791*Prislapp!$M$5+N791*Prislapp!$N$5</f>
        <v>6000</v>
      </c>
      <c r="R791" s="9">
        <f>VLOOKUP(A791,'Ansvar kurs'!$A$2:$B$943,2,FALSE)</f>
        <v>2340</v>
      </c>
    </row>
    <row r="792" spans="1:19" x14ac:dyDescent="0.25">
      <c r="A792" s="31" t="s">
        <v>2302</v>
      </c>
      <c r="B792" s="31" t="s">
        <v>2305</v>
      </c>
      <c r="I792" s="31">
        <v>1</v>
      </c>
      <c r="O792" s="40">
        <f>C792*Prislapp!$C$2+D792*Prislapp!$D$2+E792*Prislapp!$E$2+F792*Prislapp!$F$2+G792*Prislapp!$G$2+H792*Prislapp!$H$2+I792*Prislapp!$I$2+J792*Prislapp!$J$2+K792*Prislapp!$K$2+L792*Prislapp!$L$2+M792*Prislapp!$M$2+N792*Prislapp!$N$2</f>
        <v>20766</v>
      </c>
      <c r="P792" s="40">
        <f>C792*Prislapp!$C$3+D792*Prislapp!$D$3+E792*Prislapp!$E$3+F792*Prislapp!$F$3+G792*Prislapp!$G$3+H792*Prislapp!$H$3+I792*Prislapp!$I$3+J792*Prislapp!$J$3+K792*Prislapp!$K$3+M792*Prislapp!$M$3+N792*Prislapp!$N$3+L792*Prislapp!$L$3</f>
        <v>17442</v>
      </c>
      <c r="Q792" s="40">
        <f>C792*Prislapp!$C$5+D792*Prislapp!$D$5+E792*Prislapp!$E$5+F792*Prislapp!$F$5+G792*Prislapp!$G$5+H792*Prislapp!$H$5+I792*Prislapp!$I$5+J792*Prislapp!$J$5+K792*Prislapp!$K$5+L792*Prislapp!$L$5+M792*Prislapp!$M$5+N792*Prislapp!$N$5</f>
        <v>6000</v>
      </c>
      <c r="R792" s="9">
        <f>VLOOKUP(A792,'Ansvar kurs'!$A$2:$B$943,2,FALSE)</f>
        <v>2340</v>
      </c>
    </row>
    <row r="793" spans="1:19" x14ac:dyDescent="0.25">
      <c r="A793" s="31" t="s">
        <v>100</v>
      </c>
      <c r="B793" s="31" t="s">
        <v>738</v>
      </c>
      <c r="D793" s="31">
        <v>1</v>
      </c>
      <c r="O793" s="40">
        <f>C793*Prislapp!$C$2+D793*Prislapp!$D$2+E793*Prislapp!$E$2+F793*Prislapp!$F$2+G793*Prislapp!$G$2+H793*Prislapp!$H$2+I793*Prislapp!$I$2+J793*Prislapp!$J$2+K793*Prislapp!$K$2+L793*Prislapp!$L$2+M793*Prislapp!$M$2+N793*Prislapp!$N$2</f>
        <v>20766</v>
      </c>
      <c r="P793" s="40">
        <f>C793*Prislapp!$C$3+D793*Prislapp!$D$3+E793*Prislapp!$E$3+F793*Prislapp!$F$3+G793*Prislapp!$G$3+H793*Prislapp!$H$3+I793*Prislapp!$I$3+J793*Prislapp!$J$3+K793*Prislapp!$K$3+M793*Prislapp!$M$3+N793*Prislapp!$N$3+L793*Prislapp!$L$3</f>
        <v>17442</v>
      </c>
      <c r="Q793" s="40">
        <f>C793*Prislapp!$C$5+D793*Prislapp!$D$5+E793*Prislapp!$E$5+F793*Prislapp!$F$5+G793*Prislapp!$G$5+H793*Prislapp!$H$5+I793*Prislapp!$I$5+J793*Prislapp!$J$5+K793*Prislapp!$K$5+L793*Prislapp!$L$5+M793*Prislapp!$M$5+N793*Prislapp!$N$5</f>
        <v>6000</v>
      </c>
      <c r="R793" s="9">
        <f>VLOOKUP(A793,'Ansvar kurs'!$A$2:$B$943,2,FALSE)</f>
        <v>1640</v>
      </c>
    </row>
    <row r="794" spans="1:19" x14ac:dyDescent="0.25">
      <c r="A794" s="31" t="s">
        <v>516</v>
      </c>
      <c r="B794" s="31" t="s">
        <v>557</v>
      </c>
      <c r="D794" s="31">
        <v>1</v>
      </c>
      <c r="O794" s="40">
        <f>C794*Prislapp!$C$2+D794*Prislapp!$D$2+E794*Prislapp!$E$2+F794*Prislapp!$F$2+G794*Prislapp!$G$2+H794*Prislapp!$H$2+I794*Prislapp!$I$2+J794*Prislapp!$J$2+K794*Prislapp!$K$2+L794*Prislapp!$L$2+M794*Prislapp!$M$2+N794*Prislapp!$N$2</f>
        <v>20766</v>
      </c>
      <c r="P794" s="40">
        <f>C794*Prislapp!$C$3+D794*Prislapp!$D$3+E794*Prislapp!$E$3+F794*Prislapp!$F$3+G794*Prislapp!$G$3+H794*Prislapp!$H$3+I794*Prislapp!$I$3+J794*Prislapp!$J$3+K794*Prislapp!$K$3+M794*Prislapp!$M$3+N794*Prislapp!$N$3+L794*Prislapp!$L$3</f>
        <v>17442</v>
      </c>
      <c r="Q794" s="40">
        <f>C794*Prislapp!$C$5+D794*Prislapp!$D$5+E794*Prislapp!$E$5+F794*Prislapp!$F$5+G794*Prislapp!$G$5+H794*Prislapp!$H$5+I794*Prislapp!$I$5+J794*Prislapp!$J$5+K794*Prislapp!$K$5+L794*Prislapp!$L$5+M794*Prislapp!$M$5+N794*Prislapp!$N$5</f>
        <v>6000</v>
      </c>
      <c r="R794" s="9">
        <f>VLOOKUP(A794,'Ansvar kurs'!$A$2:$B$943,2,FALSE)</f>
        <v>1620</v>
      </c>
      <c r="S794" s="31" t="s">
        <v>1276</v>
      </c>
    </row>
    <row r="795" spans="1:19" x14ac:dyDescent="0.25">
      <c r="A795" s="221" t="s">
        <v>517</v>
      </c>
      <c r="B795" s="31" t="s">
        <v>558</v>
      </c>
      <c r="D795" s="31">
        <v>1</v>
      </c>
      <c r="O795" s="40">
        <f>C795*Prislapp!$C$2+D795*Prislapp!$D$2+E795*Prislapp!$E$2+F795*Prislapp!$F$2+G795*Prislapp!$G$2+H795*Prislapp!$H$2+I795*Prislapp!$I$2+J795*Prislapp!$J$2+K795*Prislapp!$K$2+L795*Prislapp!$L$2+M795*Prislapp!$M$2+N795*Prislapp!$N$2</f>
        <v>20766</v>
      </c>
      <c r="P795" s="40">
        <f>C795*Prislapp!$C$3+D795*Prislapp!$D$3+E795*Prislapp!$E$3+F795*Prislapp!$F$3+G795*Prislapp!$G$3+H795*Prislapp!$H$3+I795*Prislapp!$I$3+J795*Prislapp!$J$3+K795*Prislapp!$K$3+M795*Prislapp!$M$3+N795*Prislapp!$N$3+L795*Prislapp!$L$3</f>
        <v>17442</v>
      </c>
      <c r="Q795" s="40">
        <f>C795*Prislapp!$C$5+D795*Prislapp!$D$5+E795*Prislapp!$E$5+F795*Prislapp!$F$5+G795*Prislapp!$G$5+H795*Prislapp!$H$5+I795*Prislapp!$I$5+J795*Prislapp!$J$5+K795*Prislapp!$K$5+L795*Prislapp!$L$5+M795*Prislapp!$M$5+N795*Prislapp!$N$5</f>
        <v>6000</v>
      </c>
      <c r="R795" s="9">
        <f>VLOOKUP(A795,'Ansvar kurs'!$A$2:$B$943,2,FALSE)</f>
        <v>1620</v>
      </c>
      <c r="S795" s="31" t="s">
        <v>1276</v>
      </c>
    </row>
    <row r="796" spans="1:19" x14ac:dyDescent="0.25">
      <c r="A796" s="221" t="s">
        <v>601</v>
      </c>
      <c r="B796" s="31" t="s">
        <v>619</v>
      </c>
      <c r="D796" s="31">
        <v>1</v>
      </c>
      <c r="O796" s="40">
        <f>C796*Prislapp!$C$2+D796*Prislapp!$D$2+E796*Prislapp!$E$2+F796*Prislapp!$F$2+G796*Prislapp!$G$2+H796*Prislapp!$H$2+I796*Prislapp!$I$2+J796*Prislapp!$J$2+K796*Prislapp!$K$2+L796*Prislapp!$L$2+M796*Prislapp!$M$2+N796*Prislapp!$N$2</f>
        <v>20766</v>
      </c>
      <c r="P796" s="40">
        <f>C796*Prislapp!$C$3+D796*Prislapp!$D$3+E796*Prislapp!$E$3+F796*Prislapp!$F$3+G796*Prislapp!$G$3+H796*Prislapp!$H$3+I796*Prislapp!$I$3+J796*Prislapp!$J$3+K796*Prislapp!$K$3+M796*Prislapp!$M$3+N796*Prislapp!$N$3+L796*Prislapp!$L$3</f>
        <v>17442</v>
      </c>
      <c r="Q796" s="40">
        <f>C796*Prislapp!$C$5+D796*Prislapp!$D$5+E796*Prislapp!$E$5+F796*Prislapp!$F$5+G796*Prislapp!$G$5+H796*Prislapp!$H$5+I796*Prislapp!$I$5+J796*Prislapp!$J$5+K796*Prislapp!$K$5+L796*Prislapp!$L$5+M796*Prislapp!$M$5+N796*Prislapp!$N$5</f>
        <v>6000</v>
      </c>
      <c r="R796" s="9">
        <f>VLOOKUP(A796,'Ansvar kurs'!$A$2:$B$943,2,FALSE)</f>
        <v>1620</v>
      </c>
      <c r="S796" s="31" t="s">
        <v>1276</v>
      </c>
    </row>
    <row r="797" spans="1:19" x14ac:dyDescent="0.25">
      <c r="A797" s="31" t="s">
        <v>518</v>
      </c>
      <c r="B797" s="31" t="s">
        <v>559</v>
      </c>
      <c r="D797" s="31">
        <v>1</v>
      </c>
      <c r="O797" s="40">
        <f>C797*Prislapp!$C$2+D797*Prislapp!$D$2+E797*Prislapp!$E$2+F797*Prislapp!$F$2+G797*Prislapp!$G$2+H797*Prislapp!$H$2+I797*Prislapp!$I$2+J797*Prislapp!$J$2+K797*Prislapp!$K$2+L797*Prislapp!$L$2+M797*Prislapp!$M$2+N797*Prislapp!$N$2</f>
        <v>20766</v>
      </c>
      <c r="P797" s="40">
        <f>C797*Prislapp!$C$3+D797*Prislapp!$D$3+E797*Prislapp!$E$3+F797*Prislapp!$F$3+G797*Prislapp!$G$3+H797*Prislapp!$H$3+I797*Prislapp!$I$3+J797*Prislapp!$J$3+K797*Prislapp!$K$3+M797*Prislapp!$M$3+N797*Prislapp!$N$3+L797*Prislapp!$L$3</f>
        <v>17442</v>
      </c>
      <c r="Q797" s="40">
        <f>C797*Prislapp!$C$5+D797*Prislapp!$D$5+E797*Prislapp!$E$5+F797*Prislapp!$F$5+G797*Prislapp!$G$5+H797*Prislapp!$H$5+I797*Prislapp!$I$5+J797*Prislapp!$J$5+K797*Prislapp!$K$5+L797*Prislapp!$L$5+M797*Prislapp!$M$5+N797*Prislapp!$N$5</f>
        <v>6000</v>
      </c>
      <c r="R797" s="9">
        <f>VLOOKUP(A797,'Ansvar kurs'!$A$2:$B$943,2,FALSE)</f>
        <v>1620</v>
      </c>
      <c r="S797" s="31" t="s">
        <v>1276</v>
      </c>
    </row>
    <row r="798" spans="1:19" x14ac:dyDescent="0.25">
      <c r="A798" s="221" t="s">
        <v>519</v>
      </c>
      <c r="B798" s="31" t="s">
        <v>560</v>
      </c>
      <c r="D798" s="31">
        <v>1</v>
      </c>
      <c r="O798" s="40">
        <f>C798*Prislapp!$C$2+D798*Prislapp!$D$2+E798*Prislapp!$E$2+F798*Prislapp!$F$2+G798*Prislapp!$G$2+H798*Prislapp!$H$2+I798*Prislapp!$I$2+J798*Prislapp!$J$2+K798*Prislapp!$K$2+L798*Prislapp!$L$2+M798*Prislapp!$M$2+N798*Prislapp!$N$2</f>
        <v>20766</v>
      </c>
      <c r="P798" s="40">
        <f>C798*Prislapp!$C$3+D798*Prislapp!$D$3+E798*Prislapp!$E$3+F798*Prislapp!$F$3+G798*Prislapp!$G$3+H798*Prislapp!$H$3+I798*Prislapp!$I$3+J798*Prislapp!$J$3+K798*Prislapp!$K$3+M798*Prislapp!$M$3+N798*Prislapp!$N$3+L798*Prislapp!$L$3</f>
        <v>17442</v>
      </c>
      <c r="Q798" s="40">
        <f>C798*Prislapp!$C$5+D798*Prislapp!$D$5+E798*Prislapp!$E$5+F798*Prislapp!$F$5+G798*Prislapp!$G$5+H798*Prislapp!$H$5+I798*Prislapp!$I$5+J798*Prislapp!$J$5+K798*Prislapp!$K$5+L798*Prislapp!$L$5+M798*Prislapp!$M$5+N798*Prislapp!$N$5</f>
        <v>6000</v>
      </c>
      <c r="R798" s="9">
        <f>VLOOKUP(A798,'Ansvar kurs'!$A$2:$B$943,2,FALSE)</f>
        <v>1620</v>
      </c>
      <c r="S798" s="31" t="s">
        <v>1276</v>
      </c>
    </row>
    <row r="799" spans="1:19" x14ac:dyDescent="0.25">
      <c r="A799" s="221" t="s">
        <v>602</v>
      </c>
      <c r="B799" s="31" t="s">
        <v>620</v>
      </c>
      <c r="D799" s="31">
        <v>1</v>
      </c>
      <c r="O799" s="40">
        <f>C799*Prislapp!$C$2+D799*Prislapp!$D$2+E799*Prislapp!$E$2+F799*Prislapp!$F$2+G799*Prislapp!$G$2+H799*Prislapp!$H$2+I799*Prislapp!$I$2+J799*Prislapp!$J$2+K799*Prislapp!$K$2+L799*Prislapp!$L$2+M799*Prislapp!$M$2+N799*Prislapp!$N$2</f>
        <v>20766</v>
      </c>
      <c r="P799" s="40">
        <f>C799*Prislapp!$C$3+D799*Prislapp!$D$3+E799*Prislapp!$E$3+F799*Prislapp!$F$3+G799*Prislapp!$G$3+H799*Prislapp!$H$3+I799*Prislapp!$I$3+J799*Prislapp!$J$3+K799*Prislapp!$K$3+M799*Prislapp!$M$3+N799*Prislapp!$N$3+L799*Prislapp!$L$3</f>
        <v>17442</v>
      </c>
      <c r="Q799" s="40">
        <f>C799*Prislapp!$C$5+D799*Prislapp!$D$5+E799*Prislapp!$E$5+F799*Prislapp!$F$5+G799*Prislapp!$G$5+H799*Prislapp!$H$5+I799*Prislapp!$I$5+J799*Prislapp!$J$5+K799*Prislapp!$K$5+L799*Prislapp!$L$5+M799*Prislapp!$M$5+N799*Prislapp!$N$5</f>
        <v>6000</v>
      </c>
      <c r="R799" s="9">
        <f>VLOOKUP(A799,'Ansvar kurs'!$A$2:$B$943,2,FALSE)</f>
        <v>1620</v>
      </c>
      <c r="S799" s="31" t="s">
        <v>1276</v>
      </c>
    </row>
    <row r="800" spans="1:19" x14ac:dyDescent="0.25">
      <c r="A800" s="60" t="s">
        <v>865</v>
      </c>
      <c r="B800" s="31" t="s">
        <v>1212</v>
      </c>
      <c r="D800" s="31">
        <v>1</v>
      </c>
      <c r="O800" s="40">
        <f>C800*Prislapp!$C$2+D800*Prislapp!$D$2+E800*Prislapp!$E$2+F800*Prislapp!$F$2+G800*Prislapp!$G$2+H800*Prislapp!$H$2+I800*Prislapp!$I$2+J800*Prislapp!$J$2+K800*Prislapp!$K$2+L800*Prislapp!$L$2+M800*Prislapp!$M$2+N800*Prislapp!$N$2</f>
        <v>20766</v>
      </c>
      <c r="P800" s="40">
        <f>C800*Prislapp!$C$3+D800*Prislapp!$D$3+E800*Prislapp!$E$3+F800*Prislapp!$F$3+G800*Prislapp!$G$3+H800*Prislapp!$H$3+I800*Prislapp!$I$3+J800*Prislapp!$J$3+K800*Prislapp!$K$3+M800*Prislapp!$M$3+N800*Prislapp!$N$3+L800*Prislapp!$L$3</f>
        <v>17442</v>
      </c>
      <c r="Q800" s="40">
        <f>C800*Prislapp!$C$5+D800*Prislapp!$D$5+E800*Prislapp!$E$5+F800*Prislapp!$F$5+G800*Prislapp!$G$5+H800*Prislapp!$H$5+I800*Prislapp!$I$5+J800*Prislapp!$J$5+K800*Prislapp!$K$5+L800*Prislapp!$L$5+M800*Prislapp!$M$5+N800*Prislapp!$N$5</f>
        <v>6000</v>
      </c>
      <c r="R800" s="9">
        <f>VLOOKUP(A800,'Ansvar kurs'!$A$2:$B$943,2,FALSE)</f>
        <v>1620</v>
      </c>
    </row>
    <row r="801" spans="1:26" x14ac:dyDescent="0.25">
      <c r="A801" s="57" t="s">
        <v>866</v>
      </c>
      <c r="B801" s="60" t="s">
        <v>873</v>
      </c>
      <c r="D801" s="31">
        <v>1</v>
      </c>
      <c r="O801" s="40">
        <f>C801*Prislapp!$C$2+D801*Prislapp!$D$2+E801*Prislapp!$E$2+F801*Prislapp!$F$2+G801*Prislapp!$G$2+H801*Prislapp!$H$2+I801*Prislapp!$I$2+J801*Prislapp!$J$2+K801*Prislapp!$K$2+L801*Prislapp!$L$2+M801*Prislapp!$M$2+N801*Prislapp!$N$2</f>
        <v>20766</v>
      </c>
      <c r="P801" s="40">
        <f>C801*Prislapp!$C$3+D801*Prislapp!$D$3+E801*Prislapp!$E$3+F801*Prislapp!$F$3+G801*Prislapp!$G$3+H801*Prislapp!$H$3+I801*Prislapp!$I$3+J801*Prislapp!$J$3+K801*Prislapp!$K$3+M801*Prislapp!$M$3+N801*Prislapp!$N$3+L801*Prislapp!$L$3</f>
        <v>17442</v>
      </c>
      <c r="Q801" s="40">
        <f>C801*Prislapp!$C$5+D801*Prislapp!$D$5+E801*Prislapp!$E$5+F801*Prislapp!$F$5+G801*Prislapp!$G$5+H801*Prislapp!$H$5+I801*Prislapp!$I$5+J801*Prislapp!$J$5+K801*Prislapp!$K$5+L801*Prislapp!$L$5+M801*Prislapp!$M$5+N801*Prislapp!$N$5</f>
        <v>6000</v>
      </c>
      <c r="R801" s="9">
        <f>VLOOKUP(A801,'Ansvar kurs'!$A$2:$B$943,2,FALSE)</f>
        <v>1620</v>
      </c>
    </row>
    <row r="802" spans="1:26" x14ac:dyDescent="0.25">
      <c r="A802" s="60" t="s">
        <v>1027</v>
      </c>
      <c r="B802" s="60" t="s">
        <v>1047</v>
      </c>
      <c r="D802" s="31">
        <v>1</v>
      </c>
      <c r="O802" s="40">
        <f>C802*Prislapp!$C$2+D802*Prislapp!$D$2+E802*Prislapp!$E$2+F802*Prislapp!$F$2+G802*Prislapp!$G$2+H802*Prislapp!$H$2+I802*Prislapp!$I$2+J802*Prislapp!$J$2+K802*Prislapp!$K$2+L802*Prislapp!$L$2+M802*Prislapp!$M$2+N802*Prislapp!$N$2</f>
        <v>20766</v>
      </c>
      <c r="P802" s="40">
        <f>C802*Prislapp!$C$3+D802*Prislapp!$D$3+E802*Prislapp!$E$3+F802*Prislapp!$F$3+G802*Prislapp!$G$3+H802*Prislapp!$H$3+I802*Prislapp!$I$3+J802*Prislapp!$J$3+K802*Prislapp!$K$3+M802*Prislapp!$M$3+N802*Prislapp!$N$3+L802*Prislapp!$L$3</f>
        <v>17442</v>
      </c>
      <c r="Q802" s="40">
        <f>C802*Prislapp!$C$5+D802*Prislapp!$D$5+E802*Prislapp!$E$5+F802*Prislapp!$F$5+G802*Prislapp!$G$5+H802*Prislapp!$H$5+I802*Prislapp!$I$5+J802*Prislapp!$J$5+K802*Prislapp!$K$5+L802*Prislapp!$L$5+M802*Prislapp!$M$5+N802*Prislapp!$N$5</f>
        <v>6000</v>
      </c>
      <c r="R802" s="9">
        <f>VLOOKUP(A802,'Ansvar kurs'!$A$2:$B$943,2,FALSE)</f>
        <v>1620</v>
      </c>
    </row>
    <row r="803" spans="1:26" x14ac:dyDescent="0.25">
      <c r="A803" s="222" t="s">
        <v>923</v>
      </c>
      <c r="B803" s="31" t="s">
        <v>1213</v>
      </c>
      <c r="D803" s="31">
        <v>1</v>
      </c>
      <c r="O803" s="40">
        <f>C803*Prislapp!$C$2+D803*Prislapp!$D$2+E803*Prislapp!$E$2+F803*Prislapp!$F$2+G803*Prislapp!$G$2+H803*Prislapp!$H$2+I803*Prislapp!$I$2+J803*Prislapp!$J$2+K803*Prislapp!$K$2+L803*Prislapp!$L$2+M803*Prislapp!$M$2+N803*Prislapp!$N$2</f>
        <v>20766</v>
      </c>
      <c r="P803" s="40">
        <f>C803*Prislapp!$C$3+D803*Prislapp!$D$3+E803*Prislapp!$E$3+F803*Prislapp!$F$3+G803*Prislapp!$G$3+H803*Prislapp!$H$3+I803*Prislapp!$I$3+J803*Prislapp!$J$3+K803*Prislapp!$K$3+M803*Prislapp!$M$3+N803*Prislapp!$N$3+L803*Prislapp!$L$3</f>
        <v>17442</v>
      </c>
      <c r="Q803" s="40">
        <f>C803*Prislapp!$C$5+D803*Prislapp!$D$5+E803*Prislapp!$E$5+F803*Prislapp!$F$5+G803*Prislapp!$G$5+H803*Prislapp!$H$5+I803*Prislapp!$I$5+J803*Prislapp!$J$5+K803*Prislapp!$K$5+L803*Prislapp!$L$5+M803*Prislapp!$M$5+N803*Prislapp!$N$5</f>
        <v>6000</v>
      </c>
      <c r="R803" s="9">
        <f>VLOOKUP(A803,'Ansvar kurs'!$A$2:$B$943,2,FALSE)</f>
        <v>1620</v>
      </c>
      <c r="S803" s="157"/>
    </row>
    <row r="804" spans="1:26" x14ac:dyDescent="0.25">
      <c r="A804" s="222" t="s">
        <v>1066</v>
      </c>
      <c r="B804" s="31" t="s">
        <v>1071</v>
      </c>
      <c r="D804" s="31">
        <v>1</v>
      </c>
      <c r="O804" s="40">
        <f>C804*Prislapp!$C$2+D804*Prislapp!$D$2+E804*Prislapp!$E$2+F804*Prislapp!$F$2+G804*Prislapp!$G$2+H804*Prislapp!$H$2+I804*Prislapp!$I$2+J804*Prislapp!$J$2+K804*Prislapp!$K$2+L804*Prislapp!$L$2+M804*Prislapp!$M$2+N804*Prislapp!$N$2</f>
        <v>20766</v>
      </c>
      <c r="P804" s="40">
        <f>C804*Prislapp!$C$3+D804*Prislapp!$D$3+E804*Prislapp!$E$3+F804*Prislapp!$F$3+G804*Prislapp!$G$3+H804*Prislapp!$H$3+I804*Prislapp!$I$3+J804*Prislapp!$J$3+K804*Prislapp!$K$3+M804*Prislapp!$M$3+N804*Prislapp!$N$3+L804*Prislapp!$L$3</f>
        <v>17442</v>
      </c>
      <c r="Q804" s="40">
        <f>C804*Prislapp!$C$5+D804*Prislapp!$D$5+E804*Prislapp!$E$5+F804*Prislapp!$F$5+G804*Prislapp!$G$5+H804*Prislapp!$H$5+I804*Prislapp!$I$5+J804*Prislapp!$J$5+K804*Prislapp!$K$5+L804*Prislapp!$L$5+M804*Prislapp!$M$5+N804*Prislapp!$N$5</f>
        <v>6000</v>
      </c>
      <c r="R804" s="9">
        <f>VLOOKUP(A804,'Ansvar kurs'!$A$2:$B$943,2,FALSE)</f>
        <v>1620</v>
      </c>
      <c r="S804" s="157"/>
    </row>
    <row r="805" spans="1:26" x14ac:dyDescent="0.25">
      <c r="A805" s="222" t="s">
        <v>1052</v>
      </c>
      <c r="B805" s="31" t="s">
        <v>1061</v>
      </c>
      <c r="D805" s="31">
        <v>1</v>
      </c>
      <c r="O805" s="40">
        <f>C805*Prislapp!$C$2+D805*Prislapp!$D$2+E805*Prislapp!$E$2+F805*Prislapp!$F$2+G805*Prislapp!$G$2+H805*Prislapp!$H$2+I805*Prislapp!$I$2+J805*Prislapp!$J$2+K805*Prislapp!$K$2+L805*Prislapp!$L$2+M805*Prislapp!$M$2+N805*Prislapp!$N$2</f>
        <v>20766</v>
      </c>
      <c r="P805" s="40">
        <f>C805*Prislapp!$C$3+D805*Prislapp!$D$3+E805*Prislapp!$E$3+F805*Prislapp!$F$3+G805*Prislapp!$G$3+H805*Prislapp!$H$3+I805*Prislapp!$I$3+J805*Prislapp!$J$3+K805*Prislapp!$K$3+M805*Prislapp!$M$3+N805*Prislapp!$N$3+L805*Prislapp!$L$3</f>
        <v>17442</v>
      </c>
      <c r="Q805" s="40">
        <f>C805*Prislapp!$C$5+D805*Prislapp!$D$5+E805*Prislapp!$E$5+F805*Prislapp!$F$5+G805*Prislapp!$G$5+H805*Prislapp!$H$5+I805*Prislapp!$I$5+J805*Prislapp!$J$5+K805*Prislapp!$K$5+L805*Prislapp!$L$5+M805*Prislapp!$M$5+N805*Prislapp!$N$5</f>
        <v>6000</v>
      </c>
      <c r="R805" s="9">
        <f>VLOOKUP(A805,'Ansvar kurs'!$A$2:$B$943,2,FALSE)</f>
        <v>1620</v>
      </c>
      <c r="S805" s="157"/>
    </row>
    <row r="806" spans="1:26" x14ac:dyDescent="0.25">
      <c r="A806" s="222" t="s">
        <v>1058</v>
      </c>
      <c r="B806" s="31" t="s">
        <v>1135</v>
      </c>
      <c r="K806" s="31">
        <v>1</v>
      </c>
      <c r="O806" s="40">
        <f>C806*Prislapp!$C$2+D806*Prislapp!$D$2+E806*Prislapp!$E$2+F806*Prislapp!$F$2+G806*Prislapp!$G$2+H806*Prislapp!$H$2+I806*Prislapp!$I$2+J806*Prislapp!$J$2+K806*Prislapp!$K$2+L806*Prislapp!$L$2+M806*Prislapp!$M$2+N806*Prislapp!$N$2</f>
        <v>25235</v>
      </c>
      <c r="P806" s="40">
        <f>C806*Prislapp!$C$3+D806*Prislapp!$D$3+E806*Prislapp!$E$3+F806*Prislapp!$F$3+G806*Prislapp!$G$3+H806*Prislapp!$H$3+I806*Prislapp!$I$3+J806*Prislapp!$J$3+K806*Prislapp!$K$3+M806*Prislapp!$M$3+N806*Prislapp!$N$3+L806*Prislapp!$L$3</f>
        <v>27976</v>
      </c>
      <c r="Q806" s="40">
        <f>C806*Prislapp!$C$5+D806*Prislapp!$D$5+E806*Prislapp!$E$5+F806*Prislapp!$F$5+G806*Prislapp!$G$5+H806*Prislapp!$H$5+I806*Prislapp!$I$5+J806*Prislapp!$J$5+K806*Prislapp!$K$5+L806*Prislapp!$L$5+M806*Prislapp!$M$5+N806*Prislapp!$N$5</f>
        <v>3600</v>
      </c>
      <c r="R806" s="9">
        <f>VLOOKUP(A806,'Ansvar kurs'!$A$2:$B$943,2,FALSE)</f>
        <v>1620</v>
      </c>
      <c r="S806" s="157"/>
    </row>
    <row r="807" spans="1:26" x14ac:dyDescent="0.25">
      <c r="A807" s="222" t="s">
        <v>1766</v>
      </c>
      <c r="B807" s="31" t="s">
        <v>1776</v>
      </c>
      <c r="D807" s="31">
        <v>1</v>
      </c>
      <c r="O807" s="40">
        <f>C807*Prislapp!$C$2+D807*Prislapp!$D$2+E807*Prislapp!$E$2+F807*Prislapp!$F$2+G807*Prislapp!$G$2+H807*Prislapp!$H$2+I807*Prislapp!$I$2+J807*Prislapp!$J$2+K807*Prislapp!$K$2+L807*Prislapp!$L$2+M807*Prislapp!$M$2+N807*Prislapp!$N$2</f>
        <v>20766</v>
      </c>
      <c r="P807" s="40">
        <f>C807*Prislapp!$C$3+D807*Prislapp!$D$3+E807*Prislapp!$E$3+F807*Prislapp!$F$3+G807*Prislapp!$G$3+H807*Prislapp!$H$3+I807*Prislapp!$I$3+J807*Prislapp!$J$3+K807*Prislapp!$K$3+M807*Prislapp!$M$3+N807*Prislapp!$N$3+L807*Prislapp!$L$3</f>
        <v>17442</v>
      </c>
      <c r="Q807" s="40">
        <f>C807*Prislapp!$C$5+D807*Prislapp!$D$5+E807*Prislapp!$E$5+F807*Prislapp!$F$5+G807*Prislapp!$G$5+H807*Prislapp!$H$5+I807*Prislapp!$I$5+J807*Prislapp!$J$5+K807*Prislapp!$K$5+L807*Prislapp!$L$5+M807*Prislapp!$M$5+N807*Prislapp!$N$5</f>
        <v>6000</v>
      </c>
      <c r="R807" s="9">
        <f>VLOOKUP(A807,'Ansvar kurs'!$A$2:$B$943,2,FALSE)</f>
        <v>1620</v>
      </c>
      <c r="S807" s="157"/>
    </row>
    <row r="808" spans="1:26" x14ac:dyDescent="0.25">
      <c r="A808" s="222" t="s">
        <v>1347</v>
      </c>
      <c r="B808" s="60" t="s">
        <v>1307</v>
      </c>
      <c r="D808" s="31">
        <v>1</v>
      </c>
      <c r="O808" s="40">
        <f>C808*Prislapp!$C$2+D808*Prislapp!$D$2+E808*Prislapp!$E$2+F808*Prislapp!$F$2+G808*Prislapp!$G$2+H808*Prislapp!$H$2+I808*Prislapp!$I$2+J808*Prislapp!$J$2+K808*Prislapp!$K$2+L808*Prislapp!$L$2+M808*Prislapp!$M$2+N808*Prislapp!$N$2</f>
        <v>20766</v>
      </c>
      <c r="P808" s="40">
        <f>C808*Prislapp!$C$3+D808*Prislapp!$D$3+E808*Prislapp!$E$3+F808*Prislapp!$F$3+G808*Prislapp!$G$3+H808*Prislapp!$H$3+I808*Prislapp!$I$3+J808*Prislapp!$J$3+K808*Prislapp!$K$3+M808*Prislapp!$M$3+N808*Prislapp!$N$3+L808*Prislapp!$L$3</f>
        <v>17442</v>
      </c>
      <c r="Q808" s="40">
        <f>C808*Prislapp!$C$5+D808*Prislapp!$D$5+E808*Prislapp!$E$5+F808*Prislapp!$F$5+G808*Prislapp!$G$5+H808*Prislapp!$H$5+I808*Prislapp!$I$5+J808*Prislapp!$J$5+K808*Prislapp!$K$5+L808*Prislapp!$L$5+M808*Prislapp!$M$5+N808*Prislapp!$N$5</f>
        <v>6000</v>
      </c>
      <c r="R808" s="9">
        <f>VLOOKUP(A808,'Ansvar kurs'!$A$2:$B$943,2,FALSE)</f>
        <v>1620</v>
      </c>
      <c r="S808" s="176" t="s">
        <v>1341</v>
      </c>
      <c r="T808" s="157"/>
      <c r="U808" s="157"/>
      <c r="V808" s="157"/>
      <c r="W808" s="157"/>
      <c r="X808" s="157"/>
      <c r="Y808" s="157"/>
      <c r="Z808" s="157"/>
    </row>
    <row r="809" spans="1:26" x14ac:dyDescent="0.25">
      <c r="A809" s="222" t="s">
        <v>1348</v>
      </c>
      <c r="B809" s="60" t="s">
        <v>1349</v>
      </c>
      <c r="D809" s="31">
        <v>1</v>
      </c>
      <c r="O809" s="40">
        <f>C809*Prislapp!$C$2+D809*Prislapp!$D$2+E809*Prislapp!$E$2+F809*Prislapp!$F$2+G809*Prislapp!$G$2+H809*Prislapp!$H$2+I809*Prislapp!$I$2+J809*Prislapp!$J$2+K809*Prislapp!$K$2+L809*Prislapp!$L$2+M809*Prislapp!$M$2+N809*Prislapp!$N$2</f>
        <v>20766</v>
      </c>
      <c r="P809" s="40">
        <f>C809*Prislapp!$C$3+D809*Prislapp!$D$3+E809*Prislapp!$E$3+F809*Prislapp!$F$3+G809*Prislapp!$G$3+H809*Prislapp!$H$3+I809*Prislapp!$I$3+J809*Prislapp!$J$3+K809*Prislapp!$K$3+M809*Prislapp!$M$3+N809*Prislapp!$N$3+L809*Prislapp!$L$3</f>
        <v>17442</v>
      </c>
      <c r="Q809" s="40">
        <f>C809*Prislapp!$C$5+D809*Prislapp!$D$5+E809*Prislapp!$E$5+F809*Prislapp!$F$5+G809*Prislapp!$G$5+H809*Prislapp!$H$5+I809*Prislapp!$I$5+J809*Prislapp!$J$5+K809*Prislapp!$K$5+L809*Prislapp!$L$5+M809*Prislapp!$M$5+N809*Prislapp!$N$5</f>
        <v>6000</v>
      </c>
      <c r="R809" s="9">
        <f>VLOOKUP(A809,'Ansvar kurs'!$A$2:$B$943,2,FALSE)</f>
        <v>1620</v>
      </c>
      <c r="S809" s="176" t="s">
        <v>1341</v>
      </c>
      <c r="T809" s="157"/>
      <c r="U809" s="157"/>
      <c r="V809" s="157"/>
      <c r="W809" s="157"/>
      <c r="X809" s="157"/>
      <c r="Y809" s="157"/>
      <c r="Z809" s="157"/>
    </row>
    <row r="810" spans="1:26" x14ac:dyDescent="0.25">
      <c r="A810" s="222" t="s">
        <v>1350</v>
      </c>
      <c r="B810" s="60" t="s">
        <v>1351</v>
      </c>
      <c r="D810" s="31">
        <v>1</v>
      </c>
      <c r="O810" s="40">
        <f>C810*Prislapp!$C$2+D810*Prislapp!$D$2+E810*Prislapp!$E$2+F810*Prislapp!$F$2+G810*Prislapp!$G$2+H810*Prislapp!$H$2+I810*Prislapp!$I$2+J810*Prislapp!$J$2+K810*Prislapp!$K$2+L810*Prislapp!$L$2+M810*Prislapp!$M$2+N810*Prislapp!$N$2</f>
        <v>20766</v>
      </c>
      <c r="P810" s="40">
        <f>C810*Prislapp!$C$3+D810*Prislapp!$D$3+E810*Prislapp!$E$3+F810*Prislapp!$F$3+G810*Prislapp!$G$3+H810*Prislapp!$H$3+I810*Prislapp!$I$3+J810*Prislapp!$J$3+K810*Prislapp!$K$3+M810*Prislapp!$M$3+N810*Prislapp!$N$3+L810*Prislapp!$L$3</f>
        <v>17442</v>
      </c>
      <c r="Q810" s="40">
        <f>C810*Prislapp!$C$5+D810*Prislapp!$D$5+E810*Prislapp!$E$5+F810*Prislapp!$F$5+G810*Prislapp!$G$5+H810*Prislapp!$H$5+I810*Prislapp!$I$5+J810*Prislapp!$J$5+K810*Prislapp!$K$5+L810*Prislapp!$L$5+M810*Prislapp!$M$5+N810*Prislapp!$N$5</f>
        <v>6000</v>
      </c>
      <c r="R810" s="9">
        <f>VLOOKUP(A810,'Ansvar kurs'!$A$2:$B$943,2,FALSE)</f>
        <v>1620</v>
      </c>
      <c r="S810" s="176" t="s">
        <v>1341</v>
      </c>
      <c r="T810" s="157"/>
      <c r="U810" s="157"/>
      <c r="V810" s="157"/>
      <c r="W810" s="157"/>
      <c r="X810" s="157"/>
      <c r="Y810" s="157"/>
      <c r="Z810" s="157"/>
    </row>
    <row r="811" spans="1:26" x14ac:dyDescent="0.25">
      <c r="A811" s="222" t="s">
        <v>1611</v>
      </c>
      <c r="B811" s="60" t="s">
        <v>1632</v>
      </c>
      <c r="D811" s="31">
        <v>1</v>
      </c>
      <c r="O811" s="40">
        <f>C811*Prislapp!$C$2+D811*Prislapp!$D$2+E811*Prislapp!$E$2+F811*Prislapp!$F$2+G811*Prislapp!$G$2+H811*Prislapp!$H$2+I811*Prislapp!$I$2+J811*Prislapp!$J$2+K811*Prislapp!$K$2+L811*Prislapp!$L$2+M811*Prislapp!$M$2+N811*Prislapp!$N$2</f>
        <v>20766</v>
      </c>
      <c r="P811" s="40">
        <f>C811*Prislapp!$C$3+D811*Prislapp!$D$3+E811*Prislapp!$E$3+F811*Prislapp!$F$3+G811*Prislapp!$G$3+H811*Prislapp!$H$3+I811*Prislapp!$I$3+J811*Prislapp!$J$3+K811*Prislapp!$K$3+M811*Prislapp!$M$3+N811*Prislapp!$N$3+L811*Prislapp!$L$3</f>
        <v>17442</v>
      </c>
      <c r="Q811" s="40">
        <f>C811*Prislapp!$C$5+D811*Prislapp!$D$5+E811*Prislapp!$E$5+F811*Prislapp!$F$5+G811*Prislapp!$G$5+H811*Prislapp!$H$5+I811*Prislapp!$I$5+J811*Prislapp!$J$5+K811*Prislapp!$K$5+L811*Prislapp!$L$5+M811*Prislapp!$M$5+N811*Prislapp!$N$5</f>
        <v>6000</v>
      </c>
      <c r="R811" s="9">
        <f>VLOOKUP(A811,'Ansvar kurs'!$A$2:$B$943,2,FALSE)</f>
        <v>1620</v>
      </c>
      <c r="S811" s="176"/>
      <c r="T811" s="157"/>
      <c r="U811" s="157"/>
      <c r="V811" s="157"/>
      <c r="W811" s="157"/>
      <c r="X811" s="157"/>
      <c r="Y811" s="157"/>
      <c r="Z811" s="157"/>
    </row>
    <row r="812" spans="1:26" x14ac:dyDescent="0.25">
      <c r="A812" s="222" t="s">
        <v>1767</v>
      </c>
      <c r="B812" s="60" t="s">
        <v>1777</v>
      </c>
      <c r="D812" s="31">
        <v>1</v>
      </c>
      <c r="O812" s="40">
        <f>C812*Prislapp!$C$2+D812*Prislapp!$D$2+E812*Prislapp!$E$2+F812*Prislapp!$F$2+G812*Prislapp!$G$2+H812*Prislapp!$H$2+I812*Prislapp!$I$2+J812*Prislapp!$J$2+K812*Prislapp!$K$2+L812*Prislapp!$L$2+M812*Prislapp!$M$2+N812*Prislapp!$N$2</f>
        <v>20766</v>
      </c>
      <c r="P812" s="40">
        <f>C812*Prislapp!$C$3+D812*Prislapp!$D$3+E812*Prislapp!$E$3+F812*Prislapp!$F$3+G812*Prislapp!$G$3+H812*Prislapp!$H$3+I812*Prislapp!$I$3+J812*Prislapp!$J$3+K812*Prislapp!$K$3+M812*Prislapp!$M$3+N812*Prislapp!$N$3+L812*Prislapp!$L$3</f>
        <v>17442</v>
      </c>
      <c r="Q812" s="40">
        <f>C812*Prislapp!$C$5+D812*Prislapp!$D$5+E812*Prislapp!$E$5+F812*Prislapp!$F$5+G812*Prislapp!$G$5+H812*Prislapp!$H$5+I812*Prislapp!$I$5+J812*Prislapp!$J$5+K812*Prislapp!$K$5+L812*Prislapp!$L$5+M812*Prislapp!$M$5+N812*Prislapp!$N$5</f>
        <v>6000</v>
      </c>
      <c r="R812" s="9">
        <f>VLOOKUP(A812,'Ansvar kurs'!$A$2:$B$943,2,FALSE)</f>
        <v>1620</v>
      </c>
      <c r="S812" s="176"/>
      <c r="T812" s="157"/>
      <c r="U812" s="157"/>
      <c r="V812" s="157"/>
      <c r="W812" s="157"/>
      <c r="X812" s="157"/>
      <c r="Y812" s="157"/>
      <c r="Z812" s="157"/>
    </row>
    <row r="813" spans="1:26" x14ac:dyDescent="0.25">
      <c r="A813" s="222" t="s">
        <v>1612</v>
      </c>
      <c r="B813" s="60" t="s">
        <v>1633</v>
      </c>
      <c r="D813" s="31">
        <v>1</v>
      </c>
      <c r="O813" s="40">
        <f>C813*Prislapp!$C$2+D813*Prislapp!$D$2+E813*Prislapp!$E$2+F813*Prislapp!$F$2+G813*Prislapp!$G$2+H813*Prislapp!$H$2+I813*Prislapp!$I$2+J813*Prislapp!$J$2+K813*Prislapp!$K$2+L813*Prislapp!$L$2+M813*Prislapp!$M$2+N813*Prislapp!$N$2</f>
        <v>20766</v>
      </c>
      <c r="P813" s="40">
        <f>C813*Prislapp!$C$3+D813*Prislapp!$D$3+E813*Prislapp!$E$3+F813*Prislapp!$F$3+G813*Prislapp!$G$3+H813*Prislapp!$H$3+I813*Prislapp!$I$3+J813*Prislapp!$J$3+K813*Prislapp!$K$3+M813*Prislapp!$M$3+N813*Prislapp!$N$3+L813*Prislapp!$L$3</f>
        <v>17442</v>
      </c>
      <c r="Q813" s="40">
        <f>C813*Prislapp!$C$5+D813*Prislapp!$D$5+E813*Prislapp!$E$5+F813*Prislapp!$F$5+G813*Prislapp!$G$5+H813*Prislapp!$H$5+I813*Prislapp!$I$5+J813*Prislapp!$J$5+K813*Prislapp!$K$5+L813*Prislapp!$L$5+M813*Prislapp!$M$5+N813*Prislapp!$N$5</f>
        <v>6000</v>
      </c>
      <c r="R813" s="9">
        <f>VLOOKUP(A813,'Ansvar kurs'!$A$2:$B$943,2,FALSE)</f>
        <v>1620</v>
      </c>
      <c r="S813" s="176"/>
      <c r="T813" s="157"/>
      <c r="U813" s="157"/>
      <c r="V813" s="157"/>
      <c r="W813" s="157"/>
      <c r="X813" s="157"/>
      <c r="Y813" s="157"/>
      <c r="Z813" s="157"/>
    </row>
    <row r="814" spans="1:26" x14ac:dyDescent="0.25">
      <c r="A814" s="222" t="s">
        <v>1768</v>
      </c>
      <c r="B814" s="60" t="s">
        <v>1778</v>
      </c>
      <c r="D814" s="31">
        <v>1</v>
      </c>
      <c r="O814" s="40">
        <f>C814*Prislapp!$C$2+D814*Prislapp!$D$2+E814*Prislapp!$E$2+F814*Prislapp!$F$2+G814*Prislapp!$G$2+H814*Prislapp!$H$2+I814*Prislapp!$I$2+J814*Prislapp!$J$2+K814*Prislapp!$K$2+L814*Prislapp!$L$2+M814*Prislapp!$M$2+N814*Prislapp!$N$2</f>
        <v>20766</v>
      </c>
      <c r="P814" s="40">
        <f>C814*Prislapp!$C$3+D814*Prislapp!$D$3+E814*Prislapp!$E$3+F814*Prislapp!$F$3+G814*Prislapp!$G$3+H814*Prislapp!$H$3+I814*Prislapp!$I$3+J814*Prislapp!$J$3+K814*Prislapp!$K$3+M814*Prislapp!$M$3+N814*Prislapp!$N$3+L814*Prislapp!$L$3</f>
        <v>17442</v>
      </c>
      <c r="Q814" s="40">
        <f>C814*Prislapp!$C$5+D814*Prislapp!$D$5+E814*Prislapp!$E$5+F814*Prislapp!$F$5+G814*Prislapp!$G$5+H814*Prislapp!$H$5+I814*Prislapp!$I$5+J814*Prislapp!$J$5+K814*Prislapp!$K$5+L814*Prislapp!$L$5+M814*Prislapp!$M$5+N814*Prislapp!$N$5</f>
        <v>6000</v>
      </c>
      <c r="R814" s="9">
        <f>VLOOKUP(A814,'Ansvar kurs'!$A$2:$B$943,2,FALSE)</f>
        <v>1620</v>
      </c>
      <c r="S814" s="176"/>
      <c r="T814" s="157"/>
      <c r="U814" s="157"/>
      <c r="V814" s="157"/>
      <c r="W814" s="157"/>
      <c r="X814" s="157"/>
      <c r="Y814" s="157"/>
      <c r="Z814" s="157"/>
    </row>
    <row r="815" spans="1:26" x14ac:dyDescent="0.25">
      <c r="A815" s="222" t="s">
        <v>1840</v>
      </c>
      <c r="B815" s="31" t="s">
        <v>1835</v>
      </c>
      <c r="K815" s="31">
        <v>1</v>
      </c>
      <c r="O815" s="40">
        <f>C815*Prislapp!$C$2+D815*Prislapp!$D$2+E815*Prislapp!$E$2+F815*Prislapp!$F$2+G815*Prislapp!$G$2+H815*Prislapp!$H$2+I815*Prislapp!$I$2+J815*Prislapp!$J$2+K815*Prislapp!$K$2+L815*Prislapp!$L$2+M815*Prislapp!$M$2+N815*Prislapp!$N$2</f>
        <v>25235</v>
      </c>
      <c r="P815" s="40">
        <f>C815*Prislapp!$C$3+D815*Prislapp!$D$3+E815*Prislapp!$E$3+F815*Prislapp!$F$3+G815*Prislapp!$G$3+H815*Prislapp!$H$3+I815*Prislapp!$I$3+J815*Prislapp!$J$3+K815*Prislapp!$K$3+M815*Prislapp!$M$3+N815*Prislapp!$N$3+L815*Prislapp!$L$3</f>
        <v>27976</v>
      </c>
      <c r="Q815" s="40">
        <f>C815*Prislapp!$C$5+D815*Prislapp!$D$5+E815*Prislapp!$E$5+F815*Prislapp!$F$5+G815*Prislapp!$G$5+H815*Prislapp!$H$5+I815*Prislapp!$I$5+J815*Prislapp!$J$5+K815*Prislapp!$K$5+L815*Prislapp!$L$5+M815*Prislapp!$M$5+N815*Prislapp!$N$5</f>
        <v>3600</v>
      </c>
      <c r="R815" s="9">
        <f>VLOOKUP(A815,'Ansvar kurs'!$A$2:$B$943,2,FALSE)</f>
        <v>1620</v>
      </c>
    </row>
    <row r="816" spans="1:26" x14ac:dyDescent="0.25">
      <c r="A816" s="222" t="s">
        <v>1839</v>
      </c>
      <c r="B816" s="31" t="s">
        <v>1834</v>
      </c>
      <c r="K816" s="31">
        <v>1</v>
      </c>
      <c r="O816" s="40">
        <f>C816*Prislapp!$C$2+D816*Prislapp!$D$2+E816*Prislapp!$E$2+F816*Prislapp!$F$2+G816*Prislapp!$G$2+H816*Prislapp!$H$2+I816*Prislapp!$I$2+J816*Prislapp!$J$2+K816*Prislapp!$K$2+L816*Prislapp!$L$2+M816*Prislapp!$M$2+N816*Prislapp!$N$2</f>
        <v>25235</v>
      </c>
      <c r="P816" s="40">
        <f>C816*Prislapp!$C$3+D816*Prislapp!$D$3+E816*Prislapp!$E$3+F816*Prislapp!$F$3+G816*Prislapp!$G$3+H816*Prislapp!$H$3+I816*Prislapp!$I$3+J816*Prislapp!$J$3+K816*Prislapp!$K$3+M816*Prislapp!$M$3+N816*Prislapp!$N$3+L816*Prislapp!$L$3</f>
        <v>27976</v>
      </c>
      <c r="Q816" s="40">
        <f>C816*Prislapp!$C$5+D816*Prislapp!$D$5+E816*Prislapp!$E$5+F816*Prislapp!$F$5+G816*Prislapp!$G$5+H816*Prislapp!$H$5+I816*Prislapp!$I$5+J816*Prislapp!$J$5+K816*Prislapp!$K$5+L816*Prislapp!$L$5+M816*Prislapp!$M$5+N816*Prislapp!$N$5</f>
        <v>3600</v>
      </c>
      <c r="R816" s="9">
        <f>VLOOKUP(A816,'Ansvar kurs'!$A$2:$B$943,2,FALSE)</f>
        <v>1620</v>
      </c>
    </row>
    <row r="817" spans="1:26" x14ac:dyDescent="0.25">
      <c r="A817" s="222" t="s">
        <v>1932</v>
      </c>
      <c r="B817" s="60" t="s">
        <v>1307</v>
      </c>
      <c r="D817" s="31">
        <v>1</v>
      </c>
      <c r="O817" s="40">
        <f>C817*Prislapp!$C$2+D817*Prislapp!$D$2+E817*Prislapp!$E$2+F817*Prislapp!$F$2+G817*Prislapp!$G$2+H817*Prislapp!$H$2+I817*Prislapp!$I$2+J817*Prislapp!$J$2+K817*Prislapp!$K$2+L817*Prislapp!$L$2+M817*Prislapp!$M$2+N817*Prislapp!$N$2</f>
        <v>20766</v>
      </c>
      <c r="P817" s="40">
        <f>C817*Prislapp!$C$3+D817*Prislapp!$D$3+E817*Prislapp!$E$3+F817*Prislapp!$F$3+G817*Prislapp!$G$3+H817*Prislapp!$H$3+I817*Prislapp!$I$3+J817*Prislapp!$J$3+K817*Prislapp!$K$3+M817*Prislapp!$M$3+N817*Prislapp!$N$3+L817*Prislapp!$L$3</f>
        <v>17442</v>
      </c>
      <c r="Q817" s="40">
        <f>C817*Prislapp!$C$5+D817*Prislapp!$D$5+E817*Prislapp!$E$5+F817*Prislapp!$F$5+G817*Prislapp!$G$5+H817*Prislapp!$H$5+I817*Prislapp!$I$5+J817*Prislapp!$J$5+K817*Prislapp!$K$5+L817*Prislapp!$L$5+M817*Prislapp!$M$5+N817*Prislapp!$N$5</f>
        <v>6000</v>
      </c>
      <c r="R817" s="9">
        <f>VLOOKUP(A817,'Ansvar kurs'!$A$2:$B$943,2,FALSE)</f>
        <v>1620</v>
      </c>
    </row>
    <row r="818" spans="1:26" x14ac:dyDescent="0.25">
      <c r="A818" s="222" t="s">
        <v>2100</v>
      </c>
      <c r="B818" s="60" t="s">
        <v>2114</v>
      </c>
      <c r="D818" s="31">
        <v>1</v>
      </c>
      <c r="O818" s="40">
        <f>C818*Prislapp!$C$2+D818*Prislapp!$D$2+E818*Prislapp!$E$2+F818*Prislapp!$F$2+G818*Prislapp!$G$2+H818*Prislapp!$H$2+I818*Prislapp!$I$2+J818*Prislapp!$J$2+K818*Prislapp!$K$2+L818*Prislapp!$L$2+M818*Prislapp!$M$2+N818*Prislapp!$N$2</f>
        <v>20766</v>
      </c>
      <c r="P818" s="40">
        <f>C818*Prislapp!$C$3+D818*Prislapp!$D$3+E818*Prislapp!$E$3+F818*Prislapp!$F$3+G818*Prislapp!$G$3+H818*Prislapp!$H$3+I818*Prislapp!$I$3+J818*Prislapp!$J$3+K818*Prislapp!$K$3+M818*Prislapp!$M$3+N818*Prislapp!$N$3+L818*Prislapp!$L$3</f>
        <v>17442</v>
      </c>
      <c r="Q818" s="40">
        <f>C818*Prislapp!$C$5+D818*Prislapp!$D$5+E818*Prislapp!$E$5+F818*Prislapp!$F$5+G818*Prislapp!$G$5+H818*Prislapp!$H$5+I818*Prislapp!$I$5+J818*Prislapp!$J$5+K818*Prislapp!$K$5+L818*Prislapp!$L$5+M818*Prislapp!$M$5+N818*Prislapp!$N$5</f>
        <v>6000</v>
      </c>
      <c r="R818" s="9">
        <f>VLOOKUP(A818,'Ansvar kurs'!$A$2:$B$943,2,FALSE)</f>
        <v>1620</v>
      </c>
    </row>
    <row r="819" spans="1:26" x14ac:dyDescent="0.25">
      <c r="A819" s="222" t="s">
        <v>2101</v>
      </c>
      <c r="B819" s="60" t="s">
        <v>1777</v>
      </c>
      <c r="D819" s="31">
        <v>1</v>
      </c>
      <c r="O819" s="40">
        <f>C819*Prislapp!$C$2+D819*Prislapp!$D$2+E819*Prislapp!$E$2+F819*Prislapp!$F$2+G819*Prislapp!$G$2+H819*Prislapp!$H$2+I819*Prislapp!$I$2+J819*Prislapp!$J$2+K819*Prislapp!$K$2+L819*Prislapp!$L$2+M819*Prislapp!$M$2+N819*Prislapp!$N$2</f>
        <v>20766</v>
      </c>
      <c r="P819" s="40">
        <f>C819*Prislapp!$C$3+D819*Prislapp!$D$3+E819*Prislapp!$E$3+F819*Prislapp!$F$3+G819*Prislapp!$G$3+H819*Prislapp!$H$3+I819*Prislapp!$I$3+J819*Prislapp!$J$3+K819*Prislapp!$K$3+M819*Prislapp!$M$3+N819*Prislapp!$N$3+L819*Prislapp!$L$3</f>
        <v>17442</v>
      </c>
      <c r="Q819" s="40">
        <f>C819*Prislapp!$C$5+D819*Prislapp!$D$5+E819*Prislapp!$E$5+F819*Prislapp!$F$5+G819*Prislapp!$G$5+H819*Prislapp!$H$5+I819*Prislapp!$I$5+J819*Prislapp!$J$5+K819*Prislapp!$K$5+L819*Prislapp!$L$5+M819*Prislapp!$M$5+N819*Prislapp!$N$5</f>
        <v>6000</v>
      </c>
      <c r="R819" s="9">
        <f>VLOOKUP(A819,'Ansvar kurs'!$A$2:$B$943,2,FALSE)</f>
        <v>1620</v>
      </c>
    </row>
    <row r="820" spans="1:26" x14ac:dyDescent="0.25">
      <c r="A820" s="222" t="s">
        <v>1933</v>
      </c>
      <c r="B820" s="57" t="s">
        <v>1308</v>
      </c>
      <c r="D820" s="31">
        <v>1</v>
      </c>
      <c r="O820" s="40">
        <f>C820*Prislapp!$C$2+D820*Prislapp!$D$2+E820*Prislapp!$E$2+F820*Prislapp!$F$2+G820*Prislapp!$G$2+H820*Prislapp!$H$2+I820*Prislapp!$I$2+J820*Prislapp!$J$2+K820*Prislapp!$K$2+L820*Prislapp!$L$2+M820*Prislapp!$M$2+N820*Prislapp!$N$2</f>
        <v>20766</v>
      </c>
      <c r="P820" s="40">
        <f>C820*Prislapp!$C$3+D820*Prislapp!$D$3+E820*Prislapp!$E$3+F820*Prislapp!$F$3+G820*Prislapp!$G$3+H820*Prislapp!$H$3+I820*Prislapp!$I$3+J820*Prislapp!$J$3+K820*Prislapp!$K$3+M820*Prislapp!$M$3+N820*Prislapp!$N$3+L820*Prislapp!$L$3</f>
        <v>17442</v>
      </c>
      <c r="Q820" s="40">
        <f>C820*Prislapp!$C$5+D820*Prislapp!$D$5+E820*Prislapp!$E$5+F820*Prislapp!$F$5+G820*Prislapp!$G$5+H820*Prislapp!$H$5+I820*Prislapp!$I$5+J820*Prislapp!$J$5+K820*Prislapp!$K$5+L820*Prislapp!$L$5+M820*Prislapp!$M$5+N820*Prislapp!$N$5</f>
        <v>6000</v>
      </c>
      <c r="R820" s="9">
        <f>VLOOKUP(A820,'Ansvar kurs'!$A$2:$B$943,2,FALSE)</f>
        <v>1620</v>
      </c>
    </row>
    <row r="821" spans="1:26" x14ac:dyDescent="0.25">
      <c r="A821" s="222" t="s">
        <v>2102</v>
      </c>
      <c r="B821" s="57" t="s">
        <v>2115</v>
      </c>
      <c r="D821" s="31">
        <v>1</v>
      </c>
      <c r="O821" s="40">
        <f>C821*Prislapp!$C$2+D821*Prislapp!$D$2+E821*Prislapp!$E$2+F821*Prislapp!$F$2+G821*Prislapp!$G$2+H821*Prislapp!$H$2+I821*Prislapp!$I$2+J821*Prislapp!$J$2+K821*Prislapp!$K$2+L821*Prislapp!$L$2+M821*Prislapp!$M$2+N821*Prislapp!$N$2</f>
        <v>20766</v>
      </c>
      <c r="P821" s="40">
        <f>C821*Prislapp!$C$3+D821*Prislapp!$D$3+E821*Prislapp!$E$3+F821*Prislapp!$F$3+G821*Prislapp!$G$3+H821*Prislapp!$H$3+I821*Prislapp!$I$3+J821*Prislapp!$J$3+K821*Prislapp!$K$3+M821*Prislapp!$M$3+N821*Prislapp!$N$3+L821*Prislapp!$L$3</f>
        <v>17442</v>
      </c>
      <c r="Q821" s="40">
        <f>C821*Prislapp!$C$5+D821*Prislapp!$D$5+E821*Prislapp!$E$5+F821*Prislapp!$F$5+G821*Prislapp!$G$5+H821*Prislapp!$H$5+I821*Prislapp!$I$5+J821*Prislapp!$J$5+K821*Prislapp!$K$5+L821*Prislapp!$L$5+M821*Prislapp!$M$5+N821*Prislapp!$N$5</f>
        <v>6000</v>
      </c>
      <c r="R821" s="9">
        <f>VLOOKUP(A821,'Ansvar kurs'!$A$2:$B$943,2,FALSE)</f>
        <v>1620</v>
      </c>
    </row>
    <row r="822" spans="1:26" x14ac:dyDescent="0.25">
      <c r="A822" s="222" t="s">
        <v>2103</v>
      </c>
      <c r="B822" s="57" t="s">
        <v>1778</v>
      </c>
      <c r="D822" s="31">
        <v>1</v>
      </c>
      <c r="O822" s="40">
        <f>C822*Prislapp!$C$2+D822*Prislapp!$D$2+E822*Prislapp!$E$2+F822*Prislapp!$F$2+G822*Prislapp!$G$2+H822*Prislapp!$H$2+I822*Prislapp!$I$2+J822*Prislapp!$J$2+K822*Prislapp!$K$2+L822*Prislapp!$L$2+M822*Prislapp!$M$2+N822*Prislapp!$N$2</f>
        <v>20766</v>
      </c>
      <c r="P822" s="40">
        <f>C822*Prislapp!$C$3+D822*Prislapp!$D$3+E822*Prislapp!$E$3+F822*Prislapp!$F$3+G822*Prislapp!$G$3+H822*Prislapp!$H$3+I822*Prislapp!$I$3+J822*Prislapp!$J$3+K822*Prislapp!$K$3+M822*Prislapp!$M$3+N822*Prislapp!$N$3+L822*Prislapp!$L$3</f>
        <v>17442</v>
      </c>
      <c r="Q822" s="40">
        <f>C822*Prislapp!$C$5+D822*Prislapp!$D$5+E822*Prislapp!$E$5+F822*Prislapp!$F$5+G822*Prislapp!$G$5+H822*Prislapp!$H$5+I822*Prislapp!$I$5+J822*Prislapp!$J$5+K822*Prislapp!$K$5+L822*Prislapp!$L$5+M822*Prislapp!$M$5+N822*Prislapp!$N$5</f>
        <v>6000</v>
      </c>
      <c r="R822" s="9">
        <f>VLOOKUP(A822,'Ansvar kurs'!$A$2:$B$943,2,FALSE)</f>
        <v>1620</v>
      </c>
    </row>
    <row r="823" spans="1:26" x14ac:dyDescent="0.25">
      <c r="A823" s="222" t="s">
        <v>1934</v>
      </c>
      <c r="B823" s="31" t="s">
        <v>1959</v>
      </c>
      <c r="D823" s="31">
        <v>1</v>
      </c>
      <c r="O823" s="40">
        <f>C823*Prislapp!$C$2+D823*Prislapp!$D$2+E823*Prislapp!$E$2+F823*Prislapp!$F$2+G823*Prislapp!$G$2+H823*Prislapp!$H$2+I823*Prislapp!$I$2+J823*Prislapp!$J$2+K823*Prislapp!$K$2+L823*Prislapp!$L$2+M823*Prislapp!$M$2+N823*Prislapp!$N$2</f>
        <v>20766</v>
      </c>
      <c r="P823" s="40">
        <f>C823*Prislapp!$C$3+D823*Prislapp!$D$3+E823*Prislapp!$E$3+F823*Prislapp!$F$3+G823*Prislapp!$G$3+H823*Prislapp!$H$3+I823*Prislapp!$I$3+J823*Prislapp!$J$3+K823*Prislapp!$K$3+M823*Prislapp!$M$3+N823*Prislapp!$N$3+L823*Prislapp!$L$3</f>
        <v>17442</v>
      </c>
      <c r="Q823" s="40">
        <f>C823*Prislapp!$C$5+D823*Prislapp!$D$5+E823*Prislapp!$E$5+F823*Prislapp!$F$5+G823*Prislapp!$G$5+H823*Prislapp!$H$5+I823*Prislapp!$I$5+J823*Prislapp!$J$5+K823*Prislapp!$K$5+L823*Prislapp!$L$5+M823*Prislapp!$M$5+N823*Prislapp!$N$5</f>
        <v>6000</v>
      </c>
      <c r="R823" s="9">
        <f>VLOOKUP(A823,'Ansvar kurs'!$A$2:$B$943,2,FALSE)</f>
        <v>1620</v>
      </c>
    </row>
    <row r="824" spans="1:26" x14ac:dyDescent="0.25">
      <c r="A824" s="222" t="s">
        <v>1935</v>
      </c>
      <c r="B824" s="31" t="s">
        <v>1351</v>
      </c>
      <c r="D824" s="31">
        <v>1</v>
      </c>
      <c r="O824" s="40">
        <f>C824*Prislapp!$C$2+D824*Prislapp!$D$2+E824*Prislapp!$E$2+F824*Prislapp!$F$2+G824*Prislapp!$G$2+H824*Prislapp!$H$2+I824*Prislapp!$I$2+J824*Prislapp!$J$2+K824*Prislapp!$K$2+L824*Prislapp!$L$2+M824*Prislapp!$M$2+N824*Prislapp!$N$2</f>
        <v>20766</v>
      </c>
      <c r="P824" s="40">
        <f>C824*Prislapp!$C$3+D824*Prislapp!$D$3+E824*Prislapp!$E$3+F824*Prislapp!$F$3+G824*Prislapp!$G$3+H824*Prislapp!$H$3+I824*Prislapp!$I$3+J824*Prislapp!$J$3+K824*Prislapp!$K$3+M824*Prislapp!$M$3+N824*Prislapp!$N$3+L824*Prislapp!$L$3</f>
        <v>17442</v>
      </c>
      <c r="Q824" s="40">
        <f>C824*Prislapp!$C$5+D824*Prislapp!$D$5+E824*Prislapp!$E$5+F824*Prislapp!$F$5+G824*Prislapp!$G$5+H824*Prislapp!$H$5+I824*Prislapp!$I$5+J824*Prislapp!$J$5+K824*Prislapp!$K$5+L824*Prislapp!$L$5+M824*Prislapp!$M$5+N824*Prislapp!$N$5</f>
        <v>6000</v>
      </c>
      <c r="R824" s="9">
        <f>VLOOKUP(A824,'Ansvar kurs'!$A$2:$B$943,2,FALSE)</f>
        <v>1620</v>
      </c>
    </row>
    <row r="825" spans="1:26" x14ac:dyDescent="0.25">
      <c r="A825" s="222" t="s">
        <v>1936</v>
      </c>
      <c r="B825" s="31" t="s">
        <v>1960</v>
      </c>
      <c r="D825" s="31">
        <v>1</v>
      </c>
      <c r="O825" s="40">
        <f>C825*Prislapp!$C$2+D825*Prislapp!$D$2+E825*Prislapp!$E$2+F825*Prislapp!$F$2+G825*Prislapp!$G$2+H825*Prislapp!$H$2+I825*Prislapp!$I$2+J825*Prislapp!$J$2+K825*Prislapp!$K$2+L825*Prislapp!$L$2+M825*Prislapp!$M$2+N825*Prislapp!$N$2</f>
        <v>20766</v>
      </c>
      <c r="P825" s="40">
        <f>C825*Prislapp!$C$3+D825*Prislapp!$D$3+E825*Prislapp!$E$3+F825*Prislapp!$F$3+G825*Prislapp!$G$3+H825*Prislapp!$H$3+I825*Prislapp!$I$3+J825*Prislapp!$J$3+K825*Prislapp!$K$3+M825*Prislapp!$M$3+N825*Prislapp!$N$3+L825*Prislapp!$L$3</f>
        <v>17442</v>
      </c>
      <c r="Q825" s="40">
        <f>C825*Prislapp!$C$5+D825*Prislapp!$D$5+E825*Prislapp!$E$5+F825*Prislapp!$F$5+G825*Prislapp!$G$5+H825*Prislapp!$H$5+I825*Prislapp!$I$5+J825*Prislapp!$J$5+K825*Prislapp!$K$5+L825*Prislapp!$L$5+M825*Prislapp!$M$5+N825*Prislapp!$N$5</f>
        <v>6000</v>
      </c>
      <c r="R825" s="9">
        <f>VLOOKUP(A825,'Ansvar kurs'!$A$2:$B$943,2,FALSE)</f>
        <v>1620</v>
      </c>
    </row>
    <row r="826" spans="1:26" x14ac:dyDescent="0.25">
      <c r="A826" s="222" t="s">
        <v>1937</v>
      </c>
      <c r="B826" s="31" t="s">
        <v>1961</v>
      </c>
      <c r="D826" s="31">
        <v>1</v>
      </c>
      <c r="O826" s="40">
        <f>C826*Prislapp!$C$2+D826*Prislapp!$D$2+E826*Prislapp!$E$2+F826*Prislapp!$F$2+G826*Prislapp!$G$2+H826*Prislapp!$H$2+I826*Prislapp!$I$2+J826*Prislapp!$J$2+K826*Prislapp!$K$2+L826*Prislapp!$L$2+M826*Prislapp!$M$2+N826*Prislapp!$N$2</f>
        <v>20766</v>
      </c>
      <c r="P826" s="40">
        <f>C826*Prislapp!$C$3+D826*Prislapp!$D$3+E826*Prislapp!$E$3+F826*Prislapp!$F$3+G826*Prislapp!$G$3+H826*Prislapp!$H$3+I826*Prislapp!$I$3+J826*Prislapp!$J$3+K826*Prislapp!$K$3+M826*Prislapp!$M$3+N826*Prislapp!$N$3+L826*Prislapp!$L$3</f>
        <v>17442</v>
      </c>
      <c r="Q826" s="40">
        <f>C826*Prislapp!$C$5+D826*Prislapp!$D$5+E826*Prislapp!$E$5+F826*Prislapp!$F$5+G826*Prislapp!$G$5+H826*Prislapp!$H$5+I826*Prislapp!$I$5+J826*Prislapp!$J$5+K826*Prislapp!$K$5+L826*Prislapp!$L$5+M826*Prislapp!$M$5+N826*Prislapp!$N$5</f>
        <v>6000</v>
      </c>
      <c r="R826" s="9">
        <f>VLOOKUP(A826,'Ansvar kurs'!$A$2:$B$943,2,FALSE)</f>
        <v>1620</v>
      </c>
    </row>
    <row r="827" spans="1:26" x14ac:dyDescent="0.25">
      <c r="A827" s="222" t="s">
        <v>1938</v>
      </c>
      <c r="B827" s="57" t="s">
        <v>1962</v>
      </c>
      <c r="D827" s="31">
        <v>1</v>
      </c>
      <c r="O827" s="40">
        <f>C827*Prislapp!$C$2+D827*Prislapp!$D$2+E827*Prislapp!$E$2+F827*Prislapp!$F$2+G827*Prislapp!$G$2+H827*Prislapp!$H$2+I827*Prislapp!$I$2+J827*Prislapp!$J$2+K827*Prislapp!$K$2+L827*Prislapp!$L$2+M827*Prislapp!$M$2+N827*Prislapp!$N$2</f>
        <v>20766</v>
      </c>
      <c r="P827" s="40">
        <f>C827*Prislapp!$C$3+D827*Prislapp!$D$3+E827*Prislapp!$E$3+F827*Prislapp!$F$3+G827*Prislapp!$G$3+H827*Prislapp!$H$3+I827*Prislapp!$I$3+J827*Prislapp!$J$3+K827*Prislapp!$K$3+M827*Prislapp!$M$3+N827*Prislapp!$N$3+L827*Prislapp!$L$3</f>
        <v>17442</v>
      </c>
      <c r="Q827" s="40">
        <f>C827*Prislapp!$C$5+D827*Prislapp!$D$5+E827*Prislapp!$E$5+F827*Prislapp!$F$5+G827*Prislapp!$G$5+H827*Prislapp!$H$5+I827*Prislapp!$I$5+J827*Prislapp!$J$5+K827*Prislapp!$K$5+L827*Prislapp!$L$5+M827*Prislapp!$M$5+N827*Prislapp!$N$5</f>
        <v>6000</v>
      </c>
      <c r="R827" s="9">
        <f>VLOOKUP(A827,'Ansvar kurs'!$A$2:$B$943,2,FALSE)</f>
        <v>1620</v>
      </c>
    </row>
    <row r="828" spans="1:26" x14ac:dyDescent="0.25">
      <c r="A828" s="222" t="s">
        <v>2053</v>
      </c>
      <c r="B828" s="57" t="s">
        <v>2055</v>
      </c>
      <c r="D828" s="31">
        <v>1</v>
      </c>
      <c r="O828" s="40">
        <f>C828*Prislapp!$C$2+D828*Prislapp!$D$2+E828*Prislapp!$E$2+F828*Prislapp!$F$2+G828*Prislapp!$G$2+H828*Prislapp!$H$2+I828*Prislapp!$I$2+J828*Prislapp!$J$2+K828*Prislapp!$K$2+L828*Prislapp!$L$2+M828*Prislapp!$M$2+N828*Prislapp!$N$2</f>
        <v>20766</v>
      </c>
      <c r="P828" s="40">
        <f>C828*Prislapp!$C$3+D828*Prislapp!$D$3+E828*Prislapp!$E$3+F828*Prislapp!$F$3+G828*Prislapp!$G$3+H828*Prislapp!$H$3+I828*Prislapp!$I$3+J828*Prislapp!$J$3+K828*Prislapp!$K$3+M828*Prislapp!$M$3+N828*Prislapp!$N$3+L828*Prislapp!$L$3</f>
        <v>17442</v>
      </c>
      <c r="Q828" s="40">
        <f>C828*Prislapp!$C$5+D828*Prislapp!$D$5+E828*Prislapp!$E$5+F828*Prislapp!$F$5+G828*Prislapp!$G$5+H828*Prislapp!$H$5+I828*Prislapp!$I$5+J828*Prislapp!$J$5+K828*Prislapp!$K$5+L828*Prislapp!$L$5+M828*Prislapp!$M$5+N828*Prislapp!$N$5</f>
        <v>6000</v>
      </c>
      <c r="R828" s="9">
        <f>VLOOKUP(A828,'Ansvar kurs'!$A$2:$B$943,2,FALSE)</f>
        <v>1620</v>
      </c>
    </row>
    <row r="829" spans="1:26" x14ac:dyDescent="0.25">
      <c r="A829" s="222" t="s">
        <v>2054</v>
      </c>
      <c r="B829" s="57" t="s">
        <v>2056</v>
      </c>
      <c r="D829" s="31">
        <v>1</v>
      </c>
      <c r="O829" s="40">
        <f>C829*Prislapp!$C$2+D829*Prislapp!$D$2+E829*Prislapp!$E$2+F829*Prislapp!$F$2+G829*Prislapp!$G$2+H829*Prislapp!$H$2+I829*Prislapp!$I$2+J829*Prislapp!$J$2+K829*Prislapp!$K$2+L829*Prislapp!$L$2+M829*Prislapp!$M$2+N829*Prislapp!$N$2</f>
        <v>20766</v>
      </c>
      <c r="P829" s="40">
        <f>C829*Prislapp!$C$3+D829*Prislapp!$D$3+E829*Prislapp!$E$3+F829*Prislapp!$F$3+G829*Prislapp!$G$3+H829*Prislapp!$H$3+I829*Prislapp!$I$3+J829*Prislapp!$J$3+K829*Prislapp!$K$3+M829*Prislapp!$M$3+N829*Prislapp!$N$3+L829*Prislapp!$L$3</f>
        <v>17442</v>
      </c>
      <c r="Q829" s="40">
        <f>C829*Prislapp!$C$5+D829*Prislapp!$D$5+E829*Prislapp!$E$5+F829*Prislapp!$F$5+G829*Prislapp!$G$5+H829*Prislapp!$H$5+I829*Prislapp!$I$5+J829*Prislapp!$J$5+K829*Prislapp!$K$5+L829*Prislapp!$L$5+M829*Prislapp!$M$5+N829*Prislapp!$N$5</f>
        <v>6000</v>
      </c>
      <c r="R829" s="9">
        <f>VLOOKUP(A829,'Ansvar kurs'!$A$2:$B$943,2,FALSE)</f>
        <v>1620</v>
      </c>
    </row>
    <row r="830" spans="1:26" x14ac:dyDescent="0.25">
      <c r="A830" s="222" t="s">
        <v>2117</v>
      </c>
      <c r="B830" s="57" t="s">
        <v>2119</v>
      </c>
      <c r="D830" s="31">
        <v>1</v>
      </c>
      <c r="O830" s="40">
        <f>C830*Prislapp!$C$2+D830*Prislapp!$D$2+E830*Prislapp!$E$2+F830*Prislapp!$F$2+G830*Prislapp!$G$2+H830*Prislapp!$H$2+I830*Prislapp!$I$2+J830*Prislapp!$J$2+K830*Prislapp!$K$2+L830*Prislapp!$L$2+M830*Prislapp!$M$2+N830*Prislapp!$N$2</f>
        <v>20766</v>
      </c>
      <c r="P830" s="40">
        <f>C830*Prislapp!$C$3+D830*Prislapp!$D$3+E830*Prislapp!$E$3+F830*Prislapp!$F$3+G830*Prislapp!$G$3+H830*Prislapp!$H$3+I830*Prislapp!$I$3+J830*Prislapp!$J$3+K830*Prislapp!$K$3+M830*Prislapp!$M$3+N830*Prislapp!$N$3+L830*Prislapp!$L$3</f>
        <v>17442</v>
      </c>
      <c r="Q830" s="40">
        <f>C830*Prislapp!$C$5+D830*Prislapp!$D$5+E830*Prislapp!$E$5+F830*Prislapp!$F$5+G830*Prislapp!$G$5+H830*Prislapp!$H$5+I830*Prislapp!$I$5+J830*Prislapp!$J$5+K830*Prislapp!$K$5+L830*Prislapp!$L$5+M830*Prislapp!$M$5+N830*Prislapp!$N$5</f>
        <v>6000</v>
      </c>
      <c r="R830" s="9">
        <f>VLOOKUP(A830,'Ansvar kurs'!$A$2:$B$943,2,FALSE)</f>
        <v>1620</v>
      </c>
    </row>
    <row r="831" spans="1:26" x14ac:dyDescent="0.25">
      <c r="A831" s="31" t="s">
        <v>2131</v>
      </c>
      <c r="B831" s="31" t="s">
        <v>2132</v>
      </c>
      <c r="D831" s="31">
        <v>1</v>
      </c>
      <c r="O831" s="40">
        <f>C831*Prislapp!$C$2+D831*Prislapp!$D$2+E831*Prislapp!$E$2+F831*Prislapp!$F$2+G831*Prislapp!$G$2+H831*Prislapp!$H$2+I831*Prislapp!$I$2+J831*Prislapp!$J$2+K831*Prislapp!$K$2+L831*Prislapp!$L$2+M831*Prislapp!$M$2+N831*Prislapp!$N$2</f>
        <v>20766</v>
      </c>
      <c r="P831" s="40">
        <f>C831*Prislapp!$C$3+D831*Prislapp!$D$3+E831*Prislapp!$E$3+F831*Prislapp!$F$3+G831*Prislapp!$G$3+H831*Prislapp!$H$3+I831*Prislapp!$I$3+J831*Prislapp!$J$3+K831*Prislapp!$K$3+M831*Prislapp!$M$3+N831*Prislapp!$N$3+L831*Prislapp!$L$3</f>
        <v>17442</v>
      </c>
      <c r="Q831" s="40">
        <f>C831*Prislapp!$C$5+D831*Prislapp!$D$5+E831*Prislapp!$E$5+F831*Prislapp!$F$5+G831*Prislapp!$G$5+H831*Prislapp!$H$5+I831*Prislapp!$I$5+J831*Prislapp!$J$5+K831*Prislapp!$K$5+L831*Prislapp!$L$5+M831*Prislapp!$M$5+N831*Prislapp!$N$5</f>
        <v>6000</v>
      </c>
      <c r="R831" s="9">
        <f>VLOOKUP(A831,'Ansvar kurs'!$A$2:$B$943,2,FALSE)</f>
        <v>1620</v>
      </c>
    </row>
    <row r="832" spans="1:26" ht="30" x14ac:dyDescent="0.25">
      <c r="A832" s="176" t="s">
        <v>2140</v>
      </c>
      <c r="B832" s="382" t="s">
        <v>2141</v>
      </c>
      <c r="D832" s="57">
        <v>1</v>
      </c>
      <c r="O832" s="40">
        <f>C832*Prislapp!$C$2+D832*Prislapp!$D$2+E832*Prislapp!$E$2+F832*Prislapp!$F$2+G832*Prislapp!$G$2+H832*Prislapp!$H$2+I832*Prislapp!$I$2+J832*Prislapp!$J$2+K832*Prislapp!$K$2+L832*Prislapp!$L$2+M832*Prislapp!$M$2+N832*Prislapp!$N$2</f>
        <v>20766</v>
      </c>
      <c r="P832" s="40">
        <f>C832*Prislapp!$C$3+D832*Prislapp!$D$3+E832*Prislapp!$E$3+F832*Prislapp!$F$3+G832*Prislapp!$G$3+H832*Prislapp!$H$3+I832*Prislapp!$I$3+J832*Prislapp!$J$3+K832*Prislapp!$K$3+M832*Prislapp!$M$3+N832*Prislapp!$N$3+L832*Prislapp!$L$3</f>
        <v>17442</v>
      </c>
      <c r="Q832" s="40">
        <f>C832*Prislapp!$C$5+D832*Prislapp!$D$5+E832*Prislapp!$E$5+F832*Prislapp!$F$5+G832*Prislapp!$G$5+H832*Prislapp!$H$5+I832*Prislapp!$I$5+J832*Prislapp!$J$5+K832*Prislapp!$K$5+L832*Prislapp!$L$5+M832*Prislapp!$M$5+N832*Prislapp!$N$5</f>
        <v>6000</v>
      </c>
      <c r="R832" s="9">
        <f>VLOOKUP(A832,'Ansvar kurs'!$A$2:$B$943,2,FALSE)</f>
        <v>1620</v>
      </c>
      <c r="S832" s="176"/>
      <c r="T832" s="157"/>
      <c r="U832" s="157"/>
      <c r="V832" s="157"/>
      <c r="W832" s="157"/>
      <c r="X832" s="157"/>
      <c r="Y832" s="157"/>
      <c r="Z832" s="157"/>
    </row>
    <row r="833" spans="1:26" x14ac:dyDescent="0.25">
      <c r="A833" s="31" t="s">
        <v>2175</v>
      </c>
      <c r="B833" s="31" t="s">
        <v>2179</v>
      </c>
      <c r="D833" s="31">
        <v>1</v>
      </c>
      <c r="O833" s="40">
        <f>C833*Prislapp!$C$2+D833*Prislapp!$D$2+E833*Prislapp!$E$2+F833*Prislapp!$F$2+G833*Prislapp!$G$2+H833*Prislapp!$H$2+I833*Prislapp!$I$2+J833*Prislapp!$J$2+K833*Prislapp!$K$2+L833*Prislapp!$L$2+M833*Prislapp!$M$2+N833*Prislapp!$N$2</f>
        <v>20766</v>
      </c>
      <c r="P833" s="40">
        <f>C833*Prislapp!$C$3+D833*Prislapp!$D$3+E833*Prislapp!$E$3+F833*Prislapp!$F$3+G833*Prislapp!$G$3+H833*Prislapp!$H$3+I833*Prislapp!$I$3+J833*Prislapp!$J$3+K833*Prislapp!$K$3+M833*Prislapp!$M$3+N833*Prislapp!$N$3+L833*Prislapp!$L$3</f>
        <v>17442</v>
      </c>
      <c r="Q833" s="40">
        <f>C833*Prislapp!$C$5+D833*Prislapp!$D$5+E833*Prislapp!$E$5+F833*Prislapp!$F$5+G833*Prislapp!$G$5+H833*Prislapp!$H$5+I833*Prislapp!$I$5+J833*Prislapp!$J$5+K833*Prislapp!$K$5+L833*Prislapp!$L$5+M833*Prislapp!$M$5+N833*Prislapp!$N$5</f>
        <v>6000</v>
      </c>
      <c r="R833" s="9">
        <f>VLOOKUP(A833,'Ansvar kurs'!$A$2:$B$943,2,FALSE)</f>
        <v>1620</v>
      </c>
      <c r="S833" s="31" t="s">
        <v>1276</v>
      </c>
    </row>
    <row r="834" spans="1:26" x14ac:dyDescent="0.25">
      <c r="A834" s="57" t="s">
        <v>2202</v>
      </c>
      <c r="B834" s="57" t="s">
        <v>2204</v>
      </c>
      <c r="D834" s="31">
        <v>1</v>
      </c>
      <c r="O834" s="40">
        <f>C834*Prislapp!$C$2+D834*Prislapp!$D$2+E834*Prislapp!$E$2+F834*Prislapp!$F$2+G834*Prislapp!$G$2+H834*Prislapp!$H$2+I834*Prislapp!$I$2+J834*Prislapp!$J$2+K834*Prislapp!$K$2+L834*Prislapp!$L$2+M834*Prislapp!$M$2+N834*Prislapp!$N$2</f>
        <v>20766</v>
      </c>
      <c r="P834" s="40">
        <f>C834*Prislapp!$C$3+D834*Prislapp!$D$3+E834*Prislapp!$E$3+F834*Prislapp!$F$3+G834*Prislapp!$G$3+H834*Prislapp!$H$3+I834*Prislapp!$I$3+J834*Prislapp!$J$3+K834*Prislapp!$K$3+M834*Prislapp!$M$3+N834*Prislapp!$N$3+L834*Prislapp!$L$3</f>
        <v>17442</v>
      </c>
      <c r="Q834" s="40">
        <f>C834*Prislapp!$C$5+D834*Prislapp!$D$5+E834*Prislapp!$E$5+F834*Prislapp!$F$5+G834*Prislapp!$G$5+H834*Prislapp!$H$5+I834*Prislapp!$I$5+J834*Prislapp!$J$5+K834*Prislapp!$K$5+L834*Prislapp!$L$5+M834*Prislapp!$M$5+N834*Prislapp!$N$5</f>
        <v>6000</v>
      </c>
      <c r="R834" s="9">
        <f>VLOOKUP(A834,'Ansvar kurs'!$A$2:$B$943,2,FALSE)</f>
        <v>1620</v>
      </c>
      <c r="S834" s="31" t="s">
        <v>1276</v>
      </c>
    </row>
    <row r="835" spans="1:26" x14ac:dyDescent="0.25">
      <c r="A835" s="176" t="s">
        <v>2361</v>
      </c>
      <c r="B835" s="421" t="s">
        <v>2366</v>
      </c>
      <c r="D835" s="57">
        <v>1</v>
      </c>
      <c r="O835" s="40">
        <f>C835*Prislapp!$C$2+D835*Prislapp!$D$2+E835*Prislapp!$E$2+F835*Prislapp!$F$2+G835*Prislapp!$G$2+H835*Prislapp!$H$2+I835*Prislapp!$I$2+J835*Prislapp!$J$2+K835*Prislapp!$K$2+L835*Prislapp!$L$2+M835*Prislapp!$M$2+N835*Prislapp!$N$2</f>
        <v>20766</v>
      </c>
      <c r="P835" s="40">
        <f>C835*Prislapp!$C$3+D835*Prislapp!$D$3+E835*Prislapp!$E$3+F835*Prislapp!$F$3+G835*Prislapp!$G$3+H835*Prislapp!$H$3+I835*Prislapp!$I$3+J835*Prislapp!$J$3+K835*Prislapp!$K$3+M835*Prislapp!$M$3+N835*Prislapp!$N$3+L835*Prislapp!$L$3</f>
        <v>17442</v>
      </c>
      <c r="Q835" s="40">
        <f>C835*Prislapp!$C$5+D835*Prislapp!$D$5+E835*Prislapp!$E$5+F835*Prislapp!$F$5+G835*Prislapp!$G$5+H835*Prislapp!$H$5+I835*Prislapp!$I$5+J835*Prislapp!$J$5+K835*Prislapp!$K$5+L835*Prislapp!$L$5+M835*Prislapp!$M$5+N835*Prislapp!$N$5</f>
        <v>6000</v>
      </c>
      <c r="R835" s="9">
        <f>VLOOKUP(A835,'Ansvar kurs'!$A$2:$B$943,2,FALSE)</f>
        <v>1620</v>
      </c>
      <c r="S835" s="176"/>
      <c r="T835" s="157"/>
      <c r="U835" s="157"/>
      <c r="V835" s="157"/>
      <c r="W835" s="157"/>
      <c r="X835" s="157"/>
      <c r="Y835" s="157"/>
      <c r="Z835" s="157"/>
    </row>
    <row r="836" spans="1:26" x14ac:dyDescent="0.25">
      <c r="A836" s="31" t="s">
        <v>148</v>
      </c>
      <c r="B836" s="31" t="s">
        <v>739</v>
      </c>
      <c r="I836" s="31">
        <v>0.8</v>
      </c>
      <c r="N836" s="31">
        <v>0.2</v>
      </c>
      <c r="O836" s="40">
        <f>C836*Prislapp!$C$2+D836*Prislapp!$D$2+E836*Prislapp!$E$2+F836*Prislapp!$F$2+G836*Prislapp!$G$2+H836*Prislapp!$H$2+I836*Prislapp!$I$2+J836*Prislapp!$J$2+K836*Prislapp!$K$2+L836*Prislapp!$L$2+M836*Prislapp!$M$2+N836*Prislapp!$N$2</f>
        <v>24631.8</v>
      </c>
      <c r="P836" s="40">
        <f>C836*Prislapp!$C$3+D836*Prislapp!$D$3+E836*Prislapp!$E$3+F836*Prislapp!$F$3+G836*Prislapp!$G$3+H836*Prislapp!$H$3+I836*Prislapp!$I$3+J836*Prislapp!$J$3+K836*Prislapp!$K$3+M836*Prislapp!$M$3+N836*Prislapp!$N$3+L836*Prislapp!$L$3</f>
        <v>21833.200000000001</v>
      </c>
      <c r="Q836" s="40">
        <f>C836*Prislapp!$C$5+D836*Prislapp!$D$5+E836*Prislapp!$E$5+F836*Prislapp!$F$5+G836*Prislapp!$G$5+H836*Prislapp!$H$5+I836*Prislapp!$I$5+J836*Prislapp!$J$5+K836*Prislapp!$K$5+L836*Prislapp!$L$5+M836*Prislapp!$M$5+N836*Prislapp!$N$5</f>
        <v>6000</v>
      </c>
      <c r="R836" s="9">
        <f>VLOOKUP(A836,'Ansvar kurs'!$A$2:$B$943,2,FALSE)</f>
        <v>2193</v>
      </c>
      <c r="S836" s="31" t="s">
        <v>1276</v>
      </c>
    </row>
    <row r="837" spans="1:26" x14ac:dyDescent="0.25">
      <c r="A837" s="31" t="s">
        <v>150</v>
      </c>
      <c r="B837" s="31" t="s">
        <v>740</v>
      </c>
      <c r="I837" s="31">
        <v>1</v>
      </c>
      <c r="O837" s="40">
        <f>C837*Prislapp!$C$2+D837*Prislapp!$D$2+E837*Prislapp!$E$2+F837*Prislapp!$F$2+G837*Prislapp!$G$2+H837*Prislapp!$H$2+I837*Prislapp!$I$2+J837*Prislapp!$J$2+K837*Prislapp!$K$2+L837*Prislapp!$L$2+M837*Prislapp!$M$2+N837*Prislapp!$N$2</f>
        <v>20766</v>
      </c>
      <c r="P837" s="40">
        <f>C837*Prislapp!$C$3+D837*Prislapp!$D$3+E837*Prislapp!$E$3+F837*Prislapp!$F$3+G837*Prislapp!$G$3+H837*Prislapp!$H$3+I837*Prislapp!$I$3+J837*Prislapp!$J$3+K837*Prislapp!$K$3+M837*Prislapp!$M$3+N837*Prislapp!$N$3+L837*Prislapp!$L$3</f>
        <v>17442</v>
      </c>
      <c r="Q837" s="40">
        <f>C837*Prislapp!$C$5+D837*Prislapp!$D$5+E837*Prislapp!$E$5+F837*Prislapp!$F$5+G837*Prislapp!$G$5+H837*Prislapp!$H$5+I837*Prislapp!$I$5+J837*Prislapp!$J$5+K837*Prislapp!$K$5+L837*Prislapp!$L$5+M837*Prislapp!$M$5+N837*Prislapp!$N$5</f>
        <v>6000</v>
      </c>
      <c r="R837" s="9">
        <f>VLOOKUP(A837,'Ansvar kurs'!$A$2:$B$943,2,FALSE)</f>
        <v>2193</v>
      </c>
    </row>
    <row r="838" spans="1:26" x14ac:dyDescent="0.25">
      <c r="A838" s="31" t="s">
        <v>354</v>
      </c>
      <c r="B838" s="31" t="s">
        <v>741</v>
      </c>
      <c r="I838" s="31">
        <v>1</v>
      </c>
      <c r="O838" s="40">
        <f>C838*Prislapp!$C$2+D838*Prislapp!$D$2+E838*Prislapp!$E$2+F838*Prislapp!$F$2+G838*Prislapp!$G$2+H838*Prislapp!$H$2+I838*Prislapp!$I$2+J838*Prislapp!$J$2+K838*Prislapp!$K$2+L838*Prislapp!$L$2+M838*Prislapp!$M$2+N838*Prislapp!$N$2</f>
        <v>20766</v>
      </c>
      <c r="P838" s="40">
        <f>C838*Prislapp!$C$3+D838*Prislapp!$D$3+E838*Prislapp!$E$3+F838*Prislapp!$F$3+G838*Prislapp!$G$3+H838*Prislapp!$H$3+I838*Prislapp!$I$3+J838*Prislapp!$J$3+K838*Prislapp!$K$3+M838*Prislapp!$M$3+N838*Prislapp!$N$3+L838*Prislapp!$L$3</f>
        <v>17442</v>
      </c>
      <c r="Q838" s="40">
        <f>C838*Prislapp!$C$5+D838*Prislapp!$D$5+E838*Prislapp!$E$5+F838*Prislapp!$F$5+G838*Prislapp!$G$5+H838*Prislapp!$H$5+I838*Prislapp!$I$5+J838*Prislapp!$J$5+K838*Prislapp!$K$5+L838*Prislapp!$L$5+M838*Prislapp!$M$5+N838*Prislapp!$N$5</f>
        <v>6000</v>
      </c>
      <c r="R838" s="9">
        <f>VLOOKUP(A838,'Ansvar kurs'!$A$2:$B$943,2,FALSE)</f>
        <v>2180</v>
      </c>
    </row>
    <row r="839" spans="1:26" x14ac:dyDescent="0.25">
      <c r="A839" s="31" t="s">
        <v>341</v>
      </c>
      <c r="B839" s="31" t="s">
        <v>742</v>
      </c>
      <c r="I839" s="31">
        <v>0.55000000000000004</v>
      </c>
      <c r="N839" s="31">
        <v>0.45</v>
      </c>
      <c r="O839" s="40">
        <f>C839*Prislapp!$C$2+D839*Prislapp!$D$2+E839*Prislapp!$E$2+F839*Prislapp!$F$2+G839*Prislapp!$G$2+H839*Prislapp!$H$2+I839*Prislapp!$I$2+J839*Prislapp!$J$2+K839*Prislapp!$K$2+L839*Prislapp!$L$2+M839*Prislapp!$M$2+N839*Prislapp!$N$2</f>
        <v>29464.050000000003</v>
      </c>
      <c r="P839" s="40">
        <f>C839*Prislapp!$C$3+D839*Prislapp!$D$3+E839*Prislapp!$E$3+F839*Prislapp!$F$3+G839*Prislapp!$G$3+H839*Prislapp!$H$3+I839*Prislapp!$I$3+J839*Prislapp!$J$3+K839*Prislapp!$K$3+M839*Prislapp!$M$3+N839*Prislapp!$N$3+L839*Prislapp!$L$3</f>
        <v>27322.200000000004</v>
      </c>
      <c r="Q839" s="40">
        <f>C839*Prislapp!$C$5+D839*Prislapp!$D$5+E839*Prislapp!$E$5+F839*Prislapp!$F$5+G839*Prislapp!$G$5+H839*Prislapp!$H$5+I839*Prislapp!$I$5+J839*Prislapp!$J$5+K839*Prislapp!$K$5+L839*Prislapp!$L$5+M839*Prislapp!$M$5+N839*Prislapp!$N$5</f>
        <v>6000</v>
      </c>
      <c r="R839" s="9">
        <f>VLOOKUP(A839,'Ansvar kurs'!$A$2:$B$943,2,FALSE)</f>
        <v>2193</v>
      </c>
    </row>
    <row r="840" spans="1:26" x14ac:dyDescent="0.25">
      <c r="A840" s="31" t="s">
        <v>378</v>
      </c>
      <c r="B840" s="31" t="s">
        <v>379</v>
      </c>
      <c r="I840" s="31">
        <v>1</v>
      </c>
      <c r="O840" s="40">
        <f>C840*Prislapp!$C$2+D840*Prislapp!$D$2+E840*Prislapp!$E$2+F840*Prislapp!$F$2+G840*Prislapp!$G$2+H840*Prislapp!$H$2+I840*Prislapp!$I$2+J840*Prislapp!$J$2+K840*Prislapp!$K$2+L840*Prislapp!$L$2+M840*Prislapp!$M$2+N840*Prislapp!$N$2</f>
        <v>20766</v>
      </c>
      <c r="P840" s="40">
        <f>C840*Prislapp!$C$3+D840*Prislapp!$D$3+E840*Prislapp!$E$3+F840*Prislapp!$F$3+G840*Prislapp!$G$3+H840*Prislapp!$H$3+I840*Prislapp!$I$3+J840*Prislapp!$J$3+K840*Prislapp!$K$3+M840*Prislapp!$M$3+N840*Prislapp!$N$3+L840*Prislapp!$L$3</f>
        <v>17442</v>
      </c>
      <c r="Q840" s="40">
        <f>C840*Prislapp!$C$5+D840*Prislapp!$D$5+E840*Prislapp!$E$5+F840*Prislapp!$F$5+G840*Prislapp!$G$5+H840*Prislapp!$H$5+I840*Prislapp!$I$5+J840*Prislapp!$J$5+K840*Prislapp!$K$5+L840*Prislapp!$L$5+M840*Prislapp!$M$5+N840*Prislapp!$N$5</f>
        <v>6000</v>
      </c>
      <c r="R840" s="9">
        <f>VLOOKUP(A840,'Ansvar kurs'!$A$2:$B$943,2,FALSE)</f>
        <v>2193</v>
      </c>
    </row>
    <row r="841" spans="1:26" x14ac:dyDescent="0.25">
      <c r="A841" s="31" t="s">
        <v>396</v>
      </c>
      <c r="B841" s="31" t="s">
        <v>743</v>
      </c>
      <c r="I841" s="31">
        <v>0.7</v>
      </c>
      <c r="N841" s="31">
        <v>0.3</v>
      </c>
      <c r="O841" s="40">
        <f>C841*Prislapp!$C$2+D841*Prislapp!$D$2+E841*Prislapp!$E$2+F841*Prislapp!$F$2+G841*Prislapp!$G$2+H841*Prislapp!$H$2+I841*Prislapp!$I$2+J841*Prislapp!$J$2+K841*Prislapp!$K$2+L841*Prislapp!$L$2+M841*Prislapp!$M$2+N841*Prislapp!$N$2</f>
        <v>26564.699999999997</v>
      </c>
      <c r="P841" s="40">
        <f>C841*Prislapp!$C$3+D841*Prislapp!$D$3+E841*Prislapp!$E$3+F841*Prislapp!$F$3+G841*Prislapp!$G$3+H841*Prislapp!$H$3+I841*Prislapp!$I$3+J841*Prislapp!$J$3+K841*Prislapp!$K$3+M841*Prislapp!$M$3+N841*Prislapp!$N$3+L841*Prislapp!$L$3</f>
        <v>24028.799999999999</v>
      </c>
      <c r="Q841" s="40">
        <f>C841*Prislapp!$C$5+D841*Prislapp!$D$5+E841*Prislapp!$E$5+F841*Prislapp!$F$5+G841*Prislapp!$G$5+H841*Prislapp!$H$5+I841*Prislapp!$I$5+J841*Prislapp!$J$5+K841*Prislapp!$K$5+L841*Prislapp!$L$5+M841*Prislapp!$M$5+N841*Prislapp!$N$5</f>
        <v>6000</v>
      </c>
      <c r="R841" s="9">
        <f>VLOOKUP(A841,'Ansvar kurs'!$A$2:$B$943,2,FALSE)</f>
        <v>2193</v>
      </c>
      <c r="S841" s="157"/>
    </row>
    <row r="842" spans="1:26" x14ac:dyDescent="0.25">
      <c r="A842" s="31" t="s">
        <v>340</v>
      </c>
      <c r="B842" s="31" t="s">
        <v>744</v>
      </c>
      <c r="I842" s="31">
        <v>1</v>
      </c>
      <c r="O842" s="40">
        <f>C842*Prislapp!$C$2+D842*Prislapp!$D$2+E842*Prislapp!$E$2+F842*Prislapp!$F$2+G842*Prislapp!$G$2+H842*Prislapp!$H$2+I842*Prislapp!$I$2+J842*Prislapp!$J$2+K842*Prislapp!$K$2+L842*Prislapp!$L$2+M842*Prislapp!$M$2+N842*Prislapp!$N$2</f>
        <v>20766</v>
      </c>
      <c r="P842" s="40">
        <f>C842*Prislapp!$C$3+D842*Prislapp!$D$3+E842*Prislapp!$E$3+F842*Prislapp!$F$3+G842*Prislapp!$G$3+H842*Prislapp!$H$3+I842*Prislapp!$I$3+J842*Prislapp!$J$3+K842*Prislapp!$K$3+M842*Prislapp!$M$3+N842*Prislapp!$N$3+L842*Prislapp!$L$3</f>
        <v>17442</v>
      </c>
      <c r="Q842" s="40">
        <f>C842*Prislapp!$C$5+D842*Prislapp!$D$5+E842*Prislapp!$E$5+F842*Prislapp!$F$5+G842*Prislapp!$G$5+H842*Prislapp!$H$5+I842*Prislapp!$I$5+J842*Prislapp!$J$5+K842*Prislapp!$K$5+L842*Prislapp!$L$5+M842*Prislapp!$M$5+N842*Prislapp!$N$5</f>
        <v>6000</v>
      </c>
      <c r="R842" s="9">
        <f>VLOOKUP(A842,'Ansvar kurs'!$A$2:$B$943,2,FALSE)</f>
        <v>2193</v>
      </c>
      <c r="U842" s="157"/>
      <c r="V842" s="157"/>
      <c r="W842" s="157"/>
      <c r="X842" s="157"/>
      <c r="Y842" s="157"/>
      <c r="Z842" s="157"/>
    </row>
    <row r="843" spans="1:26" x14ac:dyDescent="0.25">
      <c r="A843" s="31" t="s">
        <v>1</v>
      </c>
      <c r="B843" s="31" t="s">
        <v>745</v>
      </c>
      <c r="D843" s="31">
        <v>0.8</v>
      </c>
      <c r="I843" s="31">
        <v>0</v>
      </c>
      <c r="N843" s="31">
        <v>0.2</v>
      </c>
      <c r="O843" s="40">
        <f>C843*Prislapp!$C$2+D843*Prislapp!$D$2+E843*Prislapp!$E$2+F843*Prislapp!$F$2+G843*Prislapp!$G$2+H843*Prislapp!$H$2+I843*Prislapp!$I$2+J843*Prislapp!$J$2+K843*Prislapp!$K$2+L843*Prislapp!$L$2+M843*Prislapp!$M$2+N843*Prislapp!$N$2</f>
        <v>24631.8</v>
      </c>
      <c r="P843" s="40">
        <f>C843*Prislapp!$C$3+D843*Prislapp!$D$3+E843*Prislapp!$E$3+F843*Prislapp!$F$3+G843*Prislapp!$G$3+H843*Prislapp!$H$3+I843*Prislapp!$I$3+J843*Prislapp!$J$3+K843*Prislapp!$K$3+M843*Prislapp!$M$3+N843*Prislapp!$N$3+L843*Prislapp!$L$3</f>
        <v>21833.200000000001</v>
      </c>
      <c r="Q843" s="40">
        <f>C843*Prislapp!$C$5+D843*Prislapp!$D$5+E843*Prislapp!$E$5+F843*Prislapp!$F$5+G843*Prislapp!$G$5+H843*Prislapp!$H$5+I843*Prislapp!$I$5+J843*Prislapp!$J$5+K843*Prislapp!$K$5+L843*Prislapp!$L$5+M843*Prislapp!$M$5+N843*Prislapp!$N$5</f>
        <v>6000</v>
      </c>
      <c r="R843" s="9">
        <f>VLOOKUP(A843,'Ansvar kurs'!$A$2:$B$943,2,FALSE)</f>
        <v>2193</v>
      </c>
      <c r="U843" s="157"/>
      <c r="V843" s="157"/>
      <c r="W843" s="157"/>
      <c r="X843" s="157"/>
      <c r="Y843" s="157"/>
      <c r="Z843" s="157"/>
    </row>
    <row r="844" spans="1:26" x14ac:dyDescent="0.25">
      <c r="A844" s="31" t="s">
        <v>377</v>
      </c>
      <c r="B844" s="31" t="s">
        <v>746</v>
      </c>
      <c r="I844" s="31">
        <v>1</v>
      </c>
      <c r="O844" s="40">
        <f>C844*Prislapp!$C$2+D844*Prislapp!$D$2+E844*Prislapp!$E$2+F844*Prislapp!$F$2+G844*Prislapp!$G$2+H844*Prislapp!$H$2+I844*Prislapp!$I$2+J844*Prislapp!$J$2+K844*Prislapp!$K$2+L844*Prislapp!$L$2+M844*Prislapp!$M$2+N844*Prislapp!$N$2</f>
        <v>20766</v>
      </c>
      <c r="P844" s="40">
        <f>C844*Prislapp!$C$3+D844*Prislapp!$D$3+E844*Prislapp!$E$3+F844*Prislapp!$F$3+G844*Prislapp!$G$3+H844*Prislapp!$H$3+I844*Prislapp!$I$3+J844*Prislapp!$J$3+K844*Prislapp!$K$3+M844*Prislapp!$M$3+N844*Prislapp!$N$3+L844*Prislapp!$L$3</f>
        <v>17442</v>
      </c>
      <c r="Q844" s="40">
        <f>C844*Prislapp!$C$5+D844*Prislapp!$D$5+E844*Prislapp!$E$5+F844*Prislapp!$F$5+G844*Prislapp!$G$5+H844*Prislapp!$H$5+I844*Prislapp!$I$5+J844*Prislapp!$J$5+K844*Prislapp!$K$5+L844*Prislapp!$L$5+M844*Prislapp!$M$5+N844*Prislapp!$N$5</f>
        <v>6000</v>
      </c>
      <c r="R844" s="9">
        <f>VLOOKUP(A844,'Ansvar kurs'!$A$2:$B$943,2,FALSE)</f>
        <v>2193</v>
      </c>
      <c r="U844" s="157"/>
      <c r="V844" s="157"/>
      <c r="W844" s="157"/>
      <c r="X844" s="157"/>
      <c r="Y844" s="157"/>
      <c r="Z844" s="157"/>
    </row>
    <row r="845" spans="1:26" x14ac:dyDescent="0.25">
      <c r="A845" s="221" t="s">
        <v>604</v>
      </c>
      <c r="B845" s="31" t="s">
        <v>680</v>
      </c>
      <c r="I845" s="31">
        <v>1</v>
      </c>
      <c r="O845" s="40">
        <f>C845*Prislapp!$C$2+D845*Prislapp!$D$2+E845*Prislapp!$E$2+F845*Prislapp!$F$2+G845*Prislapp!$G$2+H845*Prislapp!$H$2+I845*Prislapp!$I$2+J845*Prislapp!$J$2+K845*Prislapp!$K$2+L845*Prislapp!$L$2+M845*Prislapp!$M$2+N845*Prislapp!$N$2</f>
        <v>20766</v>
      </c>
      <c r="P845" s="40">
        <f>C845*Prislapp!$C$3+D845*Prislapp!$D$3+E845*Prislapp!$E$3+F845*Prislapp!$F$3+G845*Prislapp!$G$3+H845*Prislapp!$H$3+I845*Prislapp!$I$3+J845*Prislapp!$J$3+K845*Prislapp!$K$3+M845*Prislapp!$M$3+N845*Prislapp!$N$3+L845*Prislapp!$L$3</f>
        <v>17442</v>
      </c>
      <c r="Q845" s="40">
        <f>C845*Prislapp!$C$5+D845*Prislapp!$D$5+E845*Prislapp!$E$5+F845*Prislapp!$F$5+G845*Prislapp!$G$5+H845*Prislapp!$H$5+I845*Prislapp!$I$5+J845*Prislapp!$J$5+K845*Prislapp!$K$5+L845*Prislapp!$L$5+M845*Prislapp!$M$5+N845*Prislapp!$N$5</f>
        <v>6000</v>
      </c>
      <c r="R845" s="9">
        <f>VLOOKUP(A845,'Ansvar kurs'!$A$2:$B$943,2,FALSE)</f>
        <v>2193</v>
      </c>
      <c r="U845" s="157"/>
      <c r="V845" s="157"/>
      <c r="W845" s="157"/>
      <c r="X845" s="157"/>
      <c r="Y845" s="157"/>
      <c r="Z845" s="157"/>
    </row>
    <row r="846" spans="1:26" x14ac:dyDescent="0.25">
      <c r="A846" s="221" t="s">
        <v>432</v>
      </c>
      <c r="B846" s="31" t="s">
        <v>1169</v>
      </c>
      <c r="I846" s="31">
        <v>1</v>
      </c>
      <c r="O846" s="40">
        <f>C846*Prislapp!$C$2+D846*Prislapp!$D$2+E846*Prislapp!$E$2+F846*Prislapp!$F$2+G846*Prislapp!$G$2+H846*Prislapp!$H$2+I846*Prislapp!$I$2+J846*Prislapp!$J$2+K846*Prislapp!$K$2+L846*Prislapp!$L$2+M846*Prislapp!$M$2+N846*Prislapp!$N$2</f>
        <v>20766</v>
      </c>
      <c r="P846" s="40">
        <f>C846*Prislapp!$C$3+D846*Prislapp!$D$3+E846*Prislapp!$E$3+F846*Prislapp!$F$3+G846*Prislapp!$G$3+H846*Prislapp!$H$3+I846*Prislapp!$I$3+J846*Prislapp!$J$3+K846*Prislapp!$K$3+M846*Prislapp!$M$3+N846*Prislapp!$N$3+L846*Prislapp!$L$3</f>
        <v>17442</v>
      </c>
      <c r="Q846" s="40">
        <f>C846*Prislapp!$C$5+D846*Prislapp!$D$5+E846*Prislapp!$E$5+F846*Prislapp!$F$5+G846*Prislapp!$G$5+H846*Prislapp!$H$5+I846*Prislapp!$I$5+J846*Prislapp!$J$5+K846*Prislapp!$K$5+L846*Prislapp!$L$5+M846*Prislapp!$M$5+N846*Prislapp!$N$5</f>
        <v>6000</v>
      </c>
      <c r="R846" s="9">
        <f>VLOOKUP(A846,'Ansvar kurs'!$A$2:$B$943,2,FALSE)</f>
        <v>2193</v>
      </c>
      <c r="S846" s="157"/>
      <c r="T846" s="157"/>
      <c r="U846" s="157"/>
      <c r="V846" s="157"/>
      <c r="W846" s="157"/>
      <c r="X846" s="157"/>
      <c r="Y846" s="157"/>
      <c r="Z846" s="157"/>
    </row>
    <row r="847" spans="1:26" x14ac:dyDescent="0.25">
      <c r="A847" s="221" t="s">
        <v>877</v>
      </c>
      <c r="B847" s="31" t="s">
        <v>1214</v>
      </c>
      <c r="I847" s="31">
        <v>1</v>
      </c>
      <c r="O847" s="40">
        <f>C847*Prislapp!$C$2+D847*Prislapp!$D$2+E847*Prislapp!$E$2+F847*Prislapp!$F$2+G847*Prislapp!$G$2+H847*Prislapp!$H$2+I847*Prislapp!$I$2+J847*Prislapp!$J$2+K847*Prislapp!$K$2+L847*Prislapp!$L$2+M847*Prislapp!$M$2+N847*Prislapp!$N$2</f>
        <v>20766</v>
      </c>
      <c r="P847" s="40">
        <f>C847*Prislapp!$C$3+D847*Prislapp!$D$3+E847*Prislapp!$E$3+F847*Prislapp!$F$3+G847*Prislapp!$G$3+H847*Prislapp!$H$3+I847*Prislapp!$I$3+J847*Prislapp!$J$3+K847*Prislapp!$K$3+M847*Prislapp!$M$3+N847*Prislapp!$N$3+L847*Prislapp!$L$3</f>
        <v>17442</v>
      </c>
      <c r="Q847" s="40">
        <f>C847*Prislapp!$C$5+D847*Prislapp!$D$5+E847*Prislapp!$E$5+F847*Prislapp!$F$5+G847*Prislapp!$G$5+H847*Prislapp!$H$5+I847*Prislapp!$I$5+J847*Prislapp!$J$5+K847*Prislapp!$K$5+L847*Prislapp!$L$5+M847*Prislapp!$M$5+N847*Prislapp!$N$5</f>
        <v>6000</v>
      </c>
      <c r="R847" s="9">
        <f>VLOOKUP(A847,'Ansvar kurs'!$A$2:$B$943,2,FALSE)</f>
        <v>2193</v>
      </c>
      <c r="S847" s="157"/>
      <c r="T847" s="157"/>
      <c r="U847" s="157"/>
      <c r="V847" s="157"/>
      <c r="W847" s="157"/>
      <c r="X847" s="157"/>
      <c r="Y847" s="157"/>
      <c r="Z847" s="157"/>
    </row>
    <row r="848" spans="1:26" x14ac:dyDescent="0.25">
      <c r="A848" s="221" t="s">
        <v>879</v>
      </c>
      <c r="B848" s="31" t="s">
        <v>1215</v>
      </c>
      <c r="I848" s="31">
        <v>0.8</v>
      </c>
      <c r="N848" s="31">
        <v>0.2</v>
      </c>
      <c r="O848" s="40">
        <f>C848*Prislapp!$C$2+D848*Prislapp!$D$2+E848*Prislapp!$E$2+F848*Prislapp!$F$2+G848*Prislapp!$G$2+H848*Prislapp!$H$2+I848*Prislapp!$I$2+J848*Prislapp!$J$2+K848*Prislapp!$K$2+L848*Prislapp!$L$2+M848*Prislapp!$M$2+N848*Prislapp!$N$2</f>
        <v>24631.8</v>
      </c>
      <c r="P848" s="40">
        <f>C848*Prislapp!$C$3+D848*Prislapp!$D$3+E848*Prislapp!$E$3+F848*Prislapp!$F$3+G848*Prislapp!$G$3+H848*Prislapp!$H$3+I848*Prislapp!$I$3+J848*Prislapp!$J$3+K848*Prislapp!$K$3+M848*Prislapp!$M$3+N848*Prislapp!$N$3+L848*Prislapp!$L$3</f>
        <v>21833.200000000001</v>
      </c>
      <c r="Q848" s="40">
        <f>C848*Prislapp!$C$5+D848*Prislapp!$D$5+E848*Prislapp!$E$5+F848*Prislapp!$F$5+G848*Prislapp!$G$5+H848*Prislapp!$H$5+I848*Prislapp!$I$5+J848*Prislapp!$J$5+K848*Prislapp!$K$5+L848*Prislapp!$L$5+M848*Prislapp!$M$5+N848*Prislapp!$N$5</f>
        <v>6000</v>
      </c>
      <c r="R848" s="9">
        <f>VLOOKUP(A848,'Ansvar kurs'!$A$2:$B$943,2,FALSE)</f>
        <v>2193</v>
      </c>
      <c r="S848" s="31" t="s">
        <v>1276</v>
      </c>
      <c r="T848" s="157"/>
      <c r="U848" s="157"/>
      <c r="V848" s="157"/>
      <c r="W848" s="157"/>
      <c r="X848" s="157"/>
      <c r="Y848" s="157"/>
      <c r="Z848" s="157"/>
    </row>
    <row r="849" spans="1:20" x14ac:dyDescent="0.25">
      <c r="A849" s="221" t="s">
        <v>880</v>
      </c>
      <c r="B849" s="31" t="s">
        <v>1216</v>
      </c>
      <c r="I849" s="31">
        <v>1</v>
      </c>
      <c r="O849" s="40">
        <f>C849*Prislapp!$C$2+D849*Prislapp!$D$2+E849*Prislapp!$E$2+F849*Prislapp!$F$2+G849*Prislapp!$G$2+H849*Prislapp!$H$2+I849*Prislapp!$I$2+J849*Prislapp!$J$2+K849*Prislapp!$K$2+L849*Prislapp!$L$2+M849*Prislapp!$M$2+N849*Prislapp!$N$2</f>
        <v>20766</v>
      </c>
      <c r="P849" s="40">
        <f>C849*Prislapp!$C$3+D849*Prislapp!$D$3+E849*Prislapp!$E$3+F849*Prislapp!$F$3+G849*Prislapp!$G$3+H849*Prislapp!$H$3+I849*Prislapp!$I$3+J849*Prislapp!$J$3+K849*Prislapp!$K$3+M849*Prislapp!$M$3+N849*Prislapp!$N$3+L849*Prislapp!$L$3</f>
        <v>17442</v>
      </c>
      <c r="Q849" s="40">
        <f>C849*Prislapp!$C$5+D849*Prislapp!$D$5+E849*Prislapp!$E$5+F849*Prislapp!$F$5+G849*Prislapp!$G$5+H849*Prislapp!$H$5+I849*Prislapp!$I$5+J849*Prislapp!$J$5+K849*Prislapp!$K$5+L849*Prislapp!$L$5+M849*Prislapp!$M$5+N849*Prislapp!$N$5</f>
        <v>6000</v>
      </c>
      <c r="R849" s="9">
        <f>VLOOKUP(A849,'Ansvar kurs'!$A$2:$B$943,2,FALSE)</f>
        <v>2193</v>
      </c>
      <c r="S849" s="157"/>
      <c r="T849" s="157"/>
    </row>
    <row r="850" spans="1:20" x14ac:dyDescent="0.25">
      <c r="A850" s="221" t="s">
        <v>878</v>
      </c>
      <c r="B850" s="31" t="s">
        <v>1217</v>
      </c>
      <c r="D850" s="31">
        <v>0</v>
      </c>
      <c r="I850" s="31">
        <v>0.2</v>
      </c>
      <c r="N850" s="31">
        <v>0.8</v>
      </c>
      <c r="O850" s="40">
        <f>C850*Prislapp!$C$2+D850*Prislapp!$D$2+E850*Prislapp!$E$2+F850*Prislapp!$F$2+G850*Prislapp!$G$2+H850*Prislapp!$H$2+I850*Prislapp!$I$2+J850*Prislapp!$J$2+K850*Prislapp!$K$2+L850*Prislapp!$L$2+M850*Prislapp!$M$2+N850*Prislapp!$N$2</f>
        <v>36229.199999999997</v>
      </c>
      <c r="P850" s="40">
        <f>C850*Prislapp!$C$3+D850*Prislapp!$D$3+E850*Prislapp!$E$3+F850*Prislapp!$F$3+G850*Prislapp!$G$3+H850*Prislapp!$H$3+I850*Prislapp!$I$3+J850*Prislapp!$J$3+K850*Prislapp!$K$3+M850*Prislapp!$M$3+N850*Prislapp!$N$3+L850*Prislapp!$L$3</f>
        <v>35006.800000000003</v>
      </c>
      <c r="Q850" s="40">
        <f>C850*Prislapp!$C$5+D850*Prislapp!$D$5+E850*Prislapp!$E$5+F850*Prislapp!$F$5+G850*Prislapp!$G$5+H850*Prislapp!$H$5+I850*Prislapp!$I$5+J850*Prislapp!$J$5+K850*Prislapp!$K$5+L850*Prislapp!$L$5+M850*Prislapp!$M$5+N850*Prislapp!$N$5</f>
        <v>6000</v>
      </c>
      <c r="R850" s="9">
        <f>VLOOKUP(A850,'Ansvar kurs'!$A$2:$B$943,2,FALSE)</f>
        <v>2193</v>
      </c>
      <c r="S850" s="31" t="s">
        <v>1276</v>
      </c>
      <c r="T850" s="157"/>
    </row>
    <row r="851" spans="1:20" x14ac:dyDescent="0.25">
      <c r="A851" s="221" t="s">
        <v>876</v>
      </c>
      <c r="B851" s="31" t="s">
        <v>1218</v>
      </c>
      <c r="I851" s="31">
        <v>1</v>
      </c>
      <c r="O851" s="40">
        <f>C851*Prislapp!$C$2+D851*Prislapp!$D$2+E851*Prislapp!$E$2+F851*Prislapp!$F$2+G851*Prislapp!$G$2+H851*Prislapp!$H$2+I851*Prislapp!$I$2+J851*Prislapp!$J$2+K851*Prislapp!$K$2+L851*Prislapp!$L$2+M851*Prislapp!$M$2+N851*Prislapp!$N$2</f>
        <v>20766</v>
      </c>
      <c r="P851" s="40">
        <f>C851*Prislapp!$C$3+D851*Prislapp!$D$3+E851*Prislapp!$E$3+F851*Prislapp!$F$3+G851*Prislapp!$G$3+H851*Prislapp!$H$3+I851*Prislapp!$I$3+J851*Prislapp!$J$3+K851*Prislapp!$K$3+M851*Prislapp!$M$3+N851*Prislapp!$N$3+L851*Prislapp!$L$3</f>
        <v>17442</v>
      </c>
      <c r="Q851" s="40">
        <f>C851*Prislapp!$C$5+D851*Prislapp!$D$5+E851*Prislapp!$E$5+F851*Prislapp!$F$5+G851*Prislapp!$G$5+H851*Prislapp!$H$5+I851*Prislapp!$I$5+J851*Prislapp!$J$5+K851*Prislapp!$K$5+L851*Prislapp!$L$5+M851*Prislapp!$M$5+N851*Prislapp!$N$5</f>
        <v>6000</v>
      </c>
      <c r="R851" s="9">
        <f>VLOOKUP(A851,'Ansvar kurs'!$A$2:$B$943,2,FALSE)</f>
        <v>2180</v>
      </c>
      <c r="S851" s="157"/>
      <c r="T851" s="157"/>
    </row>
    <row r="852" spans="1:20" x14ac:dyDescent="0.25">
      <c r="A852" s="221" t="s">
        <v>917</v>
      </c>
      <c r="B852" s="31" t="s">
        <v>747</v>
      </c>
      <c r="I852" s="31">
        <v>1</v>
      </c>
      <c r="O852" s="40">
        <f>C852*Prislapp!$C$2+D852*Prislapp!$D$2+E852*Prislapp!$E$2+F852*Prislapp!$F$2+G852*Prislapp!$G$2+H852*Prislapp!$H$2+I852*Prislapp!$I$2+J852*Prislapp!$J$2+K852*Prislapp!$K$2+L852*Prislapp!$L$2+M852*Prislapp!$M$2+N852*Prislapp!$N$2</f>
        <v>20766</v>
      </c>
      <c r="P852" s="40">
        <f>C852*Prislapp!$C$3+D852*Prislapp!$D$3+E852*Prislapp!$E$3+F852*Prislapp!$F$3+G852*Prislapp!$G$3+H852*Prislapp!$H$3+I852*Prislapp!$I$3+J852*Prislapp!$J$3+K852*Prislapp!$K$3+M852*Prislapp!$M$3+N852*Prislapp!$N$3+L852*Prislapp!$L$3</f>
        <v>17442</v>
      </c>
      <c r="Q852" s="40">
        <f>C852*Prislapp!$C$5+D852*Prislapp!$D$5+E852*Prislapp!$E$5+F852*Prislapp!$F$5+G852*Prislapp!$G$5+H852*Prislapp!$H$5+I852*Prislapp!$I$5+J852*Prislapp!$J$5+K852*Prislapp!$K$5+L852*Prislapp!$L$5+M852*Prislapp!$M$5+N852*Prislapp!$N$5</f>
        <v>6000</v>
      </c>
      <c r="R852" s="9">
        <f>VLOOKUP(A852,'Ansvar kurs'!$A$2:$B$943,2,FALSE)</f>
        <v>2193</v>
      </c>
      <c r="S852" s="157" t="s">
        <v>920</v>
      </c>
      <c r="T852" s="157"/>
    </row>
    <row r="853" spans="1:20" x14ac:dyDescent="0.25">
      <c r="A853" s="221" t="s">
        <v>918</v>
      </c>
      <c r="B853" s="31" t="s">
        <v>1219</v>
      </c>
      <c r="I853" s="31">
        <v>1</v>
      </c>
      <c r="O853" s="40">
        <f>C853*Prislapp!$C$2+D853*Prislapp!$D$2+E853*Prislapp!$E$2+F853*Prislapp!$F$2+G853*Prislapp!$G$2+H853*Prislapp!$H$2+I853*Prislapp!$I$2+J853*Prislapp!$J$2+K853*Prislapp!$K$2+L853*Prislapp!$L$2+M853*Prislapp!$M$2+N853*Prislapp!$N$2</f>
        <v>20766</v>
      </c>
      <c r="P853" s="40">
        <f>C853*Prislapp!$C$3+D853*Prislapp!$D$3+E853*Prislapp!$E$3+F853*Prislapp!$F$3+G853*Prislapp!$G$3+H853*Prislapp!$H$3+I853*Prislapp!$I$3+J853*Prislapp!$J$3+K853*Prislapp!$K$3+M853*Prislapp!$M$3+N853*Prislapp!$N$3+L853*Prislapp!$L$3</f>
        <v>17442</v>
      </c>
      <c r="Q853" s="40">
        <f>C853*Prislapp!$C$5+D853*Prislapp!$D$5+E853*Prislapp!$E$5+F853*Prislapp!$F$5+G853*Prislapp!$G$5+H853*Prislapp!$H$5+I853*Prislapp!$I$5+J853*Prislapp!$J$5+K853*Prislapp!$K$5+L853*Prislapp!$L$5+M853*Prislapp!$M$5+N853*Prislapp!$N$5</f>
        <v>6000</v>
      </c>
      <c r="R853" s="9">
        <f>VLOOKUP(A853,'Ansvar kurs'!$A$2:$B$943,2,FALSE)</f>
        <v>2193</v>
      </c>
      <c r="S853" s="157" t="s">
        <v>920</v>
      </c>
      <c r="T853" s="157"/>
    </row>
    <row r="854" spans="1:20" x14ac:dyDescent="0.25">
      <c r="A854" s="221" t="s">
        <v>919</v>
      </c>
      <c r="B854" s="31" t="s">
        <v>748</v>
      </c>
      <c r="I854" s="31">
        <v>1</v>
      </c>
      <c r="O854" s="40">
        <f>C854*Prislapp!$C$2+D854*Prislapp!$D$2+E854*Prislapp!$E$2+F854*Prislapp!$F$2+G854*Prislapp!$G$2+H854*Prislapp!$H$2+I854*Prislapp!$I$2+J854*Prislapp!$J$2+K854*Prislapp!$K$2+L854*Prislapp!$L$2+M854*Prislapp!$M$2+N854*Prislapp!$N$2</f>
        <v>20766</v>
      </c>
      <c r="P854" s="40">
        <f>C854*Prislapp!$C$3+D854*Prislapp!$D$3+E854*Prislapp!$E$3+F854*Prislapp!$F$3+G854*Prislapp!$G$3+H854*Prislapp!$H$3+I854*Prislapp!$I$3+J854*Prislapp!$J$3+K854*Prislapp!$K$3+M854*Prislapp!$M$3+N854*Prislapp!$N$3+L854*Prislapp!$L$3</f>
        <v>17442</v>
      </c>
      <c r="Q854" s="40">
        <f>C854*Prislapp!$C$5+D854*Prislapp!$D$5+E854*Prislapp!$E$5+F854*Prislapp!$F$5+G854*Prislapp!$G$5+H854*Prislapp!$H$5+I854*Prislapp!$I$5+J854*Prislapp!$J$5+K854*Prislapp!$K$5+L854*Prislapp!$L$5+M854*Prislapp!$M$5+N854*Prislapp!$N$5</f>
        <v>6000</v>
      </c>
      <c r="R854" s="9">
        <f>VLOOKUP(A854,'Ansvar kurs'!$A$2:$B$943,2,FALSE)</f>
        <v>2193</v>
      </c>
      <c r="S854" s="157" t="s">
        <v>920</v>
      </c>
      <c r="T854" s="157"/>
    </row>
    <row r="855" spans="1:20" x14ac:dyDescent="0.25">
      <c r="A855" s="221" t="s">
        <v>962</v>
      </c>
      <c r="B855" s="31" t="s">
        <v>741</v>
      </c>
      <c r="I855" s="31">
        <v>1</v>
      </c>
      <c r="O855" s="40">
        <f>C855*Prislapp!$C$2+D855*Prislapp!$D$2+E855*Prislapp!$E$2+F855*Prislapp!$F$2+G855*Prislapp!$G$2+H855*Prislapp!$H$2+I855*Prislapp!$I$2+J855*Prislapp!$J$2+K855*Prislapp!$K$2+L855*Prislapp!$L$2+M855*Prislapp!$M$2+N855*Prislapp!$N$2</f>
        <v>20766</v>
      </c>
      <c r="P855" s="40">
        <f>C855*Prislapp!$C$3+D855*Prislapp!$D$3+E855*Prislapp!$E$3+F855*Prislapp!$F$3+G855*Prislapp!$G$3+H855*Prislapp!$H$3+I855*Prislapp!$I$3+J855*Prislapp!$J$3+K855*Prislapp!$K$3+M855*Prislapp!$M$3+N855*Prislapp!$N$3+L855*Prislapp!$L$3</f>
        <v>17442</v>
      </c>
      <c r="Q855" s="40">
        <f>C855*Prislapp!$C$5+D855*Prislapp!$D$5+E855*Prislapp!$E$5+F855*Prislapp!$F$5+G855*Prislapp!$G$5+H855*Prislapp!$H$5+I855*Prislapp!$I$5+J855*Prislapp!$J$5+K855*Prislapp!$K$5+L855*Prislapp!$L$5+M855*Prislapp!$M$5+N855*Prislapp!$N$5</f>
        <v>6000</v>
      </c>
      <c r="R855" s="9">
        <f>VLOOKUP(A855,'Ansvar kurs'!$A$2:$B$943,2,FALSE)</f>
        <v>2180</v>
      </c>
      <c r="S855" s="157" t="s">
        <v>963</v>
      </c>
      <c r="T855" s="157"/>
    </row>
    <row r="856" spans="1:20" x14ac:dyDescent="0.25">
      <c r="A856" s="31" t="s">
        <v>1315</v>
      </c>
      <c r="B856" s="31" t="s">
        <v>742</v>
      </c>
      <c r="I856" s="31">
        <v>0.55000000000000004</v>
      </c>
      <c r="N856" s="31">
        <v>0.45</v>
      </c>
      <c r="O856" s="40">
        <f>C856*Prislapp!$C$2+D856*Prislapp!$D$2+E856*Prislapp!$E$2+F856*Prislapp!$F$2+G856*Prislapp!$G$2+H856*Prislapp!$H$2+I856*Prislapp!$I$2+J856*Prislapp!$J$2+K856*Prislapp!$K$2+L856*Prislapp!$L$2+M856*Prislapp!$M$2+N856*Prislapp!$N$2</f>
        <v>29464.050000000003</v>
      </c>
      <c r="P856" s="40">
        <f>C856*Prislapp!$C$3+D856*Prislapp!$D$3+E856*Prislapp!$E$3+F856*Prislapp!$F$3+G856*Prislapp!$G$3+H856*Prislapp!$H$3+I856*Prislapp!$I$3+J856*Prislapp!$J$3+K856*Prislapp!$K$3+M856*Prislapp!$M$3+N856*Prislapp!$N$3+L856*Prislapp!$L$3</f>
        <v>27322.200000000004</v>
      </c>
      <c r="Q856" s="40">
        <f>C856*Prislapp!$C$5+D856*Prislapp!$D$5+E856*Prislapp!$E$5+F856*Prislapp!$F$5+G856*Prislapp!$G$5+H856*Prislapp!$H$5+I856*Prislapp!$I$5+J856*Prislapp!$J$5+K856*Prislapp!$K$5+L856*Prislapp!$L$5+M856*Prislapp!$M$5+N856*Prislapp!$N$5</f>
        <v>6000</v>
      </c>
      <c r="R856" s="9">
        <f>VLOOKUP(A856,'Ansvar kurs'!$A$2:$B$943,2,FALSE)</f>
        <v>2193</v>
      </c>
      <c r="S856" s="157" t="s">
        <v>1320</v>
      </c>
    </row>
    <row r="857" spans="1:20" x14ac:dyDescent="0.25">
      <c r="A857" s="221" t="s">
        <v>1577</v>
      </c>
      <c r="B857" s="31" t="s">
        <v>1169</v>
      </c>
      <c r="I857" s="31">
        <v>1</v>
      </c>
      <c r="O857" s="40">
        <f>C857*Prislapp!$C$2+D857*Prislapp!$D$2+E857*Prislapp!$E$2+F857*Prislapp!$F$2+G857*Prislapp!$G$2+H857*Prislapp!$H$2+I857*Prislapp!$I$2+J857*Prislapp!$J$2+K857*Prislapp!$K$2+L857*Prislapp!$L$2+M857*Prislapp!$M$2+N857*Prislapp!$N$2</f>
        <v>20766</v>
      </c>
      <c r="P857" s="40">
        <f>C857*Prislapp!$C$3+D857*Prislapp!$D$3+E857*Prislapp!$E$3+F857*Prislapp!$F$3+G857*Prislapp!$G$3+H857*Prislapp!$H$3+I857*Prislapp!$I$3+J857*Prislapp!$J$3+K857*Prislapp!$K$3+M857*Prislapp!$M$3+N857*Prislapp!$N$3+L857*Prislapp!$L$3</f>
        <v>17442</v>
      </c>
      <c r="Q857" s="40">
        <f>C857*Prislapp!$C$5+D857*Prislapp!$D$5+E857*Prislapp!$E$5+F857*Prislapp!$F$5+G857*Prislapp!$G$5+H857*Prislapp!$H$5+I857*Prislapp!$I$5+J857*Prislapp!$J$5+K857*Prislapp!$K$5+L857*Prislapp!$L$5+M857*Prislapp!$M$5+N857*Prislapp!$N$5</f>
        <v>6000</v>
      </c>
      <c r="R857" s="9">
        <f>VLOOKUP(A857,'Ansvar kurs'!$A$2:$B$943,2,FALSE)</f>
        <v>2193</v>
      </c>
      <c r="S857" s="157"/>
    </row>
    <row r="858" spans="1:20" x14ac:dyDescent="0.25">
      <c r="A858" s="221" t="s">
        <v>2343</v>
      </c>
      <c r="B858" s="31" t="s">
        <v>2354</v>
      </c>
      <c r="I858" s="31">
        <v>1</v>
      </c>
      <c r="O858" s="40">
        <f>C858*Prislapp!$C$2+D858*Prislapp!$D$2+E858*Prislapp!$E$2+F858*Prislapp!$F$2+G858*Prislapp!$G$2+H858*Prislapp!$H$2+I858*Prislapp!$I$2+J858*Prislapp!$J$2+K858*Prislapp!$K$2+L858*Prislapp!$L$2+M858*Prislapp!$M$2+N858*Prislapp!$N$2</f>
        <v>20766</v>
      </c>
      <c r="P858" s="40">
        <f>C858*Prislapp!$C$3+D858*Prislapp!$D$3+E858*Prislapp!$E$3+F858*Prislapp!$F$3+G858*Prislapp!$G$3+H858*Prislapp!$H$3+I858*Prislapp!$I$3+J858*Prislapp!$J$3+K858*Prislapp!$K$3+M858*Prislapp!$M$3+N858*Prislapp!$N$3+L858*Prislapp!$L$3</f>
        <v>17442</v>
      </c>
      <c r="Q858" s="40">
        <f>C858*Prislapp!$C$5+D858*Prislapp!$D$5+E858*Prislapp!$E$5+F858*Prislapp!$F$5+G858*Prislapp!$G$5+H858*Prislapp!$H$5+I858*Prislapp!$I$5+J858*Prislapp!$J$5+K858*Prislapp!$K$5+L858*Prislapp!$L$5+M858*Prislapp!$M$5+N858*Prislapp!$N$5</f>
        <v>6000</v>
      </c>
      <c r="R858" s="9">
        <f>VLOOKUP(A858,'Ansvar kurs'!$A$2:$B$943,2,FALSE)</f>
        <v>2193</v>
      </c>
      <c r="S858" s="157"/>
    </row>
    <row r="859" spans="1:20" x14ac:dyDescent="0.25">
      <c r="A859" s="221" t="s">
        <v>2344</v>
      </c>
      <c r="B859" s="31" t="s">
        <v>2355</v>
      </c>
      <c r="I859" s="31">
        <v>1</v>
      </c>
      <c r="O859" s="40">
        <f>C859*Prislapp!$C$2+D859*Prislapp!$D$2+E859*Prislapp!$E$2+F859*Prislapp!$F$2+G859*Prislapp!$G$2+H859*Prislapp!$H$2+I859*Prislapp!$I$2+J859*Prislapp!$J$2+K859*Prislapp!$K$2+L859*Prislapp!$L$2+M859*Prislapp!$M$2+N859*Prislapp!$N$2</f>
        <v>20766</v>
      </c>
      <c r="P859" s="40">
        <f>C859*Prislapp!$C$3+D859*Prislapp!$D$3+E859*Prislapp!$E$3+F859*Prislapp!$F$3+G859*Prislapp!$G$3+H859*Prislapp!$H$3+I859*Prislapp!$I$3+J859*Prislapp!$J$3+K859*Prislapp!$K$3+M859*Prislapp!$M$3+N859*Prislapp!$N$3+L859*Prislapp!$L$3</f>
        <v>17442</v>
      </c>
      <c r="Q859" s="40">
        <f>C859*Prislapp!$C$5+D859*Prislapp!$D$5+E859*Prislapp!$E$5+F859*Prislapp!$F$5+G859*Prislapp!$G$5+H859*Prislapp!$H$5+I859*Prislapp!$I$5+J859*Prislapp!$J$5+K859*Prislapp!$K$5+L859*Prislapp!$L$5+M859*Prislapp!$M$5+N859*Prislapp!$N$5</f>
        <v>6000</v>
      </c>
      <c r="R859" s="9">
        <f>VLOOKUP(A859,'Ansvar kurs'!$A$2:$B$943,2,FALSE)</f>
        <v>2193</v>
      </c>
      <c r="S859" s="157"/>
    </row>
    <row r="860" spans="1:20" x14ac:dyDescent="0.25">
      <c r="A860" s="31" t="s">
        <v>653</v>
      </c>
      <c r="B860" s="31" t="s">
        <v>749</v>
      </c>
      <c r="J860" s="31">
        <v>1</v>
      </c>
      <c r="O860" s="40">
        <f>C860*Prislapp!$C$2+D860*Prislapp!$D$2+E860*Prislapp!$E$2+F860*Prislapp!$F$2+G860*Prislapp!$G$2+H860*Prislapp!$H$2+I860*Prislapp!$I$2+J860*Prislapp!$J$2+K860*Prislapp!$K$2+L860*Prislapp!$L$2+M860*Prislapp!$M$2+N860*Prislapp!$N$2</f>
        <v>20757</v>
      </c>
      <c r="P860" s="40">
        <f>C860*Prislapp!$C$3+D860*Prislapp!$D$3+E860*Prislapp!$E$3+F860*Prislapp!$F$3+G860*Prislapp!$G$3+H860*Prislapp!$H$3+I860*Prislapp!$I$3+J860*Prislapp!$J$3+K860*Prislapp!$K$3+M860*Prislapp!$M$3+N860*Prislapp!$N$3+L860*Prislapp!$L$3</f>
        <v>36082</v>
      </c>
      <c r="Q860" s="40">
        <f>C860*Prislapp!$C$5+D860*Prislapp!$D$5+E860*Prislapp!$E$5+F860*Prislapp!$F$5+G860*Prislapp!$G$5+H860*Prislapp!$H$5+I860*Prislapp!$I$5+J860*Prislapp!$J$5+K860*Prislapp!$K$5+L860*Prislapp!$L$5+M860*Prislapp!$M$5+N860*Prislapp!$N$5</f>
        <v>22600</v>
      </c>
      <c r="R860" s="9">
        <f>VLOOKUP(A860,'Ansvar kurs'!$A$2:$B$943,2,FALSE)</f>
        <v>5740</v>
      </c>
    </row>
    <row r="861" spans="1:20" x14ac:dyDescent="0.25">
      <c r="A861" s="221" t="s">
        <v>922</v>
      </c>
      <c r="B861" s="31" t="s">
        <v>1220</v>
      </c>
      <c r="H861" s="31">
        <v>1</v>
      </c>
      <c r="O861" s="40">
        <f>C861*Prislapp!$C$2+D861*Prislapp!$D$2+E861*Prislapp!$E$2+F861*Prislapp!$F$2+G861*Prislapp!$G$2+H861*Prislapp!$H$2+I861*Prislapp!$I$2+J861*Prislapp!$J$2+K861*Prislapp!$K$2+L861*Prislapp!$L$2+M861*Prislapp!$M$2+N861*Prislapp!$N$2</f>
        <v>20757</v>
      </c>
      <c r="P861" s="40">
        <f>C861*Prislapp!$C$3+D861*Prislapp!$D$3+E861*Prislapp!$E$3+F861*Prislapp!$F$3+G861*Prislapp!$G$3+H861*Prislapp!$H$3+I861*Prislapp!$I$3+J861*Prislapp!$J$3+K861*Prislapp!$K$3+M861*Prislapp!$M$3+N861*Prislapp!$N$3+L861*Prislapp!$L$3</f>
        <v>36082</v>
      </c>
      <c r="Q861" s="40">
        <f>C861*Prislapp!$C$5+D861*Prislapp!$D$5+E861*Prislapp!$E$5+F861*Prislapp!$F$5+G861*Prislapp!$G$5+H861*Prislapp!$H$5+I861*Prislapp!$I$5+J861*Prislapp!$J$5+K861*Prislapp!$K$5+L861*Prislapp!$L$5+M861*Prislapp!$M$5+N861*Prislapp!$N$5</f>
        <v>22600</v>
      </c>
      <c r="R861" s="9">
        <f>VLOOKUP(A861,'Ansvar kurs'!$A$2:$B$943,2,FALSE)</f>
        <v>5740</v>
      </c>
    </row>
    <row r="862" spans="1:20" x14ac:dyDescent="0.25">
      <c r="A862" s="31" t="s">
        <v>87</v>
      </c>
      <c r="B862" s="31" t="s">
        <v>750</v>
      </c>
      <c r="J862" s="31">
        <v>1</v>
      </c>
      <c r="M862" s="31">
        <v>0</v>
      </c>
      <c r="O862" s="40">
        <f>C862*Prislapp!$C$2+D862*Prislapp!$D$2+E862*Prislapp!$E$2+F862*Prislapp!$F$2+G862*Prislapp!$G$2+H862*Prislapp!$H$2+I862*Prislapp!$I$2+J862*Prislapp!$J$2+K862*Prislapp!$K$2+L862*Prislapp!$L$2+M862*Prislapp!$M$2+N862*Prislapp!$N$2</f>
        <v>20757</v>
      </c>
      <c r="P862" s="40">
        <f>C862*Prislapp!$C$3+D862*Prislapp!$D$3+E862*Prislapp!$E$3+F862*Prislapp!$F$3+G862*Prislapp!$G$3+H862*Prislapp!$H$3+I862*Prislapp!$I$3+J862*Prislapp!$J$3+K862*Prislapp!$K$3+M862*Prislapp!$M$3+N862*Prislapp!$N$3+L862*Prislapp!$L$3</f>
        <v>36082</v>
      </c>
      <c r="Q862" s="40">
        <f>C862*Prislapp!$C$5+D862*Prislapp!$D$5+E862*Prislapp!$E$5+F862*Prislapp!$F$5+G862*Prislapp!$G$5+H862*Prislapp!$H$5+I862*Prislapp!$I$5+J862*Prislapp!$J$5+K862*Prislapp!$K$5+L862*Prislapp!$L$5+M862*Prislapp!$M$5+N862*Prislapp!$N$5</f>
        <v>22600</v>
      </c>
      <c r="R862" s="9">
        <f>VLOOKUP(A862,'Ansvar kurs'!$A$2:$B$943,2,FALSE)</f>
        <v>1650</v>
      </c>
      <c r="S862" s="176" t="s">
        <v>1488</v>
      </c>
      <c r="T862" s="176"/>
    </row>
    <row r="863" spans="1:20" x14ac:dyDescent="0.25">
      <c r="A863" s="60" t="s">
        <v>867</v>
      </c>
      <c r="B863" s="31" t="s">
        <v>1221</v>
      </c>
      <c r="J863" s="31">
        <v>1</v>
      </c>
      <c r="O863" s="40">
        <f>C863*Prislapp!$C$2+D863*Prislapp!$D$2+E863*Prislapp!$E$2+F863*Prislapp!$F$2+G863*Prislapp!$G$2+H863*Prislapp!$H$2+I863*Prislapp!$I$2+J863*Prislapp!$J$2+K863*Prislapp!$K$2+L863*Prislapp!$L$2+M863*Prislapp!$M$2+N863*Prislapp!$N$2</f>
        <v>20757</v>
      </c>
      <c r="P863" s="40">
        <f>C863*Prislapp!$C$3+D863*Prislapp!$D$3+E863*Prislapp!$E$3+F863*Prislapp!$F$3+G863*Prislapp!$G$3+H863*Prislapp!$H$3+I863*Prislapp!$I$3+J863*Prislapp!$J$3+K863*Prislapp!$K$3+M863*Prislapp!$M$3+N863*Prislapp!$N$3+L863*Prislapp!$L$3</f>
        <v>36082</v>
      </c>
      <c r="Q863" s="40">
        <f>C863*Prislapp!$C$5+D863*Prislapp!$D$5+E863*Prislapp!$E$5+F863*Prislapp!$F$5+G863*Prislapp!$G$5+H863*Prislapp!$H$5+I863*Prislapp!$I$5+J863*Prislapp!$J$5+K863*Prislapp!$K$5+L863*Prislapp!$L$5+M863*Prislapp!$M$5+N863*Prislapp!$N$5</f>
        <v>22600</v>
      </c>
      <c r="R863" s="9">
        <f>VLOOKUP(A863,'Ansvar kurs'!$A$2:$B$943,2,FALSE)</f>
        <v>1650</v>
      </c>
    </row>
    <row r="864" spans="1:20" x14ac:dyDescent="0.25">
      <c r="A864" s="31" t="s">
        <v>86</v>
      </c>
      <c r="B864" s="31" t="s">
        <v>751</v>
      </c>
      <c r="J864" s="31">
        <v>0.3</v>
      </c>
      <c r="M864" s="31">
        <v>0.7</v>
      </c>
      <c r="O864" s="40">
        <f>C864*Prislapp!$C$2+D864*Prislapp!$D$2+E864*Prislapp!$E$2+F864*Prislapp!$F$2+G864*Prislapp!$G$2+H864*Prislapp!$H$2+I864*Prislapp!$I$2+J864*Prislapp!$J$2+K864*Prislapp!$K$2+L864*Prislapp!$L$2+M864*Prislapp!$M$2+N864*Prislapp!$N$2</f>
        <v>18071.099999999999</v>
      </c>
      <c r="P864" s="40">
        <f>C864*Prislapp!$C$3+D864*Prislapp!$D$3+E864*Prislapp!$E$3+F864*Prislapp!$F$3+G864*Prislapp!$G$3+H864*Prislapp!$H$3+I864*Prislapp!$I$3+J864*Prislapp!$J$3+K864*Prislapp!$K$3+M864*Prislapp!$M$3+N864*Prislapp!$N$3+L864*Prislapp!$L$3</f>
        <v>30363.699999999997</v>
      </c>
      <c r="Q864" s="40">
        <f>C864*Prislapp!$C$5+D864*Prislapp!$D$5+E864*Prislapp!$E$5+F864*Prislapp!$F$5+G864*Prislapp!$G$5+H864*Prislapp!$H$5+I864*Prislapp!$I$5+J864*Prislapp!$J$5+K864*Prislapp!$K$5+L864*Prislapp!$L$5+M864*Prislapp!$M$5+N864*Prislapp!$N$5</f>
        <v>19310</v>
      </c>
      <c r="R864" s="9">
        <f>VLOOKUP(A864,'Ansvar kurs'!$A$2:$B$943,2,FALSE)</f>
        <v>1650</v>
      </c>
    </row>
    <row r="865" spans="1:26" x14ac:dyDescent="0.25">
      <c r="A865" s="31" t="s">
        <v>332</v>
      </c>
      <c r="B865" s="31" t="s">
        <v>752</v>
      </c>
      <c r="J865" s="31">
        <v>1</v>
      </c>
      <c r="O865" s="40">
        <f>C865*Prislapp!$C$2+D865*Prislapp!$D$2+E865*Prislapp!$E$2+F865*Prislapp!$F$2+G865*Prislapp!$G$2+H865*Prislapp!$H$2+I865*Prislapp!$I$2+J865*Prislapp!$J$2+K865*Prislapp!$K$2+L865*Prislapp!$L$2+M865*Prislapp!$M$2+N865*Prislapp!$N$2</f>
        <v>20757</v>
      </c>
      <c r="P865" s="40">
        <f>C865*Prislapp!$C$3+D865*Prislapp!$D$3+E865*Prislapp!$E$3+F865*Prislapp!$F$3+G865*Prislapp!$G$3+H865*Prislapp!$H$3+I865*Prislapp!$I$3+J865*Prislapp!$J$3+K865*Prislapp!$K$3+M865*Prislapp!$M$3+N865*Prislapp!$N$3+L865*Prislapp!$L$3</f>
        <v>36082</v>
      </c>
      <c r="Q865" s="40">
        <f>C865*Prislapp!$C$5+D865*Prislapp!$D$5+E865*Prislapp!$E$5+F865*Prislapp!$F$5+G865*Prislapp!$G$5+H865*Prislapp!$H$5+I865*Prislapp!$I$5+J865*Prislapp!$J$5+K865*Prislapp!$K$5+L865*Prislapp!$L$5+M865*Prislapp!$M$5+N865*Prislapp!$N$5</f>
        <v>22600</v>
      </c>
      <c r="R865" s="9">
        <f>VLOOKUP(A865,'Ansvar kurs'!$A$2:$B$943,2,FALSE)</f>
        <v>1650</v>
      </c>
    </row>
    <row r="866" spans="1:26" x14ac:dyDescent="0.25">
      <c r="A866" s="31" t="s">
        <v>81</v>
      </c>
      <c r="B866" s="31" t="s">
        <v>753</v>
      </c>
      <c r="J866" s="31">
        <v>1</v>
      </c>
      <c r="M866" s="31">
        <v>0</v>
      </c>
      <c r="O866" s="40">
        <f>C866*Prislapp!$C$2+D866*Prislapp!$D$2+E866*Prislapp!$E$2+F866*Prislapp!$F$2+G866*Prislapp!$G$2+H866*Prislapp!$H$2+I866*Prislapp!$I$2+J866*Prislapp!$J$2+K866*Prislapp!$K$2+L866*Prislapp!$L$2+M866*Prislapp!$M$2+N866*Prislapp!$N$2</f>
        <v>20757</v>
      </c>
      <c r="P866" s="40">
        <f>C866*Prislapp!$C$3+D866*Prislapp!$D$3+E866*Prislapp!$E$3+F866*Prislapp!$F$3+G866*Prislapp!$G$3+H866*Prislapp!$H$3+I866*Prislapp!$I$3+J866*Prislapp!$J$3+K866*Prislapp!$K$3+M866*Prislapp!$M$3+N866*Prislapp!$N$3+L866*Prislapp!$L$3</f>
        <v>36082</v>
      </c>
      <c r="Q866" s="40">
        <f>C866*Prislapp!$C$5+D866*Prislapp!$D$5+E866*Prislapp!$E$5+F866*Prislapp!$F$5+G866*Prislapp!$G$5+H866*Prislapp!$H$5+I866*Prislapp!$I$5+J866*Prislapp!$J$5+K866*Prislapp!$K$5+L866*Prislapp!$L$5+M866*Prislapp!$M$5+N866*Prislapp!$N$5</f>
        <v>22600</v>
      </c>
      <c r="R866" s="9">
        <f>VLOOKUP(A866,'Ansvar kurs'!$A$2:$B$943,2,FALSE)</f>
        <v>1650</v>
      </c>
      <c r="S866" s="176" t="s">
        <v>1488</v>
      </c>
      <c r="T866" s="176"/>
    </row>
    <row r="867" spans="1:26" x14ac:dyDescent="0.25">
      <c r="A867" s="31" t="s">
        <v>1028</v>
      </c>
      <c r="B867" s="31" t="s">
        <v>1222</v>
      </c>
      <c r="J867" s="31">
        <v>1</v>
      </c>
      <c r="O867" s="40">
        <f>C867*Prislapp!$C$2+D867*Prislapp!$D$2+E867*Prislapp!$E$2+F867*Prislapp!$F$2+G867*Prislapp!$G$2+H867*Prislapp!$H$2+I867*Prislapp!$I$2+J867*Prislapp!$J$2+K867*Prislapp!$K$2+L867*Prislapp!$L$2+M867*Prislapp!$M$2+N867*Prislapp!$N$2</f>
        <v>20757</v>
      </c>
      <c r="P867" s="40">
        <f>C867*Prislapp!$C$3+D867*Prislapp!$D$3+E867*Prislapp!$E$3+F867*Prislapp!$F$3+G867*Prislapp!$G$3+H867*Prislapp!$H$3+I867*Prislapp!$I$3+J867*Prislapp!$J$3+K867*Prislapp!$K$3+M867*Prislapp!$M$3+N867*Prislapp!$N$3+L867*Prislapp!$L$3</f>
        <v>36082</v>
      </c>
      <c r="Q867" s="40">
        <f>C867*Prislapp!$C$5+D867*Prislapp!$D$5+E867*Prislapp!$E$5+F867*Prislapp!$F$5+G867*Prislapp!$G$5+H867*Prislapp!$H$5+I867*Prislapp!$I$5+J867*Prislapp!$J$5+K867*Prislapp!$K$5+L867*Prislapp!$L$5+M867*Prislapp!$M$5+N867*Prislapp!$N$5</f>
        <v>22600</v>
      </c>
      <c r="R867" s="9">
        <f>VLOOKUP(A867,'Ansvar kurs'!$A$2:$B$943,2,FALSE)</f>
        <v>1650</v>
      </c>
    </row>
    <row r="868" spans="1:26" x14ac:dyDescent="0.25">
      <c r="A868" s="31" t="s">
        <v>479</v>
      </c>
      <c r="B868" s="31" t="s">
        <v>754</v>
      </c>
      <c r="J868" s="31">
        <v>1</v>
      </c>
      <c r="O868" s="40">
        <f>C868*Prislapp!$C$2+D868*Prislapp!$D$2+E868*Prislapp!$E$2+F868*Prislapp!$F$2+G868*Prislapp!$G$2+H868*Prislapp!$H$2+I868*Prislapp!$I$2+J868*Prislapp!$J$2+K868*Prislapp!$K$2+L868*Prislapp!$L$2+M868*Prislapp!$M$2+N868*Prislapp!$N$2</f>
        <v>20757</v>
      </c>
      <c r="P868" s="40">
        <f>C868*Prislapp!$C$3+D868*Prislapp!$D$3+E868*Prislapp!$E$3+F868*Prislapp!$F$3+G868*Prislapp!$G$3+H868*Prislapp!$H$3+I868*Prislapp!$I$3+J868*Prislapp!$J$3+K868*Prislapp!$K$3+M868*Prislapp!$M$3+N868*Prislapp!$N$3+L868*Prislapp!$L$3</f>
        <v>36082</v>
      </c>
      <c r="Q868" s="40">
        <f>C868*Prislapp!$C$5+D868*Prislapp!$D$5+E868*Prislapp!$E$5+F868*Prislapp!$F$5+G868*Prislapp!$G$5+H868*Prislapp!$H$5+I868*Prislapp!$I$5+J868*Prislapp!$J$5+K868*Prislapp!$K$5+L868*Prislapp!$L$5+M868*Prislapp!$M$5+N868*Prislapp!$N$5</f>
        <v>22600</v>
      </c>
      <c r="R868" s="9">
        <f>VLOOKUP(A868,'Ansvar kurs'!$A$2:$B$943,2,FALSE)</f>
        <v>1650</v>
      </c>
    </row>
    <row r="869" spans="1:26" x14ac:dyDescent="0.25">
      <c r="A869" s="31" t="s">
        <v>527</v>
      </c>
      <c r="B869" s="31" t="s">
        <v>533</v>
      </c>
      <c r="C869" s="35"/>
      <c r="D869" s="35"/>
      <c r="E869" s="35"/>
      <c r="F869" s="35"/>
      <c r="G869" s="35"/>
      <c r="H869" s="35"/>
      <c r="I869" s="35"/>
      <c r="J869" s="31">
        <v>1</v>
      </c>
      <c r="K869" s="35"/>
      <c r="L869" s="35"/>
      <c r="M869" s="35"/>
      <c r="N869" s="35"/>
      <c r="O869" s="40">
        <f>C869*Prislapp!$C$2+D869*Prislapp!$D$2+E869*Prislapp!$E$2+F869*Prislapp!$F$2+G869*Prislapp!$G$2+H869*Prislapp!$H$2+I869*Prislapp!$I$2+J869*Prislapp!$J$2+K869*Prislapp!$K$2+L869*Prislapp!$L$2+M869*Prislapp!$M$2+N869*Prislapp!$N$2</f>
        <v>20757</v>
      </c>
      <c r="P869" s="40">
        <f>C869*Prislapp!$C$3+D869*Prislapp!$D$3+E869*Prislapp!$E$3+F869*Prislapp!$F$3+G869*Prislapp!$G$3+H869*Prislapp!$H$3+I869*Prislapp!$I$3+J869*Prislapp!$J$3+K869*Prislapp!$K$3+M869*Prislapp!$M$3+N869*Prislapp!$N$3+L869*Prislapp!$L$3</f>
        <v>36082</v>
      </c>
      <c r="Q869" s="40">
        <f>C869*Prislapp!$C$5+D869*Prislapp!$D$5+E869*Prislapp!$E$5+F869*Prislapp!$F$5+G869*Prislapp!$G$5+H869*Prislapp!$H$5+I869*Prislapp!$I$5+J869*Prislapp!$J$5+K869*Prislapp!$K$5+L869*Prislapp!$L$5+M869*Prislapp!$M$5+N869*Prislapp!$N$5</f>
        <v>22600</v>
      </c>
      <c r="R869" s="9">
        <f>VLOOKUP(A869,'Ansvar kurs'!$A$2:$B$943,2,FALSE)</f>
        <v>1650</v>
      </c>
    </row>
    <row r="870" spans="1:26" x14ac:dyDescent="0.25">
      <c r="A870" s="31" t="s">
        <v>565</v>
      </c>
      <c r="B870" s="31" t="s">
        <v>755</v>
      </c>
      <c r="C870" s="35"/>
      <c r="D870" s="35"/>
      <c r="E870" s="35"/>
      <c r="F870" s="35"/>
      <c r="G870" s="35"/>
      <c r="H870" s="35"/>
      <c r="I870" s="35"/>
      <c r="J870" s="31">
        <v>1</v>
      </c>
      <c r="M870" s="31">
        <v>0</v>
      </c>
      <c r="N870" s="35"/>
      <c r="O870" s="40">
        <f>C870*Prislapp!$C$2+D870*Prislapp!$D$2+E870*Prislapp!$E$2+F870*Prislapp!$F$2+G870*Prislapp!$G$2+H870*Prislapp!$H$2+I870*Prislapp!$I$2+J870*Prislapp!$J$2+K870*Prislapp!$K$2+L870*Prislapp!$L$2+M870*Prislapp!$M$2+N870*Prislapp!$N$2</f>
        <v>20757</v>
      </c>
      <c r="P870" s="40">
        <f>C870*Prislapp!$C$3+D870*Prislapp!$D$3+E870*Prislapp!$E$3+F870*Prislapp!$F$3+G870*Prislapp!$G$3+H870*Prislapp!$H$3+I870*Prislapp!$I$3+J870*Prislapp!$J$3+K870*Prislapp!$K$3+M870*Prislapp!$M$3+N870*Prislapp!$N$3+L870*Prislapp!$L$3</f>
        <v>36082</v>
      </c>
      <c r="Q870" s="40">
        <f>C870*Prislapp!$C$5+D870*Prislapp!$D$5+E870*Prislapp!$E$5+F870*Prislapp!$F$5+G870*Prislapp!$G$5+H870*Prislapp!$H$5+I870*Prislapp!$I$5+J870*Prislapp!$J$5+K870*Prislapp!$K$5+L870*Prislapp!$L$5+M870*Prislapp!$M$5+N870*Prislapp!$N$5</f>
        <v>22600</v>
      </c>
      <c r="R870" s="9">
        <f>VLOOKUP(A870,'Ansvar kurs'!$A$2:$B$943,2,FALSE)</f>
        <v>1650</v>
      </c>
      <c r="S870" s="176" t="s">
        <v>1488</v>
      </c>
      <c r="T870" s="176"/>
    </row>
    <row r="871" spans="1:26" x14ac:dyDescent="0.25">
      <c r="A871" s="31" t="s">
        <v>521</v>
      </c>
      <c r="B871" s="31" t="s">
        <v>1223</v>
      </c>
      <c r="J871" s="31">
        <v>1</v>
      </c>
      <c r="O871" s="40">
        <f>C871*Prislapp!$C$2+D871*Prislapp!$D$2+E871*Prislapp!$E$2+F871*Prislapp!$F$2+G871*Prislapp!$G$2+H871*Prislapp!$H$2+I871*Prislapp!$I$2+J871*Prislapp!$J$2+K871*Prislapp!$K$2+L871*Prislapp!$L$2+M871*Prislapp!$M$2+N871*Prislapp!$N$2</f>
        <v>20757</v>
      </c>
      <c r="P871" s="40">
        <f>C871*Prislapp!$C$3+D871*Prislapp!$D$3+E871*Prislapp!$E$3+F871*Prislapp!$F$3+G871*Prislapp!$G$3+H871*Prislapp!$H$3+I871*Prislapp!$I$3+J871*Prislapp!$J$3+K871*Prislapp!$K$3+M871*Prislapp!$M$3+N871*Prislapp!$N$3+L871*Prislapp!$L$3</f>
        <v>36082</v>
      </c>
      <c r="Q871" s="40">
        <f>C871*Prislapp!$C$5+D871*Prislapp!$D$5+E871*Prislapp!$E$5+F871*Prislapp!$F$5+G871*Prislapp!$G$5+H871*Prislapp!$H$5+I871*Prislapp!$I$5+J871*Prislapp!$J$5+K871*Prislapp!$K$5+L871*Prislapp!$L$5+M871*Prislapp!$M$5+N871*Prislapp!$N$5</f>
        <v>22600</v>
      </c>
      <c r="R871" s="9">
        <f>VLOOKUP(A871,'Ansvar kurs'!$A$2:$B$943,2,FALSE)</f>
        <v>1650</v>
      </c>
    </row>
    <row r="872" spans="1:26" x14ac:dyDescent="0.25">
      <c r="A872" s="31" t="s">
        <v>646</v>
      </c>
      <c r="B872" s="31" t="s">
        <v>1224</v>
      </c>
      <c r="J872" s="31">
        <v>1</v>
      </c>
      <c r="M872" s="31">
        <v>0</v>
      </c>
      <c r="O872" s="40">
        <f>C872*Prislapp!$C$2+D872*Prislapp!$D$2+E872*Prislapp!$E$2+F872*Prislapp!$F$2+G872*Prislapp!$G$2+H872*Prislapp!$H$2+I872*Prislapp!$I$2+J872*Prislapp!$J$2+K872*Prislapp!$K$2+L872*Prislapp!$L$2+M872*Prislapp!$M$2+N872*Prislapp!$N$2</f>
        <v>20757</v>
      </c>
      <c r="P872" s="40">
        <f>C872*Prislapp!$C$3+D872*Prislapp!$D$3+E872*Prislapp!$E$3+F872*Prislapp!$F$3+G872*Prislapp!$G$3+H872*Prislapp!$H$3+I872*Prislapp!$I$3+J872*Prislapp!$J$3+K872*Prislapp!$K$3+M872*Prislapp!$M$3+N872*Prislapp!$N$3+L872*Prislapp!$L$3</f>
        <v>36082</v>
      </c>
      <c r="Q872" s="40">
        <f>C872*Prislapp!$C$5+D872*Prislapp!$D$5+E872*Prislapp!$E$5+F872*Prislapp!$F$5+G872*Prislapp!$G$5+H872*Prislapp!$H$5+I872*Prislapp!$I$5+J872*Prislapp!$J$5+K872*Prislapp!$K$5+L872*Prislapp!$L$5+M872*Prislapp!$M$5+N872*Prislapp!$N$5</f>
        <v>22600</v>
      </c>
      <c r="R872" s="9">
        <f>VLOOKUP(A872,'Ansvar kurs'!$A$2:$B$943,2,FALSE)</f>
        <v>1650</v>
      </c>
      <c r="S872" s="176" t="s">
        <v>1488</v>
      </c>
      <c r="T872" s="176"/>
    </row>
    <row r="873" spans="1:26" x14ac:dyDescent="0.25">
      <c r="A873" s="31" t="s">
        <v>647</v>
      </c>
      <c r="B873" s="31" t="s">
        <v>756</v>
      </c>
      <c r="M873" s="31">
        <v>1</v>
      </c>
      <c r="O873" s="40">
        <f>C873*Prislapp!$C$2+D873*Prislapp!$D$2+E873*Prislapp!$E$2+F873*Prislapp!$F$2+G873*Prislapp!$G$2+H873*Prislapp!$H$2+I873*Prislapp!$I$2+J873*Prislapp!$J$2+K873*Prislapp!$K$2+L873*Prislapp!$L$2+M873*Prislapp!$M$2+N873*Prislapp!$N$2</f>
        <v>16920</v>
      </c>
      <c r="P873" s="40">
        <f>C873*Prislapp!$C$3+D873*Prislapp!$D$3+E873*Prislapp!$E$3+F873*Prislapp!$F$3+G873*Prislapp!$G$3+H873*Prislapp!$H$3+I873*Prislapp!$I$3+J873*Prislapp!$J$3+K873*Prislapp!$K$3+M873*Prislapp!$M$3+N873*Prislapp!$N$3+L873*Prislapp!$L$3</f>
        <v>27913</v>
      </c>
      <c r="Q873" s="40">
        <f>C873*Prislapp!$C$5+D873*Prislapp!$D$5+E873*Prislapp!$E$5+F873*Prislapp!$F$5+G873*Prislapp!$G$5+H873*Prislapp!$H$5+I873*Prislapp!$I$5+J873*Prislapp!$J$5+K873*Prislapp!$K$5+L873*Prislapp!$L$5+M873*Prislapp!$M$5+N873*Prislapp!$N$5</f>
        <v>17900</v>
      </c>
      <c r="R873" s="9">
        <f>VLOOKUP(A873,'Ansvar kurs'!$A$2:$B$943,2,FALSE)</f>
        <v>1650</v>
      </c>
    </row>
    <row r="874" spans="1:26" x14ac:dyDescent="0.25">
      <c r="A874" s="60" t="s">
        <v>829</v>
      </c>
      <c r="B874" s="31" t="s">
        <v>830</v>
      </c>
      <c r="J874" s="31">
        <v>1</v>
      </c>
      <c r="M874" s="31">
        <v>0</v>
      </c>
      <c r="O874" s="40">
        <f>C874*Prislapp!$C$2+D874*Prislapp!$D$2+E874*Prislapp!$E$2+F874*Prislapp!$F$2+G874*Prislapp!$G$2+H874*Prislapp!$H$2+I874*Prislapp!$I$2+J874*Prislapp!$J$2+K874*Prislapp!$K$2+L874*Prislapp!$L$2+M874*Prislapp!$M$2+N874*Prislapp!$N$2</f>
        <v>20757</v>
      </c>
      <c r="P874" s="40">
        <f>C874*Prislapp!$C$3+D874*Prislapp!$D$3+E874*Prislapp!$E$3+F874*Prislapp!$F$3+G874*Prislapp!$G$3+H874*Prislapp!$H$3+I874*Prislapp!$I$3+J874*Prislapp!$J$3+K874*Prislapp!$K$3+M874*Prislapp!$M$3+N874*Prislapp!$N$3+L874*Prislapp!$L$3</f>
        <v>36082</v>
      </c>
      <c r="Q874" s="40">
        <f>C874*Prislapp!$C$5+D874*Prislapp!$D$5+E874*Prislapp!$E$5+F874*Prislapp!$F$5+G874*Prislapp!$G$5+H874*Prislapp!$H$5+I874*Prislapp!$I$5+J874*Prislapp!$J$5+K874*Prislapp!$K$5+L874*Prislapp!$L$5+M874*Prislapp!$M$5+N874*Prislapp!$N$5</f>
        <v>22600</v>
      </c>
      <c r="R874" s="9">
        <f>VLOOKUP(A874,'Ansvar kurs'!$A$2:$B$943,2,FALSE)</f>
        <v>1650</v>
      </c>
      <c r="S874" s="176" t="s">
        <v>1488</v>
      </c>
      <c r="T874" s="176"/>
    </row>
    <row r="875" spans="1:26" x14ac:dyDescent="0.25">
      <c r="A875" s="226" t="s">
        <v>1106</v>
      </c>
      <c r="B875" s="31" t="s">
        <v>1225</v>
      </c>
      <c r="D875" s="31">
        <v>0</v>
      </c>
      <c r="J875" s="31">
        <v>1</v>
      </c>
      <c r="O875" s="40">
        <f>C875*Prislapp!$C$2+D875*Prislapp!$D$2+E875*Prislapp!$E$2+F875*Prislapp!$F$2+G875*Prislapp!$G$2+H875*Prislapp!$H$2+I875*Prislapp!$I$2+J875*Prislapp!$J$2+K875*Prislapp!$K$2+L875*Prislapp!$L$2+M875*Prislapp!$M$2+N875*Prislapp!$N$2</f>
        <v>20757</v>
      </c>
      <c r="P875" s="40">
        <f>C875*Prislapp!$C$3+D875*Prislapp!$D$3+E875*Prislapp!$E$3+F875*Prislapp!$F$3+G875*Prislapp!$G$3+H875*Prislapp!$H$3+I875*Prislapp!$I$3+J875*Prislapp!$J$3+K875*Prislapp!$K$3+M875*Prislapp!$M$3+N875*Prislapp!$N$3+L875*Prislapp!$L$3</f>
        <v>36082</v>
      </c>
      <c r="Q875" s="40">
        <f>C875*Prislapp!$C$5+D875*Prislapp!$D$5+E875*Prislapp!$E$5+F875*Prislapp!$F$5+G875*Prislapp!$G$5+H875*Prislapp!$H$5+I875*Prislapp!$I$5+J875*Prislapp!$J$5+K875*Prislapp!$K$5+L875*Prislapp!$L$5+M875*Prislapp!$M$5+N875*Prislapp!$N$5</f>
        <v>22600</v>
      </c>
      <c r="R875" s="9">
        <f>VLOOKUP(A875,'Ansvar kurs'!$A$2:$B$943,2,FALSE)</f>
        <v>1650</v>
      </c>
      <c r="S875" s="157" t="s">
        <v>1674</v>
      </c>
      <c r="U875" s="157"/>
      <c r="V875" s="157"/>
      <c r="W875" s="157"/>
      <c r="X875" s="157"/>
      <c r="Y875" s="157"/>
      <c r="Z875" s="157"/>
    </row>
    <row r="876" spans="1:26" x14ac:dyDescent="0.25">
      <c r="A876" s="226" t="s">
        <v>2049</v>
      </c>
      <c r="B876" t="s">
        <v>2050</v>
      </c>
      <c r="J876" s="31">
        <v>1</v>
      </c>
      <c r="O876" s="40">
        <f>C876*Prislapp!$C$2+D876*Prislapp!$D$2+E876*Prislapp!$E$2+F876*Prislapp!$F$2+G876*Prislapp!$G$2+H876*Prislapp!$H$2+I876*Prislapp!$I$2+J876*Prislapp!$J$2+K876*Prislapp!$K$2+L876*Prislapp!$L$2+M876*Prislapp!$M$2+N876*Prislapp!$N$2</f>
        <v>20757</v>
      </c>
      <c r="P876" s="40">
        <f>C876*Prislapp!$C$3+D876*Prislapp!$D$3+E876*Prislapp!$E$3+F876*Prislapp!$F$3+G876*Prislapp!$G$3+H876*Prislapp!$H$3+I876*Prislapp!$I$3+J876*Prislapp!$J$3+K876*Prislapp!$K$3+M876*Prislapp!$M$3+N876*Prislapp!$N$3+L876*Prislapp!$L$3</f>
        <v>36082</v>
      </c>
      <c r="Q876" s="40">
        <f>C876*Prislapp!$C$5+D876*Prislapp!$D$5+E876*Prislapp!$E$5+F876*Prislapp!$F$5+G876*Prislapp!$G$5+H876*Prislapp!$H$5+I876*Prislapp!$I$5+J876*Prislapp!$J$5+K876*Prislapp!$K$5+L876*Prislapp!$L$5+M876*Prislapp!$M$5+N876*Prislapp!$N$5</f>
        <v>22600</v>
      </c>
      <c r="R876" s="9">
        <f>VLOOKUP(A876,'Ansvar kurs'!$A$2:$B$943,2,FALSE)</f>
        <v>1650</v>
      </c>
      <c r="S876" s="157"/>
      <c r="U876" s="157"/>
      <c r="V876" s="157"/>
      <c r="W876" s="157"/>
      <c r="X876" s="157"/>
      <c r="Y876" s="157"/>
      <c r="Z876" s="157"/>
    </row>
    <row r="877" spans="1:26" x14ac:dyDescent="0.25">
      <c r="A877" s="222" t="s">
        <v>1720</v>
      </c>
      <c r="B877" t="s">
        <v>1597</v>
      </c>
      <c r="D877" s="31">
        <v>0</v>
      </c>
      <c r="J877" s="31">
        <v>1</v>
      </c>
      <c r="O877" s="40">
        <f>C877*Prislapp!$C$2+D877*Prislapp!$D$2+E877*Prislapp!$E$2+F877*Prislapp!$F$2+G877*Prislapp!$G$2+H877*Prislapp!$H$2+I877*Prislapp!$I$2+J877*Prislapp!$J$2+K877*Prislapp!$K$2+L877*Prislapp!$L$2+M877*Prislapp!$M$2+N877*Prislapp!$N$2</f>
        <v>20757</v>
      </c>
      <c r="P877" s="40">
        <f>C877*Prislapp!$C$3+D877*Prislapp!$D$3+E877*Prislapp!$E$3+F877*Prislapp!$F$3+G877*Prislapp!$G$3+H877*Prislapp!$H$3+I877*Prislapp!$I$3+J877*Prislapp!$J$3+K877*Prislapp!$K$3+M877*Prislapp!$M$3+N877*Prislapp!$N$3+L877*Prislapp!$L$3</f>
        <v>36082</v>
      </c>
      <c r="Q877" s="40">
        <f>C877*Prislapp!$C$5+D877*Prislapp!$D$5+E877*Prislapp!$E$5+F877*Prislapp!$F$5+G877*Prislapp!$G$5+H877*Prislapp!$H$5+I877*Prislapp!$I$5+J877*Prislapp!$J$5+K877*Prislapp!$K$5+L877*Prislapp!$L$5+M877*Prislapp!$M$5+N877*Prislapp!$N$5</f>
        <v>22600</v>
      </c>
      <c r="R877" s="9">
        <f>VLOOKUP(A877,'Ansvar kurs'!$A$2:$B$943,2,FALSE)</f>
        <v>1650</v>
      </c>
      <c r="S877" s="157" t="s">
        <v>1844</v>
      </c>
      <c r="T877" s="157"/>
      <c r="U877" s="157"/>
      <c r="V877" s="157"/>
      <c r="W877" s="157"/>
      <c r="X877" s="157"/>
      <c r="Y877" s="157"/>
      <c r="Z877" s="157"/>
    </row>
    <row r="878" spans="1:26" x14ac:dyDescent="0.25">
      <c r="A878" s="31" t="s">
        <v>1694</v>
      </c>
      <c r="B878" t="s">
        <v>753</v>
      </c>
      <c r="D878" s="31">
        <v>0</v>
      </c>
      <c r="J878" s="31">
        <v>1</v>
      </c>
      <c r="O878" s="40">
        <f>C878*Prislapp!$C$2+D878*Prislapp!$D$2+E878*Prislapp!$E$2+F878*Prislapp!$F$2+G878*Prislapp!$G$2+H878*Prislapp!$H$2+I878*Prislapp!$I$2+J878*Prislapp!$J$2+K878*Prislapp!$K$2+L878*Prislapp!$L$2+M878*Prislapp!$M$2+N878*Prislapp!$N$2</f>
        <v>20757</v>
      </c>
      <c r="P878" s="40">
        <f>C878*Prislapp!$C$3+D878*Prislapp!$D$3+E878*Prislapp!$E$3+F878*Prislapp!$F$3+G878*Prislapp!$G$3+H878*Prislapp!$H$3+I878*Prislapp!$I$3+J878*Prislapp!$J$3+K878*Prislapp!$K$3+M878*Prislapp!$M$3+N878*Prislapp!$N$3+L878*Prislapp!$L$3</f>
        <v>36082</v>
      </c>
      <c r="Q878" s="40">
        <f>C878*Prislapp!$C$5+D878*Prislapp!$D$5+E878*Prislapp!$E$5+F878*Prislapp!$F$5+G878*Prislapp!$G$5+H878*Prislapp!$H$5+I878*Prislapp!$I$5+J878*Prislapp!$J$5+K878*Prislapp!$K$5+L878*Prislapp!$L$5+M878*Prislapp!$M$5+N878*Prislapp!$N$5</f>
        <v>22600</v>
      </c>
      <c r="R878" s="9">
        <f>VLOOKUP(A878,'Ansvar kurs'!$A$2:$B$943,2,FALSE)</f>
        <v>1650</v>
      </c>
      <c r="S878" s="176" t="s">
        <v>1844</v>
      </c>
      <c r="T878" s="157"/>
      <c r="U878" s="157"/>
      <c r="V878" s="157"/>
      <c r="W878" s="157"/>
      <c r="X878" s="157"/>
      <c r="Y878" s="157"/>
      <c r="Z878" s="157"/>
    </row>
    <row r="879" spans="1:26" x14ac:dyDescent="0.25">
      <c r="A879" s="31" t="s">
        <v>1693</v>
      </c>
      <c r="B879" t="s">
        <v>750</v>
      </c>
      <c r="D879" s="31">
        <v>0</v>
      </c>
      <c r="J879" s="31">
        <v>1</v>
      </c>
      <c r="O879" s="40">
        <f>C879*Prislapp!$C$2+D879*Prislapp!$D$2+E879*Prislapp!$E$2+F879*Prislapp!$F$2+G879*Prislapp!$G$2+H879*Prislapp!$H$2+I879*Prislapp!$I$2+J879*Prislapp!$J$2+K879*Prislapp!$K$2+L879*Prislapp!$L$2+M879*Prislapp!$M$2+N879*Prislapp!$N$2</f>
        <v>20757</v>
      </c>
      <c r="P879" s="40">
        <f>C879*Prislapp!$C$3+D879*Prislapp!$D$3+E879*Prislapp!$E$3+F879*Prislapp!$F$3+G879*Prislapp!$G$3+H879*Prislapp!$H$3+I879*Prislapp!$I$3+J879*Prislapp!$J$3+K879*Prislapp!$K$3+M879*Prislapp!$M$3+N879*Prislapp!$N$3+L879*Prislapp!$L$3</f>
        <v>36082</v>
      </c>
      <c r="Q879" s="40">
        <f>C879*Prislapp!$C$5+D879*Prislapp!$D$5+E879*Prislapp!$E$5+F879*Prislapp!$F$5+G879*Prislapp!$G$5+H879*Prislapp!$H$5+I879*Prislapp!$I$5+J879*Prislapp!$J$5+K879*Prislapp!$K$5+L879*Prislapp!$L$5+M879*Prislapp!$M$5+N879*Prislapp!$N$5</f>
        <v>22600</v>
      </c>
      <c r="R879" s="9">
        <f>VLOOKUP(A879,'Ansvar kurs'!$A$2:$B$943,2,FALSE)</f>
        <v>1650</v>
      </c>
      <c r="S879" s="176" t="s">
        <v>1844</v>
      </c>
      <c r="T879" s="157"/>
      <c r="U879" s="157"/>
      <c r="V879" s="157"/>
      <c r="W879" s="157"/>
      <c r="X879" s="157"/>
      <c r="Y879" s="157"/>
      <c r="Z879" s="157"/>
    </row>
    <row r="880" spans="1:26" x14ac:dyDescent="0.25">
      <c r="A880" s="222" t="s">
        <v>1722</v>
      </c>
      <c r="B880" t="s">
        <v>1719</v>
      </c>
      <c r="D880" s="31">
        <v>0</v>
      </c>
      <c r="J880" s="31">
        <v>1</v>
      </c>
      <c r="O880" s="40">
        <f>C880*Prislapp!$C$2+D880*Prislapp!$D$2+E880*Prislapp!$E$2+F880*Prislapp!$F$2+G880*Prislapp!$G$2+H880*Prislapp!$H$2+I880*Prislapp!$I$2+J880*Prislapp!$J$2+K880*Prislapp!$K$2+L880*Prislapp!$L$2+M880*Prislapp!$M$2+N880*Prislapp!$N$2</f>
        <v>20757</v>
      </c>
      <c r="P880" s="40">
        <f>C880*Prislapp!$C$3+D880*Prislapp!$D$3+E880*Prislapp!$E$3+F880*Prislapp!$F$3+G880*Prislapp!$G$3+H880*Prislapp!$H$3+I880*Prislapp!$I$3+J880*Prislapp!$J$3+K880*Prislapp!$K$3+M880*Prislapp!$M$3+N880*Prislapp!$N$3+L880*Prislapp!$L$3</f>
        <v>36082</v>
      </c>
      <c r="Q880" s="40">
        <f>C880*Prislapp!$C$5+D880*Prislapp!$D$5+E880*Prislapp!$E$5+F880*Prislapp!$F$5+G880*Prislapp!$G$5+H880*Prislapp!$H$5+I880*Prislapp!$I$5+J880*Prislapp!$J$5+K880*Prislapp!$K$5+L880*Prislapp!$L$5+M880*Prislapp!$M$5+N880*Prislapp!$N$5</f>
        <v>22600</v>
      </c>
      <c r="R880" s="9">
        <f>VLOOKUP(A880,'Ansvar kurs'!$A$2:$B$943,2,FALSE)</f>
        <v>1650</v>
      </c>
      <c r="S880" s="176" t="s">
        <v>1844</v>
      </c>
      <c r="T880" s="157"/>
      <c r="U880" s="157"/>
      <c r="V880" s="157"/>
      <c r="W880" s="157"/>
      <c r="X880" s="157"/>
      <c r="Y880" s="157"/>
      <c r="Z880" s="157"/>
    </row>
    <row r="881" spans="1:26" x14ac:dyDescent="0.25">
      <c r="A881" s="222" t="s">
        <v>2051</v>
      </c>
      <c r="B881" t="s">
        <v>2052</v>
      </c>
      <c r="D881" s="31">
        <v>1</v>
      </c>
      <c r="O881" s="40">
        <f>C881*Prislapp!$C$2+D881*Prislapp!$D$2+E881*Prislapp!$E$2+F881*Prislapp!$F$2+G881*Prislapp!$G$2+H881*Prislapp!$H$2+I881*Prislapp!$I$2+J881*Prislapp!$J$2+K881*Prislapp!$K$2+L881*Prislapp!$L$2+M881*Prislapp!$M$2+N881*Prislapp!$N$2</f>
        <v>20766</v>
      </c>
      <c r="P881" s="40">
        <f>C881*Prislapp!$C$3+D881*Prislapp!$D$3+E881*Prislapp!$E$3+F881*Prislapp!$F$3+G881*Prislapp!$G$3+H881*Prislapp!$H$3+I881*Prislapp!$I$3+J881*Prislapp!$J$3+K881*Prislapp!$K$3+M881*Prislapp!$M$3+N881*Prislapp!$N$3+L881*Prislapp!$L$3</f>
        <v>17442</v>
      </c>
      <c r="Q881" s="40">
        <f>C881*Prislapp!$C$5+D881*Prislapp!$D$5+E881*Prislapp!$E$5+F881*Prislapp!$F$5+G881*Prislapp!$G$5+H881*Prislapp!$H$5+I881*Prislapp!$I$5+J881*Prislapp!$J$5+K881*Prislapp!$K$5+L881*Prislapp!$L$5+M881*Prislapp!$M$5+N881*Prislapp!$N$5</f>
        <v>6000</v>
      </c>
      <c r="R881" s="9">
        <f>VLOOKUP(A881,'Ansvar kurs'!$A$2:$B$943,2,FALSE)</f>
        <v>1650</v>
      </c>
      <c r="S881" s="176"/>
      <c r="T881" s="157"/>
      <c r="U881" s="157"/>
      <c r="V881" s="157"/>
      <c r="W881" s="157"/>
      <c r="X881" s="157"/>
      <c r="Y881" s="157"/>
      <c r="Z881" s="157"/>
    </row>
    <row r="882" spans="1:26" x14ac:dyDescent="0.25">
      <c r="A882" s="222" t="s">
        <v>1810</v>
      </c>
      <c r="B882" s="31" t="s">
        <v>1740</v>
      </c>
      <c r="J882" s="31">
        <v>1</v>
      </c>
      <c r="O882" s="40">
        <f>C882*Prislapp!$C$2+D882*Prislapp!$D$2+E882*Prislapp!$E$2+F882*Prislapp!$F$2+G882*Prislapp!$G$2+H882*Prislapp!$H$2+I882*Prislapp!$I$2+J882*Prislapp!$J$2+K882*Prislapp!$K$2+L882*Prislapp!$L$2+M882*Prislapp!$M$2+N882*Prislapp!$N$2</f>
        <v>20757</v>
      </c>
      <c r="P882" s="40">
        <f>C882*Prislapp!$C$3+D882*Prislapp!$D$3+E882*Prislapp!$E$3+F882*Prislapp!$F$3+G882*Prislapp!$G$3+H882*Prislapp!$H$3+I882*Prislapp!$I$3+J882*Prislapp!$J$3+K882*Prislapp!$K$3+M882*Prislapp!$M$3+N882*Prislapp!$N$3+L882*Prislapp!$L$3</f>
        <v>36082</v>
      </c>
      <c r="Q882" s="40">
        <f>C882*Prislapp!$C$5+D882*Prislapp!$D$5+E882*Prislapp!$E$5+F882*Prislapp!$F$5+G882*Prislapp!$G$5+H882*Prislapp!$H$5+I882*Prislapp!$I$5+J882*Prislapp!$J$5+K882*Prislapp!$K$5+L882*Prislapp!$L$5+M882*Prislapp!$M$5+N882*Prislapp!$N$5</f>
        <v>22600</v>
      </c>
      <c r="R882" s="9">
        <f>VLOOKUP(A882,'Ansvar kurs'!$A$2:$B$943,2,FALSE)</f>
        <v>1650</v>
      </c>
      <c r="S882" s="157" t="s">
        <v>1887</v>
      </c>
      <c r="T882" s="157"/>
      <c r="U882" s="157"/>
      <c r="V882" s="157"/>
      <c r="W882" s="157"/>
      <c r="X882" s="157"/>
      <c r="Y882" s="157"/>
      <c r="Z882" s="157"/>
    </row>
    <row r="883" spans="1:26" x14ac:dyDescent="0.25">
      <c r="A883" s="157" t="s">
        <v>1821</v>
      </c>
      <c r="B883" s="31" t="s">
        <v>1782</v>
      </c>
      <c r="J883" s="31">
        <v>1</v>
      </c>
      <c r="O883" s="40">
        <f>C883*Prislapp!$C$2+D883*Prislapp!$D$2+E883*Prislapp!$E$2+F883*Prislapp!$F$2+G883*Prislapp!$G$2+H883*Prislapp!$H$2+I883*Prislapp!$I$2+J883*Prislapp!$J$2+K883*Prislapp!$K$2+L883*Prislapp!$L$2+M883*Prislapp!$M$2+N883*Prislapp!$N$2</f>
        <v>20757</v>
      </c>
      <c r="P883" s="40">
        <f>C883*Prislapp!$C$3+D883*Prislapp!$D$3+E883*Prislapp!$E$3+F883*Prislapp!$F$3+G883*Prislapp!$G$3+H883*Prislapp!$H$3+I883*Prislapp!$I$3+J883*Prislapp!$J$3+K883*Prislapp!$K$3+M883*Prislapp!$M$3+N883*Prislapp!$N$3+L883*Prislapp!$L$3</f>
        <v>36082</v>
      </c>
      <c r="Q883" s="40">
        <f>C883*Prislapp!$C$5+D883*Prislapp!$D$5+E883*Prislapp!$E$5+F883*Prislapp!$F$5+G883*Prislapp!$G$5+H883*Prislapp!$H$5+I883*Prislapp!$I$5+J883*Prislapp!$J$5+K883*Prislapp!$K$5+L883*Prislapp!$L$5+M883*Prislapp!$M$5+N883*Prislapp!$N$5</f>
        <v>22600</v>
      </c>
      <c r="R883" s="9">
        <f>VLOOKUP(A883,'Ansvar kurs'!$A$2:$B$943,2,FALSE)</f>
        <v>1650</v>
      </c>
      <c r="S883" s="157" t="s">
        <v>1887</v>
      </c>
      <c r="T883" s="157"/>
      <c r="U883" s="157"/>
      <c r="V883" s="157"/>
      <c r="W883" s="157"/>
      <c r="X883" s="157"/>
      <c r="Y883" s="157"/>
      <c r="Z883" s="157"/>
    </row>
    <row r="884" spans="1:26" x14ac:dyDescent="0.25">
      <c r="A884" s="394" t="s">
        <v>2030</v>
      </c>
      <c r="B884" s="31" t="s">
        <v>2031</v>
      </c>
      <c r="J884" s="31">
        <v>1</v>
      </c>
      <c r="O884" s="40">
        <f>C884*Prislapp!$C$2+D884*Prislapp!$D$2+E884*Prislapp!$E$2+F884*Prislapp!$F$2+G884*Prislapp!$G$2+H884*Prislapp!$H$2+I884*Prislapp!$I$2+J884*Prislapp!$J$2+K884*Prislapp!$K$2+L884*Prislapp!$L$2+M884*Prislapp!$M$2+N884*Prislapp!$N$2</f>
        <v>20757</v>
      </c>
      <c r="P884" s="40">
        <f>C884*Prislapp!$C$3+D884*Prislapp!$D$3+E884*Prislapp!$E$3+F884*Prislapp!$F$3+G884*Prislapp!$G$3+H884*Prislapp!$H$3+I884*Prislapp!$I$3+J884*Prislapp!$J$3+K884*Prislapp!$K$3+M884*Prislapp!$M$3+N884*Prislapp!$N$3+L884*Prislapp!$L$3</f>
        <v>36082</v>
      </c>
      <c r="Q884" s="40">
        <f>C884*Prislapp!$C$5+D884*Prislapp!$D$5+E884*Prislapp!$E$5+F884*Prislapp!$F$5+G884*Prislapp!$G$5+H884*Prislapp!$H$5+I884*Prislapp!$I$5+J884*Prislapp!$J$5+K884*Prislapp!$K$5+L884*Prislapp!$L$5+M884*Prislapp!$M$5+N884*Prislapp!$N$5</f>
        <v>22600</v>
      </c>
      <c r="R884" s="9">
        <f>VLOOKUP(A884,'Ansvar kurs'!$A$2:$B$943,2,FALSE)</f>
        <v>1650</v>
      </c>
      <c r="S884" s="157"/>
    </row>
    <row r="885" spans="1:26" x14ac:dyDescent="0.25">
      <c r="A885" s="419" t="s">
        <v>2094</v>
      </c>
      <c r="B885" s="60" t="s">
        <v>2111</v>
      </c>
      <c r="J885" s="31">
        <v>1</v>
      </c>
      <c r="M885" s="375"/>
      <c r="O885" s="40">
        <f>C885*Prislapp!$C$2+D885*Prislapp!$D$2+E885*Prislapp!$E$2+F885*Prislapp!$F$2+G885*Prislapp!$G$2+H885*Prislapp!$H$2+I885*Prislapp!$I$2+J885*Prislapp!$J$2+K885*Prislapp!$K$2+L885*Prislapp!$L$2+M885*Prislapp!$M$2+N885*Prislapp!$N$2</f>
        <v>20757</v>
      </c>
      <c r="P885" s="40">
        <f>C885*Prislapp!$C$3+D885*Prislapp!$D$3+E885*Prislapp!$E$3+F885*Prislapp!$F$3+G885*Prislapp!$G$3+H885*Prislapp!$H$3+I885*Prislapp!$I$3+J885*Prislapp!$J$3+K885*Prislapp!$K$3+M885*Prislapp!$M$3+N885*Prislapp!$N$3+L885*Prislapp!$L$3</f>
        <v>36082</v>
      </c>
      <c r="Q885" s="40">
        <f>C885*Prislapp!$C$5+D885*Prislapp!$D$5+E885*Prislapp!$E$5+F885*Prislapp!$F$5+G885*Prislapp!$G$5+H885*Prislapp!$H$5+I885*Prislapp!$I$5+J885*Prislapp!$J$5+K885*Prislapp!$K$5+L885*Prislapp!$L$5+M885*Prislapp!$M$5+N885*Prislapp!$N$5</f>
        <v>22600</v>
      </c>
      <c r="R885" s="9">
        <f>VLOOKUP(A885,'Ansvar kurs'!$A$2:$B$943,2,FALSE)</f>
        <v>1650</v>
      </c>
      <c r="S885" s="397"/>
    </row>
    <row r="886" spans="1:26" x14ac:dyDescent="0.25">
      <c r="A886" s="419" t="s">
        <v>2164</v>
      </c>
      <c r="B886" s="60" t="s">
        <v>2171</v>
      </c>
      <c r="J886" s="31">
        <v>1</v>
      </c>
      <c r="M886" s="375"/>
      <c r="O886" s="40">
        <f>C886*Prislapp!$C$2+D886*Prislapp!$D$2+E886*Prislapp!$E$2+F886*Prislapp!$F$2+G886*Prislapp!$G$2+H886*Prislapp!$H$2+I886*Prislapp!$I$2+J886*Prislapp!$J$2+K886*Prislapp!$K$2+L886*Prislapp!$L$2+M886*Prislapp!$M$2+N886*Prislapp!$N$2</f>
        <v>20757</v>
      </c>
      <c r="P886" s="40">
        <f>C886*Prislapp!$C$3+D886*Prislapp!$D$3+E886*Prislapp!$E$3+F886*Prislapp!$F$3+G886*Prislapp!$G$3+H886*Prislapp!$H$3+I886*Prislapp!$I$3+J886*Prislapp!$J$3+K886*Prislapp!$K$3+M886*Prislapp!$M$3+N886*Prislapp!$N$3+L886*Prislapp!$L$3</f>
        <v>36082</v>
      </c>
      <c r="Q886" s="40">
        <f>C886*Prislapp!$C$5+D886*Prislapp!$D$5+E886*Prislapp!$E$5+F886*Prislapp!$F$5+G886*Prislapp!$G$5+H886*Prislapp!$H$5+I886*Prislapp!$I$5+J886*Prislapp!$J$5+K886*Prislapp!$K$5+L886*Prislapp!$L$5+M886*Prislapp!$M$5+N886*Prislapp!$N$5</f>
        <v>22600</v>
      </c>
      <c r="R886" s="9">
        <f>VLOOKUP(A886,'Ansvar kurs'!$A$2:$B$943,2,FALSE)</f>
        <v>1650</v>
      </c>
      <c r="S886" s="397"/>
    </row>
    <row r="887" spans="1:26" x14ac:dyDescent="0.25">
      <c r="A887" s="419" t="s">
        <v>2270</v>
      </c>
      <c r="B887" s="60" t="s">
        <v>753</v>
      </c>
      <c r="J887" s="31">
        <v>1</v>
      </c>
      <c r="M887" s="375"/>
      <c r="O887" s="40">
        <f>C887*Prislapp!$C$2+D887*Prislapp!$D$2+E887*Prislapp!$E$2+F887*Prislapp!$F$2+G887*Prislapp!$G$2+H887*Prislapp!$H$2+I887*Prislapp!$I$2+J887*Prislapp!$J$2+K887*Prislapp!$K$2+L887*Prislapp!$L$2+M887*Prislapp!$M$2+N887*Prislapp!$N$2</f>
        <v>20757</v>
      </c>
      <c r="P887" s="40">
        <f>C887*Prislapp!$C$3+D887*Prislapp!$D$3+E887*Prislapp!$E$3+F887*Prislapp!$F$3+G887*Prislapp!$G$3+H887*Prislapp!$H$3+I887*Prislapp!$I$3+J887*Prislapp!$J$3+K887*Prislapp!$K$3+M887*Prislapp!$M$3+N887*Prislapp!$N$3+L887*Prislapp!$L$3</f>
        <v>36082</v>
      </c>
      <c r="Q887" s="40">
        <f>C887*Prislapp!$C$5+D887*Prislapp!$D$5+E887*Prislapp!$E$5+F887*Prislapp!$F$5+G887*Prislapp!$G$5+H887*Prislapp!$H$5+I887*Prislapp!$I$5+J887*Prislapp!$J$5+K887*Prislapp!$K$5+L887*Prislapp!$L$5+M887*Prislapp!$M$5+N887*Prislapp!$N$5</f>
        <v>22600</v>
      </c>
      <c r="R887" s="9">
        <f>VLOOKUP(A887,'Ansvar kurs'!$A$2:$B$943,2,FALSE)</f>
        <v>1650</v>
      </c>
      <c r="S887" s="397"/>
    </row>
    <row r="888" spans="1:26" x14ac:dyDescent="0.25">
      <c r="A888" s="419" t="s">
        <v>2271</v>
      </c>
      <c r="B888" s="60" t="s">
        <v>750</v>
      </c>
      <c r="J888" s="31">
        <v>1</v>
      </c>
      <c r="M888" s="375"/>
      <c r="O888" s="40">
        <f>C888*Prislapp!$C$2+D888*Prislapp!$D$2+E888*Prislapp!$E$2+F888*Prislapp!$F$2+G888*Prislapp!$G$2+H888*Prislapp!$H$2+I888*Prislapp!$I$2+J888*Prislapp!$J$2+K888*Prislapp!$K$2+L888*Prislapp!$L$2+M888*Prislapp!$M$2+N888*Prislapp!$N$2</f>
        <v>20757</v>
      </c>
      <c r="P888" s="40">
        <f>C888*Prislapp!$C$3+D888*Prislapp!$D$3+E888*Prislapp!$E$3+F888*Prislapp!$F$3+G888*Prislapp!$G$3+H888*Prislapp!$H$3+I888*Prislapp!$I$3+J888*Prislapp!$J$3+K888*Prislapp!$K$3+M888*Prislapp!$M$3+N888*Prislapp!$N$3+L888*Prislapp!$L$3</f>
        <v>36082</v>
      </c>
      <c r="Q888" s="40">
        <f>C888*Prislapp!$C$5+D888*Prislapp!$D$5+E888*Prislapp!$E$5+F888*Prislapp!$F$5+G888*Prislapp!$G$5+H888*Prislapp!$H$5+I888*Prislapp!$I$5+J888*Prislapp!$J$5+K888*Prislapp!$K$5+L888*Prislapp!$L$5+M888*Prislapp!$M$5+N888*Prislapp!$N$5</f>
        <v>22600</v>
      </c>
      <c r="R888" s="9">
        <f>VLOOKUP(A888,'Ansvar kurs'!$A$2:$B$943,2,FALSE)</f>
        <v>1650</v>
      </c>
      <c r="S888" s="397"/>
    </row>
    <row r="889" spans="1:26" x14ac:dyDescent="0.25">
      <c r="A889" s="419" t="s">
        <v>2272</v>
      </c>
      <c r="B889" s="60" t="s">
        <v>2280</v>
      </c>
      <c r="J889" s="370">
        <v>1</v>
      </c>
      <c r="M889" s="375"/>
      <c r="O889" s="40">
        <f>C889*Prislapp!$C$2+D889*Prislapp!$D$2+E889*Prislapp!$E$2+F889*Prislapp!$F$2+G889*Prislapp!$G$2+H889*Prislapp!$H$2+I889*Prislapp!$I$2+J889*Prislapp!$J$2+K889*Prislapp!$K$2+L889*Prislapp!$L$2+M889*Prislapp!$M$2+N889*Prislapp!$N$2</f>
        <v>20757</v>
      </c>
      <c r="P889" s="40">
        <f>C889*Prislapp!$C$3+D889*Prislapp!$D$3+E889*Prislapp!$E$3+F889*Prislapp!$F$3+G889*Prislapp!$G$3+H889*Prislapp!$H$3+I889*Prislapp!$I$3+J889*Prislapp!$J$3+K889*Prislapp!$K$3+M889*Prislapp!$M$3+N889*Prislapp!$N$3+L889*Prislapp!$L$3</f>
        <v>36082</v>
      </c>
      <c r="Q889" s="40">
        <f>C889*Prislapp!$C$5+D889*Prislapp!$D$5+E889*Prislapp!$E$5+F889*Prislapp!$F$5+G889*Prislapp!$G$5+H889*Prislapp!$H$5+I889*Prislapp!$I$5+J889*Prislapp!$J$5+K889*Prislapp!$K$5+L889*Prislapp!$L$5+M889*Prislapp!$M$5+N889*Prislapp!$N$5</f>
        <v>22600</v>
      </c>
      <c r="R889" s="9">
        <f>VLOOKUP(A889,'Ansvar kurs'!$A$2:$B$943,2,FALSE)</f>
        <v>1650</v>
      </c>
      <c r="S889" s="397"/>
    </row>
    <row r="890" spans="1:26" x14ac:dyDescent="0.25">
      <c r="A890" s="60" t="s">
        <v>868</v>
      </c>
      <c r="B890" s="31" t="s">
        <v>1226</v>
      </c>
      <c r="D890" s="31">
        <v>1</v>
      </c>
      <c r="O890" s="40">
        <f>C890*Prislapp!$C$2+D890*Prislapp!$D$2+E890*Prislapp!$E$2+F890*Prislapp!$F$2+G890*Prislapp!$G$2+H890*Prislapp!$H$2+I890*Prislapp!$I$2+J890*Prislapp!$J$2+K890*Prislapp!$K$2+L890*Prislapp!$L$2+M890*Prislapp!$M$2+N890*Prislapp!$N$2</f>
        <v>20766</v>
      </c>
      <c r="P890" s="40">
        <f>C890*Prislapp!$C$3+D890*Prislapp!$D$3+E890*Prislapp!$E$3+F890*Prislapp!$F$3+G890*Prislapp!$G$3+H890*Prislapp!$H$3+I890*Prislapp!$I$3+J890*Prislapp!$J$3+K890*Prislapp!$K$3+M890*Prislapp!$M$3+N890*Prislapp!$N$3+L890*Prislapp!$L$3</f>
        <v>17442</v>
      </c>
      <c r="Q890" s="40">
        <f>C890*Prislapp!$C$5+D890*Prislapp!$D$5+E890*Prislapp!$E$5+F890*Prislapp!$F$5+G890*Prislapp!$G$5+H890*Prislapp!$H$5+I890*Prislapp!$I$5+J890*Prislapp!$J$5+K890*Prislapp!$K$5+L890*Prislapp!$L$5+M890*Prislapp!$M$5+N890*Prislapp!$N$5</f>
        <v>6000</v>
      </c>
      <c r="R890" s="9">
        <f>VLOOKUP(A890,'Ansvar kurs'!$A$2:$B$943,2,FALSE)</f>
        <v>1620</v>
      </c>
    </row>
    <row r="891" spans="1:26" x14ac:dyDescent="0.25">
      <c r="A891" s="57" t="s">
        <v>869</v>
      </c>
      <c r="B891" s="31" t="s">
        <v>1227</v>
      </c>
      <c r="D891" s="31">
        <v>1</v>
      </c>
      <c r="O891" s="40">
        <f>C891*Prislapp!$C$2+D891*Prislapp!$D$2+E891*Prislapp!$E$2+F891*Prislapp!$F$2+G891*Prislapp!$G$2+H891*Prislapp!$H$2+I891*Prislapp!$I$2+J891*Prislapp!$J$2+K891*Prislapp!$K$2+L891*Prislapp!$L$2+M891*Prislapp!$M$2+N891*Prislapp!$N$2</f>
        <v>20766</v>
      </c>
      <c r="P891" s="40">
        <f>C891*Prislapp!$C$3+D891*Prislapp!$D$3+E891*Prislapp!$E$3+F891*Prislapp!$F$3+G891*Prislapp!$G$3+H891*Prislapp!$H$3+I891*Prislapp!$I$3+J891*Prislapp!$J$3+K891*Prislapp!$K$3+M891*Prislapp!$M$3+N891*Prislapp!$N$3+L891*Prislapp!$L$3</f>
        <v>17442</v>
      </c>
      <c r="Q891" s="40">
        <f>C891*Prislapp!$C$5+D891*Prislapp!$D$5+E891*Prislapp!$E$5+F891*Prislapp!$F$5+G891*Prislapp!$G$5+H891*Prislapp!$H$5+I891*Prislapp!$I$5+J891*Prislapp!$J$5+K891*Prislapp!$K$5+L891*Prislapp!$L$5+M891*Prislapp!$M$5+N891*Prislapp!$N$5</f>
        <v>6000</v>
      </c>
      <c r="R891" s="9">
        <f>VLOOKUP(A891,'Ansvar kurs'!$A$2:$B$943,2,FALSE)</f>
        <v>1620</v>
      </c>
    </row>
    <row r="892" spans="1:26" x14ac:dyDescent="0.25">
      <c r="A892" s="60" t="s">
        <v>1029</v>
      </c>
      <c r="B892" s="31" t="s">
        <v>1048</v>
      </c>
      <c r="D892" s="31">
        <v>1</v>
      </c>
      <c r="O892" s="40">
        <f>C892*Prislapp!$C$2+D892*Prislapp!$D$2+E892*Prislapp!$E$2+F892*Prislapp!$F$2+G892*Prislapp!$G$2+H892*Prislapp!$H$2+I892*Prislapp!$I$2+J892*Prislapp!$J$2+K892*Prislapp!$K$2+L892*Prislapp!$L$2+M892*Prislapp!$M$2+N892*Prislapp!$N$2</f>
        <v>20766</v>
      </c>
      <c r="P892" s="40">
        <f>C892*Prislapp!$C$3+D892*Prislapp!$D$3+E892*Prislapp!$E$3+F892*Prislapp!$F$3+G892*Prislapp!$G$3+H892*Prislapp!$H$3+I892*Prislapp!$I$3+J892*Prislapp!$J$3+K892*Prislapp!$K$3+M892*Prislapp!$M$3+N892*Prislapp!$N$3+L892*Prislapp!$L$3</f>
        <v>17442</v>
      </c>
      <c r="Q892" s="40">
        <f>C892*Prislapp!$C$5+D892*Prislapp!$D$5+E892*Prislapp!$E$5+F892*Prislapp!$F$5+G892*Prislapp!$G$5+H892*Prislapp!$H$5+I892*Prislapp!$I$5+J892*Prislapp!$J$5+K892*Prislapp!$K$5+L892*Prislapp!$L$5+M892*Prislapp!$M$5+N892*Prislapp!$N$5</f>
        <v>6000</v>
      </c>
      <c r="R892" s="9">
        <f>VLOOKUP(A892,'Ansvar kurs'!$A$2:$B$943,2,FALSE)</f>
        <v>1620</v>
      </c>
    </row>
    <row r="893" spans="1:26" x14ac:dyDescent="0.25">
      <c r="A893" s="222" t="s">
        <v>1661</v>
      </c>
      <c r="B893" t="s">
        <v>1615</v>
      </c>
      <c r="D893" s="31">
        <v>1</v>
      </c>
      <c r="O893" s="40">
        <f>C893*Prislapp!$C$2+D893*Prislapp!$D$2+E893*Prislapp!$E$2+F893*Prislapp!$F$2+G893*Prislapp!$G$2+H893*Prislapp!$H$2+I893*Prislapp!$I$2+J893*Prislapp!$J$2+K893*Prislapp!$K$2+L893*Prislapp!$L$2+M893*Prislapp!$M$2+N893*Prislapp!$N$2</f>
        <v>20766</v>
      </c>
      <c r="P893" s="40">
        <f>C893*Prislapp!$C$3+D893*Prislapp!$D$3+E893*Prislapp!$E$3+F893*Prislapp!$F$3+G893*Prislapp!$G$3+H893*Prislapp!$H$3+I893*Prislapp!$I$3+J893*Prislapp!$J$3+K893*Prislapp!$K$3+M893*Prislapp!$M$3+N893*Prislapp!$N$3+L893*Prislapp!$L$3</f>
        <v>17442</v>
      </c>
      <c r="Q893" s="40">
        <f>C893*Prislapp!$C$5+D893*Prislapp!$D$5+E893*Prislapp!$E$5+F893*Prislapp!$F$5+G893*Prislapp!$G$5+H893*Prislapp!$H$5+I893*Prislapp!$I$5+J893*Prislapp!$J$5+K893*Prislapp!$K$5+L893*Prislapp!$L$5+M893*Prislapp!$M$5+N893*Prislapp!$N$5</f>
        <v>6000</v>
      </c>
      <c r="R893" s="9">
        <f>VLOOKUP(A893,'Ansvar kurs'!$A$2:$B$943,2,FALSE)</f>
        <v>1620</v>
      </c>
      <c r="S893" s="157"/>
      <c r="T893" s="157"/>
      <c r="U893" s="197"/>
      <c r="V893" s="197"/>
      <c r="W893" s="197"/>
      <c r="X893" s="197"/>
      <c r="Y893" s="197"/>
      <c r="Z893" s="191"/>
    </row>
    <row r="894" spans="1:26" x14ac:dyDescent="0.25">
      <c r="A894" s="222" t="s">
        <v>1841</v>
      </c>
      <c r="B894" s="31" t="s">
        <v>1836</v>
      </c>
      <c r="K894" s="31">
        <v>1</v>
      </c>
      <c r="O894" s="40">
        <f>C894*Prislapp!$C$2+D894*Prislapp!$D$2+E894*Prislapp!$E$2+F894*Prislapp!$F$2+G894*Prislapp!$G$2+H894*Prislapp!$H$2+I894*Prislapp!$I$2+J894*Prislapp!$J$2+K894*Prislapp!$K$2+L894*Prislapp!$L$2+M894*Prislapp!$M$2+N894*Prislapp!$N$2</f>
        <v>25235</v>
      </c>
      <c r="P894" s="40">
        <f>C894*Prislapp!$C$3+D894*Prislapp!$D$3+E894*Prislapp!$E$3+F894*Prislapp!$F$3+G894*Prislapp!$G$3+H894*Prislapp!$H$3+I894*Prislapp!$I$3+J894*Prislapp!$J$3+K894*Prislapp!$K$3+M894*Prislapp!$M$3+N894*Prislapp!$N$3+L894*Prislapp!$L$3</f>
        <v>27976</v>
      </c>
      <c r="Q894" s="40">
        <f>C894*Prislapp!$C$5+D894*Prislapp!$D$5+E894*Prislapp!$E$5+F894*Prislapp!$F$5+G894*Prislapp!$G$5+H894*Prislapp!$H$5+I894*Prislapp!$I$5+J894*Prislapp!$J$5+K894*Prislapp!$K$5+L894*Prislapp!$L$5+M894*Prislapp!$M$5+N894*Prislapp!$N$5</f>
        <v>3600</v>
      </c>
      <c r="R894" s="9">
        <f>VLOOKUP(A894,'Ansvar kurs'!$A$2:$B$943,2,FALSE)</f>
        <v>1620</v>
      </c>
      <c r="T894" s="157"/>
      <c r="U894" s="197"/>
      <c r="V894" s="197"/>
      <c r="W894" s="197"/>
      <c r="X894" s="197"/>
      <c r="Y894" s="197"/>
      <c r="Z894" s="191"/>
    </row>
    <row r="895" spans="1:26" x14ac:dyDescent="0.25">
      <c r="A895" s="222" t="s">
        <v>2075</v>
      </c>
      <c r="B895" s="31" t="s">
        <v>2082</v>
      </c>
      <c r="D895" s="31">
        <v>1</v>
      </c>
      <c r="O895" s="40">
        <f>C895*Prislapp!$C$2+D895*Prislapp!$D$2+E895*Prislapp!$E$2+F895*Prislapp!$F$2+G895*Prislapp!$G$2+H895*Prislapp!$H$2+I895*Prislapp!$I$2+J895*Prislapp!$J$2+K895*Prislapp!$K$2+L895*Prislapp!$L$2+M895*Prislapp!$M$2+N895*Prislapp!$N$2</f>
        <v>20766</v>
      </c>
      <c r="P895" s="40">
        <f>C895*Prislapp!$C$3+D895*Prislapp!$D$3+E895*Prislapp!$E$3+F895*Prislapp!$F$3+G895*Prislapp!$G$3+H895*Prislapp!$H$3+I895*Prislapp!$I$3+J895*Prislapp!$J$3+K895*Prislapp!$K$3+M895*Prislapp!$M$3+N895*Prislapp!$N$3+L895*Prislapp!$L$3</f>
        <v>17442</v>
      </c>
      <c r="Q895" s="40">
        <f>C895*Prislapp!$C$5+D895*Prislapp!$D$5+E895*Prislapp!$E$5+F895*Prislapp!$F$5+G895*Prislapp!$G$5+H895*Prislapp!$H$5+I895*Prislapp!$I$5+J895*Prislapp!$J$5+K895*Prislapp!$K$5+L895*Prislapp!$L$5+M895*Prislapp!$M$5+N895*Prislapp!$N$5</f>
        <v>6000</v>
      </c>
      <c r="R895" s="9">
        <f>VLOOKUP(A895,'Ansvar kurs'!$A$2:$B$943,2,FALSE)</f>
        <v>1620</v>
      </c>
      <c r="T895" s="157"/>
      <c r="U895" s="197"/>
      <c r="V895" s="197"/>
      <c r="W895" s="197"/>
      <c r="X895" s="197"/>
      <c r="Y895" s="197"/>
      <c r="Z895" s="191"/>
    </row>
    <row r="896" spans="1:26" x14ac:dyDescent="0.25">
      <c r="A896" s="222" t="s">
        <v>2064</v>
      </c>
      <c r="B896" s="31" t="s">
        <v>2065</v>
      </c>
      <c r="D896" s="31">
        <v>1</v>
      </c>
      <c r="O896" s="40">
        <f>C896*Prislapp!$C$2+D896*Prislapp!$D$2+E896*Prislapp!$E$2+F896*Prislapp!$F$2+G896*Prislapp!$G$2+H896*Prislapp!$H$2+I896*Prislapp!$I$2+J896*Prislapp!$J$2+K896*Prislapp!$K$2+L896*Prislapp!$L$2+M896*Prislapp!$M$2+N896*Prislapp!$N$2</f>
        <v>20766</v>
      </c>
      <c r="P896" s="40">
        <f>C896*Prislapp!$C$3+D896*Prislapp!$D$3+E896*Prislapp!$E$3+F896*Prislapp!$F$3+G896*Prislapp!$G$3+H896*Prislapp!$H$3+I896*Prislapp!$I$3+J896*Prislapp!$J$3+K896*Prislapp!$K$3+M896*Prislapp!$M$3+N896*Prislapp!$N$3+L896*Prislapp!$L$3</f>
        <v>17442</v>
      </c>
      <c r="Q896" s="40">
        <f>C896*Prislapp!$C$5+D896*Prislapp!$D$5+E896*Prislapp!$E$5+F896*Prislapp!$F$5+G896*Prislapp!$G$5+H896*Prislapp!$H$5+I896*Prislapp!$I$5+J896*Prislapp!$J$5+K896*Prislapp!$K$5+L896*Prislapp!$L$5+M896*Prislapp!$M$5+N896*Prislapp!$N$5</f>
        <v>6000</v>
      </c>
      <c r="R896" s="9">
        <f>VLOOKUP(A896,'Ansvar kurs'!$A$2:$B$943,2,FALSE)</f>
        <v>1620</v>
      </c>
      <c r="T896" s="157"/>
      <c r="U896" s="197"/>
      <c r="V896" s="197"/>
      <c r="W896" s="197"/>
      <c r="X896" s="197"/>
      <c r="Y896" s="197"/>
      <c r="Z896" s="191"/>
    </row>
    <row r="897" spans="1:26" x14ac:dyDescent="0.25">
      <c r="A897" s="222" t="s">
        <v>2296</v>
      </c>
      <c r="B897" s="31" t="s">
        <v>2297</v>
      </c>
      <c r="D897" s="31">
        <v>1</v>
      </c>
      <c r="O897" s="40">
        <f>C897*Prislapp!$C$2+D897*Prislapp!$D$2+E897*Prislapp!$E$2+F897*Prislapp!$F$2+G897*Prislapp!$G$2+H897*Prislapp!$H$2+I897*Prislapp!$I$2+J897*Prislapp!$J$2+K897*Prislapp!$K$2+L897*Prislapp!$L$2+M897*Prislapp!$M$2+N897*Prislapp!$N$2</f>
        <v>20766</v>
      </c>
      <c r="P897" s="40">
        <f>C897*Prislapp!$C$3+D897*Prislapp!$D$3+E897*Prislapp!$E$3+F897*Prislapp!$F$3+G897*Prislapp!$G$3+H897*Prislapp!$H$3+I897*Prislapp!$I$3+J897*Prislapp!$J$3+K897*Prislapp!$K$3+M897*Prislapp!$M$3+N897*Prislapp!$N$3+L897*Prislapp!$L$3</f>
        <v>17442</v>
      </c>
      <c r="Q897" s="40">
        <f>C897*Prislapp!$C$5+D897*Prislapp!$D$5+E897*Prislapp!$E$5+F897*Prislapp!$F$5+G897*Prislapp!$G$5+H897*Prislapp!$H$5+I897*Prislapp!$I$5+J897*Prislapp!$J$5+K897*Prislapp!$K$5+L897*Prislapp!$L$5+M897*Prislapp!$M$5+N897*Prislapp!$N$5</f>
        <v>6000</v>
      </c>
      <c r="R897" s="9">
        <f>VLOOKUP(A897,'Ansvar kurs'!$A$2:$B$943,2,FALSE)</f>
        <v>1620</v>
      </c>
      <c r="T897" s="157"/>
      <c r="U897" s="197"/>
      <c r="V897" s="197"/>
      <c r="W897" s="197"/>
      <c r="X897" s="197"/>
      <c r="Y897" s="197"/>
      <c r="Z897" s="191"/>
    </row>
    <row r="898" spans="1:26" x14ac:dyDescent="0.25">
      <c r="A898" s="60" t="s">
        <v>1498</v>
      </c>
      <c r="B898" s="31" t="s">
        <v>1402</v>
      </c>
      <c r="H898" s="31">
        <v>1</v>
      </c>
      <c r="O898" s="40">
        <f>C898*Prislapp!$C$2+D898*Prislapp!$D$2+E898*Prislapp!$E$2+F898*Prislapp!$F$2+G898*Prislapp!$G$2+H898*Prislapp!$H$2+I898*Prislapp!$I$2+J898*Prislapp!$J$2+K898*Prislapp!$K$2+L898*Prislapp!$L$2+M898*Prislapp!$M$2+N898*Prislapp!$N$2</f>
        <v>20757</v>
      </c>
      <c r="P898" s="40">
        <f>C898*Prislapp!$C$3+D898*Prislapp!$D$3+E898*Prislapp!$E$3+F898*Prislapp!$F$3+G898*Prislapp!$G$3+H898*Prislapp!$H$3+I898*Prislapp!$I$3+J898*Prislapp!$J$3+K898*Prislapp!$K$3+M898*Prislapp!$M$3+N898*Prislapp!$N$3+L898*Prislapp!$L$3</f>
        <v>36082</v>
      </c>
      <c r="Q898" s="40">
        <f>C898*Prislapp!$C$5+D898*Prislapp!$D$5+E898*Prislapp!$E$5+F898*Prislapp!$F$5+G898*Prislapp!$G$5+H898*Prislapp!$H$5+I898*Prislapp!$I$5+J898*Prislapp!$J$5+K898*Prislapp!$K$5+L898*Prislapp!$L$5+M898*Prislapp!$M$5+N898*Prislapp!$N$5</f>
        <v>22600</v>
      </c>
      <c r="R898" s="9">
        <f>VLOOKUP(A898,'Ansvar kurs'!$A$2:$B$943,2,FALSE)</f>
        <v>5740</v>
      </c>
    </row>
    <row r="899" spans="1:26" x14ac:dyDescent="0.25">
      <c r="A899" s="60" t="s">
        <v>1510</v>
      </c>
      <c r="B899" s="31" t="s">
        <v>1394</v>
      </c>
      <c r="I899" s="31">
        <v>1</v>
      </c>
      <c r="O899" s="40">
        <f>C899*Prislapp!$C$2+D899*Prislapp!$D$2+E899*Prislapp!$E$2+F899*Prislapp!$F$2+G899*Prislapp!$G$2+H899*Prislapp!$H$2+I899*Prislapp!$I$2+J899*Prislapp!$J$2+K899*Prislapp!$K$2+L899*Prislapp!$L$2+M899*Prislapp!$M$2+N899*Prislapp!$N$2</f>
        <v>20766</v>
      </c>
      <c r="P899" s="40">
        <f>C899*Prislapp!$C$3+D899*Prislapp!$D$3+E899*Prislapp!$E$3+F899*Prislapp!$F$3+G899*Prislapp!$G$3+H899*Prislapp!$H$3+I899*Prislapp!$I$3+J899*Prislapp!$J$3+K899*Prislapp!$K$3+M899*Prislapp!$M$3+N899*Prislapp!$N$3+L899*Prislapp!$L$3</f>
        <v>17442</v>
      </c>
      <c r="Q899" s="40">
        <f>C899*Prislapp!$C$5+D899*Prislapp!$D$5+E899*Prislapp!$E$5+F899*Prislapp!$F$5+G899*Prislapp!$G$5+H899*Prislapp!$H$5+I899*Prislapp!$I$5+J899*Prislapp!$J$5+K899*Prislapp!$K$5+L899*Prislapp!$L$5+M899*Prislapp!$M$5+N899*Prislapp!$N$5</f>
        <v>6000</v>
      </c>
      <c r="R899" s="9">
        <f>VLOOKUP(A899,'Ansvar kurs'!$A$2:$B$943,2,FALSE)</f>
        <v>2193</v>
      </c>
    </row>
    <row r="900" spans="1:26" x14ac:dyDescent="0.25">
      <c r="A900" s="60" t="s">
        <v>1511</v>
      </c>
      <c r="B900" s="31" t="s">
        <v>1395</v>
      </c>
      <c r="K900" s="31">
        <v>1</v>
      </c>
      <c r="O900" s="40">
        <f>C900*Prislapp!$C$2+D900*Prislapp!$D$2+E900*Prislapp!$E$2+F900*Prislapp!$F$2+G900*Prislapp!$G$2+H900*Prislapp!$H$2+I900*Prislapp!$I$2+J900*Prislapp!$J$2+K900*Prislapp!$K$2+L900*Prislapp!$L$2+M900*Prislapp!$M$2+N900*Prislapp!$N$2</f>
        <v>25235</v>
      </c>
      <c r="P900" s="40">
        <f>C900*Prislapp!$C$3+D900*Prislapp!$D$3+E900*Prislapp!$E$3+F900*Prislapp!$F$3+G900*Prislapp!$G$3+H900*Prislapp!$H$3+I900*Prislapp!$I$3+J900*Prislapp!$J$3+K900*Prislapp!$K$3+M900*Prislapp!$M$3+N900*Prislapp!$N$3+L900*Prislapp!$L$3</f>
        <v>27976</v>
      </c>
      <c r="Q900" s="40">
        <f>C900*Prislapp!$C$5+D900*Prislapp!$D$5+E900*Prislapp!$E$5+F900*Prislapp!$F$5+G900*Prislapp!$G$5+H900*Prislapp!$H$5+I900*Prislapp!$I$5+J900*Prislapp!$J$5+K900*Prislapp!$K$5+L900*Prislapp!$L$5+M900*Prislapp!$M$5+N900*Prislapp!$N$5</f>
        <v>3600</v>
      </c>
      <c r="R900" s="9">
        <f>VLOOKUP(A900,'Ansvar kurs'!$A$2:$B$943,2,FALSE)</f>
        <v>2193</v>
      </c>
    </row>
    <row r="901" spans="1:26" x14ac:dyDescent="0.25">
      <c r="A901" s="60" t="s">
        <v>1513</v>
      </c>
      <c r="B901" s="31" t="s">
        <v>1397</v>
      </c>
      <c r="E901" s="31">
        <v>1</v>
      </c>
      <c r="O901" s="40">
        <f>C901*Prislapp!$C$2+D901*Prislapp!$D$2+E901*Prislapp!$E$2+F901*Prislapp!$F$2+G901*Prislapp!$G$2+H901*Prislapp!$H$2+I901*Prislapp!$I$2+J901*Prislapp!$J$2+K901*Prislapp!$K$2+L901*Prislapp!$L$2+M901*Prislapp!$M$2+N901*Prislapp!$N$2</f>
        <v>47928</v>
      </c>
      <c r="P901" s="40">
        <f>C901*Prislapp!$C$3+D901*Prislapp!$D$3+E901*Prislapp!$E$3+F901*Prislapp!$F$3+G901*Prislapp!$G$3+H901*Prislapp!$H$3+I901*Prislapp!$I$3+J901*Prislapp!$J$3+K901*Prislapp!$K$3+M901*Prislapp!$M$3+N901*Prislapp!$N$3+L901*Prislapp!$L$3</f>
        <v>35430</v>
      </c>
      <c r="Q901" s="40">
        <f>C901*Prislapp!$C$5+D901*Prislapp!$D$5+E901*Prislapp!$E$5+F901*Prislapp!$F$5+G901*Prislapp!$G$5+H901*Prislapp!$H$5+I901*Prislapp!$I$5+J901*Prislapp!$J$5+K901*Prislapp!$K$5+L901*Prislapp!$L$5+M901*Prislapp!$M$5+N901*Prislapp!$N$5</f>
        <v>35700</v>
      </c>
      <c r="R901" s="9">
        <f>VLOOKUP(A901,'Ansvar kurs'!$A$2:$B$943,2,FALSE)</f>
        <v>2180</v>
      </c>
    </row>
    <row r="902" spans="1:26" x14ac:dyDescent="0.25">
      <c r="A902" s="60" t="s">
        <v>1514</v>
      </c>
      <c r="B902" s="31" t="s">
        <v>1400</v>
      </c>
      <c r="E902" s="31">
        <v>1</v>
      </c>
      <c r="O902" s="40">
        <f>C902*Prislapp!$C$2+D902*Prislapp!$D$2+E902*Prislapp!$E$2+F902*Prislapp!$F$2+G902*Prislapp!$G$2+H902*Prislapp!$H$2+I902*Prislapp!$I$2+J902*Prislapp!$J$2+K902*Prislapp!$K$2+L902*Prislapp!$L$2+M902*Prislapp!$M$2+N902*Prislapp!$N$2</f>
        <v>47928</v>
      </c>
      <c r="P902" s="40">
        <f>C902*Prislapp!$C$3+D902*Prislapp!$D$3+E902*Prislapp!$E$3+F902*Prislapp!$F$3+G902*Prislapp!$G$3+H902*Prislapp!$H$3+I902*Prislapp!$I$3+J902*Prislapp!$J$3+K902*Prislapp!$K$3+M902*Prislapp!$M$3+N902*Prislapp!$N$3+L902*Prislapp!$L$3</f>
        <v>35430</v>
      </c>
      <c r="Q902" s="40">
        <f>C902*Prislapp!$C$5+D902*Prislapp!$D$5+E902*Prislapp!$E$5+F902*Prislapp!$F$5+G902*Prislapp!$G$5+H902*Prislapp!$H$5+I902*Prislapp!$I$5+J902*Prislapp!$J$5+K902*Prislapp!$K$5+L902*Prislapp!$L$5+M902*Prislapp!$M$5+N902*Prislapp!$N$5</f>
        <v>35700</v>
      </c>
      <c r="R902" s="9">
        <f>VLOOKUP(A902,'Ansvar kurs'!$A$2:$B$943,2,FALSE)</f>
        <v>2180</v>
      </c>
    </row>
    <row r="903" spans="1:26" x14ac:dyDescent="0.25">
      <c r="A903" s="31" t="s">
        <v>63</v>
      </c>
      <c r="B903" s="31" t="s">
        <v>757</v>
      </c>
      <c r="F903" s="31">
        <v>1</v>
      </c>
      <c r="O903" s="40">
        <f>C903*Prislapp!$C$2+D903*Prislapp!$D$2+E903*Prislapp!$E$2+F903*Prislapp!$F$2+G903*Prislapp!$G$2+H903*Prislapp!$H$2+I903*Prislapp!$I$2+J903*Prislapp!$J$2+K903*Prislapp!$K$2+L903*Prislapp!$L$2+M903*Prislapp!$M$2+N903*Prislapp!$N$2</f>
        <v>26554</v>
      </c>
      <c r="P903" s="40">
        <f>C903*Prislapp!$C$3+D903*Prislapp!$D$3+E903*Prislapp!$E$3+F903*Prislapp!$F$3+G903*Prislapp!$G$3+H903*Prislapp!$H$3+I903*Prislapp!$I$3+J903*Prislapp!$J$3+K903*Prislapp!$K$3+M903*Prislapp!$M$3+N903*Prislapp!$N$3+L903*Prislapp!$L$3</f>
        <v>33465</v>
      </c>
      <c r="Q903" s="40">
        <f>C903*Prislapp!$C$5+D903*Prislapp!$D$5+E903*Prislapp!$E$5+F903*Prislapp!$F$5+G903*Prislapp!$G$5+H903*Prislapp!$H$5+I903*Prislapp!$I$5+J903*Prislapp!$J$5+K903*Prislapp!$K$5+L903*Prislapp!$L$5+M903*Prislapp!$M$5+N903*Prislapp!$N$5</f>
        <v>6000</v>
      </c>
      <c r="R903" s="9">
        <f>VLOOKUP(A903,'Ansvar kurs'!$A$2:$B$943,2,FALSE)</f>
        <v>2193</v>
      </c>
    </row>
    <row r="904" spans="1:26" x14ac:dyDescent="0.25">
      <c r="A904" s="31" t="s">
        <v>64</v>
      </c>
      <c r="B904" s="31" t="s">
        <v>460</v>
      </c>
      <c r="F904" s="31">
        <v>1</v>
      </c>
      <c r="O904" s="40">
        <f>C904*Prislapp!$C$2+D904*Prislapp!$D$2+E904*Prislapp!$E$2+F904*Prislapp!$F$2+G904*Prislapp!$G$2+H904*Prislapp!$H$2+I904*Prislapp!$I$2+J904*Prislapp!$J$2+K904*Prislapp!$K$2+L904*Prislapp!$L$2+M904*Prislapp!$M$2+N904*Prislapp!$N$2</f>
        <v>26554</v>
      </c>
      <c r="P904" s="40">
        <f>C904*Prislapp!$C$3+D904*Prislapp!$D$3+E904*Prislapp!$E$3+F904*Prislapp!$F$3+G904*Prislapp!$G$3+H904*Prislapp!$H$3+I904*Prislapp!$I$3+J904*Prislapp!$J$3+K904*Prislapp!$K$3+M904*Prislapp!$M$3+N904*Prislapp!$N$3+L904*Prislapp!$L$3</f>
        <v>33465</v>
      </c>
      <c r="Q904" s="40">
        <f>C904*Prislapp!$C$5+D904*Prislapp!$D$5+E904*Prislapp!$E$5+F904*Prislapp!$F$5+G904*Prislapp!$G$5+H904*Prislapp!$H$5+I904*Prislapp!$I$5+J904*Prislapp!$J$5+K904*Prislapp!$K$5+L904*Prislapp!$L$5+M904*Prislapp!$M$5+N904*Prislapp!$N$5</f>
        <v>6000</v>
      </c>
      <c r="R904" s="9">
        <f>VLOOKUP(A904,'Ansvar kurs'!$A$2:$B$943,2,FALSE)</f>
        <v>1650</v>
      </c>
    </row>
    <row r="905" spans="1:26" x14ac:dyDescent="0.25">
      <c r="A905" s="31" t="s">
        <v>397</v>
      </c>
      <c r="B905" s="31" t="s">
        <v>359</v>
      </c>
      <c r="F905" s="31">
        <v>1</v>
      </c>
      <c r="O905" s="40">
        <f>C905*Prislapp!$C$2+D905*Prislapp!$D$2+E905*Prislapp!$E$2+F905*Prislapp!$F$2+G905*Prislapp!$G$2+H905*Prislapp!$H$2+I905*Prislapp!$I$2+J905*Prislapp!$J$2+K905*Prislapp!$K$2+L905*Prislapp!$L$2+M905*Prislapp!$M$2+N905*Prislapp!$N$2</f>
        <v>26554</v>
      </c>
      <c r="P905" s="40">
        <f>C905*Prislapp!$C$3+D905*Prislapp!$D$3+E905*Prislapp!$E$3+F905*Prislapp!$F$3+G905*Prislapp!$G$3+H905*Prislapp!$H$3+I905*Prislapp!$I$3+J905*Prislapp!$J$3+K905*Prislapp!$K$3+M905*Prislapp!$M$3+N905*Prislapp!$N$3+L905*Prislapp!$L$3</f>
        <v>33465</v>
      </c>
      <c r="Q905" s="40">
        <f>C905*Prislapp!$C$5+D905*Prislapp!$D$5+E905*Prislapp!$E$5+F905*Prislapp!$F$5+G905*Prislapp!$G$5+H905*Prislapp!$H$5+I905*Prislapp!$I$5+J905*Prislapp!$J$5+K905*Prislapp!$K$5+L905*Prislapp!$L$5+M905*Prislapp!$M$5+N905*Prislapp!$N$5</f>
        <v>6000</v>
      </c>
      <c r="R905" s="9">
        <f>VLOOKUP(A905,'Ansvar kurs'!$A$2:$B$943,2,FALSE)</f>
        <v>1650</v>
      </c>
    </row>
    <row r="906" spans="1:26" x14ac:dyDescent="0.25">
      <c r="A906" s="31" t="s">
        <v>371</v>
      </c>
      <c r="B906" s="31" t="s">
        <v>359</v>
      </c>
      <c r="F906" s="31">
        <v>1</v>
      </c>
      <c r="O906" s="40">
        <f>C906*Prislapp!$C$2+D906*Prislapp!$D$2+E906*Prislapp!$E$2+F906*Prislapp!$F$2+G906*Prislapp!$G$2+H906*Prislapp!$H$2+I906*Prislapp!$I$2+J906*Prislapp!$J$2+K906*Prislapp!$K$2+L906*Prislapp!$L$2+M906*Prislapp!$M$2+N906*Prislapp!$N$2</f>
        <v>26554</v>
      </c>
      <c r="P906" s="40">
        <f>C906*Prislapp!$C$3+D906*Prislapp!$D$3+E906*Prislapp!$E$3+F906*Prislapp!$F$3+G906*Prislapp!$G$3+H906*Prislapp!$H$3+I906*Prislapp!$I$3+J906*Prislapp!$J$3+K906*Prislapp!$K$3+M906*Prislapp!$M$3+N906*Prislapp!$N$3+L906*Prislapp!$L$3</f>
        <v>33465</v>
      </c>
      <c r="Q906" s="40">
        <f>C906*Prislapp!$C$5+D906*Prislapp!$D$5+E906*Prislapp!$E$5+F906*Prislapp!$F$5+G906*Prislapp!$G$5+H906*Prislapp!$H$5+I906*Prislapp!$I$5+J906*Prislapp!$J$5+K906*Prislapp!$K$5+L906*Prislapp!$L$5+M906*Prislapp!$M$5+N906*Prislapp!$N$5</f>
        <v>6000</v>
      </c>
      <c r="R906" s="9">
        <f>VLOOKUP(A906,'Ansvar kurs'!$A$2:$B$943,2,FALSE)</f>
        <v>2193</v>
      </c>
    </row>
    <row r="907" spans="1:26" x14ac:dyDescent="0.25">
      <c r="A907" s="221" t="s">
        <v>331</v>
      </c>
      <c r="B907" s="31" t="s">
        <v>0</v>
      </c>
      <c r="F907" s="31">
        <v>1</v>
      </c>
      <c r="O907" s="40">
        <f>C907*Prislapp!$C$2+D907*Prislapp!$D$2+E907*Prislapp!$E$2+F907*Prislapp!$F$2+G907*Prislapp!$G$2+H907*Prislapp!$H$2+I907*Prislapp!$I$2+J907*Prislapp!$J$2+K907*Prislapp!$K$2+L907*Prislapp!$L$2+M907*Prislapp!$M$2+N907*Prislapp!$N$2</f>
        <v>26554</v>
      </c>
      <c r="P907" s="40">
        <f>C907*Prislapp!$C$3+D907*Prislapp!$D$3+E907*Prislapp!$E$3+F907*Prislapp!$F$3+G907*Prislapp!$G$3+H907*Prislapp!$H$3+I907*Prislapp!$I$3+J907*Prislapp!$J$3+K907*Prislapp!$K$3+M907*Prislapp!$M$3+N907*Prislapp!$N$3+L907*Prislapp!$L$3</f>
        <v>33465</v>
      </c>
      <c r="Q907" s="40">
        <f>C907*Prislapp!$C$5+D907*Prislapp!$D$5+E907*Prislapp!$E$5+F907*Prislapp!$F$5+G907*Prislapp!$G$5+H907*Prislapp!$H$5+I907*Prislapp!$I$5+J907*Prislapp!$J$5+K907*Prislapp!$K$5+L907*Prislapp!$L$5+M907*Prislapp!$M$5+N907*Prislapp!$N$5</f>
        <v>6000</v>
      </c>
      <c r="R907" s="9">
        <f>VLOOKUP(A907,'Ansvar kurs'!$A$2:$B$943,2,FALSE)</f>
        <v>6000</v>
      </c>
    </row>
    <row r="908" spans="1:26" x14ac:dyDescent="0.25">
      <c r="O908" s="40"/>
      <c r="P908" s="40"/>
      <c r="Q908" s="40"/>
      <c r="R908" s="40"/>
    </row>
    <row r="909" spans="1:26" x14ac:dyDescent="0.25">
      <c r="O909" s="40"/>
      <c r="P909" s="40"/>
      <c r="Q909" s="40"/>
      <c r="R909" s="40"/>
    </row>
    <row r="910" spans="1:26" x14ac:dyDescent="0.25">
      <c r="O910" s="40"/>
      <c r="P910" s="40"/>
      <c r="Q910" s="40"/>
      <c r="R910" s="40"/>
    </row>
    <row r="911" spans="1:26" x14ac:dyDescent="0.25">
      <c r="O911" s="40"/>
      <c r="P911" s="40"/>
      <c r="Q911" s="40"/>
      <c r="R911" s="40"/>
    </row>
    <row r="912" spans="1:26" x14ac:dyDescent="0.25">
      <c r="O912" s="40"/>
      <c r="P912" s="40"/>
      <c r="Q912" s="40"/>
      <c r="R912" s="40"/>
    </row>
    <row r="913" spans="15:18" x14ac:dyDescent="0.25">
      <c r="O913" s="40"/>
    </row>
    <row r="914" spans="15:18" x14ac:dyDescent="0.25">
      <c r="O914" s="40"/>
    </row>
    <row r="915" spans="15:18" x14ac:dyDescent="0.25">
      <c r="O915" s="40"/>
    </row>
    <row r="916" spans="15:18" x14ac:dyDescent="0.25">
      <c r="O916" s="40"/>
    </row>
    <row r="917" spans="15:18" x14ac:dyDescent="0.25">
      <c r="O917" s="40"/>
    </row>
    <row r="918" spans="15:18" x14ac:dyDescent="0.25">
      <c r="O918" s="40"/>
      <c r="Q918" s="57"/>
      <c r="R918" s="57"/>
    </row>
    <row r="919" spans="15:18" x14ac:dyDescent="0.25">
      <c r="O919" s="40"/>
      <c r="P919" s="40"/>
      <c r="Q919" s="40"/>
      <c r="R919" s="40"/>
    </row>
    <row r="920" spans="15:18" x14ac:dyDescent="0.25">
      <c r="O920" s="40"/>
      <c r="P920" s="40"/>
      <c r="Q920" s="40"/>
      <c r="R920" s="40"/>
    </row>
    <row r="921" spans="15:18" x14ac:dyDescent="0.25">
      <c r="O921" s="40"/>
      <c r="P921" s="40"/>
      <c r="Q921" s="40"/>
      <c r="R921" s="40"/>
    </row>
    <row r="922" spans="15:18" x14ac:dyDescent="0.25">
      <c r="O922" s="40"/>
      <c r="P922" s="40"/>
      <c r="Q922" s="40"/>
      <c r="R922" s="40"/>
    </row>
    <row r="923" spans="15:18" x14ac:dyDescent="0.25">
      <c r="O923" s="40"/>
      <c r="P923" s="40"/>
      <c r="Q923" s="40"/>
      <c r="R923" s="40"/>
    </row>
    <row r="924" spans="15:18" x14ac:dyDescent="0.25">
      <c r="O924" s="40"/>
      <c r="P924" s="40"/>
      <c r="Q924" s="40"/>
      <c r="R924" s="40"/>
    </row>
    <row r="925" spans="15:18" x14ac:dyDescent="0.25">
      <c r="O925" s="40"/>
      <c r="P925" s="40"/>
      <c r="Q925" s="40"/>
      <c r="R925" s="40"/>
    </row>
    <row r="926" spans="15:18" x14ac:dyDescent="0.25">
      <c r="O926" s="40"/>
      <c r="P926" s="40"/>
      <c r="Q926" s="40"/>
      <c r="R926" s="40"/>
    </row>
    <row r="927" spans="15:18" x14ac:dyDescent="0.25">
      <c r="O927" s="40"/>
      <c r="P927" s="40"/>
      <c r="Q927" s="40"/>
      <c r="R927" s="40"/>
    </row>
    <row r="928" spans="15:18" x14ac:dyDescent="0.25">
      <c r="O928" s="40"/>
      <c r="P928" s="40"/>
      <c r="Q928" s="40"/>
      <c r="R928" s="40"/>
    </row>
    <row r="929" spans="15:18" x14ac:dyDescent="0.25">
      <c r="O929" s="40"/>
      <c r="P929" s="40"/>
      <c r="Q929" s="40"/>
      <c r="R929" s="40"/>
    </row>
    <row r="930" spans="15:18" x14ac:dyDescent="0.25">
      <c r="O930" s="40"/>
      <c r="P930" s="40"/>
      <c r="Q930" s="40"/>
      <c r="R930" s="40"/>
    </row>
    <row r="931" spans="15:18" x14ac:dyDescent="0.25">
      <c r="O931" s="40"/>
      <c r="P931" s="40"/>
      <c r="Q931" s="40"/>
      <c r="R931" s="40"/>
    </row>
    <row r="932" spans="15:18" x14ac:dyDescent="0.25">
      <c r="O932" s="40"/>
      <c r="P932" s="40"/>
      <c r="Q932" s="40"/>
      <c r="R932" s="40"/>
    </row>
    <row r="933" spans="15:18" x14ac:dyDescent="0.25">
      <c r="O933" s="40"/>
      <c r="P933" s="40"/>
      <c r="Q933" s="40"/>
      <c r="R933" s="40"/>
    </row>
    <row r="934" spans="15:18" x14ac:dyDescent="0.25">
      <c r="O934" s="40"/>
      <c r="P934" s="40"/>
      <c r="Q934" s="40"/>
      <c r="R934" s="40"/>
    </row>
    <row r="935" spans="15:18" x14ac:dyDescent="0.25">
      <c r="O935" s="40"/>
      <c r="P935" s="40"/>
      <c r="Q935" s="40"/>
      <c r="R935" s="40"/>
    </row>
    <row r="936" spans="15:18" x14ac:dyDescent="0.25">
      <c r="O936" s="40"/>
      <c r="P936" s="40"/>
      <c r="Q936" s="40"/>
      <c r="R936" s="40"/>
    </row>
    <row r="937" spans="15:18" x14ac:dyDescent="0.25">
      <c r="O937" s="40"/>
      <c r="P937" s="40"/>
      <c r="Q937" s="40"/>
      <c r="R937" s="40"/>
    </row>
    <row r="938" spans="15:18" x14ac:dyDescent="0.25">
      <c r="O938" s="40"/>
      <c r="P938" s="40"/>
      <c r="Q938" s="40"/>
      <c r="R938" s="40"/>
    </row>
    <row r="939" spans="15:18" x14ac:dyDescent="0.25">
      <c r="O939" s="40"/>
      <c r="P939" s="40"/>
      <c r="Q939" s="40"/>
      <c r="R939" s="40"/>
    </row>
    <row r="940" spans="15:18" x14ac:dyDescent="0.25">
      <c r="O940" s="40"/>
      <c r="P940" s="40"/>
      <c r="Q940" s="40"/>
      <c r="R940" s="40"/>
    </row>
    <row r="941" spans="15:18" x14ac:dyDescent="0.25">
      <c r="O941" s="40"/>
      <c r="P941" s="40"/>
      <c r="Q941" s="40"/>
      <c r="R941" s="40"/>
    </row>
    <row r="942" spans="15:18" x14ac:dyDescent="0.25">
      <c r="O942" s="40"/>
      <c r="P942" s="40"/>
      <c r="Q942" s="40"/>
      <c r="R942" s="40"/>
    </row>
    <row r="943" spans="15:18" x14ac:dyDescent="0.25">
      <c r="O943" s="40"/>
      <c r="P943" s="40"/>
      <c r="Q943" s="40"/>
      <c r="R943" s="40"/>
    </row>
    <row r="944" spans="15:18" x14ac:dyDescent="0.25">
      <c r="O944" s="40"/>
      <c r="P944" s="40"/>
      <c r="Q944" s="40"/>
      <c r="R944" s="40"/>
    </row>
    <row r="945" spans="15:18" x14ac:dyDescent="0.25">
      <c r="O945" s="40"/>
      <c r="P945" s="40"/>
      <c r="Q945" s="40"/>
      <c r="R945" s="40"/>
    </row>
    <row r="946" spans="15:18" x14ac:dyDescent="0.25">
      <c r="O946" s="40"/>
      <c r="P946" s="40"/>
      <c r="Q946" s="40"/>
      <c r="R946" s="40"/>
    </row>
    <row r="947" spans="15:18" x14ac:dyDescent="0.25">
      <c r="O947" s="40"/>
      <c r="P947" s="40"/>
      <c r="Q947" s="40"/>
      <c r="R947" s="40"/>
    </row>
    <row r="948" spans="15:18" x14ac:dyDescent="0.25">
      <c r="O948" s="40"/>
      <c r="P948" s="40"/>
      <c r="Q948" s="40"/>
      <c r="R948" s="40"/>
    </row>
    <row r="949" spans="15:18" x14ac:dyDescent="0.25">
      <c r="O949" s="40"/>
      <c r="P949" s="40"/>
      <c r="Q949" s="40"/>
      <c r="R949" s="40"/>
    </row>
    <row r="950" spans="15:18" x14ac:dyDescent="0.25">
      <c r="O950" s="40"/>
      <c r="P950" s="40"/>
      <c r="Q950" s="40"/>
      <c r="R950" s="40"/>
    </row>
    <row r="951" spans="15:18" x14ac:dyDescent="0.25">
      <c r="O951" s="40"/>
      <c r="P951" s="40"/>
      <c r="Q951" s="40"/>
      <c r="R951" s="40"/>
    </row>
    <row r="952" spans="15:18" x14ac:dyDescent="0.25">
      <c r="O952" s="40"/>
      <c r="P952" s="40"/>
      <c r="Q952" s="40"/>
      <c r="R952" s="40"/>
    </row>
    <row r="953" spans="15:18" x14ac:dyDescent="0.25">
      <c r="O953" s="40"/>
      <c r="P953" s="40"/>
      <c r="Q953" s="40"/>
      <c r="R953" s="40"/>
    </row>
    <row r="954" spans="15:18" x14ac:dyDescent="0.25">
      <c r="O954" s="40"/>
      <c r="P954" s="40"/>
      <c r="Q954" s="40"/>
      <c r="R954" s="40"/>
    </row>
    <row r="955" spans="15:18" x14ac:dyDescent="0.25">
      <c r="O955" s="40"/>
      <c r="P955" s="40"/>
      <c r="Q955" s="40"/>
      <c r="R955" s="40"/>
    </row>
    <row r="956" spans="15:18" x14ac:dyDescent="0.25">
      <c r="O956" s="40"/>
      <c r="P956" s="40"/>
      <c r="Q956" s="40"/>
      <c r="R956" s="40"/>
    </row>
    <row r="957" spans="15:18" x14ac:dyDescent="0.25">
      <c r="O957" s="40"/>
      <c r="P957" s="40"/>
      <c r="Q957" s="40"/>
      <c r="R957" s="40"/>
    </row>
    <row r="958" spans="15:18" x14ac:dyDescent="0.25">
      <c r="O958" s="40"/>
      <c r="P958" s="40"/>
      <c r="Q958" s="40"/>
      <c r="R958" s="40"/>
    </row>
    <row r="959" spans="15:18" x14ac:dyDescent="0.25">
      <c r="O959" s="40"/>
      <c r="P959" s="40"/>
      <c r="Q959" s="40"/>
      <c r="R959" s="40"/>
    </row>
    <row r="960" spans="15:18" x14ac:dyDescent="0.25">
      <c r="O960" s="40"/>
      <c r="P960" s="40"/>
      <c r="Q960" s="40"/>
      <c r="R960" s="40"/>
    </row>
    <row r="961" spans="15:18" x14ac:dyDescent="0.25">
      <c r="O961" s="40"/>
      <c r="P961" s="40"/>
      <c r="Q961" s="40"/>
      <c r="R961" s="40"/>
    </row>
    <row r="962" spans="15:18" x14ac:dyDescent="0.25">
      <c r="O962" s="40"/>
      <c r="P962" s="40"/>
      <c r="Q962" s="40"/>
      <c r="R962" s="40"/>
    </row>
    <row r="963" spans="15:18" x14ac:dyDescent="0.25">
      <c r="O963" s="40"/>
      <c r="P963" s="40"/>
      <c r="Q963" s="40"/>
      <c r="R963" s="40"/>
    </row>
    <row r="964" spans="15:18" x14ac:dyDescent="0.25">
      <c r="O964" s="40"/>
      <c r="P964" s="40"/>
      <c r="Q964" s="40"/>
      <c r="R964" s="40"/>
    </row>
    <row r="965" spans="15:18" x14ac:dyDescent="0.25">
      <c r="O965" s="40"/>
      <c r="P965" s="40"/>
      <c r="Q965" s="40"/>
      <c r="R965" s="40"/>
    </row>
    <row r="966" spans="15:18" x14ac:dyDescent="0.25">
      <c r="O966" s="40"/>
      <c r="P966" s="40"/>
      <c r="Q966" s="40"/>
      <c r="R966" s="40"/>
    </row>
    <row r="967" spans="15:18" x14ac:dyDescent="0.25">
      <c r="O967" s="40"/>
      <c r="P967" s="40"/>
      <c r="Q967" s="40"/>
      <c r="R967" s="40"/>
    </row>
    <row r="968" spans="15:18" x14ac:dyDescent="0.25">
      <c r="O968" s="40"/>
      <c r="P968" s="40"/>
      <c r="Q968" s="40"/>
      <c r="R968" s="40"/>
    </row>
    <row r="969" spans="15:18" x14ac:dyDescent="0.25">
      <c r="O969" s="40"/>
      <c r="P969" s="40"/>
      <c r="Q969" s="40"/>
      <c r="R969" s="40"/>
    </row>
    <row r="970" spans="15:18" x14ac:dyDescent="0.25">
      <c r="O970" s="40"/>
      <c r="P970" s="40"/>
      <c r="Q970" s="40"/>
      <c r="R970" s="40"/>
    </row>
    <row r="971" spans="15:18" x14ac:dyDescent="0.25">
      <c r="O971" s="40"/>
      <c r="P971" s="40"/>
      <c r="Q971" s="40"/>
      <c r="R971" s="40"/>
    </row>
    <row r="972" spans="15:18" x14ac:dyDescent="0.25">
      <c r="O972" s="40"/>
      <c r="P972" s="40"/>
      <c r="Q972" s="40"/>
      <c r="R972" s="40"/>
    </row>
    <row r="973" spans="15:18" x14ac:dyDescent="0.25">
      <c r="O973" s="40"/>
      <c r="P973" s="40"/>
      <c r="Q973" s="40"/>
      <c r="R973" s="40"/>
    </row>
    <row r="974" spans="15:18" x14ac:dyDescent="0.25">
      <c r="O974" s="40"/>
      <c r="P974" s="40"/>
      <c r="Q974" s="40"/>
      <c r="R974" s="40"/>
    </row>
    <row r="975" spans="15:18" x14ac:dyDescent="0.25">
      <c r="O975" s="40"/>
      <c r="P975" s="40"/>
      <c r="Q975" s="40"/>
      <c r="R975" s="40"/>
    </row>
    <row r="976" spans="15:18" x14ac:dyDescent="0.25">
      <c r="O976" s="40"/>
      <c r="P976" s="40"/>
      <c r="Q976" s="40"/>
      <c r="R976" s="40"/>
    </row>
    <row r="977" spans="15:18" x14ac:dyDescent="0.25">
      <c r="O977" s="40"/>
      <c r="P977" s="40"/>
      <c r="Q977" s="40"/>
      <c r="R977" s="40"/>
    </row>
    <row r="978" spans="15:18" x14ac:dyDescent="0.25">
      <c r="O978" s="40"/>
      <c r="P978" s="40"/>
      <c r="Q978" s="40"/>
      <c r="R978" s="40"/>
    </row>
    <row r="979" spans="15:18" x14ac:dyDescent="0.25">
      <c r="O979" s="40"/>
      <c r="P979" s="40"/>
      <c r="Q979" s="40"/>
      <c r="R979" s="40"/>
    </row>
    <row r="980" spans="15:18" x14ac:dyDescent="0.25">
      <c r="O980" s="40"/>
      <c r="P980" s="40"/>
      <c r="Q980" s="40"/>
      <c r="R980" s="40"/>
    </row>
    <row r="981" spans="15:18" x14ac:dyDescent="0.25">
      <c r="O981" s="40"/>
      <c r="P981" s="40"/>
      <c r="Q981" s="40"/>
      <c r="R981" s="40"/>
    </row>
    <row r="982" spans="15:18" x14ac:dyDescent="0.25">
      <c r="O982" s="40"/>
      <c r="P982" s="40"/>
      <c r="Q982" s="40"/>
      <c r="R982" s="40"/>
    </row>
    <row r="983" spans="15:18" x14ac:dyDescent="0.25">
      <c r="O983" s="40"/>
      <c r="P983" s="40"/>
      <c r="Q983" s="40"/>
      <c r="R983" s="40"/>
    </row>
    <row r="984" spans="15:18" x14ac:dyDescent="0.25">
      <c r="O984" s="40"/>
      <c r="P984" s="40"/>
      <c r="Q984" s="40"/>
      <c r="R984" s="40"/>
    </row>
    <row r="985" spans="15:18" x14ac:dyDescent="0.25">
      <c r="O985" s="40"/>
      <c r="P985" s="40"/>
      <c r="Q985" s="40"/>
      <c r="R985" s="40"/>
    </row>
    <row r="986" spans="15:18" x14ac:dyDescent="0.25">
      <c r="O986" s="40"/>
      <c r="P986" s="40"/>
      <c r="Q986" s="40"/>
      <c r="R986" s="40"/>
    </row>
    <row r="987" spans="15:18" x14ac:dyDescent="0.25">
      <c r="O987" s="40"/>
      <c r="P987" s="40"/>
      <c r="Q987" s="40"/>
      <c r="R987" s="40"/>
    </row>
    <row r="988" spans="15:18" x14ac:dyDescent="0.25">
      <c r="O988" s="40"/>
      <c r="P988" s="40"/>
      <c r="Q988" s="40"/>
      <c r="R988" s="40"/>
    </row>
    <row r="989" spans="15:18" x14ac:dyDescent="0.25">
      <c r="O989" s="40"/>
      <c r="P989" s="40"/>
      <c r="Q989" s="40"/>
      <c r="R989" s="40"/>
    </row>
    <row r="990" spans="15:18" x14ac:dyDescent="0.25">
      <c r="O990" s="40"/>
      <c r="P990" s="40"/>
      <c r="Q990" s="40"/>
      <c r="R990" s="40"/>
    </row>
    <row r="991" spans="15:18" x14ac:dyDescent="0.25">
      <c r="O991" s="40"/>
      <c r="P991" s="40"/>
      <c r="Q991" s="40"/>
      <c r="R991" s="40"/>
    </row>
    <row r="992" spans="15:18" x14ac:dyDescent="0.25">
      <c r="O992" s="40"/>
      <c r="P992" s="40"/>
      <c r="Q992" s="40"/>
      <c r="R992" s="40"/>
    </row>
  </sheetData>
  <sheetProtection sheet="1" objects="1" scenarios="1"/>
  <autoFilter ref="A1:T907">
    <sortState ref="A2:T889">
      <sortCondition ref="A2:A889"/>
    </sortState>
  </autoFilter>
  <sortState ref="A2:S532">
    <sortCondition ref="A2"/>
  </sortState>
  <phoneticPr fontId="14" type="noConversion"/>
  <printOptions horizontalCentered="1" gridLines="1"/>
  <pageMargins left="0.15748031496062992" right="0.15748031496062992" top="0.59055118110236227" bottom="0.39370078740157483" header="0.51181102362204722" footer="0.11811023622047245"/>
  <pageSetup paperSize="9" scale="45" fitToHeight="8" orientation="landscape" r:id="rId1"/>
  <headerFooter alignWithMargins="0">
    <oddFooter>&amp;L&amp;F&amp;CSida &amp;P av &amp;N&amp;R&amp;A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0">
    <tabColor rgb="FFC00000"/>
  </sheetPr>
  <dimension ref="A1:H214"/>
  <sheetViews>
    <sheetView zoomScaleNormal="100" workbookViewId="0">
      <selection activeCell="B16" sqref="B16"/>
    </sheetView>
  </sheetViews>
  <sheetFormatPr defaultColWidth="8.85546875" defaultRowHeight="15" x14ac:dyDescent="0.25"/>
  <cols>
    <col min="2" max="2" width="44.5703125" customWidth="1"/>
    <col min="4" max="4" width="49.140625" customWidth="1"/>
    <col min="8" max="8" width="37.42578125" bestFit="1" customWidth="1"/>
  </cols>
  <sheetData>
    <row r="1" spans="1:8" s="1" customFormat="1" ht="14.25" x14ac:dyDescent="0.2">
      <c r="A1" s="1" t="s">
        <v>153</v>
      </c>
      <c r="B1" s="1" t="s">
        <v>157</v>
      </c>
      <c r="C1" s="1" t="s">
        <v>71</v>
      </c>
      <c r="G1" s="1" t="s">
        <v>1354</v>
      </c>
    </row>
    <row r="2" spans="1:8" s="1" customFormat="1" ht="14.25" x14ac:dyDescent="0.2">
      <c r="A2" s="1">
        <v>0</v>
      </c>
      <c r="B2" s="1">
        <v>0</v>
      </c>
      <c r="C2" s="1" t="s">
        <v>76</v>
      </c>
      <c r="G2" s="1" t="s">
        <v>1352</v>
      </c>
    </row>
    <row r="3" spans="1:8" x14ac:dyDescent="0.25">
      <c r="A3">
        <v>1001</v>
      </c>
      <c r="B3" s="11" t="s">
        <v>184</v>
      </c>
      <c r="C3" t="s">
        <v>72</v>
      </c>
      <c r="G3">
        <v>1620</v>
      </c>
      <c r="H3" s="11"/>
    </row>
    <row r="4" spans="1:8" x14ac:dyDescent="0.25">
      <c r="A4">
        <v>1010</v>
      </c>
      <c r="B4" s="11" t="s">
        <v>185</v>
      </c>
      <c r="C4" t="s">
        <v>72</v>
      </c>
      <c r="G4">
        <v>1630</v>
      </c>
      <c r="H4" s="12"/>
    </row>
    <row r="5" spans="1:8" x14ac:dyDescent="0.25">
      <c r="A5">
        <v>1020</v>
      </c>
      <c r="B5" s="11" t="s">
        <v>186</v>
      </c>
      <c r="C5" t="s">
        <v>72</v>
      </c>
      <c r="G5">
        <v>1640</v>
      </c>
      <c r="H5" s="11"/>
    </row>
    <row r="6" spans="1:8" x14ac:dyDescent="0.25">
      <c r="A6">
        <v>1030</v>
      </c>
      <c r="B6" s="11" t="s">
        <v>187</v>
      </c>
      <c r="C6" t="s">
        <v>72</v>
      </c>
      <c r="G6">
        <v>1650</v>
      </c>
      <c r="H6" s="11"/>
    </row>
    <row r="7" spans="1:8" x14ac:dyDescent="0.25">
      <c r="A7">
        <v>1040</v>
      </c>
      <c r="B7" s="13" t="s">
        <v>177</v>
      </c>
      <c r="C7" t="s">
        <v>72</v>
      </c>
      <c r="G7">
        <v>2180</v>
      </c>
      <c r="H7" s="11"/>
    </row>
    <row r="8" spans="1:8" x14ac:dyDescent="0.25">
      <c r="A8">
        <v>1400</v>
      </c>
      <c r="B8" s="11" t="s">
        <v>188</v>
      </c>
      <c r="C8" t="s">
        <v>72</v>
      </c>
      <c r="G8">
        <v>2193</v>
      </c>
      <c r="H8" s="11"/>
    </row>
    <row r="9" spans="1:8" x14ac:dyDescent="0.25">
      <c r="A9">
        <v>1620</v>
      </c>
      <c r="B9" s="13" t="s">
        <v>176</v>
      </c>
      <c r="C9" t="s">
        <v>72</v>
      </c>
      <c r="G9">
        <v>2200</v>
      </c>
      <c r="H9" s="11"/>
    </row>
    <row r="10" spans="1:8" x14ac:dyDescent="0.25">
      <c r="A10">
        <v>1630</v>
      </c>
      <c r="B10" s="13" t="s">
        <v>172</v>
      </c>
      <c r="C10" t="s">
        <v>72</v>
      </c>
      <c r="G10">
        <v>2220</v>
      </c>
      <c r="H10" s="11"/>
    </row>
    <row r="11" spans="1:8" x14ac:dyDescent="0.25">
      <c r="A11">
        <v>1640</v>
      </c>
      <c r="B11" s="13" t="s">
        <v>173</v>
      </c>
      <c r="C11" t="s">
        <v>72</v>
      </c>
      <c r="G11">
        <v>2271</v>
      </c>
      <c r="H11" s="13"/>
    </row>
    <row r="12" spans="1:8" x14ac:dyDescent="0.25">
      <c r="A12">
        <v>1650</v>
      </c>
      <c r="B12" s="11" t="s">
        <v>11</v>
      </c>
      <c r="C12" t="s">
        <v>72</v>
      </c>
      <c r="G12">
        <v>2272</v>
      </c>
      <c r="H12" s="11"/>
    </row>
    <row r="13" spans="1:8" x14ac:dyDescent="0.25">
      <c r="A13">
        <v>1660</v>
      </c>
      <c r="B13" s="11" t="s">
        <v>319</v>
      </c>
      <c r="C13" t="s">
        <v>72</v>
      </c>
      <c r="G13">
        <v>2300</v>
      </c>
      <c r="H13" s="13"/>
    </row>
    <row r="14" spans="1:8" x14ac:dyDescent="0.25">
      <c r="A14">
        <v>2000</v>
      </c>
      <c r="B14" s="11" t="s">
        <v>189</v>
      </c>
      <c r="C14" t="s">
        <v>73</v>
      </c>
      <c r="G14">
        <v>2340</v>
      </c>
      <c r="H14" s="11"/>
    </row>
    <row r="15" spans="1:8" x14ac:dyDescent="0.25">
      <c r="A15">
        <v>2001</v>
      </c>
      <c r="B15" s="11" t="s">
        <v>190</v>
      </c>
      <c r="C15" t="s">
        <v>73</v>
      </c>
      <c r="G15" s="31">
        <v>2360</v>
      </c>
      <c r="H15" s="11"/>
    </row>
    <row r="16" spans="1:8" x14ac:dyDescent="0.25">
      <c r="A16">
        <v>2011</v>
      </c>
      <c r="B16" s="11" t="s">
        <v>160</v>
      </c>
      <c r="C16" t="s">
        <v>73</v>
      </c>
      <c r="G16">
        <v>2500</v>
      </c>
      <c r="H16" s="11"/>
    </row>
    <row r="17" spans="1:8" x14ac:dyDescent="0.25">
      <c r="A17">
        <v>2050</v>
      </c>
      <c r="B17" s="11" t="s">
        <v>191</v>
      </c>
      <c r="C17" t="s">
        <v>73</v>
      </c>
      <c r="G17">
        <v>2650</v>
      </c>
    </row>
    <row r="18" spans="1:8" x14ac:dyDescent="0.25">
      <c r="A18">
        <v>2160</v>
      </c>
      <c r="B18" s="11" t="s">
        <v>161</v>
      </c>
      <c r="C18" t="s">
        <v>73</v>
      </c>
      <c r="G18">
        <v>3306</v>
      </c>
      <c r="H18" s="11"/>
    </row>
    <row r="19" spans="1:8" x14ac:dyDescent="0.25">
      <c r="A19">
        <v>2170</v>
      </c>
      <c r="B19" s="58" t="s">
        <v>405</v>
      </c>
      <c r="C19" t="s">
        <v>73</v>
      </c>
      <c r="G19">
        <v>3850</v>
      </c>
      <c r="H19" s="11"/>
    </row>
    <row r="20" spans="1:8" x14ac:dyDescent="0.25">
      <c r="A20">
        <v>2180</v>
      </c>
      <c r="B20" s="11" t="s">
        <v>192</v>
      </c>
      <c r="C20" t="s">
        <v>73</v>
      </c>
      <c r="G20">
        <v>5100</v>
      </c>
      <c r="H20" s="11"/>
    </row>
    <row r="21" spans="1:8" x14ac:dyDescent="0.25">
      <c r="A21">
        <v>2190</v>
      </c>
      <c r="B21" s="11" t="s">
        <v>193</v>
      </c>
      <c r="C21" t="s">
        <v>73</v>
      </c>
      <c r="G21">
        <v>5160</v>
      </c>
      <c r="H21" s="11"/>
    </row>
    <row r="22" spans="1:8" x14ac:dyDescent="0.25">
      <c r="A22">
        <v>2191</v>
      </c>
      <c r="B22" s="11" t="s">
        <v>320</v>
      </c>
      <c r="C22" t="s">
        <v>73</v>
      </c>
      <c r="G22">
        <v>5400</v>
      </c>
      <c r="H22" s="11"/>
    </row>
    <row r="23" spans="1:8" x14ac:dyDescent="0.25">
      <c r="A23">
        <v>2192</v>
      </c>
      <c r="B23" s="11" t="s">
        <v>318</v>
      </c>
      <c r="C23" t="s">
        <v>73</v>
      </c>
      <c r="G23">
        <v>5410</v>
      </c>
      <c r="H23" s="11"/>
    </row>
    <row r="24" spans="1:8" x14ac:dyDescent="0.25">
      <c r="A24">
        <v>2193</v>
      </c>
      <c r="B24" s="58" t="s">
        <v>1102</v>
      </c>
      <c r="C24" t="s">
        <v>73</v>
      </c>
      <c r="G24">
        <v>5500</v>
      </c>
      <c r="H24" s="11"/>
    </row>
    <row r="25" spans="1:8" x14ac:dyDescent="0.25">
      <c r="A25">
        <v>2200</v>
      </c>
      <c r="B25" s="11" t="s">
        <v>194</v>
      </c>
      <c r="C25" t="s">
        <v>73</v>
      </c>
      <c r="G25">
        <v>5700</v>
      </c>
      <c r="H25" s="11"/>
    </row>
    <row r="26" spans="1:8" x14ac:dyDescent="0.25">
      <c r="A26">
        <v>2220</v>
      </c>
      <c r="B26" s="11" t="s">
        <v>195</v>
      </c>
      <c r="C26" t="s">
        <v>73</v>
      </c>
      <c r="G26">
        <v>5730</v>
      </c>
      <c r="H26" s="11"/>
    </row>
    <row r="27" spans="1:8" x14ac:dyDescent="0.25">
      <c r="A27">
        <v>2270</v>
      </c>
      <c r="B27" s="41" t="s">
        <v>773</v>
      </c>
      <c r="C27" t="s">
        <v>73</v>
      </c>
      <c r="G27">
        <v>5740</v>
      </c>
      <c r="H27" s="11"/>
    </row>
    <row r="28" spans="1:8" x14ac:dyDescent="0.25">
      <c r="A28">
        <v>2271</v>
      </c>
      <c r="B28" s="11" t="s">
        <v>196</v>
      </c>
      <c r="C28" t="s">
        <v>73</v>
      </c>
      <c r="H28" s="11"/>
    </row>
    <row r="29" spans="1:8" x14ac:dyDescent="0.25">
      <c r="A29">
        <v>2272</v>
      </c>
      <c r="B29" s="11" t="s">
        <v>200</v>
      </c>
      <c r="C29" t="s">
        <v>73</v>
      </c>
    </row>
    <row r="30" spans="1:8" x14ac:dyDescent="0.25">
      <c r="A30">
        <v>2300</v>
      </c>
      <c r="B30" s="11" t="s">
        <v>197</v>
      </c>
      <c r="C30" t="s">
        <v>73</v>
      </c>
      <c r="H30" s="12"/>
    </row>
    <row r="31" spans="1:8" x14ac:dyDescent="0.25">
      <c r="A31">
        <v>2340</v>
      </c>
      <c r="B31" s="11" t="s">
        <v>198</v>
      </c>
      <c r="C31" t="s">
        <v>73</v>
      </c>
      <c r="H31" s="11"/>
    </row>
    <row r="32" spans="1:8" x14ac:dyDescent="0.25">
      <c r="A32" s="188">
        <v>2360</v>
      </c>
      <c r="B32" s="223" t="s">
        <v>199</v>
      </c>
      <c r="C32" s="188" t="s">
        <v>73</v>
      </c>
      <c r="D32" s="188" t="s">
        <v>1491</v>
      </c>
      <c r="H32" s="11"/>
    </row>
    <row r="33" spans="1:8" x14ac:dyDescent="0.25">
      <c r="A33">
        <v>2400</v>
      </c>
      <c r="B33" s="11" t="s">
        <v>201</v>
      </c>
      <c r="C33" t="s">
        <v>73</v>
      </c>
      <c r="H33" s="11"/>
    </row>
    <row r="34" spans="1:8" x14ac:dyDescent="0.25">
      <c r="A34">
        <v>2401</v>
      </c>
      <c r="B34" s="11" t="s">
        <v>202</v>
      </c>
      <c r="C34" t="s">
        <v>73</v>
      </c>
      <c r="H34" s="11"/>
    </row>
    <row r="35" spans="1:8" x14ac:dyDescent="0.25">
      <c r="A35">
        <v>2500</v>
      </c>
      <c r="B35" s="58" t="s">
        <v>2018</v>
      </c>
      <c r="C35" t="s">
        <v>73</v>
      </c>
      <c r="H35" s="11"/>
    </row>
    <row r="36" spans="1:8" x14ac:dyDescent="0.25">
      <c r="A36">
        <v>2600</v>
      </c>
      <c r="B36" s="11" t="s">
        <v>203</v>
      </c>
      <c r="C36" t="s">
        <v>73</v>
      </c>
      <c r="H36" s="11"/>
    </row>
    <row r="37" spans="1:8" x14ac:dyDescent="0.25">
      <c r="A37">
        <v>2650</v>
      </c>
      <c r="B37" s="58" t="s">
        <v>2145</v>
      </c>
      <c r="C37" t="s">
        <v>73</v>
      </c>
      <c r="H37" s="11"/>
    </row>
    <row r="38" spans="1:8" x14ac:dyDescent="0.25">
      <c r="A38">
        <v>2700</v>
      </c>
      <c r="B38" s="11" t="s">
        <v>204</v>
      </c>
      <c r="C38" t="s">
        <v>73</v>
      </c>
      <c r="H38" s="11"/>
    </row>
    <row r="39" spans="1:8" x14ac:dyDescent="0.25">
      <c r="A39">
        <v>2750</v>
      </c>
      <c r="B39" s="11" t="s">
        <v>205</v>
      </c>
      <c r="C39" t="s">
        <v>73</v>
      </c>
      <c r="H39" s="11"/>
    </row>
    <row r="40" spans="1:8" x14ac:dyDescent="0.25">
      <c r="A40">
        <v>2800</v>
      </c>
      <c r="B40" s="11" t="s">
        <v>206</v>
      </c>
      <c r="C40" t="s">
        <v>73</v>
      </c>
      <c r="H40" s="13"/>
    </row>
    <row r="41" spans="1:8" x14ac:dyDescent="0.25">
      <c r="A41">
        <v>2850</v>
      </c>
      <c r="B41" s="13" t="s">
        <v>174</v>
      </c>
      <c r="C41" t="s">
        <v>73</v>
      </c>
      <c r="H41" s="11"/>
    </row>
    <row r="42" spans="1:8" x14ac:dyDescent="0.25">
      <c r="A42">
        <v>2880</v>
      </c>
      <c r="B42" s="11" t="s">
        <v>207</v>
      </c>
      <c r="C42" t="s">
        <v>73</v>
      </c>
      <c r="H42" s="11"/>
    </row>
    <row r="43" spans="1:8" x14ac:dyDescent="0.25">
      <c r="A43">
        <v>2900</v>
      </c>
      <c r="B43" s="11" t="s">
        <v>208</v>
      </c>
      <c r="C43" t="s">
        <v>73</v>
      </c>
      <c r="H43" s="11"/>
    </row>
    <row r="44" spans="1:8" x14ac:dyDescent="0.25">
      <c r="A44">
        <v>2905</v>
      </c>
      <c r="B44" s="11" t="s">
        <v>209</v>
      </c>
      <c r="C44" t="s">
        <v>73</v>
      </c>
      <c r="H44" s="11"/>
    </row>
    <row r="45" spans="1:8" x14ac:dyDescent="0.25">
      <c r="A45">
        <v>2910</v>
      </c>
      <c r="B45" s="11" t="s">
        <v>210</v>
      </c>
      <c r="C45" t="s">
        <v>73</v>
      </c>
      <c r="H45" s="13"/>
    </row>
    <row r="46" spans="1:8" x14ac:dyDescent="0.25">
      <c r="A46">
        <v>2911</v>
      </c>
      <c r="B46" s="11" t="s">
        <v>211</v>
      </c>
      <c r="C46" t="s">
        <v>73</v>
      </c>
      <c r="H46" s="11"/>
    </row>
    <row r="47" spans="1:8" x14ac:dyDescent="0.25">
      <c r="A47">
        <v>2912</v>
      </c>
      <c r="B47" s="11" t="s">
        <v>212</v>
      </c>
      <c r="C47" t="s">
        <v>73</v>
      </c>
      <c r="H47" s="11"/>
    </row>
    <row r="48" spans="1:8" x14ac:dyDescent="0.25">
      <c r="A48">
        <v>2913</v>
      </c>
      <c r="B48" s="11" t="s">
        <v>213</v>
      </c>
      <c r="C48" t="s">
        <v>73</v>
      </c>
      <c r="H48" s="11"/>
    </row>
    <row r="49" spans="1:8" x14ac:dyDescent="0.25">
      <c r="A49">
        <v>2914</v>
      </c>
      <c r="B49" s="11" t="s">
        <v>162</v>
      </c>
      <c r="C49" t="s">
        <v>73</v>
      </c>
      <c r="H49" s="12"/>
    </row>
    <row r="50" spans="1:8" x14ac:dyDescent="0.25">
      <c r="A50">
        <v>2915</v>
      </c>
      <c r="B50" s="12" t="s">
        <v>214</v>
      </c>
      <c r="C50" t="s">
        <v>73</v>
      </c>
      <c r="H50" s="12"/>
    </row>
    <row r="51" spans="1:8" x14ac:dyDescent="0.25">
      <c r="A51">
        <v>3000</v>
      </c>
      <c r="B51" s="11" t="s">
        <v>215</v>
      </c>
      <c r="C51" t="s">
        <v>74</v>
      </c>
      <c r="H51" s="11"/>
    </row>
    <row r="52" spans="1:8" x14ac:dyDescent="0.25">
      <c r="A52">
        <v>3001</v>
      </c>
      <c r="B52" s="11" t="s">
        <v>216</v>
      </c>
      <c r="C52" t="s">
        <v>74</v>
      </c>
      <c r="H52" s="11"/>
    </row>
    <row r="53" spans="1:8" x14ac:dyDescent="0.25">
      <c r="A53">
        <v>3003</v>
      </c>
      <c r="B53" s="11" t="s">
        <v>217</v>
      </c>
      <c r="C53" t="s">
        <v>74</v>
      </c>
      <c r="H53" s="11"/>
    </row>
    <row r="54" spans="1:8" x14ac:dyDescent="0.25">
      <c r="A54">
        <v>3005</v>
      </c>
      <c r="B54" s="12" t="s">
        <v>218</v>
      </c>
      <c r="C54" t="s">
        <v>74</v>
      </c>
      <c r="H54" s="11"/>
    </row>
    <row r="55" spans="1:8" x14ac:dyDescent="0.25">
      <c r="A55">
        <v>3010</v>
      </c>
      <c r="B55" s="11" t="s">
        <v>219</v>
      </c>
      <c r="C55" t="s">
        <v>74</v>
      </c>
      <c r="H55" s="11"/>
    </row>
    <row r="56" spans="1:8" x14ac:dyDescent="0.25">
      <c r="A56">
        <v>3030</v>
      </c>
      <c r="B56" s="11" t="s">
        <v>220</v>
      </c>
      <c r="C56" t="s">
        <v>74</v>
      </c>
      <c r="H56" s="11"/>
    </row>
    <row r="57" spans="1:8" x14ac:dyDescent="0.25">
      <c r="A57">
        <v>3100</v>
      </c>
      <c r="B57" s="11" t="s">
        <v>221</v>
      </c>
      <c r="C57" t="s">
        <v>74</v>
      </c>
      <c r="H57" s="11"/>
    </row>
    <row r="58" spans="1:8" x14ac:dyDescent="0.25">
      <c r="A58">
        <v>3101</v>
      </c>
      <c r="B58" s="11" t="s">
        <v>222</v>
      </c>
      <c r="C58" t="s">
        <v>74</v>
      </c>
      <c r="H58" s="11"/>
    </row>
    <row r="59" spans="1:8" x14ac:dyDescent="0.25">
      <c r="A59">
        <v>3102</v>
      </c>
      <c r="B59" s="11" t="s">
        <v>223</v>
      </c>
      <c r="C59" t="s">
        <v>74</v>
      </c>
      <c r="H59" s="11"/>
    </row>
    <row r="60" spans="1:8" x14ac:dyDescent="0.25">
      <c r="A60">
        <v>3103</v>
      </c>
      <c r="B60" s="11" t="s">
        <v>224</v>
      </c>
      <c r="C60" t="s">
        <v>74</v>
      </c>
      <c r="H60" s="11"/>
    </row>
    <row r="61" spans="1:8" x14ac:dyDescent="0.25">
      <c r="A61">
        <v>3104</v>
      </c>
      <c r="B61" s="11" t="s">
        <v>225</v>
      </c>
      <c r="C61" t="s">
        <v>74</v>
      </c>
      <c r="H61" s="11"/>
    </row>
    <row r="62" spans="1:8" x14ac:dyDescent="0.25">
      <c r="A62">
        <v>3105</v>
      </c>
      <c r="B62" s="11" t="s">
        <v>226</v>
      </c>
      <c r="C62" t="s">
        <v>74</v>
      </c>
      <c r="H62" s="11"/>
    </row>
    <row r="63" spans="1:8" x14ac:dyDescent="0.25">
      <c r="A63">
        <v>3106</v>
      </c>
      <c r="B63" s="11" t="s">
        <v>227</v>
      </c>
      <c r="C63" t="s">
        <v>74</v>
      </c>
      <c r="H63" s="11"/>
    </row>
    <row r="64" spans="1:8" x14ac:dyDescent="0.25">
      <c r="A64">
        <v>3107</v>
      </c>
      <c r="B64" s="11" t="s">
        <v>228</v>
      </c>
      <c r="C64" t="s">
        <v>74</v>
      </c>
      <c r="H64" s="11"/>
    </row>
    <row r="65" spans="1:8" x14ac:dyDescent="0.25">
      <c r="A65">
        <v>3108</v>
      </c>
      <c r="B65" s="11" t="s">
        <v>229</v>
      </c>
      <c r="C65" t="s">
        <v>74</v>
      </c>
      <c r="H65" s="11"/>
    </row>
    <row r="66" spans="1:8" x14ac:dyDescent="0.25">
      <c r="A66">
        <v>3150</v>
      </c>
      <c r="B66" s="11" t="s">
        <v>230</v>
      </c>
      <c r="C66" t="s">
        <v>74</v>
      </c>
      <c r="H66" s="11"/>
    </row>
    <row r="67" spans="1:8" x14ac:dyDescent="0.25">
      <c r="A67">
        <v>3151</v>
      </c>
      <c r="B67" s="11" t="s">
        <v>231</v>
      </c>
      <c r="C67" t="s">
        <v>74</v>
      </c>
      <c r="H67" s="11"/>
    </row>
    <row r="68" spans="1:8" x14ac:dyDescent="0.25">
      <c r="A68">
        <v>3152</v>
      </c>
      <c r="B68" s="11" t="s">
        <v>232</v>
      </c>
      <c r="C68" t="s">
        <v>74</v>
      </c>
      <c r="H68" s="11"/>
    </row>
    <row r="69" spans="1:8" x14ac:dyDescent="0.25">
      <c r="A69">
        <v>3153</v>
      </c>
      <c r="B69" s="11" t="s">
        <v>233</v>
      </c>
      <c r="C69" t="s">
        <v>74</v>
      </c>
      <c r="H69" s="13"/>
    </row>
    <row r="70" spans="1:8" x14ac:dyDescent="0.25">
      <c r="A70">
        <v>3154</v>
      </c>
      <c r="B70" s="12" t="s">
        <v>234</v>
      </c>
      <c r="C70" t="s">
        <v>74</v>
      </c>
      <c r="H70" s="13"/>
    </row>
    <row r="71" spans="1:8" x14ac:dyDescent="0.25">
      <c r="A71">
        <v>3220</v>
      </c>
      <c r="B71" s="11" t="s">
        <v>235</v>
      </c>
      <c r="C71" t="s">
        <v>74</v>
      </c>
      <c r="H71" s="12"/>
    </row>
    <row r="72" spans="1:8" x14ac:dyDescent="0.25">
      <c r="A72">
        <v>3221</v>
      </c>
      <c r="B72" s="13" t="s">
        <v>175</v>
      </c>
      <c r="C72" t="s">
        <v>74</v>
      </c>
      <c r="H72" s="11"/>
    </row>
    <row r="73" spans="1:8" x14ac:dyDescent="0.25">
      <c r="A73">
        <v>3250</v>
      </c>
      <c r="B73" s="11" t="s">
        <v>236</v>
      </c>
      <c r="C73" t="s">
        <v>74</v>
      </c>
      <c r="H73" s="13"/>
    </row>
    <row r="74" spans="1:8" x14ac:dyDescent="0.25">
      <c r="A74">
        <v>3251</v>
      </c>
      <c r="B74" s="11" t="s">
        <v>237</v>
      </c>
      <c r="C74" t="s">
        <v>74</v>
      </c>
      <c r="H74" s="11"/>
    </row>
    <row r="75" spans="1:8" x14ac:dyDescent="0.25">
      <c r="A75">
        <v>3252</v>
      </c>
      <c r="B75" s="11" t="s">
        <v>238</v>
      </c>
      <c r="C75" t="s">
        <v>74</v>
      </c>
      <c r="H75" s="11"/>
    </row>
    <row r="76" spans="1:8" x14ac:dyDescent="0.25">
      <c r="A76">
        <v>3254</v>
      </c>
      <c r="B76" s="11" t="s">
        <v>239</v>
      </c>
      <c r="C76" t="s">
        <v>74</v>
      </c>
      <c r="H76" s="11"/>
    </row>
    <row r="77" spans="1:8" x14ac:dyDescent="0.25">
      <c r="A77">
        <v>3255</v>
      </c>
      <c r="B77" s="11" t="s">
        <v>240</v>
      </c>
      <c r="C77" t="s">
        <v>74</v>
      </c>
      <c r="H77" s="11"/>
    </row>
    <row r="78" spans="1:8" x14ac:dyDescent="0.25">
      <c r="A78">
        <v>3256</v>
      </c>
      <c r="B78" s="11" t="s">
        <v>241</v>
      </c>
      <c r="C78" t="s">
        <v>74</v>
      </c>
      <c r="H78" s="11"/>
    </row>
    <row r="79" spans="1:8" x14ac:dyDescent="0.25">
      <c r="A79">
        <v>3258</v>
      </c>
      <c r="B79" s="11" t="s">
        <v>243</v>
      </c>
      <c r="C79" t="s">
        <v>74</v>
      </c>
      <c r="H79" s="12"/>
    </row>
    <row r="80" spans="1:8" x14ac:dyDescent="0.25">
      <c r="A80">
        <v>3300</v>
      </c>
      <c r="B80" s="11" t="s">
        <v>244</v>
      </c>
      <c r="C80" t="s">
        <v>74</v>
      </c>
      <c r="H80" s="11"/>
    </row>
    <row r="81" spans="1:8" x14ac:dyDescent="0.25">
      <c r="A81">
        <v>3301</v>
      </c>
      <c r="B81" s="11" t="s">
        <v>245</v>
      </c>
      <c r="C81" t="s">
        <v>74</v>
      </c>
      <c r="H81" s="11"/>
    </row>
    <row r="82" spans="1:8" x14ac:dyDescent="0.25">
      <c r="A82">
        <v>3302</v>
      </c>
      <c r="B82" s="11" t="s">
        <v>246</v>
      </c>
      <c r="C82" t="s">
        <v>74</v>
      </c>
      <c r="H82" s="11"/>
    </row>
    <row r="83" spans="1:8" x14ac:dyDescent="0.25">
      <c r="A83">
        <v>3303</v>
      </c>
      <c r="B83" s="11" t="s">
        <v>247</v>
      </c>
      <c r="C83" t="s">
        <v>74</v>
      </c>
      <c r="H83" s="11"/>
    </row>
    <row r="84" spans="1:8" x14ac:dyDescent="0.25">
      <c r="A84">
        <v>3304</v>
      </c>
      <c r="B84" s="11" t="s">
        <v>248</v>
      </c>
      <c r="C84" t="s">
        <v>74</v>
      </c>
      <c r="H84" s="11"/>
    </row>
    <row r="85" spans="1:8" x14ac:dyDescent="0.25">
      <c r="A85">
        <v>3305</v>
      </c>
      <c r="B85" s="11" t="s">
        <v>249</v>
      </c>
      <c r="C85" t="s">
        <v>74</v>
      </c>
      <c r="H85" s="11"/>
    </row>
    <row r="86" spans="1:8" x14ac:dyDescent="0.25">
      <c r="A86">
        <v>3306</v>
      </c>
      <c r="B86" s="58" t="s">
        <v>242</v>
      </c>
      <c r="C86" t="s">
        <v>74</v>
      </c>
      <c r="D86" t="s">
        <v>1121</v>
      </c>
      <c r="H86" s="11"/>
    </row>
    <row r="87" spans="1:8" x14ac:dyDescent="0.25">
      <c r="A87">
        <v>3350</v>
      </c>
      <c r="B87" s="11" t="s">
        <v>250</v>
      </c>
      <c r="C87" t="s">
        <v>74</v>
      </c>
      <c r="H87" s="11"/>
    </row>
    <row r="88" spans="1:8" x14ac:dyDescent="0.25">
      <c r="A88">
        <v>3351</v>
      </c>
      <c r="B88" s="11" t="s">
        <v>251</v>
      </c>
      <c r="C88" t="s">
        <v>74</v>
      </c>
      <c r="H88" s="11"/>
    </row>
    <row r="89" spans="1:8" x14ac:dyDescent="0.25">
      <c r="A89">
        <v>3352</v>
      </c>
      <c r="B89" s="11" t="s">
        <v>252</v>
      </c>
      <c r="C89" t="s">
        <v>74</v>
      </c>
      <c r="H89" s="11"/>
    </row>
    <row r="90" spans="1:8" x14ac:dyDescent="0.25">
      <c r="A90">
        <v>3353</v>
      </c>
      <c r="B90" s="11" t="s">
        <v>253</v>
      </c>
      <c r="C90" t="s">
        <v>74</v>
      </c>
      <c r="H90" s="11"/>
    </row>
    <row r="91" spans="1:8" x14ac:dyDescent="0.25">
      <c r="A91">
        <v>3400</v>
      </c>
      <c r="B91" s="11" t="s">
        <v>254</v>
      </c>
      <c r="C91" t="s">
        <v>74</v>
      </c>
      <c r="H91" s="11"/>
    </row>
    <row r="92" spans="1:8" x14ac:dyDescent="0.25">
      <c r="A92">
        <v>3401</v>
      </c>
      <c r="B92" s="11" t="s">
        <v>255</v>
      </c>
      <c r="C92" t="s">
        <v>74</v>
      </c>
      <c r="H92" s="11"/>
    </row>
    <row r="93" spans="1:8" x14ac:dyDescent="0.25">
      <c r="A93">
        <v>3402</v>
      </c>
      <c r="B93" s="11" t="s">
        <v>256</v>
      </c>
      <c r="C93" t="s">
        <v>74</v>
      </c>
      <c r="H93" s="11"/>
    </row>
    <row r="94" spans="1:8" x14ac:dyDescent="0.25">
      <c r="A94">
        <v>3403</v>
      </c>
      <c r="B94" s="11" t="s">
        <v>257</v>
      </c>
      <c r="C94" t="s">
        <v>74</v>
      </c>
      <c r="H94" s="11"/>
    </row>
    <row r="95" spans="1:8" x14ac:dyDescent="0.25">
      <c r="A95">
        <v>3405</v>
      </c>
      <c r="B95" s="11" t="s">
        <v>258</v>
      </c>
      <c r="C95" t="s">
        <v>74</v>
      </c>
      <c r="H95" s="11"/>
    </row>
    <row r="96" spans="1:8" x14ac:dyDescent="0.25">
      <c r="A96">
        <v>3450</v>
      </c>
      <c r="B96" s="11" t="s">
        <v>259</v>
      </c>
      <c r="C96" t="s">
        <v>74</v>
      </c>
      <c r="H96" s="11"/>
    </row>
    <row r="97" spans="1:8" x14ac:dyDescent="0.25">
      <c r="A97">
        <v>3451</v>
      </c>
      <c r="B97" s="11" t="s">
        <v>260</v>
      </c>
      <c r="C97" t="s">
        <v>74</v>
      </c>
      <c r="H97" s="11"/>
    </row>
    <row r="98" spans="1:8" x14ac:dyDescent="0.25">
      <c r="A98">
        <v>3452</v>
      </c>
      <c r="B98" s="11" t="s">
        <v>261</v>
      </c>
      <c r="C98" t="s">
        <v>74</v>
      </c>
      <c r="H98" s="11"/>
    </row>
    <row r="99" spans="1:8" x14ac:dyDescent="0.25">
      <c r="A99">
        <v>3453</v>
      </c>
      <c r="B99" s="11" t="s">
        <v>262</v>
      </c>
      <c r="C99" t="s">
        <v>74</v>
      </c>
      <c r="H99" s="11"/>
    </row>
    <row r="100" spans="1:8" x14ac:dyDescent="0.25">
      <c r="A100">
        <v>3454</v>
      </c>
      <c r="B100" s="11" t="s">
        <v>263</v>
      </c>
      <c r="C100" t="s">
        <v>74</v>
      </c>
      <c r="H100" s="11"/>
    </row>
    <row r="101" spans="1:8" x14ac:dyDescent="0.25">
      <c r="A101">
        <v>3455</v>
      </c>
      <c r="B101" s="11" t="s">
        <v>264</v>
      </c>
      <c r="C101" t="s">
        <v>74</v>
      </c>
      <c r="H101" s="11"/>
    </row>
    <row r="102" spans="1:8" x14ac:dyDescent="0.25">
      <c r="A102">
        <v>3456</v>
      </c>
      <c r="B102" s="11" t="s">
        <v>265</v>
      </c>
      <c r="C102" t="s">
        <v>74</v>
      </c>
      <c r="H102" s="11"/>
    </row>
    <row r="103" spans="1:8" x14ac:dyDescent="0.25">
      <c r="A103">
        <v>3500</v>
      </c>
      <c r="B103" s="11" t="s">
        <v>266</v>
      </c>
      <c r="C103" t="s">
        <v>74</v>
      </c>
      <c r="H103" s="11"/>
    </row>
    <row r="104" spans="1:8" x14ac:dyDescent="0.25">
      <c r="A104">
        <v>3550</v>
      </c>
      <c r="B104" s="11" t="s">
        <v>267</v>
      </c>
      <c r="C104" t="s">
        <v>74</v>
      </c>
      <c r="H104" s="13"/>
    </row>
    <row r="105" spans="1:8" x14ac:dyDescent="0.25">
      <c r="A105">
        <v>3600</v>
      </c>
      <c r="B105" s="11" t="s">
        <v>268</v>
      </c>
      <c r="C105" t="s">
        <v>74</v>
      </c>
      <c r="H105" s="11"/>
    </row>
    <row r="106" spans="1:8" x14ac:dyDescent="0.25">
      <c r="A106">
        <v>3601</v>
      </c>
      <c r="B106" s="11" t="s">
        <v>269</v>
      </c>
      <c r="C106" t="s">
        <v>74</v>
      </c>
      <c r="H106" s="11"/>
    </row>
    <row r="107" spans="1:8" x14ac:dyDescent="0.25">
      <c r="A107">
        <v>3602</v>
      </c>
      <c r="B107" s="11" t="s">
        <v>270</v>
      </c>
      <c r="C107" t="s">
        <v>74</v>
      </c>
      <c r="H107" s="11"/>
    </row>
    <row r="108" spans="1:8" x14ac:dyDescent="0.25">
      <c r="A108">
        <v>3603</v>
      </c>
      <c r="B108" s="11" t="s">
        <v>271</v>
      </c>
      <c r="C108" t="s">
        <v>74</v>
      </c>
      <c r="H108" s="11"/>
    </row>
    <row r="109" spans="1:8" x14ac:dyDescent="0.25">
      <c r="A109">
        <v>3700</v>
      </c>
      <c r="B109" s="11" t="s">
        <v>272</v>
      </c>
      <c r="C109" t="s">
        <v>74</v>
      </c>
      <c r="H109" s="11"/>
    </row>
    <row r="110" spans="1:8" x14ac:dyDescent="0.25">
      <c r="A110">
        <v>3701</v>
      </c>
      <c r="B110" s="11" t="s">
        <v>273</v>
      </c>
      <c r="C110" t="s">
        <v>74</v>
      </c>
      <c r="H110" s="11"/>
    </row>
    <row r="111" spans="1:8" x14ac:dyDescent="0.25">
      <c r="A111">
        <v>3702</v>
      </c>
      <c r="B111" s="11" t="s">
        <v>274</v>
      </c>
      <c r="C111" t="s">
        <v>74</v>
      </c>
      <c r="H111" s="11"/>
    </row>
    <row r="112" spans="1:8" x14ac:dyDescent="0.25">
      <c r="A112">
        <v>3703</v>
      </c>
      <c r="B112" s="11" t="s">
        <v>275</v>
      </c>
      <c r="C112" t="s">
        <v>74</v>
      </c>
      <c r="H112" s="11"/>
    </row>
    <row r="113" spans="1:8" x14ac:dyDescent="0.25">
      <c r="A113">
        <v>3705</v>
      </c>
      <c r="B113" s="11" t="s">
        <v>276</v>
      </c>
      <c r="C113" t="s">
        <v>74</v>
      </c>
      <c r="H113" s="11"/>
    </row>
    <row r="114" spans="1:8" x14ac:dyDescent="0.25">
      <c r="A114">
        <v>3706</v>
      </c>
      <c r="B114" s="11" t="s">
        <v>277</v>
      </c>
      <c r="C114" t="s">
        <v>74</v>
      </c>
      <c r="H114" s="11"/>
    </row>
    <row r="115" spans="1:8" x14ac:dyDescent="0.25">
      <c r="A115">
        <v>3707</v>
      </c>
      <c r="B115" s="11" t="s">
        <v>278</v>
      </c>
      <c r="C115" t="s">
        <v>74</v>
      </c>
      <c r="H115" s="11"/>
    </row>
    <row r="116" spans="1:8" x14ac:dyDescent="0.25">
      <c r="A116">
        <v>3708</v>
      </c>
      <c r="B116" s="11" t="s">
        <v>279</v>
      </c>
      <c r="C116" t="s">
        <v>74</v>
      </c>
      <c r="H116" s="11"/>
    </row>
    <row r="117" spans="1:8" x14ac:dyDescent="0.25">
      <c r="A117">
        <v>3709</v>
      </c>
      <c r="B117" s="11" t="s">
        <v>280</v>
      </c>
      <c r="C117" t="s">
        <v>74</v>
      </c>
      <c r="H117" s="11"/>
    </row>
    <row r="118" spans="1:8" x14ac:dyDescent="0.25">
      <c r="A118">
        <v>3710</v>
      </c>
      <c r="B118" s="11" t="s">
        <v>281</v>
      </c>
      <c r="C118" t="s">
        <v>74</v>
      </c>
      <c r="H118" s="11"/>
    </row>
    <row r="119" spans="1:8" x14ac:dyDescent="0.25">
      <c r="A119" s="244">
        <v>3850</v>
      </c>
      <c r="B119" s="58" t="s">
        <v>809</v>
      </c>
      <c r="C119" t="s">
        <v>74</v>
      </c>
      <c r="D119" t="s">
        <v>2057</v>
      </c>
      <c r="H119" s="11"/>
    </row>
    <row r="120" spans="1:8" x14ac:dyDescent="0.25">
      <c r="A120">
        <v>3900</v>
      </c>
      <c r="B120" s="11" t="s">
        <v>282</v>
      </c>
      <c r="C120" t="s">
        <v>74</v>
      </c>
      <c r="H120" s="11"/>
    </row>
    <row r="121" spans="1:8" x14ac:dyDescent="0.25">
      <c r="A121">
        <v>3910</v>
      </c>
      <c r="B121" s="11" t="s">
        <v>283</v>
      </c>
      <c r="C121" t="s">
        <v>74</v>
      </c>
      <c r="H121" s="11"/>
    </row>
    <row r="122" spans="1:8" x14ac:dyDescent="0.25">
      <c r="A122">
        <v>3920</v>
      </c>
      <c r="B122" s="13" t="s">
        <v>178</v>
      </c>
      <c r="C122" t="s">
        <v>74</v>
      </c>
      <c r="H122" s="11"/>
    </row>
    <row r="123" spans="1:8" x14ac:dyDescent="0.25">
      <c r="A123">
        <v>3921</v>
      </c>
      <c r="B123" s="13" t="s">
        <v>179</v>
      </c>
      <c r="C123" t="s">
        <v>74</v>
      </c>
      <c r="H123" s="11"/>
    </row>
    <row r="124" spans="1:8" x14ac:dyDescent="0.25">
      <c r="A124">
        <v>3922</v>
      </c>
      <c r="B124" s="13" t="s">
        <v>180</v>
      </c>
      <c r="C124" t="s">
        <v>74</v>
      </c>
      <c r="H124" s="11"/>
    </row>
    <row r="125" spans="1:8" x14ac:dyDescent="0.25">
      <c r="A125">
        <v>3923</v>
      </c>
      <c r="B125" s="13" t="s">
        <v>181</v>
      </c>
      <c r="C125" t="s">
        <v>74</v>
      </c>
      <c r="H125" s="11"/>
    </row>
    <row r="126" spans="1:8" x14ac:dyDescent="0.25">
      <c r="A126">
        <v>3960</v>
      </c>
      <c r="B126" s="11" t="s">
        <v>284</v>
      </c>
      <c r="C126" t="s">
        <v>74</v>
      </c>
      <c r="H126" s="11"/>
    </row>
    <row r="127" spans="1:8" x14ac:dyDescent="0.25">
      <c r="A127">
        <v>3962</v>
      </c>
      <c r="B127" s="11" t="s">
        <v>285</v>
      </c>
      <c r="C127" t="s">
        <v>74</v>
      </c>
      <c r="H127" s="11"/>
    </row>
    <row r="128" spans="1:8" x14ac:dyDescent="0.25">
      <c r="A128">
        <v>3964</v>
      </c>
      <c r="B128" s="11" t="s">
        <v>286</v>
      </c>
      <c r="C128" t="s">
        <v>74</v>
      </c>
      <c r="H128" s="11"/>
    </row>
    <row r="129" spans="1:8" x14ac:dyDescent="0.25">
      <c r="A129">
        <v>3966</v>
      </c>
      <c r="B129" s="11" t="s">
        <v>287</v>
      </c>
      <c r="C129" t="s">
        <v>74</v>
      </c>
      <c r="H129" s="12"/>
    </row>
    <row r="130" spans="1:8" x14ac:dyDescent="0.25">
      <c r="A130">
        <v>3968</v>
      </c>
      <c r="B130" s="11" t="s">
        <v>288</v>
      </c>
      <c r="C130" t="s">
        <v>74</v>
      </c>
      <c r="H130" s="11"/>
    </row>
    <row r="131" spans="1:8" x14ac:dyDescent="0.25">
      <c r="A131">
        <v>3970</v>
      </c>
      <c r="B131" s="11" t="s">
        <v>289</v>
      </c>
      <c r="C131" t="s">
        <v>74</v>
      </c>
      <c r="H131" s="12"/>
    </row>
    <row r="132" spans="1:8" x14ac:dyDescent="0.25">
      <c r="A132">
        <v>3972</v>
      </c>
      <c r="B132" s="11" t="s">
        <v>290</v>
      </c>
      <c r="C132" t="s">
        <v>74</v>
      </c>
      <c r="H132" s="11"/>
    </row>
    <row r="133" spans="1:8" x14ac:dyDescent="0.25">
      <c r="A133">
        <v>3974</v>
      </c>
      <c r="B133" s="11" t="s">
        <v>291</v>
      </c>
      <c r="C133" t="s">
        <v>74</v>
      </c>
      <c r="H133" s="11"/>
    </row>
    <row r="134" spans="1:8" x14ac:dyDescent="0.25">
      <c r="A134">
        <v>3976</v>
      </c>
      <c r="B134" s="11" t="s">
        <v>292</v>
      </c>
      <c r="C134" t="s">
        <v>74</v>
      </c>
      <c r="H134" s="11"/>
    </row>
    <row r="135" spans="1:8" x14ac:dyDescent="0.25">
      <c r="A135">
        <v>3978</v>
      </c>
      <c r="B135" s="11" t="s">
        <v>293</v>
      </c>
      <c r="C135" t="s">
        <v>74</v>
      </c>
      <c r="H135" s="11"/>
    </row>
    <row r="136" spans="1:8" x14ac:dyDescent="0.25">
      <c r="A136">
        <v>3980</v>
      </c>
      <c r="B136" s="11" t="s">
        <v>294</v>
      </c>
      <c r="C136" t="s">
        <v>74</v>
      </c>
      <c r="H136" s="11"/>
    </row>
    <row r="137" spans="1:8" x14ac:dyDescent="0.25">
      <c r="A137">
        <v>3982</v>
      </c>
      <c r="B137" s="11" t="s">
        <v>295</v>
      </c>
      <c r="C137" t="s">
        <v>74</v>
      </c>
      <c r="H137" s="11"/>
    </row>
    <row r="138" spans="1:8" x14ac:dyDescent="0.25">
      <c r="A138">
        <v>3984</v>
      </c>
      <c r="B138" s="11" t="s">
        <v>296</v>
      </c>
      <c r="C138" t="s">
        <v>74</v>
      </c>
      <c r="H138" s="11"/>
    </row>
    <row r="139" spans="1:8" x14ac:dyDescent="0.25">
      <c r="A139">
        <v>3986</v>
      </c>
      <c r="B139" s="11" t="s">
        <v>297</v>
      </c>
      <c r="C139" t="s">
        <v>74</v>
      </c>
      <c r="H139" s="11"/>
    </row>
    <row r="140" spans="1:8" x14ac:dyDescent="0.25">
      <c r="A140">
        <v>3988</v>
      </c>
      <c r="B140" s="11" t="s">
        <v>298</v>
      </c>
      <c r="C140" t="s">
        <v>74</v>
      </c>
      <c r="H140" s="11"/>
    </row>
    <row r="141" spans="1:8" x14ac:dyDescent="0.25">
      <c r="A141">
        <v>3990</v>
      </c>
      <c r="B141" s="11" t="s">
        <v>299</v>
      </c>
      <c r="C141" t="s">
        <v>74</v>
      </c>
      <c r="H141" s="11"/>
    </row>
    <row r="142" spans="1:8" x14ac:dyDescent="0.25">
      <c r="A142">
        <v>5000</v>
      </c>
      <c r="B142" s="11" t="s">
        <v>300</v>
      </c>
      <c r="C142" t="s">
        <v>75</v>
      </c>
      <c r="H142" s="11"/>
    </row>
    <row r="143" spans="1:8" x14ac:dyDescent="0.25">
      <c r="A143">
        <v>5005</v>
      </c>
      <c r="B143" s="11" t="s">
        <v>301</v>
      </c>
      <c r="C143" t="s">
        <v>75</v>
      </c>
      <c r="H143" s="11"/>
    </row>
    <row r="144" spans="1:8" x14ac:dyDescent="0.25">
      <c r="A144">
        <v>5008</v>
      </c>
      <c r="B144" s="11" t="s">
        <v>302</v>
      </c>
      <c r="C144" t="s">
        <v>75</v>
      </c>
      <c r="H144" s="11"/>
    </row>
    <row r="145" spans="1:8" x14ac:dyDescent="0.25">
      <c r="A145">
        <v>5009</v>
      </c>
      <c r="B145" s="12" t="s">
        <v>163</v>
      </c>
      <c r="C145" t="s">
        <v>75</v>
      </c>
      <c r="H145" s="11"/>
    </row>
    <row r="146" spans="1:8" x14ac:dyDescent="0.25">
      <c r="A146">
        <v>5016</v>
      </c>
      <c r="B146" s="11" t="s">
        <v>303</v>
      </c>
      <c r="C146" t="s">
        <v>75</v>
      </c>
      <c r="H146" s="11"/>
    </row>
    <row r="147" spans="1:8" x14ac:dyDescent="0.25">
      <c r="A147">
        <v>5100</v>
      </c>
      <c r="B147" s="12" t="s">
        <v>164</v>
      </c>
      <c r="C147" t="s">
        <v>75</v>
      </c>
      <c r="H147" s="11"/>
    </row>
    <row r="148" spans="1:8" x14ac:dyDescent="0.25">
      <c r="A148">
        <v>5121</v>
      </c>
      <c r="B148" s="11" t="s">
        <v>304</v>
      </c>
      <c r="C148" t="s">
        <v>75</v>
      </c>
      <c r="H148" s="11"/>
    </row>
    <row r="149" spans="1:8" x14ac:dyDescent="0.25">
      <c r="A149">
        <v>5160</v>
      </c>
      <c r="B149" s="11" t="s">
        <v>305</v>
      </c>
      <c r="C149" t="s">
        <v>75</v>
      </c>
      <c r="H149" s="11"/>
    </row>
    <row r="150" spans="1:8" x14ac:dyDescent="0.25">
      <c r="A150">
        <v>5161</v>
      </c>
      <c r="B150" s="11" t="s">
        <v>306</v>
      </c>
      <c r="C150" t="s">
        <v>75</v>
      </c>
      <c r="H150" s="13"/>
    </row>
    <row r="151" spans="1:8" x14ac:dyDescent="0.25">
      <c r="A151">
        <v>5220</v>
      </c>
      <c r="B151" s="11" t="s">
        <v>235</v>
      </c>
      <c r="C151" t="s">
        <v>75</v>
      </c>
      <c r="H151" s="11"/>
    </row>
    <row r="152" spans="1:8" x14ac:dyDescent="0.25">
      <c r="A152">
        <v>5310</v>
      </c>
      <c r="B152" s="11" t="s">
        <v>307</v>
      </c>
      <c r="C152" t="s">
        <v>75</v>
      </c>
      <c r="H152" s="11"/>
    </row>
    <row r="153" spans="1:8" x14ac:dyDescent="0.25">
      <c r="A153">
        <v>5400</v>
      </c>
      <c r="B153" s="11" t="s">
        <v>308</v>
      </c>
      <c r="C153" t="s">
        <v>75</v>
      </c>
      <c r="H153" s="11"/>
    </row>
    <row r="154" spans="1:8" x14ac:dyDescent="0.25">
      <c r="A154">
        <v>5410</v>
      </c>
      <c r="B154" s="58" t="s">
        <v>1077</v>
      </c>
      <c r="C154" t="s">
        <v>75</v>
      </c>
      <c r="H154" s="11"/>
    </row>
    <row r="155" spans="1:8" x14ac:dyDescent="0.25">
      <c r="A155">
        <v>5412</v>
      </c>
      <c r="B155" s="11" t="s">
        <v>309</v>
      </c>
      <c r="C155" t="s">
        <v>75</v>
      </c>
      <c r="H155" s="11"/>
    </row>
    <row r="156" spans="1:8" x14ac:dyDescent="0.25">
      <c r="A156">
        <v>5500</v>
      </c>
      <c r="B156" s="12" t="s">
        <v>165</v>
      </c>
      <c r="C156" t="s">
        <v>75</v>
      </c>
      <c r="H156" s="11"/>
    </row>
    <row r="157" spans="1:8" x14ac:dyDescent="0.25">
      <c r="A157">
        <v>5607</v>
      </c>
      <c r="B157" s="11" t="s">
        <v>310</v>
      </c>
      <c r="C157" t="s">
        <v>75</v>
      </c>
      <c r="H157" s="13"/>
    </row>
    <row r="158" spans="1:8" x14ac:dyDescent="0.25">
      <c r="A158">
        <v>5608</v>
      </c>
      <c r="B158" s="11" t="s">
        <v>311</v>
      </c>
      <c r="C158" t="s">
        <v>75</v>
      </c>
      <c r="H158" s="11"/>
    </row>
    <row r="159" spans="1:8" x14ac:dyDescent="0.25">
      <c r="A159">
        <v>5609</v>
      </c>
      <c r="B159" s="11" t="s">
        <v>312</v>
      </c>
      <c r="C159" t="s">
        <v>75</v>
      </c>
      <c r="H159" s="11"/>
    </row>
    <row r="160" spans="1:8" x14ac:dyDescent="0.25">
      <c r="A160">
        <v>5700</v>
      </c>
      <c r="B160" s="11" t="s">
        <v>313</v>
      </c>
      <c r="C160" t="s">
        <v>75</v>
      </c>
      <c r="H160" s="11"/>
    </row>
    <row r="161" spans="1:8" x14ac:dyDescent="0.25">
      <c r="A161">
        <v>5701</v>
      </c>
      <c r="B161" s="11" t="s">
        <v>314</v>
      </c>
      <c r="C161" t="s">
        <v>75</v>
      </c>
      <c r="H161" s="11"/>
    </row>
    <row r="162" spans="1:8" x14ac:dyDescent="0.25">
      <c r="A162">
        <v>5730</v>
      </c>
      <c r="B162" s="12" t="s">
        <v>166</v>
      </c>
      <c r="C162" t="s">
        <v>75</v>
      </c>
      <c r="H162" s="11"/>
    </row>
    <row r="163" spans="1:8" x14ac:dyDescent="0.25">
      <c r="A163">
        <v>5740</v>
      </c>
      <c r="B163" s="58" t="s">
        <v>461</v>
      </c>
      <c r="C163" t="s">
        <v>75</v>
      </c>
      <c r="H163" s="11"/>
    </row>
    <row r="164" spans="1:8" x14ac:dyDescent="0.25">
      <c r="A164">
        <v>6000</v>
      </c>
      <c r="B164" s="11" t="s">
        <v>315</v>
      </c>
      <c r="C164" s="37" t="s">
        <v>837</v>
      </c>
      <c r="H164" s="11"/>
    </row>
    <row r="165" spans="1:8" x14ac:dyDescent="0.25">
      <c r="A165">
        <v>6100</v>
      </c>
      <c r="B165" s="11" t="s">
        <v>316</v>
      </c>
      <c r="C165" t="s">
        <v>72</v>
      </c>
      <c r="H165" s="11"/>
    </row>
    <row r="166" spans="1:8" x14ac:dyDescent="0.25">
      <c r="A166">
        <v>6150</v>
      </c>
      <c r="B166" s="11" t="s">
        <v>317</v>
      </c>
      <c r="C166" t="s">
        <v>72</v>
      </c>
    </row>
    <row r="167" spans="1:8" x14ac:dyDescent="0.25">
      <c r="A167">
        <v>7000</v>
      </c>
      <c r="B167" s="11" t="s">
        <v>12</v>
      </c>
    </row>
    <row r="168" spans="1:8" x14ac:dyDescent="0.25">
      <c r="A168">
        <v>7001</v>
      </c>
      <c r="B168" s="12" t="s">
        <v>13</v>
      </c>
    </row>
    <row r="169" spans="1:8" x14ac:dyDescent="0.25">
      <c r="A169">
        <v>7002</v>
      </c>
      <c r="B169" s="12" t="s">
        <v>14</v>
      </c>
    </row>
    <row r="170" spans="1:8" x14ac:dyDescent="0.25">
      <c r="A170">
        <v>7006</v>
      </c>
      <c r="B170" s="11" t="s">
        <v>15</v>
      </c>
    </row>
    <row r="171" spans="1:8" x14ac:dyDescent="0.25">
      <c r="A171">
        <v>7008</v>
      </c>
      <c r="B171" s="11" t="s">
        <v>16</v>
      </c>
    </row>
    <row r="172" spans="1:8" x14ac:dyDescent="0.25">
      <c r="A172">
        <v>7050</v>
      </c>
      <c r="B172" s="12" t="s">
        <v>17</v>
      </c>
    </row>
    <row r="173" spans="1:8" x14ac:dyDescent="0.25">
      <c r="A173">
        <v>7055</v>
      </c>
      <c r="B173" s="12" t="s">
        <v>18</v>
      </c>
    </row>
    <row r="174" spans="1:8" x14ac:dyDescent="0.25">
      <c r="A174">
        <v>7101</v>
      </c>
      <c r="B174" s="11" t="s">
        <v>19</v>
      </c>
    </row>
    <row r="175" spans="1:8" x14ac:dyDescent="0.25">
      <c r="A175">
        <v>7103</v>
      </c>
      <c r="B175" s="11" t="s">
        <v>20</v>
      </c>
    </row>
    <row r="176" spans="1:8" x14ac:dyDescent="0.25">
      <c r="A176">
        <v>7300</v>
      </c>
      <c r="B176" s="11" t="s">
        <v>21</v>
      </c>
    </row>
    <row r="177" spans="1:2" x14ac:dyDescent="0.25">
      <c r="A177">
        <v>7400</v>
      </c>
      <c r="B177" s="11" t="s">
        <v>22</v>
      </c>
    </row>
    <row r="178" spans="1:2" x14ac:dyDescent="0.25">
      <c r="A178">
        <v>7401</v>
      </c>
      <c r="B178" s="11" t="s">
        <v>23</v>
      </c>
    </row>
    <row r="179" spans="1:2" x14ac:dyDescent="0.25">
      <c r="A179">
        <v>7460</v>
      </c>
      <c r="B179" s="11" t="s">
        <v>24</v>
      </c>
    </row>
    <row r="180" spans="1:2" x14ac:dyDescent="0.25">
      <c r="A180">
        <v>7500</v>
      </c>
      <c r="B180" s="11" t="s">
        <v>25</v>
      </c>
    </row>
    <row r="181" spans="1:2" x14ac:dyDescent="0.25">
      <c r="A181">
        <v>7504</v>
      </c>
      <c r="B181" s="11" t="s">
        <v>26</v>
      </c>
    </row>
    <row r="182" spans="1:2" x14ac:dyDescent="0.25">
      <c r="A182">
        <v>7508</v>
      </c>
      <c r="B182" s="11" t="s">
        <v>27</v>
      </c>
    </row>
    <row r="183" spans="1:2" x14ac:dyDescent="0.25">
      <c r="A183">
        <v>7510</v>
      </c>
      <c r="B183" s="11" t="s">
        <v>28</v>
      </c>
    </row>
    <row r="184" spans="1:2" x14ac:dyDescent="0.25">
      <c r="A184">
        <v>7512</v>
      </c>
      <c r="B184" s="11" t="s">
        <v>29</v>
      </c>
    </row>
    <row r="185" spans="1:2" x14ac:dyDescent="0.25">
      <c r="A185">
        <v>7514</v>
      </c>
      <c r="B185" s="11" t="s">
        <v>30</v>
      </c>
    </row>
    <row r="186" spans="1:2" x14ac:dyDescent="0.25">
      <c r="A186">
        <v>7516</v>
      </c>
      <c r="B186" s="11" t="s">
        <v>31</v>
      </c>
    </row>
    <row r="187" spans="1:2" x14ac:dyDescent="0.25">
      <c r="A187">
        <v>7518</v>
      </c>
      <c r="B187" s="11" t="s">
        <v>32</v>
      </c>
    </row>
    <row r="188" spans="1:2" x14ac:dyDescent="0.25">
      <c r="A188">
        <v>7522</v>
      </c>
      <c r="B188" s="11" t="s">
        <v>182</v>
      </c>
    </row>
    <row r="189" spans="1:2" x14ac:dyDescent="0.25">
      <c r="A189">
        <v>7524</v>
      </c>
      <c r="B189" s="13" t="s">
        <v>183</v>
      </c>
    </row>
    <row r="190" spans="1:2" x14ac:dyDescent="0.25">
      <c r="A190">
        <v>7526</v>
      </c>
      <c r="B190" s="11" t="s">
        <v>33</v>
      </c>
    </row>
    <row r="191" spans="1:2" x14ac:dyDescent="0.25">
      <c r="A191">
        <v>7530</v>
      </c>
      <c r="B191" s="12" t="s">
        <v>167</v>
      </c>
    </row>
    <row r="192" spans="1:2" x14ac:dyDescent="0.25">
      <c r="A192">
        <v>7531</v>
      </c>
      <c r="B192" s="12" t="s">
        <v>168</v>
      </c>
    </row>
    <row r="193" spans="1:2" x14ac:dyDescent="0.25">
      <c r="A193">
        <v>7600</v>
      </c>
      <c r="B193" s="11" t="s">
        <v>34</v>
      </c>
    </row>
    <row r="194" spans="1:2" x14ac:dyDescent="0.25">
      <c r="A194">
        <v>7602</v>
      </c>
      <c r="B194" s="12" t="s">
        <v>169</v>
      </c>
    </row>
    <row r="195" spans="1:2" x14ac:dyDescent="0.25">
      <c r="A195">
        <v>7605</v>
      </c>
      <c r="B195" s="11" t="s">
        <v>40</v>
      </c>
    </row>
    <row r="196" spans="1:2" x14ac:dyDescent="0.25">
      <c r="A196">
        <v>7610</v>
      </c>
      <c r="B196" s="11" t="s">
        <v>41</v>
      </c>
    </row>
    <row r="197" spans="1:2" x14ac:dyDescent="0.25">
      <c r="A197">
        <v>7615</v>
      </c>
      <c r="B197" s="11" t="s">
        <v>42</v>
      </c>
    </row>
    <row r="198" spans="1:2" x14ac:dyDescent="0.25">
      <c r="A198">
        <v>7620</v>
      </c>
      <c r="B198" s="11" t="s">
        <v>43</v>
      </c>
    </row>
    <row r="199" spans="1:2" x14ac:dyDescent="0.25">
      <c r="A199">
        <v>7625</v>
      </c>
      <c r="B199" s="11" t="s">
        <v>44</v>
      </c>
    </row>
    <row r="200" spans="1:2" x14ac:dyDescent="0.25">
      <c r="A200">
        <v>7630</v>
      </c>
      <c r="B200" s="11" t="s">
        <v>45</v>
      </c>
    </row>
    <row r="201" spans="1:2" x14ac:dyDescent="0.25">
      <c r="A201">
        <v>7635</v>
      </c>
      <c r="B201" s="11" t="s">
        <v>46</v>
      </c>
    </row>
    <row r="202" spans="1:2" x14ac:dyDescent="0.25">
      <c r="A202">
        <v>7640</v>
      </c>
      <c r="B202" s="11" t="s">
        <v>47</v>
      </c>
    </row>
    <row r="203" spans="1:2" x14ac:dyDescent="0.25">
      <c r="A203">
        <v>7642</v>
      </c>
      <c r="B203" s="12" t="s">
        <v>170</v>
      </c>
    </row>
    <row r="204" spans="1:2" x14ac:dyDescent="0.25">
      <c r="A204">
        <v>7645</v>
      </c>
      <c r="B204" s="11" t="s">
        <v>48</v>
      </c>
    </row>
    <row r="205" spans="1:2" x14ac:dyDescent="0.25">
      <c r="A205">
        <v>7650</v>
      </c>
      <c r="B205" s="11" t="s">
        <v>49</v>
      </c>
    </row>
    <row r="206" spans="1:2" x14ac:dyDescent="0.25">
      <c r="A206">
        <v>7655</v>
      </c>
      <c r="B206" s="11" t="s">
        <v>171</v>
      </c>
    </row>
    <row r="207" spans="1:2" x14ac:dyDescent="0.25">
      <c r="A207">
        <v>7998</v>
      </c>
      <c r="B207" s="11" t="s">
        <v>50</v>
      </c>
    </row>
    <row r="208" spans="1:2" x14ac:dyDescent="0.25">
      <c r="A208">
        <v>8540</v>
      </c>
      <c r="B208" s="14" t="s">
        <v>51</v>
      </c>
    </row>
    <row r="209" spans="1:2" x14ac:dyDescent="0.25">
      <c r="A209">
        <v>8560</v>
      </c>
      <c r="B209" s="11" t="s">
        <v>52</v>
      </c>
    </row>
    <row r="210" spans="1:2" x14ac:dyDescent="0.25">
      <c r="A210">
        <v>8600</v>
      </c>
      <c r="B210" s="11" t="s">
        <v>53</v>
      </c>
    </row>
    <row r="211" spans="1:2" x14ac:dyDescent="0.25">
      <c r="A211">
        <v>8610</v>
      </c>
      <c r="B211" s="11" t="s">
        <v>54</v>
      </c>
    </row>
    <row r="212" spans="1:2" x14ac:dyDescent="0.25">
      <c r="A212">
        <v>8620</v>
      </c>
      <c r="B212" s="11" t="s">
        <v>55</v>
      </c>
    </row>
    <row r="213" spans="1:2" x14ac:dyDescent="0.25">
      <c r="A213">
        <v>9890</v>
      </c>
      <c r="B213" s="11" t="s">
        <v>56</v>
      </c>
    </row>
    <row r="214" spans="1:2" x14ac:dyDescent="0.25">
      <c r="A214">
        <v>9891</v>
      </c>
      <c r="B214" s="11" t="s">
        <v>57</v>
      </c>
    </row>
  </sheetData>
  <sheetProtection sheet="1" objects="1" scenarios="1"/>
  <autoFilter ref="A1:G1"/>
  <sortState ref="A2:C211">
    <sortCondition ref="A2:A211"/>
  </sortState>
  <phoneticPr fontId="14" type="noConversion"/>
  <printOptions gridLines="1"/>
  <pageMargins left="0.74803149606299213" right="0.74803149606299213" top="0.39370078740157483" bottom="0.39370078740157483" header="0.51181102362204722" footer="0.51181102362204722"/>
  <pageSetup paperSize="9" orientation="portrait" verticalDpi="0"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7030A0"/>
    <pageSetUpPr fitToPage="1"/>
  </sheetPr>
  <dimension ref="A2:A30"/>
  <sheetViews>
    <sheetView tabSelected="1" zoomScaleNormal="100" workbookViewId="0">
      <selection activeCell="A14" sqref="A14"/>
    </sheetView>
  </sheetViews>
  <sheetFormatPr defaultColWidth="8.85546875" defaultRowHeight="15" x14ac:dyDescent="0.25"/>
  <cols>
    <col min="1" max="1" width="124.42578125" style="317" customWidth="1"/>
    <col min="2" max="16384" width="8.85546875" style="317"/>
  </cols>
  <sheetData>
    <row r="2" spans="1:1" s="483" customFormat="1" ht="18.75" x14ac:dyDescent="0.3">
      <c r="A2" s="482" t="s">
        <v>2482</v>
      </c>
    </row>
    <row r="3" spans="1:1" s="483" customFormat="1" ht="18.75" x14ac:dyDescent="0.3">
      <c r="A3" s="482"/>
    </row>
    <row r="4" spans="1:1" ht="20.25" customHeight="1" x14ac:dyDescent="0.25">
      <c r="A4" s="504"/>
    </row>
    <row r="5" spans="1:1" ht="58.5" customHeight="1" x14ac:dyDescent="0.25">
      <c r="A5" s="504" t="s">
        <v>2484</v>
      </c>
    </row>
    <row r="6" spans="1:1" ht="122.25" customHeight="1" x14ac:dyDescent="0.25">
      <c r="A6" s="504" t="s">
        <v>2483</v>
      </c>
    </row>
    <row r="7" spans="1:1" ht="63.75" customHeight="1" x14ac:dyDescent="0.25">
      <c r="A7" s="508" t="s">
        <v>2322</v>
      </c>
    </row>
    <row r="8" spans="1:1" ht="43.5" customHeight="1" x14ac:dyDescent="0.25">
      <c r="A8" s="484" t="s">
        <v>2485</v>
      </c>
    </row>
    <row r="9" spans="1:1" ht="71.25" customHeight="1" x14ac:dyDescent="0.25">
      <c r="A9" s="484" t="s">
        <v>2509</v>
      </c>
    </row>
    <row r="10" spans="1:1" ht="59.25" customHeight="1" x14ac:dyDescent="0.25">
      <c r="A10" s="484" t="s">
        <v>2323</v>
      </c>
    </row>
    <row r="11" spans="1:1" ht="59.25" customHeight="1" x14ac:dyDescent="0.25">
      <c r="A11" s="484" t="s">
        <v>2324</v>
      </c>
    </row>
    <row r="12" spans="1:1" ht="59.25" customHeight="1" x14ac:dyDescent="0.25">
      <c r="A12" s="484" t="s">
        <v>2369</v>
      </c>
    </row>
    <row r="13" spans="1:1" ht="97.5" customHeight="1" x14ac:dyDescent="0.25">
      <c r="A13" s="485" t="s">
        <v>2133</v>
      </c>
    </row>
    <row r="14" spans="1:1" ht="71.25" customHeight="1" x14ac:dyDescent="0.25">
      <c r="A14" s="484" t="s">
        <v>1779</v>
      </c>
    </row>
    <row r="15" spans="1:1" ht="65.25" customHeight="1" x14ac:dyDescent="0.25">
      <c r="A15" s="484" t="s">
        <v>897</v>
      </c>
    </row>
    <row r="16" spans="1:1" ht="56.25" customHeight="1" x14ac:dyDescent="0.25">
      <c r="A16" s="484" t="s">
        <v>1333</v>
      </c>
    </row>
    <row r="17" spans="1:1" ht="51" customHeight="1" x14ac:dyDescent="0.25">
      <c r="A17" s="484" t="s">
        <v>1859</v>
      </c>
    </row>
    <row r="18" spans="1:1" ht="15" customHeight="1" x14ac:dyDescent="0.25">
      <c r="A18" s="484"/>
    </row>
    <row r="19" spans="1:1" x14ac:dyDescent="0.25">
      <c r="A19" s="486" t="s">
        <v>1078</v>
      </c>
    </row>
    <row r="20" spans="1:1" x14ac:dyDescent="0.25">
      <c r="A20" s="225" t="s">
        <v>913</v>
      </c>
    </row>
    <row r="21" spans="1:1" x14ac:dyDescent="0.25">
      <c r="A21" s="225"/>
    </row>
    <row r="22" spans="1:1" x14ac:dyDescent="0.25">
      <c r="A22" s="487"/>
    </row>
    <row r="23" spans="1:1" ht="32.25" customHeight="1" x14ac:dyDescent="0.25">
      <c r="A23" s="484"/>
    </row>
    <row r="24" spans="1:1" x14ac:dyDescent="0.25">
      <c r="A24" s="232"/>
    </row>
    <row r="27" spans="1:1" ht="18.75" x14ac:dyDescent="0.25">
      <c r="A27" s="484"/>
    </row>
    <row r="30" spans="1:1" x14ac:dyDescent="0.25">
      <c r="A30" s="318"/>
    </row>
  </sheetData>
  <sheetProtection sheet="1" objects="1" scenarios="1"/>
  <hyperlinks>
    <hyperlink ref="A20" r:id="rId1"/>
  </hyperlinks>
  <pageMargins left="0.70866141732283472" right="0.70866141732283472" top="0.74803149606299213" bottom="0.74803149606299213" header="0.31496062992125984" footer="0.31496062992125984"/>
  <pageSetup paperSize="9" scale="71"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rgb="FFC00000"/>
  </sheetPr>
  <dimension ref="A1:D69"/>
  <sheetViews>
    <sheetView zoomScaleNormal="100" workbookViewId="0">
      <selection activeCell="D32" sqref="D32"/>
    </sheetView>
  </sheetViews>
  <sheetFormatPr defaultColWidth="8.85546875" defaultRowHeight="15" x14ac:dyDescent="0.25"/>
  <cols>
    <col min="1" max="1" width="14" bestFit="1" customWidth="1"/>
    <col min="2" max="2" width="42.5703125" customWidth="1"/>
    <col min="3" max="3" width="5.5703125" customWidth="1"/>
    <col min="4" max="4" width="41.42578125" customWidth="1"/>
  </cols>
  <sheetData>
    <row r="1" spans="1:4" s="1" customFormat="1" ht="14.25" x14ac:dyDescent="0.2">
      <c r="A1" s="233" t="s">
        <v>105</v>
      </c>
      <c r="B1" s="233" t="s">
        <v>155</v>
      </c>
    </row>
    <row r="2" spans="1:4" x14ac:dyDescent="0.25">
      <c r="A2" s="234" t="s">
        <v>117</v>
      </c>
      <c r="B2" s="235" t="s">
        <v>124</v>
      </c>
    </row>
    <row r="3" spans="1:4" x14ac:dyDescent="0.25">
      <c r="A3" s="236" t="s">
        <v>358</v>
      </c>
      <c r="B3" s="235" t="s">
        <v>124</v>
      </c>
    </row>
    <row r="4" spans="1:4" x14ac:dyDescent="0.25">
      <c r="A4" s="236" t="s">
        <v>529</v>
      </c>
      <c r="B4" s="235" t="s">
        <v>124</v>
      </c>
    </row>
    <row r="5" spans="1:4" x14ac:dyDescent="0.25">
      <c r="A5" s="236" t="s">
        <v>356</v>
      </c>
      <c r="B5" s="235" t="s">
        <v>124</v>
      </c>
    </row>
    <row r="6" spans="1:4" x14ac:dyDescent="0.25">
      <c r="A6" s="236" t="s">
        <v>429</v>
      </c>
      <c r="B6" s="235" t="s">
        <v>124</v>
      </c>
    </row>
    <row r="7" spans="1:4" x14ac:dyDescent="0.25">
      <c r="A7" s="237" t="s">
        <v>357</v>
      </c>
      <c r="B7" s="238" t="s">
        <v>912</v>
      </c>
    </row>
    <row r="8" spans="1:4" x14ac:dyDescent="0.25">
      <c r="A8" s="237" t="s">
        <v>114</v>
      </c>
      <c r="B8" s="238" t="s">
        <v>911</v>
      </c>
    </row>
    <row r="9" spans="1:4" x14ac:dyDescent="0.25">
      <c r="A9" s="237" t="s">
        <v>122</v>
      </c>
      <c r="B9" s="238" t="s">
        <v>362</v>
      </c>
    </row>
    <row r="10" spans="1:4" x14ac:dyDescent="0.25">
      <c r="A10" s="237" t="s">
        <v>119</v>
      </c>
      <c r="B10" s="238" t="s">
        <v>363</v>
      </c>
    </row>
    <row r="11" spans="1:4" x14ac:dyDescent="0.25">
      <c r="A11" s="237" t="s">
        <v>118</v>
      </c>
      <c r="B11" s="238" t="s">
        <v>363</v>
      </c>
    </row>
    <row r="12" spans="1:4" x14ac:dyDescent="0.25">
      <c r="A12" s="239" t="s">
        <v>430</v>
      </c>
      <c r="B12" s="235" t="s">
        <v>124</v>
      </c>
    </row>
    <row r="13" spans="1:4" x14ac:dyDescent="0.25">
      <c r="A13" s="239" t="s">
        <v>481</v>
      </c>
      <c r="B13" s="238" t="s">
        <v>904</v>
      </c>
      <c r="D13" s="240" t="s">
        <v>530</v>
      </c>
    </row>
    <row r="14" spans="1:4" x14ac:dyDescent="0.25">
      <c r="A14" s="519" t="s">
        <v>2330</v>
      </c>
      <c r="B14" s="520" t="s">
        <v>1332</v>
      </c>
      <c r="C14" s="244"/>
      <c r="D14" s="521" t="s">
        <v>2331</v>
      </c>
    </row>
    <row r="15" spans="1:4" x14ac:dyDescent="0.25">
      <c r="A15" s="239" t="s">
        <v>482</v>
      </c>
      <c r="B15" s="238" t="s">
        <v>1332</v>
      </c>
      <c r="D15" s="240" t="s">
        <v>530</v>
      </c>
    </row>
    <row r="16" spans="1:4" x14ac:dyDescent="0.25">
      <c r="A16" s="239" t="s">
        <v>483</v>
      </c>
      <c r="B16" s="238" t="s">
        <v>901</v>
      </c>
      <c r="D16" s="240" t="s">
        <v>530</v>
      </c>
    </row>
    <row r="17" spans="1:4" x14ac:dyDescent="0.25">
      <c r="A17" s="239" t="s">
        <v>484</v>
      </c>
      <c r="B17" s="238" t="s">
        <v>900</v>
      </c>
      <c r="D17" s="240" t="s">
        <v>530</v>
      </c>
    </row>
    <row r="18" spans="1:4" x14ac:dyDescent="0.25">
      <c r="A18" s="239" t="s">
        <v>485</v>
      </c>
      <c r="B18" s="238" t="s">
        <v>902</v>
      </c>
      <c r="D18" s="240" t="s">
        <v>530</v>
      </c>
    </row>
    <row r="19" spans="1:4" x14ac:dyDescent="0.25">
      <c r="A19" s="239" t="s">
        <v>523</v>
      </c>
      <c r="B19" s="238" t="s">
        <v>903</v>
      </c>
      <c r="C19" s="18"/>
      <c r="D19" s="240" t="s">
        <v>530</v>
      </c>
    </row>
    <row r="20" spans="1:4" x14ac:dyDescent="0.25">
      <c r="A20" s="239" t="s">
        <v>625</v>
      </c>
      <c r="B20" s="238" t="s">
        <v>907</v>
      </c>
      <c r="C20" s="18"/>
      <c r="D20" s="193" t="s">
        <v>627</v>
      </c>
    </row>
    <row r="21" spans="1:4" x14ac:dyDescent="0.25">
      <c r="A21" s="239" t="s">
        <v>626</v>
      </c>
      <c r="B21" s="238" t="s">
        <v>908</v>
      </c>
      <c r="C21" s="18"/>
      <c r="D21" s="193" t="s">
        <v>628</v>
      </c>
    </row>
    <row r="22" spans="1:4" x14ac:dyDescent="0.25">
      <c r="A22" s="266" t="s">
        <v>1587</v>
      </c>
      <c r="B22" s="267" t="s">
        <v>1604</v>
      </c>
      <c r="C22" s="18"/>
      <c r="D22" s="193"/>
    </row>
    <row r="23" spans="1:4" x14ac:dyDescent="0.25">
      <c r="A23" s="406" t="s">
        <v>2155</v>
      </c>
      <c r="B23" s="407" t="s">
        <v>2154</v>
      </c>
      <c r="C23" s="18"/>
      <c r="D23" s="193" t="s">
        <v>2156</v>
      </c>
    </row>
    <row r="24" spans="1:4" x14ac:dyDescent="0.25">
      <c r="A24" s="234" t="s">
        <v>84</v>
      </c>
      <c r="B24" s="238" t="s">
        <v>1357</v>
      </c>
      <c r="C24" s="18"/>
    </row>
    <row r="25" spans="1:4" x14ac:dyDescent="0.25">
      <c r="A25" s="237" t="s">
        <v>116</v>
      </c>
      <c r="B25" s="238" t="s">
        <v>911</v>
      </c>
      <c r="C25" s="18"/>
    </row>
    <row r="26" spans="1:4" x14ac:dyDescent="0.25">
      <c r="A26" s="234" t="s">
        <v>120</v>
      </c>
      <c r="B26" s="238" t="s">
        <v>909</v>
      </c>
      <c r="C26" s="18"/>
    </row>
    <row r="27" spans="1:4" x14ac:dyDescent="0.25">
      <c r="A27" s="234" t="s">
        <v>115</v>
      </c>
      <c r="B27" s="238" t="s">
        <v>910</v>
      </c>
      <c r="C27" s="18"/>
    </row>
    <row r="28" spans="1:4" x14ac:dyDescent="0.25">
      <c r="A28" s="237" t="s">
        <v>85</v>
      </c>
      <c r="B28" s="238" t="s">
        <v>363</v>
      </c>
      <c r="C28" s="18"/>
    </row>
    <row r="29" spans="1:4" x14ac:dyDescent="0.25">
      <c r="A29" s="239" t="s">
        <v>623</v>
      </c>
      <c r="B29" s="238" t="s">
        <v>906</v>
      </c>
      <c r="C29" s="18"/>
      <c r="D29" s="37" t="s">
        <v>905</v>
      </c>
    </row>
    <row r="30" spans="1:4" x14ac:dyDescent="0.25">
      <c r="A30" s="239" t="s">
        <v>474</v>
      </c>
      <c r="B30" s="235" t="s">
        <v>124</v>
      </c>
      <c r="C30" s="18"/>
    </row>
    <row r="31" spans="1:4" x14ac:dyDescent="0.25">
      <c r="A31" s="239" t="s">
        <v>531</v>
      </c>
      <c r="B31" s="235" t="s">
        <v>124</v>
      </c>
      <c r="C31" s="18"/>
    </row>
    <row r="32" spans="1:4" x14ac:dyDescent="0.25">
      <c r="A32" s="234" t="s">
        <v>364</v>
      </c>
      <c r="B32" s="235" t="s">
        <v>124</v>
      </c>
      <c r="C32" s="18"/>
    </row>
    <row r="33" spans="1:3" x14ac:dyDescent="0.25">
      <c r="A33" s="236" t="s">
        <v>343</v>
      </c>
      <c r="B33" s="235" t="s">
        <v>343</v>
      </c>
      <c r="C33" s="18"/>
    </row>
    <row r="34" spans="1:3" x14ac:dyDescent="0.25">
      <c r="A34" s="234" t="s">
        <v>366</v>
      </c>
      <c r="B34" s="235" t="s">
        <v>124</v>
      </c>
      <c r="C34" s="18"/>
    </row>
    <row r="35" spans="1:3" x14ac:dyDescent="0.25">
      <c r="A35" s="234" t="s">
        <v>365</v>
      </c>
      <c r="B35" s="235" t="s">
        <v>124</v>
      </c>
      <c r="C35" s="18"/>
    </row>
    <row r="36" spans="1:3" x14ac:dyDescent="0.25">
      <c r="A36" s="234" t="s">
        <v>532</v>
      </c>
      <c r="B36" s="235" t="s">
        <v>124</v>
      </c>
      <c r="C36" s="18"/>
    </row>
    <row r="37" spans="1:3" x14ac:dyDescent="0.25">
      <c r="A37" s="18"/>
      <c r="B37" s="18"/>
      <c r="C37" s="18"/>
    </row>
    <row r="38" spans="1:3" x14ac:dyDescent="0.25">
      <c r="A38" s="18"/>
      <c r="B38" s="18"/>
      <c r="C38" s="18"/>
    </row>
    <row r="39" spans="1:3" x14ac:dyDescent="0.25">
      <c r="A39" s="18"/>
      <c r="B39" s="18"/>
      <c r="C39" s="18"/>
    </row>
    <row r="40" spans="1:3" x14ac:dyDescent="0.25">
      <c r="A40" s="18"/>
      <c r="B40" s="18"/>
      <c r="C40" s="18"/>
    </row>
    <row r="41" spans="1:3" x14ac:dyDescent="0.25">
      <c r="A41" s="18"/>
      <c r="B41" s="18"/>
      <c r="C41" s="18"/>
    </row>
    <row r="42" spans="1:3" x14ac:dyDescent="0.25">
      <c r="A42" s="18"/>
      <c r="B42" s="18"/>
      <c r="C42" s="18"/>
    </row>
    <row r="43" spans="1:3" x14ac:dyDescent="0.25">
      <c r="A43" s="18"/>
      <c r="B43" s="18"/>
      <c r="C43" s="18"/>
    </row>
    <row r="44" spans="1:3" x14ac:dyDescent="0.25">
      <c r="A44" s="18"/>
      <c r="B44" s="18"/>
      <c r="C44" s="18"/>
    </row>
    <row r="45" spans="1:3" x14ac:dyDescent="0.25">
      <c r="A45" s="18"/>
      <c r="B45" s="18"/>
      <c r="C45" s="18"/>
    </row>
    <row r="46" spans="1:3" x14ac:dyDescent="0.25">
      <c r="A46" s="18"/>
      <c r="B46" s="18"/>
      <c r="C46" s="18"/>
    </row>
    <row r="47" spans="1:3" x14ac:dyDescent="0.25">
      <c r="A47" s="18"/>
      <c r="B47" s="18"/>
      <c r="C47" s="18"/>
    </row>
    <row r="48" spans="1:3" x14ac:dyDescent="0.25">
      <c r="A48" s="18"/>
      <c r="B48" s="18"/>
      <c r="C48" s="18"/>
    </row>
    <row r="49" spans="1:3" x14ac:dyDescent="0.25">
      <c r="A49" s="18"/>
      <c r="B49" s="18"/>
      <c r="C49" s="18"/>
    </row>
    <row r="50" spans="1:3" x14ac:dyDescent="0.25">
      <c r="A50" s="18"/>
      <c r="B50" s="18"/>
      <c r="C50" s="18"/>
    </row>
    <row r="51" spans="1:3" x14ac:dyDescent="0.25">
      <c r="A51" s="18"/>
      <c r="B51" s="18"/>
      <c r="C51" s="18"/>
    </row>
    <row r="52" spans="1:3" x14ac:dyDescent="0.25">
      <c r="A52" s="18"/>
      <c r="B52" s="18"/>
      <c r="C52" s="18"/>
    </row>
    <row r="53" spans="1:3" x14ac:dyDescent="0.25">
      <c r="A53" s="18"/>
      <c r="B53" s="18"/>
      <c r="C53" s="18"/>
    </row>
    <row r="54" spans="1:3" x14ac:dyDescent="0.25">
      <c r="A54" s="18"/>
      <c r="B54" s="18"/>
      <c r="C54" s="18"/>
    </row>
    <row r="55" spans="1:3" x14ac:dyDescent="0.25">
      <c r="A55" s="18"/>
      <c r="B55" s="18"/>
      <c r="C55" s="18"/>
    </row>
    <row r="56" spans="1:3" x14ac:dyDescent="0.25">
      <c r="A56" s="18"/>
      <c r="B56" s="18"/>
      <c r="C56" s="18"/>
    </row>
    <row r="57" spans="1:3" x14ac:dyDescent="0.25">
      <c r="A57" s="18"/>
      <c r="B57" s="18"/>
      <c r="C57" s="18"/>
    </row>
    <row r="58" spans="1:3" x14ac:dyDescent="0.25">
      <c r="A58" s="18"/>
      <c r="B58" s="18"/>
      <c r="C58" s="18"/>
    </row>
    <row r="59" spans="1:3" x14ac:dyDescent="0.25">
      <c r="A59" s="18"/>
      <c r="B59" s="18"/>
    </row>
    <row r="60" spans="1:3" x14ac:dyDescent="0.25">
      <c r="A60" s="18"/>
      <c r="B60" s="18"/>
    </row>
    <row r="61" spans="1:3" x14ac:dyDescent="0.25">
      <c r="A61" s="18"/>
      <c r="B61" s="18"/>
    </row>
    <row r="62" spans="1:3" x14ac:dyDescent="0.25">
      <c r="A62" s="18"/>
      <c r="B62" s="18"/>
    </row>
    <row r="63" spans="1:3" x14ac:dyDescent="0.25">
      <c r="A63" s="18"/>
      <c r="B63" s="18"/>
    </row>
    <row r="64" spans="1:3" x14ac:dyDescent="0.25">
      <c r="A64" s="18"/>
      <c r="B64" s="18"/>
    </row>
    <row r="65" spans="1:2" x14ac:dyDescent="0.25">
      <c r="A65" s="18"/>
      <c r="B65" s="18"/>
    </row>
    <row r="66" spans="1:2" x14ac:dyDescent="0.25">
      <c r="A66" s="18"/>
      <c r="B66" s="18"/>
    </row>
    <row r="67" spans="1:2" x14ac:dyDescent="0.25">
      <c r="A67" s="18"/>
      <c r="B67" s="18"/>
    </row>
    <row r="68" spans="1:2" x14ac:dyDescent="0.25">
      <c r="A68" s="18"/>
      <c r="B68" s="18"/>
    </row>
    <row r="69" spans="1:2" x14ac:dyDescent="0.25">
      <c r="A69" s="18"/>
      <c r="B69" s="18"/>
    </row>
  </sheetData>
  <sheetProtection sheet="1" objects="1" scenarios="1"/>
  <sortState ref="A2:B56">
    <sortCondition ref="A33"/>
  </sortState>
  <phoneticPr fontId="14"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4">
    <tabColor rgb="FFFF0000"/>
  </sheetPr>
  <dimension ref="A1:C1123"/>
  <sheetViews>
    <sheetView zoomScaleNormal="100" workbookViewId="0">
      <selection activeCell="C509" sqref="C509"/>
    </sheetView>
  </sheetViews>
  <sheetFormatPr defaultColWidth="8.85546875" defaultRowHeight="15" x14ac:dyDescent="0.25"/>
  <cols>
    <col min="1" max="1" width="19.5703125" style="22" customWidth="1"/>
    <col min="2" max="2" width="11.42578125" style="22" bestFit="1" customWidth="1"/>
    <col min="3" max="3" width="30.5703125" style="22" customWidth="1"/>
    <col min="4" max="4" width="3.42578125" customWidth="1"/>
    <col min="5" max="5" width="17.42578125" customWidth="1"/>
  </cols>
  <sheetData>
    <row r="1" spans="1:3" s="1" customFormat="1" ht="14.25" x14ac:dyDescent="0.2">
      <c r="A1" s="199" t="s">
        <v>59</v>
      </c>
      <c r="B1" s="199" t="s">
        <v>153</v>
      </c>
      <c r="C1" s="16" t="s">
        <v>60</v>
      </c>
    </row>
    <row r="2" spans="1:3" s="1" customFormat="1" x14ac:dyDescent="0.25">
      <c r="A2" s="241" t="s">
        <v>1358</v>
      </c>
      <c r="B2" s="241">
        <v>1620</v>
      </c>
      <c r="C2" s="241" t="str">
        <f>VLOOKUP(B2,Orgenheter!$A$1:$B$214,2,0)</f>
        <v>Inst för språkstudier</v>
      </c>
    </row>
    <row r="3" spans="1:3" s="1" customFormat="1" x14ac:dyDescent="0.25">
      <c r="A3" s="241" t="s">
        <v>1360</v>
      </c>
      <c r="B3" s="241">
        <v>1620</v>
      </c>
      <c r="C3" s="241" t="str">
        <f>VLOOKUP(B3,Orgenheter!$A$1:$B$214,2,0)</f>
        <v>Inst för språkstudier</v>
      </c>
    </row>
    <row r="4" spans="1:3" s="1" customFormat="1" x14ac:dyDescent="0.25">
      <c r="A4" s="241" t="s">
        <v>1362</v>
      </c>
      <c r="B4" s="241">
        <v>1620</v>
      </c>
      <c r="C4" s="241" t="str">
        <f>VLOOKUP(B4,Orgenheter!$A$1:$B$214,2,0)</f>
        <v>Inst för språkstudier</v>
      </c>
    </row>
    <row r="5" spans="1:3" s="1" customFormat="1" x14ac:dyDescent="0.25">
      <c r="A5" s="523" t="s">
        <v>2379</v>
      </c>
      <c r="B5" s="522">
        <v>1620</v>
      </c>
      <c r="C5" s="241" t="str">
        <f>VLOOKUP(B5,Orgenheter!$A$1:$B$214,2,0)</f>
        <v>Inst för språkstudier</v>
      </c>
    </row>
    <row r="6" spans="1:3" s="1" customFormat="1" x14ac:dyDescent="0.25">
      <c r="A6" s="523" t="s">
        <v>2380</v>
      </c>
      <c r="B6" s="522">
        <v>1620</v>
      </c>
      <c r="C6" s="241" t="str">
        <f>VLOOKUP(B6,Orgenheter!$A$1:$B$214,2,0)</f>
        <v>Inst för språkstudier</v>
      </c>
    </row>
    <row r="7" spans="1:3" s="1" customFormat="1" x14ac:dyDescent="0.25">
      <c r="A7" s="241" t="s">
        <v>1468</v>
      </c>
      <c r="B7" s="241">
        <v>1620</v>
      </c>
      <c r="C7" s="241" t="str">
        <f>VLOOKUP(B7,Orgenheter!$A$1:$B$214,2,0)</f>
        <v>Inst för språkstudier</v>
      </c>
    </row>
    <row r="8" spans="1:3" s="1" customFormat="1" x14ac:dyDescent="0.25">
      <c r="A8" s="241" t="s">
        <v>1469</v>
      </c>
      <c r="B8" s="241">
        <v>1620</v>
      </c>
      <c r="C8" s="241" t="str">
        <f>VLOOKUP(B8,Orgenheter!$A$1:$B$214,2,0)</f>
        <v>Inst för språkstudier</v>
      </c>
    </row>
    <row r="9" spans="1:3" s="1" customFormat="1" x14ac:dyDescent="0.25">
      <c r="A9" s="241" t="s">
        <v>1470</v>
      </c>
      <c r="B9" s="241">
        <v>1630</v>
      </c>
      <c r="C9" s="241" t="str">
        <f>VLOOKUP(B9,Orgenheter!$A$1:$B$214,2,0)</f>
        <v>Inst för ide- o samhällsstudier</v>
      </c>
    </row>
    <row r="10" spans="1:3" s="1" customFormat="1" x14ac:dyDescent="0.25">
      <c r="A10" s="522" t="s">
        <v>2337</v>
      </c>
      <c r="B10" s="522">
        <v>1630</v>
      </c>
      <c r="C10" s="241" t="str">
        <f>VLOOKUP(B10,Orgenheter!$A$1:$B$214,2,0)</f>
        <v>Inst för ide- o samhällsstudier</v>
      </c>
    </row>
    <row r="11" spans="1:3" s="1" customFormat="1" x14ac:dyDescent="0.25">
      <c r="A11" s="241" t="s">
        <v>1471</v>
      </c>
      <c r="B11" s="241">
        <v>1640</v>
      </c>
      <c r="C11" s="241" t="str">
        <f>VLOOKUP(B11,Orgenheter!$A$1:$B$214,2,0)</f>
        <v>Inst för kultur- o medievetenskap</v>
      </c>
    </row>
    <row r="12" spans="1:3" s="1" customFormat="1" x14ac:dyDescent="0.25">
      <c r="A12" s="241" t="s">
        <v>1067</v>
      </c>
      <c r="B12" s="241">
        <v>1640</v>
      </c>
      <c r="C12" s="241" t="str">
        <f>VLOOKUP(B12,Orgenheter!$A$1:$B$214,2,0)</f>
        <v>Inst för kultur- o medievetenskap</v>
      </c>
    </row>
    <row r="13" spans="1:3" s="1" customFormat="1" x14ac:dyDescent="0.25">
      <c r="A13" s="241" t="s">
        <v>1472</v>
      </c>
      <c r="B13" s="241">
        <v>1620</v>
      </c>
      <c r="C13" s="241" t="str">
        <f>VLOOKUP(B13,Orgenheter!$A$1:$B$214,2,0)</f>
        <v>Inst för språkstudier</v>
      </c>
    </row>
    <row r="14" spans="1:3" s="1" customFormat="1" x14ac:dyDescent="0.25">
      <c r="A14" s="241" t="s">
        <v>1473</v>
      </c>
      <c r="B14" s="241">
        <v>1620</v>
      </c>
      <c r="C14" s="241" t="str">
        <f>VLOOKUP(B14,Orgenheter!$A$1:$B$214,2,0)</f>
        <v>Inst för språkstudier</v>
      </c>
    </row>
    <row r="15" spans="1:3" s="1" customFormat="1" x14ac:dyDescent="0.25">
      <c r="A15" s="241" t="s">
        <v>1364</v>
      </c>
      <c r="B15" s="241">
        <v>1620</v>
      </c>
      <c r="C15" s="241" t="str">
        <f>VLOOKUP(B15,Orgenheter!$A$1:$B$214,2,0)</f>
        <v>Inst för språkstudier</v>
      </c>
    </row>
    <row r="16" spans="1:3" s="1" customFormat="1" x14ac:dyDescent="0.25">
      <c r="A16" s="241" t="s">
        <v>1474</v>
      </c>
      <c r="B16" s="241">
        <v>1620</v>
      </c>
      <c r="C16" s="241" t="str">
        <f>VLOOKUP(B16,Orgenheter!$A$1:$B$214,2,0)</f>
        <v>Inst för språkstudier</v>
      </c>
    </row>
    <row r="17" spans="1:3" s="1" customFormat="1" x14ac:dyDescent="0.25">
      <c r="A17" s="241" t="s">
        <v>1366</v>
      </c>
      <c r="B17" s="241">
        <v>1620</v>
      </c>
      <c r="C17" s="241" t="str">
        <f>VLOOKUP(B17,Orgenheter!$A$1:$B$214,2,0)</f>
        <v>Inst för språkstudier</v>
      </c>
    </row>
    <row r="18" spans="1:3" s="1" customFormat="1" x14ac:dyDescent="0.25">
      <c r="A18" s="374" t="s">
        <v>1943</v>
      </c>
      <c r="B18" s="373">
        <v>2180</v>
      </c>
      <c r="C18" s="241" t="str">
        <f>VLOOKUP(B18,Orgenheter!$A$1:$B$214,2,0)</f>
        <v xml:space="preserve">Pedagogik                     </v>
      </c>
    </row>
    <row r="19" spans="1:3" s="1" customFormat="1" x14ac:dyDescent="0.25">
      <c r="A19" s="374" t="s">
        <v>1927</v>
      </c>
      <c r="B19" s="373">
        <v>2180</v>
      </c>
      <c r="C19" s="241" t="str">
        <f>VLOOKUP(B19,Orgenheter!$A$1:$B$214,2,0)</f>
        <v xml:space="preserve">Pedagogik                     </v>
      </c>
    </row>
    <row r="20" spans="1:3" s="1" customFormat="1" x14ac:dyDescent="0.25">
      <c r="A20" s="241" t="s">
        <v>885</v>
      </c>
      <c r="B20" s="241">
        <v>2193</v>
      </c>
      <c r="C20" s="241" t="str">
        <f>VLOOKUP(B20,Orgenheter!$A$1:$B$214,2,0)</f>
        <v xml:space="preserve">TUV </v>
      </c>
    </row>
    <row r="21" spans="1:3" s="1" customFormat="1" x14ac:dyDescent="0.25">
      <c r="A21" s="241" t="s">
        <v>886</v>
      </c>
      <c r="B21" s="241">
        <v>2193</v>
      </c>
      <c r="C21" s="241" t="str">
        <f>VLOOKUP(B21,Orgenheter!$A$1:$B$214,2,0)</f>
        <v xml:space="preserve">TUV </v>
      </c>
    </row>
    <row r="22" spans="1:3" s="1" customFormat="1" x14ac:dyDescent="0.25">
      <c r="A22" s="241" t="s">
        <v>887</v>
      </c>
      <c r="B22" s="241">
        <v>2193</v>
      </c>
      <c r="C22" s="241" t="str">
        <f>VLOOKUP(B22,Orgenheter!$A$1:$B$214,2,0)</f>
        <v xml:space="preserve">TUV </v>
      </c>
    </row>
    <row r="23" spans="1:3" s="1" customFormat="1" x14ac:dyDescent="0.25">
      <c r="A23" s="241" t="s">
        <v>888</v>
      </c>
      <c r="B23" s="241">
        <v>2193</v>
      </c>
      <c r="C23" s="241" t="str">
        <f>VLOOKUP(B23,Orgenheter!$A$1:$B$214,2,0)</f>
        <v xml:space="preserve">TUV </v>
      </c>
    </row>
    <row r="24" spans="1:3" s="1" customFormat="1" x14ac:dyDescent="0.25">
      <c r="A24" s="241" t="s">
        <v>884</v>
      </c>
      <c r="B24" s="241">
        <v>2193</v>
      </c>
      <c r="C24" s="241" t="str">
        <f>VLOOKUP(B24,Orgenheter!$A$1:$B$214,2,0)</f>
        <v xml:space="preserve">TUV </v>
      </c>
    </row>
    <row r="25" spans="1:3" s="1" customFormat="1" x14ac:dyDescent="0.25">
      <c r="A25" s="523" t="s">
        <v>2381</v>
      </c>
      <c r="B25" s="522">
        <v>2271</v>
      </c>
      <c r="C25" s="241" t="str">
        <f>VLOOKUP(B25,Orgenheter!$A$1:$B$214,2,0)</f>
        <v xml:space="preserve">Nationalekonomi               </v>
      </c>
    </row>
    <row r="26" spans="1:3" s="1" customFormat="1" x14ac:dyDescent="0.25">
      <c r="A26" s="241" t="s">
        <v>1475</v>
      </c>
      <c r="B26" s="241">
        <v>2340</v>
      </c>
      <c r="C26" s="241" t="str">
        <f>VLOOKUP(B26,Orgenheter!$A$1:$B$214,2,0)</f>
        <v xml:space="preserve">Statsvetenskap                </v>
      </c>
    </row>
    <row r="27" spans="1:3" s="1" customFormat="1" x14ac:dyDescent="0.25">
      <c r="A27" s="241" t="s">
        <v>990</v>
      </c>
      <c r="B27" s="241">
        <v>5740</v>
      </c>
      <c r="C27" s="241" t="str">
        <f>VLOOKUP(B27,Orgenheter!$A$1:$B$214,2,0)</f>
        <v>NMD</v>
      </c>
    </row>
    <row r="28" spans="1:3" s="1" customFormat="1" x14ac:dyDescent="0.25">
      <c r="A28" s="241" t="s">
        <v>991</v>
      </c>
      <c r="B28" s="241">
        <v>5740</v>
      </c>
      <c r="C28" s="241" t="str">
        <f>VLOOKUP(B28,Orgenheter!$A$1:$B$214,2,0)</f>
        <v>NMD</v>
      </c>
    </row>
    <row r="29" spans="1:3" s="1" customFormat="1" x14ac:dyDescent="0.25">
      <c r="A29" s="241" t="s">
        <v>992</v>
      </c>
      <c r="B29" s="241">
        <v>5740</v>
      </c>
      <c r="C29" s="241" t="str">
        <f>VLOOKUP(B29,Orgenheter!$A$1:$B$214,2,0)</f>
        <v>NMD</v>
      </c>
    </row>
    <row r="30" spans="1:3" s="1" customFormat="1" x14ac:dyDescent="0.25">
      <c r="A30" s="264" t="s">
        <v>1231</v>
      </c>
      <c r="B30" s="241">
        <v>5740</v>
      </c>
      <c r="C30" s="241" t="str">
        <f>VLOOKUP(B30,Orgenheter!$A$1:$B$214,2,0)</f>
        <v>NMD</v>
      </c>
    </row>
    <row r="31" spans="1:3" s="1" customFormat="1" x14ac:dyDescent="0.25">
      <c r="A31" s="241" t="s">
        <v>993</v>
      </c>
      <c r="B31" s="241">
        <v>5740</v>
      </c>
      <c r="C31" s="241" t="str">
        <f>VLOOKUP(B31,Orgenheter!$A$1:$B$214,2,0)</f>
        <v>NMD</v>
      </c>
    </row>
    <row r="32" spans="1:3" s="1" customFormat="1" x14ac:dyDescent="0.25">
      <c r="A32" s="241" t="s">
        <v>927</v>
      </c>
      <c r="B32" s="241">
        <v>5100</v>
      </c>
      <c r="C32" s="241" t="str">
        <f>VLOOKUP(B32,Orgenheter!$A$1:$B$214,2,0)</f>
        <v>EMG</v>
      </c>
    </row>
    <row r="33" spans="1:3" s="1" customFormat="1" x14ac:dyDescent="0.25">
      <c r="A33" s="241" t="s">
        <v>994</v>
      </c>
      <c r="B33" s="241">
        <v>5160</v>
      </c>
      <c r="C33" s="241" t="str">
        <f>VLOOKUP(B33,Orgenheter!$A$1:$B$214,2,0)</f>
        <v xml:space="preserve">Inst för Fysiologisk botanik  </v>
      </c>
    </row>
    <row r="34" spans="1:3" s="1" customFormat="1" x14ac:dyDescent="0.25">
      <c r="A34" s="241" t="s">
        <v>926</v>
      </c>
      <c r="B34" s="241">
        <v>5100</v>
      </c>
      <c r="C34" s="241" t="str">
        <f>VLOOKUP(B34,Orgenheter!$A$1:$B$214,2,0)</f>
        <v>EMG</v>
      </c>
    </row>
    <row r="35" spans="1:3" s="1" customFormat="1" x14ac:dyDescent="0.25">
      <c r="A35" s="241" t="s">
        <v>928</v>
      </c>
      <c r="B35" s="241">
        <v>5100</v>
      </c>
      <c r="C35" s="241" t="str">
        <f>VLOOKUP(B35,Orgenheter!$A$1:$B$214,2,0)</f>
        <v>EMG</v>
      </c>
    </row>
    <row r="36" spans="1:3" s="1" customFormat="1" x14ac:dyDescent="0.25">
      <c r="A36" s="264" t="s">
        <v>1545</v>
      </c>
      <c r="B36" s="241">
        <v>5100</v>
      </c>
      <c r="C36" s="241" t="str">
        <f>VLOOKUP(B36,Orgenheter!$A$1:$B$214,2,0)</f>
        <v>EMG</v>
      </c>
    </row>
    <row r="37" spans="1:3" s="1" customFormat="1" x14ac:dyDescent="0.25">
      <c r="A37" s="264" t="s">
        <v>1544</v>
      </c>
      <c r="B37" s="241">
        <v>5100</v>
      </c>
      <c r="C37" s="241" t="str">
        <f>VLOOKUP(B37,Orgenheter!$A$1:$B$214,2,0)</f>
        <v>EMG</v>
      </c>
    </row>
    <row r="38" spans="1:3" s="1" customFormat="1" x14ac:dyDescent="0.25">
      <c r="A38" s="491" t="s">
        <v>1526</v>
      </c>
      <c r="B38" s="492">
        <v>5100</v>
      </c>
      <c r="C38" s="241" t="str">
        <f>VLOOKUP(B38,Orgenheter!$A$1:$B$214,2,0)</f>
        <v>EMG</v>
      </c>
    </row>
    <row r="39" spans="1:3" s="1" customFormat="1" x14ac:dyDescent="0.25">
      <c r="A39" s="264" t="s">
        <v>1527</v>
      </c>
      <c r="B39" s="241">
        <v>5100</v>
      </c>
      <c r="C39" s="241" t="str">
        <f>VLOOKUP(B39,Orgenheter!$A$1:$B$214,2,0)</f>
        <v>EMG</v>
      </c>
    </row>
    <row r="40" spans="1:3" s="1" customFormat="1" x14ac:dyDescent="0.25">
      <c r="A40" s="241" t="s">
        <v>1973</v>
      </c>
      <c r="B40" s="241">
        <v>5100</v>
      </c>
      <c r="C40" s="241" t="str">
        <f>VLOOKUP(B40,Orgenheter!$A$1:$B$214,2,0)</f>
        <v>EMG</v>
      </c>
    </row>
    <row r="41" spans="1:3" s="1" customFormat="1" x14ac:dyDescent="0.25">
      <c r="A41" s="264" t="s">
        <v>1972</v>
      </c>
      <c r="B41" s="241">
        <v>5100</v>
      </c>
      <c r="C41" s="241" t="str">
        <f>VLOOKUP(B41,Orgenheter!$A$1:$B$214,2,0)</f>
        <v>EMG</v>
      </c>
    </row>
    <row r="42" spans="1:3" s="1" customFormat="1" x14ac:dyDescent="0.25">
      <c r="A42" s="395" t="s">
        <v>2061</v>
      </c>
      <c r="B42" s="388">
        <v>5700</v>
      </c>
      <c r="C42" s="241" t="str">
        <f>VLOOKUP(B42,Orgenheter!$A$1:$B$214,2,0)</f>
        <v xml:space="preserve">Inst för datavetenskap        </v>
      </c>
    </row>
    <row r="43" spans="1:3" s="1" customFormat="1" x14ac:dyDescent="0.25">
      <c r="A43" s="241" t="s">
        <v>995</v>
      </c>
      <c r="B43" s="241">
        <v>5410</v>
      </c>
      <c r="C43" s="241" t="str">
        <f>VLOOKUP(B43,Orgenheter!$A$1:$B$214,2,0)</f>
        <v>TFE</v>
      </c>
    </row>
    <row r="44" spans="1:3" s="1" customFormat="1" x14ac:dyDescent="0.25">
      <c r="A44" s="241" t="s">
        <v>1113</v>
      </c>
      <c r="B44" s="241">
        <v>5400</v>
      </c>
      <c r="C44" s="241" t="str">
        <f>VLOOKUP(B44,Orgenheter!$A$1:$B$214,2,0)</f>
        <v xml:space="preserve">Inst för Fysik                </v>
      </c>
    </row>
    <row r="45" spans="1:3" s="1" customFormat="1" x14ac:dyDescent="0.25">
      <c r="A45" s="241" t="s">
        <v>348</v>
      </c>
      <c r="B45" s="241">
        <v>5400</v>
      </c>
      <c r="C45" s="241" t="str">
        <f>VLOOKUP(B45,Orgenheter!$A$1:$B$214,2,0)</f>
        <v xml:space="preserve">Inst för Fysik                </v>
      </c>
    </row>
    <row r="46" spans="1:3" s="1" customFormat="1" x14ac:dyDescent="0.25">
      <c r="A46" s="241" t="s">
        <v>996</v>
      </c>
      <c r="B46" s="241">
        <v>5400</v>
      </c>
      <c r="C46" s="241" t="str">
        <f>VLOOKUP(B46,Orgenheter!$A$1:$B$214,2,0)</f>
        <v xml:space="preserve">Inst för Fysik                </v>
      </c>
    </row>
    <row r="47" spans="1:3" s="1" customFormat="1" x14ac:dyDescent="0.25">
      <c r="A47" s="241" t="s">
        <v>1476</v>
      </c>
      <c r="B47" s="241">
        <v>5400</v>
      </c>
      <c r="C47" s="241" t="str">
        <f>VLOOKUP(B47,Orgenheter!$A$1:$B$214,2,0)</f>
        <v xml:space="preserve">Inst för Fysik                </v>
      </c>
    </row>
    <row r="48" spans="1:3" s="1" customFormat="1" x14ac:dyDescent="0.25">
      <c r="A48" s="241" t="s">
        <v>929</v>
      </c>
      <c r="B48" s="241">
        <v>5400</v>
      </c>
      <c r="C48" s="241" t="str">
        <f>VLOOKUP(B48,Orgenheter!$A$1:$B$214,2,0)</f>
        <v xml:space="preserve">Inst för Fysik                </v>
      </c>
    </row>
    <row r="49" spans="1:3" s="1" customFormat="1" x14ac:dyDescent="0.25">
      <c r="A49" s="264" t="s">
        <v>1547</v>
      </c>
      <c r="B49" s="241">
        <v>5400</v>
      </c>
      <c r="C49" s="241" t="str">
        <f>VLOOKUP(B49,Orgenheter!$A$1:$B$214,2,0)</f>
        <v xml:space="preserve">Inst för Fysik                </v>
      </c>
    </row>
    <row r="50" spans="1:3" s="1" customFormat="1" x14ac:dyDescent="0.25">
      <c r="A50" s="241" t="s">
        <v>349</v>
      </c>
      <c r="B50" s="241">
        <v>5400</v>
      </c>
      <c r="C50" s="241" t="str">
        <f>VLOOKUP(B50,Orgenheter!$A$1:$B$214,2,0)</f>
        <v xml:space="preserve">Inst för Fysik                </v>
      </c>
    </row>
    <row r="51" spans="1:3" s="1" customFormat="1" x14ac:dyDescent="0.25">
      <c r="A51" s="241" t="s">
        <v>1741</v>
      </c>
      <c r="B51" s="241">
        <v>5400</v>
      </c>
      <c r="C51" s="241" t="str">
        <f>VLOOKUP(B51,Orgenheter!$A$1:$B$214,2,0)</f>
        <v xml:space="preserve">Inst för Fysik                </v>
      </c>
    </row>
    <row r="52" spans="1:3" s="1" customFormat="1" x14ac:dyDescent="0.25">
      <c r="A52" s="241" t="s">
        <v>997</v>
      </c>
      <c r="B52" s="241">
        <v>5400</v>
      </c>
      <c r="C52" s="241" t="str">
        <f>VLOOKUP(B52,Orgenheter!$A$1:$B$214,2,0)</f>
        <v xml:space="preserve">Inst för Fysik                </v>
      </c>
    </row>
    <row r="53" spans="1:3" s="1" customFormat="1" x14ac:dyDescent="0.25">
      <c r="A53" s="241" t="s">
        <v>998</v>
      </c>
      <c r="B53" s="241">
        <v>5400</v>
      </c>
      <c r="C53" s="241" t="str">
        <f>VLOOKUP(B53,Orgenheter!$A$1:$B$214,2,0)</f>
        <v xml:space="preserve">Inst för Fysik                </v>
      </c>
    </row>
    <row r="54" spans="1:3" s="1" customFormat="1" x14ac:dyDescent="0.25">
      <c r="A54" s="241" t="s">
        <v>1114</v>
      </c>
      <c r="B54" s="241">
        <v>5400</v>
      </c>
      <c r="C54" s="241" t="str">
        <f>VLOOKUP(B54,Orgenheter!$A$1:$B$214,2,0)</f>
        <v xml:space="preserve">Inst för Fysik                </v>
      </c>
    </row>
    <row r="55" spans="1:3" s="1" customFormat="1" x14ac:dyDescent="0.25">
      <c r="A55" s="241" t="s">
        <v>999</v>
      </c>
      <c r="B55" s="241">
        <v>5400</v>
      </c>
      <c r="C55" s="241" t="str">
        <f>VLOOKUP(B55,Orgenheter!$A$1:$B$214,2,0)</f>
        <v xml:space="preserve">Inst för Fysik                </v>
      </c>
    </row>
    <row r="56" spans="1:3" s="1" customFormat="1" x14ac:dyDescent="0.25">
      <c r="A56" s="388" t="s">
        <v>1742</v>
      </c>
      <c r="B56" s="241">
        <v>5400</v>
      </c>
      <c r="C56" s="241" t="str">
        <f>VLOOKUP(B56,Orgenheter!$A$1:$B$214,2,0)</f>
        <v xml:space="preserve">Inst för Fysik                </v>
      </c>
    </row>
    <row r="57" spans="1:3" s="1" customFormat="1" x14ac:dyDescent="0.25">
      <c r="A57" s="241" t="s">
        <v>1053</v>
      </c>
      <c r="B57" s="241">
        <v>5400</v>
      </c>
      <c r="C57" s="241" t="str">
        <f>VLOOKUP(B57,Orgenheter!$A$1:$B$214,2,0)</f>
        <v xml:space="preserve">Inst för Fysik                </v>
      </c>
    </row>
    <row r="58" spans="1:3" s="1" customFormat="1" x14ac:dyDescent="0.25">
      <c r="A58" s="241" t="s">
        <v>1054</v>
      </c>
      <c r="B58" s="241">
        <v>5400</v>
      </c>
      <c r="C58" s="241" t="str">
        <f>VLOOKUP(B58,Orgenheter!$A$1:$B$214,2,0)</f>
        <v xml:space="preserve">Inst för Fysik                </v>
      </c>
    </row>
    <row r="59" spans="1:3" s="1" customFormat="1" x14ac:dyDescent="0.25">
      <c r="A59" s="264" t="s">
        <v>1229</v>
      </c>
      <c r="B59" s="241">
        <v>5400</v>
      </c>
      <c r="C59" s="241" t="str">
        <f>VLOOKUP(B59,Orgenheter!$A$1:$B$214,2,0)</f>
        <v xml:space="preserve">Inst för Fysik                </v>
      </c>
    </row>
    <row r="60" spans="1:3" s="1" customFormat="1" x14ac:dyDescent="0.25">
      <c r="A60" s="241" t="s">
        <v>1115</v>
      </c>
      <c r="B60" s="241">
        <v>5400</v>
      </c>
      <c r="C60" s="241" t="str">
        <f>VLOOKUP(B60,Orgenheter!$A$1:$B$214,2,0)</f>
        <v xml:space="preserve">Inst för Fysik                </v>
      </c>
    </row>
    <row r="61" spans="1:3" s="1" customFormat="1" x14ac:dyDescent="0.25">
      <c r="A61" s="241" t="s">
        <v>1116</v>
      </c>
      <c r="B61" s="241">
        <v>5400</v>
      </c>
      <c r="C61" s="241" t="str">
        <f>VLOOKUP(B61,Orgenheter!$A$1:$B$214,2,0)</f>
        <v xml:space="preserve">Inst för Fysik                </v>
      </c>
    </row>
    <row r="62" spans="1:3" s="1" customFormat="1" x14ac:dyDescent="0.25">
      <c r="A62" s="491" t="s">
        <v>2158</v>
      </c>
      <c r="B62" s="492">
        <v>5400</v>
      </c>
      <c r="C62" s="241" t="str">
        <f>VLOOKUP(B62,Orgenheter!$A$1:$B$214,2,0)</f>
        <v xml:space="preserve">Inst för Fysik                </v>
      </c>
    </row>
    <row r="63" spans="1:3" s="1" customFormat="1" x14ac:dyDescent="0.25">
      <c r="A63" s="241" t="s">
        <v>1696</v>
      </c>
      <c r="B63" s="241">
        <v>5400</v>
      </c>
      <c r="C63" s="241" t="str">
        <f>VLOOKUP(B63,Orgenheter!$A$1:$B$214,2,0)</f>
        <v xml:space="preserve">Inst för Fysik                </v>
      </c>
    </row>
    <row r="64" spans="1:3" s="1" customFormat="1" x14ac:dyDescent="0.25">
      <c r="A64" s="264" t="s">
        <v>1561</v>
      </c>
      <c r="B64" s="241">
        <v>5400</v>
      </c>
      <c r="C64" s="241" t="str">
        <f>VLOOKUP(B64,Orgenheter!$A$1:$B$214,2,0)</f>
        <v xml:space="preserve">Inst för Fysik                </v>
      </c>
    </row>
    <row r="65" spans="1:3" s="1" customFormat="1" x14ac:dyDescent="0.25">
      <c r="A65" s="408" t="s">
        <v>2070</v>
      </c>
      <c r="B65" s="409">
        <v>5400</v>
      </c>
      <c r="C65" s="241" t="str">
        <f>VLOOKUP(B65,Orgenheter!$A$1:$B$214,2,0)</f>
        <v xml:space="preserve">Inst för Fysik                </v>
      </c>
    </row>
    <row r="66" spans="1:3" s="1" customFormat="1" x14ac:dyDescent="0.25">
      <c r="A66" s="367" t="s">
        <v>2059</v>
      </c>
      <c r="B66" s="361">
        <v>5400</v>
      </c>
      <c r="C66" s="241" t="str">
        <f>VLOOKUP(B66,Orgenheter!$A$1:$B$214,2,0)</f>
        <v xml:space="preserve">Inst för Fysik                </v>
      </c>
    </row>
    <row r="67" spans="1:3" s="1" customFormat="1" x14ac:dyDescent="0.25">
      <c r="A67" s="241" t="s">
        <v>2060</v>
      </c>
      <c r="B67" s="241">
        <v>5400</v>
      </c>
      <c r="C67" s="241" t="str">
        <f>VLOOKUP(B67,Orgenheter!$A$1:$B$214,2,0)</f>
        <v xml:space="preserve">Inst för Fysik                </v>
      </c>
    </row>
    <row r="68" spans="1:3" s="1" customFormat="1" x14ac:dyDescent="0.25">
      <c r="A68" s="395" t="s">
        <v>2033</v>
      </c>
      <c r="B68" s="388">
        <v>5400</v>
      </c>
      <c r="C68" s="241" t="str">
        <f>VLOOKUP(B68,Orgenheter!$A$1:$B$214,2,0)</f>
        <v xml:space="preserve">Inst för Fysik                </v>
      </c>
    </row>
    <row r="69" spans="1:3" s="1" customFormat="1" x14ac:dyDescent="0.25">
      <c r="A69" s="491" t="s">
        <v>2159</v>
      </c>
      <c r="B69" s="492">
        <v>5400</v>
      </c>
      <c r="C69" s="241" t="str">
        <f>VLOOKUP(B69,Orgenheter!$A$1:$B$214,2,0)</f>
        <v xml:space="preserve">Inst för Fysik                </v>
      </c>
    </row>
    <row r="70" spans="1:3" s="1" customFormat="1" x14ac:dyDescent="0.25">
      <c r="A70" s="408" t="s">
        <v>2125</v>
      </c>
      <c r="B70" s="409">
        <v>5400</v>
      </c>
      <c r="C70" s="241" t="str">
        <f>VLOOKUP(B70,Orgenheter!$A$1:$B$214,2,0)</f>
        <v xml:space="preserve">Inst för Fysik                </v>
      </c>
    </row>
    <row r="71" spans="1:3" s="1" customFormat="1" x14ac:dyDescent="0.25">
      <c r="A71" s="264" t="s">
        <v>1548</v>
      </c>
      <c r="B71" s="241">
        <v>5400</v>
      </c>
      <c r="C71" s="241" t="str">
        <f>VLOOKUP(B71,Orgenheter!$A$1:$B$214,2,0)</f>
        <v xml:space="preserve">Inst för Fysik                </v>
      </c>
    </row>
    <row r="72" spans="1:3" s="1" customFormat="1" x14ac:dyDescent="0.25">
      <c r="A72" s="241" t="s">
        <v>1000</v>
      </c>
      <c r="B72" s="241">
        <v>5500</v>
      </c>
      <c r="C72" s="241" t="str">
        <f>VLOOKUP(B72,Orgenheter!$A$1:$B$214,2,0)</f>
        <v xml:space="preserve">Kemiska institutionen         </v>
      </c>
    </row>
    <row r="73" spans="1:3" s="1" customFormat="1" x14ac:dyDescent="0.25">
      <c r="A73" s="241" t="s">
        <v>930</v>
      </c>
      <c r="B73" s="241">
        <v>5500</v>
      </c>
      <c r="C73" s="241" t="str">
        <f>VLOOKUP(B73,Orgenheter!$A$1:$B$214,2,0)</f>
        <v xml:space="preserve">Kemiska institutionen         </v>
      </c>
    </row>
    <row r="74" spans="1:3" s="1" customFormat="1" x14ac:dyDescent="0.25">
      <c r="A74" s="264" t="s">
        <v>1743</v>
      </c>
      <c r="B74" s="241">
        <v>5500</v>
      </c>
      <c r="C74" s="241" t="str">
        <f>VLOOKUP(B74,Orgenheter!$A$1:$B$214,2,0)</f>
        <v xml:space="preserve">Kemiska institutionen         </v>
      </c>
    </row>
    <row r="75" spans="1:3" s="1" customFormat="1" x14ac:dyDescent="0.25">
      <c r="A75" s="351" t="s">
        <v>1793</v>
      </c>
      <c r="B75" s="352">
        <v>5500</v>
      </c>
      <c r="C75" s="241" t="str">
        <f>VLOOKUP(B75,Orgenheter!$A$1:$B$214,2,0)</f>
        <v xml:space="preserve">Kemiska institutionen         </v>
      </c>
    </row>
    <row r="76" spans="1:3" s="1" customFormat="1" x14ac:dyDescent="0.25">
      <c r="A76" s="351" t="s">
        <v>1794</v>
      </c>
      <c r="B76" s="352">
        <v>5500</v>
      </c>
      <c r="C76" s="241" t="str">
        <f>VLOOKUP(B76,Orgenheter!$A$1:$B$214,2,0)</f>
        <v xml:space="preserve">Kemiska institutionen         </v>
      </c>
    </row>
    <row r="77" spans="1:3" s="1" customFormat="1" x14ac:dyDescent="0.25">
      <c r="A77" s="241" t="s">
        <v>1001</v>
      </c>
      <c r="B77" s="241">
        <v>5500</v>
      </c>
      <c r="C77" s="241" t="str">
        <f>VLOOKUP(B77,Orgenheter!$A$1:$B$214,2,0)</f>
        <v xml:space="preserve">Kemiska institutionen         </v>
      </c>
    </row>
    <row r="78" spans="1:3" s="1" customFormat="1" x14ac:dyDescent="0.25">
      <c r="A78" s="241" t="s">
        <v>931</v>
      </c>
      <c r="B78" s="241">
        <v>5500</v>
      </c>
      <c r="C78" s="241" t="str">
        <f>VLOOKUP(B78,Orgenheter!$A$1:$B$214,2,0)</f>
        <v xml:space="preserve">Kemiska institutionen         </v>
      </c>
    </row>
    <row r="79" spans="1:3" s="1" customFormat="1" x14ac:dyDescent="0.25">
      <c r="A79" s="388" t="s">
        <v>2062</v>
      </c>
      <c r="B79" s="388">
        <v>5500</v>
      </c>
      <c r="C79" s="241" t="str">
        <f>VLOOKUP(B79,Orgenheter!$A$1:$B$214,2,0)</f>
        <v xml:space="preserve">Kemiska institutionen         </v>
      </c>
    </row>
    <row r="80" spans="1:3" s="1" customFormat="1" x14ac:dyDescent="0.25">
      <c r="A80" s="241" t="s">
        <v>1270</v>
      </c>
      <c r="B80" s="241">
        <v>5500</v>
      </c>
      <c r="C80" s="241" t="str">
        <f>VLOOKUP(B80,Orgenheter!$A$1:$B$214,2,0)</f>
        <v xml:space="preserve">Kemiska institutionen         </v>
      </c>
    </row>
    <row r="81" spans="1:3" s="1" customFormat="1" x14ac:dyDescent="0.25">
      <c r="A81" s="352" t="s">
        <v>1795</v>
      </c>
      <c r="B81" s="352">
        <v>5500</v>
      </c>
      <c r="C81" s="241" t="str">
        <f>VLOOKUP(B81,Orgenheter!$A$1:$B$214,2,0)</f>
        <v xml:space="preserve">Kemiska institutionen         </v>
      </c>
    </row>
    <row r="82" spans="1:3" s="1" customFormat="1" x14ac:dyDescent="0.25">
      <c r="A82" s="361" t="s">
        <v>1892</v>
      </c>
      <c r="B82" s="361">
        <v>5500</v>
      </c>
      <c r="C82" s="241" t="str">
        <f>VLOOKUP(B82,Orgenheter!$A$1:$B$214,2,0)</f>
        <v xml:space="preserve">Kemiska institutionen         </v>
      </c>
    </row>
    <row r="83" spans="1:3" s="1" customFormat="1" x14ac:dyDescent="0.25">
      <c r="A83" s="395" t="s">
        <v>2035</v>
      </c>
      <c r="B83" s="361">
        <v>5500</v>
      </c>
      <c r="C83" s="241" t="str">
        <f>VLOOKUP(B83,Orgenheter!$A$1:$B$214,2,0)</f>
        <v xml:space="preserve">Kemiska institutionen         </v>
      </c>
    </row>
    <row r="84" spans="1:3" s="1" customFormat="1" x14ac:dyDescent="0.25">
      <c r="A84" s="523" t="s">
        <v>2338</v>
      </c>
      <c r="B84" s="522">
        <v>5500</v>
      </c>
      <c r="C84" s="241" t="str">
        <f>VLOOKUP(B84,Orgenheter!$A$1:$B$214,2,0)</f>
        <v xml:space="preserve">Kemiska institutionen         </v>
      </c>
    </row>
    <row r="85" spans="1:3" s="1" customFormat="1" x14ac:dyDescent="0.25">
      <c r="A85" s="523" t="s">
        <v>2339</v>
      </c>
      <c r="B85" s="522">
        <v>5500</v>
      </c>
      <c r="C85" s="241" t="str">
        <f>VLOOKUP(B85,Orgenheter!$A$1:$B$214,2,0)</f>
        <v xml:space="preserve">Kemiska institutionen         </v>
      </c>
    </row>
    <row r="86" spans="1:3" s="1" customFormat="1" x14ac:dyDescent="0.25">
      <c r="A86" s="523" t="s">
        <v>2340</v>
      </c>
      <c r="B86" s="522">
        <v>5500</v>
      </c>
      <c r="C86" s="241" t="str">
        <f>VLOOKUP(B86,Orgenheter!$A$1:$B$214,2,0)</f>
        <v xml:space="preserve">Kemiska institutionen         </v>
      </c>
    </row>
    <row r="87" spans="1:3" s="1" customFormat="1" x14ac:dyDescent="0.25">
      <c r="A87" s="264" t="s">
        <v>1546</v>
      </c>
      <c r="B87" s="241">
        <v>5730</v>
      </c>
      <c r="C87" s="241" t="str">
        <f>VLOOKUP(B87,Orgenheter!$A$1:$B$214,2,0)</f>
        <v>Inst för MA och MA statistik</v>
      </c>
    </row>
    <row r="88" spans="1:3" s="1" customFormat="1" x14ac:dyDescent="0.25">
      <c r="A88" s="395" t="s">
        <v>2037</v>
      </c>
      <c r="B88" s="388">
        <v>5730</v>
      </c>
      <c r="C88" s="241" t="str">
        <f>VLOOKUP(B88,Orgenheter!$A$1:$B$214,2,0)</f>
        <v>Inst för MA och MA statistik</v>
      </c>
    </row>
    <row r="89" spans="1:3" s="1" customFormat="1" x14ac:dyDescent="0.25">
      <c r="A89" s="523" t="s">
        <v>2382</v>
      </c>
      <c r="B89" s="522">
        <v>5730</v>
      </c>
      <c r="C89" s="241" t="str">
        <f>VLOOKUP(B89,Orgenheter!$A$1:$B$214,2,0)</f>
        <v>Inst för MA och MA statistik</v>
      </c>
    </row>
    <row r="90" spans="1:3" s="1" customFormat="1" x14ac:dyDescent="0.25">
      <c r="A90" s="241" t="s">
        <v>1493</v>
      </c>
      <c r="B90" s="241">
        <v>5730</v>
      </c>
      <c r="C90" s="241" t="str">
        <f>VLOOKUP(B90,Orgenheter!$A$1:$B$214,2,0)</f>
        <v>Inst för MA och MA statistik</v>
      </c>
    </row>
    <row r="91" spans="1:3" s="1" customFormat="1" x14ac:dyDescent="0.25">
      <c r="A91" s="241" t="s">
        <v>1494</v>
      </c>
      <c r="B91" s="241">
        <v>5730</v>
      </c>
      <c r="C91" s="241" t="str">
        <f>VLOOKUP(B91,Orgenheter!$A$1:$B$214,2,0)</f>
        <v>Inst för MA och MA statistik</v>
      </c>
    </row>
    <row r="92" spans="1:3" s="1" customFormat="1" x14ac:dyDescent="0.25">
      <c r="A92" s="241" t="s">
        <v>1002</v>
      </c>
      <c r="B92" s="241">
        <v>5740</v>
      </c>
      <c r="C92" s="241" t="str">
        <f>VLOOKUP(B92,Orgenheter!$A$1:$B$214,2,0)</f>
        <v>NMD</v>
      </c>
    </row>
    <row r="93" spans="1:3" s="1" customFormat="1" x14ac:dyDescent="0.25">
      <c r="A93" s="409" t="s">
        <v>2068</v>
      </c>
      <c r="B93" s="409">
        <v>6000</v>
      </c>
      <c r="C93" s="241" t="str">
        <f>VLOOKUP(B93,Orgenheter!$A$1:$B$214,2,0)</f>
        <v xml:space="preserve">Lärarutbildningarna gem       </v>
      </c>
    </row>
    <row r="94" spans="1:3" s="1" customFormat="1" x14ac:dyDescent="0.25">
      <c r="A94" s="409" t="s">
        <v>2069</v>
      </c>
      <c r="B94" s="409">
        <v>6000</v>
      </c>
      <c r="C94" s="241" t="str">
        <f>VLOOKUP(B94,Orgenheter!$A$1:$B$214,2,0)</f>
        <v xml:space="preserve">Lärarutbildningarna gem       </v>
      </c>
    </row>
    <row r="95" spans="1:3" s="1" customFormat="1" x14ac:dyDescent="0.25">
      <c r="A95" s="491" t="s">
        <v>2198</v>
      </c>
      <c r="B95" s="492">
        <v>6000</v>
      </c>
      <c r="C95" s="241" t="str">
        <f>VLOOKUP(B95,Orgenheter!$A$1:$B$214,2,0)</f>
        <v xml:space="preserve">Lärarutbildningarna gem       </v>
      </c>
    </row>
    <row r="96" spans="1:3" s="1" customFormat="1" x14ac:dyDescent="0.25">
      <c r="A96" s="367" t="s">
        <v>1893</v>
      </c>
      <c r="B96" s="361">
        <v>6000</v>
      </c>
      <c r="C96" s="241" t="str">
        <f>VLOOKUP(B96,Orgenheter!$A$1:$B$214,2,0)</f>
        <v xml:space="preserve">Lärarutbildningarna gem       </v>
      </c>
    </row>
    <row r="97" spans="1:3" s="1" customFormat="1" x14ac:dyDescent="0.25">
      <c r="A97" s="293" t="s">
        <v>1449</v>
      </c>
      <c r="B97" s="241">
        <v>5740</v>
      </c>
      <c r="C97" s="241" t="str">
        <f>VLOOKUP(B97,Orgenheter!$A$1:$B$214,2,0)</f>
        <v>NMD</v>
      </c>
    </row>
    <row r="98" spans="1:3" ht="12.95" customHeight="1" x14ac:dyDescent="0.25">
      <c r="A98" s="293" t="s">
        <v>1894</v>
      </c>
      <c r="B98" s="241">
        <v>5740</v>
      </c>
      <c r="C98" s="241" t="str">
        <f>VLOOKUP(B98,Orgenheter!$A$1:$B$214,2,0)</f>
        <v>NMD</v>
      </c>
    </row>
    <row r="99" spans="1:3" ht="12.95" customHeight="1" x14ac:dyDescent="0.25">
      <c r="A99" s="293" t="s">
        <v>1883</v>
      </c>
      <c r="B99" s="241">
        <v>5100</v>
      </c>
      <c r="C99" s="241" t="str">
        <f>VLOOKUP(B99,Orgenheter!$A$1:$B$214,2,0)</f>
        <v>EMG</v>
      </c>
    </row>
    <row r="100" spans="1:3" ht="12.95" customHeight="1" x14ac:dyDescent="0.25">
      <c r="A100" s="493" t="s">
        <v>1874</v>
      </c>
      <c r="B100" s="492">
        <v>5100</v>
      </c>
      <c r="C100" s="241" t="str">
        <f>VLOOKUP(B100,Orgenheter!$A$1:$B$214,2,0)</f>
        <v>EMG</v>
      </c>
    </row>
    <row r="101" spans="1:3" ht="12.95" customHeight="1" x14ac:dyDescent="0.25">
      <c r="A101" s="365" t="s">
        <v>2144</v>
      </c>
      <c r="B101" s="361">
        <v>5100</v>
      </c>
      <c r="C101" s="241" t="str">
        <f>VLOOKUP(B101,Orgenheter!$A$1:$B$214,2,0)</f>
        <v>EMG</v>
      </c>
    </row>
    <row r="102" spans="1:3" s="1" customFormat="1" x14ac:dyDescent="0.25">
      <c r="A102" s="60" t="s">
        <v>2143</v>
      </c>
      <c r="B102" s="241">
        <v>5100</v>
      </c>
      <c r="C102" s="241" t="str">
        <f>VLOOKUP(B102,Orgenheter!$A$1:$B$214,2,0)</f>
        <v>EMG</v>
      </c>
    </row>
    <row r="103" spans="1:3" ht="12.95" customHeight="1" x14ac:dyDescent="0.25">
      <c r="A103" s="245" t="s">
        <v>1459</v>
      </c>
      <c r="B103" s="243">
        <v>5740</v>
      </c>
      <c r="C103" s="241" t="str">
        <f>VLOOKUP(B103,Orgenheter!$A$1:$B$214,2,0)</f>
        <v>NMD</v>
      </c>
    </row>
    <row r="104" spans="1:3" ht="12.95" customHeight="1" x14ac:dyDescent="0.25">
      <c r="A104" s="363" t="s">
        <v>1460</v>
      </c>
      <c r="B104" s="364">
        <v>5740</v>
      </c>
      <c r="C104" s="241" t="str">
        <f>VLOOKUP(B104,Orgenheter!$A$1:$B$214,2,0)</f>
        <v>NMD</v>
      </c>
    </row>
    <row r="105" spans="1:3" ht="12.95" customHeight="1" x14ac:dyDescent="0.25">
      <c r="A105" s="363" t="s">
        <v>1461</v>
      </c>
      <c r="B105" s="364">
        <v>5740</v>
      </c>
      <c r="C105" s="241" t="str">
        <f>VLOOKUP(B105,Orgenheter!$A$1:$B$214,2,0)</f>
        <v>NMD</v>
      </c>
    </row>
    <row r="106" spans="1:3" ht="12.95" customHeight="1" x14ac:dyDescent="0.25">
      <c r="A106" s="367" t="s">
        <v>1232</v>
      </c>
      <c r="B106" s="361">
        <v>5100</v>
      </c>
      <c r="C106" s="241" t="str">
        <f>VLOOKUP(B106,Orgenheter!$A$1:$B$214,2,0)</f>
        <v>EMG</v>
      </c>
    </row>
    <row r="107" spans="1:3" x14ac:dyDescent="0.25">
      <c r="A107" s="241" t="s">
        <v>1003</v>
      </c>
      <c r="B107" s="241">
        <v>5100</v>
      </c>
      <c r="C107" s="241" t="str">
        <f>VLOOKUP(B107,Orgenheter!$A$1:$B$214,2,0)</f>
        <v>EMG</v>
      </c>
    </row>
    <row r="108" spans="1:3" ht="15.75" x14ac:dyDescent="0.25">
      <c r="A108" s="245" t="s">
        <v>1003</v>
      </c>
      <c r="B108" s="243">
        <v>5100</v>
      </c>
      <c r="C108" s="241" t="str">
        <f>VLOOKUP(B108,Orgenheter!$A$1:$B$214,2,0)</f>
        <v>EMG</v>
      </c>
    </row>
    <row r="109" spans="1:3" x14ac:dyDescent="0.25">
      <c r="A109" s="293" t="s">
        <v>1233</v>
      </c>
      <c r="B109" s="241">
        <v>5100</v>
      </c>
      <c r="C109" s="241" t="str">
        <f>VLOOKUP(B109,Orgenheter!$A$1:$B$214,2,0)</f>
        <v>EMG</v>
      </c>
    </row>
    <row r="110" spans="1:3" x14ac:dyDescent="0.25">
      <c r="A110" s="241" t="s">
        <v>766</v>
      </c>
      <c r="B110" s="241">
        <v>5100</v>
      </c>
      <c r="C110" s="241" t="str">
        <f>VLOOKUP(B110,Orgenheter!$A$1:$B$214,2,0)</f>
        <v>EMG</v>
      </c>
    </row>
    <row r="111" spans="1:3" ht="15.75" x14ac:dyDescent="0.25">
      <c r="A111" s="245" t="s">
        <v>1367</v>
      </c>
      <c r="B111" s="243">
        <v>5740</v>
      </c>
      <c r="C111" s="241" t="str">
        <f>VLOOKUP(B111,Orgenheter!$A$1:$B$214,2,0)</f>
        <v>NMD</v>
      </c>
    </row>
    <row r="112" spans="1:3" ht="12.95" customHeight="1" x14ac:dyDescent="0.25">
      <c r="A112" s="293" t="s">
        <v>1368</v>
      </c>
      <c r="B112" s="241">
        <v>5740</v>
      </c>
      <c r="C112" s="241" t="str">
        <f>VLOOKUP(B112,Orgenheter!$A$1:$B$214,2,0)</f>
        <v>NMD</v>
      </c>
    </row>
    <row r="113" spans="1:3" ht="12.95" customHeight="1" x14ac:dyDescent="0.25">
      <c r="A113" s="293" t="s">
        <v>1369</v>
      </c>
      <c r="B113" s="241">
        <v>5740</v>
      </c>
      <c r="C113" s="241" t="str">
        <f>VLOOKUP(B113,Orgenheter!$A$1:$B$214,2,0)</f>
        <v>NMD</v>
      </c>
    </row>
    <row r="114" spans="1:3" ht="12.95" customHeight="1" x14ac:dyDescent="0.25">
      <c r="A114" s="293" t="s">
        <v>1370</v>
      </c>
      <c r="B114" s="241">
        <v>5740</v>
      </c>
      <c r="C114" s="241" t="str">
        <f>VLOOKUP(B114,Orgenheter!$A$1:$B$214,2,0)</f>
        <v>NMD</v>
      </c>
    </row>
    <row r="115" spans="1:3" ht="12.95" customHeight="1" x14ac:dyDescent="0.25">
      <c r="A115" s="374" t="s">
        <v>1928</v>
      </c>
      <c r="B115" s="373">
        <v>5700</v>
      </c>
      <c r="C115" s="241" t="str">
        <f>VLOOKUP(B115,Orgenheter!$A$1:$B$214,2,0)</f>
        <v xml:space="preserve">Inst för datavetenskap        </v>
      </c>
    </row>
    <row r="116" spans="1:3" ht="12.95" customHeight="1" x14ac:dyDescent="0.25">
      <c r="A116" s="247" t="s">
        <v>66</v>
      </c>
      <c r="B116" s="247">
        <v>1620</v>
      </c>
      <c r="C116" s="241" t="str">
        <f>VLOOKUP(B116,Orgenheter!$A$1:$B$214,2,0)</f>
        <v>Inst för språkstudier</v>
      </c>
    </row>
    <row r="117" spans="1:3" ht="12.95" customHeight="1" x14ac:dyDescent="0.25">
      <c r="A117" s="241" t="s">
        <v>89</v>
      </c>
      <c r="B117" s="241">
        <v>1620</v>
      </c>
      <c r="C117" s="241" t="str">
        <f>VLOOKUP(B117,Orgenheter!$A$1:$B$214,2,0)</f>
        <v>Inst för språkstudier</v>
      </c>
    </row>
    <row r="118" spans="1:3" ht="12.95" customHeight="1" x14ac:dyDescent="0.25">
      <c r="A118" s="247" t="s">
        <v>367</v>
      </c>
      <c r="B118" s="241">
        <v>1620</v>
      </c>
      <c r="C118" s="241" t="str">
        <f>VLOOKUP(B118,Orgenheter!$A$1:$B$214,2,0)</f>
        <v>Inst för språkstudier</v>
      </c>
    </row>
    <row r="119" spans="1:3" ht="12.95" customHeight="1" x14ac:dyDescent="0.25">
      <c r="A119" s="246" t="s">
        <v>486</v>
      </c>
      <c r="B119" s="243">
        <v>1620</v>
      </c>
      <c r="C119" s="241" t="str">
        <f>VLOOKUP(B119,Orgenheter!$A$1:$B$214,2,0)</f>
        <v>Inst för språkstudier</v>
      </c>
    </row>
    <row r="120" spans="1:3" ht="12.95" customHeight="1" x14ac:dyDescent="0.25">
      <c r="A120" s="246" t="s">
        <v>487</v>
      </c>
      <c r="B120" s="243">
        <v>1620</v>
      </c>
      <c r="C120" s="241" t="str">
        <f>VLOOKUP(B120,Orgenheter!$A$1:$B$214,2,0)</f>
        <v>Inst för språkstudier</v>
      </c>
    </row>
    <row r="121" spans="1:3" ht="12.95" customHeight="1" x14ac:dyDescent="0.25">
      <c r="A121" s="246" t="s">
        <v>488</v>
      </c>
      <c r="B121" s="243">
        <v>1620</v>
      </c>
      <c r="C121" s="241" t="str">
        <f>VLOOKUP(B121,Orgenheter!$A$1:$B$214,2,0)</f>
        <v>Inst för språkstudier</v>
      </c>
    </row>
    <row r="122" spans="1:3" ht="12.95" customHeight="1" x14ac:dyDescent="0.25">
      <c r="A122" s="246" t="s">
        <v>489</v>
      </c>
      <c r="B122" s="243">
        <v>1620</v>
      </c>
      <c r="C122" s="241" t="str">
        <f>VLOOKUP(B122,Orgenheter!$A$1:$B$214,2,0)</f>
        <v>Inst för språkstudier</v>
      </c>
    </row>
    <row r="123" spans="1:3" ht="12.95" customHeight="1" x14ac:dyDescent="0.25">
      <c r="A123" s="246" t="s">
        <v>577</v>
      </c>
      <c r="B123" s="243">
        <v>1620</v>
      </c>
      <c r="C123" s="241" t="str">
        <f>VLOOKUP(B123,Orgenheter!$A$1:$B$214,2,0)</f>
        <v>Inst för språkstudier</v>
      </c>
    </row>
    <row r="124" spans="1:3" ht="12.95" customHeight="1" x14ac:dyDescent="0.25">
      <c r="A124" s="246" t="s">
        <v>490</v>
      </c>
      <c r="B124" s="243">
        <v>1620</v>
      </c>
      <c r="C124" s="241" t="str">
        <f>VLOOKUP(B124,Orgenheter!$A$1:$B$214,2,0)</f>
        <v>Inst för språkstudier</v>
      </c>
    </row>
    <row r="125" spans="1:3" ht="15.75" x14ac:dyDescent="0.25">
      <c r="A125" s="246" t="s">
        <v>491</v>
      </c>
      <c r="B125" s="243">
        <v>1620</v>
      </c>
      <c r="C125" s="241" t="str">
        <f>VLOOKUP(B125,Orgenheter!$A$1:$B$214,2,0)</f>
        <v>Inst för språkstudier</v>
      </c>
    </row>
    <row r="126" spans="1:3" ht="15.75" x14ac:dyDescent="0.25">
      <c r="A126" s="246" t="s">
        <v>578</v>
      </c>
      <c r="B126" s="243">
        <v>1620</v>
      </c>
      <c r="C126" s="241" t="str">
        <f>VLOOKUP(B126,Orgenheter!$A$1:$B$214,2,0)</f>
        <v>Inst för språkstudier</v>
      </c>
    </row>
    <row r="127" spans="1:3" ht="15.75" x14ac:dyDescent="0.25">
      <c r="A127" s="246" t="s">
        <v>1004</v>
      </c>
      <c r="B127" s="243">
        <v>1620</v>
      </c>
      <c r="C127" s="241" t="str">
        <f>VLOOKUP(B127,Orgenheter!$A$1:$B$214,2,0)</f>
        <v>Inst för språkstudier</v>
      </c>
    </row>
    <row r="128" spans="1:3" ht="15.75" x14ac:dyDescent="0.25">
      <c r="A128" s="246" t="s">
        <v>1698</v>
      </c>
      <c r="B128" s="243">
        <v>1620</v>
      </c>
      <c r="C128" s="241" t="str">
        <f>VLOOKUP(B128,Orgenheter!$A$1:$B$214,2,0)</f>
        <v>Inst för språkstudier</v>
      </c>
    </row>
    <row r="129" spans="1:3" ht="15.75" x14ac:dyDescent="0.25">
      <c r="A129" s="246" t="s">
        <v>1699</v>
      </c>
      <c r="B129" s="243">
        <v>1620</v>
      </c>
      <c r="C129" s="241" t="str">
        <f>VLOOKUP(B129,Orgenheter!$A$1:$B$214,2,0)</f>
        <v>Inst för språkstudier</v>
      </c>
    </row>
    <row r="130" spans="1:3" x14ac:dyDescent="0.25">
      <c r="A130" s="221" t="s">
        <v>1837</v>
      </c>
      <c r="B130" s="243">
        <v>1620</v>
      </c>
      <c r="C130" s="241" t="str">
        <f>VLOOKUP(B130,Orgenheter!$A$1:$B$214,2,0)</f>
        <v>Inst för språkstudier</v>
      </c>
    </row>
    <row r="131" spans="1:3" ht="12.95" customHeight="1" x14ac:dyDescent="0.25">
      <c r="A131" s="246" t="s">
        <v>1855</v>
      </c>
      <c r="B131" s="243">
        <v>1620</v>
      </c>
      <c r="C131" s="241" t="str">
        <f>VLOOKUP(B131,Orgenheter!$A$1:$B$214,2,0)</f>
        <v>Inst för språkstudier</v>
      </c>
    </row>
    <row r="132" spans="1:3" ht="12.95" customHeight="1" x14ac:dyDescent="0.25">
      <c r="A132" s="246" t="s">
        <v>1856</v>
      </c>
      <c r="B132" s="243">
        <v>1620</v>
      </c>
      <c r="C132" s="241" t="str">
        <f>VLOOKUP(B132,Orgenheter!$A$1:$B$214,2,0)</f>
        <v>Inst för språkstudier</v>
      </c>
    </row>
    <row r="133" spans="1:3" ht="12.95" customHeight="1" x14ac:dyDescent="0.25">
      <c r="A133" s="371" t="s">
        <v>1924</v>
      </c>
      <c r="B133" s="372">
        <v>1620</v>
      </c>
      <c r="C133" s="241" t="str">
        <f>VLOOKUP(B133,Orgenheter!$A$1:$B$214,2,0)</f>
        <v>Inst för språkstudier</v>
      </c>
    </row>
    <row r="134" spans="1:3" ht="12.95" customHeight="1" x14ac:dyDescent="0.25">
      <c r="A134" s="371" t="s">
        <v>1925</v>
      </c>
      <c r="B134" s="372">
        <v>1620</v>
      </c>
      <c r="C134" s="241" t="str">
        <f>VLOOKUP(B134,Orgenheter!$A$1:$B$214,2,0)</f>
        <v>Inst för språkstudier</v>
      </c>
    </row>
    <row r="135" spans="1:3" ht="12.95" customHeight="1" x14ac:dyDescent="0.25">
      <c r="A135" s="371" t="s">
        <v>1926</v>
      </c>
      <c r="B135" s="372">
        <v>1620</v>
      </c>
      <c r="C135" s="241" t="str">
        <f>VLOOKUP(B135,Orgenheter!$A$1:$B$214,2,0)</f>
        <v>Inst för språkstudier</v>
      </c>
    </row>
    <row r="136" spans="1:3" ht="12.95" customHeight="1" x14ac:dyDescent="0.25">
      <c r="A136" s="410" t="s">
        <v>2118</v>
      </c>
      <c r="B136" s="411">
        <v>1620</v>
      </c>
      <c r="C136" s="241" t="str">
        <f>VLOOKUP(B136,Orgenheter!$A$1:$B$214,2,0)</f>
        <v>Inst för språkstudier</v>
      </c>
    </row>
    <row r="137" spans="1:3" ht="12.95" customHeight="1" x14ac:dyDescent="0.25">
      <c r="A137" s="410" t="s">
        <v>2071</v>
      </c>
      <c r="B137" s="411">
        <v>1620</v>
      </c>
      <c r="C137" s="241" t="str">
        <f>VLOOKUP(B137,Orgenheter!$A$1:$B$214,2,0)</f>
        <v>Inst för språkstudier</v>
      </c>
    </row>
    <row r="138" spans="1:3" ht="12.95" customHeight="1" x14ac:dyDescent="0.25">
      <c r="A138" s="514" t="s">
        <v>2228</v>
      </c>
      <c r="B138" s="509">
        <v>1620</v>
      </c>
      <c r="C138" s="241" t="str">
        <f>VLOOKUP(B138,Orgenheter!$A$1:$B$214,2,0)</f>
        <v>Inst för språkstudier</v>
      </c>
    </row>
    <row r="139" spans="1:3" ht="15.75" x14ac:dyDescent="0.25">
      <c r="A139" s="246" t="s">
        <v>1234</v>
      </c>
      <c r="B139" s="243">
        <v>1620</v>
      </c>
      <c r="C139" s="241" t="str">
        <f>VLOOKUP(B139,Orgenheter!$A$1:$B$214,2,0)</f>
        <v>Inst för språkstudier</v>
      </c>
    </row>
    <row r="140" spans="1:3" ht="12.95" customHeight="1" x14ac:dyDescent="0.25">
      <c r="A140" s="241" t="s">
        <v>67</v>
      </c>
      <c r="B140" s="241">
        <v>1650</v>
      </c>
      <c r="C140" s="241" t="str">
        <f>VLOOKUP(B140,Orgenheter!$A$1:$B$214,2,0)</f>
        <v xml:space="preserve">Estetiska ämnen               </v>
      </c>
    </row>
    <row r="141" spans="1:3" ht="12.95" customHeight="1" x14ac:dyDescent="0.25">
      <c r="A141" s="241" t="s">
        <v>83</v>
      </c>
      <c r="B141" s="241">
        <v>1650</v>
      </c>
      <c r="C141" s="241" t="str">
        <f>VLOOKUP(B141,Orgenheter!$A$1:$B$214,2,0)</f>
        <v xml:space="preserve">Estetiska ämnen               </v>
      </c>
    </row>
    <row r="142" spans="1:3" ht="12.95" customHeight="1" x14ac:dyDescent="0.25">
      <c r="A142" s="241" t="s">
        <v>336</v>
      </c>
      <c r="B142" s="241">
        <v>1650</v>
      </c>
      <c r="C142" s="241" t="str">
        <f>VLOOKUP(B142,Orgenheter!$A$1:$B$214,2,0)</f>
        <v xml:space="preserve">Estetiska ämnen               </v>
      </c>
    </row>
    <row r="143" spans="1:3" x14ac:dyDescent="0.25">
      <c r="A143" s="247" t="s">
        <v>65</v>
      </c>
      <c r="B143" s="241">
        <v>1650</v>
      </c>
      <c r="C143" s="241" t="str">
        <f>VLOOKUP(B143,Orgenheter!$A$1:$B$214,2,0)</f>
        <v xml:space="preserve">Estetiska ämnen               </v>
      </c>
    </row>
    <row r="144" spans="1:3" x14ac:dyDescent="0.25">
      <c r="A144" s="412" t="s">
        <v>2104</v>
      </c>
      <c r="B144" s="409">
        <v>1650</v>
      </c>
      <c r="C144" s="241" t="str">
        <f>VLOOKUP(B144,Orgenheter!$A$1:$B$214,2,0)</f>
        <v xml:space="preserve">Estetiska ämnen               </v>
      </c>
    </row>
    <row r="145" spans="1:3" x14ac:dyDescent="0.25">
      <c r="A145" s="241" t="s">
        <v>400</v>
      </c>
      <c r="B145" s="241">
        <v>1650</v>
      </c>
      <c r="C145" s="241" t="str">
        <f>VLOOKUP(B145,Orgenheter!$A$1:$B$214,2,0)</f>
        <v xml:space="preserve">Estetiska ämnen               </v>
      </c>
    </row>
    <row r="146" spans="1:3" x14ac:dyDescent="0.25">
      <c r="A146" s="241" t="s">
        <v>475</v>
      </c>
      <c r="B146" s="241">
        <v>1650</v>
      </c>
      <c r="C146" s="241" t="str">
        <f>VLOOKUP(B146,Orgenheter!$A$1:$B$214,2,0)</f>
        <v xml:space="preserve">Estetiska ämnen               </v>
      </c>
    </row>
    <row r="147" spans="1:3" x14ac:dyDescent="0.25">
      <c r="A147" s="241" t="s">
        <v>524</v>
      </c>
      <c r="B147" s="241">
        <v>1650</v>
      </c>
      <c r="C147" s="241" t="str">
        <f>VLOOKUP(B147,Orgenheter!$A$1:$B$214,2,0)</f>
        <v xml:space="preserve">Estetiska ämnen               </v>
      </c>
    </row>
    <row r="148" spans="1:3" x14ac:dyDescent="0.25">
      <c r="A148" s="408" t="s">
        <v>2085</v>
      </c>
      <c r="B148" s="409">
        <v>1650</v>
      </c>
      <c r="C148" s="241" t="str">
        <f>VLOOKUP(B148,Orgenheter!$A$1:$B$214,2,0)</f>
        <v xml:space="preserve">Estetiska ämnen               </v>
      </c>
    </row>
    <row r="149" spans="1:3" ht="15.75" x14ac:dyDescent="0.25">
      <c r="A149" s="246" t="s">
        <v>492</v>
      </c>
      <c r="B149" s="243">
        <v>1650</v>
      </c>
      <c r="C149" s="241" t="str">
        <f>VLOOKUP(B149,Orgenheter!$A$1:$B$214,2,0)</f>
        <v xml:space="preserve">Estetiska ämnen               </v>
      </c>
    </row>
    <row r="150" spans="1:3" ht="12.95" customHeight="1" x14ac:dyDescent="0.25">
      <c r="A150" s="246" t="s">
        <v>493</v>
      </c>
      <c r="B150" s="243">
        <v>1650</v>
      </c>
      <c r="C150" s="241" t="str">
        <f>VLOOKUP(B150,Orgenheter!$A$1:$B$214,2,0)</f>
        <v xml:space="preserve">Estetiska ämnen               </v>
      </c>
    </row>
    <row r="151" spans="1:3" ht="15.75" x14ac:dyDescent="0.25">
      <c r="A151" s="246" t="s">
        <v>579</v>
      </c>
      <c r="B151" s="243">
        <v>1650</v>
      </c>
      <c r="C151" s="241" t="str">
        <f>VLOOKUP(B151,Orgenheter!$A$1:$B$214,2,0)</f>
        <v xml:space="preserve">Estetiska ämnen               </v>
      </c>
    </row>
    <row r="152" spans="1:3" ht="15.75" x14ac:dyDescent="0.25">
      <c r="A152" s="246" t="s">
        <v>1005</v>
      </c>
      <c r="B152" s="243">
        <v>1650</v>
      </c>
      <c r="C152" s="241" t="str">
        <f>VLOOKUP(B152,Orgenheter!$A$1:$B$214,2,0)</f>
        <v xml:space="preserve">Estetiska ämnen               </v>
      </c>
    </row>
    <row r="153" spans="1:3" ht="12.95" customHeight="1" x14ac:dyDescent="0.25">
      <c r="A153" s="246" t="s">
        <v>1006</v>
      </c>
      <c r="B153" s="243">
        <v>1650</v>
      </c>
      <c r="C153" s="241" t="str">
        <f>VLOOKUP(B153,Orgenheter!$A$1:$B$214,2,0)</f>
        <v xml:space="preserve">Estetiska ämnen               </v>
      </c>
    </row>
    <row r="154" spans="1:3" ht="12.95" customHeight="1" x14ac:dyDescent="0.25">
      <c r="A154" s="246" t="s">
        <v>1235</v>
      </c>
      <c r="B154" s="243">
        <v>1650</v>
      </c>
      <c r="C154" s="241" t="str">
        <f>VLOOKUP(B154,Orgenheter!$A$1:$B$214,2,0)</f>
        <v xml:space="preserve">Estetiska ämnen               </v>
      </c>
    </row>
    <row r="155" spans="1:3" ht="15.75" x14ac:dyDescent="0.25">
      <c r="A155" s="246" t="s">
        <v>580</v>
      </c>
      <c r="B155" s="243">
        <v>1650</v>
      </c>
      <c r="C155" s="241" t="str">
        <f>VLOOKUP(B155,Orgenheter!$A$1:$B$214,2,0)</f>
        <v xml:space="preserve">Estetiska ämnen               </v>
      </c>
    </row>
    <row r="156" spans="1:3" ht="15.75" x14ac:dyDescent="0.25">
      <c r="A156" s="246" t="s">
        <v>823</v>
      </c>
      <c r="B156" s="243">
        <v>1650</v>
      </c>
      <c r="C156" s="241" t="str">
        <f>VLOOKUP(B156,Orgenheter!$A$1:$B$214,2,0)</f>
        <v xml:space="preserve">Estetiska ämnen               </v>
      </c>
    </row>
    <row r="157" spans="1:3" ht="15.75" x14ac:dyDescent="0.25">
      <c r="A157" s="246" t="s">
        <v>824</v>
      </c>
      <c r="B157" s="243">
        <v>1650</v>
      </c>
      <c r="C157" s="241" t="str">
        <f>VLOOKUP(B157,Orgenheter!$A$1:$B$214,2,0)</f>
        <v xml:space="preserve">Estetiska ämnen               </v>
      </c>
    </row>
    <row r="158" spans="1:3" ht="12.95" customHeight="1" x14ac:dyDescent="0.25">
      <c r="A158" s="246" t="s">
        <v>839</v>
      </c>
      <c r="B158" s="243">
        <v>1650</v>
      </c>
      <c r="C158" s="241" t="str">
        <f>VLOOKUP(B158,Orgenheter!$A$1:$B$214,2,0)</f>
        <v xml:space="preserve">Estetiska ämnen               </v>
      </c>
    </row>
    <row r="159" spans="1:3" ht="15.75" x14ac:dyDescent="0.25">
      <c r="A159" s="246" t="s">
        <v>840</v>
      </c>
      <c r="B159" s="243">
        <v>1650</v>
      </c>
      <c r="C159" s="241" t="str">
        <f>VLOOKUP(B159,Orgenheter!$A$1:$B$214,2,0)</f>
        <v xml:space="preserve">Estetiska ämnen               </v>
      </c>
    </row>
    <row r="160" spans="1:3" ht="15.75" x14ac:dyDescent="0.25">
      <c r="A160" s="246" t="s">
        <v>1007</v>
      </c>
      <c r="B160" s="243">
        <v>1650</v>
      </c>
      <c r="C160" s="241" t="str">
        <f>VLOOKUP(B160,Orgenheter!$A$1:$B$214,2,0)</f>
        <v xml:space="preserve">Estetiska ämnen               </v>
      </c>
    </row>
    <row r="161" spans="1:3" ht="12.95" customHeight="1" x14ac:dyDescent="0.25">
      <c r="A161" s="246" t="s">
        <v>1008</v>
      </c>
      <c r="B161" s="243">
        <v>1650</v>
      </c>
      <c r="C161" s="241" t="str">
        <f>VLOOKUP(B161,Orgenheter!$A$1:$B$214,2,0)</f>
        <v xml:space="preserve">Estetiska ämnen               </v>
      </c>
    </row>
    <row r="162" spans="1:3" ht="12.95" customHeight="1" x14ac:dyDescent="0.25">
      <c r="A162" s="246" t="s">
        <v>494</v>
      </c>
      <c r="B162" s="243">
        <v>1650</v>
      </c>
      <c r="C162" s="241" t="str">
        <f>VLOOKUP(B162,Orgenheter!$A$1:$B$214,2,0)</f>
        <v xml:space="preserve">Estetiska ämnen               </v>
      </c>
    </row>
    <row r="163" spans="1:3" ht="12.95" customHeight="1" x14ac:dyDescent="0.25">
      <c r="A163" s="245" t="s">
        <v>563</v>
      </c>
      <c r="B163" s="243">
        <v>1650</v>
      </c>
      <c r="C163" s="241" t="str">
        <f>VLOOKUP(B163,Orgenheter!$A$1:$B$214,2,0)</f>
        <v xml:space="preserve">Estetiska ämnen               </v>
      </c>
    </row>
    <row r="164" spans="1:3" ht="12.95" customHeight="1" x14ac:dyDescent="0.25">
      <c r="A164" s="515" t="s">
        <v>2268</v>
      </c>
      <c r="B164" s="509">
        <v>1650</v>
      </c>
      <c r="C164" s="241" t="str">
        <f>VLOOKUP(B164,Orgenheter!$A$1:$B$214,2,0)</f>
        <v xml:space="preserve">Estetiska ämnen               </v>
      </c>
    </row>
    <row r="165" spans="1:3" ht="12.95" customHeight="1" x14ac:dyDescent="0.25">
      <c r="A165" s="256" t="s">
        <v>654</v>
      </c>
      <c r="B165" s="241">
        <v>1650</v>
      </c>
      <c r="C165" s="241" t="str">
        <f>VLOOKUP(B165,Orgenheter!$A$1:$B$214,2,0)</f>
        <v xml:space="preserve">Estetiska ämnen               </v>
      </c>
    </row>
    <row r="166" spans="1:3" ht="12.95" customHeight="1" x14ac:dyDescent="0.25">
      <c r="A166" s="256" t="s">
        <v>655</v>
      </c>
      <c r="B166" s="241">
        <v>1650</v>
      </c>
      <c r="C166" s="241" t="str">
        <f>VLOOKUP(B166,Orgenheter!$A$1:$B$214,2,0)</f>
        <v xml:space="preserve">Estetiska ämnen               </v>
      </c>
    </row>
    <row r="167" spans="1:3" ht="12.95" customHeight="1" x14ac:dyDescent="0.25">
      <c r="A167" s="245" t="s">
        <v>891</v>
      </c>
      <c r="B167" s="243">
        <v>1650</v>
      </c>
      <c r="C167" s="241" t="str">
        <f>VLOOKUP(B167,Orgenheter!$A$1:$B$214,2,0)</f>
        <v xml:space="preserve">Estetiska ämnen               </v>
      </c>
    </row>
    <row r="168" spans="1:3" ht="12.95" customHeight="1" x14ac:dyDescent="0.25">
      <c r="A168" s="245" t="s">
        <v>1323</v>
      </c>
      <c r="B168" s="243">
        <v>1650</v>
      </c>
      <c r="C168" s="241" t="str">
        <f>VLOOKUP(B168,Orgenheter!$A$1:$B$214,2,0)</f>
        <v xml:space="preserve">Estetiska ämnen               </v>
      </c>
    </row>
    <row r="169" spans="1:3" ht="12.95" customHeight="1" x14ac:dyDescent="0.25">
      <c r="A169" s="245" t="s">
        <v>1342</v>
      </c>
      <c r="B169" s="243">
        <v>1650</v>
      </c>
      <c r="C169" s="241" t="str">
        <f>VLOOKUP(B169,Orgenheter!$A$1:$B$214,2,0)</f>
        <v xml:space="preserve">Estetiska ämnen               </v>
      </c>
    </row>
    <row r="170" spans="1:3" ht="12.95" customHeight="1" x14ac:dyDescent="0.25">
      <c r="A170" s="245" t="s">
        <v>1343</v>
      </c>
      <c r="B170" s="243">
        <v>1650</v>
      </c>
      <c r="C170" s="241" t="str">
        <f>VLOOKUP(B170,Orgenheter!$A$1:$B$214,2,0)</f>
        <v xml:space="preserve">Estetiska ämnen               </v>
      </c>
    </row>
    <row r="171" spans="1:3" ht="12.95" customHeight="1" x14ac:dyDescent="0.25">
      <c r="A171" s="245" t="s">
        <v>1344</v>
      </c>
      <c r="B171" s="243">
        <v>1650</v>
      </c>
      <c r="C171" s="241" t="str">
        <f>VLOOKUP(B171,Orgenheter!$A$1:$B$214,2,0)</f>
        <v xml:space="preserve">Estetiska ämnen               </v>
      </c>
    </row>
    <row r="172" spans="1:3" ht="12.95" customHeight="1" x14ac:dyDescent="0.25">
      <c r="A172" s="515" t="s">
        <v>2269</v>
      </c>
      <c r="B172" s="509">
        <v>1650</v>
      </c>
      <c r="C172" s="241" t="str">
        <f>VLOOKUP(B172,Orgenheter!$A$1:$B$214,2,0)</f>
        <v xml:space="preserve">Estetiska ämnen               </v>
      </c>
    </row>
    <row r="173" spans="1:3" ht="12.95" customHeight="1" x14ac:dyDescent="0.25">
      <c r="A173" s="261" t="s">
        <v>1590</v>
      </c>
      <c r="B173" s="241">
        <v>1650</v>
      </c>
      <c r="C173" s="241" t="str">
        <f>VLOOKUP(B173,Orgenheter!$A$1:$B$214,2,0)</f>
        <v xml:space="preserve">Estetiska ämnen               </v>
      </c>
    </row>
    <row r="174" spans="1:3" ht="12.95" customHeight="1" x14ac:dyDescent="0.25">
      <c r="A174" s="245" t="s">
        <v>1591</v>
      </c>
      <c r="B174" s="241">
        <v>1650</v>
      </c>
      <c r="C174" s="241" t="str">
        <f>VLOOKUP(B174,Orgenheter!$A$1:$B$214,2,0)</f>
        <v xml:space="preserve">Estetiska ämnen               </v>
      </c>
    </row>
    <row r="175" spans="1:3" ht="15" customHeight="1" x14ac:dyDescent="0.25">
      <c r="A175" s="265" t="s">
        <v>1532</v>
      </c>
      <c r="B175" s="241">
        <v>1650</v>
      </c>
      <c r="C175" s="241" t="str">
        <f>VLOOKUP(B175,Orgenheter!$A$1:$B$214,2,0)</f>
        <v xml:space="preserve">Estetiska ämnen               </v>
      </c>
    </row>
    <row r="176" spans="1:3" ht="12.95" customHeight="1" x14ac:dyDescent="0.25">
      <c r="A176" s="245" t="s">
        <v>1430</v>
      </c>
      <c r="B176" s="243">
        <v>1650</v>
      </c>
      <c r="C176" s="241" t="str">
        <f>VLOOKUP(B176,Orgenheter!$A$1:$B$214,2,0)</f>
        <v xml:space="preserve">Estetiska ämnen               </v>
      </c>
    </row>
    <row r="177" spans="1:3" ht="12.95" customHeight="1" x14ac:dyDescent="0.25">
      <c r="A177" s="245" t="s">
        <v>1431</v>
      </c>
      <c r="B177" s="243">
        <v>1650</v>
      </c>
      <c r="C177" s="241" t="str">
        <f>VLOOKUP(B177,Orgenheter!$A$1:$B$214,2,0)</f>
        <v xml:space="preserve">Estetiska ämnen               </v>
      </c>
    </row>
    <row r="178" spans="1:3" ht="12.95" customHeight="1" x14ac:dyDescent="0.25">
      <c r="A178" s="245" t="s">
        <v>1432</v>
      </c>
      <c r="B178" s="243">
        <v>1650</v>
      </c>
      <c r="C178" s="241" t="str">
        <f>VLOOKUP(B178,Orgenheter!$A$1:$B$214,2,0)</f>
        <v xml:space="preserve">Estetiska ämnen               </v>
      </c>
    </row>
    <row r="179" spans="1:3" ht="12.95" customHeight="1" x14ac:dyDescent="0.25">
      <c r="A179" s="245" t="s">
        <v>1588</v>
      </c>
      <c r="B179" s="243">
        <v>1650</v>
      </c>
      <c r="C179" s="241" t="str">
        <f>VLOOKUP(B179,Orgenheter!$A$1:$B$214,2,0)</f>
        <v xml:space="preserve">Estetiska ämnen               </v>
      </c>
    </row>
    <row r="180" spans="1:3" ht="15" customHeight="1" x14ac:dyDescent="0.25">
      <c r="A180" s="265" t="s">
        <v>1675</v>
      </c>
      <c r="B180" s="241">
        <v>1650</v>
      </c>
      <c r="C180" s="241" t="str">
        <f>VLOOKUP(B180,Orgenheter!$A$1:$B$214,2,0)</f>
        <v xml:space="preserve">Estetiska ämnen               </v>
      </c>
    </row>
    <row r="181" spans="1:3" ht="12.95" customHeight="1" x14ac:dyDescent="0.25">
      <c r="A181" s="245" t="s">
        <v>1624</v>
      </c>
      <c r="B181" s="243">
        <v>1650</v>
      </c>
      <c r="C181" s="241" t="str">
        <f>VLOOKUP(B181,Orgenheter!$A$1:$B$214,2,0)</f>
        <v xml:space="preserve">Estetiska ämnen               </v>
      </c>
    </row>
    <row r="182" spans="1:3" ht="12.95" customHeight="1" x14ac:dyDescent="0.25">
      <c r="A182" s="247" t="s">
        <v>1688</v>
      </c>
      <c r="B182" s="241">
        <v>1650</v>
      </c>
      <c r="C182" s="241" t="str">
        <f>VLOOKUP(B182,Orgenheter!$A$1:$B$214,2,0)</f>
        <v xml:space="preserve">Estetiska ämnen               </v>
      </c>
    </row>
    <row r="183" spans="1:3" ht="12.95" customHeight="1" x14ac:dyDescent="0.25">
      <c r="A183" s="245" t="s">
        <v>1681</v>
      </c>
      <c r="B183" s="243">
        <v>1650</v>
      </c>
      <c r="C183" s="241" t="str">
        <f>VLOOKUP(B183,Orgenheter!$A$1:$B$214,2,0)</f>
        <v xml:space="preserve">Estetiska ämnen               </v>
      </c>
    </row>
    <row r="184" spans="1:3" ht="12.95" customHeight="1" x14ac:dyDescent="0.25">
      <c r="A184" s="245" t="s">
        <v>1704</v>
      </c>
      <c r="B184" s="243">
        <v>1650</v>
      </c>
      <c r="C184" s="241" t="str">
        <f>VLOOKUP(B184,Orgenheter!$A$1:$B$214,2,0)</f>
        <v xml:space="preserve">Estetiska ämnen               </v>
      </c>
    </row>
    <row r="185" spans="1:3" ht="12.95" customHeight="1" x14ac:dyDescent="0.25">
      <c r="A185" s="245" t="s">
        <v>1763</v>
      </c>
      <c r="B185" s="243">
        <v>1650</v>
      </c>
      <c r="C185" s="241" t="str">
        <f>VLOOKUP(B185,Orgenheter!$A$1:$B$214,2,0)</f>
        <v xml:space="preserve">Estetiska ämnen               </v>
      </c>
    </row>
    <row r="186" spans="1:3" ht="12.95" customHeight="1" x14ac:dyDescent="0.25">
      <c r="A186" s="353" t="s">
        <v>1796</v>
      </c>
      <c r="B186" s="354">
        <v>1650</v>
      </c>
      <c r="C186" s="241" t="str">
        <f>VLOOKUP(B186,Orgenheter!$A$1:$B$214,2,0)</f>
        <v xml:space="preserve">Estetiska ämnen               </v>
      </c>
    </row>
    <row r="187" spans="1:3" ht="12.95" customHeight="1" x14ac:dyDescent="0.25">
      <c r="A187" s="247" t="s">
        <v>1824</v>
      </c>
      <c r="B187" s="241">
        <v>1650</v>
      </c>
      <c r="C187" s="241" t="str">
        <f>VLOOKUP(B187,Orgenheter!$A$1:$B$214,2,0)</f>
        <v xml:space="preserve">Estetiska ämnen               </v>
      </c>
    </row>
    <row r="188" spans="1:3" ht="12.95" customHeight="1" x14ac:dyDescent="0.25">
      <c r="A188" s="247" t="s">
        <v>1822</v>
      </c>
      <c r="B188" s="241">
        <v>1650</v>
      </c>
      <c r="C188" s="241" t="str">
        <f>VLOOKUP(B188,Orgenheter!$A$1:$B$214,2,0)</f>
        <v xml:space="preserve">Estetiska ämnen               </v>
      </c>
    </row>
    <row r="189" spans="1:3" ht="12.95" customHeight="1" x14ac:dyDescent="0.25">
      <c r="A189" s="247" t="s">
        <v>1823</v>
      </c>
      <c r="B189" s="241">
        <v>1650</v>
      </c>
      <c r="C189" s="241" t="str">
        <f>VLOOKUP(B189,Orgenheter!$A$1:$B$214,2,0)</f>
        <v xml:space="preserve">Estetiska ämnen               </v>
      </c>
    </row>
    <row r="190" spans="1:3" ht="12.95" customHeight="1" x14ac:dyDescent="0.25">
      <c r="A190" s="380" t="s">
        <v>1940</v>
      </c>
      <c r="B190" s="373">
        <v>1650</v>
      </c>
      <c r="C190" s="241" t="str">
        <f>VLOOKUP(B190,Orgenheter!$A$1:$B$214,2,0)</f>
        <v xml:space="preserve">Estetiska ämnen               </v>
      </c>
    </row>
    <row r="191" spans="1:3" ht="12.95" customHeight="1" x14ac:dyDescent="0.25">
      <c r="A191" s="387" t="s">
        <v>1988</v>
      </c>
      <c r="B191" s="388">
        <v>1650</v>
      </c>
      <c r="C191" s="241" t="str">
        <f>VLOOKUP(B191,Orgenheter!$A$1:$B$214,2,0)</f>
        <v xml:space="preserve">Estetiska ämnen               </v>
      </c>
    </row>
    <row r="192" spans="1:3" ht="12.95" customHeight="1" x14ac:dyDescent="0.25">
      <c r="A192" s="295" t="s">
        <v>1939</v>
      </c>
      <c r="B192" s="241">
        <v>1650</v>
      </c>
      <c r="C192" s="241" t="str">
        <f>VLOOKUP(B192,Orgenheter!$A$1:$B$214,2,0)</f>
        <v xml:space="preserve">Estetiska ämnen               </v>
      </c>
    </row>
    <row r="193" spans="1:3" ht="12.95" customHeight="1" x14ac:dyDescent="0.25">
      <c r="A193" s="417" t="s">
        <v>2089</v>
      </c>
      <c r="B193" s="409">
        <v>1650</v>
      </c>
      <c r="C193" s="241" t="str">
        <f>VLOOKUP(B193,Orgenheter!$A$1:$B$214,2,0)</f>
        <v xml:space="preserve">Estetiska ämnen               </v>
      </c>
    </row>
    <row r="194" spans="1:3" ht="12.95" customHeight="1" x14ac:dyDescent="0.25">
      <c r="A194" s="31" t="s">
        <v>2039</v>
      </c>
      <c r="B194" s="241">
        <v>1650</v>
      </c>
      <c r="C194" s="241" t="str">
        <f>VLOOKUP(B194,Orgenheter!$A$1:$B$214,2,0)</f>
        <v xml:space="preserve">Estetiska ämnen               </v>
      </c>
    </row>
    <row r="195" spans="1:3" ht="12.95" customHeight="1" x14ac:dyDescent="0.25">
      <c r="A195" s="387" t="s">
        <v>1989</v>
      </c>
      <c r="B195" s="388">
        <v>1650</v>
      </c>
      <c r="C195" s="241" t="str">
        <f>VLOOKUP(B195,Orgenheter!$A$1:$B$214,2,0)</f>
        <v xml:space="preserve">Estetiska ämnen               </v>
      </c>
    </row>
    <row r="196" spans="1:3" ht="12.95" customHeight="1" x14ac:dyDescent="0.25">
      <c r="A196" s="387" t="s">
        <v>1990</v>
      </c>
      <c r="B196" s="388">
        <v>1650</v>
      </c>
      <c r="C196" s="241" t="str">
        <f>VLOOKUP(B196,Orgenheter!$A$1:$B$214,2,0)</f>
        <v xml:space="preserve">Estetiska ämnen               </v>
      </c>
    </row>
    <row r="197" spans="1:3" ht="15" customHeight="1" x14ac:dyDescent="0.25">
      <c r="A197" s="265" t="s">
        <v>1979</v>
      </c>
      <c r="B197" s="241">
        <v>1650</v>
      </c>
      <c r="C197" s="241" t="str">
        <f>VLOOKUP(B197,Orgenheter!$A$1:$B$214,2,0)</f>
        <v xml:space="preserve">Estetiska ämnen               </v>
      </c>
    </row>
    <row r="198" spans="1:3" ht="12.95" customHeight="1" x14ac:dyDescent="0.25">
      <c r="A198" s="387" t="s">
        <v>1991</v>
      </c>
      <c r="B198" s="388">
        <v>1650</v>
      </c>
      <c r="C198" s="241" t="str">
        <f>VLOOKUP(B198,Orgenheter!$A$1:$B$214,2,0)</f>
        <v xml:space="preserve">Estetiska ämnen               </v>
      </c>
    </row>
    <row r="199" spans="1:3" ht="12.95" customHeight="1" x14ac:dyDescent="0.25">
      <c r="A199" s="387" t="s">
        <v>2072</v>
      </c>
      <c r="B199" s="388">
        <v>1650</v>
      </c>
      <c r="C199" s="241" t="str">
        <f>VLOOKUP(B199,Orgenheter!$A$1:$B$214,2,0)</f>
        <v xml:space="preserve">Estetiska ämnen               </v>
      </c>
    </row>
    <row r="200" spans="1:3" ht="12.95" customHeight="1" x14ac:dyDescent="0.25">
      <c r="A200" s="412" t="s">
        <v>1992</v>
      </c>
      <c r="B200" s="409">
        <v>1650</v>
      </c>
      <c r="C200" s="241" t="str">
        <f>VLOOKUP(B200,Orgenheter!$A$1:$B$214,2,0)</f>
        <v xml:space="preserve">Estetiska ämnen               </v>
      </c>
    </row>
    <row r="201" spans="1:3" ht="12.95" customHeight="1" x14ac:dyDescent="0.25">
      <c r="A201" s="247" t="s">
        <v>2020</v>
      </c>
      <c r="B201" s="241">
        <v>1650</v>
      </c>
      <c r="C201" s="241" t="str">
        <f>VLOOKUP(B201,Orgenheter!$A$1:$B$214,2,0)</f>
        <v xml:space="preserve">Estetiska ämnen               </v>
      </c>
    </row>
    <row r="202" spans="1:3" ht="15.75" x14ac:dyDescent="0.25">
      <c r="A202" s="246" t="s">
        <v>2015</v>
      </c>
      <c r="B202" s="243">
        <v>1650</v>
      </c>
      <c r="C202" s="241" t="str">
        <f>VLOOKUP(B202,Orgenheter!$A$1:$B$214,2,0)</f>
        <v xml:space="preserve">Estetiska ämnen               </v>
      </c>
    </row>
    <row r="203" spans="1:3" ht="12.95" customHeight="1" x14ac:dyDescent="0.25">
      <c r="A203" s="18" t="s">
        <v>2040</v>
      </c>
      <c r="B203" s="241">
        <v>1650</v>
      </c>
      <c r="C203" s="241" t="str">
        <f>VLOOKUP(B203,Orgenheter!$A$1:$B$214,2,0)</f>
        <v xml:space="preserve">Estetiska ämnen               </v>
      </c>
    </row>
    <row r="204" spans="1:3" ht="12.95" customHeight="1" x14ac:dyDescent="0.25">
      <c r="A204" s="379" t="s">
        <v>2025</v>
      </c>
      <c r="B204" s="241">
        <v>1650</v>
      </c>
      <c r="C204" s="241" t="str">
        <f>VLOOKUP(B204,Orgenheter!$A$1:$B$214,2,0)</f>
        <v xml:space="preserve">Estetiska ämnen               </v>
      </c>
    </row>
    <row r="205" spans="1:3" s="1" customFormat="1" x14ac:dyDescent="0.25">
      <c r="A205" s="361" t="s">
        <v>1977</v>
      </c>
      <c r="B205" s="361">
        <v>1650</v>
      </c>
      <c r="C205" s="241" t="str">
        <f>VLOOKUP(B205,Orgenheter!$A$1:$B$214,2,0)</f>
        <v xml:space="preserve">Estetiska ämnen               </v>
      </c>
    </row>
    <row r="206" spans="1:3" ht="12.95" customHeight="1" x14ac:dyDescent="0.25">
      <c r="A206" s="379" t="s">
        <v>2024</v>
      </c>
      <c r="B206" s="241">
        <v>1650</v>
      </c>
      <c r="C206" s="241" t="str">
        <f>VLOOKUP(B206,Orgenheter!$A$1:$B$214,2,0)</f>
        <v xml:space="preserve">Estetiska ämnen               </v>
      </c>
    </row>
    <row r="207" spans="1:3" ht="12.95" customHeight="1" x14ac:dyDescent="0.25">
      <c r="A207" s="389" t="s">
        <v>2038</v>
      </c>
      <c r="B207" s="388">
        <v>1650</v>
      </c>
      <c r="C207" s="241" t="str">
        <f>VLOOKUP(B207,Orgenheter!$A$1:$B$214,2,0)</f>
        <v xml:space="preserve">Estetiska ämnen               </v>
      </c>
    </row>
    <row r="208" spans="1:3" ht="12.95" customHeight="1" x14ac:dyDescent="0.25">
      <c r="A208" s="510" t="s">
        <v>2229</v>
      </c>
      <c r="B208" s="492">
        <v>1650</v>
      </c>
      <c r="C208" s="241" t="str">
        <f>VLOOKUP(B208,Orgenheter!$A$1:$B$214,2,0)</f>
        <v xml:space="preserve">Estetiska ämnen               </v>
      </c>
    </row>
    <row r="209" spans="1:3" ht="12.95" customHeight="1" x14ac:dyDescent="0.25">
      <c r="A209" s="412" t="s">
        <v>2090</v>
      </c>
      <c r="B209" s="409">
        <v>1650</v>
      </c>
      <c r="C209" s="241" t="str">
        <f>VLOOKUP(B209,Orgenheter!$A$1:$B$214,2,0)</f>
        <v xml:space="preserve">Estetiska ämnen               </v>
      </c>
    </row>
    <row r="210" spans="1:3" ht="12.95" customHeight="1" x14ac:dyDescent="0.25">
      <c r="A210" s="528" t="s">
        <v>2464</v>
      </c>
      <c r="B210" s="522">
        <v>1650</v>
      </c>
      <c r="C210" s="241" t="str">
        <f>VLOOKUP(B210,Orgenheter!$A$1:$B$214,2,0)</f>
        <v xml:space="preserve">Estetiska ämnen               </v>
      </c>
    </row>
    <row r="211" spans="1:3" ht="12.95" customHeight="1" x14ac:dyDescent="0.25">
      <c r="A211" s="528" t="s">
        <v>2383</v>
      </c>
      <c r="B211" s="522">
        <v>1650</v>
      </c>
      <c r="C211" s="241" t="str">
        <f>VLOOKUP(B211,Orgenheter!$A$1:$B$214,2,0)</f>
        <v xml:space="preserve">Estetiska ämnen               </v>
      </c>
    </row>
    <row r="212" spans="1:3" ht="12.95" customHeight="1" x14ac:dyDescent="0.25">
      <c r="A212" s="528" t="s">
        <v>2465</v>
      </c>
      <c r="B212" s="522">
        <v>1650</v>
      </c>
      <c r="C212" s="241" t="str">
        <f>VLOOKUP(B212,Orgenheter!$A$1:$B$214,2,0)</f>
        <v xml:space="preserve">Estetiska ämnen               </v>
      </c>
    </row>
    <row r="213" spans="1:3" ht="12.95" customHeight="1" x14ac:dyDescent="0.25">
      <c r="A213" s="528" t="s">
        <v>2466</v>
      </c>
      <c r="B213" s="522">
        <v>1650</v>
      </c>
      <c r="C213" s="241" t="str">
        <f>VLOOKUP(B213,Orgenheter!$A$1:$B$214,2,0)</f>
        <v xml:space="preserve">Estetiska ämnen               </v>
      </c>
    </row>
    <row r="214" spans="1:3" ht="12.95" customHeight="1" x14ac:dyDescent="0.25">
      <c r="A214" s="528" t="s">
        <v>2467</v>
      </c>
      <c r="B214" s="522">
        <v>1650</v>
      </c>
      <c r="C214" s="241" t="str">
        <f>VLOOKUP(B214,Orgenheter!$A$1:$B$214,2,0)</f>
        <v xml:space="preserve">Estetiska ämnen               </v>
      </c>
    </row>
    <row r="215" spans="1:3" ht="12.95" customHeight="1" x14ac:dyDescent="0.25">
      <c r="A215" s="528" t="s">
        <v>2373</v>
      </c>
      <c r="B215" s="522">
        <v>1650</v>
      </c>
      <c r="C215" s="241" t="str">
        <f>VLOOKUP(B215,Orgenheter!$A$1:$B$214,2,0)</f>
        <v xml:space="preserve">Estetiska ämnen               </v>
      </c>
    </row>
    <row r="216" spans="1:3" ht="12.95" customHeight="1" x14ac:dyDescent="0.25">
      <c r="A216" s="528" t="s">
        <v>2372</v>
      </c>
      <c r="B216" s="522">
        <v>1650</v>
      </c>
      <c r="C216" s="241" t="str">
        <f>VLOOKUP(B216,Orgenheter!$A$1:$B$214,2,0)</f>
        <v xml:space="preserve">Estetiska ämnen               </v>
      </c>
    </row>
    <row r="217" spans="1:3" ht="12.95" customHeight="1" x14ac:dyDescent="0.25">
      <c r="A217" s="245" t="s">
        <v>1236</v>
      </c>
      <c r="B217" s="241">
        <v>6000</v>
      </c>
      <c r="C217" s="241" t="str">
        <f>VLOOKUP(B217,Orgenheter!$A$1:$B$214,2,0)</f>
        <v xml:space="preserve">Lärarutbildningarna gem       </v>
      </c>
    </row>
    <row r="218" spans="1:3" ht="12.95" customHeight="1" x14ac:dyDescent="0.25">
      <c r="A218" s="413" t="s">
        <v>1744</v>
      </c>
      <c r="B218" s="409">
        <v>6000</v>
      </c>
      <c r="C218" s="241" t="str">
        <f>VLOOKUP(B218,Orgenheter!$A$1:$B$214,2,0)</f>
        <v xml:space="preserve">Lärarutbildningarna gem       </v>
      </c>
    </row>
    <row r="219" spans="1:3" ht="12.95" customHeight="1" x14ac:dyDescent="0.25">
      <c r="A219" s="245" t="s">
        <v>522</v>
      </c>
      <c r="B219" s="241">
        <v>6000</v>
      </c>
      <c r="C219" s="241" t="str">
        <f>VLOOKUP(B219,Orgenheter!$A$1:$B$214,2,0)</f>
        <v xml:space="preserve">Lärarutbildningarna gem       </v>
      </c>
    </row>
    <row r="220" spans="1:3" ht="12.95" customHeight="1" x14ac:dyDescent="0.25">
      <c r="A220" s="245" t="s">
        <v>2087</v>
      </c>
      <c r="B220" s="241">
        <v>6000</v>
      </c>
      <c r="C220" s="241" t="str">
        <f>VLOOKUP(B220,Orgenheter!$A$1:$B$214,2,0)</f>
        <v xml:space="preserve">Lärarutbildningarna gem       </v>
      </c>
    </row>
    <row r="221" spans="1:3" ht="12.95" customHeight="1" x14ac:dyDescent="0.25">
      <c r="A221" s="247" t="s">
        <v>841</v>
      </c>
      <c r="B221" s="247">
        <v>1620</v>
      </c>
      <c r="C221" s="241" t="str">
        <f>VLOOKUP(B221,Orgenheter!$A$1:$B$214,2,0)</f>
        <v>Inst för språkstudier</v>
      </c>
    </row>
    <row r="222" spans="1:3" ht="12.95" customHeight="1" x14ac:dyDescent="0.25">
      <c r="A222" s="241" t="s">
        <v>88</v>
      </c>
      <c r="B222" s="241">
        <v>1620</v>
      </c>
      <c r="C222" s="241" t="str">
        <f>VLOOKUP(B222,Orgenheter!$A$1:$B$214,2,0)</f>
        <v>Inst för språkstudier</v>
      </c>
    </row>
    <row r="223" spans="1:3" ht="12.95" customHeight="1" x14ac:dyDescent="0.25">
      <c r="A223" s="294" t="s">
        <v>144</v>
      </c>
      <c r="B223" s="241">
        <v>1620</v>
      </c>
      <c r="C223" s="241" t="str">
        <f>VLOOKUP(B223,Orgenheter!$A$1:$B$214,2,0)</f>
        <v>Inst för språkstudier</v>
      </c>
    </row>
    <row r="224" spans="1:3" ht="12.95" customHeight="1" x14ac:dyDescent="0.25">
      <c r="A224" s="415" t="s">
        <v>2074</v>
      </c>
      <c r="B224" s="409">
        <v>1620</v>
      </c>
      <c r="C224" s="241" t="str">
        <f>VLOOKUP(B224,Orgenheter!$A$1:$B$214,2,0)</f>
        <v>Inst för språkstudier</v>
      </c>
    </row>
    <row r="225" spans="1:3" ht="12.95" customHeight="1" x14ac:dyDescent="0.25">
      <c r="A225" s="247" t="s">
        <v>842</v>
      </c>
      <c r="B225" s="241">
        <v>1620</v>
      </c>
      <c r="C225" s="241" t="str">
        <f>VLOOKUP(B225,Orgenheter!$A$1:$B$214,2,0)</f>
        <v>Inst för språkstudier</v>
      </c>
    </row>
    <row r="226" spans="1:3" ht="12.95" customHeight="1" x14ac:dyDescent="0.25">
      <c r="A226" s="247" t="s">
        <v>1009</v>
      </c>
      <c r="B226" s="241">
        <v>1620</v>
      </c>
      <c r="C226" s="241" t="str">
        <f>VLOOKUP(B226,Orgenheter!$A$1:$B$214,2,0)</f>
        <v>Inst för språkstudier</v>
      </c>
    </row>
    <row r="227" spans="1:3" ht="12.95" customHeight="1" x14ac:dyDescent="0.25">
      <c r="A227" s="355" t="s">
        <v>1842</v>
      </c>
      <c r="B227" s="352">
        <v>1620</v>
      </c>
      <c r="C227" s="241" t="str">
        <f>VLOOKUP(B227,Orgenheter!$A$1:$B$214,2,0)</f>
        <v>Inst för språkstudier</v>
      </c>
    </row>
    <row r="228" spans="1:3" ht="12.95" customHeight="1" x14ac:dyDescent="0.25">
      <c r="A228" s="18" t="s">
        <v>2041</v>
      </c>
      <c r="B228" s="241">
        <v>1620</v>
      </c>
      <c r="C228" s="241" t="str">
        <f>VLOOKUP(B228,Orgenheter!$A$1:$B$214,2,0)</f>
        <v>Inst för språkstudier</v>
      </c>
    </row>
    <row r="229" spans="1:3" ht="12.95" customHeight="1" x14ac:dyDescent="0.25">
      <c r="A229" s="157" t="s">
        <v>2073</v>
      </c>
      <c r="B229" s="409">
        <v>1620</v>
      </c>
      <c r="C229" s="241" t="str">
        <f>VLOOKUP(B229,Orgenheter!$A$1:$B$214,2,0)</f>
        <v>Inst för språkstudier</v>
      </c>
    </row>
    <row r="230" spans="1:3" ht="12.95" customHeight="1" x14ac:dyDescent="0.25">
      <c r="A230" s="157" t="s">
        <v>2099</v>
      </c>
      <c r="B230" s="409">
        <v>1620</v>
      </c>
      <c r="C230" s="241" t="str">
        <f>VLOOKUP(B230,Orgenheter!$A$1:$B$214,2,0)</f>
        <v>Inst för språkstudier</v>
      </c>
    </row>
    <row r="231" spans="1:3" ht="12.95" customHeight="1" x14ac:dyDescent="0.25">
      <c r="A231" s="157" t="s">
        <v>2451</v>
      </c>
      <c r="B231" s="522">
        <v>6000</v>
      </c>
      <c r="C231" s="241" t="str">
        <f>VLOOKUP(B231,Orgenheter!$A$1:$B$214,2,0)</f>
        <v xml:space="preserve">Lärarutbildningarna gem       </v>
      </c>
    </row>
    <row r="232" spans="1:3" ht="12.95" customHeight="1" x14ac:dyDescent="0.25">
      <c r="A232" s="247" t="s">
        <v>1737</v>
      </c>
      <c r="B232" s="241">
        <v>6000</v>
      </c>
      <c r="C232" s="241" t="str">
        <f>VLOOKUP(B232,Orgenheter!$A$1:$B$214,2,0)</f>
        <v xml:space="preserve">Lärarutbildningarna gem       </v>
      </c>
    </row>
    <row r="233" spans="1:3" ht="12.95" customHeight="1" x14ac:dyDescent="0.25">
      <c r="A233" s="503" t="s">
        <v>2277</v>
      </c>
      <c r="B233" s="492">
        <v>1650</v>
      </c>
      <c r="C233" s="241" t="str">
        <f>VLOOKUP(B233,Orgenheter!$A$1:$B$214,2,0)</f>
        <v xml:space="preserve">Estetiska ämnen               </v>
      </c>
    </row>
    <row r="234" spans="1:3" ht="12.95" customHeight="1" x14ac:dyDescent="0.25">
      <c r="A234" s="503" t="s">
        <v>2278</v>
      </c>
      <c r="B234" s="492">
        <v>1650</v>
      </c>
      <c r="C234" s="241" t="str">
        <f>VLOOKUP(B234,Orgenheter!$A$1:$B$214,2,0)</f>
        <v xml:space="preserve">Estetiska ämnen               </v>
      </c>
    </row>
    <row r="235" spans="1:3" ht="12.95" customHeight="1" x14ac:dyDescent="0.25">
      <c r="A235" s="423" t="s">
        <v>2128</v>
      </c>
      <c r="B235" s="409">
        <v>2650</v>
      </c>
      <c r="C235" s="241" t="str">
        <f>VLOOKUP(B235,Orgenheter!$A$1:$B$214,2,0)</f>
        <v>Inst för kost- och måltidsvetenskap</v>
      </c>
    </row>
    <row r="236" spans="1:3" ht="12.95" customHeight="1" x14ac:dyDescent="0.25">
      <c r="A236" s="247" t="s">
        <v>1786</v>
      </c>
      <c r="B236" s="241">
        <v>1620</v>
      </c>
      <c r="C236" s="241" t="str">
        <f>VLOOKUP(B236,Orgenheter!$A$1:$B$214,2,0)</f>
        <v>Inst för språkstudier</v>
      </c>
    </row>
    <row r="237" spans="1:3" ht="12.95" customHeight="1" x14ac:dyDescent="0.25">
      <c r="A237" s="387" t="s">
        <v>2315</v>
      </c>
      <c r="B237" s="388">
        <v>1620</v>
      </c>
      <c r="C237" s="241" t="str">
        <f>VLOOKUP(B237,Orgenheter!$A$1:$B$214,2,0)</f>
        <v>Inst för språkstudier</v>
      </c>
    </row>
    <row r="238" spans="1:3" ht="12.95" customHeight="1" x14ac:dyDescent="0.25">
      <c r="A238" s="295" t="s">
        <v>2316</v>
      </c>
      <c r="B238" s="409">
        <v>1620</v>
      </c>
      <c r="C238" s="241" t="str">
        <f>VLOOKUP(B238,Orgenheter!$A$1:$B$214,2,0)</f>
        <v>Inst för språkstudier</v>
      </c>
    </row>
    <row r="239" spans="1:3" ht="12.95" customHeight="1" x14ac:dyDescent="0.25">
      <c r="A239" s="247" t="s">
        <v>2122</v>
      </c>
      <c r="B239" s="409">
        <v>1620</v>
      </c>
      <c r="C239" s="241" t="str">
        <f>VLOOKUP(B239,Orgenheter!$A$1:$B$214,2,0)</f>
        <v>Inst för språkstudier</v>
      </c>
    </row>
    <row r="240" spans="1:3" ht="12.95" customHeight="1" x14ac:dyDescent="0.25">
      <c r="A240" s="295" t="s">
        <v>2123</v>
      </c>
      <c r="B240" s="492">
        <v>1620</v>
      </c>
      <c r="C240" s="241" t="str">
        <f>VLOOKUP(B240,Orgenheter!$A$1:$B$214,2,0)</f>
        <v>Inst för språkstudier</v>
      </c>
    </row>
    <row r="241" spans="1:3" ht="12.95" customHeight="1" x14ac:dyDescent="0.25">
      <c r="A241" s="295" t="s">
        <v>2292</v>
      </c>
      <c r="B241" s="492">
        <v>1620</v>
      </c>
      <c r="C241" s="241" t="str">
        <f>VLOOKUP(B241,Orgenheter!$A$1:$B$214,2,0)</f>
        <v>Inst för språkstudier</v>
      </c>
    </row>
    <row r="242" spans="1:3" ht="12.95" customHeight="1" x14ac:dyDescent="0.25">
      <c r="A242" s="247" t="s">
        <v>1452</v>
      </c>
      <c r="B242" s="241">
        <v>5740</v>
      </c>
      <c r="C242" s="241" t="str">
        <f>VLOOKUP(B242,Orgenheter!$A$1:$B$214,2,0)</f>
        <v>NMD</v>
      </c>
    </row>
    <row r="243" spans="1:3" ht="12.95" customHeight="1" x14ac:dyDescent="0.25">
      <c r="A243" s="247" t="s">
        <v>1697</v>
      </c>
      <c r="B243" s="241">
        <v>5400</v>
      </c>
      <c r="C243" s="241" t="str">
        <f>VLOOKUP(B243,Orgenheter!$A$1:$B$214,2,0)</f>
        <v xml:space="preserve">Inst för Fysik                </v>
      </c>
    </row>
    <row r="244" spans="1:3" ht="12.95" customHeight="1" x14ac:dyDescent="0.25">
      <c r="A244" s="247" t="s">
        <v>1797</v>
      </c>
      <c r="B244" s="241">
        <v>5400</v>
      </c>
      <c r="C244" s="241" t="str">
        <f>VLOOKUP(B244,Orgenheter!$A$1:$B$214,2,0)</f>
        <v xml:space="preserve">Inst för Fysik                </v>
      </c>
    </row>
    <row r="245" spans="1:3" ht="12.95" customHeight="1" x14ac:dyDescent="0.25">
      <c r="A245" s="247" t="s">
        <v>1798</v>
      </c>
      <c r="B245" s="241">
        <v>5400</v>
      </c>
      <c r="C245" s="241" t="str">
        <f>VLOOKUP(B245,Orgenheter!$A$1:$B$214,2,0)</f>
        <v xml:space="preserve">Inst för Fysik                </v>
      </c>
    </row>
    <row r="246" spans="1:3" ht="12.95" customHeight="1" x14ac:dyDescent="0.25">
      <c r="A246" s="245" t="s">
        <v>1465</v>
      </c>
      <c r="B246" s="354">
        <v>5740</v>
      </c>
      <c r="C246" s="241" t="str">
        <f>VLOOKUP(B246,Orgenheter!$A$1:$B$214,2,0)</f>
        <v>NMD</v>
      </c>
    </row>
    <row r="247" spans="1:3" ht="12.95" customHeight="1" x14ac:dyDescent="0.25">
      <c r="A247" s="353" t="s">
        <v>1466</v>
      </c>
      <c r="B247" s="354">
        <v>5740</v>
      </c>
      <c r="C247" s="241" t="str">
        <f>VLOOKUP(B247,Orgenheter!$A$1:$B$214,2,0)</f>
        <v>NMD</v>
      </c>
    </row>
    <row r="248" spans="1:3" ht="12.95" customHeight="1" x14ac:dyDescent="0.25">
      <c r="A248" s="245" t="s">
        <v>1467</v>
      </c>
      <c r="B248" s="243">
        <v>5740</v>
      </c>
      <c r="C248" s="241" t="str">
        <f>VLOOKUP(B248,Orgenheter!$A$1:$B$214,2,0)</f>
        <v>NMD</v>
      </c>
    </row>
    <row r="249" spans="1:3" x14ac:dyDescent="0.25">
      <c r="A249" s="247" t="s">
        <v>843</v>
      </c>
      <c r="B249" s="241">
        <v>5400</v>
      </c>
      <c r="C249" s="241" t="str">
        <f>VLOOKUP(B249,Orgenheter!$A$1:$B$214,2,0)</f>
        <v xml:space="preserve">Inst för Fysik                </v>
      </c>
    </row>
    <row r="250" spans="1:3" ht="12.95" customHeight="1" x14ac:dyDescent="0.25">
      <c r="A250" s="247" t="s">
        <v>1010</v>
      </c>
      <c r="B250" s="241">
        <v>5400</v>
      </c>
      <c r="C250" s="241" t="str">
        <f>VLOOKUP(B250,Orgenheter!$A$1:$B$214,2,0)</f>
        <v xml:space="preserve">Inst för Fysik                </v>
      </c>
    </row>
    <row r="251" spans="1:3" ht="12.95" customHeight="1" x14ac:dyDescent="0.25">
      <c r="A251" s="245" t="s">
        <v>1745</v>
      </c>
      <c r="B251" s="243">
        <v>2500</v>
      </c>
      <c r="C251" s="241" t="str">
        <f>VLOOKUP(B251,Orgenheter!$A$1:$B$214,2,0)</f>
        <v>Geografi</v>
      </c>
    </row>
    <row r="252" spans="1:3" ht="12.95" customHeight="1" x14ac:dyDescent="0.25">
      <c r="A252" s="363" t="s">
        <v>1895</v>
      </c>
      <c r="B252" s="364">
        <v>5100</v>
      </c>
      <c r="C252" s="241" t="str">
        <f>VLOOKUP(B252,Orgenheter!$A$1:$B$214,2,0)</f>
        <v>EMG</v>
      </c>
    </row>
    <row r="253" spans="1:3" ht="12.95" customHeight="1" x14ac:dyDescent="0.25">
      <c r="A253" s="241" t="s">
        <v>1876</v>
      </c>
      <c r="B253" s="241">
        <v>5100</v>
      </c>
      <c r="C253" s="241" t="str">
        <f>VLOOKUP(B253,Orgenheter!$A$1:$B$214,2,0)</f>
        <v>EMG</v>
      </c>
    </row>
    <row r="254" spans="1:3" ht="15.75" x14ac:dyDescent="0.25">
      <c r="A254" s="356" t="s">
        <v>1799</v>
      </c>
      <c r="B254" s="352">
        <v>5100</v>
      </c>
      <c r="C254" s="241" t="str">
        <f>VLOOKUP(B254,Orgenheter!$A$1:$B$214,2,0)</f>
        <v>EMG</v>
      </c>
    </row>
    <row r="255" spans="1:3" ht="12.95" customHeight="1" x14ac:dyDescent="0.25">
      <c r="A255" s="241" t="s">
        <v>1877</v>
      </c>
      <c r="B255" s="241">
        <v>5100</v>
      </c>
      <c r="C255" s="241" t="str">
        <f>VLOOKUP(B255,Orgenheter!$A$1:$B$214,2,0)</f>
        <v>EMG</v>
      </c>
    </row>
    <row r="256" spans="1:3" ht="12.95" customHeight="1" x14ac:dyDescent="0.25">
      <c r="A256" s="388" t="s">
        <v>1980</v>
      </c>
      <c r="B256" s="388">
        <v>5100</v>
      </c>
      <c r="C256" s="241" t="str">
        <f>VLOOKUP(B256,Orgenheter!$A$1:$B$214,2,0)</f>
        <v>EMG</v>
      </c>
    </row>
    <row r="257" spans="1:3" ht="12.95" customHeight="1" x14ac:dyDescent="0.25">
      <c r="A257" s="256" t="s">
        <v>95</v>
      </c>
      <c r="B257" s="241">
        <v>1630</v>
      </c>
      <c r="C257" s="241" t="str">
        <f>VLOOKUP(B257,Orgenheter!$A$1:$B$214,2,0)</f>
        <v>Inst för ide- o samhällsstudier</v>
      </c>
    </row>
    <row r="258" spans="1:3" ht="12.95" customHeight="1" x14ac:dyDescent="0.25">
      <c r="A258" s="241" t="s">
        <v>99</v>
      </c>
      <c r="B258" s="241">
        <v>1630</v>
      </c>
      <c r="C258" s="241" t="str">
        <f>VLOOKUP(B258,Orgenheter!$A$1:$B$214,2,0)</f>
        <v>Inst för ide- o samhällsstudier</v>
      </c>
    </row>
    <row r="259" spans="1:3" ht="12.95" customHeight="1" x14ac:dyDescent="0.25">
      <c r="A259" s="247" t="s">
        <v>391</v>
      </c>
      <c r="B259" s="247">
        <v>1630</v>
      </c>
      <c r="C259" s="241" t="str">
        <f>VLOOKUP(B259,Orgenheter!$A$1:$B$214,2,0)</f>
        <v>Inst för ide- o samhällsstudier</v>
      </c>
    </row>
    <row r="260" spans="1:3" ht="12.95" customHeight="1" x14ac:dyDescent="0.25">
      <c r="A260" s="247" t="s">
        <v>844</v>
      </c>
      <c r="B260" s="247">
        <v>1630</v>
      </c>
      <c r="C260" s="241" t="str">
        <f>VLOOKUP(B260,Orgenheter!$A$1:$B$214,2,0)</f>
        <v>Inst för ide- o samhällsstudier</v>
      </c>
    </row>
    <row r="261" spans="1:3" ht="15.75" x14ac:dyDescent="0.25">
      <c r="A261" s="245" t="s">
        <v>495</v>
      </c>
      <c r="B261" s="243">
        <v>1630</v>
      </c>
      <c r="C261" s="241" t="str">
        <f>VLOOKUP(B261,Orgenheter!$A$1:$B$214,2,0)</f>
        <v>Inst för ide- o samhällsstudier</v>
      </c>
    </row>
    <row r="262" spans="1:3" ht="15.75" x14ac:dyDescent="0.25">
      <c r="A262" s="245" t="s">
        <v>607</v>
      </c>
      <c r="B262" s="243">
        <v>1630</v>
      </c>
      <c r="C262" s="241" t="str">
        <f>VLOOKUP(B262,Orgenheter!$A$1:$B$214,2,0)</f>
        <v>Inst för ide- o samhällsstudier</v>
      </c>
    </row>
    <row r="263" spans="1:3" ht="12.95" customHeight="1" x14ac:dyDescent="0.25">
      <c r="A263" s="245" t="s">
        <v>771</v>
      </c>
      <c r="B263" s="243">
        <v>1630</v>
      </c>
      <c r="C263" s="241" t="str">
        <f>VLOOKUP(B263,Orgenheter!$A$1:$B$214,2,0)</f>
        <v>Inst för ide- o samhällsstudier</v>
      </c>
    </row>
    <row r="264" spans="1:3" ht="12.95" customHeight="1" x14ac:dyDescent="0.25">
      <c r="A264" s="245" t="s">
        <v>1237</v>
      </c>
      <c r="B264" s="243">
        <v>1630</v>
      </c>
      <c r="C264" s="241" t="str">
        <f>VLOOKUP(B264,Orgenheter!$A$1:$B$214,2,0)</f>
        <v>Inst för ide- o samhällsstudier</v>
      </c>
    </row>
    <row r="265" spans="1:3" ht="12.95" customHeight="1" x14ac:dyDescent="0.25">
      <c r="A265" s="245" t="s">
        <v>1011</v>
      </c>
      <c r="B265" s="243">
        <v>1630</v>
      </c>
      <c r="C265" s="241" t="str">
        <f>VLOOKUP(B265,Orgenheter!$A$1:$B$214,2,0)</f>
        <v>Inst för ide- o samhällsstudier</v>
      </c>
    </row>
    <row r="266" spans="1:3" ht="12.95" customHeight="1" x14ac:dyDescent="0.25">
      <c r="A266" s="245" t="s">
        <v>1055</v>
      </c>
      <c r="B266" s="243">
        <v>1630</v>
      </c>
      <c r="C266" s="241" t="str">
        <f>VLOOKUP(B266,Orgenheter!$A$1:$B$214,2,0)</f>
        <v>Inst för ide- o samhällsstudier</v>
      </c>
    </row>
    <row r="267" spans="1:3" ht="15.75" x14ac:dyDescent="0.25">
      <c r="A267" s="245" t="s">
        <v>1056</v>
      </c>
      <c r="B267" s="243">
        <v>1630</v>
      </c>
      <c r="C267" s="241" t="str">
        <f>VLOOKUP(B267,Orgenheter!$A$1:$B$214,2,0)</f>
        <v>Inst för ide- o samhällsstudier</v>
      </c>
    </row>
    <row r="268" spans="1:3" ht="15.75" x14ac:dyDescent="0.25">
      <c r="A268" s="245" t="s">
        <v>1439</v>
      </c>
      <c r="B268" s="243">
        <v>1630</v>
      </c>
      <c r="C268" s="241" t="str">
        <f>VLOOKUP(B268,Orgenheter!$A$1:$B$214,2,0)</f>
        <v>Inst för ide- o samhällsstudier</v>
      </c>
    </row>
    <row r="269" spans="1:3" ht="15.75" x14ac:dyDescent="0.25">
      <c r="A269" s="245" t="s">
        <v>956</v>
      </c>
      <c r="B269" s="243">
        <v>1630</v>
      </c>
      <c r="C269" s="241" t="str">
        <f>VLOOKUP(B269,Orgenheter!$A$1:$B$214,2,0)</f>
        <v>Inst för ide- o samhällsstudier</v>
      </c>
    </row>
    <row r="270" spans="1:3" ht="15.75" x14ac:dyDescent="0.25">
      <c r="A270" s="245" t="s">
        <v>1490</v>
      </c>
      <c r="B270" s="243">
        <v>1630</v>
      </c>
      <c r="C270" s="241" t="str">
        <f>VLOOKUP(B270,Orgenheter!$A$1:$B$214,2,0)</f>
        <v>Inst för ide- o samhällsstudier</v>
      </c>
    </row>
    <row r="271" spans="1:3" ht="15.75" x14ac:dyDescent="0.25">
      <c r="A271" s="363" t="s">
        <v>1896</v>
      </c>
      <c r="B271" s="364">
        <v>1630</v>
      </c>
      <c r="C271" s="241" t="str">
        <f>VLOOKUP(B271,Orgenheter!$A$1:$B$214,2,0)</f>
        <v>Inst för ide- o samhällsstudier</v>
      </c>
    </row>
    <row r="272" spans="1:3" ht="15.75" x14ac:dyDescent="0.25">
      <c r="A272" s="363" t="s">
        <v>1879</v>
      </c>
      <c r="B272" s="364">
        <v>1630</v>
      </c>
      <c r="C272" s="241" t="str">
        <f>VLOOKUP(B272,Orgenheter!$A$1:$B$214,2,0)</f>
        <v>Inst för ide- o samhällsstudier</v>
      </c>
    </row>
    <row r="273" spans="1:3" ht="15.75" x14ac:dyDescent="0.25">
      <c r="A273" s="385" t="s">
        <v>1981</v>
      </c>
      <c r="B273" s="386">
        <v>1630</v>
      </c>
      <c r="C273" s="241" t="str">
        <f>VLOOKUP(B273,Orgenheter!$A$1:$B$214,2,0)</f>
        <v>Inst för ide- o samhällsstudier</v>
      </c>
    </row>
    <row r="274" spans="1:3" ht="15.75" x14ac:dyDescent="0.25">
      <c r="A274" s="385" t="s">
        <v>1982</v>
      </c>
      <c r="B274" s="386">
        <v>1630</v>
      </c>
      <c r="C274" s="241" t="str">
        <f>VLOOKUP(B274,Orgenheter!$A$1:$B$214,2,0)</f>
        <v>Inst för ide- o samhällsstudier</v>
      </c>
    </row>
    <row r="275" spans="1:3" ht="15.75" x14ac:dyDescent="0.25">
      <c r="A275" s="245" t="s">
        <v>1012</v>
      </c>
      <c r="B275" s="243">
        <v>1630</v>
      </c>
      <c r="C275" s="241" t="str">
        <f>VLOOKUP(B275,Orgenheter!$A$1:$B$214,2,0)</f>
        <v>Inst för ide- o samhällsstudier</v>
      </c>
    </row>
    <row r="276" spans="1:3" ht="15.75" x14ac:dyDescent="0.25">
      <c r="A276" s="245" t="s">
        <v>92</v>
      </c>
      <c r="B276" s="243">
        <v>1630</v>
      </c>
      <c r="C276" s="241" t="str">
        <f>VLOOKUP(B276,Orgenheter!$A$1:$B$214,2,0)</f>
        <v>Inst för ide- o samhällsstudier</v>
      </c>
    </row>
    <row r="277" spans="1:3" ht="15.75" x14ac:dyDescent="0.25">
      <c r="A277" s="245" t="s">
        <v>1098</v>
      </c>
      <c r="B277" s="243">
        <v>2180</v>
      </c>
      <c r="C277" s="241" t="str">
        <f>VLOOKUP(B277,Orgenheter!$A$1:$B$214,2,0)</f>
        <v xml:space="preserve">Pedagogik                     </v>
      </c>
    </row>
    <row r="278" spans="1:3" ht="12.95" customHeight="1" x14ac:dyDescent="0.25">
      <c r="A278" s="245" t="s">
        <v>1099</v>
      </c>
      <c r="B278" s="243">
        <v>2180</v>
      </c>
      <c r="C278" s="241" t="str">
        <f>VLOOKUP(B278,Orgenheter!$A$1:$B$214,2,0)</f>
        <v xml:space="preserve">Pedagogik                     </v>
      </c>
    </row>
    <row r="279" spans="1:3" ht="12.95" customHeight="1" x14ac:dyDescent="0.25">
      <c r="A279" s="245" t="s">
        <v>1521</v>
      </c>
      <c r="B279" s="243">
        <v>2180</v>
      </c>
      <c r="C279" s="241" t="str">
        <f>VLOOKUP(B279,Orgenheter!$A$1:$B$214,2,0)</f>
        <v xml:space="preserve">Pedagogik                     </v>
      </c>
    </row>
    <row r="280" spans="1:3" ht="12.95" customHeight="1" x14ac:dyDescent="0.25">
      <c r="A280" s="245" t="s">
        <v>1445</v>
      </c>
      <c r="B280" s="243">
        <v>2180</v>
      </c>
      <c r="C280" s="241" t="str">
        <f>VLOOKUP(B280,Orgenheter!$A$1:$B$214,2,0)</f>
        <v xml:space="preserve">Pedagogik                     </v>
      </c>
    </row>
    <row r="281" spans="1:3" ht="12.95" customHeight="1" x14ac:dyDescent="0.25">
      <c r="A281" s="245" t="s">
        <v>1435</v>
      </c>
      <c r="B281" s="243">
        <v>2180</v>
      </c>
      <c r="C281" s="241" t="str">
        <f>VLOOKUP(B281,Orgenheter!$A$1:$B$214,2,0)</f>
        <v xml:space="preserve">Pedagogik                     </v>
      </c>
    </row>
    <row r="282" spans="1:3" ht="15.75" x14ac:dyDescent="0.25">
      <c r="A282" s="245" t="s">
        <v>1550</v>
      </c>
      <c r="B282" s="243">
        <v>2180</v>
      </c>
      <c r="C282" s="241" t="str">
        <f>VLOOKUP(B282,Orgenheter!$A$1:$B$214,2,0)</f>
        <v xml:space="preserve">Pedagogik                     </v>
      </c>
    </row>
    <row r="283" spans="1:3" ht="15.75" x14ac:dyDescent="0.25">
      <c r="A283" s="245" t="s">
        <v>1764</v>
      </c>
      <c r="B283" s="243">
        <v>2180</v>
      </c>
      <c r="C283" s="241" t="str">
        <f>VLOOKUP(B283,Orgenheter!$A$1:$B$214,2,0)</f>
        <v xml:space="preserve">Pedagogik                     </v>
      </c>
    </row>
    <row r="284" spans="1:3" ht="15.75" x14ac:dyDescent="0.25">
      <c r="A284" s="413" t="s">
        <v>2096</v>
      </c>
      <c r="B284" s="411">
        <v>2180</v>
      </c>
      <c r="C284" s="241" t="str">
        <f>VLOOKUP(B284,Orgenheter!$A$1:$B$214,2,0)</f>
        <v xml:space="preserve">Pedagogik                     </v>
      </c>
    </row>
    <row r="285" spans="1:3" ht="12.95" customHeight="1" x14ac:dyDescent="0.25">
      <c r="A285" s="245" t="s">
        <v>2325</v>
      </c>
      <c r="B285" s="243">
        <v>2180</v>
      </c>
      <c r="C285" s="241" t="str">
        <f>VLOOKUP(B285,Orgenheter!$A$1:$B$214,2,0)</f>
        <v xml:space="preserve">Pedagogik                     </v>
      </c>
    </row>
    <row r="286" spans="1:3" ht="12.95" customHeight="1" x14ac:dyDescent="0.25">
      <c r="A286" s="358" t="s">
        <v>2481</v>
      </c>
      <c r="B286" s="241">
        <v>2180</v>
      </c>
      <c r="C286" s="241" t="str">
        <f>VLOOKUP(B286,Orgenheter!$A$1:$B$214,2,0)</f>
        <v xml:space="preserve">Pedagogik                     </v>
      </c>
    </row>
    <row r="287" spans="1:3" ht="15.75" x14ac:dyDescent="0.25">
      <c r="A287" s="245" t="s">
        <v>496</v>
      </c>
      <c r="B287" s="243">
        <v>2180</v>
      </c>
      <c r="C287" s="241" t="str">
        <f>VLOOKUP(B287,Orgenheter!$A$1:$B$214,2,0)</f>
        <v xml:space="preserve">Pedagogik                     </v>
      </c>
    </row>
    <row r="288" spans="1:3" ht="15.75" x14ac:dyDescent="0.25">
      <c r="A288" s="245" t="s">
        <v>581</v>
      </c>
      <c r="B288" s="243">
        <v>2180</v>
      </c>
      <c r="C288" s="241" t="str">
        <f>VLOOKUP(B288,Orgenheter!$A$1:$B$214,2,0)</f>
        <v xml:space="preserve">Pedagogik                     </v>
      </c>
    </row>
    <row r="289" spans="1:3" ht="15.75" x14ac:dyDescent="0.25">
      <c r="A289" s="245" t="s">
        <v>582</v>
      </c>
      <c r="B289" s="243">
        <v>2180</v>
      </c>
      <c r="C289" s="241" t="str">
        <f>VLOOKUP(B289,Orgenheter!$A$1:$B$214,2,0)</f>
        <v xml:space="preserve">Pedagogik                     </v>
      </c>
    </row>
    <row r="290" spans="1:3" ht="15.75" x14ac:dyDescent="0.25">
      <c r="A290" s="245" t="s">
        <v>1013</v>
      </c>
      <c r="B290" s="243">
        <v>2180</v>
      </c>
      <c r="C290" s="241" t="str">
        <f>VLOOKUP(B290,Orgenheter!$A$1:$B$214,2,0)</f>
        <v xml:space="preserve">Pedagogik                     </v>
      </c>
    </row>
    <row r="291" spans="1:3" ht="12.95" customHeight="1" x14ac:dyDescent="0.25">
      <c r="A291" s="245" t="s">
        <v>1014</v>
      </c>
      <c r="B291" s="243">
        <v>2180</v>
      </c>
      <c r="C291" s="241" t="str">
        <f>VLOOKUP(B291,Orgenheter!$A$1:$B$214,2,0)</f>
        <v xml:space="preserve">Pedagogik                     </v>
      </c>
    </row>
    <row r="292" spans="1:3" ht="12.95" customHeight="1" x14ac:dyDescent="0.25">
      <c r="A292" s="245" t="s">
        <v>1015</v>
      </c>
      <c r="B292" s="243">
        <v>2180</v>
      </c>
      <c r="C292" s="241" t="str">
        <f>VLOOKUP(B292,Orgenheter!$A$1:$B$214,2,0)</f>
        <v xml:space="preserve">Pedagogik                     </v>
      </c>
    </row>
    <row r="293" spans="1:3" ht="12.95" customHeight="1" x14ac:dyDescent="0.25">
      <c r="A293" s="245" t="s">
        <v>845</v>
      </c>
      <c r="B293" s="243">
        <v>2180</v>
      </c>
      <c r="C293" s="241" t="str">
        <f>VLOOKUP(B293,Orgenheter!$A$1:$B$214,2,0)</f>
        <v xml:space="preserve">Pedagogik                     </v>
      </c>
    </row>
    <row r="294" spans="1:3" ht="12.95" customHeight="1" x14ac:dyDescent="0.25">
      <c r="A294" s="245" t="s">
        <v>846</v>
      </c>
      <c r="B294" s="243">
        <v>2180</v>
      </c>
      <c r="C294" s="241" t="str">
        <f>VLOOKUP(B294,Orgenheter!$A$1:$B$214,2,0)</f>
        <v xml:space="preserve">Pedagogik                     </v>
      </c>
    </row>
    <row r="295" spans="1:3" ht="12.95" customHeight="1" x14ac:dyDescent="0.25">
      <c r="A295" s="245" t="s">
        <v>976</v>
      </c>
      <c r="B295" s="243">
        <v>2180</v>
      </c>
      <c r="C295" s="241" t="str">
        <f>VLOOKUP(B295,Orgenheter!$A$1:$B$214,2,0)</f>
        <v xml:space="preserve">Pedagogik                     </v>
      </c>
    </row>
    <row r="296" spans="1:3" ht="12.95" customHeight="1" x14ac:dyDescent="0.25">
      <c r="A296" s="245" t="s">
        <v>977</v>
      </c>
      <c r="B296" s="243">
        <v>2180</v>
      </c>
      <c r="C296" s="241" t="str">
        <f>VLOOKUP(B296,Orgenheter!$A$1:$B$214,2,0)</f>
        <v xml:space="preserve">Pedagogik                     </v>
      </c>
    </row>
    <row r="297" spans="1:3" ht="12.95" customHeight="1" x14ac:dyDescent="0.25">
      <c r="A297" s="222" t="s">
        <v>1667</v>
      </c>
      <c r="B297" s="241">
        <v>2193</v>
      </c>
      <c r="C297" s="241" t="str">
        <f>VLOOKUP(B297,Orgenheter!$A$1:$B$214,2,0)</f>
        <v xml:space="preserve">TUV </v>
      </c>
    </row>
    <row r="298" spans="1:3" ht="12.95" customHeight="1" x14ac:dyDescent="0.25">
      <c r="A298" s="222" t="s">
        <v>1666</v>
      </c>
      <c r="B298" s="241">
        <v>2193</v>
      </c>
      <c r="C298" s="241" t="str">
        <f>VLOOKUP(B298,Orgenheter!$A$1:$B$214,2,0)</f>
        <v xml:space="preserve">TUV </v>
      </c>
    </row>
    <row r="299" spans="1:3" s="1" customFormat="1" x14ac:dyDescent="0.25">
      <c r="A299" s="241" t="s">
        <v>2139</v>
      </c>
      <c r="B299" s="241">
        <v>2193</v>
      </c>
      <c r="C299" s="241" t="str">
        <f>VLOOKUP(B299,Orgenheter!$A$1:$B$214,2,0)</f>
        <v xml:space="preserve">TUV </v>
      </c>
    </row>
    <row r="300" spans="1:3" ht="12.95" customHeight="1" x14ac:dyDescent="0.25">
      <c r="A300" s="245" t="s">
        <v>940</v>
      </c>
      <c r="B300" s="243">
        <v>2300</v>
      </c>
      <c r="C300" s="241" t="str">
        <f>VLOOKUP(B300,Orgenheter!$A$1:$B$214,2,0)</f>
        <v xml:space="preserve">Juridiska institutionen       </v>
      </c>
    </row>
    <row r="301" spans="1:3" ht="12.95" customHeight="1" x14ac:dyDescent="0.25">
      <c r="A301" s="245" t="s">
        <v>1279</v>
      </c>
      <c r="B301" s="243">
        <v>1640</v>
      </c>
      <c r="C301" s="241" t="str">
        <f>VLOOKUP(B301,Orgenheter!$A$1:$B$214,2,0)</f>
        <v>Inst för kultur- o medievetenskap</v>
      </c>
    </row>
    <row r="302" spans="1:3" ht="12.95" customHeight="1" x14ac:dyDescent="0.25">
      <c r="A302" s="245" t="s">
        <v>1281</v>
      </c>
      <c r="B302" s="243">
        <v>1640</v>
      </c>
      <c r="C302" s="241" t="str">
        <f>VLOOKUP(B302,Orgenheter!$A$1:$B$214,2,0)</f>
        <v>Inst för kultur- o medievetenskap</v>
      </c>
    </row>
    <row r="303" spans="1:3" ht="12.95" customHeight="1" x14ac:dyDescent="0.25">
      <c r="A303" s="294" t="s">
        <v>1454</v>
      </c>
      <c r="B303" s="241">
        <v>5740</v>
      </c>
      <c r="C303" s="241" t="str">
        <f>VLOOKUP(B303,Orgenheter!$A$1:$B$214,2,0)</f>
        <v>NMD</v>
      </c>
    </row>
    <row r="304" spans="1:3" ht="12.95" customHeight="1" x14ac:dyDescent="0.25">
      <c r="A304" s="363" t="s">
        <v>1462</v>
      </c>
      <c r="B304" s="364">
        <v>5740</v>
      </c>
      <c r="C304" s="241" t="str">
        <f>VLOOKUP(B304,Orgenheter!$A$1:$B$214,2,0)</f>
        <v>NMD</v>
      </c>
    </row>
    <row r="305" spans="1:3" ht="12.95" customHeight="1" x14ac:dyDescent="0.25">
      <c r="A305" s="245" t="s">
        <v>1463</v>
      </c>
      <c r="B305" s="243">
        <v>5740</v>
      </c>
      <c r="C305" s="241" t="str">
        <f>VLOOKUP(B305,Orgenheter!$A$1:$B$214,2,0)</f>
        <v>NMD</v>
      </c>
    </row>
    <row r="306" spans="1:3" ht="12.95" customHeight="1" x14ac:dyDescent="0.25">
      <c r="A306" s="245" t="s">
        <v>1464</v>
      </c>
      <c r="B306" s="243">
        <v>5740</v>
      </c>
      <c r="C306" s="241" t="str">
        <f>VLOOKUP(B306,Orgenheter!$A$1:$B$214,2,0)</f>
        <v>NMD</v>
      </c>
    </row>
    <row r="307" spans="1:3" ht="12.95" customHeight="1" x14ac:dyDescent="0.25">
      <c r="A307" s="264" t="s">
        <v>1897</v>
      </c>
      <c r="B307" s="241">
        <v>5500</v>
      </c>
      <c r="C307" s="241" t="str">
        <f>VLOOKUP(B307,Orgenheter!$A$1:$B$214,2,0)</f>
        <v xml:space="preserve">Kemiska institutionen         </v>
      </c>
    </row>
    <row r="308" spans="1:3" ht="15.75" x14ac:dyDescent="0.25">
      <c r="A308" s="294" t="s">
        <v>1238</v>
      </c>
      <c r="B308" s="241">
        <v>5500</v>
      </c>
      <c r="C308" s="241" t="str">
        <f>VLOOKUP(B308,Orgenheter!$A$1:$B$214,2,0)</f>
        <v xml:space="preserve">Kemiska institutionen         </v>
      </c>
    </row>
    <row r="309" spans="1:3" ht="12.95" customHeight="1" x14ac:dyDescent="0.25">
      <c r="A309" s="241" t="s">
        <v>847</v>
      </c>
      <c r="B309" s="241">
        <v>5500</v>
      </c>
      <c r="C309" s="241" t="str">
        <f>VLOOKUP(B309,Orgenheter!$A$1:$B$214,2,0)</f>
        <v xml:space="preserve">Kemiska institutionen         </v>
      </c>
    </row>
    <row r="310" spans="1:3" ht="12.95" customHeight="1" x14ac:dyDescent="0.25">
      <c r="A310" s="241" t="s">
        <v>772</v>
      </c>
      <c r="B310" s="241">
        <v>2500</v>
      </c>
      <c r="C310" s="241" t="str">
        <f>VLOOKUP(B310,Orgenheter!$A$1:$B$214,2,0)</f>
        <v>Geografi</v>
      </c>
    </row>
    <row r="311" spans="1:3" ht="15.75" x14ac:dyDescent="0.25">
      <c r="A311" s="294" t="s">
        <v>924</v>
      </c>
      <c r="B311" s="241">
        <v>2500</v>
      </c>
      <c r="C311" s="241" t="str">
        <f>VLOOKUP(B311,Orgenheter!$A$1:$B$214,2,0)</f>
        <v>Geografi</v>
      </c>
    </row>
    <row r="312" spans="1:3" ht="12.95" customHeight="1" x14ac:dyDescent="0.25">
      <c r="A312" s="363" t="s">
        <v>1983</v>
      </c>
      <c r="B312" s="364">
        <v>2500</v>
      </c>
      <c r="C312" s="241" t="str">
        <f>VLOOKUP(B312,Orgenheter!$A$1:$B$214,2,0)</f>
        <v>Geografi</v>
      </c>
    </row>
    <row r="313" spans="1:3" ht="15.75" x14ac:dyDescent="0.25">
      <c r="A313" s="294" t="s">
        <v>1800</v>
      </c>
      <c r="B313" s="241">
        <v>2500</v>
      </c>
      <c r="C313" s="241" t="str">
        <f>VLOOKUP(B313,Orgenheter!$A$1:$B$214,2,0)</f>
        <v>Geografi</v>
      </c>
    </row>
    <row r="314" spans="1:3" x14ac:dyDescent="0.25">
      <c r="A314" s="222" t="s">
        <v>1801</v>
      </c>
      <c r="B314" s="241">
        <v>2500</v>
      </c>
      <c r="C314" s="241" t="str">
        <f>VLOOKUP(B314,Orgenheter!$A$1:$B$214,2,0)</f>
        <v>Geografi</v>
      </c>
    </row>
    <row r="315" spans="1:3" ht="15.75" x14ac:dyDescent="0.25">
      <c r="A315" s="294" t="s">
        <v>1875</v>
      </c>
      <c r="B315" s="241">
        <v>2500</v>
      </c>
      <c r="C315" s="241" t="str">
        <f>VLOOKUP(B315,Orgenheter!$A$1:$B$214,2,0)</f>
        <v>Geografi</v>
      </c>
    </row>
    <row r="316" spans="1:3" ht="15.75" x14ac:dyDescent="0.25">
      <c r="A316" s="294" t="s">
        <v>1878</v>
      </c>
      <c r="B316" s="241">
        <v>2500</v>
      </c>
      <c r="C316" s="241" t="str">
        <f>VLOOKUP(B316,Orgenheter!$A$1:$B$214,2,0)</f>
        <v>Geografi</v>
      </c>
    </row>
    <row r="317" spans="1:3" ht="12.95" customHeight="1" x14ac:dyDescent="0.25">
      <c r="A317" s="363" t="s">
        <v>1984</v>
      </c>
      <c r="B317" s="364">
        <v>2500</v>
      </c>
      <c r="C317" s="241" t="str">
        <f>VLOOKUP(B317,Orgenheter!$A$1:$B$214,2,0)</f>
        <v>Geografi</v>
      </c>
    </row>
    <row r="318" spans="1:3" ht="12.95" customHeight="1" x14ac:dyDescent="0.25">
      <c r="A318" s="363" t="s">
        <v>2028</v>
      </c>
      <c r="B318" s="364">
        <v>2500</v>
      </c>
      <c r="C318" s="241" t="str">
        <f>VLOOKUP(B318,Orgenheter!$A$1:$B$214,2,0)</f>
        <v>Geografi</v>
      </c>
    </row>
    <row r="319" spans="1:3" ht="12.95" customHeight="1" x14ac:dyDescent="0.25">
      <c r="A319" s="524" t="s">
        <v>2341</v>
      </c>
      <c r="B319" s="525">
        <v>2500</v>
      </c>
      <c r="C319" s="241" t="str">
        <f>VLOOKUP(B319,Orgenheter!$A$1:$B$214,2,0)</f>
        <v>Geografi</v>
      </c>
    </row>
    <row r="320" spans="1:3" x14ac:dyDescent="0.25">
      <c r="A320" s="247" t="s">
        <v>104</v>
      </c>
      <c r="B320" s="409">
        <v>2650</v>
      </c>
      <c r="C320" s="241" t="str">
        <f>VLOOKUP(B320,Orgenheter!$A$1:$B$214,2,0)</f>
        <v>Inst för kost- och måltidsvetenskap</v>
      </c>
    </row>
    <row r="321" spans="1:3" x14ac:dyDescent="0.25">
      <c r="A321" s="241" t="s">
        <v>329</v>
      </c>
      <c r="B321" s="409">
        <v>2650</v>
      </c>
      <c r="C321" s="241" t="str">
        <f>VLOOKUP(B321,Orgenheter!$A$1:$B$214,2,0)</f>
        <v>Inst för kost- och måltidsvetenskap</v>
      </c>
    </row>
    <row r="322" spans="1:3" x14ac:dyDescent="0.25">
      <c r="A322" s="241" t="s">
        <v>848</v>
      </c>
      <c r="B322" s="409">
        <v>2650</v>
      </c>
      <c r="C322" s="241" t="str">
        <f>VLOOKUP(B322,Orgenheter!$A$1:$B$214,2,0)</f>
        <v>Inst för kost- och måltidsvetenskap</v>
      </c>
    </row>
    <row r="323" spans="1:3" ht="15.75" x14ac:dyDescent="0.25">
      <c r="A323" s="245" t="s">
        <v>497</v>
      </c>
      <c r="B323" s="409">
        <v>2650</v>
      </c>
      <c r="C323" s="241" t="str">
        <f>VLOOKUP(B323,Orgenheter!$A$1:$B$214,2,0)</f>
        <v>Inst för kost- och måltidsvetenskap</v>
      </c>
    </row>
    <row r="324" spans="1:3" x14ac:dyDescent="0.25">
      <c r="A324" s="247" t="s">
        <v>528</v>
      </c>
      <c r="B324" s="409">
        <v>2650</v>
      </c>
      <c r="C324" s="241" t="str">
        <f>VLOOKUP(B324,Orgenheter!$A$1:$B$214,2,0)</f>
        <v>Inst för kost- och måltidsvetenskap</v>
      </c>
    </row>
    <row r="325" spans="1:3" x14ac:dyDescent="0.25">
      <c r="A325" s="256" t="s">
        <v>648</v>
      </c>
      <c r="B325" s="409">
        <v>2650</v>
      </c>
      <c r="C325" s="241" t="str">
        <f>VLOOKUP(B325,Orgenheter!$A$1:$B$214,2,0)</f>
        <v>Inst för kost- och måltidsvetenskap</v>
      </c>
    </row>
    <row r="326" spans="1:3" x14ac:dyDescent="0.25">
      <c r="A326" s="265" t="s">
        <v>825</v>
      </c>
      <c r="B326" s="409">
        <v>2650</v>
      </c>
      <c r="C326" s="241" t="str">
        <f>VLOOKUP(B326,Orgenheter!$A$1:$B$214,2,0)</f>
        <v>Inst för kost- och måltidsvetenskap</v>
      </c>
    </row>
    <row r="327" spans="1:3" x14ac:dyDescent="0.25">
      <c r="A327" s="257" t="s">
        <v>817</v>
      </c>
      <c r="B327" s="409">
        <v>2650</v>
      </c>
      <c r="C327" s="241" t="str">
        <f>VLOOKUP(B327,Orgenheter!$A$1:$B$214,2,0)</f>
        <v>Inst för kost- och måltidsvetenskap</v>
      </c>
    </row>
    <row r="328" spans="1:3" x14ac:dyDescent="0.25">
      <c r="A328" s="257" t="s">
        <v>1070</v>
      </c>
      <c r="B328" s="409">
        <v>2650</v>
      </c>
      <c r="C328" s="241" t="str">
        <f>VLOOKUP(B328,Orgenheter!$A$1:$B$214,2,0)</f>
        <v>Inst för kost- och måltidsvetenskap</v>
      </c>
    </row>
    <row r="329" spans="1:3" x14ac:dyDescent="0.25">
      <c r="A329" s="257" t="s">
        <v>1069</v>
      </c>
      <c r="B329" s="409">
        <v>2650</v>
      </c>
      <c r="C329" s="241" t="str">
        <f>VLOOKUP(B329,Orgenheter!$A$1:$B$214,2,0)</f>
        <v>Inst för kost- och måltidsvetenskap</v>
      </c>
    </row>
    <row r="330" spans="1:3" x14ac:dyDescent="0.25">
      <c r="A330" s="257" t="s">
        <v>1283</v>
      </c>
      <c r="B330" s="409">
        <v>2650</v>
      </c>
      <c r="C330" s="241" t="str">
        <f>VLOOKUP(B330,Orgenheter!$A$1:$B$214,2,0)</f>
        <v>Inst för kost- och måltidsvetenskap</v>
      </c>
    </row>
    <row r="331" spans="1:3" x14ac:dyDescent="0.25">
      <c r="A331" s="257" t="s">
        <v>1329</v>
      </c>
      <c r="B331" s="409">
        <v>2650</v>
      </c>
      <c r="C331" s="241" t="str">
        <f>VLOOKUP(B331,Orgenheter!$A$1:$B$214,2,0)</f>
        <v>Inst för kost- och måltidsvetenskap</v>
      </c>
    </row>
    <row r="332" spans="1:3" x14ac:dyDescent="0.25">
      <c r="A332" s="257" t="s">
        <v>1415</v>
      </c>
      <c r="B332" s="409">
        <v>2650</v>
      </c>
      <c r="C332" s="241" t="str">
        <f>VLOOKUP(B332,Orgenheter!$A$1:$B$214,2,0)</f>
        <v>Inst för kost- och måltidsvetenskap</v>
      </c>
    </row>
    <row r="333" spans="1:3" x14ac:dyDescent="0.25">
      <c r="A333" s="31" t="s">
        <v>2006</v>
      </c>
      <c r="B333" s="409">
        <v>2650</v>
      </c>
      <c r="C333" s="241" t="str">
        <f>VLOOKUP(B333,Orgenheter!$A$1:$B$214,2,0)</f>
        <v>Inst för kost- och måltidsvetenskap</v>
      </c>
    </row>
    <row r="334" spans="1:3" x14ac:dyDescent="0.25">
      <c r="A334" s="418" t="s">
        <v>2281</v>
      </c>
      <c r="B334" s="492">
        <v>2650</v>
      </c>
      <c r="C334" s="241" t="str">
        <f>VLOOKUP(B334,Orgenheter!$A$1:$B$214,2,0)</f>
        <v>Inst för kost- och måltidsvetenskap</v>
      </c>
    </row>
    <row r="335" spans="1:3" x14ac:dyDescent="0.25">
      <c r="A335" s="418" t="s">
        <v>2097</v>
      </c>
      <c r="B335" s="409">
        <v>2650</v>
      </c>
      <c r="C335" s="241" t="str">
        <f>VLOOKUP(B335,Orgenheter!$A$1:$B$214,2,0)</f>
        <v>Inst för kost- och måltidsvetenskap</v>
      </c>
    </row>
    <row r="336" spans="1:3" x14ac:dyDescent="0.25">
      <c r="A336" s="418" t="s">
        <v>2098</v>
      </c>
      <c r="B336" s="409">
        <v>2650</v>
      </c>
      <c r="C336" s="241" t="str">
        <f>VLOOKUP(B336,Orgenheter!$A$1:$B$214,2,0)</f>
        <v>Inst för kost- och måltidsvetenskap</v>
      </c>
    </row>
    <row r="337" spans="1:3" x14ac:dyDescent="0.25">
      <c r="A337" s="418" t="s">
        <v>2160</v>
      </c>
      <c r="B337" s="492">
        <v>2650</v>
      </c>
      <c r="C337" s="241" t="str">
        <f>VLOOKUP(B337,Orgenheter!$A$1:$B$214,2,0)</f>
        <v>Inst för kost- och måltidsvetenskap</v>
      </c>
    </row>
    <row r="338" spans="1:3" x14ac:dyDescent="0.25">
      <c r="A338" s="418" t="s">
        <v>2161</v>
      </c>
      <c r="B338" s="492">
        <v>2650</v>
      </c>
      <c r="C338" s="241" t="str">
        <f>VLOOKUP(B338,Orgenheter!$A$1:$B$214,2,0)</f>
        <v>Inst för kost- och måltidsvetenskap</v>
      </c>
    </row>
    <row r="339" spans="1:3" x14ac:dyDescent="0.25">
      <c r="A339" s="418" t="s">
        <v>2384</v>
      </c>
      <c r="B339" s="492">
        <v>2650</v>
      </c>
      <c r="C339" s="241" t="str">
        <f>VLOOKUP(B339,Orgenheter!$A$1:$B$214,2,0)</f>
        <v>Inst för kost- och måltidsvetenskap</v>
      </c>
    </row>
    <row r="340" spans="1:3" ht="12.95" customHeight="1" x14ac:dyDescent="0.25">
      <c r="A340" s="257" t="s">
        <v>1016</v>
      </c>
      <c r="B340" s="409">
        <v>2650</v>
      </c>
      <c r="C340" s="241" t="str">
        <f>VLOOKUP(B340,Orgenheter!$A$1:$B$214,2,0)</f>
        <v>Inst för kost- och måltidsvetenskap</v>
      </c>
    </row>
    <row r="341" spans="1:3" ht="12.95" customHeight="1" x14ac:dyDescent="0.25">
      <c r="A341" s="257" t="s">
        <v>938</v>
      </c>
      <c r="B341" s="409">
        <v>2650</v>
      </c>
      <c r="C341" s="241" t="str">
        <f>VLOOKUP(B341,Orgenheter!$A$1:$B$214,2,0)</f>
        <v>Inst för kost- och måltidsvetenskap</v>
      </c>
    </row>
    <row r="342" spans="1:3" ht="12.95" customHeight="1" x14ac:dyDescent="0.25">
      <c r="A342" s="257" t="s">
        <v>1284</v>
      </c>
      <c r="B342" s="241">
        <v>1640</v>
      </c>
      <c r="C342" s="241" t="str">
        <f>VLOOKUP(B342,Orgenheter!$A$1:$B$214,2,0)</f>
        <v>Inst för kultur- o medievetenskap</v>
      </c>
    </row>
    <row r="343" spans="1:3" ht="12.95" customHeight="1" x14ac:dyDescent="0.25">
      <c r="A343" s="261" t="s">
        <v>2149</v>
      </c>
      <c r="B343" s="241">
        <v>2180</v>
      </c>
      <c r="C343" s="241" t="str">
        <f>VLOOKUP(B343,Orgenheter!$A$1:$B$214,2,0)</f>
        <v xml:space="preserve">Pedagogik                     </v>
      </c>
    </row>
    <row r="344" spans="1:3" ht="12.95" customHeight="1" x14ac:dyDescent="0.25">
      <c r="A344" s="501" t="s">
        <v>2150</v>
      </c>
      <c r="B344" s="241">
        <v>1630</v>
      </c>
      <c r="C344" s="241" t="str">
        <f>VLOOKUP(B344,Orgenheter!$A$1:$B$214,2,0)</f>
        <v>Inst för ide- o samhällsstudier</v>
      </c>
    </row>
    <row r="345" spans="1:3" ht="12.95" customHeight="1" x14ac:dyDescent="0.25">
      <c r="A345" s="62" t="s">
        <v>2253</v>
      </c>
      <c r="B345" s="492">
        <v>5740</v>
      </c>
      <c r="C345" s="241" t="str">
        <f>VLOOKUP(B345,Orgenheter!$A$1:$B$214,2,0)</f>
        <v>NMD</v>
      </c>
    </row>
    <row r="346" spans="1:3" ht="12.95" customHeight="1" x14ac:dyDescent="0.25">
      <c r="A346" s="513" t="s">
        <v>2254</v>
      </c>
      <c r="B346" s="492">
        <v>1650</v>
      </c>
      <c r="C346" s="241" t="str">
        <f>VLOOKUP(B346,Orgenheter!$A$1:$B$214,2,0)</f>
        <v xml:space="preserve">Estetiska ämnen               </v>
      </c>
    </row>
    <row r="347" spans="1:3" ht="12.95" customHeight="1" x14ac:dyDescent="0.25">
      <c r="A347" s="513" t="s">
        <v>2414</v>
      </c>
      <c r="B347" s="522">
        <v>5740</v>
      </c>
      <c r="C347" s="241" t="str">
        <f>VLOOKUP(B347,Orgenheter!$A$1:$B$214,2,0)</f>
        <v>NMD</v>
      </c>
    </row>
    <row r="348" spans="1:3" ht="12.95" customHeight="1" x14ac:dyDescent="0.25">
      <c r="A348" s="513" t="s">
        <v>2415</v>
      </c>
      <c r="B348" s="522">
        <v>5740</v>
      </c>
      <c r="C348" s="241" t="str">
        <f>VLOOKUP(B348,Orgenheter!$A$1:$B$214,2,0)</f>
        <v>NMD</v>
      </c>
    </row>
    <row r="349" spans="1:3" ht="12.95" customHeight="1" x14ac:dyDescent="0.25">
      <c r="A349" s="513" t="s">
        <v>2417</v>
      </c>
      <c r="B349" s="522">
        <v>2180</v>
      </c>
      <c r="C349" s="241" t="str">
        <f>VLOOKUP(B349,Orgenheter!$A$1:$B$214,2,0)</f>
        <v xml:space="preserve">Pedagogik                     </v>
      </c>
    </row>
    <row r="350" spans="1:3" ht="12.95" customHeight="1" x14ac:dyDescent="0.25">
      <c r="A350" s="513" t="s">
        <v>2419</v>
      </c>
      <c r="B350" s="522">
        <v>1650</v>
      </c>
      <c r="C350" s="241" t="str">
        <f>VLOOKUP(B350,Orgenheter!$A$1:$B$214,2,0)</f>
        <v xml:space="preserve">Estetiska ämnen               </v>
      </c>
    </row>
    <row r="351" spans="1:3" ht="12.95" customHeight="1" x14ac:dyDescent="0.25">
      <c r="A351" s="513" t="s">
        <v>2420</v>
      </c>
      <c r="B351" s="522">
        <v>1620</v>
      </c>
      <c r="C351" s="241" t="str">
        <f>VLOOKUP(B351,Orgenheter!$A$1:$B$214,2,0)</f>
        <v>Inst för språkstudier</v>
      </c>
    </row>
    <row r="352" spans="1:3" ht="12.95" customHeight="1" x14ac:dyDescent="0.25">
      <c r="A352" s="513" t="s">
        <v>2421</v>
      </c>
      <c r="B352" s="522">
        <v>1620</v>
      </c>
      <c r="C352" s="241" t="str">
        <f>VLOOKUP(B352,Orgenheter!$A$1:$B$214,2,0)</f>
        <v>Inst för språkstudier</v>
      </c>
    </row>
    <row r="353" spans="1:3" ht="12.95" customHeight="1" x14ac:dyDescent="0.25">
      <c r="A353" s="513" t="s">
        <v>2422</v>
      </c>
      <c r="B353" s="522">
        <v>2650</v>
      </c>
      <c r="C353" s="241" t="str">
        <f>VLOOKUP(B353,Orgenheter!$A$1:$B$214,2,0)</f>
        <v>Inst för kost- och måltidsvetenskap</v>
      </c>
    </row>
    <row r="354" spans="1:3" ht="12.95" customHeight="1" x14ac:dyDescent="0.25">
      <c r="A354" s="513" t="s">
        <v>2423</v>
      </c>
      <c r="B354" s="522">
        <v>1650</v>
      </c>
      <c r="C354" s="241" t="str">
        <f>VLOOKUP(B354,Orgenheter!$A$1:$B$214,2,0)</f>
        <v xml:space="preserve">Estetiska ämnen               </v>
      </c>
    </row>
    <row r="355" spans="1:3" ht="12.95" customHeight="1" x14ac:dyDescent="0.25">
      <c r="A355" s="513" t="s">
        <v>2424</v>
      </c>
      <c r="B355" s="522">
        <v>1650</v>
      </c>
      <c r="C355" s="241" t="str">
        <f>VLOOKUP(B355,Orgenheter!$A$1:$B$214,2,0)</f>
        <v xml:space="preserve">Estetiska ämnen               </v>
      </c>
    </row>
    <row r="356" spans="1:3" ht="12.95" customHeight="1" x14ac:dyDescent="0.25">
      <c r="A356" s="513" t="s">
        <v>2425</v>
      </c>
      <c r="B356" s="522">
        <v>1650</v>
      </c>
      <c r="C356" s="241" t="str">
        <f>VLOOKUP(B356,Orgenheter!$A$1:$B$214,2,0)</f>
        <v xml:space="preserve">Estetiska ämnen               </v>
      </c>
    </row>
    <row r="357" spans="1:3" ht="12.95" customHeight="1" x14ac:dyDescent="0.25">
      <c r="A357" s="512" t="s">
        <v>2217</v>
      </c>
      <c r="B357" s="492">
        <v>6000</v>
      </c>
      <c r="C357" s="241" t="str">
        <f>VLOOKUP(B357,Orgenheter!$A$1:$B$214,2,0)</f>
        <v xml:space="preserve">Lärarutbildningarna gem       </v>
      </c>
    </row>
    <row r="358" spans="1:3" ht="12.95" customHeight="1" x14ac:dyDescent="0.25">
      <c r="A358" s="512" t="s">
        <v>2255</v>
      </c>
      <c r="B358" s="492">
        <v>1650</v>
      </c>
      <c r="C358" s="241" t="str">
        <f>VLOOKUP(B358,Orgenheter!$A$1:$B$214,2,0)</f>
        <v xml:space="preserve">Estetiska ämnen               </v>
      </c>
    </row>
    <row r="359" spans="1:3" ht="12.95" customHeight="1" x14ac:dyDescent="0.25">
      <c r="A359" s="296" t="s">
        <v>767</v>
      </c>
      <c r="B359" s="241">
        <v>1620</v>
      </c>
      <c r="C359" s="241" t="str">
        <f>VLOOKUP(B359,Orgenheter!$A$1:$B$214,2,0)</f>
        <v>Inst för språkstudier</v>
      </c>
    </row>
    <row r="360" spans="1:3" ht="12.95" customHeight="1" x14ac:dyDescent="0.25">
      <c r="A360" s="296" t="s">
        <v>1057</v>
      </c>
      <c r="B360" s="241">
        <v>1620</v>
      </c>
      <c r="C360" s="241" t="str">
        <f>VLOOKUP(B360,Orgenheter!$A$1:$B$214,2,0)</f>
        <v>Inst för språkstudier</v>
      </c>
    </row>
    <row r="361" spans="1:3" ht="12.95" customHeight="1" x14ac:dyDescent="0.25">
      <c r="A361" s="296" t="s">
        <v>1442</v>
      </c>
      <c r="B361" s="241">
        <v>1620</v>
      </c>
      <c r="C361" s="241" t="str">
        <f>VLOOKUP(B361,Orgenheter!$A$1:$B$214,2,0)</f>
        <v>Inst för språkstudier</v>
      </c>
    </row>
    <row r="362" spans="1:3" ht="15" customHeight="1" x14ac:dyDescent="0.25">
      <c r="A362" s="241" t="s">
        <v>1663</v>
      </c>
      <c r="B362" s="241">
        <v>1620</v>
      </c>
      <c r="C362" s="241" t="str">
        <f>VLOOKUP(B362,Orgenheter!$A$1:$B$214,2,0)</f>
        <v>Inst för språkstudier</v>
      </c>
    </row>
    <row r="363" spans="1:3" ht="15" customHeight="1" x14ac:dyDescent="0.25">
      <c r="A363" s="241" t="s">
        <v>1771</v>
      </c>
      <c r="B363" s="241">
        <v>1620</v>
      </c>
      <c r="C363" s="241" t="str">
        <f>VLOOKUP(B363,Orgenheter!$A$1:$B$214,2,0)</f>
        <v>Inst för språkstudier</v>
      </c>
    </row>
    <row r="364" spans="1:3" ht="15" customHeight="1" x14ac:dyDescent="0.25">
      <c r="A364" s="241" t="s">
        <v>1772</v>
      </c>
      <c r="B364" s="241">
        <v>1620</v>
      </c>
      <c r="C364" s="241" t="str">
        <f>VLOOKUP(B364,Orgenheter!$A$1:$B$214,2,0)</f>
        <v>Inst för språkstudier</v>
      </c>
    </row>
    <row r="365" spans="1:3" ht="12.95" customHeight="1" x14ac:dyDescent="0.25">
      <c r="A365" s="241" t="s">
        <v>1672</v>
      </c>
      <c r="B365" s="241">
        <v>1620</v>
      </c>
      <c r="C365" s="241" t="str">
        <f>VLOOKUP(B365,Orgenheter!$A$1:$B$214,2,0)</f>
        <v>Inst för språkstudier</v>
      </c>
    </row>
    <row r="366" spans="1:3" ht="12.95" customHeight="1" x14ac:dyDescent="0.25">
      <c r="A366" s="222" t="s">
        <v>1891</v>
      </c>
      <c r="B366" s="361">
        <v>1620</v>
      </c>
      <c r="C366" s="241" t="str">
        <f>VLOOKUP(B366,Orgenheter!$A$1:$B$214,2,0)</f>
        <v>Inst för språkstudier</v>
      </c>
    </row>
    <row r="367" spans="1:3" ht="15.75" x14ac:dyDescent="0.25">
      <c r="A367" s="245" t="s">
        <v>584</v>
      </c>
      <c r="B367" s="243">
        <v>1630</v>
      </c>
      <c r="C367" s="241" t="str">
        <f>VLOOKUP(B367,Orgenheter!$A$1:$B$214,2,0)</f>
        <v>Inst för ide- o samhällsstudier</v>
      </c>
    </row>
    <row r="368" spans="1:3" x14ac:dyDescent="0.25">
      <c r="A368" s="264" t="s">
        <v>470</v>
      </c>
      <c r="B368" s="241">
        <v>1630</v>
      </c>
      <c r="C368" s="241" t="str">
        <f>VLOOKUP(B368,Orgenheter!$A$1:$B$214,2,0)</f>
        <v>Inst för ide- o samhällsstudier</v>
      </c>
    </row>
    <row r="369" spans="1:3" x14ac:dyDescent="0.25">
      <c r="A369" s="264" t="s">
        <v>849</v>
      </c>
      <c r="B369" s="241">
        <v>1630</v>
      </c>
      <c r="C369" s="241" t="str">
        <f>VLOOKUP(B369,Orgenheter!$A$1:$B$214,2,0)</f>
        <v>Inst för ide- o samhällsstudier</v>
      </c>
    </row>
    <row r="370" spans="1:3" ht="15" customHeight="1" x14ac:dyDescent="0.25">
      <c r="A370" s="298" t="s">
        <v>1124</v>
      </c>
      <c r="B370" s="241">
        <v>1630</v>
      </c>
      <c r="C370" s="241" t="str">
        <f>VLOOKUP(B370,Orgenheter!$A$1:$B$214,2,0)</f>
        <v>Inst för ide- o samhällsstudier</v>
      </c>
    </row>
    <row r="371" spans="1:3" ht="15" customHeight="1" x14ac:dyDescent="0.25">
      <c r="A371" s="298" t="s">
        <v>1126</v>
      </c>
      <c r="B371" s="241">
        <v>1630</v>
      </c>
      <c r="C371" s="241" t="str">
        <f>VLOOKUP(B371,Orgenheter!$A$1:$B$214,2,0)</f>
        <v>Inst för ide- o samhällsstudier</v>
      </c>
    </row>
    <row r="372" spans="1:3" ht="15" customHeight="1" x14ac:dyDescent="0.25">
      <c r="A372" s="553" t="s">
        <v>2180</v>
      </c>
      <c r="B372" s="492">
        <v>1630</v>
      </c>
      <c r="C372" s="241" t="str">
        <f>VLOOKUP(B372,Orgenheter!$A$1:$B$214,2,0)</f>
        <v>Inst för ide- o samhällsstudier</v>
      </c>
    </row>
    <row r="373" spans="1:3" x14ac:dyDescent="0.25">
      <c r="A373" s="264" t="s">
        <v>2210</v>
      </c>
      <c r="B373" s="241">
        <v>1630</v>
      </c>
      <c r="C373" s="241" t="str">
        <f>VLOOKUP(B373,Orgenheter!$A$1:$B$214,2,0)</f>
        <v>Inst för ide- o samhällsstudier</v>
      </c>
    </row>
    <row r="374" spans="1:3" x14ac:dyDescent="0.25">
      <c r="A374" s="241" t="s">
        <v>368</v>
      </c>
      <c r="B374" s="241">
        <v>1640</v>
      </c>
      <c r="C374" s="241" t="str">
        <f>VLOOKUP(B374,Orgenheter!$A$1:$B$214,2,0)</f>
        <v>Inst för kultur- o medievetenskap</v>
      </c>
    </row>
    <row r="375" spans="1:3" x14ac:dyDescent="0.25">
      <c r="A375" s="297" t="s">
        <v>1097</v>
      </c>
      <c r="B375" s="247">
        <v>1640</v>
      </c>
      <c r="C375" s="241" t="str">
        <f>VLOOKUP(B375,Orgenheter!$A$1:$B$214,2,0)</f>
        <v>Inst för kultur- o medievetenskap</v>
      </c>
    </row>
    <row r="376" spans="1:3" x14ac:dyDescent="0.25">
      <c r="A376" s="257" t="s">
        <v>1285</v>
      </c>
      <c r="B376" s="247">
        <v>1640</v>
      </c>
      <c r="C376" s="241" t="str">
        <f>VLOOKUP(B376,Orgenheter!$A$1:$B$214,2,0)</f>
        <v>Inst för kultur- o medievetenskap</v>
      </c>
    </row>
    <row r="377" spans="1:3" x14ac:dyDescent="0.25">
      <c r="A377" s="257" t="s">
        <v>1286</v>
      </c>
      <c r="B377" s="247">
        <v>1640</v>
      </c>
      <c r="C377" s="241" t="str">
        <f>VLOOKUP(B377,Orgenheter!$A$1:$B$214,2,0)</f>
        <v>Inst för kultur- o medievetenskap</v>
      </c>
    </row>
    <row r="378" spans="1:3" ht="12.95" customHeight="1" x14ac:dyDescent="0.25">
      <c r="A378" s="241" t="s">
        <v>143</v>
      </c>
      <c r="B378" s="241">
        <v>1620</v>
      </c>
      <c r="C378" s="241" t="str">
        <f>VLOOKUP(B378,Orgenheter!$A$1:$B$214,2,0)</f>
        <v>Inst för språkstudier</v>
      </c>
    </row>
    <row r="379" spans="1:3" ht="12.95" customHeight="1" x14ac:dyDescent="0.25">
      <c r="A379" s="241" t="s">
        <v>93</v>
      </c>
      <c r="B379" s="241">
        <v>2193</v>
      </c>
      <c r="C379" s="241" t="str">
        <f>VLOOKUP(B379,Orgenheter!$A$1:$B$214,2,0)</f>
        <v xml:space="preserve">TUV </v>
      </c>
    </row>
    <row r="380" spans="1:3" x14ac:dyDescent="0.25">
      <c r="A380" s="241" t="s">
        <v>94</v>
      </c>
      <c r="B380" s="241">
        <v>2193</v>
      </c>
      <c r="C380" s="241" t="str">
        <f>VLOOKUP(B380,Orgenheter!$A$1:$B$214,2,0)</f>
        <v xml:space="preserve">TUV </v>
      </c>
    </row>
    <row r="381" spans="1:3" ht="12.95" customHeight="1" x14ac:dyDescent="0.25">
      <c r="A381" s="247" t="s">
        <v>392</v>
      </c>
      <c r="B381" s="241">
        <v>2193</v>
      </c>
      <c r="C381" s="241" t="str">
        <f>VLOOKUP(B381,Orgenheter!$A$1:$B$214,2,0)</f>
        <v xml:space="preserve">TUV </v>
      </c>
    </row>
    <row r="382" spans="1:3" ht="12.95" customHeight="1" x14ac:dyDescent="0.25">
      <c r="A382" s="298" t="s">
        <v>820</v>
      </c>
      <c r="B382" s="241">
        <v>1620</v>
      </c>
      <c r="C382" s="241" t="str">
        <f>VLOOKUP(B382,Orgenheter!$A$1:$B$214,2,0)</f>
        <v>Inst för språkstudier</v>
      </c>
    </row>
    <row r="383" spans="1:3" ht="12.95" customHeight="1" x14ac:dyDescent="0.25">
      <c r="A383" s="247" t="s">
        <v>815</v>
      </c>
      <c r="B383" s="241">
        <v>1620</v>
      </c>
      <c r="C383" s="241" t="str">
        <f>VLOOKUP(B383,Orgenheter!$A$1:$B$214,2,0)</f>
        <v>Inst för språkstudier</v>
      </c>
    </row>
    <row r="384" spans="1:3" ht="12.95" customHeight="1" x14ac:dyDescent="0.25">
      <c r="A384" s="298" t="s">
        <v>821</v>
      </c>
      <c r="B384" s="241">
        <v>1620</v>
      </c>
      <c r="C384" s="241" t="str">
        <f>VLOOKUP(B384,Orgenheter!$A$1:$B$214,2,0)</f>
        <v>Inst för språkstudier</v>
      </c>
    </row>
    <row r="385" spans="1:3" x14ac:dyDescent="0.25">
      <c r="A385" s="247" t="s">
        <v>814</v>
      </c>
      <c r="B385" s="241">
        <v>1620</v>
      </c>
      <c r="C385" s="241" t="str">
        <f>VLOOKUP(B385,Orgenheter!$A$1:$B$214,2,0)</f>
        <v>Inst för språkstudier</v>
      </c>
    </row>
    <row r="386" spans="1:3" x14ac:dyDescent="0.25">
      <c r="A386" s="247" t="s">
        <v>964</v>
      </c>
      <c r="B386" s="241">
        <v>1620</v>
      </c>
      <c r="C386" s="241" t="str">
        <f>VLOOKUP(B386,Orgenheter!$A$1:$B$214,2,0)</f>
        <v>Inst för språkstudier</v>
      </c>
    </row>
    <row r="387" spans="1:3" x14ac:dyDescent="0.25">
      <c r="A387" s="247" t="s">
        <v>965</v>
      </c>
      <c r="B387" s="241">
        <v>1620</v>
      </c>
      <c r="C387" s="241" t="str">
        <f>VLOOKUP(B387,Orgenheter!$A$1:$B$214,2,0)</f>
        <v>Inst för språkstudier</v>
      </c>
    </row>
    <row r="388" spans="1:3" x14ac:dyDescent="0.25">
      <c r="A388" s="247" t="s">
        <v>1085</v>
      </c>
      <c r="B388" s="241">
        <v>1620</v>
      </c>
      <c r="C388" s="241" t="str">
        <f>VLOOKUP(B388,Orgenheter!$A$1:$B$214,2,0)</f>
        <v>Inst för språkstudier</v>
      </c>
    </row>
    <row r="389" spans="1:3" ht="15.75" x14ac:dyDescent="0.25">
      <c r="A389" s="246" t="s">
        <v>1272</v>
      </c>
      <c r="B389" s="243">
        <v>1620</v>
      </c>
      <c r="C389" s="241" t="str">
        <f>VLOOKUP(B389,Orgenheter!$A$1:$B$214,2,0)</f>
        <v>Inst för språkstudier</v>
      </c>
    </row>
    <row r="390" spans="1:3" ht="15.75" x14ac:dyDescent="0.25">
      <c r="A390" s="245" t="s">
        <v>1273</v>
      </c>
      <c r="B390" s="298">
        <v>1620</v>
      </c>
      <c r="C390" s="241" t="str">
        <f>VLOOKUP(B390,Orgenheter!$A$1:$B$214,2,0)</f>
        <v>Inst för språkstudier</v>
      </c>
    </row>
    <row r="391" spans="1:3" ht="15" customHeight="1" x14ac:dyDescent="0.25">
      <c r="A391" s="265" t="s">
        <v>1529</v>
      </c>
      <c r="B391" s="241">
        <v>1620</v>
      </c>
      <c r="C391" s="241" t="str">
        <f>VLOOKUP(B391,Orgenheter!$A$1:$B$214,2,0)</f>
        <v>Inst för språkstudier</v>
      </c>
    </row>
    <row r="392" spans="1:3" x14ac:dyDescent="0.25">
      <c r="A392" s="358" t="s">
        <v>1634</v>
      </c>
      <c r="B392" s="409">
        <v>1620</v>
      </c>
      <c r="C392" s="241" t="str">
        <f>VLOOKUP(B392,Orgenheter!$A$1:$B$214,2,0)</f>
        <v>Inst för språkstudier</v>
      </c>
    </row>
    <row r="393" spans="1:3" ht="12.95" customHeight="1" x14ac:dyDescent="0.25">
      <c r="A393" s="176" t="s">
        <v>2199</v>
      </c>
      <c r="B393" s="409">
        <v>1620</v>
      </c>
      <c r="C393" s="241" t="str">
        <f>VLOOKUP(B393,Orgenheter!$A$1:$B$214,2,0)</f>
        <v>Inst för språkstudier</v>
      </c>
    </row>
    <row r="394" spans="1:3" x14ac:dyDescent="0.25">
      <c r="A394" s="420" t="s">
        <v>2200</v>
      </c>
      <c r="B394" s="409">
        <v>1620</v>
      </c>
      <c r="C394" s="241" t="str">
        <f>VLOOKUP(B394,Orgenheter!$A$1:$B$214,2,0)</f>
        <v>Inst för språkstudier</v>
      </c>
    </row>
    <row r="395" spans="1:3" ht="15" customHeight="1" x14ac:dyDescent="0.25">
      <c r="A395" s="526" t="s">
        <v>2201</v>
      </c>
      <c r="B395" s="527">
        <v>1620</v>
      </c>
      <c r="C395" s="241" t="str">
        <f>VLOOKUP(B395,Orgenheter!$A$1:$B$214,2,0)</f>
        <v>Inst för språkstudier</v>
      </c>
    </row>
    <row r="396" spans="1:3" ht="15" customHeight="1" x14ac:dyDescent="0.25">
      <c r="A396" s="358" t="s">
        <v>2134</v>
      </c>
      <c r="B396" s="492">
        <v>1620</v>
      </c>
      <c r="C396" s="241" t="str">
        <f>VLOOKUP(B396,Orgenheter!$A$1:$B$214,2,0)</f>
        <v>Inst för språkstudier</v>
      </c>
    </row>
    <row r="397" spans="1:3" ht="15" customHeight="1" x14ac:dyDescent="0.25">
      <c r="A397" s="420" t="s">
        <v>2290</v>
      </c>
      <c r="B397" s="492">
        <v>1620</v>
      </c>
      <c r="C397" s="241" t="str">
        <f>VLOOKUP(B397,Orgenheter!$A$1:$B$214,2,0)</f>
        <v>Inst för språkstudier</v>
      </c>
    </row>
    <row r="398" spans="1:3" ht="12.95" customHeight="1" x14ac:dyDescent="0.25">
      <c r="A398" s="385" t="s">
        <v>2291</v>
      </c>
      <c r="B398" s="388">
        <v>1620</v>
      </c>
      <c r="C398" s="241" t="str">
        <f>VLOOKUP(B398,Orgenheter!$A$1:$B$214,2,0)</f>
        <v>Inst för språkstudier</v>
      </c>
    </row>
    <row r="399" spans="1:3" ht="12.95" customHeight="1" x14ac:dyDescent="0.25">
      <c r="A399" s="295" t="s">
        <v>2358</v>
      </c>
      <c r="B399" s="409">
        <v>1620</v>
      </c>
      <c r="C399" s="241" t="str">
        <f>VLOOKUP(B399,Orgenheter!$A$1:$B$214,2,0)</f>
        <v>Inst för språkstudier</v>
      </c>
    </row>
    <row r="400" spans="1:3" ht="15" customHeight="1" x14ac:dyDescent="0.25">
      <c r="A400" s="247" t="s">
        <v>2359</v>
      </c>
      <c r="B400" s="241">
        <v>1620</v>
      </c>
      <c r="C400" s="241" t="str">
        <f>VLOOKUP(B400,Orgenheter!$A$1:$B$214,2,0)</f>
        <v>Inst för språkstudier</v>
      </c>
    </row>
    <row r="401" spans="1:3" ht="15.75" customHeight="1" x14ac:dyDescent="0.25">
      <c r="A401" s="295" t="s">
        <v>2405</v>
      </c>
      <c r="B401" s="409">
        <v>1620</v>
      </c>
      <c r="C401" s="241" t="str">
        <f>VLOOKUP(B401,Orgenheter!$A$1:$B$214,2,0)</f>
        <v>Inst för språkstudier</v>
      </c>
    </row>
    <row r="402" spans="1:3" x14ac:dyDescent="0.25">
      <c r="A402" s="247" t="s">
        <v>90</v>
      </c>
      <c r="B402" s="241">
        <v>5730</v>
      </c>
      <c r="C402" s="241" t="str">
        <f>VLOOKUP(B402,Orgenheter!$A$1:$B$214,2,0)</f>
        <v>Inst för MA och MA statistik</v>
      </c>
    </row>
    <row r="403" spans="1:3" x14ac:dyDescent="0.25">
      <c r="A403" s="241" t="s">
        <v>568</v>
      </c>
      <c r="B403" s="247">
        <v>5730</v>
      </c>
      <c r="C403" s="241" t="str">
        <f>VLOOKUP(B403,Orgenheter!$A$1:$B$214,2,0)</f>
        <v>Inst för MA och MA statistik</v>
      </c>
    </row>
    <row r="404" spans="1:3" x14ac:dyDescent="0.25">
      <c r="A404" s="241" t="s">
        <v>355</v>
      </c>
      <c r="B404" s="247">
        <v>5730</v>
      </c>
      <c r="C404" s="241" t="str">
        <f>VLOOKUP(B404,Orgenheter!$A$1:$B$214,2,0)</f>
        <v>Inst för MA och MA statistik</v>
      </c>
    </row>
    <row r="405" spans="1:3" x14ac:dyDescent="0.25">
      <c r="A405" s="247" t="s">
        <v>338</v>
      </c>
      <c r="B405" s="247">
        <v>5730</v>
      </c>
      <c r="C405" s="241" t="str">
        <f>VLOOKUP(B405,Orgenheter!$A$1:$B$214,2,0)</f>
        <v>Inst för MA och MA statistik</v>
      </c>
    </row>
    <row r="406" spans="1:3" ht="12.95" customHeight="1" x14ac:dyDescent="0.25">
      <c r="A406" s="245" t="s">
        <v>567</v>
      </c>
      <c r="B406" s="243">
        <v>5730</v>
      </c>
      <c r="C406" s="241" t="str">
        <f>VLOOKUP(B406,Orgenheter!$A$1:$B$214,2,0)</f>
        <v>Inst för MA och MA statistik</v>
      </c>
    </row>
    <row r="407" spans="1:3" ht="12.95" customHeight="1" x14ac:dyDescent="0.25">
      <c r="A407" s="245" t="s">
        <v>569</v>
      </c>
      <c r="B407" s="243">
        <v>5730</v>
      </c>
      <c r="C407" s="241" t="str">
        <f>VLOOKUP(B407,Orgenheter!$A$1:$B$214,2,0)</f>
        <v>Inst för MA och MA statistik</v>
      </c>
    </row>
    <row r="408" spans="1:3" ht="15.75" x14ac:dyDescent="0.25">
      <c r="A408" s="245" t="s">
        <v>570</v>
      </c>
      <c r="B408" s="243">
        <v>5730</v>
      </c>
      <c r="C408" s="241" t="str">
        <f>VLOOKUP(B408,Orgenheter!$A$1:$B$214,2,0)</f>
        <v>Inst för MA och MA statistik</v>
      </c>
    </row>
    <row r="409" spans="1:3" ht="12.95" customHeight="1" x14ac:dyDescent="0.25">
      <c r="A409" s="245" t="s">
        <v>585</v>
      </c>
      <c r="B409" s="243">
        <v>5730</v>
      </c>
      <c r="C409" s="241" t="str">
        <f>VLOOKUP(B409,Orgenheter!$A$1:$B$214,2,0)</f>
        <v>Inst för MA och MA statistik</v>
      </c>
    </row>
    <row r="410" spans="1:3" ht="12.95" customHeight="1" x14ac:dyDescent="0.25">
      <c r="A410" s="245" t="s">
        <v>586</v>
      </c>
      <c r="B410" s="243">
        <v>5730</v>
      </c>
      <c r="C410" s="241" t="str">
        <f>VLOOKUP(B410,Orgenheter!$A$1:$B$214,2,0)</f>
        <v>Inst för MA och MA statistik</v>
      </c>
    </row>
    <row r="411" spans="1:3" ht="12.95" customHeight="1" x14ac:dyDescent="0.25">
      <c r="A411" s="245" t="s">
        <v>587</v>
      </c>
      <c r="B411" s="243">
        <v>5730</v>
      </c>
      <c r="C411" s="241" t="str">
        <f>VLOOKUP(B411,Orgenheter!$A$1:$B$214,2,0)</f>
        <v>Inst för MA och MA statistik</v>
      </c>
    </row>
    <row r="412" spans="1:3" ht="12.95" customHeight="1" x14ac:dyDescent="0.25">
      <c r="A412" s="256" t="s">
        <v>640</v>
      </c>
      <c r="B412" s="241">
        <v>5730</v>
      </c>
      <c r="C412" s="241" t="str">
        <f>VLOOKUP(B412,Orgenheter!$A$1:$B$214,2,0)</f>
        <v>Inst för MA och MA statistik</v>
      </c>
    </row>
    <row r="413" spans="1:3" ht="12.95" customHeight="1" x14ac:dyDescent="0.25">
      <c r="A413" s="256" t="s">
        <v>641</v>
      </c>
      <c r="B413" s="241">
        <v>5730</v>
      </c>
      <c r="C413" s="241" t="str">
        <f>VLOOKUP(B413,Orgenheter!$A$1:$B$214,2,0)</f>
        <v>Inst för MA och MA statistik</v>
      </c>
    </row>
    <row r="414" spans="1:3" ht="12.95" customHeight="1" x14ac:dyDescent="0.25">
      <c r="A414" s="256" t="s">
        <v>636</v>
      </c>
      <c r="B414" s="241">
        <v>5730</v>
      </c>
      <c r="C414" s="241" t="str">
        <f>VLOOKUP(B414,Orgenheter!$A$1:$B$214,2,0)</f>
        <v>Inst för MA och MA statistik</v>
      </c>
    </row>
    <row r="415" spans="1:3" ht="12.95" customHeight="1" x14ac:dyDescent="0.25">
      <c r="A415" s="256" t="s">
        <v>642</v>
      </c>
      <c r="B415" s="241">
        <v>5730</v>
      </c>
      <c r="C415" s="241" t="str">
        <f>VLOOKUP(B415,Orgenheter!$A$1:$B$214,2,0)</f>
        <v>Inst för MA och MA statistik</v>
      </c>
    </row>
    <row r="416" spans="1:3" ht="12.95" customHeight="1" x14ac:dyDescent="0.25">
      <c r="A416" s="245" t="s">
        <v>914</v>
      </c>
      <c r="B416" s="243">
        <v>5730</v>
      </c>
      <c r="C416" s="241" t="str">
        <f>VLOOKUP(B416,Orgenheter!$A$1:$B$214,2,0)</f>
        <v>Inst för MA och MA statistik</v>
      </c>
    </row>
    <row r="417" spans="1:3" ht="12.95" customHeight="1" x14ac:dyDescent="0.25">
      <c r="A417" s="256" t="s">
        <v>950</v>
      </c>
      <c r="B417" s="241">
        <v>5730</v>
      </c>
      <c r="C417" s="241" t="str">
        <f>VLOOKUP(B417,Orgenheter!$A$1:$B$214,2,0)</f>
        <v>Inst för MA och MA statistik</v>
      </c>
    </row>
    <row r="418" spans="1:3" ht="12.95" customHeight="1" x14ac:dyDescent="0.25">
      <c r="A418" s="256" t="s">
        <v>1075</v>
      </c>
      <c r="B418" s="241">
        <v>5730</v>
      </c>
      <c r="C418" s="241" t="str">
        <f>VLOOKUP(B418,Orgenheter!$A$1:$B$214,2,0)</f>
        <v>Inst för MA och MA statistik</v>
      </c>
    </row>
    <row r="419" spans="1:3" ht="12.95" customHeight="1" x14ac:dyDescent="0.25">
      <c r="A419" s="256" t="s">
        <v>1089</v>
      </c>
      <c r="B419" s="241">
        <v>5730</v>
      </c>
      <c r="C419" s="241" t="str">
        <f>VLOOKUP(B419,Orgenheter!$A$1:$B$214,2,0)</f>
        <v>Inst för MA och MA statistik</v>
      </c>
    </row>
    <row r="420" spans="1:3" ht="12.95" customHeight="1" x14ac:dyDescent="0.25">
      <c r="A420" s="256" t="s">
        <v>1316</v>
      </c>
      <c r="B420" s="241">
        <v>5730</v>
      </c>
      <c r="C420" s="241" t="str">
        <f>VLOOKUP(B420,Orgenheter!$A$1:$B$214,2,0)</f>
        <v>Inst för MA och MA statistik</v>
      </c>
    </row>
    <row r="421" spans="1:3" x14ac:dyDescent="0.25">
      <c r="A421" s="256" t="s">
        <v>1277</v>
      </c>
      <c r="B421" s="241">
        <v>5730</v>
      </c>
      <c r="C421" s="241" t="str">
        <f>VLOOKUP(B421,Orgenheter!$A$1:$B$214,2,0)</f>
        <v>Inst för MA och MA statistik</v>
      </c>
    </row>
    <row r="422" spans="1:3" ht="12.95" customHeight="1" x14ac:dyDescent="0.25">
      <c r="A422" s="245" t="s">
        <v>1317</v>
      </c>
      <c r="B422" s="243">
        <v>5730</v>
      </c>
      <c r="C422" s="241" t="str">
        <f>VLOOKUP(B422,Orgenheter!$A$1:$B$214,2,0)</f>
        <v>Inst för MA och MA statistik</v>
      </c>
    </row>
    <row r="423" spans="1:3" ht="12.95" customHeight="1" x14ac:dyDescent="0.25">
      <c r="A423" s="245" t="s">
        <v>1262</v>
      </c>
      <c r="B423" s="243">
        <v>5730</v>
      </c>
      <c r="C423" s="241" t="str">
        <f>VLOOKUP(B423,Orgenheter!$A$1:$B$214,2,0)</f>
        <v>Inst för MA och MA statistik</v>
      </c>
    </row>
    <row r="424" spans="1:3" ht="12.95" customHeight="1" x14ac:dyDescent="0.25">
      <c r="A424" s="245" t="s">
        <v>1318</v>
      </c>
      <c r="B424" s="243">
        <v>5730</v>
      </c>
      <c r="C424" s="241" t="str">
        <f>VLOOKUP(B424,Orgenheter!$A$1:$B$214,2,0)</f>
        <v>Inst för MA och MA statistik</v>
      </c>
    </row>
    <row r="425" spans="1:3" ht="12.95" customHeight="1" x14ac:dyDescent="0.25">
      <c r="A425" s="245" t="s">
        <v>1543</v>
      </c>
      <c r="B425" s="243">
        <v>5730</v>
      </c>
      <c r="C425" s="241" t="str">
        <f>VLOOKUP(B425,Orgenheter!$A$1:$B$214,2,0)</f>
        <v>Inst för MA och MA statistik</v>
      </c>
    </row>
    <row r="426" spans="1:3" ht="12.95" customHeight="1" x14ac:dyDescent="0.25">
      <c r="A426" s="353" t="s">
        <v>1802</v>
      </c>
      <c r="B426" s="354">
        <v>5730</v>
      </c>
      <c r="C426" s="241" t="str">
        <f>VLOOKUP(B426,Orgenheter!$A$1:$B$214,2,0)</f>
        <v>Inst för MA och MA statistik</v>
      </c>
    </row>
    <row r="427" spans="1:3" ht="12.95" customHeight="1" x14ac:dyDescent="0.25">
      <c r="A427" s="353" t="s">
        <v>1803</v>
      </c>
      <c r="B427" s="354">
        <v>5730</v>
      </c>
      <c r="C427" s="241" t="str">
        <f>VLOOKUP(B427,Orgenheter!$A$1:$B$214,2,0)</f>
        <v>Inst för MA och MA statistik</v>
      </c>
    </row>
    <row r="428" spans="1:3" ht="12.95" customHeight="1" x14ac:dyDescent="0.25">
      <c r="A428" s="353" t="s">
        <v>1804</v>
      </c>
      <c r="B428" s="354">
        <v>5730</v>
      </c>
      <c r="C428" s="241" t="str">
        <f>VLOOKUP(B428,Orgenheter!$A$1:$B$214,2,0)</f>
        <v>Inst för MA och MA statistik</v>
      </c>
    </row>
    <row r="429" spans="1:3" ht="12.95" customHeight="1" x14ac:dyDescent="0.25">
      <c r="A429" s="363" t="s">
        <v>1898</v>
      </c>
      <c r="B429" s="364">
        <v>5730</v>
      </c>
      <c r="C429" s="241" t="str">
        <f>VLOOKUP(B429,Orgenheter!$A$1:$B$214,2,0)</f>
        <v>Inst för MA och MA statistik</v>
      </c>
    </row>
    <row r="430" spans="1:3" ht="12.95" customHeight="1" x14ac:dyDescent="0.25">
      <c r="A430" s="363" t="s">
        <v>1899</v>
      </c>
      <c r="B430" s="364">
        <v>5730</v>
      </c>
      <c r="C430" s="241" t="str">
        <f>VLOOKUP(B430,Orgenheter!$A$1:$B$214,2,0)</f>
        <v>Inst för MA och MA statistik</v>
      </c>
    </row>
    <row r="431" spans="1:3" ht="12.95" customHeight="1" x14ac:dyDescent="0.25">
      <c r="A431" s="363" t="s">
        <v>1900</v>
      </c>
      <c r="B431" s="364">
        <v>5730</v>
      </c>
      <c r="C431" s="241" t="str">
        <f>VLOOKUP(B431,Orgenheter!$A$1:$B$214,2,0)</f>
        <v>Inst för MA och MA statistik</v>
      </c>
    </row>
    <row r="432" spans="1:3" ht="12.95" customHeight="1" x14ac:dyDescent="0.25">
      <c r="A432" s="363" t="s">
        <v>1882</v>
      </c>
      <c r="B432" s="364">
        <v>5730</v>
      </c>
      <c r="C432" s="241" t="str">
        <f>VLOOKUP(B432,Orgenheter!$A$1:$B$214,2,0)</f>
        <v>Inst för MA och MA statistik</v>
      </c>
    </row>
    <row r="433" spans="1:3" ht="12.95" customHeight="1" x14ac:dyDescent="0.25">
      <c r="A433" s="376" t="s">
        <v>1929</v>
      </c>
      <c r="B433" s="372">
        <v>5730</v>
      </c>
      <c r="C433" s="241" t="str">
        <f>VLOOKUP(B433,Orgenheter!$A$1:$B$214,2,0)</f>
        <v>Inst för MA och MA statistik</v>
      </c>
    </row>
    <row r="434" spans="1:3" ht="12.95" customHeight="1" x14ac:dyDescent="0.25">
      <c r="A434" s="353" t="s">
        <v>1850</v>
      </c>
      <c r="B434" s="354">
        <v>5730</v>
      </c>
      <c r="C434" s="241" t="str">
        <f>VLOOKUP(B434,Orgenheter!$A$1:$B$214,2,0)</f>
        <v>Inst för MA och MA statistik</v>
      </c>
    </row>
    <row r="435" spans="1:3" ht="12.95" customHeight="1" x14ac:dyDescent="0.25">
      <c r="A435" s="363" t="s">
        <v>1901</v>
      </c>
      <c r="B435" s="364">
        <v>5730</v>
      </c>
      <c r="C435" s="241" t="str">
        <f>VLOOKUP(B435,Orgenheter!$A$1:$B$214,2,0)</f>
        <v>Inst för MA och MA statistik</v>
      </c>
    </row>
    <row r="436" spans="1:3" ht="12.95" customHeight="1" x14ac:dyDescent="0.25">
      <c r="A436" s="376" t="s">
        <v>1930</v>
      </c>
      <c r="B436" s="364">
        <v>5730</v>
      </c>
      <c r="C436" s="241" t="str">
        <f>VLOOKUP(B436,Orgenheter!$A$1:$B$214,2,0)</f>
        <v>Inst för MA och MA statistik</v>
      </c>
    </row>
    <row r="437" spans="1:3" ht="12.95" customHeight="1" x14ac:dyDescent="0.25">
      <c r="A437" s="376" t="s">
        <v>2283</v>
      </c>
      <c r="B437" s="509">
        <v>5730</v>
      </c>
      <c r="C437" s="241" t="str">
        <f>VLOOKUP(B437,Orgenheter!$A$1:$B$214,2,0)</f>
        <v>Inst för MA och MA statistik</v>
      </c>
    </row>
    <row r="438" spans="1:3" ht="12.95" customHeight="1" x14ac:dyDescent="0.25">
      <c r="A438" s="245" t="s">
        <v>2329</v>
      </c>
      <c r="B438" s="243">
        <v>5730</v>
      </c>
      <c r="C438" s="241" t="str">
        <f>VLOOKUP(B438,Orgenheter!$A$1:$B$214,2,0)</f>
        <v>Inst för MA och MA statistik</v>
      </c>
    </row>
    <row r="439" spans="1:3" ht="12.95" customHeight="1" x14ac:dyDescent="0.25">
      <c r="A439" s="241" t="s">
        <v>344</v>
      </c>
      <c r="B439" s="241">
        <v>5740</v>
      </c>
      <c r="C439" s="241" t="str">
        <f>VLOOKUP(B439,Orgenheter!$A$1:$B$214,2,0)</f>
        <v>NMD</v>
      </c>
    </row>
    <row r="440" spans="1:3" ht="12.95" customHeight="1" x14ac:dyDescent="0.25">
      <c r="A440" s="241" t="s">
        <v>345</v>
      </c>
      <c r="B440" s="241">
        <v>5740</v>
      </c>
      <c r="C440" s="241" t="str">
        <f>VLOOKUP(B440,Orgenheter!$A$1:$B$214,2,0)</f>
        <v>NMD</v>
      </c>
    </row>
    <row r="441" spans="1:3" ht="12.95" customHeight="1" x14ac:dyDescent="0.25">
      <c r="A441" s="241" t="s">
        <v>346</v>
      </c>
      <c r="B441" s="241">
        <v>5740</v>
      </c>
      <c r="C441" s="241" t="str">
        <f>VLOOKUP(B441,Orgenheter!$A$1:$B$214,2,0)</f>
        <v>NMD</v>
      </c>
    </row>
    <row r="442" spans="1:3" ht="12.95" customHeight="1" x14ac:dyDescent="0.25">
      <c r="A442" s="256" t="s">
        <v>649</v>
      </c>
      <c r="B442" s="241">
        <v>5740</v>
      </c>
      <c r="C442" s="241" t="str">
        <f>VLOOKUP(B442,Orgenheter!$A$1:$B$214,2,0)</f>
        <v>NMD</v>
      </c>
    </row>
    <row r="443" spans="1:3" ht="15.75" x14ac:dyDescent="0.25">
      <c r="A443" s="245" t="s">
        <v>498</v>
      </c>
      <c r="B443" s="243">
        <v>5740</v>
      </c>
      <c r="C443" s="241" t="str">
        <f>VLOOKUP(B443,Orgenheter!$A$1:$B$214,2,0)</f>
        <v>NMD</v>
      </c>
    </row>
    <row r="444" spans="1:3" ht="15.75" x14ac:dyDescent="0.25">
      <c r="A444" s="245" t="s">
        <v>499</v>
      </c>
      <c r="B444" s="243">
        <v>5740</v>
      </c>
      <c r="C444" s="241" t="str">
        <f>VLOOKUP(B444,Orgenheter!$A$1:$B$214,2,0)</f>
        <v>NMD</v>
      </c>
    </row>
    <row r="445" spans="1:3" x14ac:dyDescent="0.25">
      <c r="A445" s="256" t="s">
        <v>650</v>
      </c>
      <c r="B445" s="241">
        <v>5740</v>
      </c>
      <c r="C445" s="241" t="str">
        <f>VLOOKUP(B445,Orgenheter!$A$1:$B$214,2,0)</f>
        <v>NMD</v>
      </c>
    </row>
    <row r="446" spans="1:3" x14ac:dyDescent="0.25">
      <c r="A446" s="256" t="s">
        <v>651</v>
      </c>
      <c r="B446" s="241">
        <v>5740</v>
      </c>
      <c r="C446" s="241" t="str">
        <f>VLOOKUP(B446,Orgenheter!$A$1:$B$214,2,0)</f>
        <v>NMD</v>
      </c>
    </row>
    <row r="447" spans="1:3" ht="15.75" x14ac:dyDescent="0.25">
      <c r="A447" s="245" t="s">
        <v>573</v>
      </c>
      <c r="B447" s="243">
        <v>5740</v>
      </c>
      <c r="C447" s="241" t="str">
        <f>VLOOKUP(B447,Orgenheter!$A$1:$B$214,2,0)</f>
        <v>NMD</v>
      </c>
    </row>
    <row r="448" spans="1:3" ht="15.75" x14ac:dyDescent="0.25">
      <c r="A448" s="245" t="s">
        <v>575</v>
      </c>
      <c r="B448" s="243">
        <v>5740</v>
      </c>
      <c r="C448" s="241" t="str">
        <f>VLOOKUP(B448,Orgenheter!$A$1:$B$214,2,0)</f>
        <v>NMD</v>
      </c>
    </row>
    <row r="449" spans="1:3" ht="15.75" x14ac:dyDescent="0.25">
      <c r="A449" s="245" t="s">
        <v>588</v>
      </c>
      <c r="B449" s="243">
        <v>5740</v>
      </c>
      <c r="C449" s="241" t="str">
        <f>VLOOKUP(B449,Orgenheter!$A$1:$B$214,2,0)</f>
        <v>NMD</v>
      </c>
    </row>
    <row r="450" spans="1:3" ht="15.75" x14ac:dyDescent="0.25">
      <c r="A450" s="245" t="s">
        <v>574</v>
      </c>
      <c r="B450" s="243">
        <v>5740</v>
      </c>
      <c r="C450" s="241" t="str">
        <f>VLOOKUP(B450,Orgenheter!$A$1:$B$214,2,0)</f>
        <v>NMD</v>
      </c>
    </row>
    <row r="451" spans="1:3" ht="12.95" customHeight="1" x14ac:dyDescent="0.25">
      <c r="A451" s="245" t="s">
        <v>576</v>
      </c>
      <c r="B451" s="243">
        <v>5740</v>
      </c>
      <c r="C451" s="241" t="str">
        <f>VLOOKUP(B451,Orgenheter!$A$1:$B$214,2,0)</f>
        <v>NMD</v>
      </c>
    </row>
    <row r="452" spans="1:3" ht="12.95" customHeight="1" x14ac:dyDescent="0.25">
      <c r="A452" s="245" t="s">
        <v>589</v>
      </c>
      <c r="B452" s="243">
        <v>5740</v>
      </c>
      <c r="C452" s="241" t="str">
        <f>VLOOKUP(B452,Orgenheter!$A$1:$B$214,2,0)</f>
        <v>NMD</v>
      </c>
    </row>
    <row r="453" spans="1:3" ht="15.75" x14ac:dyDescent="0.25">
      <c r="A453" s="245" t="s">
        <v>883</v>
      </c>
      <c r="B453" s="243">
        <v>5740</v>
      </c>
      <c r="C453" s="241" t="str">
        <f>VLOOKUP(B453,Orgenheter!$A$1:$B$214,2,0)</f>
        <v>NMD</v>
      </c>
    </row>
    <row r="454" spans="1:3" ht="12.95" customHeight="1" x14ac:dyDescent="0.25">
      <c r="A454" s="245" t="s">
        <v>1090</v>
      </c>
      <c r="B454" s="243">
        <v>5740</v>
      </c>
      <c r="C454" s="241" t="str">
        <f>VLOOKUP(B454,Orgenheter!$A$1:$B$214,2,0)</f>
        <v>NMD</v>
      </c>
    </row>
    <row r="455" spans="1:3" ht="15.75" x14ac:dyDescent="0.25">
      <c r="A455" s="245" t="s">
        <v>1091</v>
      </c>
      <c r="B455" s="243">
        <v>5740</v>
      </c>
      <c r="C455" s="241" t="str">
        <f>VLOOKUP(B455,Orgenheter!$A$1:$B$214,2,0)</f>
        <v>NMD</v>
      </c>
    </row>
    <row r="456" spans="1:3" ht="12.95" customHeight="1" x14ac:dyDescent="0.25">
      <c r="A456" s="245" t="s">
        <v>1092</v>
      </c>
      <c r="B456" s="243">
        <v>5740</v>
      </c>
      <c r="C456" s="241" t="str">
        <f>VLOOKUP(B456,Orgenheter!$A$1:$B$214,2,0)</f>
        <v>NMD</v>
      </c>
    </row>
    <row r="457" spans="1:3" ht="12.95" customHeight="1" x14ac:dyDescent="0.25">
      <c r="A457" s="363" t="s">
        <v>1902</v>
      </c>
      <c r="B457" s="364">
        <v>5740</v>
      </c>
      <c r="C457" s="241" t="str">
        <f>VLOOKUP(B457,Orgenheter!$A$1:$B$214,2,0)</f>
        <v>NMD</v>
      </c>
    </row>
    <row r="458" spans="1:3" ht="12.95" customHeight="1" x14ac:dyDescent="0.25">
      <c r="A458" s="245" t="s">
        <v>1321</v>
      </c>
      <c r="B458" s="243">
        <v>5740</v>
      </c>
      <c r="C458" s="241" t="str">
        <f>VLOOKUP(B458,Orgenheter!$A$1:$B$214,2,0)</f>
        <v>NMD</v>
      </c>
    </row>
    <row r="459" spans="1:3" ht="12.95" customHeight="1" x14ac:dyDescent="0.25">
      <c r="A459" s="245" t="s">
        <v>1420</v>
      </c>
      <c r="B459" s="243">
        <v>5740</v>
      </c>
      <c r="C459" s="241" t="str">
        <f>VLOOKUP(B459,Orgenheter!$A$1:$B$214,2,0)</f>
        <v>NMD</v>
      </c>
    </row>
    <row r="460" spans="1:3" ht="12.95" customHeight="1" x14ac:dyDescent="0.25">
      <c r="A460" s="245" t="s">
        <v>1422</v>
      </c>
      <c r="B460" s="243">
        <v>5740</v>
      </c>
      <c r="C460" s="241" t="str">
        <f>VLOOKUP(B460,Orgenheter!$A$1:$B$214,2,0)</f>
        <v>NMD</v>
      </c>
    </row>
    <row r="461" spans="1:3" ht="12.95" customHeight="1" x14ac:dyDescent="0.25">
      <c r="A461" s="245" t="s">
        <v>1424</v>
      </c>
      <c r="B461" s="243">
        <v>5740</v>
      </c>
      <c r="C461" s="241" t="str">
        <f>VLOOKUP(B461,Orgenheter!$A$1:$B$214,2,0)</f>
        <v>NMD</v>
      </c>
    </row>
    <row r="462" spans="1:3" ht="12.95" customHeight="1" x14ac:dyDescent="0.25">
      <c r="A462" s="245" t="s">
        <v>1426</v>
      </c>
      <c r="B462" s="243">
        <v>5740</v>
      </c>
      <c r="C462" s="241" t="str">
        <f>VLOOKUP(B462,Orgenheter!$A$1:$B$214,2,0)</f>
        <v>NMD</v>
      </c>
    </row>
    <row r="463" spans="1:3" ht="12.95" customHeight="1" x14ac:dyDescent="0.25">
      <c r="A463" s="245" t="s">
        <v>1428</v>
      </c>
      <c r="B463" s="243">
        <v>5740</v>
      </c>
      <c r="C463" s="241" t="str">
        <f>VLOOKUP(B463,Orgenheter!$A$1:$B$214,2,0)</f>
        <v>NMD</v>
      </c>
    </row>
    <row r="464" spans="1:3" ht="15" customHeight="1" x14ac:dyDescent="0.25">
      <c r="A464" s="265" t="s">
        <v>1530</v>
      </c>
      <c r="B464" s="241">
        <v>5740</v>
      </c>
      <c r="C464" s="241" t="str">
        <f>VLOOKUP(B464,Orgenheter!$A$1:$B$214,2,0)</f>
        <v>NMD</v>
      </c>
    </row>
    <row r="465" spans="1:3" ht="15" customHeight="1" x14ac:dyDescent="0.25">
      <c r="A465" s="265" t="s">
        <v>1607</v>
      </c>
      <c r="B465" s="241">
        <v>5740</v>
      </c>
      <c r="C465" s="241" t="str">
        <f>VLOOKUP(B465,Orgenheter!$A$1:$B$214,2,0)</f>
        <v>NMD</v>
      </c>
    </row>
    <row r="466" spans="1:3" ht="15" customHeight="1" x14ac:dyDescent="0.25">
      <c r="A466" s="265" t="s">
        <v>1608</v>
      </c>
      <c r="B466" s="241">
        <v>5740</v>
      </c>
      <c r="C466" s="241" t="str">
        <f>VLOOKUP(B466,Orgenheter!$A$1:$B$214,2,0)</f>
        <v>NMD</v>
      </c>
    </row>
    <row r="467" spans="1:3" ht="15" customHeight="1" x14ac:dyDescent="0.25">
      <c r="A467" s="265" t="s">
        <v>1605</v>
      </c>
      <c r="B467" s="241">
        <v>5740</v>
      </c>
      <c r="C467" s="241" t="str">
        <f>VLOOKUP(B467,Orgenheter!$A$1:$B$214,2,0)</f>
        <v>NMD</v>
      </c>
    </row>
    <row r="468" spans="1:3" ht="12.95" customHeight="1" x14ac:dyDescent="0.25">
      <c r="A468" s="363" t="s">
        <v>1872</v>
      </c>
      <c r="B468" s="364">
        <v>5740</v>
      </c>
      <c r="C468" s="241" t="str">
        <f>VLOOKUP(B468,Orgenheter!$A$1:$B$214,2,0)</f>
        <v>NMD</v>
      </c>
    </row>
    <row r="469" spans="1:3" ht="12.95" customHeight="1" x14ac:dyDescent="0.25">
      <c r="A469" s="363" t="s">
        <v>1881</v>
      </c>
      <c r="B469" s="364">
        <v>5740</v>
      </c>
      <c r="C469" s="241" t="str">
        <f>VLOOKUP(B469,Orgenheter!$A$1:$B$214,2,0)</f>
        <v>NMD</v>
      </c>
    </row>
    <row r="470" spans="1:3" ht="12.95" customHeight="1" x14ac:dyDescent="0.25">
      <c r="A470" s="256" t="s">
        <v>637</v>
      </c>
      <c r="B470" s="241">
        <v>5730</v>
      </c>
      <c r="C470" s="241" t="str">
        <f>VLOOKUP(B470,Orgenheter!$A$1:$B$214,2,0)</f>
        <v>Inst för MA och MA statistik</v>
      </c>
    </row>
    <row r="471" spans="1:3" ht="12.95" customHeight="1" x14ac:dyDescent="0.25">
      <c r="A471" s="366" t="s">
        <v>1880</v>
      </c>
      <c r="B471" s="361">
        <v>5730</v>
      </c>
      <c r="C471" s="241" t="str">
        <f>VLOOKUP(B471,Orgenheter!$A$1:$B$214,2,0)</f>
        <v>Inst för MA och MA statistik</v>
      </c>
    </row>
    <row r="472" spans="1:3" ht="12.95" customHeight="1" x14ac:dyDescent="0.25">
      <c r="A472" s="377" t="s">
        <v>1931</v>
      </c>
      <c r="B472" s="373">
        <v>5730</v>
      </c>
      <c r="C472" s="241" t="str">
        <f>VLOOKUP(B472,Orgenheter!$A$1:$B$214,2,0)</f>
        <v>Inst för MA och MA statistik</v>
      </c>
    </row>
    <row r="473" spans="1:3" x14ac:dyDescent="0.25">
      <c r="A473" s="241" t="s">
        <v>335</v>
      </c>
      <c r="B473" s="241">
        <v>1650</v>
      </c>
      <c r="C473" s="241" t="str">
        <f>VLOOKUP(B473,Orgenheter!$A$1:$B$214,2,0)</f>
        <v xml:space="preserve">Estetiska ämnen               </v>
      </c>
    </row>
    <row r="474" spans="1:3" ht="15.75" x14ac:dyDescent="0.25">
      <c r="A474" s="294" t="s">
        <v>151</v>
      </c>
      <c r="B474" s="241">
        <v>1650</v>
      </c>
      <c r="C474" s="241" t="str">
        <f>VLOOKUP(B474,Orgenheter!$A$1:$B$214,2,0)</f>
        <v xml:space="preserve">Estetiska ämnen               </v>
      </c>
    </row>
    <row r="475" spans="1:3" x14ac:dyDescent="0.25">
      <c r="A475" s="241" t="s">
        <v>414</v>
      </c>
      <c r="B475" s="241">
        <v>1650</v>
      </c>
      <c r="C475" s="241" t="str">
        <f>VLOOKUP(B475,Orgenheter!$A$1:$B$214,2,0)</f>
        <v xml:space="preserve">Estetiska ämnen               </v>
      </c>
    </row>
    <row r="476" spans="1:3" ht="12.95" customHeight="1" x14ac:dyDescent="0.25">
      <c r="A476" s="241" t="s">
        <v>477</v>
      </c>
      <c r="B476" s="241">
        <v>1650</v>
      </c>
      <c r="C476" s="241" t="str">
        <f>VLOOKUP(B476,Orgenheter!$A$1:$B$214,2,0)</f>
        <v xml:space="preserve">Estetiska ämnen               </v>
      </c>
    </row>
    <row r="477" spans="1:3" x14ac:dyDescent="0.25">
      <c r="A477" s="257" t="s">
        <v>525</v>
      </c>
      <c r="B477" s="247">
        <v>1650</v>
      </c>
      <c r="C477" s="241" t="str">
        <f>VLOOKUP(B477,Orgenheter!$A$1:$B$214,2,0)</f>
        <v xml:space="preserve">Estetiska ämnen               </v>
      </c>
    </row>
    <row r="478" spans="1:3" x14ac:dyDescent="0.25">
      <c r="A478" s="257" t="s">
        <v>764</v>
      </c>
      <c r="B478" s="247">
        <v>1650</v>
      </c>
      <c r="C478" s="241" t="str">
        <f>VLOOKUP(B478,Orgenheter!$A$1:$B$214,2,0)</f>
        <v xml:space="preserve">Estetiska ämnen               </v>
      </c>
    </row>
    <row r="479" spans="1:3" x14ac:dyDescent="0.25">
      <c r="A479" s="422" t="s">
        <v>2086</v>
      </c>
      <c r="B479" s="423">
        <v>1650</v>
      </c>
      <c r="C479" s="241" t="str">
        <f>VLOOKUP(B479,Orgenheter!$A$1:$B$214,2,0)</f>
        <v xml:space="preserve">Estetiska ämnen               </v>
      </c>
    </row>
    <row r="480" spans="1:3" x14ac:dyDescent="0.25">
      <c r="A480" s="256" t="s">
        <v>850</v>
      </c>
      <c r="B480" s="241">
        <v>1650</v>
      </c>
      <c r="C480" s="241" t="str">
        <f>VLOOKUP(B480,Orgenheter!$A$1:$B$214,2,0)</f>
        <v xml:space="preserve">Estetiska ämnen               </v>
      </c>
    </row>
    <row r="481" spans="1:3" ht="12.95" customHeight="1" x14ac:dyDescent="0.25">
      <c r="A481" s="241" t="s">
        <v>564</v>
      </c>
      <c r="B481" s="247">
        <v>1650</v>
      </c>
      <c r="C481" s="241" t="str">
        <f>VLOOKUP(B481,Orgenheter!$A$1:$B$214,2,0)</f>
        <v xml:space="preserve">Estetiska ämnen               </v>
      </c>
    </row>
    <row r="482" spans="1:3" ht="12.95" customHeight="1" x14ac:dyDescent="0.25">
      <c r="A482" s="256" t="s">
        <v>643</v>
      </c>
      <c r="B482" s="241">
        <v>1650</v>
      </c>
      <c r="C482" s="241" t="str">
        <f>VLOOKUP(B482,Orgenheter!$A$1:$B$214,2,0)</f>
        <v xml:space="preserve">Estetiska ämnen               </v>
      </c>
    </row>
    <row r="483" spans="1:3" ht="12.95" customHeight="1" x14ac:dyDescent="0.25">
      <c r="A483" s="257" t="s">
        <v>1107</v>
      </c>
      <c r="B483" s="247">
        <v>1650</v>
      </c>
      <c r="C483" s="241" t="str">
        <f>VLOOKUP(B483,Orgenheter!$A$1:$B$214,2,0)</f>
        <v xml:space="preserve">Estetiska ämnen               </v>
      </c>
    </row>
    <row r="484" spans="1:3" ht="12.95" customHeight="1" x14ac:dyDescent="0.25">
      <c r="A484" s="299" t="s">
        <v>1288</v>
      </c>
      <c r="B484" s="247">
        <v>1650</v>
      </c>
      <c r="C484" s="241" t="str">
        <f>VLOOKUP(B484,Orgenheter!$A$1:$B$214,2,0)</f>
        <v xml:space="preserve">Estetiska ämnen               </v>
      </c>
    </row>
    <row r="485" spans="1:3" ht="12.95" customHeight="1" x14ac:dyDescent="0.25">
      <c r="A485" s="299" t="s">
        <v>1290</v>
      </c>
      <c r="B485" s="247">
        <v>1650</v>
      </c>
      <c r="C485" s="241" t="str">
        <f>VLOOKUP(B485,Orgenheter!$A$1:$B$214,2,0)</f>
        <v xml:space="preserve">Estetiska ämnen               </v>
      </c>
    </row>
    <row r="486" spans="1:3" ht="12.95" customHeight="1" x14ac:dyDescent="0.25">
      <c r="A486" s="241" t="s">
        <v>1326</v>
      </c>
      <c r="B486" s="241">
        <v>1650</v>
      </c>
      <c r="C486" s="241" t="str">
        <f>VLOOKUP(B486,Orgenheter!$A$1:$B$214,2,0)</f>
        <v xml:space="preserve">Estetiska ämnen               </v>
      </c>
    </row>
    <row r="487" spans="1:3" ht="12.95" customHeight="1" x14ac:dyDescent="0.25">
      <c r="A487" s="241" t="s">
        <v>1327</v>
      </c>
      <c r="B487" s="241">
        <v>1650</v>
      </c>
      <c r="C487" s="241" t="str">
        <f>VLOOKUP(B487,Orgenheter!$A$1:$B$214,2,0)</f>
        <v xml:space="preserve">Estetiska ämnen               </v>
      </c>
    </row>
    <row r="488" spans="1:3" ht="12.95" customHeight="1" x14ac:dyDescent="0.25">
      <c r="A488" s="264" t="s">
        <v>1549</v>
      </c>
      <c r="B488" s="247">
        <v>1650</v>
      </c>
      <c r="C488" s="241" t="str">
        <f>VLOOKUP(B488,Orgenheter!$A$1:$B$214,2,0)</f>
        <v xml:space="preserve">Estetiska ämnen               </v>
      </c>
    </row>
    <row r="489" spans="1:3" ht="12.95" customHeight="1" x14ac:dyDescent="0.25">
      <c r="A489" s="264" t="s">
        <v>1551</v>
      </c>
      <c r="B489" s="247">
        <v>1650</v>
      </c>
      <c r="C489" s="241" t="str">
        <f>VLOOKUP(B489,Orgenheter!$A$1:$B$214,2,0)</f>
        <v xml:space="preserve">Estetiska ämnen               </v>
      </c>
    </row>
    <row r="490" spans="1:3" ht="12.95" customHeight="1" x14ac:dyDescent="0.25">
      <c r="A490" s="264" t="s">
        <v>1690</v>
      </c>
      <c r="B490" s="241">
        <v>1650</v>
      </c>
      <c r="C490" s="241" t="str">
        <f>VLOOKUP(B490,Orgenheter!$A$1:$B$214,2,0)</f>
        <v xml:space="preserve">Estetiska ämnen               </v>
      </c>
    </row>
    <row r="491" spans="1:3" ht="12.95" customHeight="1" x14ac:dyDescent="0.25">
      <c r="A491" s="264" t="s">
        <v>1857</v>
      </c>
      <c r="B491" s="352">
        <v>1650</v>
      </c>
      <c r="C491" s="241" t="str">
        <f>VLOOKUP(B491,Orgenheter!$A$1:$B$214,2,0)</f>
        <v xml:space="preserve">Estetiska ämnen               </v>
      </c>
    </row>
    <row r="492" spans="1:3" ht="12.95" customHeight="1" x14ac:dyDescent="0.25">
      <c r="A492" s="264" t="s">
        <v>2091</v>
      </c>
      <c r="B492" s="409">
        <v>1650</v>
      </c>
      <c r="C492" s="241" t="str">
        <f>VLOOKUP(B492,Orgenheter!$A$1:$B$214,2,0)</f>
        <v xml:space="preserve">Estetiska ämnen               </v>
      </c>
    </row>
    <row r="493" spans="1:3" ht="12.95" customHeight="1" x14ac:dyDescent="0.25">
      <c r="A493" s="264" t="s">
        <v>2092</v>
      </c>
      <c r="B493" s="409">
        <v>1650</v>
      </c>
      <c r="C493" s="241" t="str">
        <f>VLOOKUP(B493,Orgenheter!$A$1:$B$214,2,0)</f>
        <v xml:space="preserve">Estetiska ämnen               </v>
      </c>
    </row>
    <row r="494" spans="1:3" ht="12.95" customHeight="1" x14ac:dyDescent="0.25">
      <c r="A494" s="264" t="s">
        <v>2093</v>
      </c>
      <c r="B494" s="409">
        <v>1650</v>
      </c>
      <c r="C494" s="241" t="str">
        <f>VLOOKUP(B494,Orgenheter!$A$1:$B$214,2,0)</f>
        <v xml:space="preserve">Estetiska ämnen               </v>
      </c>
    </row>
    <row r="495" spans="1:3" x14ac:dyDescent="0.25">
      <c r="A495" s="264" t="s">
        <v>2022</v>
      </c>
      <c r="B495" s="241">
        <v>1650</v>
      </c>
      <c r="C495" s="241" t="str">
        <f>VLOOKUP(B495,Orgenheter!$A$1:$B$214,2,0)</f>
        <v xml:space="preserve">Estetiska ämnen               </v>
      </c>
    </row>
    <row r="496" spans="1:3" x14ac:dyDescent="0.25">
      <c r="A496" s="408" t="s">
        <v>2095</v>
      </c>
      <c r="B496" s="409">
        <v>1650</v>
      </c>
      <c r="C496" s="241" t="str">
        <f>VLOOKUP(B496,Orgenheter!$A$1:$B$214,2,0)</f>
        <v xml:space="preserve">Estetiska ämnen               </v>
      </c>
    </row>
    <row r="497" spans="1:3" ht="12.95" customHeight="1" x14ac:dyDescent="0.25">
      <c r="A497" s="264" t="s">
        <v>2029</v>
      </c>
      <c r="B497" s="247">
        <v>1650</v>
      </c>
      <c r="C497" s="241" t="str">
        <f>VLOOKUP(B497,Orgenheter!$A$1:$B$214,2,0)</f>
        <v xml:space="preserve">Estetiska ämnen               </v>
      </c>
    </row>
    <row r="498" spans="1:3" ht="12.95" customHeight="1" x14ac:dyDescent="0.25">
      <c r="A498" s="247" t="s">
        <v>434</v>
      </c>
      <c r="B498" s="247">
        <v>2271</v>
      </c>
      <c r="C498" s="241" t="str">
        <f>VLOOKUP(B498,Orgenheter!$A$1:$B$214,2,0)</f>
        <v xml:space="preserve">Nationalekonomi               </v>
      </c>
    </row>
    <row r="499" spans="1:3" ht="12.95" customHeight="1" x14ac:dyDescent="0.25">
      <c r="A499" s="510" t="s">
        <v>2206</v>
      </c>
      <c r="B499" s="510">
        <v>2271</v>
      </c>
      <c r="C499" s="241" t="str">
        <f>VLOOKUP(B499,Orgenheter!$A$1:$B$214,2,0)</f>
        <v xml:space="preserve">Nationalekonomi               </v>
      </c>
    </row>
    <row r="500" spans="1:3" ht="12.95" customHeight="1" x14ac:dyDescent="0.25">
      <c r="A500" s="554" t="s">
        <v>2468</v>
      </c>
      <c r="B500" s="554">
        <v>5740</v>
      </c>
      <c r="C500" s="241" t="str">
        <f>VLOOKUP(B500,Orgenheter!$A$1:$B$214,2,0)</f>
        <v>NMD</v>
      </c>
    </row>
    <row r="501" spans="1:3" ht="12.95" customHeight="1" x14ac:dyDescent="0.25">
      <c r="A501" s="389" t="s">
        <v>1985</v>
      </c>
      <c r="B501" s="389">
        <v>5740</v>
      </c>
      <c r="C501" s="241" t="str">
        <f>VLOOKUP(B501,Orgenheter!$A$1:$B$214,2,0)</f>
        <v>NMD</v>
      </c>
    </row>
    <row r="502" spans="1:3" ht="12.95" customHeight="1" x14ac:dyDescent="0.25">
      <c r="A502" s="247" t="s">
        <v>1746</v>
      </c>
      <c r="B502" s="247">
        <v>5740</v>
      </c>
      <c r="C502" s="241" t="str">
        <f>VLOOKUP(B502,Orgenheter!$A$1:$B$214,2,0)</f>
        <v>NMD</v>
      </c>
    </row>
    <row r="503" spans="1:3" ht="12.95" customHeight="1" x14ac:dyDescent="0.25">
      <c r="A503" s="247" t="s">
        <v>1747</v>
      </c>
      <c r="B503" s="247">
        <v>5740</v>
      </c>
      <c r="C503" s="241" t="str">
        <f>VLOOKUP(B503,Orgenheter!$A$1:$B$214,2,0)</f>
        <v>NMD</v>
      </c>
    </row>
    <row r="504" spans="1:3" ht="12.95" customHeight="1" x14ac:dyDescent="0.25">
      <c r="A504" s="241" t="s">
        <v>103</v>
      </c>
      <c r="B504" s="241">
        <v>5740</v>
      </c>
      <c r="C504" s="241" t="str">
        <f>VLOOKUP(B504,Orgenheter!$A$1:$B$214,2,0)</f>
        <v>NMD</v>
      </c>
    </row>
    <row r="505" spans="1:3" ht="12.95" customHeight="1" x14ac:dyDescent="0.25">
      <c r="A505" s="256" t="s">
        <v>652</v>
      </c>
      <c r="B505" s="241">
        <v>5740</v>
      </c>
      <c r="C505" s="241" t="str">
        <f>VLOOKUP(B505,Orgenheter!$A$1:$B$214,2,0)</f>
        <v>NMD</v>
      </c>
    </row>
    <row r="506" spans="1:3" ht="12.95" customHeight="1" x14ac:dyDescent="0.25">
      <c r="A506" s="247" t="s">
        <v>851</v>
      </c>
      <c r="B506" s="241">
        <v>5740</v>
      </c>
      <c r="C506" s="241" t="str">
        <f>VLOOKUP(B506,Orgenheter!$A$1:$B$214,2,0)</f>
        <v>NMD</v>
      </c>
    </row>
    <row r="507" spans="1:3" ht="12.95" customHeight="1" x14ac:dyDescent="0.25">
      <c r="A507" s="247" t="s">
        <v>852</v>
      </c>
      <c r="B507" s="241">
        <v>5740</v>
      </c>
      <c r="C507" s="241" t="str">
        <f>VLOOKUP(B507,Orgenheter!$A$1:$B$214,2,0)</f>
        <v>NMD</v>
      </c>
    </row>
    <row r="508" spans="1:3" ht="12.95" customHeight="1" x14ac:dyDescent="0.25">
      <c r="A508" s="247" t="s">
        <v>881</v>
      </c>
      <c r="B508" s="241">
        <v>5740</v>
      </c>
      <c r="C508" s="241" t="str">
        <f>VLOOKUP(B508,Orgenheter!$A$1:$B$214,2,0)</f>
        <v>NMD</v>
      </c>
    </row>
    <row r="509" spans="1:3" ht="12.95" customHeight="1" x14ac:dyDescent="0.25">
      <c r="A509" s="247" t="s">
        <v>882</v>
      </c>
      <c r="B509" s="241">
        <v>5740</v>
      </c>
      <c r="C509" s="241" t="str">
        <f>VLOOKUP(B509,Orgenheter!$A$1:$B$214,2,0)</f>
        <v>NMD</v>
      </c>
    </row>
    <row r="510" spans="1:3" ht="12.95" customHeight="1" x14ac:dyDescent="0.25">
      <c r="A510" s="247" t="s">
        <v>1606</v>
      </c>
      <c r="B510" s="241">
        <v>5740</v>
      </c>
      <c r="C510" s="241" t="str">
        <f>VLOOKUP(B510,Orgenheter!$A$1:$B$214,2,0)</f>
        <v>NMD</v>
      </c>
    </row>
    <row r="511" spans="1:3" ht="12.95" customHeight="1" x14ac:dyDescent="0.25">
      <c r="A511" s="247" t="s">
        <v>1537</v>
      </c>
      <c r="B511" s="241">
        <v>5740</v>
      </c>
      <c r="C511" s="241" t="str">
        <f>VLOOKUP(B511,Orgenheter!$A$1:$B$214,2,0)</f>
        <v>NMD</v>
      </c>
    </row>
    <row r="512" spans="1:3" ht="12.95" customHeight="1" x14ac:dyDescent="0.25">
      <c r="A512" s="247" t="s">
        <v>1535</v>
      </c>
      <c r="B512" s="241">
        <v>5740</v>
      </c>
      <c r="C512" s="241" t="str">
        <f>VLOOKUP(B512,Orgenheter!$A$1:$B$214,2,0)</f>
        <v>NMD</v>
      </c>
    </row>
    <row r="513" spans="1:3" ht="12.95" customHeight="1" x14ac:dyDescent="0.25">
      <c r="A513" s="247" t="s">
        <v>1538</v>
      </c>
      <c r="B513" s="241">
        <v>5740</v>
      </c>
      <c r="C513" s="241" t="str">
        <f>VLOOKUP(B513,Orgenheter!$A$1:$B$214,2,0)</f>
        <v>NMD</v>
      </c>
    </row>
    <row r="514" spans="1:3" ht="12.95" customHeight="1" x14ac:dyDescent="0.25">
      <c r="A514" s="247" t="s">
        <v>1770</v>
      </c>
      <c r="B514" s="241">
        <v>5740</v>
      </c>
      <c r="C514" s="241" t="str">
        <f>VLOOKUP(B514,Orgenheter!$A$1:$B$214,2,0)</f>
        <v>NMD</v>
      </c>
    </row>
    <row r="515" spans="1:3" ht="12.95" customHeight="1" x14ac:dyDescent="0.25">
      <c r="A515" s="247" t="s">
        <v>1769</v>
      </c>
      <c r="B515" s="241">
        <v>5740</v>
      </c>
      <c r="C515" s="241" t="str">
        <f>VLOOKUP(B515,Orgenheter!$A$1:$B$214,2,0)</f>
        <v>NMD</v>
      </c>
    </row>
    <row r="516" spans="1:3" ht="15" customHeight="1" x14ac:dyDescent="0.25">
      <c r="A516" s="265" t="s">
        <v>1805</v>
      </c>
      <c r="B516" s="241">
        <v>5740</v>
      </c>
      <c r="C516" s="241" t="str">
        <f>VLOOKUP(B516,Orgenheter!$A$1:$B$214,2,0)</f>
        <v>NMD</v>
      </c>
    </row>
    <row r="517" spans="1:3" ht="15" customHeight="1" x14ac:dyDescent="0.25">
      <c r="A517" s="502" t="s">
        <v>2284</v>
      </c>
      <c r="B517" s="492">
        <v>5740</v>
      </c>
      <c r="C517" s="241" t="str">
        <f>VLOOKUP(B517,Orgenheter!$A$1:$B$214,2,0)</f>
        <v>NMD</v>
      </c>
    </row>
    <row r="518" spans="1:3" ht="15" customHeight="1" x14ac:dyDescent="0.25">
      <c r="A518" s="502" t="s">
        <v>2285</v>
      </c>
      <c r="B518" s="492">
        <v>5740</v>
      </c>
      <c r="C518" s="241" t="str">
        <f>VLOOKUP(B518,Orgenheter!$A$1:$B$214,2,0)</f>
        <v>NMD</v>
      </c>
    </row>
    <row r="519" spans="1:3" ht="15" customHeight="1" x14ac:dyDescent="0.25">
      <c r="A519" s="502" t="s">
        <v>2151</v>
      </c>
      <c r="B519" s="492">
        <v>5740</v>
      </c>
      <c r="C519" s="241" t="str">
        <f>VLOOKUP(B519,Orgenheter!$A$1:$B$214,2,0)</f>
        <v>NMD</v>
      </c>
    </row>
    <row r="520" spans="1:3" ht="12.95" customHeight="1" x14ac:dyDescent="0.25">
      <c r="A520" s="264" t="s">
        <v>853</v>
      </c>
      <c r="B520" s="241">
        <v>2180</v>
      </c>
      <c r="C520" s="241" t="str">
        <f>VLOOKUP(B520,Orgenheter!$A$1:$B$214,2,0)</f>
        <v xml:space="preserve">Pedagogik                     </v>
      </c>
    </row>
    <row r="521" spans="1:3" x14ac:dyDescent="0.25">
      <c r="A521" s="296" t="s">
        <v>436</v>
      </c>
      <c r="B521" s="241">
        <v>5740</v>
      </c>
      <c r="C521" s="241" t="str">
        <f>VLOOKUP(B521,Orgenheter!$A$1:$B$214,2,0)</f>
        <v>NMD</v>
      </c>
    </row>
    <row r="522" spans="1:3" x14ac:dyDescent="0.25">
      <c r="A522" s="296" t="s">
        <v>1017</v>
      </c>
      <c r="B522" s="241">
        <v>5740</v>
      </c>
      <c r="C522" s="241" t="str">
        <f>VLOOKUP(B522,Orgenheter!$A$1:$B$214,2,0)</f>
        <v>NMD</v>
      </c>
    </row>
    <row r="523" spans="1:3" ht="12.95" customHeight="1" x14ac:dyDescent="0.25">
      <c r="A523" s="296" t="s">
        <v>1018</v>
      </c>
      <c r="B523" s="241">
        <v>5740</v>
      </c>
      <c r="C523" s="241" t="str">
        <f>VLOOKUP(B523,Orgenheter!$A$1:$B$214,2,0)</f>
        <v>NMD</v>
      </c>
    </row>
    <row r="524" spans="1:3" ht="12.95" customHeight="1" x14ac:dyDescent="0.25">
      <c r="A524" s="241" t="s">
        <v>146</v>
      </c>
      <c r="B524" s="241">
        <v>5740</v>
      </c>
      <c r="C524" s="241" t="str">
        <f>VLOOKUP(B524,Orgenheter!$A$1:$B$214,2,0)</f>
        <v>NMD</v>
      </c>
    </row>
    <row r="525" spans="1:3" ht="12.95" customHeight="1" x14ac:dyDescent="0.25">
      <c r="A525" s="241" t="s">
        <v>147</v>
      </c>
      <c r="B525" s="241">
        <v>5740</v>
      </c>
      <c r="C525" s="241" t="str">
        <f>VLOOKUP(B525,Orgenheter!$A$1:$B$214,2,0)</f>
        <v>NMD</v>
      </c>
    </row>
    <row r="526" spans="1:3" ht="12.95" customHeight="1" x14ac:dyDescent="0.25">
      <c r="A526" s="241" t="s">
        <v>91</v>
      </c>
      <c r="B526" s="241">
        <v>2180</v>
      </c>
      <c r="C526" s="241" t="str">
        <f>VLOOKUP(B526,Orgenheter!$A$1:$B$214,2,0)</f>
        <v xml:space="preserve">Pedagogik                     </v>
      </c>
    </row>
    <row r="527" spans="1:3" ht="12.95" customHeight="1" x14ac:dyDescent="0.25">
      <c r="A527" s="241" t="s">
        <v>139</v>
      </c>
      <c r="B527" s="241">
        <v>2193</v>
      </c>
      <c r="C527" s="241" t="str">
        <f>VLOOKUP(B527,Orgenheter!$A$1:$B$214,2,0)</f>
        <v xml:space="preserve">TUV </v>
      </c>
    </row>
    <row r="528" spans="1:3" ht="12.95" customHeight="1" x14ac:dyDescent="0.25">
      <c r="A528" s="241" t="s">
        <v>140</v>
      </c>
      <c r="B528" s="241">
        <v>2193</v>
      </c>
      <c r="C528" s="241" t="str">
        <f>VLOOKUP(B528,Orgenheter!$A$1:$B$214,2,0)</f>
        <v xml:space="preserve">TUV </v>
      </c>
    </row>
    <row r="529" spans="1:3" x14ac:dyDescent="0.25">
      <c r="A529" s="241" t="s">
        <v>1019</v>
      </c>
      <c r="B529" s="241">
        <v>2180</v>
      </c>
      <c r="C529" s="241" t="str">
        <f>VLOOKUP(B529,Orgenheter!$A$1:$B$214,2,0)</f>
        <v xml:space="preserve">Pedagogik                     </v>
      </c>
    </row>
    <row r="530" spans="1:3" ht="15.75" x14ac:dyDescent="0.25">
      <c r="A530" s="245" t="s">
        <v>500</v>
      </c>
      <c r="B530" s="243">
        <v>1620</v>
      </c>
      <c r="C530" s="241" t="str">
        <f>VLOOKUP(B530,Orgenheter!$A$1:$B$214,2,0)</f>
        <v>Inst för språkstudier</v>
      </c>
    </row>
    <row r="531" spans="1:3" x14ac:dyDescent="0.25">
      <c r="A531" s="241" t="s">
        <v>129</v>
      </c>
      <c r="B531" s="241">
        <v>2180</v>
      </c>
      <c r="C531" s="241" t="str">
        <f>VLOOKUP(B531,Orgenheter!$A$1:$B$214,2,0)</f>
        <v xml:space="preserve">Pedagogik                     </v>
      </c>
    </row>
    <row r="532" spans="1:3" x14ac:dyDescent="0.25">
      <c r="A532" s="241" t="s">
        <v>334</v>
      </c>
      <c r="B532" s="241">
        <v>2180</v>
      </c>
      <c r="C532" s="241" t="str">
        <f>VLOOKUP(B532,Orgenheter!$A$1:$B$214,2,0)</f>
        <v xml:space="preserve">Pedagogik                     </v>
      </c>
    </row>
    <row r="533" spans="1:3" x14ac:dyDescent="0.25">
      <c r="A533" s="241" t="s">
        <v>121</v>
      </c>
      <c r="B533" s="241">
        <v>2193</v>
      </c>
      <c r="C533" s="241" t="str">
        <f>VLOOKUP(B533,Orgenheter!$A$1:$B$214,2,0)</f>
        <v xml:space="preserve">TUV </v>
      </c>
    </row>
    <row r="534" spans="1:3" x14ac:dyDescent="0.25">
      <c r="A534" s="247" t="s">
        <v>393</v>
      </c>
      <c r="B534" s="241">
        <v>5740</v>
      </c>
      <c r="C534" s="241" t="str">
        <f>VLOOKUP(B534,Orgenheter!$A$1:$B$214,2,0)</f>
        <v>NMD</v>
      </c>
    </row>
    <row r="535" spans="1:3" x14ac:dyDescent="0.25">
      <c r="A535" s="247" t="s">
        <v>369</v>
      </c>
      <c r="B535" s="241">
        <v>5740</v>
      </c>
      <c r="C535" s="241" t="str">
        <f>VLOOKUP(B535,Orgenheter!$A$1:$B$214,2,0)</f>
        <v>NMD</v>
      </c>
    </row>
    <row r="536" spans="1:3" x14ac:dyDescent="0.25">
      <c r="A536" s="247" t="s">
        <v>716</v>
      </c>
      <c r="B536" s="241">
        <v>2193</v>
      </c>
      <c r="C536" s="241" t="str">
        <f>VLOOKUP(B536,Orgenheter!$A$1:$B$214,2,0)</f>
        <v xml:space="preserve">TUV </v>
      </c>
    </row>
    <row r="537" spans="1:3" x14ac:dyDescent="0.25">
      <c r="A537" s="264" t="s">
        <v>370</v>
      </c>
      <c r="B537" s="241">
        <v>2180</v>
      </c>
      <c r="C537" s="241" t="str">
        <f>VLOOKUP(B537,Orgenheter!$A$1:$B$214,2,0)</f>
        <v xml:space="preserve">Pedagogik                     </v>
      </c>
    </row>
    <row r="538" spans="1:3" x14ac:dyDescent="0.25">
      <c r="A538" s="241" t="s">
        <v>590</v>
      </c>
      <c r="B538" s="241">
        <v>2193</v>
      </c>
      <c r="C538" s="241" t="str">
        <f>VLOOKUP(B538,Orgenheter!$A$1:$B$214,2,0)</f>
        <v xml:space="preserve">TUV </v>
      </c>
    </row>
    <row r="539" spans="1:3" x14ac:dyDescent="0.25">
      <c r="A539" s="241" t="s">
        <v>480</v>
      </c>
      <c r="B539" s="241">
        <v>2193</v>
      </c>
      <c r="C539" s="241" t="str">
        <f>VLOOKUP(B539,Orgenheter!$A$1:$B$214,2,0)</f>
        <v xml:space="preserve">TUV </v>
      </c>
    </row>
    <row r="540" spans="1:3" ht="12.95" customHeight="1" x14ac:dyDescent="0.25">
      <c r="A540" s="245" t="s">
        <v>501</v>
      </c>
      <c r="B540" s="243">
        <v>2193</v>
      </c>
      <c r="C540" s="241" t="str">
        <f>VLOOKUP(B540,Orgenheter!$A$1:$B$214,2,0)</f>
        <v xml:space="preserve">TUV </v>
      </c>
    </row>
    <row r="541" spans="1:3" ht="15.75" x14ac:dyDescent="0.25">
      <c r="A541" s="245" t="s">
        <v>591</v>
      </c>
      <c r="B541" s="298">
        <v>2193</v>
      </c>
      <c r="C541" s="241" t="str">
        <f>VLOOKUP(B541,Orgenheter!$A$1:$B$214,2,0)</f>
        <v xml:space="preserve">TUV </v>
      </c>
    </row>
    <row r="542" spans="1:3" ht="15.75" x14ac:dyDescent="0.25">
      <c r="A542" s="245" t="s">
        <v>502</v>
      </c>
      <c r="B542" s="243">
        <v>2193</v>
      </c>
      <c r="C542" s="241" t="str">
        <f>VLOOKUP(B542,Orgenheter!$A$1:$B$214,2,0)</f>
        <v xml:space="preserve">TUV </v>
      </c>
    </row>
    <row r="543" spans="1:3" ht="15.75" x14ac:dyDescent="0.25">
      <c r="A543" s="245" t="s">
        <v>592</v>
      </c>
      <c r="B543" s="298">
        <v>2193</v>
      </c>
      <c r="C543" s="241" t="str">
        <f>VLOOKUP(B543,Orgenheter!$A$1:$B$214,2,0)</f>
        <v xml:space="preserve">TUV </v>
      </c>
    </row>
    <row r="544" spans="1:3" ht="15.75" x14ac:dyDescent="0.25">
      <c r="A544" s="245" t="s">
        <v>593</v>
      </c>
      <c r="B544" s="298">
        <v>2193</v>
      </c>
      <c r="C544" s="241" t="str">
        <f>VLOOKUP(B544,Orgenheter!$A$1:$B$214,2,0)</f>
        <v xml:space="preserve">TUV </v>
      </c>
    </row>
    <row r="545" spans="1:3" ht="15.75" x14ac:dyDescent="0.25">
      <c r="A545" s="245" t="s">
        <v>594</v>
      </c>
      <c r="B545" s="298">
        <v>2193</v>
      </c>
      <c r="C545" s="241" t="str">
        <f>VLOOKUP(B545,Orgenheter!$A$1:$B$214,2,0)</f>
        <v xml:space="preserve">TUV </v>
      </c>
    </row>
    <row r="546" spans="1:3" ht="15.75" x14ac:dyDescent="0.25">
      <c r="A546" s="245" t="s">
        <v>854</v>
      </c>
      <c r="B546" s="298">
        <v>2193</v>
      </c>
      <c r="C546" s="241" t="str">
        <f>VLOOKUP(B546,Orgenheter!$A$1:$B$214,2,0)</f>
        <v xml:space="preserve">TUV </v>
      </c>
    </row>
    <row r="547" spans="1:3" ht="15.75" x14ac:dyDescent="0.25">
      <c r="A547" s="245" t="s">
        <v>855</v>
      </c>
      <c r="B547" s="298">
        <v>2193</v>
      </c>
      <c r="C547" s="241" t="str">
        <f>VLOOKUP(B547,Orgenheter!$A$1:$B$214,2,0)</f>
        <v xml:space="preserve">TUV </v>
      </c>
    </row>
    <row r="548" spans="1:3" ht="12.95" customHeight="1" x14ac:dyDescent="0.25">
      <c r="A548" s="245" t="s">
        <v>856</v>
      </c>
      <c r="B548" s="298">
        <v>2193</v>
      </c>
      <c r="C548" s="241" t="str">
        <f>VLOOKUP(B548,Orgenheter!$A$1:$B$214,2,0)</f>
        <v xml:space="preserve">TUV </v>
      </c>
    </row>
    <row r="549" spans="1:3" ht="15.75" x14ac:dyDescent="0.25">
      <c r="A549" s="245" t="s">
        <v>857</v>
      </c>
      <c r="B549" s="298">
        <v>2193</v>
      </c>
      <c r="C549" s="241" t="str">
        <f>VLOOKUP(B549,Orgenheter!$A$1:$B$214,2,0)</f>
        <v xml:space="preserve">TUV </v>
      </c>
    </row>
    <row r="550" spans="1:3" ht="15.75" x14ac:dyDescent="0.25">
      <c r="A550" s="245" t="s">
        <v>858</v>
      </c>
      <c r="B550" s="298">
        <v>2193</v>
      </c>
      <c r="C550" s="241" t="str">
        <f>VLOOKUP(B550,Orgenheter!$A$1:$B$214,2,0)</f>
        <v xml:space="preserve">TUV </v>
      </c>
    </row>
    <row r="551" spans="1:3" ht="15.75" x14ac:dyDescent="0.25">
      <c r="A551" s="245" t="s">
        <v>503</v>
      </c>
      <c r="B551" s="243">
        <v>2193</v>
      </c>
      <c r="C551" s="241" t="str">
        <f>VLOOKUP(B551,Orgenheter!$A$1:$B$214,2,0)</f>
        <v xml:space="preserve">TUV </v>
      </c>
    </row>
    <row r="552" spans="1:3" ht="15.75" x14ac:dyDescent="0.25">
      <c r="A552" s="245" t="s">
        <v>504</v>
      </c>
      <c r="B552" s="243">
        <v>2193</v>
      </c>
      <c r="C552" s="241" t="str">
        <f>VLOOKUP(B552,Orgenheter!$A$1:$B$214,2,0)</f>
        <v xml:space="preserve">TUV </v>
      </c>
    </row>
    <row r="553" spans="1:3" ht="12.95" customHeight="1" x14ac:dyDescent="0.25">
      <c r="A553" s="245" t="s">
        <v>505</v>
      </c>
      <c r="B553" s="243">
        <v>2193</v>
      </c>
      <c r="C553" s="241" t="str">
        <f>VLOOKUP(B553,Orgenheter!$A$1:$B$214,2,0)</f>
        <v xml:space="preserve">TUV </v>
      </c>
    </row>
    <row r="554" spans="1:3" ht="15.75" x14ac:dyDescent="0.25">
      <c r="A554" s="245" t="s">
        <v>506</v>
      </c>
      <c r="B554" s="243">
        <v>2193</v>
      </c>
      <c r="C554" s="241" t="str">
        <f>VLOOKUP(B554,Orgenheter!$A$1:$B$214,2,0)</f>
        <v xml:space="preserve">TUV </v>
      </c>
    </row>
    <row r="555" spans="1:3" ht="15.75" x14ac:dyDescent="0.25">
      <c r="A555" s="245" t="s">
        <v>507</v>
      </c>
      <c r="B555" s="243">
        <v>2193</v>
      </c>
      <c r="C555" s="241" t="str">
        <f>VLOOKUP(B555,Orgenheter!$A$1:$B$214,2,0)</f>
        <v xml:space="preserve">TUV </v>
      </c>
    </row>
    <row r="556" spans="1:3" ht="15.75" x14ac:dyDescent="0.25">
      <c r="A556" s="245" t="s">
        <v>508</v>
      </c>
      <c r="B556" s="243">
        <v>2193</v>
      </c>
      <c r="C556" s="241" t="str">
        <f>VLOOKUP(B556,Orgenheter!$A$1:$B$214,2,0)</f>
        <v xml:space="preserve">TUV </v>
      </c>
    </row>
    <row r="557" spans="1:3" ht="15.75" x14ac:dyDescent="0.25">
      <c r="A557" s="245" t="s">
        <v>595</v>
      </c>
      <c r="B557" s="298">
        <v>2193</v>
      </c>
      <c r="C557" s="241" t="str">
        <f>VLOOKUP(B557,Orgenheter!$A$1:$B$214,2,0)</f>
        <v xml:space="preserve">TUV </v>
      </c>
    </row>
    <row r="558" spans="1:3" ht="15.75" x14ac:dyDescent="0.25">
      <c r="A558" s="245" t="s">
        <v>596</v>
      </c>
      <c r="B558" s="298">
        <v>2193</v>
      </c>
      <c r="C558" s="241" t="str">
        <f>VLOOKUP(B558,Orgenheter!$A$1:$B$214,2,0)</f>
        <v xml:space="preserve">TUV </v>
      </c>
    </row>
    <row r="559" spans="1:3" ht="15.75" x14ac:dyDescent="0.25">
      <c r="A559" s="322" t="s">
        <v>859</v>
      </c>
      <c r="B559" s="298">
        <v>2193</v>
      </c>
      <c r="C559" s="241" t="str">
        <f>VLOOKUP(B559,Orgenheter!$A$1:$B$214,2,0)</f>
        <v xml:space="preserve">TUV </v>
      </c>
    </row>
    <row r="560" spans="1:3" ht="15.75" x14ac:dyDescent="0.25">
      <c r="A560" s="245" t="s">
        <v>860</v>
      </c>
      <c r="B560" s="298">
        <v>2193</v>
      </c>
      <c r="C560" s="241" t="str">
        <f>VLOOKUP(B560,Orgenheter!$A$1:$B$214,2,0)</f>
        <v xml:space="preserve">TUV </v>
      </c>
    </row>
    <row r="561" spans="1:3" ht="15.75" x14ac:dyDescent="0.25">
      <c r="A561" s="245" t="s">
        <v>1051</v>
      </c>
      <c r="B561" s="241">
        <v>2193</v>
      </c>
      <c r="C561" s="241" t="str">
        <f>VLOOKUP(B561,Orgenheter!$A$1:$B$214,2,0)</f>
        <v xml:space="preserve">TUV </v>
      </c>
    </row>
    <row r="562" spans="1:3" x14ac:dyDescent="0.25">
      <c r="A562" s="298" t="s">
        <v>634</v>
      </c>
      <c r="B562" s="241">
        <v>2180</v>
      </c>
      <c r="C562" s="241" t="str">
        <f>VLOOKUP(B562,Orgenheter!$A$1:$B$214,2,0)</f>
        <v xml:space="preserve">Pedagogik                     </v>
      </c>
    </row>
    <row r="563" spans="1:3" x14ac:dyDescent="0.25">
      <c r="A563" s="298" t="s">
        <v>629</v>
      </c>
      <c r="B563" s="241">
        <v>2180</v>
      </c>
      <c r="C563" s="241" t="str">
        <f>VLOOKUP(B563,Orgenheter!$A$1:$B$214,2,0)</f>
        <v xml:space="preserve">Pedagogik                     </v>
      </c>
    </row>
    <row r="564" spans="1:3" ht="15.75" x14ac:dyDescent="0.25">
      <c r="A564" s="245" t="s">
        <v>630</v>
      </c>
      <c r="B564" s="241">
        <v>2180</v>
      </c>
      <c r="C564" s="241" t="str">
        <f>VLOOKUP(B564,Orgenheter!$A$1:$B$214,2,0)</f>
        <v xml:space="preserve">Pedagogik                     </v>
      </c>
    </row>
    <row r="565" spans="1:3" x14ac:dyDescent="0.25">
      <c r="A565" s="298" t="s">
        <v>810</v>
      </c>
      <c r="B565" s="241">
        <v>5740</v>
      </c>
      <c r="C565" s="241" t="str">
        <f>VLOOKUP(B565,Orgenheter!$A$1:$B$214,2,0)</f>
        <v>NMD</v>
      </c>
    </row>
    <row r="566" spans="1:3" x14ac:dyDescent="0.25">
      <c r="A566" s="298" t="s">
        <v>811</v>
      </c>
      <c r="B566" s="241">
        <v>5740</v>
      </c>
      <c r="C566" s="241" t="str">
        <f>VLOOKUP(B566,Orgenheter!$A$1:$B$214,2,0)</f>
        <v>NMD</v>
      </c>
    </row>
    <row r="567" spans="1:3" x14ac:dyDescent="0.25">
      <c r="A567" s="298" t="s">
        <v>951</v>
      </c>
      <c r="B567" s="241">
        <v>2193</v>
      </c>
      <c r="C567" s="241" t="str">
        <f>VLOOKUP(B567,Orgenheter!$A$1:$B$214,2,0)</f>
        <v xml:space="preserve">TUV </v>
      </c>
    </row>
    <row r="568" spans="1:3" x14ac:dyDescent="0.25">
      <c r="A568" s="265" t="s">
        <v>921</v>
      </c>
      <c r="B568" s="241">
        <v>2180</v>
      </c>
      <c r="C568" s="241" t="str">
        <f>VLOOKUP(B568,Orgenheter!$A$1:$B$214,2,0)</f>
        <v xml:space="preserve">Pedagogik                     </v>
      </c>
    </row>
    <row r="569" spans="1:3" x14ac:dyDescent="0.25">
      <c r="A569" s="265" t="s">
        <v>1068</v>
      </c>
      <c r="B569" s="241">
        <v>2193</v>
      </c>
      <c r="C569" s="241" t="str">
        <f>VLOOKUP(B569,Orgenheter!$A$1:$B$214,2,0)</f>
        <v xml:space="preserve">TUV </v>
      </c>
    </row>
    <row r="570" spans="1:3" x14ac:dyDescent="0.25">
      <c r="A570" s="265" t="s">
        <v>952</v>
      </c>
      <c r="B570" s="241">
        <v>2193</v>
      </c>
      <c r="C570" s="241" t="str">
        <f>VLOOKUP(B570,Orgenheter!$A$1:$B$214,2,0)</f>
        <v xml:space="preserve">TUV </v>
      </c>
    </row>
    <row r="571" spans="1:3" x14ac:dyDescent="0.25">
      <c r="A571" s="265" t="s">
        <v>953</v>
      </c>
      <c r="B571" s="241">
        <v>2193</v>
      </c>
      <c r="C571" s="241" t="str">
        <f>VLOOKUP(B571,Orgenheter!$A$1:$B$214,2,0)</f>
        <v xml:space="preserve">TUV </v>
      </c>
    </row>
    <row r="572" spans="1:3" x14ac:dyDescent="0.25">
      <c r="A572" s="265" t="s">
        <v>960</v>
      </c>
      <c r="B572" s="241">
        <v>5740</v>
      </c>
      <c r="C572" s="241" t="str">
        <f>VLOOKUP(B572,Orgenheter!$A$1:$B$214,2,0)</f>
        <v>NMD</v>
      </c>
    </row>
    <row r="573" spans="1:3" x14ac:dyDescent="0.25">
      <c r="A573" s="265" t="s">
        <v>959</v>
      </c>
      <c r="B573" s="241">
        <v>5740</v>
      </c>
      <c r="C573" s="241" t="str">
        <f>VLOOKUP(B573,Orgenheter!$A$1:$B$214,2,0)</f>
        <v>NMD</v>
      </c>
    </row>
    <row r="574" spans="1:3" x14ac:dyDescent="0.25">
      <c r="A574" s="265" t="s">
        <v>954</v>
      </c>
      <c r="B574" s="241">
        <v>2180</v>
      </c>
      <c r="C574" s="241" t="str">
        <f>VLOOKUP(B574,Orgenheter!$A$1:$B$214,2,0)</f>
        <v xml:space="preserve">Pedagogik                     </v>
      </c>
    </row>
    <row r="575" spans="1:3" x14ac:dyDescent="0.25">
      <c r="A575" s="265" t="s">
        <v>1086</v>
      </c>
      <c r="B575" s="241">
        <v>2180</v>
      </c>
      <c r="C575" s="241" t="str">
        <f>VLOOKUP(B575,Orgenheter!$A$1:$B$214,2,0)</f>
        <v xml:space="preserve">Pedagogik                     </v>
      </c>
    </row>
    <row r="576" spans="1:3" ht="12.95" customHeight="1" x14ac:dyDescent="0.25">
      <c r="A576" s="241" t="s">
        <v>973</v>
      </c>
      <c r="B576" s="241">
        <v>5740</v>
      </c>
      <c r="C576" s="241" t="str">
        <f>VLOOKUP(B576,Orgenheter!$A$1:$B$214,2,0)</f>
        <v>NMD</v>
      </c>
    </row>
    <row r="577" spans="1:3" ht="12.95" customHeight="1" x14ac:dyDescent="0.25">
      <c r="A577" s="300" t="s">
        <v>1020</v>
      </c>
      <c r="B577" s="241">
        <v>5740</v>
      </c>
      <c r="C577" s="241" t="str">
        <f>VLOOKUP(B577,Orgenheter!$A$1:$B$214,2,0)</f>
        <v>NMD</v>
      </c>
    </row>
    <row r="578" spans="1:3" ht="12.95" customHeight="1" x14ac:dyDescent="0.25">
      <c r="A578" s="300" t="s">
        <v>1021</v>
      </c>
      <c r="B578" s="241">
        <v>5740</v>
      </c>
      <c r="C578" s="241" t="str">
        <f>VLOOKUP(B578,Orgenheter!$A$1:$B$214,2,0)</f>
        <v>NMD</v>
      </c>
    </row>
    <row r="579" spans="1:3" ht="12.95" customHeight="1" x14ac:dyDescent="0.25">
      <c r="A579" s="301" t="s">
        <v>968</v>
      </c>
      <c r="B579" s="241">
        <v>5740</v>
      </c>
      <c r="C579" s="241" t="str">
        <f>VLOOKUP(B579,Orgenheter!$A$1:$B$214,2,0)</f>
        <v>NMD</v>
      </c>
    </row>
    <row r="580" spans="1:3" ht="12.95" customHeight="1" x14ac:dyDescent="0.25">
      <c r="A580" s="301" t="s">
        <v>971</v>
      </c>
      <c r="B580" s="241">
        <v>5740</v>
      </c>
      <c r="C580" s="241" t="str">
        <f>VLOOKUP(B580,Orgenheter!$A$1:$B$214,2,0)</f>
        <v>NMD</v>
      </c>
    </row>
    <row r="581" spans="1:3" ht="12.95" customHeight="1" x14ac:dyDescent="0.25">
      <c r="A581" s="301" t="s">
        <v>982</v>
      </c>
      <c r="B581" s="241">
        <v>2193</v>
      </c>
      <c r="C581" s="241" t="str">
        <f>VLOOKUP(B581,Orgenheter!$A$1:$B$214,2,0)</f>
        <v xml:space="preserve">TUV </v>
      </c>
    </row>
    <row r="582" spans="1:3" ht="12.95" customHeight="1" x14ac:dyDescent="0.25">
      <c r="A582" s="301" t="s">
        <v>983</v>
      </c>
      <c r="B582" s="241">
        <v>2193</v>
      </c>
      <c r="C582" s="241" t="str">
        <f>VLOOKUP(B582,Orgenheter!$A$1:$B$214,2,0)</f>
        <v xml:space="preserve">TUV </v>
      </c>
    </row>
    <row r="583" spans="1:3" ht="12.95" customHeight="1" x14ac:dyDescent="0.25">
      <c r="A583" s="301" t="s">
        <v>984</v>
      </c>
      <c r="B583" s="241">
        <v>2180</v>
      </c>
      <c r="C583" s="241" t="str">
        <f>VLOOKUP(B583,Orgenheter!$A$1:$B$214,2,0)</f>
        <v xml:space="preserve">Pedagogik                     </v>
      </c>
    </row>
    <row r="584" spans="1:3" ht="12.95" customHeight="1" x14ac:dyDescent="0.25">
      <c r="A584" s="301" t="s">
        <v>985</v>
      </c>
      <c r="B584" s="241">
        <v>2180</v>
      </c>
      <c r="C584" s="241" t="str">
        <f>VLOOKUP(B584,Orgenheter!$A$1:$B$214,2,0)</f>
        <v xml:space="preserve">Pedagogik                     </v>
      </c>
    </row>
    <row r="585" spans="1:3" ht="12.95" customHeight="1" x14ac:dyDescent="0.25">
      <c r="A585" s="257" t="s">
        <v>1239</v>
      </c>
      <c r="B585" s="241">
        <v>5740</v>
      </c>
      <c r="C585" s="241" t="str">
        <f>VLOOKUP(B585,Orgenheter!$A$1:$B$214,2,0)</f>
        <v>NMD</v>
      </c>
    </row>
    <row r="586" spans="1:3" ht="12.95" customHeight="1" x14ac:dyDescent="0.25">
      <c r="A586" s="245" t="s">
        <v>1291</v>
      </c>
      <c r="B586" s="243">
        <v>5740</v>
      </c>
      <c r="C586" s="241" t="str">
        <f>VLOOKUP(B586,Orgenheter!$A$1:$B$214,2,0)</f>
        <v>NMD</v>
      </c>
    </row>
    <row r="587" spans="1:3" ht="12.95" customHeight="1" x14ac:dyDescent="0.25">
      <c r="A587" s="245" t="s">
        <v>1292</v>
      </c>
      <c r="B587" s="243">
        <v>5740</v>
      </c>
      <c r="C587" s="241" t="str">
        <f>VLOOKUP(B587,Orgenheter!$A$1:$B$214,2,0)</f>
        <v>NMD</v>
      </c>
    </row>
    <row r="588" spans="1:3" ht="12.95" customHeight="1" x14ac:dyDescent="0.25">
      <c r="A588" s="245" t="s">
        <v>1293</v>
      </c>
      <c r="B588" s="243">
        <v>5740</v>
      </c>
      <c r="C588" s="241" t="str">
        <f>VLOOKUP(B588,Orgenheter!$A$1:$B$214,2,0)</f>
        <v>NMD</v>
      </c>
    </row>
    <row r="589" spans="1:3" ht="12.95" customHeight="1" x14ac:dyDescent="0.25">
      <c r="A589" s="245" t="s">
        <v>1294</v>
      </c>
      <c r="B589" s="243">
        <v>5740</v>
      </c>
      <c r="C589" s="241" t="str">
        <f>VLOOKUP(B589,Orgenheter!$A$1:$B$214,2,0)</f>
        <v>NMD</v>
      </c>
    </row>
    <row r="590" spans="1:3" ht="12.95" customHeight="1" x14ac:dyDescent="0.25">
      <c r="A590" s="245" t="s">
        <v>1295</v>
      </c>
      <c r="B590" s="243">
        <v>5740</v>
      </c>
      <c r="C590" s="241" t="str">
        <f>VLOOKUP(B590,Orgenheter!$A$1:$B$214,2,0)</f>
        <v>NMD</v>
      </c>
    </row>
    <row r="591" spans="1:3" ht="12.95" customHeight="1" x14ac:dyDescent="0.25">
      <c r="A591" s="245" t="s">
        <v>1296</v>
      </c>
      <c r="B591" s="243">
        <v>5740</v>
      </c>
      <c r="C591" s="241" t="str">
        <f>VLOOKUP(B591,Orgenheter!$A$1:$B$214,2,0)</f>
        <v>NMD</v>
      </c>
    </row>
    <row r="592" spans="1:3" ht="12.95" customHeight="1" x14ac:dyDescent="0.25">
      <c r="A592" s="245" t="s">
        <v>1297</v>
      </c>
      <c r="B592" s="243">
        <v>5740</v>
      </c>
      <c r="C592" s="241" t="str">
        <f>VLOOKUP(B592,Orgenheter!$A$1:$B$214,2,0)</f>
        <v>NMD</v>
      </c>
    </row>
    <row r="593" spans="1:3" ht="12.95" customHeight="1" x14ac:dyDescent="0.25">
      <c r="A593" s="245" t="s">
        <v>1298</v>
      </c>
      <c r="B593" s="243">
        <v>5740</v>
      </c>
      <c r="C593" s="241" t="str">
        <f>VLOOKUP(B593,Orgenheter!$A$1:$B$214,2,0)</f>
        <v>NMD</v>
      </c>
    </row>
    <row r="594" spans="1:3" ht="12.95" customHeight="1" x14ac:dyDescent="0.25">
      <c r="A594" s="245" t="s">
        <v>1299</v>
      </c>
      <c r="B594" s="243">
        <v>5740</v>
      </c>
      <c r="C594" s="241" t="str">
        <f>VLOOKUP(B594,Orgenheter!$A$1:$B$214,2,0)</f>
        <v>NMD</v>
      </c>
    </row>
    <row r="595" spans="1:3" ht="12.95" customHeight="1" x14ac:dyDescent="0.25">
      <c r="A595" s="245" t="s">
        <v>1080</v>
      </c>
      <c r="B595" s="243">
        <v>2193</v>
      </c>
      <c r="C595" s="241" t="str">
        <f>VLOOKUP(B595,Orgenheter!$A$1:$B$214,2,0)</f>
        <v xml:space="preserve">TUV </v>
      </c>
    </row>
    <row r="596" spans="1:3" ht="12.95" customHeight="1" x14ac:dyDescent="0.25">
      <c r="A596" s="245" t="s">
        <v>1083</v>
      </c>
      <c r="B596" s="243">
        <v>2180</v>
      </c>
      <c r="C596" s="241" t="str">
        <f>VLOOKUP(B596,Orgenheter!$A$1:$B$214,2,0)</f>
        <v xml:space="preserve">Pedagogik                     </v>
      </c>
    </row>
    <row r="597" spans="1:3" ht="12.95" customHeight="1" x14ac:dyDescent="0.25">
      <c r="A597" s="245" t="s">
        <v>1081</v>
      </c>
      <c r="B597" s="243">
        <v>5740</v>
      </c>
      <c r="C597" s="241" t="str">
        <f>VLOOKUP(B597,Orgenheter!$A$1:$B$214,2,0)</f>
        <v>NMD</v>
      </c>
    </row>
    <row r="598" spans="1:3" ht="12.95" customHeight="1" x14ac:dyDescent="0.25">
      <c r="A598" s="245" t="s">
        <v>1082</v>
      </c>
      <c r="B598" s="243">
        <v>5740</v>
      </c>
      <c r="C598" s="241" t="str">
        <f>VLOOKUP(B598,Orgenheter!$A$1:$B$214,2,0)</f>
        <v>NMD</v>
      </c>
    </row>
    <row r="599" spans="1:3" ht="12.95" customHeight="1" x14ac:dyDescent="0.25">
      <c r="A599" s="245" t="s">
        <v>1096</v>
      </c>
      <c r="B599" s="243">
        <v>5740</v>
      </c>
      <c r="C599" s="241" t="str">
        <f>VLOOKUP(B599,Orgenheter!$A$1:$B$214,2,0)</f>
        <v>NMD</v>
      </c>
    </row>
    <row r="600" spans="1:3" ht="12.95" customHeight="1" x14ac:dyDescent="0.25">
      <c r="A600" s="245" t="s">
        <v>1084</v>
      </c>
      <c r="B600" s="243">
        <v>2193</v>
      </c>
      <c r="C600" s="241" t="str">
        <f>VLOOKUP(B600,Orgenheter!$A$1:$B$214,2,0)</f>
        <v xml:space="preserve">TUV </v>
      </c>
    </row>
    <row r="601" spans="1:3" ht="12.95" customHeight="1" x14ac:dyDescent="0.25">
      <c r="A601" s="245" t="s">
        <v>1375</v>
      </c>
      <c r="B601" s="298">
        <v>2193</v>
      </c>
      <c r="C601" s="241" t="str">
        <f>VLOOKUP(B601,Orgenheter!$A$1:$B$214,2,0)</f>
        <v xml:space="preserve">TUV </v>
      </c>
    </row>
    <row r="602" spans="1:3" ht="12.95" customHeight="1" x14ac:dyDescent="0.25">
      <c r="A602" s="245" t="s">
        <v>1376</v>
      </c>
      <c r="B602" s="298">
        <v>2193</v>
      </c>
      <c r="C602" s="241" t="str">
        <f>VLOOKUP(B602,Orgenheter!$A$1:$B$214,2,0)</f>
        <v xml:space="preserve">TUV </v>
      </c>
    </row>
    <row r="603" spans="1:3" ht="12.95" customHeight="1" x14ac:dyDescent="0.25">
      <c r="A603" s="245" t="s">
        <v>1377</v>
      </c>
      <c r="B603" s="298">
        <v>2193</v>
      </c>
      <c r="C603" s="241" t="str">
        <f>VLOOKUP(B603,Orgenheter!$A$1:$B$214,2,0)</f>
        <v xml:space="preserve">TUV </v>
      </c>
    </row>
    <row r="604" spans="1:3" ht="12.95" customHeight="1" x14ac:dyDescent="0.25">
      <c r="A604" s="245" t="s">
        <v>1378</v>
      </c>
      <c r="B604" s="298">
        <v>2180</v>
      </c>
      <c r="C604" s="241" t="str">
        <f>VLOOKUP(B604,Orgenheter!$A$1:$B$214,2,0)</f>
        <v xml:space="preserve">Pedagogik                     </v>
      </c>
    </row>
    <row r="605" spans="1:3" ht="12.95" customHeight="1" x14ac:dyDescent="0.25">
      <c r="A605" s="245" t="s">
        <v>1379</v>
      </c>
      <c r="B605" s="298">
        <v>2180</v>
      </c>
      <c r="C605" s="241" t="str">
        <f>VLOOKUP(B605,Orgenheter!$A$1:$B$214,2,0)</f>
        <v xml:space="preserve">Pedagogik                     </v>
      </c>
    </row>
    <row r="606" spans="1:3" ht="12.95" customHeight="1" x14ac:dyDescent="0.25">
      <c r="A606" s="245" t="s">
        <v>1385</v>
      </c>
      <c r="B606" s="298">
        <v>2180</v>
      </c>
      <c r="C606" s="241" t="str">
        <f>VLOOKUP(B606,Orgenheter!$A$1:$B$214,2,0)</f>
        <v xml:space="preserve">Pedagogik                     </v>
      </c>
    </row>
    <row r="607" spans="1:3" ht="12.95" customHeight="1" x14ac:dyDescent="0.25">
      <c r="A607" s="297" t="s">
        <v>1103</v>
      </c>
      <c r="B607" s="247">
        <v>5740</v>
      </c>
      <c r="C607" s="241" t="str">
        <f>VLOOKUP(B607,Orgenheter!$A$1:$B$214,2,0)</f>
        <v>NMD</v>
      </c>
    </row>
    <row r="608" spans="1:3" ht="15" customHeight="1" x14ac:dyDescent="0.25">
      <c r="A608" s="302" t="s">
        <v>1122</v>
      </c>
      <c r="B608" s="241">
        <v>2193</v>
      </c>
      <c r="C608" s="241" t="str">
        <f>VLOOKUP(B608,Orgenheter!$A$1:$B$214,2,0)</f>
        <v xml:space="preserve">TUV </v>
      </c>
    </row>
    <row r="609" spans="1:3" ht="15" customHeight="1" x14ac:dyDescent="0.25">
      <c r="A609" s="302" t="s">
        <v>1123</v>
      </c>
      <c r="B609" s="241">
        <v>2193</v>
      </c>
      <c r="C609" s="241" t="str">
        <f>VLOOKUP(B609,Orgenheter!$A$1:$B$214,2,0)</f>
        <v xml:space="preserve">TUV </v>
      </c>
    </row>
    <row r="610" spans="1:3" ht="15" customHeight="1" x14ac:dyDescent="0.25">
      <c r="A610" s="295" t="s">
        <v>1254</v>
      </c>
      <c r="B610" s="241">
        <v>2180</v>
      </c>
      <c r="C610" s="241" t="str">
        <f>VLOOKUP(B610,Orgenheter!$A$1:$B$214,2,0)</f>
        <v xml:space="preserve">Pedagogik                     </v>
      </c>
    </row>
    <row r="611" spans="1:3" ht="15" customHeight="1" x14ac:dyDescent="0.25">
      <c r="A611" s="295" t="s">
        <v>1255</v>
      </c>
      <c r="B611" s="241">
        <v>2180</v>
      </c>
      <c r="C611" s="241" t="str">
        <f>VLOOKUP(B611,Orgenheter!$A$1:$B$214,2,0)</f>
        <v xml:space="preserve">Pedagogik                     </v>
      </c>
    </row>
    <row r="612" spans="1:3" ht="15" customHeight="1" x14ac:dyDescent="0.25">
      <c r="A612" s="295" t="s">
        <v>1252</v>
      </c>
      <c r="B612" s="241">
        <v>2180</v>
      </c>
      <c r="C612" s="241" t="str">
        <f>VLOOKUP(B612,Orgenheter!$A$1:$B$214,2,0)</f>
        <v xml:space="preserve">Pedagogik                     </v>
      </c>
    </row>
    <row r="613" spans="1:3" ht="15" customHeight="1" x14ac:dyDescent="0.25">
      <c r="A613" s="295" t="s">
        <v>1253</v>
      </c>
      <c r="B613" s="241">
        <v>5740</v>
      </c>
      <c r="C613" s="241" t="str">
        <f>VLOOKUP(B613,Orgenheter!$A$1:$B$214,2,0)</f>
        <v>NMD</v>
      </c>
    </row>
    <row r="614" spans="1:3" ht="15" customHeight="1" x14ac:dyDescent="0.25">
      <c r="A614" s="295" t="s">
        <v>1300</v>
      </c>
      <c r="B614" s="241">
        <v>2193</v>
      </c>
      <c r="C614" s="241" t="str">
        <f>VLOOKUP(B614,Orgenheter!$A$1:$B$214,2,0)</f>
        <v xml:space="preserve">TUV </v>
      </c>
    </row>
    <row r="615" spans="1:3" ht="15" customHeight="1" x14ac:dyDescent="0.25">
      <c r="A615" s="295" t="s">
        <v>1302</v>
      </c>
      <c r="B615" s="241">
        <v>2193</v>
      </c>
      <c r="C615" s="241" t="str">
        <f>VLOOKUP(B615,Orgenheter!$A$1:$B$214,2,0)</f>
        <v xml:space="preserve">TUV </v>
      </c>
    </row>
    <row r="616" spans="1:3" ht="15" customHeight="1" x14ac:dyDescent="0.25">
      <c r="A616" s="295" t="s">
        <v>1334</v>
      </c>
      <c r="B616" s="241">
        <v>2180</v>
      </c>
      <c r="C616" s="241" t="str">
        <f>VLOOKUP(B616,Orgenheter!$A$1:$B$214,2,0)</f>
        <v xml:space="preserve">Pedagogik                     </v>
      </c>
    </row>
    <row r="617" spans="1:3" ht="15" customHeight="1" x14ac:dyDescent="0.25">
      <c r="A617" s="295" t="s">
        <v>1336</v>
      </c>
      <c r="B617" s="241">
        <v>2180</v>
      </c>
      <c r="C617" s="241" t="str">
        <f>VLOOKUP(B617,Orgenheter!$A$1:$B$214,2,0)</f>
        <v xml:space="preserve">Pedagogik                     </v>
      </c>
    </row>
    <row r="618" spans="1:3" ht="15" customHeight="1" x14ac:dyDescent="0.25">
      <c r="A618" s="295" t="s">
        <v>1335</v>
      </c>
      <c r="B618" s="241">
        <v>2180</v>
      </c>
      <c r="C618" s="241" t="str">
        <f>VLOOKUP(B618,Orgenheter!$A$1:$B$214,2,0)</f>
        <v xml:space="preserve">Pedagogik                     </v>
      </c>
    </row>
    <row r="619" spans="1:3" ht="15" customHeight="1" x14ac:dyDescent="0.25">
      <c r="A619" s="295" t="s">
        <v>1337</v>
      </c>
      <c r="B619" s="241">
        <v>2180</v>
      </c>
      <c r="C619" s="241" t="str">
        <f>VLOOKUP(B619,Orgenheter!$A$1:$B$214,2,0)</f>
        <v xml:space="preserve">Pedagogik                     </v>
      </c>
    </row>
    <row r="620" spans="1:3" ht="15" customHeight="1" x14ac:dyDescent="0.25">
      <c r="A620" s="295" t="s">
        <v>1503</v>
      </c>
      <c r="B620" s="241">
        <v>5740</v>
      </c>
      <c r="C620" s="241" t="str">
        <f>VLOOKUP(B620,Orgenheter!$A$1:$B$214,2,0)</f>
        <v>NMD</v>
      </c>
    </row>
    <row r="621" spans="1:3" ht="15" customHeight="1" x14ac:dyDescent="0.25">
      <c r="A621" s="295" t="s">
        <v>1504</v>
      </c>
      <c r="B621" s="241">
        <v>5740</v>
      </c>
      <c r="C621" s="241" t="str">
        <f>VLOOKUP(B621,Orgenheter!$A$1:$B$214,2,0)</f>
        <v>NMD</v>
      </c>
    </row>
    <row r="622" spans="1:3" ht="15" customHeight="1" x14ac:dyDescent="0.25">
      <c r="A622" s="295" t="s">
        <v>1505</v>
      </c>
      <c r="B622" s="241">
        <v>5740</v>
      </c>
      <c r="C622" s="241" t="str">
        <f>VLOOKUP(B622,Orgenheter!$A$1:$B$214,2,0)</f>
        <v>NMD</v>
      </c>
    </row>
    <row r="623" spans="1:3" ht="15" customHeight="1" x14ac:dyDescent="0.25">
      <c r="A623" s="295" t="s">
        <v>1403</v>
      </c>
      <c r="B623" s="241">
        <v>2180</v>
      </c>
      <c r="C623" s="241" t="str">
        <f>VLOOKUP(B623,Orgenheter!$A$1:$B$214,2,0)</f>
        <v xml:space="preserve">Pedagogik                     </v>
      </c>
    </row>
    <row r="624" spans="1:3" ht="15" customHeight="1" x14ac:dyDescent="0.25">
      <c r="A624" s="265" t="s">
        <v>1407</v>
      </c>
      <c r="B624" s="241">
        <v>2193</v>
      </c>
      <c r="C624" s="241" t="str">
        <f>VLOOKUP(B624,Orgenheter!$A$1:$B$214,2,0)</f>
        <v xml:space="preserve">TUV </v>
      </c>
    </row>
    <row r="625" spans="1:3" ht="15" customHeight="1" x14ac:dyDescent="0.25">
      <c r="A625" s="265" t="s">
        <v>1408</v>
      </c>
      <c r="B625" s="241">
        <v>2193</v>
      </c>
      <c r="C625" s="241" t="str">
        <f>VLOOKUP(B625,Orgenheter!$A$1:$B$214,2,0)</f>
        <v xml:space="preserve">TUV </v>
      </c>
    </row>
    <row r="626" spans="1:3" x14ac:dyDescent="0.25">
      <c r="A626" s="247" t="s">
        <v>1409</v>
      </c>
      <c r="B626" s="241">
        <v>5740</v>
      </c>
      <c r="C626" s="241" t="str">
        <f>VLOOKUP(B626,Orgenheter!$A$1:$B$214,2,0)</f>
        <v>NMD</v>
      </c>
    </row>
    <row r="627" spans="1:3" x14ac:dyDescent="0.25">
      <c r="A627" s="247" t="s">
        <v>1477</v>
      </c>
      <c r="B627" s="241">
        <v>2180</v>
      </c>
      <c r="C627" s="241" t="str">
        <f>VLOOKUP(B627,Orgenheter!$A$1:$B$214,2,0)</f>
        <v xml:space="preserve">Pedagogik                     </v>
      </c>
    </row>
    <row r="628" spans="1:3" x14ac:dyDescent="0.25">
      <c r="A628" s="247" t="s">
        <v>1448</v>
      </c>
      <c r="B628" s="241">
        <v>5740</v>
      </c>
      <c r="C628" s="241" t="str">
        <f>VLOOKUP(B628,Orgenheter!$A$1:$B$214,2,0)</f>
        <v>NMD</v>
      </c>
    </row>
    <row r="629" spans="1:3" x14ac:dyDescent="0.25">
      <c r="A629" s="247" t="s">
        <v>1478</v>
      </c>
      <c r="B629" s="241">
        <v>2193</v>
      </c>
      <c r="C629" s="241" t="str">
        <f>VLOOKUP(B629,Orgenheter!$A$1:$B$214,2,0)</f>
        <v xml:space="preserve">TUV </v>
      </c>
    </row>
    <row r="630" spans="1:3" x14ac:dyDescent="0.25">
      <c r="A630" s="360" t="s">
        <v>1861</v>
      </c>
      <c r="B630" s="361">
        <v>2193</v>
      </c>
      <c r="C630" s="241" t="str">
        <f>VLOOKUP(B630,Orgenheter!$A$1:$B$214,2,0)</f>
        <v xml:space="preserve">TUV </v>
      </c>
    </row>
    <row r="631" spans="1:3" x14ac:dyDescent="0.25">
      <c r="A631" s="247" t="s">
        <v>1444</v>
      </c>
      <c r="B631" s="241">
        <v>2180</v>
      </c>
      <c r="C631" s="241" t="str">
        <f>VLOOKUP(B631,Orgenheter!$A$1:$B$214,2,0)</f>
        <v xml:space="preserve">Pedagogik                     </v>
      </c>
    </row>
    <row r="632" spans="1:3" x14ac:dyDescent="0.25">
      <c r="A632" s="247" t="s">
        <v>1446</v>
      </c>
      <c r="B632" s="241">
        <v>5740</v>
      </c>
      <c r="C632" s="241" t="str">
        <f>VLOOKUP(B632,Orgenheter!$A$1:$B$214,2,0)</f>
        <v>NMD</v>
      </c>
    </row>
    <row r="633" spans="1:3" x14ac:dyDescent="0.25">
      <c r="A633" s="247" t="s">
        <v>1447</v>
      </c>
      <c r="B633" s="241">
        <v>5740</v>
      </c>
      <c r="C633" s="241" t="str">
        <f>VLOOKUP(B633,Orgenheter!$A$1:$B$214,2,0)</f>
        <v>NMD</v>
      </c>
    </row>
    <row r="634" spans="1:3" ht="15.75" x14ac:dyDescent="0.25">
      <c r="A634" s="245" t="s">
        <v>1437</v>
      </c>
      <c r="B634" s="241">
        <v>2180</v>
      </c>
      <c r="C634" s="241" t="str">
        <f>VLOOKUP(B634,Orgenheter!$A$1:$B$214,2,0)</f>
        <v xml:space="preserve">Pedagogik                     </v>
      </c>
    </row>
    <row r="635" spans="1:3" ht="15.75" x14ac:dyDescent="0.25">
      <c r="A635" s="245" t="s">
        <v>1489</v>
      </c>
      <c r="B635" s="241">
        <v>5740</v>
      </c>
      <c r="C635" s="241" t="str">
        <f>VLOOKUP(B635,Orgenheter!$A$1:$B$214,2,0)</f>
        <v>NMD</v>
      </c>
    </row>
    <row r="636" spans="1:3" ht="15" customHeight="1" x14ac:dyDescent="0.25">
      <c r="A636" s="265" t="s">
        <v>1502</v>
      </c>
      <c r="B636" s="241">
        <v>5740</v>
      </c>
      <c r="C636" s="241" t="str">
        <f>VLOOKUP(B636,Orgenheter!$A$1:$B$214,2,0)</f>
        <v>NMD</v>
      </c>
    </row>
    <row r="637" spans="1:3" ht="15" customHeight="1" x14ac:dyDescent="0.25">
      <c r="A637" s="265" t="s">
        <v>1578</v>
      </c>
      <c r="B637" s="241">
        <v>2193</v>
      </c>
      <c r="C637" s="241" t="str">
        <f>VLOOKUP(B637,Orgenheter!$A$1:$B$214,2,0)</f>
        <v xml:space="preserve">TUV </v>
      </c>
    </row>
    <row r="638" spans="1:3" ht="15" customHeight="1" x14ac:dyDescent="0.25">
      <c r="A638" s="265" t="s">
        <v>1581</v>
      </c>
      <c r="B638" s="241">
        <v>2193</v>
      </c>
      <c r="C638" s="241" t="str">
        <f>VLOOKUP(B638,Orgenheter!$A$1:$B$214,2,0)</f>
        <v xml:space="preserve">TUV </v>
      </c>
    </row>
    <row r="639" spans="1:3" ht="15" customHeight="1" x14ac:dyDescent="0.25">
      <c r="A639" s="265" t="s">
        <v>1534</v>
      </c>
      <c r="B639" s="241">
        <v>2193</v>
      </c>
      <c r="C639" s="241" t="str">
        <f>VLOOKUP(B639,Orgenheter!$A$1:$B$214,2,0)</f>
        <v xml:space="preserve">TUV </v>
      </c>
    </row>
    <row r="640" spans="1:3" ht="15" customHeight="1" x14ac:dyDescent="0.25">
      <c r="A640" s="265" t="s">
        <v>1531</v>
      </c>
      <c r="B640" s="241">
        <v>2193</v>
      </c>
      <c r="C640" s="241" t="str">
        <f>VLOOKUP(B640,Orgenheter!$A$1:$B$214,2,0)</f>
        <v xml:space="preserve">TUV </v>
      </c>
    </row>
    <row r="641" spans="1:3" ht="15" customHeight="1" x14ac:dyDescent="0.25">
      <c r="A641" s="265" t="s">
        <v>1523</v>
      </c>
      <c r="B641" s="241">
        <v>2180</v>
      </c>
      <c r="C641" s="241" t="str">
        <f>VLOOKUP(B641,Orgenheter!$A$1:$B$214,2,0)</f>
        <v xml:space="preserve">Pedagogik                     </v>
      </c>
    </row>
    <row r="642" spans="1:3" ht="15" customHeight="1" x14ac:dyDescent="0.25">
      <c r="A642" s="265" t="s">
        <v>1610</v>
      </c>
      <c r="B642" s="241">
        <v>2180</v>
      </c>
      <c r="C642" s="241" t="str">
        <f>VLOOKUP(B642,Orgenheter!$A$1:$B$214,2,0)</f>
        <v xml:space="preserve">Pedagogik                     </v>
      </c>
    </row>
    <row r="643" spans="1:3" ht="15" customHeight="1" x14ac:dyDescent="0.25">
      <c r="A643" s="265" t="s">
        <v>1540</v>
      </c>
      <c r="B643" s="241">
        <v>2180</v>
      </c>
      <c r="C643" s="241" t="str">
        <f>VLOOKUP(B643,Orgenheter!$A$1:$B$214,2,0)</f>
        <v xml:space="preserve">Pedagogik                     </v>
      </c>
    </row>
    <row r="644" spans="1:3" ht="15" customHeight="1" x14ac:dyDescent="0.25">
      <c r="A644" s="265" t="s">
        <v>1541</v>
      </c>
      <c r="B644" s="241">
        <v>2180</v>
      </c>
      <c r="C644" s="241" t="str">
        <f>VLOOKUP(B644,Orgenheter!$A$1:$B$214,2,0)</f>
        <v xml:space="preserve">Pedagogik                     </v>
      </c>
    </row>
    <row r="645" spans="1:3" ht="15" customHeight="1" x14ac:dyDescent="0.25">
      <c r="A645" s="265" t="s">
        <v>1642</v>
      </c>
      <c r="B645" s="241">
        <v>2180</v>
      </c>
      <c r="C645" s="241" t="str">
        <f>VLOOKUP(B645,Orgenheter!$A$1:$B$214,2,0)</f>
        <v xml:space="preserve">Pedagogik                     </v>
      </c>
    </row>
    <row r="646" spans="1:3" ht="15" customHeight="1" x14ac:dyDescent="0.25">
      <c r="A646" s="265" t="s">
        <v>1583</v>
      </c>
      <c r="B646" s="241">
        <v>2180</v>
      </c>
      <c r="C646" s="241" t="str">
        <f>VLOOKUP(B646,Orgenheter!$A$1:$B$214,2,0)</f>
        <v xml:space="preserve">Pedagogik                     </v>
      </c>
    </row>
    <row r="647" spans="1:3" ht="15" customHeight="1" x14ac:dyDescent="0.25">
      <c r="A647" s="265" t="s">
        <v>1536</v>
      </c>
      <c r="B647" s="241">
        <v>2193</v>
      </c>
      <c r="C647" s="241" t="str">
        <f>VLOOKUP(B647,Orgenheter!$A$1:$B$214,2,0)</f>
        <v xml:space="preserve">TUV </v>
      </c>
    </row>
    <row r="648" spans="1:3" ht="16.5" customHeight="1" x14ac:dyDescent="0.25">
      <c r="A648" s="265" t="s">
        <v>1539</v>
      </c>
      <c r="B648" s="241">
        <v>2193</v>
      </c>
      <c r="C648" s="241" t="str">
        <f>VLOOKUP(B648,Orgenheter!$A$1:$B$214,2,0)</f>
        <v xml:space="preserve">TUV </v>
      </c>
    </row>
    <row r="649" spans="1:3" ht="16.5" customHeight="1" x14ac:dyDescent="0.25">
      <c r="A649" s="420" t="s">
        <v>2107</v>
      </c>
      <c r="B649" s="409">
        <v>2193</v>
      </c>
      <c r="C649" s="241" t="str">
        <f>VLOOKUP(B649,Orgenheter!$A$1:$B$214,2,0)</f>
        <v xml:space="preserve">TUV </v>
      </c>
    </row>
    <row r="650" spans="1:3" ht="16.5" customHeight="1" x14ac:dyDescent="0.25">
      <c r="A650" s="420" t="s">
        <v>2106</v>
      </c>
      <c r="B650" s="409">
        <v>2193</v>
      </c>
      <c r="C650" s="241" t="str">
        <f>VLOOKUP(B650,Orgenheter!$A$1:$B$214,2,0)</f>
        <v xml:space="preserve">TUV </v>
      </c>
    </row>
    <row r="651" spans="1:3" ht="16.5" customHeight="1" x14ac:dyDescent="0.25">
      <c r="A651" s="420" t="s">
        <v>2105</v>
      </c>
      <c r="B651" s="409">
        <v>2193</v>
      </c>
      <c r="C651" s="241" t="str">
        <f>VLOOKUP(B651,Orgenheter!$A$1:$B$214,2,0)</f>
        <v xml:space="preserve">TUV </v>
      </c>
    </row>
    <row r="652" spans="1:3" ht="15" customHeight="1" x14ac:dyDescent="0.25">
      <c r="A652" s="265" t="s">
        <v>1553</v>
      </c>
      <c r="B652" s="241">
        <v>5740</v>
      </c>
      <c r="C652" s="241" t="str">
        <f>VLOOKUP(B652,Orgenheter!$A$1:$B$214,2,0)</f>
        <v>NMD</v>
      </c>
    </row>
    <row r="653" spans="1:3" ht="15" customHeight="1" x14ac:dyDescent="0.25">
      <c r="A653" s="265" t="s">
        <v>1552</v>
      </c>
      <c r="B653" s="241">
        <v>5740</v>
      </c>
      <c r="C653" s="241" t="str">
        <f>VLOOKUP(B653,Orgenheter!$A$1:$B$214,2,0)</f>
        <v>NMD</v>
      </c>
    </row>
    <row r="654" spans="1:3" ht="15" customHeight="1" x14ac:dyDescent="0.25">
      <c r="A654" s="265" t="s">
        <v>1542</v>
      </c>
      <c r="B654" s="241">
        <v>5740</v>
      </c>
      <c r="C654" s="241" t="str">
        <f>VLOOKUP(B654,Orgenheter!$A$1:$B$214,2,0)</f>
        <v>NMD</v>
      </c>
    </row>
    <row r="655" spans="1:3" ht="15" customHeight="1" x14ac:dyDescent="0.25">
      <c r="A655" s="265" t="s">
        <v>1533</v>
      </c>
      <c r="B655" s="241">
        <v>5740</v>
      </c>
      <c r="C655" s="241" t="str">
        <f>VLOOKUP(B655,Orgenheter!$A$1:$B$214,2,0)</f>
        <v>NMD</v>
      </c>
    </row>
    <row r="656" spans="1:3" ht="15" customHeight="1" x14ac:dyDescent="0.25">
      <c r="A656" s="265" t="s">
        <v>1658</v>
      </c>
      <c r="B656" s="241">
        <v>5740</v>
      </c>
      <c r="C656" s="241" t="str">
        <f>VLOOKUP(B656,Orgenheter!$A$1:$B$214,2,0)</f>
        <v>NMD</v>
      </c>
    </row>
    <row r="657" spans="1:3" ht="12.95" customHeight="1" x14ac:dyDescent="0.25">
      <c r="A657" s="241" t="s">
        <v>1662</v>
      </c>
      <c r="B657" s="241">
        <v>2193</v>
      </c>
      <c r="C657" s="241" t="str">
        <f>VLOOKUP(B657,Orgenheter!$A$1:$B$214,2,0)</f>
        <v xml:space="preserve">TUV </v>
      </c>
    </row>
    <row r="658" spans="1:3" ht="12.95" customHeight="1" x14ac:dyDescent="0.25">
      <c r="A658" s="244" t="s">
        <v>1691</v>
      </c>
      <c r="B658" s="241">
        <v>5740</v>
      </c>
      <c r="C658" s="241" t="str">
        <f>VLOOKUP(B658,Orgenheter!$A$1:$B$214,2,0)</f>
        <v>NMD</v>
      </c>
    </row>
    <row r="659" spans="1:3" ht="15" customHeight="1" x14ac:dyDescent="0.25">
      <c r="A659" s="222" t="s">
        <v>1664</v>
      </c>
      <c r="B659" s="241">
        <v>2193</v>
      </c>
      <c r="C659" s="241" t="str">
        <f>VLOOKUP(B659,Orgenheter!$A$1:$B$214,2,0)</f>
        <v xml:space="preserve">TUV </v>
      </c>
    </row>
    <row r="660" spans="1:3" x14ac:dyDescent="0.25">
      <c r="A660" s="222" t="s">
        <v>1665</v>
      </c>
      <c r="B660" s="241">
        <v>2193</v>
      </c>
      <c r="C660" s="241" t="str">
        <f>VLOOKUP(B660,Orgenheter!$A$1:$B$214,2,0)</f>
        <v xml:space="preserve">TUV </v>
      </c>
    </row>
    <row r="661" spans="1:3" ht="12.95" customHeight="1" x14ac:dyDescent="0.25">
      <c r="A661" s="241" t="s">
        <v>1668</v>
      </c>
      <c r="B661" s="241">
        <v>2193</v>
      </c>
      <c r="C661" s="241" t="str">
        <f>VLOOKUP(B661,Orgenheter!$A$1:$B$214,2,0)</f>
        <v xml:space="preserve">TUV </v>
      </c>
    </row>
    <row r="662" spans="1:3" ht="12.95" customHeight="1" x14ac:dyDescent="0.25">
      <c r="A662" s="244" t="s">
        <v>1692</v>
      </c>
      <c r="B662" s="241">
        <v>2193</v>
      </c>
      <c r="C662" s="241" t="str">
        <f>VLOOKUP(B662,Orgenheter!$A$1:$B$214,2,0)</f>
        <v xml:space="preserve">TUV </v>
      </c>
    </row>
    <row r="663" spans="1:3" ht="12.95" customHeight="1" x14ac:dyDescent="0.25">
      <c r="A663" s="18" t="s">
        <v>2047</v>
      </c>
      <c r="B663" s="241">
        <v>2193</v>
      </c>
      <c r="C663" s="241" t="str">
        <f>VLOOKUP(B663,Orgenheter!$A$1:$B$214,2,0)</f>
        <v xml:space="preserve">TUV </v>
      </c>
    </row>
    <row r="664" spans="1:3" ht="12.95" customHeight="1" x14ac:dyDescent="0.25">
      <c r="A664" s="18" t="s">
        <v>2048</v>
      </c>
      <c r="B664" s="241">
        <v>2193</v>
      </c>
      <c r="C664" s="241" t="str">
        <f>VLOOKUP(B664,Orgenheter!$A$1:$B$214,2,0)</f>
        <v xml:space="preserve">TUV </v>
      </c>
    </row>
    <row r="665" spans="1:3" ht="12.95" customHeight="1" x14ac:dyDescent="0.25">
      <c r="A665" s="157" t="s">
        <v>2172</v>
      </c>
      <c r="B665" s="492">
        <v>2193</v>
      </c>
      <c r="C665" s="241" t="str">
        <f>VLOOKUP(B665,Orgenheter!$A$1:$B$214,2,0)</f>
        <v xml:space="preserve">TUV </v>
      </c>
    </row>
    <row r="666" spans="1:3" ht="12.95" customHeight="1" x14ac:dyDescent="0.25">
      <c r="A666" s="241" t="s">
        <v>1682</v>
      </c>
      <c r="B666" s="241">
        <v>2180</v>
      </c>
      <c r="C666" s="241" t="str">
        <f>VLOOKUP(B666,Orgenheter!$A$1:$B$214,2,0)</f>
        <v xml:space="preserve">Pedagogik                     </v>
      </c>
    </row>
    <row r="667" spans="1:3" ht="15" customHeight="1" x14ac:dyDescent="0.25">
      <c r="A667" s="265" t="s">
        <v>1684</v>
      </c>
      <c r="B667" s="241">
        <v>2193</v>
      </c>
      <c r="C667" s="241" t="str">
        <f>VLOOKUP(B667,Orgenheter!$A$1:$B$214,2,0)</f>
        <v xml:space="preserve">TUV </v>
      </c>
    </row>
    <row r="668" spans="1:3" ht="15" customHeight="1" x14ac:dyDescent="0.25">
      <c r="A668" s="265" t="s">
        <v>1705</v>
      </c>
      <c r="B668" s="241">
        <v>2193</v>
      </c>
      <c r="C668" s="241" t="str">
        <f>VLOOKUP(B668,Orgenheter!$A$1:$B$214,2,0)</f>
        <v xml:space="preserve">TUV </v>
      </c>
    </row>
    <row r="669" spans="1:3" ht="15" customHeight="1" x14ac:dyDescent="0.25">
      <c r="A669" s="265" t="s">
        <v>1686</v>
      </c>
      <c r="B669" s="241">
        <v>2193</v>
      </c>
      <c r="C669" s="241" t="str">
        <f>VLOOKUP(B669,Orgenheter!$A$1:$B$214,2,0)</f>
        <v xml:space="preserve">TUV </v>
      </c>
    </row>
    <row r="670" spans="1:3" ht="15.75" x14ac:dyDescent="0.25">
      <c r="A670" s="245" t="s">
        <v>1677</v>
      </c>
      <c r="B670" s="298">
        <v>2193</v>
      </c>
      <c r="C670" s="241" t="str">
        <f>VLOOKUP(B670,Orgenheter!$A$1:$B$214,2,0)</f>
        <v xml:space="preserve">TUV </v>
      </c>
    </row>
    <row r="671" spans="1:3" ht="12.95" customHeight="1" x14ac:dyDescent="0.25">
      <c r="A671" s="245" t="s">
        <v>1679</v>
      </c>
      <c r="B671" s="298">
        <v>2193</v>
      </c>
      <c r="C671" s="241" t="str">
        <f>VLOOKUP(B671,Orgenheter!$A$1:$B$214,2,0)</f>
        <v xml:space="preserve">TUV </v>
      </c>
    </row>
    <row r="672" spans="1:3" ht="12.95" customHeight="1" x14ac:dyDescent="0.25">
      <c r="A672" s="245" t="s">
        <v>1735</v>
      </c>
      <c r="B672" s="298">
        <v>2193</v>
      </c>
      <c r="C672" s="241" t="str">
        <f>VLOOKUP(B672,Orgenheter!$A$1:$B$214,2,0)</f>
        <v xml:space="preserve">TUV </v>
      </c>
    </row>
    <row r="673" spans="1:3" ht="12.95" customHeight="1" x14ac:dyDescent="0.25">
      <c r="A673" s="245" t="s">
        <v>1715</v>
      </c>
      <c r="B673" s="298">
        <v>5740</v>
      </c>
      <c r="C673" s="241" t="str">
        <f>VLOOKUP(B673,Orgenheter!$A$1:$B$214,2,0)</f>
        <v>NMD</v>
      </c>
    </row>
    <row r="674" spans="1:3" ht="12.95" customHeight="1" x14ac:dyDescent="0.25">
      <c r="A674" s="245" t="s">
        <v>1703</v>
      </c>
      <c r="B674" s="298">
        <v>5740</v>
      </c>
      <c r="C674" s="241" t="str">
        <f>VLOOKUP(B674,Orgenheter!$A$1:$B$214,2,0)</f>
        <v>NMD</v>
      </c>
    </row>
    <row r="675" spans="1:3" ht="12.95" customHeight="1" x14ac:dyDescent="0.25">
      <c r="A675" s="245" t="s">
        <v>1702</v>
      </c>
      <c r="B675" s="298">
        <v>5740</v>
      </c>
      <c r="C675" s="241" t="str">
        <f>VLOOKUP(B675,Orgenheter!$A$1:$B$214,2,0)</f>
        <v>NMD</v>
      </c>
    </row>
    <row r="676" spans="1:3" ht="12.95" customHeight="1" x14ac:dyDescent="0.25">
      <c r="A676" s="245" t="s">
        <v>1733</v>
      </c>
      <c r="B676" s="298">
        <v>2193</v>
      </c>
      <c r="C676" s="241" t="str">
        <f>VLOOKUP(B676,Orgenheter!$A$1:$B$214,2,0)</f>
        <v xml:space="preserve">TUV </v>
      </c>
    </row>
    <row r="677" spans="1:3" ht="15" customHeight="1" x14ac:dyDescent="0.25">
      <c r="A677" s="60" t="s">
        <v>1806</v>
      </c>
      <c r="B677" s="241">
        <v>2193</v>
      </c>
      <c r="C677" s="241" t="str">
        <f>VLOOKUP(B677,Orgenheter!$A$1:$B$214,2,0)</f>
        <v xml:space="preserve">TUV </v>
      </c>
    </row>
    <row r="678" spans="1:3" ht="15" customHeight="1" x14ac:dyDescent="0.25">
      <c r="A678" s="357" t="s">
        <v>1807</v>
      </c>
      <c r="B678" s="352">
        <v>2193</v>
      </c>
      <c r="C678" s="241" t="str">
        <f>VLOOKUP(B678,Orgenheter!$A$1:$B$214,2,0)</f>
        <v xml:space="preserve">TUV </v>
      </c>
    </row>
    <row r="679" spans="1:3" ht="15" customHeight="1" x14ac:dyDescent="0.25">
      <c r="A679" s="357" t="s">
        <v>1808</v>
      </c>
      <c r="B679" s="352">
        <v>2193</v>
      </c>
      <c r="C679" s="241" t="str">
        <f>VLOOKUP(B679,Orgenheter!$A$1:$B$214,2,0)</f>
        <v xml:space="preserve">TUV </v>
      </c>
    </row>
    <row r="680" spans="1:3" ht="12.95" customHeight="1" x14ac:dyDescent="0.25">
      <c r="A680" s="247" t="s">
        <v>1847</v>
      </c>
      <c r="B680" s="241">
        <v>2193</v>
      </c>
      <c r="C680" s="241" t="str">
        <f>VLOOKUP(B680,Orgenheter!$A$1:$B$214,2,0)</f>
        <v xml:space="preserve">TUV </v>
      </c>
    </row>
    <row r="681" spans="1:3" ht="15" customHeight="1" x14ac:dyDescent="0.25">
      <c r="A681" s="295" t="s">
        <v>1829</v>
      </c>
      <c r="B681" s="241">
        <v>5740</v>
      </c>
      <c r="C681" s="241" t="str">
        <f>VLOOKUP(B681,Orgenheter!$A$1:$B$214,2,0)</f>
        <v>NMD</v>
      </c>
    </row>
    <row r="682" spans="1:3" ht="12.95" customHeight="1" x14ac:dyDescent="0.25">
      <c r="A682" s="245" t="s">
        <v>1827</v>
      </c>
      <c r="B682" s="243">
        <v>5740</v>
      </c>
      <c r="C682" s="241" t="str">
        <f>VLOOKUP(B682,Orgenheter!$A$1:$B$214,2,0)</f>
        <v>NMD</v>
      </c>
    </row>
    <row r="683" spans="1:3" ht="12.95" customHeight="1" x14ac:dyDescent="0.25">
      <c r="A683" s="245" t="s">
        <v>1828</v>
      </c>
      <c r="B683" s="243">
        <v>5740</v>
      </c>
      <c r="C683" s="241" t="str">
        <f>VLOOKUP(B683,Orgenheter!$A$1:$B$214,2,0)</f>
        <v>NMD</v>
      </c>
    </row>
    <row r="684" spans="1:3" ht="12.95" customHeight="1" x14ac:dyDescent="0.25">
      <c r="A684" s="353" t="s">
        <v>1851</v>
      </c>
      <c r="B684" s="354">
        <v>5740</v>
      </c>
      <c r="C684" s="241" t="str">
        <f>VLOOKUP(B684,Orgenheter!$A$1:$B$214,2,0)</f>
        <v>NMD</v>
      </c>
    </row>
    <row r="685" spans="1:3" ht="15" customHeight="1" x14ac:dyDescent="0.25">
      <c r="A685" s="295" t="s">
        <v>1831</v>
      </c>
      <c r="B685" s="241">
        <v>5740</v>
      </c>
      <c r="C685" s="241" t="str">
        <f>VLOOKUP(B685,Orgenheter!$A$1:$B$214,2,0)</f>
        <v>NMD</v>
      </c>
    </row>
    <row r="686" spans="1:3" ht="12.95" customHeight="1" x14ac:dyDescent="0.25">
      <c r="A686" s="293" t="s">
        <v>1993</v>
      </c>
      <c r="B686" s="241">
        <v>5740</v>
      </c>
      <c r="C686" s="241" t="str">
        <f>VLOOKUP(B686,Orgenheter!$A$1:$B$214,2,0)</f>
        <v>NMD</v>
      </c>
    </row>
    <row r="687" spans="1:3" ht="12.95" customHeight="1" x14ac:dyDescent="0.25">
      <c r="A687" s="222" t="s">
        <v>2475</v>
      </c>
      <c r="B687" s="247">
        <v>5740</v>
      </c>
      <c r="C687" s="241" t="str">
        <f>VLOOKUP(B687,Orgenheter!$A$1:$B$214,2,0)</f>
        <v>NMD</v>
      </c>
    </row>
    <row r="688" spans="1:3" ht="15" customHeight="1" x14ac:dyDescent="0.25">
      <c r="A688" s="368" t="s">
        <v>1903</v>
      </c>
      <c r="B688" s="361">
        <v>2180</v>
      </c>
      <c r="C688" s="241" t="str">
        <f>VLOOKUP(B688,Orgenheter!$A$1:$B$214,2,0)</f>
        <v xml:space="preserve">Pedagogik                     </v>
      </c>
    </row>
    <row r="689" spans="1:3" ht="15.75" x14ac:dyDescent="0.25">
      <c r="A689" s="245" t="s">
        <v>1904</v>
      </c>
      <c r="B689" s="243">
        <v>2180</v>
      </c>
      <c r="C689" s="241" t="str">
        <f>VLOOKUP(B689,Orgenheter!$A$1:$B$214,2,0)</f>
        <v xml:space="preserve">Pedagogik                     </v>
      </c>
    </row>
    <row r="690" spans="1:3" s="1" customFormat="1" x14ac:dyDescent="0.25">
      <c r="A690" s="409" t="s">
        <v>2032</v>
      </c>
      <c r="B690" s="409">
        <v>2180</v>
      </c>
      <c r="C690" s="241" t="str">
        <f>VLOOKUP(B690,Orgenheter!$A$1:$B$214,2,0)</f>
        <v xml:space="preserve">Pedagogik                     </v>
      </c>
    </row>
    <row r="691" spans="1:3" ht="12.95" customHeight="1" x14ac:dyDescent="0.25">
      <c r="A691" s="295" t="s">
        <v>2026</v>
      </c>
      <c r="B691" s="373">
        <v>2180</v>
      </c>
      <c r="C691" s="241" t="str">
        <f>VLOOKUP(B691,Orgenheter!$A$1:$B$214,2,0)</f>
        <v xml:space="preserve">Pedagogik                     </v>
      </c>
    </row>
    <row r="692" spans="1:3" ht="12.95" customHeight="1" x14ac:dyDescent="0.25">
      <c r="A692" s="18" t="s">
        <v>2043</v>
      </c>
      <c r="B692" s="241">
        <v>2193</v>
      </c>
      <c r="C692" s="241" t="str">
        <f>VLOOKUP(B692,Orgenheter!$A$1:$B$214,2,0)</f>
        <v xml:space="preserve">TUV </v>
      </c>
    </row>
    <row r="693" spans="1:3" ht="12.95" customHeight="1" x14ac:dyDescent="0.25">
      <c r="A693" s="18" t="s">
        <v>2045</v>
      </c>
      <c r="B693" s="241">
        <v>2193</v>
      </c>
      <c r="C693" s="241" t="str">
        <f>VLOOKUP(B693,Orgenheter!$A$1:$B$214,2,0)</f>
        <v xml:space="preserve">TUV </v>
      </c>
    </row>
    <row r="694" spans="1:3" ht="12.95" customHeight="1" x14ac:dyDescent="0.25">
      <c r="A694" s="361" t="s">
        <v>2009</v>
      </c>
      <c r="B694" s="361">
        <v>5740</v>
      </c>
      <c r="C694" s="241" t="str">
        <f>VLOOKUP(B694,Orgenheter!$A$1:$B$214,2,0)</f>
        <v>NMD</v>
      </c>
    </row>
    <row r="695" spans="1:3" ht="12.95" customHeight="1" x14ac:dyDescent="0.25">
      <c r="A695" s="387" t="s">
        <v>2027</v>
      </c>
      <c r="B695" s="388">
        <v>2193</v>
      </c>
      <c r="C695" s="241" t="str">
        <f>VLOOKUP(B695,Orgenheter!$A$1:$B$214,2,0)</f>
        <v xml:space="preserve">TUV </v>
      </c>
    </row>
    <row r="696" spans="1:3" ht="15.75" x14ac:dyDescent="0.25">
      <c r="A696" s="385" t="s">
        <v>2007</v>
      </c>
      <c r="B696" s="386">
        <v>5740</v>
      </c>
      <c r="C696" s="241" t="str">
        <f>VLOOKUP(B696,Orgenheter!$A$1:$B$214,2,0)</f>
        <v>NMD</v>
      </c>
    </row>
    <row r="697" spans="1:3" ht="15.75" x14ac:dyDescent="0.25">
      <c r="A697" s="385" t="s">
        <v>2010</v>
      </c>
      <c r="B697" s="386">
        <v>5740</v>
      </c>
      <c r="C697" s="241" t="str">
        <f>VLOOKUP(B697,Orgenheter!$A$1:$B$214,2,0)</f>
        <v>NMD</v>
      </c>
    </row>
    <row r="698" spans="1:3" x14ac:dyDescent="0.25">
      <c r="A698" s="60" t="s">
        <v>2327</v>
      </c>
      <c r="B698" s="241">
        <v>2193</v>
      </c>
      <c r="C698" s="241" t="str">
        <f>VLOOKUP(B698,Orgenheter!$A$1:$B$214,2,0)</f>
        <v xml:space="preserve">TUV </v>
      </c>
    </row>
    <row r="699" spans="1:3" x14ac:dyDescent="0.25">
      <c r="A699" s="265" t="s">
        <v>2345</v>
      </c>
      <c r="B699" s="241">
        <v>2193</v>
      </c>
      <c r="C699" s="241" t="str">
        <f>VLOOKUP(B699,Orgenheter!$A$1:$B$214,2,0)</f>
        <v xml:space="preserve">TUV </v>
      </c>
    </row>
    <row r="700" spans="1:3" x14ac:dyDescent="0.25">
      <c r="A700" s="298" t="s">
        <v>2173</v>
      </c>
      <c r="B700" s="241">
        <v>2180</v>
      </c>
      <c r="C700" s="241" t="str">
        <f>VLOOKUP(B700,Orgenheter!$A$1:$B$214,2,0)</f>
        <v xml:space="preserve">Pedagogik                     </v>
      </c>
    </row>
    <row r="701" spans="1:3" x14ac:dyDescent="0.25">
      <c r="A701" s="505" t="s">
        <v>2209</v>
      </c>
      <c r="B701" s="492">
        <v>2180</v>
      </c>
      <c r="C701" s="241" t="str">
        <f>VLOOKUP(B701,Orgenheter!$A$1:$B$214,2,0)</f>
        <v xml:space="preserve">Pedagogik                     </v>
      </c>
    </row>
    <row r="702" spans="1:3" x14ac:dyDescent="0.25">
      <c r="A702" s="505" t="s">
        <v>2174</v>
      </c>
      <c r="B702" s="492">
        <v>2180</v>
      </c>
      <c r="C702" s="241" t="str">
        <f>VLOOKUP(B702,Orgenheter!$A$1:$B$214,2,0)</f>
        <v xml:space="preserve">Pedagogik                     </v>
      </c>
    </row>
    <row r="703" spans="1:3" x14ac:dyDescent="0.25">
      <c r="A703" s="57" t="s">
        <v>2136</v>
      </c>
      <c r="B703" s="490">
        <v>2193</v>
      </c>
      <c r="C703" s="241" t="str">
        <f>VLOOKUP(B703,Orgenheter!$A$1:$B$214,2,0)</f>
        <v xml:space="preserve">TUV </v>
      </c>
    </row>
    <row r="704" spans="1:3" x14ac:dyDescent="0.25">
      <c r="A704" s="57" t="s">
        <v>2137</v>
      </c>
      <c r="B704" s="490">
        <v>2193</v>
      </c>
      <c r="C704" s="241" t="str">
        <f>VLOOKUP(B704,Orgenheter!$A$1:$B$214,2,0)</f>
        <v xml:space="preserve">TUV </v>
      </c>
    </row>
    <row r="705" spans="1:3" x14ac:dyDescent="0.25">
      <c r="A705" s="57" t="s">
        <v>2138</v>
      </c>
      <c r="B705" s="490">
        <v>2193</v>
      </c>
      <c r="C705" s="241" t="str">
        <f>VLOOKUP(B705,Orgenheter!$A$1:$B$214,2,0)</f>
        <v xml:space="preserve">TUV </v>
      </c>
    </row>
    <row r="706" spans="1:3" x14ac:dyDescent="0.25">
      <c r="A706" s="57" t="s">
        <v>2197</v>
      </c>
      <c r="B706" s="509">
        <v>2193</v>
      </c>
      <c r="C706" s="241" t="str">
        <f>VLOOKUP(B706,Orgenheter!$A$1:$B$214,2,0)</f>
        <v xml:space="preserve">TUV </v>
      </c>
    </row>
    <row r="707" spans="1:3" ht="12.95" customHeight="1" x14ac:dyDescent="0.25">
      <c r="A707" s="510" t="s">
        <v>2368</v>
      </c>
      <c r="B707" s="241">
        <v>2180</v>
      </c>
      <c r="C707" s="241" t="str">
        <f>VLOOKUP(B707,Orgenheter!$A$1:$B$214,2,0)</f>
        <v xml:space="preserve">Pedagogik                     </v>
      </c>
    </row>
    <row r="708" spans="1:3" x14ac:dyDescent="0.25">
      <c r="A708" s="295" t="s">
        <v>472</v>
      </c>
      <c r="B708" s="241">
        <v>2180</v>
      </c>
      <c r="C708" s="241" t="str">
        <f>VLOOKUP(B708,Orgenheter!$A$1:$B$214,2,0)</f>
        <v xml:space="preserve">Pedagogik                     </v>
      </c>
    </row>
    <row r="709" spans="1:3" x14ac:dyDescent="0.25">
      <c r="A709" s="295" t="s">
        <v>819</v>
      </c>
      <c r="B709" s="241">
        <v>2180</v>
      </c>
      <c r="C709" s="241" t="str">
        <f>VLOOKUP(B709,Orgenheter!$A$1:$B$214,2,0)</f>
        <v xml:space="preserve">Pedagogik                     </v>
      </c>
    </row>
    <row r="710" spans="1:3" x14ac:dyDescent="0.25">
      <c r="A710" s="528" t="s">
        <v>2375</v>
      </c>
      <c r="B710" s="522">
        <v>2193</v>
      </c>
      <c r="C710" s="241" t="str">
        <f>VLOOKUP(B710,Orgenheter!$A$1:$B$214,2,0)</f>
        <v xml:space="preserve">TUV </v>
      </c>
    </row>
    <row r="711" spans="1:3" x14ac:dyDescent="0.25">
      <c r="A711" s="528" t="s">
        <v>2376</v>
      </c>
      <c r="B711" s="522">
        <v>2193</v>
      </c>
      <c r="C711" s="241" t="str">
        <f>VLOOKUP(B711,Orgenheter!$A$1:$B$214,2,0)</f>
        <v xml:space="preserve">TUV </v>
      </c>
    </row>
    <row r="712" spans="1:3" x14ac:dyDescent="0.25">
      <c r="A712" s="295" t="s">
        <v>861</v>
      </c>
      <c r="B712" s="241">
        <v>2180</v>
      </c>
      <c r="C712" s="241" t="str">
        <f>VLOOKUP(B712,Orgenheter!$A$1:$B$214,2,0)</f>
        <v xml:space="preserve">Pedagogik                     </v>
      </c>
    </row>
    <row r="713" spans="1:3" x14ac:dyDescent="0.25">
      <c r="A713" s="247" t="s">
        <v>394</v>
      </c>
      <c r="B713" s="247">
        <v>2200</v>
      </c>
      <c r="C713" s="241" t="str">
        <f>VLOOKUP(B713,Orgenheter!$A$1:$B$214,2,0)</f>
        <v xml:space="preserve">Inst för psykologi            </v>
      </c>
    </row>
    <row r="714" spans="1:3" x14ac:dyDescent="0.25">
      <c r="A714" s="247" t="s">
        <v>395</v>
      </c>
      <c r="B714" s="247">
        <v>2200</v>
      </c>
      <c r="C714" s="241" t="str">
        <f>VLOOKUP(B714,Orgenheter!$A$1:$B$214,2,0)</f>
        <v xml:space="preserve">Inst för psykologi            </v>
      </c>
    </row>
    <row r="715" spans="1:3" x14ac:dyDescent="0.25">
      <c r="A715" s="241" t="s">
        <v>142</v>
      </c>
      <c r="B715" s="241">
        <v>1630</v>
      </c>
      <c r="C715" s="241" t="str">
        <f>VLOOKUP(B715,Orgenheter!$A$1:$B$214,2,0)</f>
        <v>Inst för ide- o samhällsstudier</v>
      </c>
    </row>
    <row r="716" spans="1:3" x14ac:dyDescent="0.25">
      <c r="A716" s="241" t="s">
        <v>141</v>
      </c>
      <c r="B716" s="241">
        <v>1630</v>
      </c>
      <c r="C716" s="241" t="str">
        <f>VLOOKUP(B716,Orgenheter!$A$1:$B$214,2,0)</f>
        <v>Inst för ide- o samhällsstudier</v>
      </c>
    </row>
    <row r="717" spans="1:3" x14ac:dyDescent="0.25">
      <c r="A717" s="241" t="s">
        <v>96</v>
      </c>
      <c r="B717" s="241">
        <v>1630</v>
      </c>
      <c r="C717" s="241" t="str">
        <f>VLOOKUP(B717,Orgenheter!$A$1:$B$214,2,0)</f>
        <v>Inst för ide- o samhällsstudier</v>
      </c>
    </row>
    <row r="718" spans="1:3" x14ac:dyDescent="0.25">
      <c r="A718" s="241" t="s">
        <v>435</v>
      </c>
      <c r="B718" s="241">
        <v>1630</v>
      </c>
      <c r="C718" s="241" t="str">
        <f>VLOOKUP(B718,Orgenheter!$A$1:$B$214,2,0)</f>
        <v>Inst för ide- o samhällsstudier</v>
      </c>
    </row>
    <row r="719" spans="1:3" ht="15.75" x14ac:dyDescent="0.25">
      <c r="A719" s="245" t="s">
        <v>509</v>
      </c>
      <c r="B719" s="243">
        <v>1630</v>
      </c>
      <c r="C719" s="241" t="str">
        <f>VLOOKUP(B719,Orgenheter!$A$1:$B$214,2,0)</f>
        <v>Inst för ide- o samhällsstudier</v>
      </c>
    </row>
    <row r="720" spans="1:3" ht="15.75" x14ac:dyDescent="0.25">
      <c r="A720" s="245" t="s">
        <v>510</v>
      </c>
      <c r="B720" s="243">
        <v>1630</v>
      </c>
      <c r="C720" s="241" t="str">
        <f>VLOOKUP(B720,Orgenheter!$A$1:$B$214,2,0)</f>
        <v>Inst för ide- o samhällsstudier</v>
      </c>
    </row>
    <row r="721" spans="1:3" ht="15.75" x14ac:dyDescent="0.25">
      <c r="A721" s="245" t="s">
        <v>598</v>
      </c>
      <c r="B721" s="243">
        <v>1630</v>
      </c>
      <c r="C721" s="241" t="str">
        <f>VLOOKUP(B721,Orgenheter!$A$1:$B$214,2,0)</f>
        <v>Inst för ide- o samhällsstudier</v>
      </c>
    </row>
    <row r="722" spans="1:3" ht="15.75" x14ac:dyDescent="0.25">
      <c r="A722" s="245" t="s">
        <v>599</v>
      </c>
      <c r="B722" s="243">
        <v>1630</v>
      </c>
      <c r="C722" s="241" t="str">
        <f>VLOOKUP(B722,Orgenheter!$A$1:$B$214,2,0)</f>
        <v>Inst för ide- o samhällsstudier</v>
      </c>
    </row>
    <row r="723" spans="1:3" ht="15.75" x14ac:dyDescent="0.25">
      <c r="A723" s="245" t="s">
        <v>1022</v>
      </c>
      <c r="B723" s="243">
        <v>1630</v>
      </c>
      <c r="C723" s="241" t="str">
        <f>VLOOKUP(B723,Orgenheter!$A$1:$B$214,2,0)</f>
        <v>Inst för ide- o samhällsstudier</v>
      </c>
    </row>
    <row r="724" spans="1:3" ht="15.75" x14ac:dyDescent="0.25">
      <c r="A724" s="245" t="s">
        <v>1240</v>
      </c>
      <c r="B724" s="243">
        <v>1630</v>
      </c>
      <c r="C724" s="241" t="str">
        <f>VLOOKUP(B724,Orgenheter!$A$1:$B$214,2,0)</f>
        <v>Inst för ide- o samhällsstudier</v>
      </c>
    </row>
    <row r="725" spans="1:3" ht="15.75" x14ac:dyDescent="0.25">
      <c r="A725" s="245" t="s">
        <v>1241</v>
      </c>
      <c r="B725" s="243">
        <v>1630</v>
      </c>
      <c r="C725" s="241" t="str">
        <f>VLOOKUP(B725,Orgenheter!$A$1:$B$214,2,0)</f>
        <v>Inst för ide- o samhällsstudier</v>
      </c>
    </row>
    <row r="726" spans="1:3" x14ac:dyDescent="0.25">
      <c r="A726" s="241" t="s">
        <v>948</v>
      </c>
      <c r="B726" s="241">
        <v>1630</v>
      </c>
      <c r="C726" s="241" t="str">
        <f>VLOOKUP(B726,Orgenheter!$A$1:$B$214,2,0)</f>
        <v>Inst för ide- o samhällsstudier</v>
      </c>
    </row>
    <row r="727" spans="1:3" ht="15.75" x14ac:dyDescent="0.25">
      <c r="A727" s="294" t="s">
        <v>961</v>
      </c>
      <c r="B727" s="241">
        <v>1630</v>
      </c>
      <c r="C727" s="241" t="str">
        <f>VLOOKUP(B727,Orgenheter!$A$1:$B$214,2,0)</f>
        <v>Inst för ide- o samhällsstudier</v>
      </c>
    </row>
    <row r="728" spans="1:3" ht="15.75" x14ac:dyDescent="0.25">
      <c r="A728" s="294" t="s">
        <v>1528</v>
      </c>
      <c r="B728" s="241">
        <v>1630</v>
      </c>
      <c r="C728" s="241" t="str">
        <f>VLOOKUP(B728,Orgenheter!$A$1:$B$214,2,0)</f>
        <v>Inst för ide- o samhällsstudier</v>
      </c>
    </row>
    <row r="729" spans="1:3" ht="15.75" x14ac:dyDescent="0.25">
      <c r="A729" s="294" t="s">
        <v>1412</v>
      </c>
      <c r="B729" s="241">
        <v>1630</v>
      </c>
      <c r="C729" s="241" t="str">
        <f>VLOOKUP(B729,Orgenheter!$A$1:$B$214,2,0)</f>
        <v>Inst för ide- o samhällsstudier</v>
      </c>
    </row>
    <row r="730" spans="1:3" ht="12.95" customHeight="1" x14ac:dyDescent="0.25">
      <c r="A730" s="247" t="s">
        <v>1636</v>
      </c>
      <c r="B730" s="241">
        <v>1630</v>
      </c>
      <c r="C730" s="241" t="str">
        <f>VLOOKUP(B730,Orgenheter!$A$1:$B$214,2,0)</f>
        <v>Inst för ide- o samhällsstudier</v>
      </c>
    </row>
    <row r="731" spans="1:3" ht="12.95" customHeight="1" x14ac:dyDescent="0.25">
      <c r="A731" s="247" t="s">
        <v>1637</v>
      </c>
      <c r="B731" s="241">
        <v>1630</v>
      </c>
      <c r="C731" s="241" t="str">
        <f>VLOOKUP(B731,Orgenheter!$A$1:$B$214,2,0)</f>
        <v>Inst för ide- o samhällsstudier</v>
      </c>
    </row>
    <row r="732" spans="1:3" ht="12.95" customHeight="1" x14ac:dyDescent="0.25">
      <c r="A732" s="247" t="s">
        <v>1638</v>
      </c>
      <c r="B732" s="241">
        <v>1630</v>
      </c>
      <c r="C732" s="241" t="str">
        <f>VLOOKUP(B732,Orgenheter!$A$1:$B$214,2,0)</f>
        <v>Inst för ide- o samhällsstudier</v>
      </c>
    </row>
    <row r="733" spans="1:3" ht="12.95" customHeight="1" x14ac:dyDescent="0.25">
      <c r="A733" s="247" t="s">
        <v>1639</v>
      </c>
      <c r="B733" s="241">
        <v>1630</v>
      </c>
      <c r="C733" s="241" t="str">
        <f>VLOOKUP(B733,Orgenheter!$A$1:$B$214,2,0)</f>
        <v>Inst för ide- o samhällsstudier</v>
      </c>
    </row>
    <row r="734" spans="1:3" ht="12.95" customHeight="1" x14ac:dyDescent="0.25">
      <c r="A734" s="247" t="s">
        <v>1640</v>
      </c>
      <c r="B734" s="241">
        <v>1630</v>
      </c>
      <c r="C734" s="241" t="str">
        <f>VLOOKUP(B734,Orgenheter!$A$1:$B$214,2,0)</f>
        <v>Inst för ide- o samhällsstudier</v>
      </c>
    </row>
    <row r="735" spans="1:3" ht="12.95" customHeight="1" x14ac:dyDescent="0.25">
      <c r="A735" s="247" t="s">
        <v>1748</v>
      </c>
      <c r="B735" s="241">
        <v>1630</v>
      </c>
      <c r="C735" s="241" t="str">
        <f>VLOOKUP(B735,Orgenheter!$A$1:$B$214,2,0)</f>
        <v>Inst för ide- o samhällsstudier</v>
      </c>
    </row>
    <row r="736" spans="1:3" ht="12.95" customHeight="1" x14ac:dyDescent="0.25">
      <c r="A736" s="360" t="s">
        <v>1905</v>
      </c>
      <c r="B736" s="361">
        <v>1630</v>
      </c>
      <c r="C736" s="241" t="str">
        <f>VLOOKUP(B736,Orgenheter!$A$1:$B$214,2,0)</f>
        <v>Inst för ide- o samhällsstudier</v>
      </c>
    </row>
    <row r="737" spans="1:3" ht="12.95" customHeight="1" x14ac:dyDescent="0.25">
      <c r="A737" s="360" t="s">
        <v>1884</v>
      </c>
      <c r="B737" s="361">
        <v>1630</v>
      </c>
      <c r="C737" s="241" t="str">
        <f>VLOOKUP(B737,Orgenheter!$A$1:$B$214,2,0)</f>
        <v>Inst för ide- o samhällsstudier</v>
      </c>
    </row>
    <row r="738" spans="1:3" ht="12.95" customHeight="1" x14ac:dyDescent="0.25">
      <c r="A738" s="389" t="s">
        <v>1986</v>
      </c>
      <c r="B738" s="388">
        <v>1630</v>
      </c>
      <c r="C738" s="241" t="str">
        <f>VLOOKUP(B738,Orgenheter!$A$1:$B$214,2,0)</f>
        <v>Inst för ide- o samhällsstudier</v>
      </c>
    </row>
    <row r="739" spans="1:3" ht="12.95" customHeight="1" x14ac:dyDescent="0.25">
      <c r="A739" s="389" t="s">
        <v>1987</v>
      </c>
      <c r="B739" s="388">
        <v>1630</v>
      </c>
      <c r="C739" s="241" t="str">
        <f>VLOOKUP(B739,Orgenheter!$A$1:$B$214,2,0)</f>
        <v>Inst för ide- o samhällsstudier</v>
      </c>
    </row>
    <row r="740" spans="1:3" ht="12.95" customHeight="1" x14ac:dyDescent="0.25">
      <c r="A740" s="387" t="s">
        <v>2016</v>
      </c>
      <c r="B740" s="388">
        <v>1630</v>
      </c>
      <c r="C740" s="241" t="str">
        <f>VLOOKUP(B740,Orgenheter!$A$1:$B$214,2,0)</f>
        <v>Inst för ide- o samhällsstudier</v>
      </c>
    </row>
    <row r="741" spans="1:3" x14ac:dyDescent="0.25">
      <c r="A741" s="241" t="s">
        <v>862</v>
      </c>
      <c r="B741" s="241">
        <v>1620</v>
      </c>
      <c r="C741" s="241" t="str">
        <f>VLOOKUP(B741,Orgenheter!$A$1:$B$214,2,0)</f>
        <v>Inst för språkstudier</v>
      </c>
    </row>
    <row r="742" spans="1:3" x14ac:dyDescent="0.25">
      <c r="A742" s="241" t="s">
        <v>863</v>
      </c>
      <c r="B742" s="241">
        <v>1620</v>
      </c>
      <c r="C742" s="241" t="str">
        <f>VLOOKUP(B742,Orgenheter!$A$1:$B$214,2,0)</f>
        <v>Inst för språkstudier</v>
      </c>
    </row>
    <row r="743" spans="1:3" x14ac:dyDescent="0.25">
      <c r="A743" s="241" t="s">
        <v>1023</v>
      </c>
      <c r="B743" s="241">
        <v>1620</v>
      </c>
      <c r="C743" s="241" t="str">
        <f>VLOOKUP(B743,Orgenheter!$A$1:$B$214,2,0)</f>
        <v>Inst för språkstudier</v>
      </c>
    </row>
    <row r="744" spans="1:3" x14ac:dyDescent="0.25">
      <c r="A744" s="241" t="s">
        <v>1700</v>
      </c>
      <c r="B744" s="241">
        <v>1620</v>
      </c>
      <c r="C744" s="241" t="str">
        <f>VLOOKUP(B744,Orgenheter!$A$1:$B$214,2,0)</f>
        <v>Inst för språkstudier</v>
      </c>
    </row>
    <row r="745" spans="1:3" x14ac:dyDescent="0.25">
      <c r="A745" s="241" t="s">
        <v>1701</v>
      </c>
      <c r="B745" s="241">
        <v>1620</v>
      </c>
      <c r="C745" s="241" t="str">
        <f>VLOOKUP(B745,Orgenheter!$A$1:$B$214,2,0)</f>
        <v>Inst för språkstudier</v>
      </c>
    </row>
    <row r="746" spans="1:3" x14ac:dyDescent="0.25">
      <c r="A746" s="60" t="s">
        <v>1838</v>
      </c>
      <c r="B746" s="241">
        <v>1620</v>
      </c>
      <c r="C746" s="241" t="str">
        <f>VLOOKUP(B746,Orgenheter!$A$1:$B$214,2,0)</f>
        <v>Inst för språkstudier</v>
      </c>
    </row>
    <row r="747" spans="1:3" x14ac:dyDescent="0.25">
      <c r="A747" s="397" t="s">
        <v>2063</v>
      </c>
      <c r="B747" s="388">
        <v>1620</v>
      </c>
      <c r="C747" s="241" t="str">
        <f>VLOOKUP(B747,Orgenheter!$A$1:$B$214,2,0)</f>
        <v>Inst för språkstudier</v>
      </c>
    </row>
    <row r="748" spans="1:3" ht="12.95" customHeight="1" x14ac:dyDescent="0.25">
      <c r="A748" s="295" t="s">
        <v>2357</v>
      </c>
      <c r="B748" s="373">
        <v>1620</v>
      </c>
      <c r="C748" s="241" t="str">
        <f>VLOOKUP(B748,Orgenheter!$A$1:$B$214,2,0)</f>
        <v>Inst för språkstudier</v>
      </c>
    </row>
    <row r="749" spans="1:3" ht="15.75" x14ac:dyDescent="0.25">
      <c r="A749" s="294" t="s">
        <v>639</v>
      </c>
      <c r="B749" s="241">
        <v>1620</v>
      </c>
      <c r="C749" s="241" t="str">
        <f>VLOOKUP(B749,Orgenheter!$A$1:$B$214,2,0)</f>
        <v>Inst för språkstudier</v>
      </c>
    </row>
    <row r="750" spans="1:3" ht="15.75" x14ac:dyDescent="0.25">
      <c r="A750" s="294" t="s">
        <v>638</v>
      </c>
      <c r="B750" s="241">
        <v>1620</v>
      </c>
      <c r="C750" s="241" t="str">
        <f>VLOOKUP(B750,Orgenheter!$A$1:$B$214,2,0)</f>
        <v>Inst för språkstudier</v>
      </c>
    </row>
    <row r="751" spans="1:3" ht="15.75" x14ac:dyDescent="0.25">
      <c r="A751" s="294" t="s">
        <v>1242</v>
      </c>
      <c r="B751" s="241">
        <v>1620</v>
      </c>
      <c r="C751" s="241" t="str">
        <f>VLOOKUP(B751,Orgenheter!$A$1:$B$214,2,0)</f>
        <v>Inst för språkstudier</v>
      </c>
    </row>
    <row r="752" spans="1:3" ht="15.75" x14ac:dyDescent="0.25">
      <c r="A752" s="294" t="s">
        <v>1267</v>
      </c>
      <c r="B752" s="241">
        <v>1620</v>
      </c>
      <c r="C752" s="241" t="str">
        <f>VLOOKUP(B752,Orgenheter!$A$1:$B$214,2,0)</f>
        <v>Inst för språkstudier</v>
      </c>
    </row>
    <row r="753" spans="1:3" ht="12.95" customHeight="1" x14ac:dyDescent="0.25">
      <c r="A753" s="241" t="s">
        <v>1345</v>
      </c>
      <c r="B753" s="241">
        <v>1620</v>
      </c>
      <c r="C753" s="241" t="str">
        <f>VLOOKUP(B753,Orgenheter!$A$1:$B$214,2,0)</f>
        <v>Inst för språkstudier</v>
      </c>
    </row>
    <row r="754" spans="1:3" ht="12.95" customHeight="1" x14ac:dyDescent="0.25">
      <c r="A754" s="241" t="s">
        <v>1765</v>
      </c>
      <c r="B754" s="241">
        <v>1620</v>
      </c>
      <c r="C754" s="241" t="str">
        <f>VLOOKUP(B754,Orgenheter!$A$1:$B$214,2,0)</f>
        <v>Inst för språkstudier</v>
      </c>
    </row>
    <row r="755" spans="1:3" ht="12.95" customHeight="1" x14ac:dyDescent="0.25">
      <c r="A755" s="294" t="s">
        <v>1613</v>
      </c>
      <c r="B755" s="241">
        <v>1620</v>
      </c>
      <c r="C755" s="241" t="str">
        <f>VLOOKUP(B755,Orgenheter!$A$1:$B$214,2,0)</f>
        <v>Inst för språkstudier</v>
      </c>
    </row>
    <row r="756" spans="1:3" ht="12.95" customHeight="1" x14ac:dyDescent="0.25">
      <c r="A756" s="381" t="s">
        <v>1941</v>
      </c>
      <c r="B756" s="241">
        <v>1620</v>
      </c>
      <c r="C756" s="241" t="str">
        <f>VLOOKUP(B756,Orgenheter!$A$1:$B$214,2,0)</f>
        <v>Inst för språkstudier</v>
      </c>
    </row>
    <row r="757" spans="1:3" ht="12.95" customHeight="1" x14ac:dyDescent="0.25">
      <c r="A757" s="381" t="s">
        <v>1942</v>
      </c>
      <c r="B757" s="241">
        <v>1620</v>
      </c>
      <c r="C757" s="241" t="str">
        <f>VLOOKUP(B757,Orgenheter!$A$1:$B$214,2,0)</f>
        <v>Inst för språkstudier</v>
      </c>
    </row>
    <row r="758" spans="1:3" ht="12.95" customHeight="1" x14ac:dyDescent="0.25">
      <c r="A758" s="241" t="s">
        <v>1976</v>
      </c>
      <c r="B758" s="241">
        <v>1620</v>
      </c>
      <c r="C758" s="241" t="str">
        <f>VLOOKUP(B758,Orgenheter!$A$1:$B$214,2,0)</f>
        <v>Inst för språkstudier</v>
      </c>
    </row>
    <row r="759" spans="1:3" ht="12.95" customHeight="1" x14ac:dyDescent="0.25">
      <c r="A759" s="361" t="s">
        <v>2012</v>
      </c>
      <c r="B759" s="361">
        <v>1620</v>
      </c>
      <c r="C759" s="241" t="str">
        <f>VLOOKUP(B759,Orgenheter!$A$1:$B$214,2,0)</f>
        <v>Inst för språkstudier</v>
      </c>
    </row>
    <row r="760" spans="1:3" ht="12.95" customHeight="1" x14ac:dyDescent="0.25">
      <c r="A760" s="57" t="s">
        <v>2013</v>
      </c>
      <c r="B760" s="361">
        <v>1620</v>
      </c>
      <c r="C760" s="241" t="str">
        <f>VLOOKUP(B760,Orgenheter!$A$1:$B$214,2,0)</f>
        <v>Inst för språkstudier</v>
      </c>
    </row>
    <row r="761" spans="1:3" ht="12.95" customHeight="1" x14ac:dyDescent="0.25">
      <c r="A761" s="176" t="s">
        <v>2162</v>
      </c>
      <c r="B761" s="492">
        <v>1620</v>
      </c>
      <c r="C761" s="241" t="str">
        <f>VLOOKUP(B761,Orgenheter!$A$1:$B$214,2,0)</f>
        <v>Inst för språkstudier</v>
      </c>
    </row>
    <row r="762" spans="1:3" ht="12.95" customHeight="1" x14ac:dyDescent="0.25">
      <c r="A762" s="295" t="s">
        <v>2360</v>
      </c>
      <c r="B762" s="409">
        <v>1620</v>
      </c>
      <c r="C762" s="241" t="str">
        <f>VLOOKUP(B762,Orgenheter!$A$1:$B$214,2,0)</f>
        <v>Inst för språkstudier</v>
      </c>
    </row>
    <row r="763" spans="1:3" x14ac:dyDescent="0.25">
      <c r="A763" s="241" t="s">
        <v>138</v>
      </c>
      <c r="B763" s="241">
        <v>2340</v>
      </c>
      <c r="C763" s="241" t="str">
        <f>VLOOKUP(B763,Orgenheter!$A$1:$B$214,2,0)</f>
        <v xml:space="preserve">Statsvetenskap                </v>
      </c>
    </row>
    <row r="764" spans="1:3" ht="12.95" customHeight="1" x14ac:dyDescent="0.25">
      <c r="A764" s="241" t="s">
        <v>98</v>
      </c>
      <c r="B764" s="241">
        <v>2340</v>
      </c>
      <c r="C764" s="241" t="str">
        <f>VLOOKUP(B764,Orgenheter!$A$1:$B$214,2,0)</f>
        <v xml:space="preserve">Statsvetenskap                </v>
      </c>
    </row>
    <row r="765" spans="1:3" x14ac:dyDescent="0.25">
      <c r="A765" s="241" t="s">
        <v>97</v>
      </c>
      <c r="B765" s="241">
        <v>2340</v>
      </c>
      <c r="C765" s="241" t="str">
        <f>VLOOKUP(B765,Orgenheter!$A$1:$B$214,2,0)</f>
        <v xml:space="preserve">Statsvetenskap                </v>
      </c>
    </row>
    <row r="766" spans="1:3" ht="12.95" customHeight="1" x14ac:dyDescent="0.25">
      <c r="A766" s="245" t="s">
        <v>511</v>
      </c>
      <c r="B766" s="243">
        <v>2340</v>
      </c>
      <c r="C766" s="241" t="str">
        <f>VLOOKUP(B766,Orgenheter!$A$1:$B$214,2,0)</f>
        <v xml:space="preserve">Statsvetenskap                </v>
      </c>
    </row>
    <row r="767" spans="1:3" ht="12.95" customHeight="1" x14ac:dyDescent="0.25">
      <c r="A767" s="245" t="s">
        <v>512</v>
      </c>
      <c r="B767" s="243">
        <v>2340</v>
      </c>
      <c r="C767" s="241" t="str">
        <f>VLOOKUP(B767,Orgenheter!$A$1:$B$214,2,0)</f>
        <v xml:space="preserve">Statsvetenskap                </v>
      </c>
    </row>
    <row r="768" spans="1:3" ht="15.75" x14ac:dyDescent="0.25">
      <c r="A768" s="245" t="s">
        <v>600</v>
      </c>
      <c r="B768" s="243">
        <v>2340</v>
      </c>
      <c r="C768" s="241" t="str">
        <f>VLOOKUP(B768,Orgenheter!$A$1:$B$214,2,0)</f>
        <v xml:space="preserve">Statsvetenskap                </v>
      </c>
    </row>
    <row r="769" spans="1:3" ht="15.75" x14ac:dyDescent="0.25">
      <c r="A769" s="245" t="s">
        <v>1024</v>
      </c>
      <c r="B769" s="243">
        <v>2340</v>
      </c>
      <c r="C769" s="241" t="str">
        <f>VLOOKUP(B769,Orgenheter!$A$1:$B$214,2,0)</f>
        <v xml:space="preserve">Statsvetenskap                </v>
      </c>
    </row>
    <row r="770" spans="1:3" ht="15.75" x14ac:dyDescent="0.25">
      <c r="A770" s="245" t="s">
        <v>1025</v>
      </c>
      <c r="B770" s="243">
        <v>2340</v>
      </c>
      <c r="C770" s="241" t="str">
        <f>VLOOKUP(B770,Orgenheter!$A$1:$B$214,2,0)</f>
        <v xml:space="preserve">Statsvetenskap                </v>
      </c>
    </row>
    <row r="771" spans="1:3" ht="15.75" x14ac:dyDescent="0.25">
      <c r="A771" s="515" t="s">
        <v>2230</v>
      </c>
      <c r="B771" s="509">
        <v>2340</v>
      </c>
      <c r="C771" s="241" t="str">
        <f>VLOOKUP(B771,Orgenheter!$A$1:$B$214,2,0)</f>
        <v xml:space="preserve">Statsvetenskap                </v>
      </c>
    </row>
    <row r="772" spans="1:3" ht="15.75" x14ac:dyDescent="0.25">
      <c r="A772" s="245" t="s">
        <v>1026</v>
      </c>
      <c r="B772" s="243">
        <v>2340</v>
      </c>
      <c r="C772" s="241" t="str">
        <f>VLOOKUP(B772,Orgenheter!$A$1:$B$214,2,0)</f>
        <v xml:space="preserve">Statsvetenskap                </v>
      </c>
    </row>
    <row r="773" spans="1:3" x14ac:dyDescent="0.25">
      <c r="A773" s="241" t="s">
        <v>80</v>
      </c>
      <c r="B773" s="241">
        <v>1650</v>
      </c>
      <c r="C773" s="241" t="str">
        <f>VLOOKUP(B773,Orgenheter!$A$1:$B$214,2,0)</f>
        <v xml:space="preserve">Estetiska ämnen               </v>
      </c>
    </row>
    <row r="774" spans="1:3" x14ac:dyDescent="0.25">
      <c r="A774" s="241" t="s">
        <v>68</v>
      </c>
      <c r="B774" s="241">
        <v>1650</v>
      </c>
      <c r="C774" s="241" t="str">
        <f>VLOOKUP(B774,Orgenheter!$A$1:$B$214,2,0)</f>
        <v xml:space="preserve">Estetiska ämnen               </v>
      </c>
    </row>
    <row r="775" spans="1:3" ht="15.75" x14ac:dyDescent="0.25">
      <c r="A775" s="294" t="s">
        <v>333</v>
      </c>
      <c r="B775" s="241">
        <v>1650</v>
      </c>
      <c r="C775" s="241" t="str">
        <f>VLOOKUP(B775,Orgenheter!$A$1:$B$214,2,0)</f>
        <v xml:space="preserve">Estetiska ämnen               </v>
      </c>
    </row>
    <row r="776" spans="1:3" x14ac:dyDescent="0.25">
      <c r="A776" s="241" t="s">
        <v>152</v>
      </c>
      <c r="B776" s="241">
        <v>1650</v>
      </c>
      <c r="C776" s="241" t="str">
        <f>VLOOKUP(B776,Orgenheter!$A$1:$B$214,2,0)</f>
        <v xml:space="preserve">Estetiska ämnen               </v>
      </c>
    </row>
    <row r="777" spans="1:3" ht="12.95" customHeight="1" x14ac:dyDescent="0.25">
      <c r="A777" s="241" t="s">
        <v>82</v>
      </c>
      <c r="B777" s="241">
        <v>1650</v>
      </c>
      <c r="C777" s="241" t="str">
        <f>VLOOKUP(B777,Orgenheter!$A$1:$B$214,2,0)</f>
        <v xml:space="preserve">Estetiska ämnen               </v>
      </c>
    </row>
    <row r="778" spans="1:3" x14ac:dyDescent="0.25">
      <c r="A778" s="241" t="s">
        <v>478</v>
      </c>
      <c r="B778" s="241">
        <v>1650</v>
      </c>
      <c r="C778" s="241" t="str">
        <f>VLOOKUP(B778,Orgenheter!$A$1:$B$214,2,0)</f>
        <v xml:space="preserve">Estetiska ämnen               </v>
      </c>
    </row>
    <row r="779" spans="1:3" x14ac:dyDescent="0.25">
      <c r="A779" s="256" t="s">
        <v>526</v>
      </c>
      <c r="B779" s="241">
        <v>1650</v>
      </c>
      <c r="C779" s="241" t="str">
        <f>VLOOKUP(B779,Orgenheter!$A$1:$B$214,2,0)</f>
        <v xml:space="preserve">Estetiska ämnen               </v>
      </c>
    </row>
    <row r="780" spans="1:3" ht="12.95" customHeight="1" x14ac:dyDescent="0.25">
      <c r="A780" s="256" t="s">
        <v>645</v>
      </c>
      <c r="B780" s="241">
        <v>1650</v>
      </c>
      <c r="C780" s="241" t="str">
        <f>VLOOKUP(B780,Orgenheter!$A$1:$B$214,2,0)</f>
        <v xml:space="preserve">Estetiska ämnen               </v>
      </c>
    </row>
    <row r="781" spans="1:3" ht="12.95" customHeight="1" x14ac:dyDescent="0.25">
      <c r="A781" s="256" t="s">
        <v>765</v>
      </c>
      <c r="B781" s="241">
        <v>1650</v>
      </c>
      <c r="C781" s="241" t="str">
        <f>VLOOKUP(B781,Orgenheter!$A$1:$B$214,2,0)</f>
        <v xml:space="preserve">Estetiska ämnen               </v>
      </c>
    </row>
    <row r="782" spans="1:3" ht="12.95" customHeight="1" x14ac:dyDescent="0.25">
      <c r="A782" s="256" t="s">
        <v>566</v>
      </c>
      <c r="B782" s="241">
        <v>1650</v>
      </c>
      <c r="C782" s="241" t="str">
        <f>VLOOKUP(B782,Orgenheter!$A$1:$B$214,2,0)</f>
        <v xml:space="preserve">Estetiska ämnen               </v>
      </c>
    </row>
    <row r="783" spans="1:3" ht="12.95" customHeight="1" x14ac:dyDescent="0.25">
      <c r="A783" s="256" t="s">
        <v>644</v>
      </c>
      <c r="B783" s="241">
        <v>1650</v>
      </c>
      <c r="C783" s="241" t="str">
        <f>VLOOKUP(B783,Orgenheter!$A$1:$B$214,2,0)</f>
        <v xml:space="preserve">Estetiska ämnen               </v>
      </c>
    </row>
    <row r="784" spans="1:3" ht="12.95" customHeight="1" x14ac:dyDescent="0.25">
      <c r="A784" s="256" t="s">
        <v>1105</v>
      </c>
      <c r="B784" s="247">
        <v>1650</v>
      </c>
      <c r="C784" s="241" t="str">
        <f>VLOOKUP(B784,Orgenheter!$A$1:$B$214,2,0)</f>
        <v xml:space="preserve">Estetiska ämnen               </v>
      </c>
    </row>
    <row r="785" spans="1:3" ht="12.95" customHeight="1" x14ac:dyDescent="0.25">
      <c r="A785" s="247" t="s">
        <v>1721</v>
      </c>
      <c r="B785" s="241">
        <v>1650</v>
      </c>
      <c r="C785" s="241" t="str">
        <f>VLOOKUP(B785,Orgenheter!$A$1:$B$214,2,0)</f>
        <v xml:space="preserve">Estetiska ämnen               </v>
      </c>
    </row>
    <row r="786" spans="1:3" ht="12.95" customHeight="1" x14ac:dyDescent="0.25">
      <c r="A786" s="256" t="s">
        <v>1592</v>
      </c>
      <c r="B786" s="247">
        <v>1650</v>
      </c>
      <c r="C786" s="241" t="str">
        <f>VLOOKUP(B786,Orgenheter!$A$1:$B$214,2,0)</f>
        <v xml:space="preserve">Estetiska ämnen               </v>
      </c>
    </row>
    <row r="787" spans="1:3" ht="12.95" customHeight="1" x14ac:dyDescent="0.25">
      <c r="A787" s="256" t="s">
        <v>1593</v>
      </c>
      <c r="B787" s="247">
        <v>1650</v>
      </c>
      <c r="C787" s="241" t="str">
        <f>VLOOKUP(B787,Orgenheter!$A$1:$B$214,2,0)</f>
        <v xml:space="preserve">Estetiska ämnen               </v>
      </c>
    </row>
    <row r="788" spans="1:3" ht="12.95" customHeight="1" x14ac:dyDescent="0.25">
      <c r="A788" s="256" t="s">
        <v>1589</v>
      </c>
      <c r="B788" s="247">
        <v>1650</v>
      </c>
      <c r="C788" s="241" t="str">
        <f>VLOOKUP(B788,Orgenheter!$A$1:$B$214,2,0)</f>
        <v xml:space="preserve">Estetiska ämnen               </v>
      </c>
    </row>
    <row r="789" spans="1:3" ht="12.95" customHeight="1" x14ac:dyDescent="0.25">
      <c r="A789" s="31" t="s">
        <v>1809</v>
      </c>
      <c r="B789" s="247">
        <v>1650</v>
      </c>
      <c r="C789" s="241" t="str">
        <f>VLOOKUP(B789,Orgenheter!$A$1:$B$214,2,0)</f>
        <v xml:space="preserve">Estetiska ämnen               </v>
      </c>
    </row>
    <row r="790" spans="1:3" ht="12.95" customHeight="1" x14ac:dyDescent="0.25">
      <c r="A790" s="247" t="s">
        <v>1820</v>
      </c>
      <c r="B790" s="241">
        <v>1650</v>
      </c>
      <c r="C790" s="241" t="str">
        <f>VLOOKUP(B790,Orgenheter!$A$1:$B$214,2,0)</f>
        <v xml:space="preserve">Estetiska ämnen               </v>
      </c>
    </row>
    <row r="791" spans="1:3" ht="12.95" customHeight="1" x14ac:dyDescent="0.25">
      <c r="A791" s="503" t="s">
        <v>2163</v>
      </c>
      <c r="B791" s="492">
        <v>1650</v>
      </c>
      <c r="C791" s="241" t="str">
        <f>VLOOKUP(B791,Orgenheter!$A$1:$B$214,2,0)</f>
        <v xml:space="preserve">Estetiska ämnen               </v>
      </c>
    </row>
    <row r="792" spans="1:3" ht="12.95" customHeight="1" x14ac:dyDescent="0.25">
      <c r="A792" s="256" t="s">
        <v>1495</v>
      </c>
      <c r="B792" s="247">
        <v>1620</v>
      </c>
      <c r="C792" s="241" t="str">
        <f>VLOOKUP(B792,Orgenheter!$A$1:$B$214,2,0)</f>
        <v>Inst för språkstudier</v>
      </c>
    </row>
    <row r="793" spans="1:3" ht="12.95" customHeight="1" x14ac:dyDescent="0.25">
      <c r="A793" s="256" t="s">
        <v>1496</v>
      </c>
      <c r="B793" s="247">
        <v>1620</v>
      </c>
      <c r="C793" s="241" t="str">
        <f>VLOOKUP(B793,Orgenheter!$A$1:$B$214,2,0)</f>
        <v>Inst för språkstudier</v>
      </c>
    </row>
    <row r="794" spans="1:3" ht="12.95" customHeight="1" x14ac:dyDescent="0.25">
      <c r="A794" s="256" t="s">
        <v>1727</v>
      </c>
      <c r="B794" s="247">
        <v>1620</v>
      </c>
      <c r="C794" s="241" t="str">
        <f>VLOOKUP(B794,Orgenheter!$A$1:$B$214,2,0)</f>
        <v>Inst för språkstudier</v>
      </c>
    </row>
    <row r="795" spans="1:3" ht="12.95" customHeight="1" x14ac:dyDescent="0.25">
      <c r="A795" s="256" t="s">
        <v>1728</v>
      </c>
      <c r="B795" s="247">
        <v>1620</v>
      </c>
      <c r="C795" s="241" t="str">
        <f>VLOOKUP(B795,Orgenheter!$A$1:$B$214,2,0)</f>
        <v>Inst för språkstudier</v>
      </c>
    </row>
    <row r="796" spans="1:3" ht="12.95" customHeight="1" x14ac:dyDescent="0.25">
      <c r="A796" s="256" t="s">
        <v>1729</v>
      </c>
      <c r="B796" s="247">
        <v>1620</v>
      </c>
      <c r="C796" s="241" t="str">
        <f>VLOOKUP(B796,Orgenheter!$A$1:$B$214,2,0)</f>
        <v>Inst för språkstudier</v>
      </c>
    </row>
    <row r="797" spans="1:3" ht="12.95" customHeight="1" x14ac:dyDescent="0.25">
      <c r="A797" s="241" t="s">
        <v>1725</v>
      </c>
      <c r="B797" s="241">
        <v>1620</v>
      </c>
      <c r="C797" s="241" t="str">
        <f>VLOOKUP(B797,Orgenheter!$A$1:$B$214,2,0)</f>
        <v>Inst för språkstudier</v>
      </c>
    </row>
    <row r="798" spans="1:3" ht="12.95" customHeight="1" x14ac:dyDescent="0.25">
      <c r="A798" s="374" t="s">
        <v>1945</v>
      </c>
      <c r="B798" s="409">
        <v>2650</v>
      </c>
      <c r="C798" s="241" t="str">
        <f>VLOOKUP(B798,Orgenheter!$A$1:$B$214,2,0)</f>
        <v>Inst för kost- och måltidsvetenskap</v>
      </c>
    </row>
    <row r="799" spans="1:3" ht="12.95" customHeight="1" x14ac:dyDescent="0.25">
      <c r="A799" s="373" t="s">
        <v>1944</v>
      </c>
      <c r="B799" s="373">
        <v>1620</v>
      </c>
      <c r="C799" s="241" t="str">
        <f>VLOOKUP(B799,Orgenheter!$A$1:$B$214,2,0)</f>
        <v>Inst för språkstudier</v>
      </c>
    </row>
    <row r="800" spans="1:3" ht="12.95" customHeight="1" x14ac:dyDescent="0.25">
      <c r="A800" s="373" t="s">
        <v>1946</v>
      </c>
      <c r="B800" s="373">
        <v>1620</v>
      </c>
      <c r="C800" s="241" t="str">
        <f>VLOOKUP(B800,Orgenheter!$A$1:$B$214,2,0)</f>
        <v>Inst för språkstudier</v>
      </c>
    </row>
    <row r="801" spans="1:3" ht="12.95" customHeight="1" x14ac:dyDescent="0.25">
      <c r="A801" s="373" t="s">
        <v>1947</v>
      </c>
      <c r="B801" s="373">
        <v>1620</v>
      </c>
      <c r="C801" s="241" t="str">
        <f>VLOOKUP(B801,Orgenheter!$A$1:$B$214,2,0)</f>
        <v>Inst för språkstudier</v>
      </c>
    </row>
    <row r="802" spans="1:3" x14ac:dyDescent="0.25">
      <c r="A802" s="256" t="s">
        <v>339</v>
      </c>
      <c r="B802" s="241">
        <v>2193</v>
      </c>
      <c r="C802" s="241" t="str">
        <f>VLOOKUP(B802,Orgenheter!$A$1:$B$214,2,0)</f>
        <v xml:space="preserve">TUV </v>
      </c>
    </row>
    <row r="803" spans="1:3" x14ac:dyDescent="0.25">
      <c r="A803" s="247" t="s">
        <v>372</v>
      </c>
      <c r="B803" s="241">
        <v>2193</v>
      </c>
      <c r="C803" s="241" t="str">
        <f>VLOOKUP(B803,Orgenheter!$A$1:$B$214,2,0)</f>
        <v xml:space="preserve">TUV </v>
      </c>
    </row>
    <row r="804" spans="1:3" ht="12.95" customHeight="1" x14ac:dyDescent="0.25">
      <c r="A804" s="245" t="s">
        <v>513</v>
      </c>
      <c r="B804" s="243">
        <v>2180</v>
      </c>
      <c r="C804" s="241" t="str">
        <f>VLOOKUP(B804,Orgenheter!$A$1:$B$214,2,0)</f>
        <v xml:space="preserve">Pedagogik                     </v>
      </c>
    </row>
    <row r="805" spans="1:3" ht="12.95" customHeight="1" x14ac:dyDescent="0.25">
      <c r="A805" s="245" t="s">
        <v>1251</v>
      </c>
      <c r="B805" s="243">
        <v>2180</v>
      </c>
      <c r="C805" s="241" t="str">
        <f>VLOOKUP(B805,Orgenheter!$A$1:$B$214,2,0)</f>
        <v xml:space="preserve">Pedagogik                     </v>
      </c>
    </row>
    <row r="806" spans="1:3" ht="12.95" customHeight="1" x14ac:dyDescent="0.25">
      <c r="A806" s="241" t="s">
        <v>1864</v>
      </c>
      <c r="B806" s="241">
        <v>2180</v>
      </c>
      <c r="C806" s="241" t="str">
        <f>VLOOKUP(B806,Orgenheter!$A$1:$B$214,2,0)</f>
        <v xml:space="preserve">Pedagogik                     </v>
      </c>
    </row>
    <row r="807" spans="1:3" ht="12.95" customHeight="1" x14ac:dyDescent="0.25">
      <c r="A807" s="241" t="s">
        <v>1867</v>
      </c>
      <c r="B807" s="241">
        <v>2180</v>
      </c>
      <c r="C807" s="241" t="str">
        <f>VLOOKUP(B807,Orgenheter!$A$1:$B$214,2,0)</f>
        <v xml:space="preserve">Pedagogik                     </v>
      </c>
    </row>
    <row r="808" spans="1:3" ht="12.95" customHeight="1" x14ac:dyDescent="0.25">
      <c r="A808" s="361" t="s">
        <v>1866</v>
      </c>
      <c r="B808" s="361">
        <v>2193</v>
      </c>
      <c r="C808" s="241" t="str">
        <f>VLOOKUP(B808,Orgenheter!$A$1:$B$214,2,0)</f>
        <v xml:space="preserve">TUV </v>
      </c>
    </row>
    <row r="809" spans="1:3" ht="12.95" customHeight="1" x14ac:dyDescent="0.25">
      <c r="A809" s="380" t="s">
        <v>2023</v>
      </c>
      <c r="B809" s="373">
        <v>2193</v>
      </c>
      <c r="C809" s="241" t="str">
        <f>VLOOKUP(B809,Orgenheter!$A$1:$B$214,2,0)</f>
        <v xml:space="preserve">TUV </v>
      </c>
    </row>
    <row r="810" spans="1:3" ht="12.95" customHeight="1" x14ac:dyDescent="0.25">
      <c r="A810" s="385" t="s">
        <v>1975</v>
      </c>
      <c r="B810" s="386">
        <v>2193</v>
      </c>
      <c r="C810" s="241" t="str">
        <f>VLOOKUP(B810,Orgenheter!$A$1:$B$214,2,0)</f>
        <v xml:space="preserve">TUV </v>
      </c>
    </row>
    <row r="811" spans="1:3" ht="12.95" customHeight="1" x14ac:dyDescent="0.25">
      <c r="A811" s="31" t="s">
        <v>2004</v>
      </c>
      <c r="B811" s="361">
        <v>2180</v>
      </c>
      <c r="C811" s="241" t="str">
        <f>VLOOKUP(B811,Orgenheter!$A$1:$B$214,2,0)</f>
        <v xml:space="preserve">Pedagogik                     </v>
      </c>
    </row>
    <row r="812" spans="1:3" ht="12.95" customHeight="1" x14ac:dyDescent="0.25">
      <c r="A812" s="31" t="s">
        <v>2002</v>
      </c>
      <c r="B812" s="361">
        <v>2180</v>
      </c>
      <c r="C812" s="241" t="str">
        <f>VLOOKUP(B812,Orgenheter!$A$1:$B$214,2,0)</f>
        <v xml:space="preserve">Pedagogik                     </v>
      </c>
    </row>
    <row r="813" spans="1:3" ht="12.95" customHeight="1" x14ac:dyDescent="0.25">
      <c r="A813" s="31" t="s">
        <v>2256</v>
      </c>
      <c r="B813" s="241">
        <v>2180</v>
      </c>
      <c r="C813" s="241" t="str">
        <f>VLOOKUP(B813,Orgenheter!$A$1:$B$214,2,0)</f>
        <v xml:space="preserve">Pedagogik                     </v>
      </c>
    </row>
    <row r="814" spans="1:3" ht="12.95" customHeight="1" x14ac:dyDescent="0.25">
      <c r="A814" s="245" t="s">
        <v>2257</v>
      </c>
      <c r="B814" s="243">
        <v>2180</v>
      </c>
      <c r="C814" s="241" t="str">
        <f>VLOOKUP(B814,Orgenheter!$A$1:$B$214,2,0)</f>
        <v xml:space="preserve">Pedagogik                     </v>
      </c>
    </row>
    <row r="815" spans="1:3" ht="12.95" customHeight="1" x14ac:dyDescent="0.25">
      <c r="A815" s="245" t="s">
        <v>2258</v>
      </c>
      <c r="B815" s="243">
        <v>2180</v>
      </c>
      <c r="C815" s="241" t="str">
        <f>VLOOKUP(B815,Orgenheter!$A$1:$B$214,2,0)</f>
        <v xml:space="preserve">Pedagogik                     </v>
      </c>
    </row>
    <row r="816" spans="1:3" ht="12.95" customHeight="1" x14ac:dyDescent="0.25">
      <c r="A816" s="31" t="s">
        <v>2462</v>
      </c>
      <c r="B816" s="361">
        <v>2180</v>
      </c>
      <c r="C816" s="241" t="str">
        <f>VLOOKUP(B816,Orgenheter!$A$1:$B$214,2,0)</f>
        <v xml:space="preserve">Pedagogik                     </v>
      </c>
    </row>
    <row r="817" spans="1:3" ht="12.95" customHeight="1" x14ac:dyDescent="0.25">
      <c r="A817" s="241" t="s">
        <v>101</v>
      </c>
      <c r="B817" s="241">
        <v>2340</v>
      </c>
      <c r="C817" s="241" t="str">
        <f>VLOOKUP(B817,Orgenheter!$A$1:$B$214,2,0)</f>
        <v xml:space="preserve">Statsvetenskap                </v>
      </c>
    </row>
    <row r="818" spans="1:3" ht="12.95" customHeight="1" x14ac:dyDescent="0.25">
      <c r="A818" s="247" t="s">
        <v>102</v>
      </c>
      <c r="B818" s="247">
        <v>2340</v>
      </c>
      <c r="C818" s="241" t="str">
        <f>VLOOKUP(B818,Orgenheter!$A$1:$B$214,2,0)</f>
        <v xml:space="preserve">Statsvetenskap                </v>
      </c>
    </row>
    <row r="819" spans="1:3" ht="12.95" customHeight="1" x14ac:dyDescent="0.25">
      <c r="A819" s="247" t="s">
        <v>128</v>
      </c>
      <c r="B819" s="247">
        <v>2340</v>
      </c>
      <c r="C819" s="241" t="str">
        <f>VLOOKUP(B819,Orgenheter!$A$1:$B$214,2,0)</f>
        <v xml:space="preserve">Statsvetenskap                </v>
      </c>
    </row>
    <row r="820" spans="1:3" ht="12.95" customHeight="1" x14ac:dyDescent="0.25">
      <c r="A820" s="247" t="s">
        <v>353</v>
      </c>
      <c r="B820" s="247">
        <v>2340</v>
      </c>
      <c r="C820" s="241" t="str">
        <f>VLOOKUP(B820,Orgenheter!$A$1:$B$214,2,0)</f>
        <v xml:space="preserve">Statsvetenskap                </v>
      </c>
    </row>
    <row r="821" spans="1:3" ht="12.95" customHeight="1" x14ac:dyDescent="0.25">
      <c r="A821" s="247" t="s">
        <v>127</v>
      </c>
      <c r="B821" s="247">
        <v>2340</v>
      </c>
      <c r="C821" s="241" t="str">
        <f>VLOOKUP(B821,Orgenheter!$A$1:$B$214,2,0)</f>
        <v xml:space="preserve">Statsvetenskap                </v>
      </c>
    </row>
    <row r="822" spans="1:3" ht="12.95" customHeight="1" x14ac:dyDescent="0.25">
      <c r="A822" s="241" t="s">
        <v>864</v>
      </c>
      <c r="B822" s="241">
        <v>2340</v>
      </c>
      <c r="C822" s="241" t="str">
        <f>VLOOKUP(B822,Orgenheter!$A$1:$B$214,2,0)</f>
        <v xml:space="preserve">Statsvetenskap                </v>
      </c>
    </row>
    <row r="823" spans="1:3" ht="12.95" customHeight="1" x14ac:dyDescent="0.25">
      <c r="A823" s="241" t="s">
        <v>514</v>
      </c>
      <c r="B823" s="241">
        <v>2340</v>
      </c>
      <c r="C823" s="241" t="str">
        <f>VLOOKUP(B823,Orgenheter!$A$1:$B$214,2,0)</f>
        <v xml:space="preserve">Statsvetenskap                </v>
      </c>
    </row>
    <row r="824" spans="1:3" ht="12.95" customHeight="1" x14ac:dyDescent="0.25">
      <c r="A824" s="492" t="s">
        <v>2300</v>
      </c>
      <c r="B824" s="492">
        <v>2340</v>
      </c>
      <c r="C824" s="241" t="str">
        <f>VLOOKUP(B824,Orgenheter!$A$1:$B$214,2,0)</f>
        <v xml:space="preserve">Statsvetenskap                </v>
      </c>
    </row>
    <row r="825" spans="1:3" ht="12.95" customHeight="1" x14ac:dyDescent="0.25">
      <c r="A825" s="492" t="s">
        <v>2301</v>
      </c>
      <c r="B825" s="492">
        <v>2340</v>
      </c>
      <c r="C825" s="241" t="str">
        <f>VLOOKUP(B825,Orgenheter!$A$1:$B$214,2,0)</f>
        <v xml:space="preserve">Statsvetenskap                </v>
      </c>
    </row>
    <row r="826" spans="1:3" ht="12.95" customHeight="1" x14ac:dyDescent="0.25">
      <c r="A826" s="492" t="s">
        <v>2302</v>
      </c>
      <c r="B826" s="492">
        <v>2340</v>
      </c>
      <c r="C826" s="241" t="str">
        <f>VLOOKUP(B826,Orgenheter!$A$1:$B$214,2,0)</f>
        <v xml:space="preserve">Statsvetenskap                </v>
      </c>
    </row>
    <row r="827" spans="1:3" ht="12.95" customHeight="1" x14ac:dyDescent="0.25">
      <c r="A827" s="241" t="s">
        <v>100</v>
      </c>
      <c r="B827" s="241">
        <v>1640</v>
      </c>
      <c r="C827" s="241" t="str">
        <f>VLOOKUP(B827,Orgenheter!$A$1:$B$214,2,0)</f>
        <v>Inst för kultur- o medievetenskap</v>
      </c>
    </row>
    <row r="828" spans="1:3" ht="12.95" customHeight="1" x14ac:dyDescent="0.25">
      <c r="A828" s="245" t="s">
        <v>516</v>
      </c>
      <c r="B828" s="243">
        <v>1620</v>
      </c>
      <c r="C828" s="241" t="str">
        <f>VLOOKUP(B828,Orgenheter!$A$1:$B$214,2,0)</f>
        <v>Inst för språkstudier</v>
      </c>
    </row>
    <row r="829" spans="1:3" ht="12.95" customHeight="1" x14ac:dyDescent="0.25">
      <c r="A829" s="245" t="s">
        <v>517</v>
      </c>
      <c r="B829" s="243">
        <v>1620</v>
      </c>
      <c r="C829" s="241" t="str">
        <f>VLOOKUP(B829,Orgenheter!$A$1:$B$214,2,0)</f>
        <v>Inst för språkstudier</v>
      </c>
    </row>
    <row r="830" spans="1:3" ht="12.95" customHeight="1" x14ac:dyDescent="0.25">
      <c r="A830" s="245" t="s">
        <v>601</v>
      </c>
      <c r="B830" s="243">
        <v>1620</v>
      </c>
      <c r="C830" s="241" t="str">
        <f>VLOOKUP(B830,Orgenheter!$A$1:$B$214,2,0)</f>
        <v>Inst för språkstudier</v>
      </c>
    </row>
    <row r="831" spans="1:3" ht="15.75" x14ac:dyDescent="0.25">
      <c r="A831" s="245" t="s">
        <v>518</v>
      </c>
      <c r="B831" s="243">
        <v>1620</v>
      </c>
      <c r="C831" s="241" t="str">
        <f>VLOOKUP(B831,Orgenheter!$A$1:$B$214,2,0)</f>
        <v>Inst för språkstudier</v>
      </c>
    </row>
    <row r="832" spans="1:3" ht="15.75" x14ac:dyDescent="0.25">
      <c r="A832" s="245" t="s">
        <v>519</v>
      </c>
      <c r="B832" s="243">
        <v>1620</v>
      </c>
      <c r="C832" s="241" t="str">
        <f>VLOOKUP(B832,Orgenheter!$A$1:$B$214,2,0)</f>
        <v>Inst för språkstudier</v>
      </c>
    </row>
    <row r="833" spans="1:3" ht="12.95" customHeight="1" x14ac:dyDescent="0.25">
      <c r="A833" s="245" t="s">
        <v>602</v>
      </c>
      <c r="B833" s="243">
        <v>1620</v>
      </c>
      <c r="C833" s="241" t="str">
        <f>VLOOKUP(B833,Orgenheter!$A$1:$B$214,2,0)</f>
        <v>Inst för språkstudier</v>
      </c>
    </row>
    <row r="834" spans="1:3" x14ac:dyDescent="0.25">
      <c r="A834" s="256" t="s">
        <v>865</v>
      </c>
      <c r="B834" s="241">
        <v>1620</v>
      </c>
      <c r="C834" s="241" t="str">
        <f>VLOOKUP(B834,Orgenheter!$A$1:$B$214,2,0)</f>
        <v>Inst för språkstudier</v>
      </c>
    </row>
    <row r="835" spans="1:3" x14ac:dyDescent="0.25">
      <c r="A835" s="256" t="s">
        <v>866</v>
      </c>
      <c r="B835" s="241">
        <v>1620</v>
      </c>
      <c r="C835" s="241" t="str">
        <f>VLOOKUP(B835,Orgenheter!$A$1:$B$214,2,0)</f>
        <v>Inst för språkstudier</v>
      </c>
    </row>
    <row r="836" spans="1:3" x14ac:dyDescent="0.25">
      <c r="A836" s="256" t="s">
        <v>1027</v>
      </c>
      <c r="B836" s="241">
        <v>1620</v>
      </c>
      <c r="C836" s="241" t="str">
        <f>VLOOKUP(B836,Orgenheter!$A$1:$B$214,2,0)</f>
        <v>Inst för språkstudier</v>
      </c>
    </row>
    <row r="837" spans="1:3" ht="15.75" x14ac:dyDescent="0.25">
      <c r="A837" s="245" t="s">
        <v>923</v>
      </c>
      <c r="B837" s="298">
        <v>1620</v>
      </c>
      <c r="C837" s="241" t="str">
        <f>VLOOKUP(B837,Orgenheter!$A$1:$B$214,2,0)</f>
        <v>Inst för språkstudier</v>
      </c>
    </row>
    <row r="838" spans="1:3" ht="15.75" x14ac:dyDescent="0.25">
      <c r="A838" s="245" t="s">
        <v>1066</v>
      </c>
      <c r="B838" s="298">
        <v>1620</v>
      </c>
      <c r="C838" s="241" t="str">
        <f>VLOOKUP(B838,Orgenheter!$A$1:$B$214,2,0)</f>
        <v>Inst för språkstudier</v>
      </c>
    </row>
    <row r="839" spans="1:3" ht="15.75" x14ac:dyDescent="0.25">
      <c r="A839" s="245" t="s">
        <v>1052</v>
      </c>
      <c r="B839" s="298">
        <v>1620</v>
      </c>
      <c r="C839" s="241" t="str">
        <f>VLOOKUP(B839,Orgenheter!$A$1:$B$214,2,0)</f>
        <v>Inst för språkstudier</v>
      </c>
    </row>
    <row r="840" spans="1:3" ht="15.75" x14ac:dyDescent="0.25">
      <c r="A840" s="245" t="s">
        <v>1058</v>
      </c>
      <c r="B840" s="298">
        <v>1620</v>
      </c>
      <c r="C840" s="241" t="str">
        <f>VLOOKUP(B840,Orgenheter!$A$1:$B$214,2,0)</f>
        <v>Inst för språkstudier</v>
      </c>
    </row>
    <row r="841" spans="1:3" ht="15.75" x14ac:dyDescent="0.25">
      <c r="A841" s="245" t="s">
        <v>1766</v>
      </c>
      <c r="B841" s="298">
        <v>1620</v>
      </c>
      <c r="C841" s="241" t="str">
        <f>VLOOKUP(B841,Orgenheter!$A$1:$B$214,2,0)</f>
        <v>Inst för språkstudier</v>
      </c>
    </row>
    <row r="842" spans="1:3" ht="12.95" customHeight="1" x14ac:dyDescent="0.25">
      <c r="A842" s="241" t="s">
        <v>1347</v>
      </c>
      <c r="B842" s="241">
        <v>1620</v>
      </c>
      <c r="C842" s="241" t="str">
        <f>VLOOKUP(B842,Orgenheter!$A$1:$B$214,2,0)</f>
        <v>Inst för språkstudier</v>
      </c>
    </row>
    <row r="843" spans="1:3" ht="12.95" customHeight="1" x14ac:dyDescent="0.25">
      <c r="A843" s="241" t="s">
        <v>1348</v>
      </c>
      <c r="B843" s="241">
        <v>1620</v>
      </c>
      <c r="C843" s="241" t="str">
        <f>VLOOKUP(B843,Orgenheter!$A$1:$B$214,2,0)</f>
        <v>Inst för språkstudier</v>
      </c>
    </row>
    <row r="844" spans="1:3" ht="12.95" customHeight="1" x14ac:dyDescent="0.25">
      <c r="A844" s="241" t="s">
        <v>1350</v>
      </c>
      <c r="B844" s="241">
        <v>1620</v>
      </c>
      <c r="C844" s="241" t="str">
        <f>VLOOKUP(B844,Orgenheter!$A$1:$B$214,2,0)</f>
        <v>Inst för språkstudier</v>
      </c>
    </row>
    <row r="845" spans="1:3" ht="12.95" customHeight="1" x14ac:dyDescent="0.25">
      <c r="A845" s="241" t="s">
        <v>1611</v>
      </c>
      <c r="B845" s="241">
        <v>1620</v>
      </c>
      <c r="C845" s="241" t="str">
        <f>VLOOKUP(B845,Orgenheter!$A$1:$B$214,2,0)</f>
        <v>Inst för språkstudier</v>
      </c>
    </row>
    <row r="846" spans="1:3" ht="12.95" customHeight="1" x14ac:dyDescent="0.25">
      <c r="A846" s="241" t="s">
        <v>1767</v>
      </c>
      <c r="B846" s="241">
        <v>1620</v>
      </c>
      <c r="C846" s="241" t="str">
        <f>VLOOKUP(B846,Orgenheter!$A$1:$B$214,2,0)</f>
        <v>Inst för språkstudier</v>
      </c>
    </row>
    <row r="847" spans="1:3" ht="12.95" customHeight="1" x14ac:dyDescent="0.25">
      <c r="A847" s="241" t="s">
        <v>1612</v>
      </c>
      <c r="B847" s="241">
        <v>1620</v>
      </c>
      <c r="C847" s="241" t="str">
        <f>VLOOKUP(B847,Orgenheter!$A$1:$B$214,2,0)</f>
        <v>Inst för språkstudier</v>
      </c>
    </row>
    <row r="848" spans="1:3" ht="12.95" customHeight="1" x14ac:dyDescent="0.25">
      <c r="A848" s="241" t="s">
        <v>1768</v>
      </c>
      <c r="B848" s="241">
        <v>1620</v>
      </c>
      <c r="C848" s="241" t="str">
        <f>VLOOKUP(B848,Orgenheter!$A$1:$B$214,2,0)</f>
        <v>Inst för språkstudier</v>
      </c>
    </row>
    <row r="849" spans="1:3" x14ac:dyDescent="0.25">
      <c r="A849" s="222" t="s">
        <v>1840</v>
      </c>
      <c r="B849" s="298">
        <v>1620</v>
      </c>
      <c r="C849" s="241" t="str">
        <f>VLOOKUP(B849,Orgenheter!$A$1:$B$214,2,0)</f>
        <v>Inst för språkstudier</v>
      </c>
    </row>
    <row r="850" spans="1:3" x14ac:dyDescent="0.25">
      <c r="A850" s="222" t="s">
        <v>1839</v>
      </c>
      <c r="B850" s="243">
        <v>1620</v>
      </c>
      <c r="C850" s="241" t="str">
        <f>VLOOKUP(B850,Orgenheter!$A$1:$B$214,2,0)</f>
        <v>Inst för språkstudier</v>
      </c>
    </row>
    <row r="851" spans="1:3" ht="15.75" x14ac:dyDescent="0.25">
      <c r="A851" s="245" t="s">
        <v>1932</v>
      </c>
      <c r="B851" s="298">
        <v>1620</v>
      </c>
      <c r="C851" s="241" t="str">
        <f>VLOOKUP(B851,Orgenheter!$A$1:$B$214,2,0)</f>
        <v>Inst för språkstudier</v>
      </c>
    </row>
    <row r="852" spans="1:3" ht="15.75" x14ac:dyDescent="0.25">
      <c r="A852" s="413" t="s">
        <v>2100</v>
      </c>
      <c r="B852" s="298">
        <v>1620</v>
      </c>
      <c r="C852" s="241" t="str">
        <f>VLOOKUP(B852,Orgenheter!$A$1:$B$214,2,0)</f>
        <v>Inst för språkstudier</v>
      </c>
    </row>
    <row r="853" spans="1:3" ht="15.75" x14ac:dyDescent="0.25">
      <c r="A853" s="413" t="s">
        <v>2101</v>
      </c>
      <c r="B853" s="298">
        <v>1620</v>
      </c>
      <c r="C853" s="241" t="str">
        <f>VLOOKUP(B853,Orgenheter!$A$1:$B$214,2,0)</f>
        <v>Inst för språkstudier</v>
      </c>
    </row>
    <row r="854" spans="1:3" ht="15.75" x14ac:dyDescent="0.25">
      <c r="A854" s="245" t="s">
        <v>1933</v>
      </c>
      <c r="B854" s="298">
        <v>1620</v>
      </c>
      <c r="C854" s="241" t="str">
        <f>VLOOKUP(B854,Orgenheter!$A$1:$B$214,2,0)</f>
        <v>Inst för språkstudier</v>
      </c>
    </row>
    <row r="855" spans="1:3" ht="15.75" x14ac:dyDescent="0.25">
      <c r="A855" s="413" t="s">
        <v>2102</v>
      </c>
      <c r="B855" s="298">
        <v>1620</v>
      </c>
      <c r="C855" s="241" t="str">
        <f>VLOOKUP(B855,Orgenheter!$A$1:$B$214,2,0)</f>
        <v>Inst för språkstudier</v>
      </c>
    </row>
    <row r="856" spans="1:3" ht="15.75" x14ac:dyDescent="0.25">
      <c r="A856" s="413" t="s">
        <v>2103</v>
      </c>
      <c r="B856" s="298">
        <v>1620</v>
      </c>
      <c r="C856" s="241" t="str">
        <f>VLOOKUP(B856,Orgenheter!$A$1:$B$214,2,0)</f>
        <v>Inst för språkstudier</v>
      </c>
    </row>
    <row r="857" spans="1:3" ht="15.75" x14ac:dyDescent="0.25">
      <c r="A857" s="376" t="s">
        <v>1934</v>
      </c>
      <c r="B857" s="298">
        <v>1620</v>
      </c>
      <c r="C857" s="241" t="str">
        <f>VLOOKUP(B857,Orgenheter!$A$1:$B$214,2,0)</f>
        <v>Inst för språkstudier</v>
      </c>
    </row>
    <row r="858" spans="1:3" ht="15.75" x14ac:dyDescent="0.25">
      <c r="A858" s="376" t="s">
        <v>1935</v>
      </c>
      <c r="B858" s="298">
        <v>1620</v>
      </c>
      <c r="C858" s="241" t="str">
        <f>VLOOKUP(B858,Orgenheter!$A$1:$B$214,2,0)</f>
        <v>Inst för språkstudier</v>
      </c>
    </row>
    <row r="859" spans="1:3" ht="15.75" x14ac:dyDescent="0.25">
      <c r="A859" s="376" t="s">
        <v>1936</v>
      </c>
      <c r="B859" s="298">
        <v>1620</v>
      </c>
      <c r="C859" s="241" t="str">
        <f>VLOOKUP(B859,Orgenheter!$A$1:$B$214,2,0)</f>
        <v>Inst för språkstudier</v>
      </c>
    </row>
    <row r="860" spans="1:3" ht="15.75" x14ac:dyDescent="0.25">
      <c r="A860" s="376" t="s">
        <v>1937</v>
      </c>
      <c r="B860" s="298">
        <v>1620</v>
      </c>
      <c r="C860" s="241" t="str">
        <f>VLOOKUP(B860,Orgenheter!$A$1:$B$214,2,0)</f>
        <v>Inst för språkstudier</v>
      </c>
    </row>
    <row r="861" spans="1:3" ht="15.75" x14ac:dyDescent="0.25">
      <c r="A861" s="376" t="s">
        <v>1938</v>
      </c>
      <c r="B861" s="378">
        <v>1620</v>
      </c>
      <c r="C861" s="241" t="str">
        <f>VLOOKUP(B861,Orgenheter!$A$1:$B$214,2,0)</f>
        <v>Inst för språkstudier</v>
      </c>
    </row>
    <row r="862" spans="1:3" ht="15.75" x14ac:dyDescent="0.25">
      <c r="A862" s="385" t="s">
        <v>2053</v>
      </c>
      <c r="B862" s="378">
        <v>1620</v>
      </c>
      <c r="C862" s="241" t="str">
        <f>VLOOKUP(B862,Orgenheter!$A$1:$B$214,2,0)</f>
        <v>Inst för språkstudier</v>
      </c>
    </row>
    <row r="863" spans="1:3" ht="15.75" x14ac:dyDescent="0.25">
      <c r="A863" s="385" t="s">
        <v>2054</v>
      </c>
      <c r="B863" s="378">
        <v>1620</v>
      </c>
      <c r="C863" s="241" t="str">
        <f>VLOOKUP(B863,Orgenheter!$A$1:$B$214,2,0)</f>
        <v>Inst för språkstudier</v>
      </c>
    </row>
    <row r="864" spans="1:3" ht="15.75" x14ac:dyDescent="0.25">
      <c r="A864" s="413" t="s">
        <v>2117</v>
      </c>
      <c r="B864" s="414">
        <v>1620</v>
      </c>
      <c r="C864" s="241" t="str">
        <f>VLOOKUP(B864,Orgenheter!$A$1:$B$214,2,0)</f>
        <v>Inst för språkstudier</v>
      </c>
    </row>
    <row r="865" spans="1:3" ht="12.95" customHeight="1" x14ac:dyDescent="0.25">
      <c r="A865" s="31" t="s">
        <v>2131</v>
      </c>
      <c r="B865" s="243">
        <v>1620</v>
      </c>
      <c r="C865" s="241" t="str">
        <f>VLOOKUP(B865,Orgenheter!$A$1:$B$214,2,0)</f>
        <v>Inst för språkstudier</v>
      </c>
    </row>
    <row r="866" spans="1:3" ht="12.95" customHeight="1" x14ac:dyDescent="0.25">
      <c r="A866" s="412" t="s">
        <v>2140</v>
      </c>
      <c r="B866" s="409">
        <v>1620</v>
      </c>
      <c r="C866" s="241" t="str">
        <f>VLOOKUP(B866,Orgenheter!$A$1:$B$214,2,0)</f>
        <v>Inst för språkstudier</v>
      </c>
    </row>
    <row r="867" spans="1:3" x14ac:dyDescent="0.25">
      <c r="A867" s="31" t="s">
        <v>2175</v>
      </c>
      <c r="B867" s="243">
        <v>1620</v>
      </c>
      <c r="C867" s="241" t="str">
        <f>VLOOKUP(B867,Orgenheter!$A$1:$B$214,2,0)</f>
        <v>Inst för språkstudier</v>
      </c>
    </row>
    <row r="868" spans="1:3" x14ac:dyDescent="0.25">
      <c r="A868" s="57" t="s">
        <v>2202</v>
      </c>
      <c r="B868" s="243">
        <v>1620</v>
      </c>
      <c r="C868" s="241" t="str">
        <f>VLOOKUP(B868,Orgenheter!$A$1:$B$214,2,0)</f>
        <v>Inst för språkstudier</v>
      </c>
    </row>
    <row r="869" spans="1:3" ht="12.95" customHeight="1" x14ac:dyDescent="0.25">
      <c r="A869" s="503" t="s">
        <v>2361</v>
      </c>
      <c r="B869" s="492">
        <v>1620</v>
      </c>
      <c r="C869" s="241" t="str">
        <f>VLOOKUP(B869,Orgenheter!$A$1:$B$214,2,0)</f>
        <v>Inst för språkstudier</v>
      </c>
    </row>
    <row r="870" spans="1:3" x14ac:dyDescent="0.25">
      <c r="A870" s="241" t="s">
        <v>148</v>
      </c>
      <c r="B870" s="241">
        <v>2193</v>
      </c>
      <c r="C870" s="241" t="str">
        <f>VLOOKUP(B870,Orgenheter!$A$1:$B$214,2,0)</f>
        <v xml:space="preserve">TUV </v>
      </c>
    </row>
    <row r="871" spans="1:3" ht="12.95" customHeight="1" x14ac:dyDescent="0.25">
      <c r="A871" s="241" t="s">
        <v>150</v>
      </c>
      <c r="B871" s="241">
        <v>2193</v>
      </c>
      <c r="C871" s="241" t="str">
        <f>VLOOKUP(B871,Orgenheter!$A$1:$B$214,2,0)</f>
        <v xml:space="preserve">TUV </v>
      </c>
    </row>
    <row r="872" spans="1:3" ht="12.95" customHeight="1" x14ac:dyDescent="0.25">
      <c r="A872" s="241" t="s">
        <v>354</v>
      </c>
      <c r="B872" s="241">
        <v>2180</v>
      </c>
      <c r="C872" s="241" t="str">
        <f>VLOOKUP(B872,Orgenheter!$A$1:$B$214,2,0)</f>
        <v xml:space="preserve">Pedagogik                     </v>
      </c>
    </row>
    <row r="873" spans="1:3" ht="12.95" customHeight="1" x14ac:dyDescent="0.25">
      <c r="A873" s="241" t="s">
        <v>341</v>
      </c>
      <c r="B873" s="241">
        <v>2193</v>
      </c>
      <c r="C873" s="241" t="str">
        <f>VLOOKUP(B873,Orgenheter!$A$1:$B$214,2,0)</f>
        <v xml:space="preserve">TUV </v>
      </c>
    </row>
    <row r="874" spans="1:3" ht="12.95" customHeight="1" x14ac:dyDescent="0.25">
      <c r="A874" s="241" t="s">
        <v>378</v>
      </c>
      <c r="B874" s="241">
        <v>2193</v>
      </c>
      <c r="C874" s="241" t="str">
        <f>VLOOKUP(B874,Orgenheter!$A$1:$B$214,2,0)</f>
        <v xml:space="preserve">TUV </v>
      </c>
    </row>
    <row r="875" spans="1:3" ht="12.95" customHeight="1" x14ac:dyDescent="0.25">
      <c r="A875" s="247" t="s">
        <v>396</v>
      </c>
      <c r="B875" s="241">
        <v>2193</v>
      </c>
      <c r="C875" s="241" t="str">
        <f>VLOOKUP(B875,Orgenheter!$A$1:$B$214,2,0)</f>
        <v xml:space="preserve">TUV </v>
      </c>
    </row>
    <row r="876" spans="1:3" ht="12.95" customHeight="1" x14ac:dyDescent="0.25">
      <c r="A876" s="241" t="s">
        <v>340</v>
      </c>
      <c r="B876" s="241">
        <v>2193</v>
      </c>
      <c r="C876" s="241" t="str">
        <f>VLOOKUP(B876,Orgenheter!$A$1:$B$214,2,0)</f>
        <v xml:space="preserve">TUV </v>
      </c>
    </row>
    <row r="877" spans="1:3" ht="12.95" customHeight="1" x14ac:dyDescent="0.25">
      <c r="A877" s="241" t="s">
        <v>1</v>
      </c>
      <c r="B877" s="241">
        <v>2193</v>
      </c>
      <c r="C877" s="241" t="str">
        <f>VLOOKUP(B877,Orgenheter!$A$1:$B$214,2,0)</f>
        <v xml:space="preserve">TUV </v>
      </c>
    </row>
    <row r="878" spans="1:3" ht="12.95" customHeight="1" x14ac:dyDescent="0.25">
      <c r="A878" s="241" t="s">
        <v>377</v>
      </c>
      <c r="B878" s="241">
        <v>2193</v>
      </c>
      <c r="C878" s="241" t="str">
        <f>VLOOKUP(B878,Orgenheter!$A$1:$B$214,2,0)</f>
        <v xml:space="preserve">TUV </v>
      </c>
    </row>
    <row r="879" spans="1:3" ht="12.95" customHeight="1" x14ac:dyDescent="0.25">
      <c r="A879" s="264" t="s">
        <v>604</v>
      </c>
      <c r="B879" s="241">
        <v>2193</v>
      </c>
      <c r="C879" s="241" t="str">
        <f>VLOOKUP(B879,Orgenheter!$A$1:$B$214,2,0)</f>
        <v xml:space="preserve">TUV </v>
      </c>
    </row>
    <row r="880" spans="1:3" ht="12.95" customHeight="1" x14ac:dyDescent="0.25">
      <c r="A880" s="264" t="s">
        <v>432</v>
      </c>
      <c r="B880" s="241">
        <v>2193</v>
      </c>
      <c r="C880" s="241" t="str">
        <f>VLOOKUP(B880,Orgenheter!$A$1:$B$214,2,0)</f>
        <v xml:space="preserve">TUV </v>
      </c>
    </row>
    <row r="881" spans="1:3" ht="15" customHeight="1" x14ac:dyDescent="0.25">
      <c r="A881" s="264" t="s">
        <v>877</v>
      </c>
      <c r="B881" s="241">
        <v>2193</v>
      </c>
      <c r="C881" s="241" t="str">
        <f>VLOOKUP(B881,Orgenheter!$A$1:$B$214,2,0)</f>
        <v xml:space="preserve">TUV </v>
      </c>
    </row>
    <row r="882" spans="1:3" ht="15" customHeight="1" x14ac:dyDescent="0.25">
      <c r="A882" s="264" t="s">
        <v>879</v>
      </c>
      <c r="B882" s="241">
        <v>2193</v>
      </c>
      <c r="C882" s="241" t="str">
        <f>VLOOKUP(B882,Orgenheter!$A$1:$B$214,2,0)</f>
        <v xml:space="preserve">TUV </v>
      </c>
    </row>
    <row r="883" spans="1:3" ht="15" customHeight="1" x14ac:dyDescent="0.25">
      <c r="A883" s="264" t="s">
        <v>880</v>
      </c>
      <c r="B883" s="241">
        <v>2193</v>
      </c>
      <c r="C883" s="241" t="str">
        <f>VLOOKUP(B883,Orgenheter!$A$1:$B$214,2,0)</f>
        <v xml:space="preserve">TUV </v>
      </c>
    </row>
    <row r="884" spans="1:3" ht="15" customHeight="1" x14ac:dyDescent="0.25">
      <c r="A884" s="264" t="s">
        <v>878</v>
      </c>
      <c r="B884" s="241">
        <v>2193</v>
      </c>
      <c r="C884" s="241" t="str">
        <f>VLOOKUP(B884,Orgenheter!$A$1:$B$214,2,0)</f>
        <v xml:space="preserve">TUV </v>
      </c>
    </row>
    <row r="885" spans="1:3" ht="15" customHeight="1" x14ac:dyDescent="0.25">
      <c r="A885" s="264" t="s">
        <v>876</v>
      </c>
      <c r="B885" s="241">
        <v>2180</v>
      </c>
      <c r="C885" s="241" t="str">
        <f>VLOOKUP(B885,Orgenheter!$A$1:$B$214,2,0)</f>
        <v xml:space="preserve">Pedagogik                     </v>
      </c>
    </row>
    <row r="886" spans="1:3" ht="15" customHeight="1" x14ac:dyDescent="0.25">
      <c r="A886" s="264" t="s">
        <v>917</v>
      </c>
      <c r="B886" s="241">
        <v>2193</v>
      </c>
      <c r="C886" s="241" t="str">
        <f>VLOOKUP(B886,Orgenheter!$A$1:$B$214,2,0)</f>
        <v xml:space="preserve">TUV </v>
      </c>
    </row>
    <row r="887" spans="1:3" ht="15" customHeight="1" x14ac:dyDescent="0.25">
      <c r="A887" s="264" t="s">
        <v>918</v>
      </c>
      <c r="B887" s="241">
        <v>2193</v>
      </c>
      <c r="C887" s="241" t="str">
        <f>VLOOKUP(B887,Orgenheter!$A$1:$B$214,2,0)</f>
        <v xml:space="preserve">TUV </v>
      </c>
    </row>
    <row r="888" spans="1:3" ht="15" customHeight="1" x14ac:dyDescent="0.25">
      <c r="A888" s="264" t="s">
        <v>919</v>
      </c>
      <c r="B888" s="241">
        <v>2193</v>
      </c>
      <c r="C888" s="241" t="str">
        <f>VLOOKUP(B888,Orgenheter!$A$1:$B$214,2,0)</f>
        <v xml:space="preserve">TUV </v>
      </c>
    </row>
    <row r="889" spans="1:3" ht="15" customHeight="1" x14ac:dyDescent="0.25">
      <c r="A889" s="264" t="s">
        <v>962</v>
      </c>
      <c r="B889" s="241">
        <v>2180</v>
      </c>
      <c r="C889" s="241" t="str">
        <f>VLOOKUP(B889,Orgenheter!$A$1:$B$214,2,0)</f>
        <v xml:space="preserve">Pedagogik                     </v>
      </c>
    </row>
    <row r="890" spans="1:3" ht="12.95" customHeight="1" x14ac:dyDescent="0.25">
      <c r="A890" s="241" t="s">
        <v>1315</v>
      </c>
      <c r="B890" s="241">
        <v>2193</v>
      </c>
      <c r="C890" s="241" t="str">
        <f>VLOOKUP(B890,Orgenheter!$A$1:$B$214,2,0)</f>
        <v xml:space="preserve">TUV </v>
      </c>
    </row>
    <row r="891" spans="1:3" ht="12.95" customHeight="1" x14ac:dyDescent="0.25">
      <c r="A891" s="241" t="s">
        <v>1577</v>
      </c>
      <c r="B891" s="241">
        <v>2193</v>
      </c>
      <c r="C891" s="241" t="str">
        <f>VLOOKUP(B891,Orgenheter!$A$1:$B$214,2,0)</f>
        <v xml:space="preserve">TUV </v>
      </c>
    </row>
    <row r="892" spans="1:3" ht="12.95" customHeight="1" x14ac:dyDescent="0.25">
      <c r="A892" s="492" t="s">
        <v>2343</v>
      </c>
      <c r="B892" s="492">
        <v>2193</v>
      </c>
      <c r="C892" s="241" t="str">
        <f>VLOOKUP(B892,Orgenheter!$A$1:$B$214,2,0)</f>
        <v xml:space="preserve">TUV </v>
      </c>
    </row>
    <row r="893" spans="1:3" ht="12.95" customHeight="1" x14ac:dyDescent="0.25">
      <c r="A893" s="492" t="s">
        <v>2344</v>
      </c>
      <c r="B893" s="492">
        <v>2193</v>
      </c>
      <c r="C893" s="241" t="str">
        <f>VLOOKUP(B893,Orgenheter!$A$1:$B$214,2,0)</f>
        <v xml:space="preserve">TUV </v>
      </c>
    </row>
    <row r="894" spans="1:3" ht="15" customHeight="1" x14ac:dyDescent="0.25">
      <c r="A894" s="256" t="s">
        <v>653</v>
      </c>
      <c r="B894" s="241">
        <v>5740</v>
      </c>
      <c r="C894" s="241" t="str">
        <f>VLOOKUP(B894,Orgenheter!$A$1:$B$214,2,0)</f>
        <v>NMD</v>
      </c>
    </row>
    <row r="895" spans="1:3" ht="15" customHeight="1" x14ac:dyDescent="0.25">
      <c r="A895" s="256" t="s">
        <v>922</v>
      </c>
      <c r="B895" s="241">
        <v>5740</v>
      </c>
      <c r="C895" s="241" t="str">
        <f>VLOOKUP(B895,Orgenheter!$A$1:$B$214,2,0)</f>
        <v>NMD</v>
      </c>
    </row>
    <row r="896" spans="1:3" ht="15" customHeight="1" x14ac:dyDescent="0.25">
      <c r="A896" s="256" t="s">
        <v>87</v>
      </c>
      <c r="B896" s="241">
        <v>1650</v>
      </c>
      <c r="C896" s="241" t="str">
        <f>VLOOKUP(B896,Orgenheter!$A$1:$B$214,2,0)</f>
        <v xml:space="preserve">Estetiska ämnen               </v>
      </c>
    </row>
    <row r="897" spans="1:3" ht="15" customHeight="1" x14ac:dyDescent="0.25">
      <c r="A897" s="256" t="s">
        <v>867</v>
      </c>
      <c r="B897" s="241">
        <v>1650</v>
      </c>
      <c r="C897" s="241" t="str">
        <f>VLOOKUP(B897,Orgenheter!$A$1:$B$214,2,0)</f>
        <v xml:space="preserve">Estetiska ämnen               </v>
      </c>
    </row>
    <row r="898" spans="1:3" ht="15" customHeight="1" x14ac:dyDescent="0.25">
      <c r="A898" s="241" t="s">
        <v>86</v>
      </c>
      <c r="B898" s="241">
        <v>1650</v>
      </c>
      <c r="C898" s="241" t="str">
        <f>VLOOKUP(B898,Orgenheter!$A$1:$B$214,2,0)</f>
        <v xml:space="preserve">Estetiska ämnen               </v>
      </c>
    </row>
    <row r="899" spans="1:3" ht="15" customHeight="1" x14ac:dyDescent="0.25">
      <c r="A899" s="241" t="s">
        <v>332</v>
      </c>
      <c r="B899" s="241">
        <v>1650</v>
      </c>
      <c r="C899" s="241" t="str">
        <f>VLOOKUP(B899,Orgenheter!$A$1:$B$214,2,0)</f>
        <v xml:space="preserve">Estetiska ämnen               </v>
      </c>
    </row>
    <row r="900" spans="1:3" ht="15" customHeight="1" x14ac:dyDescent="0.25">
      <c r="A900" s="241" t="s">
        <v>81</v>
      </c>
      <c r="B900" s="241">
        <v>1650</v>
      </c>
      <c r="C900" s="241" t="str">
        <f>VLOOKUP(B900,Orgenheter!$A$1:$B$214,2,0)</f>
        <v xml:space="preserve">Estetiska ämnen               </v>
      </c>
    </row>
    <row r="901" spans="1:3" ht="15" customHeight="1" x14ac:dyDescent="0.25">
      <c r="A901" s="241" t="s">
        <v>1028</v>
      </c>
      <c r="B901" s="241">
        <v>1650</v>
      </c>
      <c r="C901" s="241" t="str">
        <f>VLOOKUP(B901,Orgenheter!$A$1:$B$214,2,0)</f>
        <v xml:space="preserve">Estetiska ämnen               </v>
      </c>
    </row>
    <row r="902" spans="1:3" ht="15" customHeight="1" x14ac:dyDescent="0.25">
      <c r="A902" s="241" t="s">
        <v>479</v>
      </c>
      <c r="B902" s="241">
        <v>1650</v>
      </c>
      <c r="C902" s="241" t="str">
        <f>VLOOKUP(B902,Orgenheter!$A$1:$B$214,2,0)</f>
        <v xml:space="preserve">Estetiska ämnen               </v>
      </c>
    </row>
    <row r="903" spans="1:3" ht="15" customHeight="1" x14ac:dyDescent="0.25">
      <c r="A903" s="257" t="s">
        <v>527</v>
      </c>
      <c r="B903" s="247">
        <v>1650</v>
      </c>
      <c r="C903" s="241" t="str">
        <f>VLOOKUP(B903,Orgenheter!$A$1:$B$214,2,0)</f>
        <v xml:space="preserve">Estetiska ämnen               </v>
      </c>
    </row>
    <row r="904" spans="1:3" ht="15" customHeight="1" x14ac:dyDescent="0.25">
      <c r="A904" s="241" t="s">
        <v>565</v>
      </c>
      <c r="B904" s="247">
        <v>1650</v>
      </c>
      <c r="C904" s="241" t="str">
        <f>VLOOKUP(B904,Orgenheter!$A$1:$B$214,2,0)</f>
        <v xml:space="preserve">Estetiska ämnen               </v>
      </c>
    </row>
    <row r="905" spans="1:3" ht="15" customHeight="1" x14ac:dyDescent="0.25">
      <c r="A905" s="241" t="s">
        <v>521</v>
      </c>
      <c r="B905" s="241">
        <v>1650</v>
      </c>
      <c r="C905" s="241" t="str">
        <f>VLOOKUP(B905,Orgenheter!$A$1:$B$214,2,0)</f>
        <v xml:space="preserve">Estetiska ämnen               </v>
      </c>
    </row>
    <row r="906" spans="1:3" ht="15" customHeight="1" x14ac:dyDescent="0.25">
      <c r="A906" s="256" t="s">
        <v>646</v>
      </c>
      <c r="B906" s="241">
        <v>1650</v>
      </c>
      <c r="C906" s="241" t="str">
        <f>VLOOKUP(B906,Orgenheter!$A$1:$B$214,2,0)</f>
        <v xml:space="preserve">Estetiska ämnen               </v>
      </c>
    </row>
    <row r="907" spans="1:3" ht="15" customHeight="1" x14ac:dyDescent="0.25">
      <c r="A907" s="256" t="s">
        <v>647</v>
      </c>
      <c r="B907" s="241">
        <v>1650</v>
      </c>
      <c r="C907" s="241" t="str">
        <f>VLOOKUP(B907,Orgenheter!$A$1:$B$214,2,0)</f>
        <v xml:space="preserve">Estetiska ämnen               </v>
      </c>
    </row>
    <row r="908" spans="1:3" ht="15" customHeight="1" x14ac:dyDescent="0.25">
      <c r="A908" s="265" t="s">
        <v>829</v>
      </c>
      <c r="B908" s="241">
        <v>1650</v>
      </c>
      <c r="C908" s="241" t="str">
        <f>VLOOKUP(B908,Orgenheter!$A$1:$B$214,2,0)</f>
        <v xml:space="preserve">Estetiska ämnen               </v>
      </c>
    </row>
    <row r="909" spans="1:3" ht="12.95" customHeight="1" x14ac:dyDescent="0.25">
      <c r="A909" s="297" t="s">
        <v>1106</v>
      </c>
      <c r="B909" s="247">
        <v>1650</v>
      </c>
      <c r="C909" s="241" t="str">
        <f>VLOOKUP(B909,Orgenheter!$A$1:$B$214,2,0)</f>
        <v xml:space="preserve">Estetiska ämnen               </v>
      </c>
    </row>
    <row r="910" spans="1:3" ht="12.95" customHeight="1" x14ac:dyDescent="0.25">
      <c r="A910" s="396" t="s">
        <v>2049</v>
      </c>
      <c r="B910" s="389">
        <v>1650</v>
      </c>
      <c r="C910" s="241" t="str">
        <f>VLOOKUP(B910,Orgenheter!$A$1:$B$214,2,0)</f>
        <v xml:space="preserve">Estetiska ämnen               </v>
      </c>
    </row>
    <row r="911" spans="1:3" ht="12.95" customHeight="1" x14ac:dyDescent="0.25">
      <c r="A911" s="247" t="s">
        <v>1720</v>
      </c>
      <c r="B911" s="241">
        <v>1650</v>
      </c>
      <c r="C911" s="241" t="str">
        <f>VLOOKUP(B911,Orgenheter!$A$1:$B$214,2,0)</f>
        <v xml:space="preserve">Estetiska ämnen               </v>
      </c>
    </row>
    <row r="912" spans="1:3" ht="12.95" customHeight="1" x14ac:dyDescent="0.25">
      <c r="A912" s="244" t="s">
        <v>1694</v>
      </c>
      <c r="B912" s="241">
        <v>1650</v>
      </c>
      <c r="C912" s="241" t="str">
        <f>VLOOKUP(B912,Orgenheter!$A$1:$B$214,2,0)</f>
        <v xml:space="preserve">Estetiska ämnen               </v>
      </c>
    </row>
    <row r="913" spans="1:3" ht="12.95" customHeight="1" x14ac:dyDescent="0.25">
      <c r="A913" s="244" t="s">
        <v>1693</v>
      </c>
      <c r="B913" s="241">
        <v>1650</v>
      </c>
      <c r="C913" s="241" t="str">
        <f>VLOOKUP(B913,Orgenheter!$A$1:$B$214,2,0)</f>
        <v xml:space="preserve">Estetiska ämnen               </v>
      </c>
    </row>
    <row r="914" spans="1:3" ht="12.95" customHeight="1" x14ac:dyDescent="0.25">
      <c r="A914" s="247" t="s">
        <v>1722</v>
      </c>
      <c r="B914" s="241">
        <v>1650</v>
      </c>
      <c r="C914" s="241" t="str">
        <f>VLOOKUP(B914,Orgenheter!$A$1:$B$214,2,0)</f>
        <v xml:space="preserve">Estetiska ämnen               </v>
      </c>
    </row>
    <row r="915" spans="1:3" ht="12.95" customHeight="1" x14ac:dyDescent="0.25">
      <c r="A915" s="176" t="s">
        <v>2051</v>
      </c>
      <c r="B915" s="388">
        <v>1650</v>
      </c>
      <c r="C915" s="241" t="str">
        <f>VLOOKUP(B915,Orgenheter!$A$1:$B$214,2,0)</f>
        <v xml:space="preserve">Estetiska ämnen               </v>
      </c>
    </row>
    <row r="916" spans="1:3" ht="12.95" customHeight="1" x14ac:dyDescent="0.25">
      <c r="A916" s="222" t="s">
        <v>1810</v>
      </c>
      <c r="B916" s="241">
        <v>1650</v>
      </c>
      <c r="C916" s="241" t="str">
        <f>VLOOKUP(B916,Orgenheter!$A$1:$B$214,2,0)</f>
        <v xml:space="preserve">Estetiska ämnen               </v>
      </c>
    </row>
    <row r="917" spans="1:3" ht="12.95" customHeight="1" x14ac:dyDescent="0.25">
      <c r="A917" s="247" t="s">
        <v>1821</v>
      </c>
      <c r="B917" s="241">
        <v>1650</v>
      </c>
      <c r="C917" s="241" t="str">
        <f>VLOOKUP(B917,Orgenheter!$A$1:$B$214,2,0)</f>
        <v xml:space="preserve">Estetiska ämnen               </v>
      </c>
    </row>
    <row r="918" spans="1:3" ht="15" customHeight="1" x14ac:dyDescent="0.25">
      <c r="A918" s="293" t="s">
        <v>2030</v>
      </c>
      <c r="B918" s="241">
        <v>1650</v>
      </c>
      <c r="C918" s="241" t="str">
        <f>VLOOKUP(B918,Orgenheter!$A$1:$B$214,2,0)</f>
        <v xml:space="preserve">Estetiska ämnen               </v>
      </c>
    </row>
    <row r="919" spans="1:3" ht="15" customHeight="1" x14ac:dyDescent="0.25">
      <c r="A919" s="408" t="s">
        <v>2094</v>
      </c>
      <c r="B919" s="409">
        <v>1650</v>
      </c>
      <c r="C919" s="241" t="str">
        <f>VLOOKUP(B919,Orgenheter!$A$1:$B$214,2,0)</f>
        <v xml:space="preserve">Estetiska ämnen               </v>
      </c>
    </row>
    <row r="920" spans="1:3" ht="15" customHeight="1" x14ac:dyDescent="0.25">
      <c r="A920" s="491" t="s">
        <v>2164</v>
      </c>
      <c r="B920" s="492">
        <v>1650</v>
      </c>
      <c r="C920" s="241" t="str">
        <f>VLOOKUP(B920,Orgenheter!$A$1:$B$214,2,0)</f>
        <v xml:space="preserve">Estetiska ämnen               </v>
      </c>
    </row>
    <row r="921" spans="1:3" ht="15" customHeight="1" x14ac:dyDescent="0.25">
      <c r="A921" s="491" t="s">
        <v>2270</v>
      </c>
      <c r="B921" s="492">
        <v>1650</v>
      </c>
      <c r="C921" s="241" t="str">
        <f>VLOOKUP(B921,Orgenheter!$A$1:$B$214,2,0)</f>
        <v xml:space="preserve">Estetiska ämnen               </v>
      </c>
    </row>
    <row r="922" spans="1:3" ht="15" customHeight="1" x14ac:dyDescent="0.25">
      <c r="A922" s="491" t="s">
        <v>2271</v>
      </c>
      <c r="B922" s="492">
        <v>1650</v>
      </c>
      <c r="C922" s="241" t="str">
        <f>VLOOKUP(B922,Orgenheter!$A$1:$B$214,2,0)</f>
        <v xml:space="preserve">Estetiska ämnen               </v>
      </c>
    </row>
    <row r="923" spans="1:3" ht="15" customHeight="1" x14ac:dyDescent="0.25">
      <c r="A923" s="491" t="s">
        <v>2272</v>
      </c>
      <c r="B923" s="492">
        <v>1650</v>
      </c>
      <c r="C923" s="241" t="str">
        <f>VLOOKUP(B923,Orgenheter!$A$1:$B$214,2,0)</f>
        <v xml:space="preserve">Estetiska ämnen               </v>
      </c>
    </row>
    <row r="924" spans="1:3" ht="15" customHeight="1" x14ac:dyDescent="0.25">
      <c r="A924" s="265" t="s">
        <v>868</v>
      </c>
      <c r="B924" s="241">
        <v>1620</v>
      </c>
      <c r="C924" s="241" t="str">
        <f>VLOOKUP(B924,Orgenheter!$A$1:$B$214,2,0)</f>
        <v>Inst för språkstudier</v>
      </c>
    </row>
    <row r="925" spans="1:3" ht="15" customHeight="1" x14ac:dyDescent="0.25">
      <c r="A925" s="265" t="s">
        <v>869</v>
      </c>
      <c r="B925" s="241">
        <v>1620</v>
      </c>
      <c r="C925" s="241" t="str">
        <f>VLOOKUP(B925,Orgenheter!$A$1:$B$214,2,0)</f>
        <v>Inst för språkstudier</v>
      </c>
    </row>
    <row r="926" spans="1:3" ht="15" customHeight="1" x14ac:dyDescent="0.25">
      <c r="A926" s="265" t="s">
        <v>1029</v>
      </c>
      <c r="B926" s="241">
        <v>1620</v>
      </c>
      <c r="C926" s="241" t="str">
        <f>VLOOKUP(B926,Orgenheter!$A$1:$B$214,2,0)</f>
        <v>Inst för språkstudier</v>
      </c>
    </row>
    <row r="927" spans="1:3" ht="12.95" customHeight="1" x14ac:dyDescent="0.25">
      <c r="A927" s="241" t="s">
        <v>1661</v>
      </c>
      <c r="B927" s="241">
        <v>1620</v>
      </c>
      <c r="C927" s="241" t="str">
        <f>VLOOKUP(B927,Orgenheter!$A$1:$B$214,2,0)</f>
        <v>Inst för språkstudier</v>
      </c>
    </row>
    <row r="928" spans="1:3" ht="12.95" customHeight="1" x14ac:dyDescent="0.25">
      <c r="A928" s="222" t="s">
        <v>1841</v>
      </c>
      <c r="B928" s="241">
        <v>1620</v>
      </c>
      <c r="C928" s="241" t="str">
        <f>VLOOKUP(B928,Orgenheter!$A$1:$B$214,2,0)</f>
        <v>Inst för språkstudier</v>
      </c>
    </row>
    <row r="929" spans="1:3" ht="12.95" customHeight="1" x14ac:dyDescent="0.25">
      <c r="A929" s="222" t="s">
        <v>2075</v>
      </c>
      <c r="B929" s="409">
        <v>1620</v>
      </c>
      <c r="C929" s="241" t="str">
        <f>VLOOKUP(B929,Orgenheter!$A$1:$B$214,2,0)</f>
        <v>Inst för språkstudier</v>
      </c>
    </row>
    <row r="930" spans="1:3" ht="12.95" customHeight="1" x14ac:dyDescent="0.25">
      <c r="A930" s="222" t="s">
        <v>2064</v>
      </c>
      <c r="B930" s="241">
        <v>1620</v>
      </c>
      <c r="C930" s="241" t="str">
        <f>VLOOKUP(B930,Orgenheter!$A$1:$B$214,2,0)</f>
        <v>Inst för språkstudier</v>
      </c>
    </row>
    <row r="931" spans="1:3" ht="12.95" customHeight="1" x14ac:dyDescent="0.25">
      <c r="A931" s="222" t="s">
        <v>2296</v>
      </c>
      <c r="B931" s="492">
        <v>1620</v>
      </c>
      <c r="C931" s="241" t="str">
        <f>VLOOKUP(B931,Orgenheter!$A$1:$B$214,2,0)</f>
        <v>Inst för språkstudier</v>
      </c>
    </row>
    <row r="932" spans="1:3" ht="15" customHeight="1" x14ac:dyDescent="0.25">
      <c r="A932" s="265" t="s">
        <v>1498</v>
      </c>
      <c r="B932" s="241">
        <v>5740</v>
      </c>
      <c r="C932" s="241" t="str">
        <f>VLOOKUP(B932,Orgenheter!$A$1:$B$214,2,0)</f>
        <v>NMD</v>
      </c>
    </row>
    <row r="933" spans="1:3" ht="15" customHeight="1" x14ac:dyDescent="0.25">
      <c r="A933" s="265" t="s">
        <v>1510</v>
      </c>
      <c r="B933" s="241">
        <v>2193</v>
      </c>
      <c r="C933" s="241" t="str">
        <f>VLOOKUP(B933,Orgenheter!$A$1:$B$214,2,0)</f>
        <v xml:space="preserve">TUV </v>
      </c>
    </row>
    <row r="934" spans="1:3" ht="15" customHeight="1" x14ac:dyDescent="0.25">
      <c r="A934" s="265" t="s">
        <v>1511</v>
      </c>
      <c r="B934" s="241">
        <v>2193</v>
      </c>
      <c r="C934" s="241" t="str">
        <f>VLOOKUP(B934,Orgenheter!$A$1:$B$214,2,0)</f>
        <v xml:space="preserve">TUV </v>
      </c>
    </row>
    <row r="935" spans="1:3" ht="15" customHeight="1" x14ac:dyDescent="0.25">
      <c r="A935" s="265" t="s">
        <v>1512</v>
      </c>
      <c r="B935" s="241">
        <v>1650</v>
      </c>
      <c r="C935" s="241" t="str">
        <f>VLOOKUP(B935,Orgenheter!$A$1:$B$214,2,0)</f>
        <v xml:space="preserve">Estetiska ämnen               </v>
      </c>
    </row>
    <row r="936" spans="1:3" ht="15" customHeight="1" x14ac:dyDescent="0.25">
      <c r="A936" s="265" t="s">
        <v>1513</v>
      </c>
      <c r="B936" s="241">
        <v>2180</v>
      </c>
      <c r="C936" s="241" t="str">
        <f>VLOOKUP(B936,Orgenheter!$A$1:$B$214,2,0)</f>
        <v xml:space="preserve">Pedagogik                     </v>
      </c>
    </row>
    <row r="937" spans="1:3" ht="15" customHeight="1" x14ac:dyDescent="0.25">
      <c r="A937" s="265" t="s">
        <v>1497</v>
      </c>
      <c r="B937" s="241">
        <v>2180</v>
      </c>
      <c r="C937" s="241" t="str">
        <f>VLOOKUP(B937,Orgenheter!$A$1:$B$214,2,0)</f>
        <v xml:space="preserve">Pedagogik                     </v>
      </c>
    </row>
    <row r="938" spans="1:3" ht="15" customHeight="1" x14ac:dyDescent="0.25">
      <c r="A938" s="265" t="s">
        <v>1514</v>
      </c>
      <c r="B938" s="241">
        <v>2180</v>
      </c>
      <c r="C938" s="241" t="str">
        <f>VLOOKUP(B938,Orgenheter!$A$1:$B$214,2,0)</f>
        <v xml:space="preserve">Pedagogik                     </v>
      </c>
    </row>
    <row r="939" spans="1:3" ht="15" customHeight="1" x14ac:dyDescent="0.25">
      <c r="A939" s="241" t="s">
        <v>63</v>
      </c>
      <c r="B939" s="241">
        <v>2193</v>
      </c>
      <c r="C939" s="241" t="str">
        <f>VLOOKUP(B939,Orgenheter!$A$1:$B$214,2,0)</f>
        <v xml:space="preserve">TUV </v>
      </c>
    </row>
    <row r="940" spans="1:3" ht="15" customHeight="1" x14ac:dyDescent="0.25">
      <c r="A940" s="241" t="s">
        <v>64</v>
      </c>
      <c r="B940" s="241">
        <v>1650</v>
      </c>
      <c r="C940" s="241" t="str">
        <f>VLOOKUP(B940,Orgenheter!$A$1:$B$214,2,0)</f>
        <v xml:space="preserve">Estetiska ämnen               </v>
      </c>
    </row>
    <row r="941" spans="1:3" ht="15" customHeight="1" x14ac:dyDescent="0.25">
      <c r="A941" s="247" t="s">
        <v>397</v>
      </c>
      <c r="B941" s="247">
        <v>1650</v>
      </c>
      <c r="C941" s="241" t="str">
        <f>VLOOKUP(B941,Orgenheter!$A$1:$B$214,2,0)</f>
        <v xml:space="preserve">Estetiska ämnen               </v>
      </c>
    </row>
    <row r="942" spans="1:3" ht="15" customHeight="1" x14ac:dyDescent="0.25">
      <c r="A942" s="298" t="s">
        <v>371</v>
      </c>
      <c r="B942" s="247">
        <v>2193</v>
      </c>
      <c r="C942" s="241" t="str">
        <f>VLOOKUP(B942,Orgenheter!$A$1:$B$214,2,0)</f>
        <v xml:space="preserve">TUV </v>
      </c>
    </row>
    <row r="943" spans="1:3" ht="15" customHeight="1" x14ac:dyDescent="0.25">
      <c r="A943" s="241" t="s">
        <v>331</v>
      </c>
      <c r="B943" s="241">
        <v>6000</v>
      </c>
      <c r="C943" s="241" t="str">
        <f>VLOOKUP(B943,Orgenheter!$A$1:$B$214,2,0)</f>
        <v xml:space="preserve">Lärarutbildningarna gem       </v>
      </c>
    </row>
    <row r="944" spans="1:3" ht="15" customHeight="1" x14ac:dyDescent="0.25">
      <c r="A944" s="241"/>
      <c r="B944" s="241"/>
      <c r="C944" s="241">
        <f>VLOOKUP(B944,Orgenheter!$A$1:$B$214,2,0)</f>
        <v>0</v>
      </c>
    </row>
    <row r="945" spans="1:3" ht="15" customHeight="1" x14ac:dyDescent="0.25">
      <c r="A945" s="241"/>
      <c r="B945" s="241"/>
      <c r="C945" s="241">
        <f>VLOOKUP(B945,Orgenheter!$A$1:$B$214,2,0)</f>
        <v>0</v>
      </c>
    </row>
    <row r="946" spans="1:3" ht="15" customHeight="1" x14ac:dyDescent="0.25">
      <c r="A946" s="241"/>
      <c r="B946" s="241"/>
      <c r="C946" s="241">
        <f>VLOOKUP(B946,Orgenheter!$A$1:$B$214,2,0)</f>
        <v>0</v>
      </c>
    </row>
    <row r="947" spans="1:3" ht="15" customHeight="1" x14ac:dyDescent="0.25">
      <c r="A947" s="241"/>
      <c r="B947" s="241"/>
      <c r="C947" s="241">
        <f>VLOOKUP(B947,Orgenheter!$A$1:$B$214,2,0)</f>
        <v>0</v>
      </c>
    </row>
    <row r="948" spans="1:3" ht="15" customHeight="1" x14ac:dyDescent="0.25">
      <c r="A948" s="241"/>
      <c r="B948" s="241"/>
      <c r="C948" s="241">
        <f>VLOOKUP(B948,Orgenheter!$A$1:$B$214,2,0)</f>
        <v>0</v>
      </c>
    </row>
    <row r="949" spans="1:3" ht="15" customHeight="1" x14ac:dyDescent="0.25">
      <c r="A949" s="241"/>
      <c r="B949" s="241"/>
      <c r="C949" s="241">
        <f>VLOOKUP(B949,Orgenheter!$A$1:$B$214,2,0)</f>
        <v>0</v>
      </c>
    </row>
    <row r="950" spans="1:3" ht="15" customHeight="1" x14ac:dyDescent="0.25">
      <c r="A950" s="241"/>
      <c r="B950" s="241"/>
      <c r="C950" s="241">
        <f>VLOOKUP(B950,Orgenheter!$A$1:$B$214,2,0)</f>
        <v>0</v>
      </c>
    </row>
    <row r="951" spans="1:3" ht="15" customHeight="1" x14ac:dyDescent="0.25">
      <c r="A951" s="241"/>
      <c r="B951" s="241"/>
      <c r="C951" s="241">
        <f>VLOOKUP(B951,Orgenheter!$A$1:$B$214,2,0)</f>
        <v>0</v>
      </c>
    </row>
    <row r="952" spans="1:3" ht="15" customHeight="1" x14ac:dyDescent="0.25">
      <c r="A952" s="241"/>
      <c r="B952" s="241"/>
      <c r="C952" s="241">
        <f>VLOOKUP(B952,Orgenheter!$A$1:$B$214,2,0)</f>
        <v>0</v>
      </c>
    </row>
    <row r="953" spans="1:3" ht="15" customHeight="1" x14ac:dyDescent="0.25">
      <c r="A953" s="241"/>
      <c r="B953" s="241"/>
      <c r="C953" s="241">
        <f>VLOOKUP(B953,Orgenheter!$A$1:$B$214,2,0)</f>
        <v>0</v>
      </c>
    </row>
    <row r="954" spans="1:3" ht="15" customHeight="1" x14ac:dyDescent="0.25">
      <c r="A954" s="241"/>
      <c r="B954" s="241"/>
      <c r="C954" s="241">
        <f>VLOOKUP(B954,Orgenheter!$A$1:$B$214,2,0)</f>
        <v>0</v>
      </c>
    </row>
    <row r="955" spans="1:3" ht="15" customHeight="1" x14ac:dyDescent="0.25">
      <c r="A955" s="241"/>
      <c r="B955" s="241"/>
      <c r="C955" s="241">
        <f>VLOOKUP(B955,Orgenheter!$A$1:$B$214,2,0)</f>
        <v>0</v>
      </c>
    </row>
    <row r="956" spans="1:3" ht="15" customHeight="1" x14ac:dyDescent="0.25">
      <c r="A956" s="241"/>
      <c r="B956" s="241"/>
      <c r="C956" s="241">
        <f>VLOOKUP(B956,Orgenheter!$A$1:$B$214,2,0)</f>
        <v>0</v>
      </c>
    </row>
    <row r="957" spans="1:3" ht="15" customHeight="1" x14ac:dyDescent="0.25">
      <c r="A957" s="241"/>
      <c r="B957" s="241"/>
      <c r="C957" s="241">
        <f>VLOOKUP(B957,Orgenheter!$A$1:$B$214,2,0)</f>
        <v>0</v>
      </c>
    </row>
    <row r="958" spans="1:3" ht="15" customHeight="1" x14ac:dyDescent="0.25">
      <c r="A958" s="241"/>
      <c r="B958" s="241"/>
      <c r="C958" s="241">
        <f>VLOOKUP(B958,Orgenheter!$A$1:$B$214,2,0)</f>
        <v>0</v>
      </c>
    </row>
    <row r="959" spans="1:3" ht="15" customHeight="1" x14ac:dyDescent="0.25">
      <c r="A959" s="241"/>
      <c r="B959" s="241"/>
      <c r="C959" s="241">
        <f>VLOOKUP(B959,Orgenheter!$A$1:$B$214,2,0)</f>
        <v>0</v>
      </c>
    </row>
    <row r="960" spans="1:3" ht="15" customHeight="1" x14ac:dyDescent="0.25">
      <c r="A960" s="241"/>
      <c r="B960" s="241"/>
      <c r="C960" s="241">
        <f>VLOOKUP(B960,Orgenheter!$A$1:$B$214,2,0)</f>
        <v>0</v>
      </c>
    </row>
    <row r="961" spans="1:3" ht="15" customHeight="1" x14ac:dyDescent="0.25">
      <c r="A961" s="241"/>
      <c r="B961" s="241"/>
      <c r="C961" s="241">
        <f>VLOOKUP(B961,Orgenheter!$A$1:$B$214,2,0)</f>
        <v>0</v>
      </c>
    </row>
    <row r="962" spans="1:3" ht="15" customHeight="1" x14ac:dyDescent="0.25">
      <c r="A962" s="241"/>
      <c r="B962" s="241"/>
      <c r="C962" s="241">
        <f>VLOOKUP(B962,Orgenheter!$A$1:$B$214,2,0)</f>
        <v>0</v>
      </c>
    </row>
    <row r="963" spans="1:3" ht="15" customHeight="1" x14ac:dyDescent="0.25">
      <c r="A963" s="241"/>
      <c r="B963" s="241"/>
      <c r="C963" s="241">
        <f>VLOOKUP(B963,Orgenheter!$A$1:$B$214,2,0)</f>
        <v>0</v>
      </c>
    </row>
    <row r="964" spans="1:3" ht="15" customHeight="1" x14ac:dyDescent="0.25">
      <c r="A964" s="241"/>
      <c r="B964" s="241"/>
      <c r="C964" s="241">
        <f>VLOOKUP(B964,Orgenheter!$A$1:$B$214,2,0)</f>
        <v>0</v>
      </c>
    </row>
    <row r="965" spans="1:3" ht="15" customHeight="1" x14ac:dyDescent="0.25">
      <c r="A965" s="241"/>
      <c r="B965" s="241"/>
      <c r="C965" s="241">
        <f>VLOOKUP(B965,Orgenheter!$A$1:$B$214,2,0)</f>
        <v>0</v>
      </c>
    </row>
    <row r="966" spans="1:3" ht="15" customHeight="1" x14ac:dyDescent="0.25">
      <c r="A966" s="241"/>
      <c r="B966" s="241"/>
      <c r="C966" s="241">
        <f>VLOOKUP(B966,Orgenheter!$A$1:$B$214,2,0)</f>
        <v>0</v>
      </c>
    </row>
    <row r="967" spans="1:3" ht="15" customHeight="1" x14ac:dyDescent="0.25">
      <c r="A967" s="241"/>
      <c r="B967" s="241"/>
      <c r="C967" s="241">
        <f>VLOOKUP(B967,Orgenheter!$A$1:$B$214,2,0)</f>
        <v>0</v>
      </c>
    </row>
    <row r="968" spans="1:3" ht="15" customHeight="1" x14ac:dyDescent="0.25">
      <c r="A968" s="241"/>
      <c r="B968" s="241"/>
      <c r="C968" s="241">
        <f>VLOOKUP(B968,Orgenheter!$A$1:$B$214,2,0)</f>
        <v>0</v>
      </c>
    </row>
    <row r="969" spans="1:3" ht="15" customHeight="1" x14ac:dyDescent="0.25">
      <c r="A969" s="241"/>
      <c r="B969" s="241"/>
      <c r="C969" s="241">
        <f>VLOOKUP(B969,Orgenheter!$A$1:$B$214,2,0)</f>
        <v>0</v>
      </c>
    </row>
    <row r="970" spans="1:3" ht="15" customHeight="1" x14ac:dyDescent="0.25">
      <c r="A970" s="241"/>
      <c r="B970" s="241"/>
      <c r="C970" s="241">
        <f>VLOOKUP(B970,Orgenheter!$A$1:$B$214,2,0)</f>
        <v>0</v>
      </c>
    </row>
    <row r="971" spans="1:3" ht="15" customHeight="1" x14ac:dyDescent="0.25">
      <c r="A971" s="241"/>
      <c r="B971" s="241"/>
      <c r="C971" s="241">
        <f>VLOOKUP(B971,Orgenheter!$A$1:$B$214,2,0)</f>
        <v>0</v>
      </c>
    </row>
    <row r="972" spans="1:3" ht="15" customHeight="1" x14ac:dyDescent="0.25">
      <c r="A972" s="241"/>
      <c r="B972" s="241"/>
      <c r="C972" s="241">
        <f>VLOOKUP(B972,Orgenheter!$A$1:$B$214,2,0)</f>
        <v>0</v>
      </c>
    </row>
    <row r="973" spans="1:3" ht="15" customHeight="1" x14ac:dyDescent="0.25">
      <c r="A973" s="241"/>
      <c r="B973" s="241"/>
      <c r="C973" s="241">
        <f>VLOOKUP(B973,Orgenheter!$A$1:$B$214,2,0)</f>
        <v>0</v>
      </c>
    </row>
    <row r="974" spans="1:3" ht="15" customHeight="1" x14ac:dyDescent="0.25">
      <c r="A974" s="241"/>
      <c r="B974" s="241"/>
      <c r="C974" s="241">
        <f>VLOOKUP(B974,Orgenheter!$A$1:$B$214,2,0)</f>
        <v>0</v>
      </c>
    </row>
    <row r="975" spans="1:3" ht="15" customHeight="1" x14ac:dyDescent="0.25">
      <c r="A975" s="241"/>
      <c r="B975" s="241"/>
      <c r="C975" s="241">
        <f>VLOOKUP(B975,Orgenheter!$A$1:$B$214,2,0)</f>
        <v>0</v>
      </c>
    </row>
    <row r="976" spans="1:3" ht="15" customHeight="1" x14ac:dyDescent="0.25">
      <c r="A976" s="241"/>
      <c r="B976" s="241"/>
      <c r="C976" s="241">
        <f>VLOOKUP(B976,Orgenheter!$A$1:$B$214,2,0)</f>
        <v>0</v>
      </c>
    </row>
    <row r="977" spans="1:3" ht="15" customHeight="1" x14ac:dyDescent="0.25">
      <c r="A977" s="241"/>
      <c r="B977" s="241"/>
      <c r="C977" s="241">
        <f>VLOOKUP(B977,Orgenheter!$A$1:$B$214,2,0)</f>
        <v>0</v>
      </c>
    </row>
    <row r="978" spans="1:3" ht="15" customHeight="1" x14ac:dyDescent="0.25">
      <c r="A978" s="241"/>
      <c r="B978" s="241"/>
      <c r="C978" s="241">
        <f>VLOOKUP(B978,Orgenheter!$A$1:$B$214,2,0)</f>
        <v>0</v>
      </c>
    </row>
    <row r="979" spans="1:3" ht="15" customHeight="1" x14ac:dyDescent="0.25">
      <c r="A979" s="241"/>
      <c r="B979" s="241"/>
      <c r="C979" s="241">
        <f>VLOOKUP(B979,Orgenheter!$A$1:$B$214,2,0)</f>
        <v>0</v>
      </c>
    </row>
    <row r="980" spans="1:3" ht="15" customHeight="1" x14ac:dyDescent="0.25">
      <c r="A980" s="241"/>
      <c r="B980" s="241"/>
      <c r="C980" s="241">
        <f>VLOOKUP(B980,Orgenheter!$A$1:$B$214,2,0)</f>
        <v>0</v>
      </c>
    </row>
    <row r="981" spans="1:3" ht="15" customHeight="1" x14ac:dyDescent="0.25">
      <c r="A981" s="241"/>
      <c r="B981" s="241"/>
      <c r="C981" s="241">
        <f>VLOOKUP(B981,Orgenheter!$A$1:$B$214,2,0)</f>
        <v>0</v>
      </c>
    </row>
    <row r="982" spans="1:3" ht="15" customHeight="1" x14ac:dyDescent="0.25">
      <c r="A982" s="241"/>
      <c r="B982" s="241"/>
      <c r="C982" s="241">
        <f>VLOOKUP(B982,Orgenheter!$A$1:$B$214,2,0)</f>
        <v>0</v>
      </c>
    </row>
    <row r="983" spans="1:3" ht="15" customHeight="1" x14ac:dyDescent="0.25">
      <c r="A983" s="241"/>
      <c r="B983" s="241"/>
      <c r="C983" s="241">
        <f>VLOOKUP(B983,Orgenheter!$A$1:$B$214,2,0)</f>
        <v>0</v>
      </c>
    </row>
    <row r="984" spans="1:3" ht="15" customHeight="1" x14ac:dyDescent="0.25">
      <c r="A984" s="241"/>
      <c r="B984" s="241"/>
      <c r="C984" s="241">
        <f>VLOOKUP(B984,Orgenheter!$A$1:$B$214,2,0)</f>
        <v>0</v>
      </c>
    </row>
    <row r="985" spans="1:3" ht="15" customHeight="1" x14ac:dyDescent="0.25">
      <c r="A985" s="241"/>
      <c r="B985" s="241"/>
      <c r="C985" s="241">
        <f>VLOOKUP(B985,Orgenheter!$A$1:$B$214,2,0)</f>
        <v>0</v>
      </c>
    </row>
    <row r="986" spans="1:3" ht="15" customHeight="1" x14ac:dyDescent="0.25">
      <c r="A986" s="241"/>
      <c r="B986" s="241"/>
      <c r="C986" s="241">
        <f>VLOOKUP(B986,Orgenheter!$A$1:$B$214,2,0)</f>
        <v>0</v>
      </c>
    </row>
    <row r="987" spans="1:3" ht="15" customHeight="1" x14ac:dyDescent="0.25">
      <c r="A987" s="241"/>
      <c r="B987" s="241"/>
      <c r="C987" s="241">
        <f>VLOOKUP(B987,Orgenheter!$A$1:$B$214,2,0)</f>
        <v>0</v>
      </c>
    </row>
    <row r="988" spans="1:3" ht="15" customHeight="1" x14ac:dyDescent="0.25">
      <c r="A988" s="241"/>
      <c r="B988" s="241"/>
      <c r="C988" s="241">
        <f>VLOOKUP(B988,Orgenheter!$A$1:$B$214,2,0)</f>
        <v>0</v>
      </c>
    </row>
    <row r="989" spans="1:3" ht="15" customHeight="1" x14ac:dyDescent="0.25">
      <c r="A989" s="241"/>
      <c r="B989" s="241"/>
      <c r="C989" s="241">
        <f>VLOOKUP(B989,Orgenheter!$A$1:$B$214,2,0)</f>
        <v>0</v>
      </c>
    </row>
    <row r="990" spans="1:3" ht="15" customHeight="1" x14ac:dyDescent="0.25">
      <c r="A990" s="241"/>
      <c r="B990" s="241"/>
      <c r="C990" s="241">
        <f>VLOOKUP(B990,Orgenheter!$A$1:$B$214,2,0)</f>
        <v>0</v>
      </c>
    </row>
    <row r="991" spans="1:3" ht="15" customHeight="1" x14ac:dyDescent="0.25">
      <c r="A991" s="241"/>
      <c r="B991" s="241"/>
      <c r="C991" s="241">
        <f>VLOOKUP(B991,Orgenheter!$A$1:$B$214,2,0)</f>
        <v>0</v>
      </c>
    </row>
    <row r="992" spans="1:3" ht="15" customHeight="1" x14ac:dyDescent="0.25">
      <c r="A992" s="241"/>
      <c r="B992" s="241"/>
      <c r="C992" s="241">
        <f>VLOOKUP(B992,Orgenheter!$A$1:$B$214,2,0)</f>
        <v>0</v>
      </c>
    </row>
    <row r="993" spans="1:3" ht="15" customHeight="1" x14ac:dyDescent="0.25">
      <c r="A993" s="241"/>
      <c r="B993" s="241"/>
      <c r="C993" s="241">
        <f>VLOOKUP(B993,Orgenheter!$A$1:$B$214,2,0)</f>
        <v>0</v>
      </c>
    </row>
    <row r="994" spans="1:3" ht="15" customHeight="1" x14ac:dyDescent="0.25">
      <c r="A994" s="241"/>
      <c r="B994" s="241"/>
      <c r="C994" s="241">
        <f>VLOOKUP(B994,Orgenheter!$A$1:$B$214,2,0)</f>
        <v>0</v>
      </c>
    </row>
    <row r="995" spans="1:3" ht="15" customHeight="1" x14ac:dyDescent="0.25">
      <c r="A995" s="241"/>
      <c r="B995" s="241"/>
      <c r="C995" s="241">
        <f>VLOOKUP(B995,Orgenheter!$A$1:$B$214,2,0)</f>
        <v>0</v>
      </c>
    </row>
    <row r="996" spans="1:3" ht="15" customHeight="1" x14ac:dyDescent="0.25">
      <c r="A996" s="241"/>
      <c r="B996" s="241"/>
      <c r="C996" s="241">
        <f>VLOOKUP(B996,Orgenheter!$A$1:$B$214,2,0)</f>
        <v>0</v>
      </c>
    </row>
    <row r="997" spans="1:3" ht="15" customHeight="1" x14ac:dyDescent="0.25">
      <c r="A997" s="241"/>
      <c r="B997" s="241"/>
      <c r="C997" s="241">
        <f>VLOOKUP(B997,Orgenheter!$A$1:$B$214,2,0)</f>
        <v>0</v>
      </c>
    </row>
    <row r="998" spans="1:3" ht="15" customHeight="1" x14ac:dyDescent="0.25">
      <c r="A998" s="241"/>
      <c r="B998" s="241"/>
      <c r="C998" s="241">
        <f>VLOOKUP(B998,Orgenheter!$A$1:$B$214,2,0)</f>
        <v>0</v>
      </c>
    </row>
    <row r="999" spans="1:3" ht="15" customHeight="1" x14ac:dyDescent="0.25">
      <c r="A999" s="241"/>
      <c r="B999" s="241"/>
      <c r="C999" s="241">
        <f>VLOOKUP(B999,Orgenheter!$A$1:$B$214,2,0)</f>
        <v>0</v>
      </c>
    </row>
    <row r="1000" spans="1:3" ht="15" customHeight="1" x14ac:dyDescent="0.25">
      <c r="A1000" s="241"/>
      <c r="B1000" s="241"/>
      <c r="C1000" s="241">
        <f>VLOOKUP(B1000,Orgenheter!$A$1:$B$214,2,0)</f>
        <v>0</v>
      </c>
    </row>
    <row r="1001" spans="1:3" ht="15" customHeight="1" x14ac:dyDescent="0.25">
      <c r="A1001" s="241"/>
      <c r="B1001" s="241"/>
      <c r="C1001" s="241">
        <f>VLOOKUP(B1001,Orgenheter!$A$1:$B$214,2,0)</f>
        <v>0</v>
      </c>
    </row>
    <row r="1002" spans="1:3" ht="15" customHeight="1" x14ac:dyDescent="0.25">
      <c r="A1002" s="241"/>
      <c r="B1002" s="241"/>
      <c r="C1002" s="241">
        <f>VLOOKUP(B1002,Orgenheter!$A$1:$B$214,2,0)</f>
        <v>0</v>
      </c>
    </row>
    <row r="1003" spans="1:3" ht="15" customHeight="1" x14ac:dyDescent="0.25">
      <c r="A1003" s="241"/>
      <c r="B1003" s="241"/>
      <c r="C1003" s="241">
        <f>VLOOKUP(B1003,Orgenheter!$A$1:$B$214,2,0)</f>
        <v>0</v>
      </c>
    </row>
    <row r="1004" spans="1:3" ht="15" customHeight="1" x14ac:dyDescent="0.25">
      <c r="A1004" s="241"/>
      <c r="B1004" s="241"/>
      <c r="C1004" s="241">
        <f>VLOOKUP(B1004,Orgenheter!$A$1:$B$214,2,0)</f>
        <v>0</v>
      </c>
    </row>
    <row r="1005" spans="1:3" ht="15" customHeight="1" x14ac:dyDescent="0.25">
      <c r="A1005" s="241"/>
      <c r="B1005" s="241"/>
      <c r="C1005" s="241">
        <f>VLOOKUP(B1005,Orgenheter!$A$1:$B$214,2,0)</f>
        <v>0</v>
      </c>
    </row>
    <row r="1006" spans="1:3" ht="15" customHeight="1" x14ac:dyDescent="0.25">
      <c r="A1006" s="241"/>
      <c r="B1006" s="241"/>
      <c r="C1006" s="241">
        <f>VLOOKUP(B1006,Orgenheter!$A$1:$B$214,2,0)</f>
        <v>0</v>
      </c>
    </row>
    <row r="1007" spans="1:3" ht="15" customHeight="1" x14ac:dyDescent="0.25">
      <c r="A1007" s="241"/>
      <c r="B1007" s="241"/>
      <c r="C1007" s="241">
        <f>VLOOKUP(B1007,Orgenheter!$A$1:$B$214,2,0)</f>
        <v>0</v>
      </c>
    </row>
    <row r="1008" spans="1:3" ht="15" customHeight="1" x14ac:dyDescent="0.25">
      <c r="A1008" s="241"/>
      <c r="B1008" s="241"/>
      <c r="C1008" s="241">
        <f>VLOOKUP(B1008,Orgenheter!$A$1:$B$214,2,0)</f>
        <v>0</v>
      </c>
    </row>
    <row r="1009" spans="1:3" ht="15" customHeight="1" x14ac:dyDescent="0.25">
      <c r="A1009" s="241"/>
      <c r="B1009" s="241"/>
      <c r="C1009" s="241">
        <f>VLOOKUP(B1009,Orgenheter!$A$1:$B$214,2,0)</f>
        <v>0</v>
      </c>
    </row>
    <row r="1010" spans="1:3" ht="15" customHeight="1" x14ac:dyDescent="0.25">
      <c r="A1010" s="241"/>
      <c r="B1010" s="241"/>
      <c r="C1010" s="241">
        <f>VLOOKUP(B1010,Orgenheter!$A$1:$B$214,2,0)</f>
        <v>0</v>
      </c>
    </row>
    <row r="1011" spans="1:3" ht="15" customHeight="1" x14ac:dyDescent="0.25">
      <c r="A1011" s="241"/>
      <c r="B1011" s="241"/>
      <c r="C1011" s="241">
        <f>VLOOKUP(B1011,Orgenheter!$A$1:$B$214,2,0)</f>
        <v>0</v>
      </c>
    </row>
    <row r="1012" spans="1:3" ht="15" customHeight="1" x14ac:dyDescent="0.25">
      <c r="A1012" s="241"/>
      <c r="B1012" s="241"/>
      <c r="C1012" s="241">
        <f>VLOOKUP(B1012,Orgenheter!$A$1:$B$214,2,0)</f>
        <v>0</v>
      </c>
    </row>
    <row r="1013" spans="1:3" ht="15" customHeight="1" x14ac:dyDescent="0.25">
      <c r="A1013" s="241"/>
      <c r="B1013" s="241"/>
      <c r="C1013" s="241">
        <f>VLOOKUP(B1013,Orgenheter!$A$1:$B$214,2,0)</f>
        <v>0</v>
      </c>
    </row>
    <row r="1014" spans="1:3" ht="15" customHeight="1" x14ac:dyDescent="0.25">
      <c r="A1014" s="241"/>
      <c r="B1014" s="241"/>
      <c r="C1014" s="241">
        <f>VLOOKUP(B1014,Orgenheter!$A$1:$B$214,2,0)</f>
        <v>0</v>
      </c>
    </row>
    <row r="1015" spans="1:3" ht="15" customHeight="1" x14ac:dyDescent="0.25">
      <c r="A1015" s="241"/>
      <c r="B1015" s="241"/>
      <c r="C1015" s="241">
        <f>VLOOKUP(B1015,Orgenheter!$A$1:$B$214,2,0)</f>
        <v>0</v>
      </c>
    </row>
    <row r="1016" spans="1:3" ht="15" customHeight="1" x14ac:dyDescent="0.25">
      <c r="A1016" s="241"/>
      <c r="B1016" s="241"/>
      <c r="C1016" s="241">
        <f>VLOOKUP(B1016,Orgenheter!$A$1:$B$214,2,0)</f>
        <v>0</v>
      </c>
    </row>
    <row r="1017" spans="1:3" ht="15" customHeight="1" x14ac:dyDescent="0.25">
      <c r="A1017" s="241"/>
      <c r="B1017" s="241"/>
      <c r="C1017" s="241">
        <f>VLOOKUP(B1017,Orgenheter!$A$1:$B$214,2,0)</f>
        <v>0</v>
      </c>
    </row>
    <row r="1018" spans="1:3" ht="15" customHeight="1" x14ac:dyDescent="0.25">
      <c r="A1018" s="241"/>
      <c r="B1018" s="241"/>
      <c r="C1018" s="241">
        <f>VLOOKUP(B1018,Orgenheter!$A$1:$B$214,2,0)</f>
        <v>0</v>
      </c>
    </row>
    <row r="1019" spans="1:3" ht="15" customHeight="1" x14ac:dyDescent="0.25">
      <c r="A1019" s="241"/>
      <c r="B1019" s="241"/>
      <c r="C1019" s="241">
        <f>VLOOKUP(B1019,Orgenheter!$A$1:$B$214,2,0)</f>
        <v>0</v>
      </c>
    </row>
    <row r="1020" spans="1:3" ht="15" customHeight="1" x14ac:dyDescent="0.25">
      <c r="A1020" s="241"/>
      <c r="B1020" s="241"/>
      <c r="C1020" s="241">
        <f>VLOOKUP(B1020,Orgenheter!$A$1:$B$214,2,0)</f>
        <v>0</v>
      </c>
    </row>
    <row r="1021" spans="1:3" ht="15" customHeight="1" x14ac:dyDescent="0.25">
      <c r="A1021" s="241"/>
      <c r="B1021" s="241"/>
      <c r="C1021" s="241">
        <f>VLOOKUP(B1021,Orgenheter!$A$1:$B$214,2,0)</f>
        <v>0</v>
      </c>
    </row>
    <row r="1022" spans="1:3" ht="15" customHeight="1" x14ac:dyDescent="0.25">
      <c r="A1022" s="241"/>
      <c r="B1022" s="241"/>
      <c r="C1022" s="241">
        <f>VLOOKUP(B1022,Orgenheter!$A$1:$B$214,2,0)</f>
        <v>0</v>
      </c>
    </row>
    <row r="1023" spans="1:3" ht="15" customHeight="1" x14ac:dyDescent="0.25">
      <c r="A1023" s="241"/>
      <c r="B1023" s="241"/>
      <c r="C1023" s="241">
        <f>VLOOKUP(B1023,Orgenheter!$A$1:$B$214,2,0)</f>
        <v>0</v>
      </c>
    </row>
    <row r="1024" spans="1:3" ht="15" customHeight="1" x14ac:dyDescent="0.25">
      <c r="A1024" s="241"/>
      <c r="B1024" s="241"/>
      <c r="C1024" s="241">
        <f>VLOOKUP(B1024,Orgenheter!$A$1:$B$214,2,0)</f>
        <v>0</v>
      </c>
    </row>
    <row r="1025" spans="1:3" ht="15" customHeight="1" x14ac:dyDescent="0.25">
      <c r="A1025" s="241"/>
      <c r="B1025" s="241"/>
      <c r="C1025" s="241">
        <f>VLOOKUP(B1025,Orgenheter!$A$1:$B$214,2,0)</f>
        <v>0</v>
      </c>
    </row>
    <row r="1026" spans="1:3" ht="15" customHeight="1" x14ac:dyDescent="0.25">
      <c r="A1026" s="241"/>
      <c r="B1026" s="241"/>
      <c r="C1026" s="241">
        <f>VLOOKUP(B1026,Orgenheter!$A$1:$B$214,2,0)</f>
        <v>0</v>
      </c>
    </row>
    <row r="1027" spans="1:3" ht="15" customHeight="1" x14ac:dyDescent="0.25">
      <c r="A1027" s="241"/>
      <c r="B1027" s="241"/>
      <c r="C1027" s="241">
        <f>VLOOKUP(B1027,Orgenheter!$A$1:$B$214,2,0)</f>
        <v>0</v>
      </c>
    </row>
    <row r="1028" spans="1:3" ht="15" customHeight="1" x14ac:dyDescent="0.25">
      <c r="A1028" s="241"/>
      <c r="B1028" s="241"/>
      <c r="C1028" s="241">
        <f>VLOOKUP(B1028,Orgenheter!$A$1:$B$214,2,0)</f>
        <v>0</v>
      </c>
    </row>
    <row r="1029" spans="1:3" ht="15" customHeight="1" x14ac:dyDescent="0.25">
      <c r="A1029" s="241"/>
      <c r="B1029" s="241"/>
      <c r="C1029" s="241">
        <f>VLOOKUP(B1029,Orgenheter!$A$1:$B$214,2,0)</f>
        <v>0</v>
      </c>
    </row>
    <row r="1030" spans="1:3" ht="15" customHeight="1" x14ac:dyDescent="0.25">
      <c r="A1030" s="241"/>
      <c r="B1030" s="241"/>
      <c r="C1030" s="241">
        <f>VLOOKUP(B1030,Orgenheter!$A$1:$B$214,2,0)</f>
        <v>0</v>
      </c>
    </row>
    <row r="1031" spans="1:3" ht="15" customHeight="1" x14ac:dyDescent="0.25">
      <c r="A1031" s="241"/>
      <c r="B1031" s="241"/>
      <c r="C1031" s="241">
        <f>VLOOKUP(B1031,Orgenheter!$A$1:$B$214,2,0)</f>
        <v>0</v>
      </c>
    </row>
    <row r="1032" spans="1:3" ht="15" customHeight="1" x14ac:dyDescent="0.25">
      <c r="A1032" s="241"/>
      <c r="B1032" s="241"/>
      <c r="C1032" s="241">
        <f>VLOOKUP(B1032,Orgenheter!$A$1:$B$214,2,0)</f>
        <v>0</v>
      </c>
    </row>
    <row r="1033" spans="1:3" ht="15" customHeight="1" x14ac:dyDescent="0.25">
      <c r="A1033" s="241"/>
      <c r="B1033" s="241"/>
      <c r="C1033" s="241">
        <f>VLOOKUP(B1033,Orgenheter!$A$1:$B$214,2,0)</f>
        <v>0</v>
      </c>
    </row>
    <row r="1034" spans="1:3" ht="15" customHeight="1" x14ac:dyDescent="0.25">
      <c r="A1034" s="241"/>
      <c r="B1034" s="241"/>
      <c r="C1034" s="241">
        <f>VLOOKUP(B1034,Orgenheter!$A$1:$B$214,2,0)</f>
        <v>0</v>
      </c>
    </row>
    <row r="1035" spans="1:3" ht="15" customHeight="1" x14ac:dyDescent="0.25">
      <c r="A1035" s="241"/>
      <c r="B1035" s="241"/>
      <c r="C1035" s="241">
        <f>VLOOKUP(B1035,Orgenheter!$A$1:$B$214,2,0)</f>
        <v>0</v>
      </c>
    </row>
    <row r="1036" spans="1:3" ht="15" customHeight="1" x14ac:dyDescent="0.25">
      <c r="A1036" s="241"/>
      <c r="B1036" s="241"/>
      <c r="C1036" s="241">
        <f>VLOOKUP(B1036,Orgenheter!$A$1:$B$214,2,0)</f>
        <v>0</v>
      </c>
    </row>
    <row r="1037" spans="1:3" ht="15" customHeight="1" x14ac:dyDescent="0.25">
      <c r="A1037" s="241"/>
      <c r="B1037" s="241"/>
      <c r="C1037" s="241">
        <f>VLOOKUP(B1037,Orgenheter!$A$1:$B$214,2,0)</f>
        <v>0</v>
      </c>
    </row>
    <row r="1038" spans="1:3" ht="15" customHeight="1" x14ac:dyDescent="0.25">
      <c r="A1038" s="241"/>
      <c r="B1038" s="241"/>
      <c r="C1038" s="241">
        <f>VLOOKUP(B1038,Orgenheter!$A$1:$B$214,2,0)</f>
        <v>0</v>
      </c>
    </row>
    <row r="1039" spans="1:3" ht="15" customHeight="1" x14ac:dyDescent="0.25">
      <c r="A1039" s="241"/>
      <c r="B1039" s="241"/>
      <c r="C1039" s="241">
        <f>VLOOKUP(B1039,Orgenheter!$A$1:$B$214,2,0)</f>
        <v>0</v>
      </c>
    </row>
    <row r="1040" spans="1:3" ht="15" customHeight="1" x14ac:dyDescent="0.25">
      <c r="A1040" s="241"/>
      <c r="B1040" s="241"/>
      <c r="C1040" s="241">
        <f>VLOOKUP(B1040,Orgenheter!$A$1:$B$214,2,0)</f>
        <v>0</v>
      </c>
    </row>
    <row r="1041" spans="1:3" ht="15" customHeight="1" x14ac:dyDescent="0.25">
      <c r="A1041" s="241"/>
      <c r="B1041" s="241"/>
      <c r="C1041" s="241">
        <f>VLOOKUP(B1041,Orgenheter!$A$1:$B$214,2,0)</f>
        <v>0</v>
      </c>
    </row>
    <row r="1042" spans="1:3" ht="15" customHeight="1" x14ac:dyDescent="0.25">
      <c r="A1042" s="241"/>
      <c r="B1042" s="241"/>
      <c r="C1042" s="241">
        <f>VLOOKUP(B1042,Orgenheter!$A$1:$B$214,2,0)</f>
        <v>0</v>
      </c>
    </row>
    <row r="1043" spans="1:3" ht="15" customHeight="1" x14ac:dyDescent="0.25">
      <c r="A1043" s="241"/>
      <c r="B1043" s="241"/>
      <c r="C1043" s="241">
        <f>VLOOKUP(B1043,Orgenheter!$A$1:$B$214,2,0)</f>
        <v>0</v>
      </c>
    </row>
    <row r="1044" spans="1:3" ht="15" customHeight="1" x14ac:dyDescent="0.25">
      <c r="A1044" s="241"/>
      <c r="B1044" s="241"/>
      <c r="C1044" s="241">
        <f>VLOOKUP(B1044,Orgenheter!$A$1:$B$214,2,0)</f>
        <v>0</v>
      </c>
    </row>
    <row r="1045" spans="1:3" ht="15" customHeight="1" x14ac:dyDescent="0.25">
      <c r="A1045" s="241"/>
      <c r="B1045" s="241"/>
      <c r="C1045" s="241">
        <f>VLOOKUP(B1045,Orgenheter!$A$1:$B$214,2,0)</f>
        <v>0</v>
      </c>
    </row>
    <row r="1046" spans="1:3" ht="15" customHeight="1" x14ac:dyDescent="0.25">
      <c r="A1046" s="241"/>
      <c r="B1046" s="241"/>
      <c r="C1046" s="241">
        <f>VLOOKUP(B1046,Orgenheter!$A$1:$B$214,2,0)</f>
        <v>0</v>
      </c>
    </row>
    <row r="1047" spans="1:3" ht="15" customHeight="1" x14ac:dyDescent="0.25">
      <c r="A1047" s="241"/>
      <c r="B1047" s="241"/>
      <c r="C1047" s="241">
        <f>VLOOKUP(B1047,Orgenheter!$A$1:$B$214,2,0)</f>
        <v>0</v>
      </c>
    </row>
    <row r="1048" spans="1:3" ht="15" customHeight="1" x14ac:dyDescent="0.25">
      <c r="A1048" s="241"/>
      <c r="B1048" s="241"/>
      <c r="C1048" s="241">
        <f>VLOOKUP(B1048,Orgenheter!$A$1:$B$214,2,0)</f>
        <v>0</v>
      </c>
    </row>
    <row r="1049" spans="1:3" ht="15" customHeight="1" x14ac:dyDescent="0.25">
      <c r="A1049" s="241"/>
      <c r="B1049" s="241"/>
      <c r="C1049" s="241">
        <f>VLOOKUP(B1049,Orgenheter!$A$1:$B$214,2,0)</f>
        <v>0</v>
      </c>
    </row>
    <row r="1050" spans="1:3" ht="15" customHeight="1" x14ac:dyDescent="0.25">
      <c r="A1050" s="241"/>
      <c r="B1050" s="241"/>
      <c r="C1050" s="241">
        <f>VLOOKUP(B1050,Orgenheter!$A$1:$B$214,2,0)</f>
        <v>0</v>
      </c>
    </row>
    <row r="1051" spans="1:3" ht="15" customHeight="1" x14ac:dyDescent="0.25">
      <c r="A1051" s="241"/>
      <c r="B1051" s="241"/>
      <c r="C1051" s="241">
        <f>VLOOKUP(B1051,Orgenheter!$A$1:$B$214,2,0)</f>
        <v>0</v>
      </c>
    </row>
    <row r="1052" spans="1:3" ht="15" customHeight="1" x14ac:dyDescent="0.25">
      <c r="A1052" s="241"/>
      <c r="B1052" s="241"/>
      <c r="C1052" s="241">
        <f>VLOOKUP(B1052,Orgenheter!$A$1:$B$214,2,0)</f>
        <v>0</v>
      </c>
    </row>
    <row r="1053" spans="1:3" ht="15" customHeight="1" x14ac:dyDescent="0.25">
      <c r="A1053" s="241"/>
      <c r="B1053" s="241"/>
      <c r="C1053" s="241">
        <f>VLOOKUP(B1053,Orgenheter!$A$1:$B$214,2,0)</f>
        <v>0</v>
      </c>
    </row>
    <row r="1054" spans="1:3" ht="15" customHeight="1" x14ac:dyDescent="0.25">
      <c r="A1054" s="241"/>
      <c r="B1054" s="241"/>
      <c r="C1054" s="241">
        <f>VLOOKUP(B1054,Orgenheter!$A$1:$B$214,2,0)</f>
        <v>0</v>
      </c>
    </row>
    <row r="1055" spans="1:3" ht="15" customHeight="1" x14ac:dyDescent="0.25">
      <c r="A1055" s="241"/>
      <c r="B1055" s="241"/>
      <c r="C1055" s="241">
        <f>VLOOKUP(B1055,Orgenheter!$A$1:$B$214,2,0)</f>
        <v>0</v>
      </c>
    </row>
    <row r="1056" spans="1:3" ht="15" customHeight="1" x14ac:dyDescent="0.25">
      <c r="A1056" s="241"/>
      <c r="B1056" s="241"/>
      <c r="C1056" s="241">
        <f>VLOOKUP(B1056,Orgenheter!$A$1:$B$214,2,0)</f>
        <v>0</v>
      </c>
    </row>
    <row r="1057" spans="1:3" ht="15" customHeight="1" x14ac:dyDescent="0.25">
      <c r="A1057" s="241"/>
      <c r="B1057" s="241"/>
      <c r="C1057" s="241">
        <f>VLOOKUP(B1057,Orgenheter!$A$1:$B$214,2,0)</f>
        <v>0</v>
      </c>
    </row>
    <row r="1058" spans="1:3" ht="15" customHeight="1" x14ac:dyDescent="0.25">
      <c r="A1058" s="241"/>
      <c r="B1058" s="241"/>
      <c r="C1058" s="241">
        <f>VLOOKUP(B1058,Orgenheter!$A$1:$B$214,2,0)</f>
        <v>0</v>
      </c>
    </row>
    <row r="1059" spans="1:3" ht="15" customHeight="1" x14ac:dyDescent="0.25">
      <c r="A1059" s="241"/>
      <c r="B1059" s="241"/>
      <c r="C1059" s="241">
        <f>VLOOKUP(B1059,Orgenheter!$A$1:$B$214,2,0)</f>
        <v>0</v>
      </c>
    </row>
    <row r="1060" spans="1:3" ht="15" customHeight="1" x14ac:dyDescent="0.25">
      <c r="A1060" s="241"/>
      <c r="B1060" s="241"/>
      <c r="C1060" s="241">
        <f>VLOOKUP(B1060,Orgenheter!$A$1:$B$214,2,0)</f>
        <v>0</v>
      </c>
    </row>
    <row r="1061" spans="1:3" ht="15" customHeight="1" x14ac:dyDescent="0.25">
      <c r="A1061" s="241"/>
      <c r="B1061" s="241"/>
      <c r="C1061" s="241">
        <f>VLOOKUP(B1061,Orgenheter!$A$1:$B$214,2,0)</f>
        <v>0</v>
      </c>
    </row>
    <row r="1062" spans="1:3" ht="15" customHeight="1" x14ac:dyDescent="0.25">
      <c r="A1062" s="241"/>
      <c r="B1062" s="241"/>
      <c r="C1062" s="241">
        <f>VLOOKUP(B1062,Orgenheter!$A$1:$B$214,2,0)</f>
        <v>0</v>
      </c>
    </row>
    <row r="1063" spans="1:3" ht="15" customHeight="1" x14ac:dyDescent="0.25">
      <c r="A1063" s="241"/>
      <c r="B1063" s="241"/>
      <c r="C1063" s="241">
        <f>VLOOKUP(B1063,Orgenheter!$A$1:$B$214,2,0)</f>
        <v>0</v>
      </c>
    </row>
    <row r="1064" spans="1:3" ht="15" customHeight="1" x14ac:dyDescent="0.25">
      <c r="A1064" s="241"/>
      <c r="B1064" s="241"/>
      <c r="C1064" s="241">
        <f>VLOOKUP(B1064,Orgenheter!$A$1:$B$214,2,0)</f>
        <v>0</v>
      </c>
    </row>
    <row r="1065" spans="1:3" ht="15" customHeight="1" x14ac:dyDescent="0.25">
      <c r="A1065" s="241"/>
      <c r="B1065" s="241"/>
      <c r="C1065" s="241">
        <f>VLOOKUP(B1065,Orgenheter!$A$1:$B$214,2,0)</f>
        <v>0</v>
      </c>
    </row>
    <row r="1066" spans="1:3" ht="15" customHeight="1" x14ac:dyDescent="0.25">
      <c r="A1066" s="241"/>
      <c r="B1066" s="241"/>
      <c r="C1066" s="241">
        <f>VLOOKUP(B1066,Orgenheter!$A$1:$B$214,2,0)</f>
        <v>0</v>
      </c>
    </row>
    <row r="1067" spans="1:3" ht="15" customHeight="1" x14ac:dyDescent="0.25">
      <c r="A1067" s="241"/>
      <c r="B1067" s="241"/>
      <c r="C1067" s="241">
        <f>VLOOKUP(B1067,Orgenheter!$A$1:$B$214,2,0)</f>
        <v>0</v>
      </c>
    </row>
    <row r="1068" spans="1:3" ht="15" customHeight="1" x14ac:dyDescent="0.25">
      <c r="A1068" s="241"/>
      <c r="B1068" s="241"/>
      <c r="C1068" s="241">
        <f>VLOOKUP(B1068,Orgenheter!$A$1:$B$214,2,0)</f>
        <v>0</v>
      </c>
    </row>
    <row r="1069" spans="1:3" ht="15" customHeight="1" x14ac:dyDescent="0.25">
      <c r="A1069" s="241"/>
      <c r="B1069" s="241"/>
      <c r="C1069" s="241">
        <f>VLOOKUP(B1069,Orgenheter!$A$1:$B$214,2,0)</f>
        <v>0</v>
      </c>
    </row>
    <row r="1070" spans="1:3" ht="15" customHeight="1" x14ac:dyDescent="0.25">
      <c r="A1070" s="241"/>
      <c r="B1070" s="241"/>
      <c r="C1070" s="241">
        <f>VLOOKUP(B1070,Orgenheter!$A$1:$B$214,2,0)</f>
        <v>0</v>
      </c>
    </row>
    <row r="1071" spans="1:3" ht="15" customHeight="1" x14ac:dyDescent="0.25">
      <c r="A1071" s="241"/>
      <c r="B1071" s="241"/>
      <c r="C1071" s="241">
        <f>VLOOKUP(B1071,Orgenheter!$A$1:$B$214,2,0)</f>
        <v>0</v>
      </c>
    </row>
    <row r="1072" spans="1:3" ht="15" customHeight="1" x14ac:dyDescent="0.25">
      <c r="A1072" s="241"/>
      <c r="B1072" s="241"/>
      <c r="C1072" s="241">
        <f>VLOOKUP(B1072,Orgenheter!$A$1:$B$214,2,0)</f>
        <v>0</v>
      </c>
    </row>
    <row r="1073" spans="1:3" x14ac:dyDescent="0.25">
      <c r="A1073" s="241"/>
      <c r="B1073" s="241"/>
      <c r="C1073" s="241">
        <f>VLOOKUP(B1073,Orgenheter!$A$1:$B$214,2,0)</f>
        <v>0</v>
      </c>
    </row>
    <row r="1074" spans="1:3" x14ac:dyDescent="0.25">
      <c r="A1074" s="241"/>
      <c r="B1074" s="241"/>
      <c r="C1074" s="241">
        <f>VLOOKUP(B1074,Orgenheter!$A$1:$B$214,2,0)</f>
        <v>0</v>
      </c>
    </row>
    <row r="1075" spans="1:3" x14ac:dyDescent="0.25">
      <c r="A1075" s="241"/>
      <c r="B1075" s="241"/>
      <c r="C1075" s="241">
        <f>VLOOKUP(B1075,Orgenheter!$A$1:$B$214,2,0)</f>
        <v>0</v>
      </c>
    </row>
    <row r="1076" spans="1:3" x14ac:dyDescent="0.25">
      <c r="A1076" s="241"/>
      <c r="B1076" s="241"/>
      <c r="C1076" s="241">
        <f>VLOOKUP(B1076,Orgenheter!$A$1:$B$214,2,0)</f>
        <v>0</v>
      </c>
    </row>
    <row r="1077" spans="1:3" x14ac:dyDescent="0.25">
      <c r="A1077" s="241"/>
      <c r="B1077" s="241"/>
      <c r="C1077" s="241">
        <f>VLOOKUP(B1077,Orgenheter!$A$1:$B$214,2,0)</f>
        <v>0</v>
      </c>
    </row>
    <row r="1078" spans="1:3" x14ac:dyDescent="0.25">
      <c r="A1078" s="241"/>
      <c r="B1078" s="241"/>
      <c r="C1078" s="241">
        <f>VLOOKUP(B1078,Orgenheter!$A$1:$B$214,2,0)</f>
        <v>0</v>
      </c>
    </row>
    <row r="1079" spans="1:3" x14ac:dyDescent="0.25">
      <c r="A1079" s="241"/>
      <c r="B1079" s="241"/>
      <c r="C1079" s="241">
        <f>VLOOKUP(B1079,Orgenheter!$A$1:$B$214,2,0)</f>
        <v>0</v>
      </c>
    </row>
    <row r="1080" spans="1:3" x14ac:dyDescent="0.25">
      <c r="A1080" s="241"/>
      <c r="B1080" s="241"/>
      <c r="C1080" s="241">
        <f>VLOOKUP(B1080,Orgenheter!$A$1:$B$214,2,0)</f>
        <v>0</v>
      </c>
    </row>
    <row r="1081" spans="1:3" x14ac:dyDescent="0.25">
      <c r="A1081" s="241"/>
      <c r="B1081" s="241"/>
      <c r="C1081" s="241">
        <f>VLOOKUP(B1081,Orgenheter!$A$1:$B$214,2,0)</f>
        <v>0</v>
      </c>
    </row>
    <row r="1082" spans="1:3" x14ac:dyDescent="0.25">
      <c r="A1082" s="241"/>
      <c r="B1082" s="241"/>
      <c r="C1082" s="241">
        <f>VLOOKUP(B1082,Orgenheter!$A$1:$B$214,2,0)</f>
        <v>0</v>
      </c>
    </row>
    <row r="1083" spans="1:3" x14ac:dyDescent="0.25">
      <c r="A1083" s="241"/>
      <c r="B1083" s="241"/>
      <c r="C1083" s="241">
        <f>VLOOKUP(B1083,Orgenheter!$A$1:$B$214,2,0)</f>
        <v>0</v>
      </c>
    </row>
    <row r="1084" spans="1:3" x14ac:dyDescent="0.25">
      <c r="A1084" s="241"/>
      <c r="B1084" s="241"/>
      <c r="C1084" s="241">
        <f>VLOOKUP(B1084,Orgenheter!$A$1:$B$214,2,0)</f>
        <v>0</v>
      </c>
    </row>
    <row r="1085" spans="1:3" x14ac:dyDescent="0.25">
      <c r="A1085" s="241"/>
      <c r="B1085" s="241"/>
      <c r="C1085" s="241">
        <f>VLOOKUP(B1085,Orgenheter!$A$1:$B$214,2,0)</f>
        <v>0</v>
      </c>
    </row>
    <row r="1086" spans="1:3" x14ac:dyDescent="0.25">
      <c r="A1086" s="241"/>
      <c r="B1086" s="241"/>
      <c r="C1086" s="241">
        <f>VLOOKUP(B1086,Orgenheter!$A$1:$B$214,2,0)</f>
        <v>0</v>
      </c>
    </row>
    <row r="1087" spans="1:3" x14ac:dyDescent="0.25">
      <c r="C1087" s="292">
        <f>VLOOKUP(B1087,Orgenheter!$A$1:$B$214,2,0)</f>
        <v>0</v>
      </c>
    </row>
    <row r="1088" spans="1:3" x14ac:dyDescent="0.25">
      <c r="C1088" s="59">
        <f>VLOOKUP(B1088,Orgenheter!$A$1:$B$214,2,0)</f>
        <v>0</v>
      </c>
    </row>
    <row r="1089" spans="3:3" x14ac:dyDescent="0.25">
      <c r="C1089" s="59">
        <f>VLOOKUP(B1089,Orgenheter!$A$1:$B$214,2,0)</f>
        <v>0</v>
      </c>
    </row>
    <row r="1090" spans="3:3" x14ac:dyDescent="0.25">
      <c r="C1090" s="59">
        <f>VLOOKUP(B1090,Orgenheter!$A$1:$B$214,2,0)</f>
        <v>0</v>
      </c>
    </row>
    <row r="1091" spans="3:3" x14ac:dyDescent="0.25">
      <c r="C1091" s="59">
        <f>VLOOKUP(B1091,Orgenheter!$A$1:$B$214,2,0)</f>
        <v>0</v>
      </c>
    </row>
    <row r="1092" spans="3:3" x14ac:dyDescent="0.25">
      <c r="C1092" s="59">
        <f>VLOOKUP(B1092,Orgenheter!$A$1:$B$214,2,0)</f>
        <v>0</v>
      </c>
    </row>
    <row r="1093" spans="3:3" x14ac:dyDescent="0.25">
      <c r="C1093" s="59">
        <f>VLOOKUP(B1093,Orgenheter!$A$1:$B$214,2,0)</f>
        <v>0</v>
      </c>
    </row>
    <row r="1094" spans="3:3" x14ac:dyDescent="0.25">
      <c r="C1094" s="59">
        <f>VLOOKUP(B1094,Orgenheter!$A$1:$B$214,2,0)</f>
        <v>0</v>
      </c>
    </row>
    <row r="1095" spans="3:3" x14ac:dyDescent="0.25">
      <c r="C1095" s="59">
        <f>VLOOKUP(B1095,Orgenheter!$A$1:$B$214,2,0)</f>
        <v>0</v>
      </c>
    </row>
    <row r="1096" spans="3:3" x14ac:dyDescent="0.25">
      <c r="C1096" s="59">
        <f>VLOOKUP(B1096,Orgenheter!$A$1:$B$214,2,0)</f>
        <v>0</v>
      </c>
    </row>
    <row r="1097" spans="3:3" x14ac:dyDescent="0.25">
      <c r="C1097" s="59">
        <f>VLOOKUP(B1097,Orgenheter!$A$1:$B$214,2,0)</f>
        <v>0</v>
      </c>
    </row>
    <row r="1098" spans="3:3" x14ac:dyDescent="0.25">
      <c r="C1098" s="59">
        <f>VLOOKUP(B1098,Orgenheter!$A$1:$B$214,2,0)</f>
        <v>0</v>
      </c>
    </row>
    <row r="1099" spans="3:3" x14ac:dyDescent="0.25">
      <c r="C1099" s="59">
        <f>VLOOKUP(B1099,Orgenheter!$A$1:$B$214,2,0)</f>
        <v>0</v>
      </c>
    </row>
    <row r="1100" spans="3:3" x14ac:dyDescent="0.25">
      <c r="C1100" s="59">
        <f>VLOOKUP(B1100,Orgenheter!$A$1:$B$214,2,0)</f>
        <v>0</v>
      </c>
    </row>
    <row r="1101" spans="3:3" x14ac:dyDescent="0.25">
      <c r="C1101" s="59">
        <f>VLOOKUP(B1101,Orgenheter!$A$1:$B$214,2,0)</f>
        <v>0</v>
      </c>
    </row>
    <row r="1102" spans="3:3" x14ac:dyDescent="0.25">
      <c r="C1102" s="59">
        <f>VLOOKUP(B1102,Orgenheter!$A$1:$B$214,2,0)</f>
        <v>0</v>
      </c>
    </row>
    <row r="1103" spans="3:3" x14ac:dyDescent="0.25">
      <c r="C1103" s="59">
        <f>VLOOKUP(B1103,Orgenheter!$A$1:$B$214,2,0)</f>
        <v>0</v>
      </c>
    </row>
    <row r="1104" spans="3:3" x14ac:dyDescent="0.25">
      <c r="C1104" s="59">
        <f>VLOOKUP(B1104,Orgenheter!$A$1:$B$214,2,0)</f>
        <v>0</v>
      </c>
    </row>
    <row r="1105" spans="3:3" x14ac:dyDescent="0.25">
      <c r="C1105" s="59">
        <f>VLOOKUP(B1105,Orgenheter!$A$1:$B$214,2,0)</f>
        <v>0</v>
      </c>
    </row>
    <row r="1106" spans="3:3" x14ac:dyDescent="0.25">
      <c r="C1106" s="59">
        <f>VLOOKUP(B1106,Orgenheter!$A$1:$B$214,2,0)</f>
        <v>0</v>
      </c>
    </row>
    <row r="1107" spans="3:3" x14ac:dyDescent="0.25">
      <c r="C1107" s="59">
        <f>VLOOKUP(B1107,Orgenheter!$A$1:$B$214,2,0)</f>
        <v>0</v>
      </c>
    </row>
    <row r="1108" spans="3:3" x14ac:dyDescent="0.25">
      <c r="C1108" s="59">
        <f>VLOOKUP(B1108,Orgenheter!$A$1:$B$214,2,0)</f>
        <v>0</v>
      </c>
    </row>
    <row r="1109" spans="3:3" x14ac:dyDescent="0.25">
      <c r="C1109" s="59">
        <f>VLOOKUP(B1109,Orgenheter!$A$1:$B$214,2,0)</f>
        <v>0</v>
      </c>
    </row>
    <row r="1110" spans="3:3" x14ac:dyDescent="0.25">
      <c r="C1110" s="59">
        <f>VLOOKUP(B1110,Orgenheter!$A$1:$B$214,2,0)</f>
        <v>0</v>
      </c>
    </row>
    <row r="1111" spans="3:3" x14ac:dyDescent="0.25">
      <c r="C1111" s="59">
        <f>VLOOKUP(B1111,Orgenheter!$A$1:$B$214,2,0)</f>
        <v>0</v>
      </c>
    </row>
    <row r="1112" spans="3:3" x14ac:dyDescent="0.25">
      <c r="C1112" s="59">
        <f>VLOOKUP(B1112,Orgenheter!$A$1:$B$214,2,0)</f>
        <v>0</v>
      </c>
    </row>
    <row r="1113" spans="3:3" x14ac:dyDescent="0.25">
      <c r="C1113" s="59">
        <f>VLOOKUP(B1113,Orgenheter!$A$1:$B$214,2,0)</f>
        <v>0</v>
      </c>
    </row>
    <row r="1114" spans="3:3" x14ac:dyDescent="0.25">
      <c r="C1114" s="59">
        <f>VLOOKUP(B1114,Orgenheter!$A$1:$B$214,2,0)</f>
        <v>0</v>
      </c>
    </row>
    <row r="1115" spans="3:3" x14ac:dyDescent="0.25">
      <c r="C1115" s="59">
        <f>VLOOKUP(B1115,Orgenheter!$A$1:$B$214,2,0)</f>
        <v>0</v>
      </c>
    </row>
    <row r="1116" spans="3:3" x14ac:dyDescent="0.25">
      <c r="C1116" s="59">
        <f>VLOOKUP(B1116,Orgenheter!$A$1:$B$214,2,0)</f>
        <v>0</v>
      </c>
    </row>
    <row r="1117" spans="3:3" x14ac:dyDescent="0.25">
      <c r="C1117" s="59">
        <f>VLOOKUP(B1117,Orgenheter!$A$1:$B$214,2,0)</f>
        <v>0</v>
      </c>
    </row>
    <row r="1118" spans="3:3" x14ac:dyDescent="0.25">
      <c r="C1118" s="59">
        <f>VLOOKUP(B1118,Orgenheter!$A$1:$B$214,2,0)</f>
        <v>0</v>
      </c>
    </row>
    <row r="1119" spans="3:3" x14ac:dyDescent="0.25">
      <c r="C1119" s="59">
        <f>VLOOKUP(B1119,Orgenheter!$A$1:$B$214,2,0)</f>
        <v>0</v>
      </c>
    </row>
    <row r="1120" spans="3:3" x14ac:dyDescent="0.25">
      <c r="C1120" s="59">
        <f>VLOOKUP(B1120,Orgenheter!$A$1:$B$214,2,0)</f>
        <v>0</v>
      </c>
    </row>
    <row r="1121" spans="3:3" x14ac:dyDescent="0.25">
      <c r="C1121" s="59">
        <f>VLOOKUP(B1121,Orgenheter!$A$1:$B$214,2,0)</f>
        <v>0</v>
      </c>
    </row>
    <row r="1122" spans="3:3" x14ac:dyDescent="0.25">
      <c r="C1122" s="59">
        <f>VLOOKUP(B1122,Orgenheter!$A$1:$B$214,2,0)</f>
        <v>0</v>
      </c>
    </row>
    <row r="1123" spans="3:3" x14ac:dyDescent="0.25">
      <c r="C1123" s="59">
        <f>VLOOKUP(B1123,Orgenheter!$A$1:$B$214,2,0)</f>
        <v>0</v>
      </c>
    </row>
  </sheetData>
  <sheetProtection sheet="1" objects="1" scenarios="1"/>
  <autoFilter ref="A1:C978">
    <sortState ref="A2:C497">
      <sortCondition ref="A1:A497"/>
    </sortState>
  </autoFilter>
  <sortState ref="A2:C1106">
    <sortCondition ref="A2:A1106"/>
  </sortState>
  <phoneticPr fontId="42" type="noConversion"/>
  <printOptions horizontalCentered="1" gridLines="1"/>
  <pageMargins left="0.55118110236220474" right="0.55118110236220474" top="0.19685039370078741" bottom="0.47244094488188981" header="0.51181102362204722" footer="7.874015748031496E-2"/>
  <pageSetup paperSize="9" orientation="portrait" r:id="rId1"/>
  <headerFooter alignWithMargins="0">
    <oddFooter>Sida &amp;P av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1"/>
  <dimension ref="A4:D376"/>
  <sheetViews>
    <sheetView zoomScaleNormal="100" workbookViewId="0"/>
  </sheetViews>
  <sheetFormatPr defaultColWidth="8.85546875" defaultRowHeight="15" x14ac:dyDescent="0.25"/>
  <cols>
    <col min="1" max="1" width="15.140625" customWidth="1"/>
    <col min="2" max="3" width="7.42578125" bestFit="1" customWidth="1"/>
    <col min="4" max="4" width="23" bestFit="1" customWidth="1"/>
    <col min="5" max="6" width="23.85546875" customWidth="1"/>
    <col min="7" max="7" width="23.140625" customWidth="1"/>
    <col min="8" max="8" width="13.140625" customWidth="1"/>
  </cols>
  <sheetData>
    <row r="4" spans="1:4" x14ac:dyDescent="0.25">
      <c r="A4" s="328"/>
      <c r="B4" s="329" t="s">
        <v>4</v>
      </c>
      <c r="C4" s="330"/>
      <c r="D4" s="331"/>
    </row>
    <row r="5" spans="1:4" x14ac:dyDescent="0.25">
      <c r="A5" s="329" t="s">
        <v>59</v>
      </c>
      <c r="B5" s="328" t="s">
        <v>445</v>
      </c>
      <c r="C5" s="332" t="s">
        <v>446</v>
      </c>
      <c r="D5" s="333" t="s">
        <v>836</v>
      </c>
    </row>
    <row r="6" spans="1:4" x14ac:dyDescent="0.25">
      <c r="A6" s="328" t="s">
        <v>2379</v>
      </c>
      <c r="B6" s="334">
        <v>0.125</v>
      </c>
      <c r="C6" s="335">
        <v>0.10625</v>
      </c>
      <c r="D6" s="336">
        <v>5198.9624999999996</v>
      </c>
    </row>
    <row r="7" spans="1:4" x14ac:dyDescent="0.25">
      <c r="A7" s="337" t="s">
        <v>2380</v>
      </c>
      <c r="B7" s="338">
        <v>0.125</v>
      </c>
      <c r="C7" s="242">
        <v>0.10625</v>
      </c>
      <c r="D7" s="339">
        <v>5198.9624999999996</v>
      </c>
    </row>
    <row r="8" spans="1:4" x14ac:dyDescent="0.25">
      <c r="A8" s="337" t="s">
        <v>2381</v>
      </c>
      <c r="B8" s="338">
        <v>0.125</v>
      </c>
      <c r="C8" s="242">
        <v>0.10625</v>
      </c>
      <c r="D8" s="339">
        <v>5198.9624999999996</v>
      </c>
    </row>
    <row r="9" spans="1:4" x14ac:dyDescent="0.25">
      <c r="A9" s="337" t="s">
        <v>994</v>
      </c>
      <c r="B9" s="338">
        <v>2</v>
      </c>
      <c r="C9" s="242">
        <v>1.7</v>
      </c>
      <c r="D9" s="339">
        <v>148053.4</v>
      </c>
    </row>
    <row r="10" spans="1:4" x14ac:dyDescent="0.25">
      <c r="A10" s="337" t="s">
        <v>1973</v>
      </c>
      <c r="B10" s="338">
        <v>1.5</v>
      </c>
      <c r="C10" s="242">
        <v>1.2749999999999999</v>
      </c>
      <c r="D10" s="339">
        <v>111040.05</v>
      </c>
    </row>
    <row r="11" spans="1:4" x14ac:dyDescent="0.25">
      <c r="A11" s="337" t="s">
        <v>1972</v>
      </c>
      <c r="B11" s="338">
        <v>2</v>
      </c>
      <c r="C11" s="242">
        <v>1.6999999999999997</v>
      </c>
      <c r="D11" s="339">
        <v>148053.4</v>
      </c>
    </row>
    <row r="12" spans="1:4" x14ac:dyDescent="0.25">
      <c r="A12" s="337" t="s">
        <v>1476</v>
      </c>
      <c r="B12" s="338">
        <v>0.125</v>
      </c>
      <c r="C12" s="242">
        <v>0.10625</v>
      </c>
      <c r="D12" s="339">
        <v>9253.3374999999996</v>
      </c>
    </row>
    <row r="13" spans="1:4" x14ac:dyDescent="0.25">
      <c r="A13" s="337" t="s">
        <v>2060</v>
      </c>
      <c r="B13" s="338">
        <v>0.125</v>
      </c>
      <c r="C13" s="242">
        <v>0.10625</v>
      </c>
      <c r="D13" s="339">
        <v>9253.3374999999996</v>
      </c>
    </row>
    <row r="14" spans="1:4" x14ac:dyDescent="0.25">
      <c r="A14" s="337" t="s">
        <v>2159</v>
      </c>
      <c r="B14" s="338">
        <v>0.125</v>
      </c>
      <c r="C14" s="242">
        <v>0.10625</v>
      </c>
      <c r="D14" s="339">
        <v>9253.3374999999996</v>
      </c>
    </row>
    <row r="15" spans="1:4" x14ac:dyDescent="0.25">
      <c r="A15" s="337" t="s">
        <v>1743</v>
      </c>
      <c r="B15" s="338">
        <v>0.25</v>
      </c>
      <c r="C15" s="242">
        <v>0.21249999999999999</v>
      </c>
      <c r="D15" s="339">
        <v>18506.674999999999</v>
      </c>
    </row>
    <row r="16" spans="1:4" x14ac:dyDescent="0.25">
      <c r="A16" s="337" t="s">
        <v>1001</v>
      </c>
      <c r="B16" s="338">
        <v>0.25</v>
      </c>
      <c r="C16" s="242">
        <v>0.21249999999999999</v>
      </c>
      <c r="D16" s="339">
        <v>18506.674999999999</v>
      </c>
    </row>
    <row r="17" spans="1:4" x14ac:dyDescent="0.25">
      <c r="A17" s="337" t="s">
        <v>1795</v>
      </c>
      <c r="B17" s="338">
        <v>1.75</v>
      </c>
      <c r="C17" s="242">
        <v>1.4874999999999998</v>
      </c>
      <c r="D17" s="339">
        <v>129546.72500000001</v>
      </c>
    </row>
    <row r="18" spans="1:4" x14ac:dyDescent="0.25">
      <c r="A18" s="337" t="s">
        <v>2035</v>
      </c>
      <c r="B18" s="338">
        <v>0.25</v>
      </c>
      <c r="C18" s="242">
        <v>0.21249999999999999</v>
      </c>
      <c r="D18" s="339">
        <v>18506.674999999999</v>
      </c>
    </row>
    <row r="19" spans="1:4" x14ac:dyDescent="0.25">
      <c r="A19" s="337" t="s">
        <v>2339</v>
      </c>
      <c r="B19" s="338">
        <v>0.125</v>
      </c>
      <c r="C19" s="242">
        <v>0.10625</v>
      </c>
      <c r="D19" s="339">
        <v>9253.3374999999996</v>
      </c>
    </row>
    <row r="20" spans="1:4" x14ac:dyDescent="0.25">
      <c r="A20" s="337" t="s">
        <v>2340</v>
      </c>
      <c r="B20" s="338">
        <v>0.125</v>
      </c>
      <c r="C20" s="242">
        <v>0.10625</v>
      </c>
      <c r="D20" s="339">
        <v>9253.3374999999996</v>
      </c>
    </row>
    <row r="21" spans="1:4" x14ac:dyDescent="0.25">
      <c r="A21" s="337" t="s">
        <v>2382</v>
      </c>
      <c r="B21" s="338">
        <v>0.125</v>
      </c>
      <c r="C21" s="242">
        <v>0.10625</v>
      </c>
      <c r="D21" s="339">
        <v>9253.3374999999996</v>
      </c>
    </row>
    <row r="22" spans="1:4" x14ac:dyDescent="0.25">
      <c r="A22" s="337" t="s">
        <v>1894</v>
      </c>
      <c r="B22" s="338">
        <v>1.875</v>
      </c>
      <c r="C22" s="242">
        <v>1.59375</v>
      </c>
      <c r="D22" s="339">
        <v>98652.375</v>
      </c>
    </row>
    <row r="23" spans="1:4" x14ac:dyDescent="0.25">
      <c r="A23" s="337" t="s">
        <v>1883</v>
      </c>
      <c r="B23" s="338">
        <v>0.25</v>
      </c>
      <c r="C23" s="242">
        <v>0.21249999999999999</v>
      </c>
      <c r="D23" s="339">
        <v>18506.674999999999</v>
      </c>
    </row>
    <row r="24" spans="1:4" x14ac:dyDescent="0.25">
      <c r="A24" s="337" t="s">
        <v>2144</v>
      </c>
      <c r="B24" s="338">
        <v>1.25</v>
      </c>
      <c r="C24" s="242">
        <v>1.0625</v>
      </c>
      <c r="D24" s="339">
        <v>92533.375</v>
      </c>
    </row>
    <row r="25" spans="1:4" x14ac:dyDescent="0.25">
      <c r="A25" s="337" t="s">
        <v>2143</v>
      </c>
      <c r="B25" s="338">
        <v>1.25</v>
      </c>
      <c r="C25" s="242">
        <v>1.0625</v>
      </c>
      <c r="D25" s="339">
        <v>92533.375</v>
      </c>
    </row>
    <row r="26" spans="1:4" x14ac:dyDescent="0.25">
      <c r="A26" s="337" t="s">
        <v>1460</v>
      </c>
      <c r="B26" s="338">
        <v>1.25</v>
      </c>
      <c r="C26" s="242">
        <v>1.0562499999999999</v>
      </c>
      <c r="D26" s="339">
        <v>92307.862499999988</v>
      </c>
    </row>
    <row r="27" spans="1:4" x14ac:dyDescent="0.25">
      <c r="A27" s="337" t="s">
        <v>1461</v>
      </c>
      <c r="B27" s="338">
        <v>1.125</v>
      </c>
      <c r="C27" s="242">
        <v>0.95</v>
      </c>
      <c r="D27" s="339">
        <v>83054.524999999994</v>
      </c>
    </row>
    <row r="28" spans="1:4" x14ac:dyDescent="0.25">
      <c r="A28" s="337" t="s">
        <v>1928</v>
      </c>
      <c r="B28" s="338">
        <v>0.25</v>
      </c>
      <c r="C28" s="242">
        <v>0.21249999999999999</v>
      </c>
      <c r="D28" s="339">
        <v>18506.674999999999</v>
      </c>
    </row>
    <row r="29" spans="1:4" x14ac:dyDescent="0.25">
      <c r="A29" s="337" t="s">
        <v>1699</v>
      </c>
      <c r="B29" s="338">
        <v>19.5</v>
      </c>
      <c r="C29" s="242">
        <v>16.524999999999999</v>
      </c>
      <c r="D29" s="339">
        <v>810166.05</v>
      </c>
    </row>
    <row r="30" spans="1:4" x14ac:dyDescent="0.25">
      <c r="A30" s="337" t="s">
        <v>1837</v>
      </c>
      <c r="B30" s="338">
        <v>1.2000000000000002</v>
      </c>
      <c r="C30" s="242">
        <v>1.02</v>
      </c>
      <c r="D30" s="339">
        <v>63137.52</v>
      </c>
    </row>
    <row r="31" spans="1:4" x14ac:dyDescent="0.25">
      <c r="A31" s="337" t="s">
        <v>1855</v>
      </c>
      <c r="B31" s="338">
        <v>6.625</v>
      </c>
      <c r="C31" s="242">
        <v>5.6312499999999996</v>
      </c>
      <c r="D31" s="339">
        <v>275545.01250000001</v>
      </c>
    </row>
    <row r="32" spans="1:4" x14ac:dyDescent="0.25">
      <c r="A32" s="337" t="s">
        <v>1856</v>
      </c>
      <c r="B32" s="338">
        <v>6</v>
      </c>
      <c r="C32" s="242">
        <v>5.0999999999999996</v>
      </c>
      <c r="D32" s="339">
        <v>249550.2</v>
      </c>
    </row>
    <row r="33" spans="1:4" x14ac:dyDescent="0.25">
      <c r="A33" s="337" t="s">
        <v>1924</v>
      </c>
      <c r="B33" s="338">
        <v>5.75</v>
      </c>
      <c r="C33" s="242">
        <v>4.8875000000000002</v>
      </c>
      <c r="D33" s="339">
        <v>239152.27500000002</v>
      </c>
    </row>
    <row r="34" spans="1:4" x14ac:dyDescent="0.25">
      <c r="A34" s="337" t="s">
        <v>1925</v>
      </c>
      <c r="B34" s="338">
        <v>5.25</v>
      </c>
      <c r="C34" s="242">
        <v>4.4624999999999995</v>
      </c>
      <c r="D34" s="339">
        <v>218356.42499999999</v>
      </c>
    </row>
    <row r="35" spans="1:4" x14ac:dyDescent="0.25">
      <c r="A35" s="337" t="s">
        <v>1926</v>
      </c>
      <c r="B35" s="338">
        <v>5.5</v>
      </c>
      <c r="C35" s="242">
        <v>4.6749999999999998</v>
      </c>
      <c r="D35" s="339">
        <v>228754.34999999998</v>
      </c>
    </row>
    <row r="36" spans="1:4" x14ac:dyDescent="0.25">
      <c r="A36" s="337" t="s">
        <v>2118</v>
      </c>
      <c r="B36" s="338">
        <v>5.125</v>
      </c>
      <c r="C36" s="242">
        <v>4.1000000000000005</v>
      </c>
      <c r="D36" s="339">
        <v>208687.95</v>
      </c>
    </row>
    <row r="37" spans="1:4" x14ac:dyDescent="0.25">
      <c r="A37" s="337" t="s">
        <v>2071</v>
      </c>
      <c r="B37" s="338">
        <v>27</v>
      </c>
      <c r="C37" s="242">
        <v>22.775000000000006</v>
      </c>
      <c r="D37" s="339">
        <v>1119923.55</v>
      </c>
    </row>
    <row r="38" spans="1:4" x14ac:dyDescent="0.25">
      <c r="A38" s="337" t="s">
        <v>2228</v>
      </c>
      <c r="B38" s="338">
        <v>12</v>
      </c>
      <c r="C38" s="242">
        <v>10.199999999999999</v>
      </c>
      <c r="D38" s="339">
        <v>499100.40000000008</v>
      </c>
    </row>
    <row r="39" spans="1:4" x14ac:dyDescent="0.25">
      <c r="A39" s="337" t="s">
        <v>1005</v>
      </c>
      <c r="B39" s="338">
        <v>3.75</v>
      </c>
      <c r="C39" s="242">
        <v>3.1874999999999996</v>
      </c>
      <c r="D39" s="339">
        <v>197304.75</v>
      </c>
    </row>
    <row r="40" spans="1:4" x14ac:dyDescent="0.25">
      <c r="A40" s="337" t="s">
        <v>1006</v>
      </c>
      <c r="B40" s="338">
        <v>1.875</v>
      </c>
      <c r="C40" s="242">
        <v>1.5937499999999998</v>
      </c>
      <c r="D40" s="339">
        <v>77984.437500000015</v>
      </c>
    </row>
    <row r="41" spans="1:4" x14ac:dyDescent="0.25">
      <c r="A41" s="337" t="s">
        <v>563</v>
      </c>
      <c r="B41" s="338">
        <v>3</v>
      </c>
      <c r="C41" s="242">
        <v>2.4000000000000004</v>
      </c>
      <c r="D41" s="339">
        <v>510416.4</v>
      </c>
    </row>
    <row r="42" spans="1:4" x14ac:dyDescent="0.25">
      <c r="A42" s="337" t="s">
        <v>1342</v>
      </c>
      <c r="B42" s="338">
        <v>4.5</v>
      </c>
      <c r="C42" s="242">
        <v>3.8249999999999997</v>
      </c>
      <c r="D42" s="339">
        <v>236765.69999999998</v>
      </c>
    </row>
    <row r="43" spans="1:4" x14ac:dyDescent="0.25">
      <c r="A43" s="337" t="s">
        <v>1343</v>
      </c>
      <c r="B43" s="338">
        <v>4.5</v>
      </c>
      <c r="C43" s="242">
        <v>3.8249999999999993</v>
      </c>
      <c r="D43" s="339">
        <v>236765.69999999995</v>
      </c>
    </row>
    <row r="44" spans="1:4" x14ac:dyDescent="0.25">
      <c r="A44" s="337" t="s">
        <v>1344</v>
      </c>
      <c r="B44" s="338">
        <v>5.75</v>
      </c>
      <c r="C44" s="242">
        <v>4.8875000000000002</v>
      </c>
      <c r="D44" s="339">
        <v>350745.6875</v>
      </c>
    </row>
    <row r="45" spans="1:4" x14ac:dyDescent="0.25">
      <c r="A45" s="337" t="s">
        <v>1590</v>
      </c>
      <c r="B45" s="338">
        <v>1.5</v>
      </c>
      <c r="C45" s="242">
        <v>1.2000000000000002</v>
      </c>
      <c r="D45" s="339">
        <v>255208.2</v>
      </c>
    </row>
    <row r="46" spans="1:4" x14ac:dyDescent="0.25">
      <c r="A46" s="337" t="s">
        <v>1591</v>
      </c>
      <c r="B46" s="338">
        <v>0.625</v>
      </c>
      <c r="C46" s="242">
        <v>0.5</v>
      </c>
      <c r="D46" s="339">
        <v>25449.75</v>
      </c>
    </row>
    <row r="47" spans="1:4" x14ac:dyDescent="0.25">
      <c r="A47" s="337" t="s">
        <v>1532</v>
      </c>
      <c r="B47" s="338">
        <v>2.75</v>
      </c>
      <c r="C47" s="242">
        <v>2.3374999999999999</v>
      </c>
      <c r="D47" s="339">
        <v>161001.63750000001</v>
      </c>
    </row>
    <row r="48" spans="1:4" x14ac:dyDescent="0.25">
      <c r="A48" s="337" t="s">
        <v>1432</v>
      </c>
      <c r="B48" s="338">
        <v>2.75</v>
      </c>
      <c r="C48" s="242">
        <v>2.3374999999999999</v>
      </c>
      <c r="D48" s="339">
        <v>161001.63750000001</v>
      </c>
    </row>
    <row r="49" spans="1:4" x14ac:dyDescent="0.25">
      <c r="A49" s="337" t="s">
        <v>1675</v>
      </c>
      <c r="B49" s="338">
        <v>1.25</v>
      </c>
      <c r="C49" s="242">
        <v>1.0625</v>
      </c>
      <c r="D49" s="339">
        <v>73182.5625</v>
      </c>
    </row>
    <row r="50" spans="1:4" x14ac:dyDescent="0.25">
      <c r="A50" s="337" t="s">
        <v>1681</v>
      </c>
      <c r="B50" s="338">
        <v>0.20833333333333331</v>
      </c>
      <c r="C50" s="242">
        <v>0.17708333333333331</v>
      </c>
      <c r="D50" s="339">
        <v>10961.375</v>
      </c>
    </row>
    <row r="51" spans="1:4" x14ac:dyDescent="0.25">
      <c r="A51" s="337" t="s">
        <v>1763</v>
      </c>
      <c r="B51" s="338">
        <v>8.5</v>
      </c>
      <c r="C51" s="242">
        <v>6.8000000000000007</v>
      </c>
      <c r="D51" s="339">
        <v>1446179.8</v>
      </c>
    </row>
    <row r="52" spans="1:4" x14ac:dyDescent="0.25">
      <c r="A52" s="337" t="s">
        <v>2039</v>
      </c>
      <c r="B52" s="338">
        <v>1.5</v>
      </c>
      <c r="C52" s="242">
        <v>1.2000000000000002</v>
      </c>
      <c r="D52" s="339">
        <v>255208.2</v>
      </c>
    </row>
    <row r="53" spans="1:4" x14ac:dyDescent="0.25">
      <c r="A53" s="337" t="s">
        <v>1989</v>
      </c>
      <c r="B53" s="338">
        <v>2.5</v>
      </c>
      <c r="C53" s="242">
        <v>2.125</v>
      </c>
      <c r="D53" s="339">
        <v>432734</v>
      </c>
    </row>
    <row r="54" spans="1:4" x14ac:dyDescent="0.25">
      <c r="A54" s="337" t="s">
        <v>1990</v>
      </c>
      <c r="B54" s="338">
        <v>2.5</v>
      </c>
      <c r="C54" s="242">
        <v>2.125</v>
      </c>
      <c r="D54" s="339">
        <v>432734</v>
      </c>
    </row>
    <row r="55" spans="1:4" x14ac:dyDescent="0.25">
      <c r="A55" s="337" t="s">
        <v>1979</v>
      </c>
      <c r="B55" s="338">
        <v>9.5</v>
      </c>
      <c r="C55" s="242">
        <v>8.0749999999999993</v>
      </c>
      <c r="D55" s="339">
        <v>556187.47499999998</v>
      </c>
    </row>
    <row r="56" spans="1:4" x14ac:dyDescent="0.25">
      <c r="A56" s="337" t="s">
        <v>2072</v>
      </c>
      <c r="B56" s="338">
        <v>0.5</v>
      </c>
      <c r="C56" s="242">
        <v>0.42500000000000004</v>
      </c>
      <c r="D56" s="339">
        <v>26307.3</v>
      </c>
    </row>
    <row r="57" spans="1:4" x14ac:dyDescent="0.25">
      <c r="A57" s="337" t="s">
        <v>1992</v>
      </c>
      <c r="B57" s="338">
        <v>0.2</v>
      </c>
      <c r="C57" s="242">
        <v>0.17</v>
      </c>
      <c r="D57" s="339">
        <v>10522.92</v>
      </c>
    </row>
    <row r="58" spans="1:4" x14ac:dyDescent="0.25">
      <c r="A58" s="337" t="s">
        <v>2015</v>
      </c>
      <c r="B58" s="338">
        <v>7.5</v>
      </c>
      <c r="C58" s="242">
        <v>6.3</v>
      </c>
      <c r="D58" s="339">
        <v>1293769.8</v>
      </c>
    </row>
    <row r="59" spans="1:4" x14ac:dyDescent="0.25">
      <c r="A59" s="337" t="s">
        <v>2038</v>
      </c>
      <c r="B59" s="338">
        <v>5.5</v>
      </c>
      <c r="C59" s="242">
        <v>4.4249999999999998</v>
      </c>
      <c r="D59" s="339">
        <v>937240.8</v>
      </c>
    </row>
    <row r="60" spans="1:4" x14ac:dyDescent="0.25">
      <c r="A60" s="337" t="s">
        <v>2229</v>
      </c>
      <c r="B60" s="338">
        <v>1.5</v>
      </c>
      <c r="C60" s="242">
        <v>1.2749999999999999</v>
      </c>
      <c r="D60" s="339">
        <v>111040.04999999999</v>
      </c>
    </row>
    <row r="61" spans="1:4" x14ac:dyDescent="0.25">
      <c r="A61" s="337" t="s">
        <v>2090</v>
      </c>
      <c r="B61" s="338">
        <v>7.5</v>
      </c>
      <c r="C61" s="242">
        <v>6</v>
      </c>
      <c r="D61" s="339">
        <v>1033380</v>
      </c>
    </row>
    <row r="62" spans="1:4" x14ac:dyDescent="0.25">
      <c r="A62" s="337" t="s">
        <v>2383</v>
      </c>
      <c r="B62" s="338">
        <v>2.25</v>
      </c>
      <c r="C62" s="242">
        <v>1.8</v>
      </c>
      <c r="D62" s="339">
        <v>91619.1</v>
      </c>
    </row>
    <row r="63" spans="1:4" x14ac:dyDescent="0.25">
      <c r="A63" s="337" t="s">
        <v>2465</v>
      </c>
      <c r="B63" s="338">
        <v>1.5</v>
      </c>
      <c r="C63" s="242">
        <v>1.2749999999999999</v>
      </c>
      <c r="D63" s="339">
        <v>111040.04999999999</v>
      </c>
    </row>
    <row r="64" spans="1:4" x14ac:dyDescent="0.25">
      <c r="A64" s="337" t="s">
        <v>2466</v>
      </c>
      <c r="B64" s="338">
        <v>0.75</v>
      </c>
      <c r="C64" s="242">
        <v>0.63749999999999996</v>
      </c>
      <c r="D64" s="339">
        <v>39460.949999999997</v>
      </c>
    </row>
    <row r="65" spans="1:4" x14ac:dyDescent="0.25">
      <c r="A65" s="337" t="s">
        <v>2467</v>
      </c>
      <c r="B65" s="338">
        <v>0.375</v>
      </c>
      <c r="C65" s="242">
        <v>0.31874999999999998</v>
      </c>
      <c r="D65" s="339">
        <v>19730.474999999999</v>
      </c>
    </row>
    <row r="66" spans="1:4" x14ac:dyDescent="0.25">
      <c r="A66" s="337" t="s">
        <v>2373</v>
      </c>
      <c r="B66" s="338">
        <v>3.5</v>
      </c>
      <c r="C66" s="242">
        <v>2.9749999999999996</v>
      </c>
      <c r="D66" s="339">
        <v>204911.17499999999</v>
      </c>
    </row>
    <row r="67" spans="1:4" x14ac:dyDescent="0.25">
      <c r="A67" s="337" t="s">
        <v>2372</v>
      </c>
      <c r="B67" s="338">
        <v>4.625</v>
      </c>
      <c r="C67" s="242">
        <v>3.9312499999999999</v>
      </c>
      <c r="D67" s="339">
        <v>270775.48124999995</v>
      </c>
    </row>
    <row r="68" spans="1:4" x14ac:dyDescent="0.25">
      <c r="A68" s="337" t="s">
        <v>1744</v>
      </c>
      <c r="B68" s="338">
        <v>0.25</v>
      </c>
      <c r="C68" s="242">
        <v>0.21249999999999999</v>
      </c>
      <c r="D68" s="339">
        <v>10397.924999999999</v>
      </c>
    </row>
    <row r="69" spans="1:4" x14ac:dyDescent="0.25">
      <c r="A69" s="337" t="s">
        <v>2041</v>
      </c>
      <c r="B69" s="338">
        <v>1.5</v>
      </c>
      <c r="C69" s="242">
        <v>1.2749999999999999</v>
      </c>
      <c r="D69" s="339">
        <v>62387.549999999996</v>
      </c>
    </row>
    <row r="70" spans="1:4" x14ac:dyDescent="0.25">
      <c r="A70" s="337" t="s">
        <v>2073</v>
      </c>
      <c r="B70" s="338">
        <v>2</v>
      </c>
      <c r="C70" s="242">
        <v>1.6749999999999998</v>
      </c>
      <c r="D70" s="339">
        <v>82747.349999999991</v>
      </c>
    </row>
    <row r="71" spans="1:4" x14ac:dyDescent="0.25">
      <c r="A71" s="337" t="s">
        <v>2278</v>
      </c>
      <c r="B71" s="338">
        <v>5</v>
      </c>
      <c r="C71" s="242">
        <v>4</v>
      </c>
      <c r="D71" s="339">
        <v>321734.25</v>
      </c>
    </row>
    <row r="72" spans="1:4" x14ac:dyDescent="0.25">
      <c r="A72" s="337" t="s">
        <v>2315</v>
      </c>
      <c r="B72" s="338">
        <v>0</v>
      </c>
      <c r="C72" s="242">
        <v>0</v>
      </c>
      <c r="D72" s="339">
        <v>0</v>
      </c>
    </row>
    <row r="73" spans="1:4" x14ac:dyDescent="0.25">
      <c r="A73" s="337" t="s">
        <v>2316</v>
      </c>
      <c r="B73" s="338">
        <v>0</v>
      </c>
      <c r="C73" s="242">
        <v>0</v>
      </c>
      <c r="D73" s="339">
        <v>0</v>
      </c>
    </row>
    <row r="74" spans="1:4" x14ac:dyDescent="0.25">
      <c r="A74" s="337" t="s">
        <v>2122</v>
      </c>
      <c r="B74" s="338">
        <v>1.875</v>
      </c>
      <c r="C74" s="242">
        <v>1.5</v>
      </c>
      <c r="D74" s="339">
        <v>76349.25</v>
      </c>
    </row>
    <row r="75" spans="1:4" x14ac:dyDescent="0.25">
      <c r="A75" s="337" t="s">
        <v>2123</v>
      </c>
      <c r="B75" s="338">
        <v>1.875</v>
      </c>
      <c r="C75" s="242">
        <v>1.5</v>
      </c>
      <c r="D75" s="339">
        <v>76349.25</v>
      </c>
    </row>
    <row r="76" spans="1:4" x14ac:dyDescent="0.25">
      <c r="A76" s="337" t="s">
        <v>2292</v>
      </c>
      <c r="B76" s="338">
        <v>0.75</v>
      </c>
      <c r="C76" s="242">
        <v>0.60000000000000009</v>
      </c>
      <c r="D76" s="339">
        <v>30539.7</v>
      </c>
    </row>
    <row r="77" spans="1:4" x14ac:dyDescent="0.25">
      <c r="A77" s="337" t="s">
        <v>1697</v>
      </c>
      <c r="B77" s="338">
        <v>3.125</v>
      </c>
      <c r="C77" s="242">
        <v>2.5062500000000005</v>
      </c>
      <c r="D77" s="339">
        <v>225921.13750000001</v>
      </c>
    </row>
    <row r="78" spans="1:4" x14ac:dyDescent="0.25">
      <c r="A78" s="337" t="s">
        <v>1465</v>
      </c>
      <c r="B78" s="338">
        <v>0.125</v>
      </c>
      <c r="C78" s="242">
        <v>0.1</v>
      </c>
      <c r="D78" s="339">
        <v>9027.8250000000007</v>
      </c>
    </row>
    <row r="79" spans="1:4" x14ac:dyDescent="0.25">
      <c r="A79" s="337" t="s">
        <v>1466</v>
      </c>
      <c r="B79" s="338">
        <v>0.125</v>
      </c>
      <c r="C79" s="242">
        <v>0.1</v>
      </c>
      <c r="D79" s="339">
        <v>9027.8250000000007</v>
      </c>
    </row>
    <row r="80" spans="1:4" x14ac:dyDescent="0.25">
      <c r="A80" s="337" t="s">
        <v>1467</v>
      </c>
      <c r="B80" s="338">
        <v>0.125</v>
      </c>
      <c r="C80" s="242">
        <v>0.1</v>
      </c>
      <c r="D80" s="339">
        <v>9027.8250000000007</v>
      </c>
    </row>
    <row r="81" spans="1:4" x14ac:dyDescent="0.25">
      <c r="A81" s="337" t="s">
        <v>1876</v>
      </c>
      <c r="B81" s="338">
        <v>0.5</v>
      </c>
      <c r="C81" s="242">
        <v>0.42499999999999999</v>
      </c>
      <c r="D81" s="339">
        <v>37013.35</v>
      </c>
    </row>
    <row r="82" spans="1:4" x14ac:dyDescent="0.25">
      <c r="A82" s="337" t="s">
        <v>1799</v>
      </c>
      <c r="B82" s="338">
        <v>0.75</v>
      </c>
      <c r="C82" s="242">
        <v>0.63749999999999996</v>
      </c>
      <c r="D82" s="339">
        <v>55520.024999999994</v>
      </c>
    </row>
    <row r="83" spans="1:4" x14ac:dyDescent="0.25">
      <c r="A83" s="337" t="s">
        <v>1877</v>
      </c>
      <c r="B83" s="338">
        <v>0.5</v>
      </c>
      <c r="C83" s="242">
        <v>0.42499999999999999</v>
      </c>
      <c r="D83" s="339">
        <v>37013.35</v>
      </c>
    </row>
    <row r="84" spans="1:4" x14ac:dyDescent="0.25">
      <c r="A84" s="337" t="s">
        <v>1980</v>
      </c>
      <c r="B84" s="338">
        <v>0.75</v>
      </c>
      <c r="C84" s="242">
        <v>0.63749999999999996</v>
      </c>
      <c r="D84" s="339">
        <v>55520.024999999994</v>
      </c>
    </row>
    <row r="85" spans="1:4" x14ac:dyDescent="0.25">
      <c r="A85" s="337" t="s">
        <v>1439</v>
      </c>
      <c r="B85" s="338">
        <v>1.25</v>
      </c>
      <c r="C85" s="242">
        <v>1.0625</v>
      </c>
      <c r="D85" s="339">
        <v>51989.625</v>
      </c>
    </row>
    <row r="86" spans="1:4" x14ac:dyDescent="0.25">
      <c r="A86" s="337" t="s">
        <v>1490</v>
      </c>
      <c r="B86" s="338">
        <v>6</v>
      </c>
      <c r="C86" s="242">
        <v>5.0999999999999996</v>
      </c>
      <c r="D86" s="339">
        <v>315687.59999999998</v>
      </c>
    </row>
    <row r="87" spans="1:4" x14ac:dyDescent="0.25">
      <c r="A87" s="337" t="s">
        <v>1896</v>
      </c>
      <c r="B87" s="338">
        <v>2.3000000000000003</v>
      </c>
      <c r="C87" s="242">
        <v>1.9550000000000001</v>
      </c>
      <c r="D87" s="339">
        <v>121013.58</v>
      </c>
    </row>
    <row r="88" spans="1:4" x14ac:dyDescent="0.25">
      <c r="A88" s="337" t="s">
        <v>1879</v>
      </c>
      <c r="B88" s="338">
        <v>14.5</v>
      </c>
      <c r="C88" s="242">
        <v>12.324999999999999</v>
      </c>
      <c r="D88" s="339">
        <v>603079.65</v>
      </c>
    </row>
    <row r="89" spans="1:4" x14ac:dyDescent="0.25">
      <c r="A89" s="337" t="s">
        <v>1981</v>
      </c>
      <c r="B89" s="338">
        <v>21.5</v>
      </c>
      <c r="C89" s="242">
        <v>18.275000000000002</v>
      </c>
      <c r="D89" s="339">
        <v>894221.54999999993</v>
      </c>
    </row>
    <row r="90" spans="1:4" x14ac:dyDescent="0.25">
      <c r="A90" s="337" t="s">
        <v>1982</v>
      </c>
      <c r="B90" s="338">
        <v>17.5</v>
      </c>
      <c r="C90" s="242">
        <v>14.875</v>
      </c>
      <c r="D90" s="339">
        <v>727854.74999999988</v>
      </c>
    </row>
    <row r="91" spans="1:4" x14ac:dyDescent="0.25">
      <c r="A91" s="337" t="s">
        <v>1521</v>
      </c>
      <c r="B91" s="338">
        <v>2.25</v>
      </c>
      <c r="C91" s="242">
        <v>1.9124999999999999</v>
      </c>
      <c r="D91" s="339">
        <v>93581.324999999983</v>
      </c>
    </row>
    <row r="92" spans="1:4" x14ac:dyDescent="0.25">
      <c r="A92" s="337" t="s">
        <v>1445</v>
      </c>
      <c r="B92" s="338">
        <v>4</v>
      </c>
      <c r="C92" s="242">
        <v>3.3374999999999999</v>
      </c>
      <c r="D92" s="339">
        <v>232439.63750000001</v>
      </c>
    </row>
    <row r="93" spans="1:4" x14ac:dyDescent="0.25">
      <c r="A93" s="337" t="s">
        <v>1435</v>
      </c>
      <c r="B93" s="338">
        <v>2.75</v>
      </c>
      <c r="C93" s="242">
        <v>2.2749999999999999</v>
      </c>
      <c r="D93" s="339">
        <v>159257.07500000001</v>
      </c>
    </row>
    <row r="94" spans="1:4" x14ac:dyDescent="0.25">
      <c r="A94" s="337" t="s">
        <v>1550</v>
      </c>
      <c r="B94" s="338">
        <v>25.5</v>
      </c>
      <c r="C94" s="242">
        <v>21.425000000000001</v>
      </c>
      <c r="D94" s="339">
        <v>2891601.75</v>
      </c>
    </row>
    <row r="95" spans="1:4" x14ac:dyDescent="0.25">
      <c r="A95" s="337" t="s">
        <v>1764</v>
      </c>
      <c r="B95" s="338">
        <v>13.5</v>
      </c>
      <c r="C95" s="242">
        <v>11.425000000000001</v>
      </c>
      <c r="D95" s="339">
        <v>1533765.75</v>
      </c>
    </row>
    <row r="96" spans="1:4" x14ac:dyDescent="0.25">
      <c r="A96" s="337" t="s">
        <v>2325</v>
      </c>
      <c r="B96" s="338">
        <v>21</v>
      </c>
      <c r="C96" s="242">
        <v>17.724999999999998</v>
      </c>
      <c r="D96" s="339">
        <v>2384184.75</v>
      </c>
    </row>
    <row r="97" spans="1:4" x14ac:dyDescent="0.25">
      <c r="A97" s="337" t="s">
        <v>2481</v>
      </c>
      <c r="B97" s="338">
        <v>0.625</v>
      </c>
      <c r="C97" s="242">
        <v>0.5</v>
      </c>
      <c r="D97" s="339">
        <v>25449.75</v>
      </c>
    </row>
    <row r="98" spans="1:4" x14ac:dyDescent="0.25">
      <c r="A98" s="337" t="s">
        <v>1667</v>
      </c>
      <c r="B98" s="338">
        <v>3.75</v>
      </c>
      <c r="C98" s="242">
        <v>3</v>
      </c>
      <c r="D98" s="339">
        <v>152698.5</v>
      </c>
    </row>
    <row r="99" spans="1:4" x14ac:dyDescent="0.25">
      <c r="A99" s="337" t="s">
        <v>1666</v>
      </c>
      <c r="B99" s="338">
        <v>3.75</v>
      </c>
      <c r="C99" s="242">
        <v>3</v>
      </c>
      <c r="D99" s="339">
        <v>152698.5</v>
      </c>
    </row>
    <row r="100" spans="1:4" x14ac:dyDescent="0.25">
      <c r="A100" s="337" t="s">
        <v>2139</v>
      </c>
      <c r="B100" s="338">
        <v>9.75</v>
      </c>
      <c r="C100" s="242">
        <v>7.8000000000000007</v>
      </c>
      <c r="D100" s="339">
        <v>397016.1</v>
      </c>
    </row>
    <row r="101" spans="1:4" x14ac:dyDescent="0.25">
      <c r="A101" s="337" t="s">
        <v>1983</v>
      </c>
      <c r="B101" s="338">
        <v>1.25</v>
      </c>
      <c r="C101" s="242">
        <v>1.0625</v>
      </c>
      <c r="D101" s="339">
        <v>62125.5625</v>
      </c>
    </row>
    <row r="102" spans="1:4" x14ac:dyDescent="0.25">
      <c r="A102" s="337" t="s">
        <v>1801</v>
      </c>
      <c r="B102" s="338">
        <v>1.25</v>
      </c>
      <c r="C102" s="242">
        <v>1.0625</v>
      </c>
      <c r="D102" s="339">
        <v>62125.5625</v>
      </c>
    </row>
    <row r="103" spans="1:4" x14ac:dyDescent="0.25">
      <c r="A103" s="337" t="s">
        <v>1875</v>
      </c>
      <c r="B103" s="338">
        <v>0.5</v>
      </c>
      <c r="C103" s="242">
        <v>0.42499999999999999</v>
      </c>
      <c r="D103" s="339">
        <v>28904.6</v>
      </c>
    </row>
    <row r="104" spans="1:4" x14ac:dyDescent="0.25">
      <c r="A104" s="337" t="s">
        <v>1878</v>
      </c>
      <c r="B104" s="338">
        <v>0.5</v>
      </c>
      <c r="C104" s="242">
        <v>0.42499999999999999</v>
      </c>
      <c r="D104" s="339">
        <v>20795.849999999999</v>
      </c>
    </row>
    <row r="105" spans="1:4" x14ac:dyDescent="0.25">
      <c r="A105" s="337" t="s">
        <v>1984</v>
      </c>
      <c r="B105" s="338">
        <v>0.75</v>
      </c>
      <c r="C105" s="242">
        <v>0.63749999999999996</v>
      </c>
      <c r="D105" s="339">
        <v>31193.774999999998</v>
      </c>
    </row>
    <row r="106" spans="1:4" x14ac:dyDescent="0.25">
      <c r="A106" s="337" t="s">
        <v>2028</v>
      </c>
      <c r="B106" s="338">
        <v>0.30000000000000004</v>
      </c>
      <c r="C106" s="242">
        <v>0.255</v>
      </c>
      <c r="D106" s="339">
        <v>15784.380000000001</v>
      </c>
    </row>
    <row r="107" spans="1:4" x14ac:dyDescent="0.25">
      <c r="A107" s="337" t="s">
        <v>2341</v>
      </c>
      <c r="B107" s="338">
        <v>0.75</v>
      </c>
      <c r="C107" s="242">
        <v>0.63749999999999996</v>
      </c>
      <c r="D107" s="339">
        <v>31193.774999999998</v>
      </c>
    </row>
    <row r="108" spans="1:4" x14ac:dyDescent="0.25">
      <c r="A108" s="337" t="s">
        <v>2006</v>
      </c>
      <c r="B108" s="338">
        <v>28.25</v>
      </c>
      <c r="C108" s="242">
        <v>22.6</v>
      </c>
      <c r="D108" s="339">
        <v>2040288.45</v>
      </c>
    </row>
    <row r="109" spans="1:4" x14ac:dyDescent="0.25">
      <c r="A109" s="337" t="s">
        <v>2281</v>
      </c>
      <c r="B109" s="338">
        <v>5</v>
      </c>
      <c r="C109" s="242">
        <v>4</v>
      </c>
      <c r="D109" s="339">
        <v>203598</v>
      </c>
    </row>
    <row r="110" spans="1:4" x14ac:dyDescent="0.25">
      <c r="A110" s="337" t="s">
        <v>2097</v>
      </c>
      <c r="B110" s="338">
        <v>17.5</v>
      </c>
      <c r="C110" s="242">
        <v>14</v>
      </c>
      <c r="D110" s="339">
        <v>1263895.5</v>
      </c>
    </row>
    <row r="111" spans="1:4" x14ac:dyDescent="0.25">
      <c r="A111" s="337" t="s">
        <v>2098</v>
      </c>
      <c r="B111" s="338">
        <v>3.75</v>
      </c>
      <c r="C111" s="242">
        <v>3</v>
      </c>
      <c r="D111" s="339">
        <v>270834.75</v>
      </c>
    </row>
    <row r="112" spans="1:4" x14ac:dyDescent="0.25">
      <c r="A112" s="337" t="s">
        <v>2160</v>
      </c>
      <c r="B112" s="338">
        <v>2.125</v>
      </c>
      <c r="C112" s="242">
        <v>1.7000000000000002</v>
      </c>
      <c r="D112" s="339">
        <v>86529.15</v>
      </c>
    </row>
    <row r="113" spans="1:4" x14ac:dyDescent="0.25">
      <c r="A113" s="337" t="s">
        <v>2161</v>
      </c>
      <c r="B113" s="338">
        <v>3.75</v>
      </c>
      <c r="C113" s="242">
        <v>3</v>
      </c>
      <c r="D113" s="339">
        <v>152698.5</v>
      </c>
    </row>
    <row r="114" spans="1:4" x14ac:dyDescent="0.25">
      <c r="A114" s="337" t="s">
        <v>2384</v>
      </c>
      <c r="B114" s="338">
        <v>2.25</v>
      </c>
      <c r="C114" s="242">
        <v>1.8</v>
      </c>
      <c r="D114" s="339">
        <v>91619.1</v>
      </c>
    </row>
    <row r="115" spans="1:4" x14ac:dyDescent="0.25">
      <c r="A115" s="337" t="s">
        <v>2149</v>
      </c>
      <c r="B115" s="338">
        <v>21.5</v>
      </c>
      <c r="C115" s="242">
        <v>18.274999999999999</v>
      </c>
      <c r="D115" s="339">
        <v>1311483.875</v>
      </c>
    </row>
    <row r="116" spans="1:4" x14ac:dyDescent="0.25">
      <c r="A116" s="337" t="s">
        <v>2150</v>
      </c>
      <c r="B116" s="338">
        <v>25.25</v>
      </c>
      <c r="C116" s="242">
        <v>21.462499999999999</v>
      </c>
      <c r="D116" s="339">
        <v>1540231.0625</v>
      </c>
    </row>
    <row r="117" spans="1:4" x14ac:dyDescent="0.25">
      <c r="A117" s="337" t="s">
        <v>2253</v>
      </c>
      <c r="B117" s="338">
        <v>11.5</v>
      </c>
      <c r="C117" s="242">
        <v>9.7750000000000004</v>
      </c>
      <c r="D117" s="339">
        <v>701491.375</v>
      </c>
    </row>
    <row r="118" spans="1:4" x14ac:dyDescent="0.25">
      <c r="A118" s="337" t="s">
        <v>2254</v>
      </c>
      <c r="B118" s="338">
        <v>16.75</v>
      </c>
      <c r="C118" s="242">
        <v>14.237500000000001</v>
      </c>
      <c r="D118" s="339">
        <v>881294.55</v>
      </c>
    </row>
    <row r="119" spans="1:4" x14ac:dyDescent="0.25">
      <c r="A119" s="337" t="s">
        <v>2414</v>
      </c>
      <c r="B119" s="338">
        <v>1.5</v>
      </c>
      <c r="C119" s="242">
        <v>1.2749999999999999</v>
      </c>
      <c r="D119" s="339">
        <v>91498.875</v>
      </c>
    </row>
    <row r="120" spans="1:4" x14ac:dyDescent="0.25">
      <c r="A120" s="337" t="s">
        <v>2415</v>
      </c>
      <c r="B120" s="338">
        <v>0.75</v>
      </c>
      <c r="C120" s="242">
        <v>0.63749999999999996</v>
      </c>
      <c r="D120" s="339">
        <v>45749.4375</v>
      </c>
    </row>
    <row r="121" spans="1:4" x14ac:dyDescent="0.25">
      <c r="A121" s="337" t="s">
        <v>2417</v>
      </c>
      <c r="B121" s="338">
        <v>0.75</v>
      </c>
      <c r="C121" s="242">
        <v>0.63749999999999996</v>
      </c>
      <c r="D121" s="339">
        <v>45749.4375</v>
      </c>
    </row>
    <row r="122" spans="1:4" x14ac:dyDescent="0.25">
      <c r="A122" s="337" t="s">
        <v>2419</v>
      </c>
      <c r="B122" s="338">
        <v>1.75</v>
      </c>
      <c r="C122" s="242">
        <v>1.4875</v>
      </c>
      <c r="D122" s="339">
        <v>92075.55</v>
      </c>
    </row>
    <row r="123" spans="1:4" x14ac:dyDescent="0.25">
      <c r="A123" s="337" t="s">
        <v>2420</v>
      </c>
      <c r="B123" s="338">
        <v>0.75</v>
      </c>
      <c r="C123" s="242">
        <v>0.63749999999999996</v>
      </c>
      <c r="D123" s="339">
        <v>45749.4375</v>
      </c>
    </row>
    <row r="124" spans="1:4" x14ac:dyDescent="0.25">
      <c r="A124" s="337" t="s">
        <v>2421</v>
      </c>
      <c r="B124" s="338">
        <v>0.75</v>
      </c>
      <c r="C124" s="242">
        <v>0.63749999999999996</v>
      </c>
      <c r="D124" s="339">
        <v>45749.4375</v>
      </c>
    </row>
    <row r="125" spans="1:4" x14ac:dyDescent="0.25">
      <c r="A125" s="337" t="s">
        <v>2422</v>
      </c>
      <c r="B125" s="338">
        <v>2.5</v>
      </c>
      <c r="C125" s="242">
        <v>2.125</v>
      </c>
      <c r="D125" s="339">
        <v>152498.125</v>
      </c>
    </row>
    <row r="126" spans="1:4" x14ac:dyDescent="0.25">
      <c r="A126" s="337" t="s">
        <v>2423</v>
      </c>
      <c r="B126" s="338">
        <v>8.5</v>
      </c>
      <c r="C126" s="242">
        <v>7.2249999999999996</v>
      </c>
      <c r="D126" s="339">
        <v>447224.1</v>
      </c>
    </row>
    <row r="127" spans="1:4" x14ac:dyDescent="0.25">
      <c r="A127" s="337" t="s">
        <v>2424</v>
      </c>
      <c r="B127" s="338">
        <v>0.25</v>
      </c>
      <c r="C127" s="242">
        <v>0.21249999999999999</v>
      </c>
      <c r="D127" s="339">
        <v>15249.8125</v>
      </c>
    </row>
    <row r="128" spans="1:4" x14ac:dyDescent="0.25">
      <c r="A128" s="337" t="s">
        <v>2425</v>
      </c>
      <c r="B128" s="338">
        <v>3.25</v>
      </c>
      <c r="C128" s="242">
        <v>2.7625000000000002</v>
      </c>
      <c r="D128" s="339">
        <v>198247.5625</v>
      </c>
    </row>
    <row r="129" spans="1:4" x14ac:dyDescent="0.25">
      <c r="A129" s="337" t="s">
        <v>1772</v>
      </c>
      <c r="B129" s="338">
        <v>2.75</v>
      </c>
      <c r="C129" s="242">
        <v>2.2000000000000002</v>
      </c>
      <c r="D129" s="339">
        <v>111978.9</v>
      </c>
    </row>
    <row r="130" spans="1:4" x14ac:dyDescent="0.25">
      <c r="A130" s="337" t="s">
        <v>1891</v>
      </c>
      <c r="B130" s="338">
        <v>8.5</v>
      </c>
      <c r="C130" s="242">
        <v>7.2249999999999996</v>
      </c>
      <c r="D130" s="339">
        <v>353529.45</v>
      </c>
    </row>
    <row r="131" spans="1:4" x14ac:dyDescent="0.25">
      <c r="A131" s="337" t="s">
        <v>849</v>
      </c>
      <c r="B131" s="338">
        <v>6.5</v>
      </c>
      <c r="C131" s="242">
        <v>5.4749999999999996</v>
      </c>
      <c r="D131" s="339">
        <v>269473.94999999995</v>
      </c>
    </row>
    <row r="132" spans="1:4" x14ac:dyDescent="0.25">
      <c r="A132" s="337" t="s">
        <v>1124</v>
      </c>
      <c r="B132" s="338">
        <v>43.11</v>
      </c>
      <c r="C132" s="242">
        <v>36.643499999999996</v>
      </c>
      <c r="D132" s="339">
        <v>2629677.6675</v>
      </c>
    </row>
    <row r="133" spans="1:4" x14ac:dyDescent="0.25">
      <c r="A133" s="337" t="s">
        <v>1126</v>
      </c>
      <c r="B133" s="338">
        <v>40.232500000000002</v>
      </c>
      <c r="C133" s="242">
        <v>34.197625000000002</v>
      </c>
      <c r="D133" s="339">
        <v>2454152.3256250001</v>
      </c>
    </row>
    <row r="134" spans="1:4" x14ac:dyDescent="0.25">
      <c r="A134" s="337" t="s">
        <v>2180</v>
      </c>
      <c r="B134" s="338">
        <v>7.0419999999999998</v>
      </c>
      <c r="C134" s="242">
        <v>5.9856999999999996</v>
      </c>
      <c r="D134" s="339">
        <v>429556.71849999996</v>
      </c>
    </row>
    <row r="135" spans="1:4" x14ac:dyDescent="0.25">
      <c r="A135" s="337" t="s">
        <v>2210</v>
      </c>
      <c r="B135" s="338">
        <v>7.5</v>
      </c>
      <c r="C135" s="242">
        <v>6.375</v>
      </c>
      <c r="D135" s="339">
        <v>457494.375</v>
      </c>
    </row>
    <row r="136" spans="1:4" x14ac:dyDescent="0.25">
      <c r="A136" s="337" t="s">
        <v>815</v>
      </c>
      <c r="B136" s="338">
        <v>1.9</v>
      </c>
      <c r="C136" s="242">
        <v>1.615</v>
      </c>
      <c r="D136" s="339">
        <v>99967.739999999991</v>
      </c>
    </row>
    <row r="137" spans="1:4" x14ac:dyDescent="0.25">
      <c r="A137" s="337" t="s">
        <v>814</v>
      </c>
      <c r="B137" s="338">
        <v>3.8</v>
      </c>
      <c r="C137" s="242">
        <v>3.23</v>
      </c>
      <c r="D137" s="339">
        <v>199935.47999999998</v>
      </c>
    </row>
    <row r="138" spans="1:4" x14ac:dyDescent="0.25">
      <c r="A138" s="337" t="s">
        <v>1272</v>
      </c>
      <c r="B138" s="338">
        <v>13.5</v>
      </c>
      <c r="C138" s="242">
        <v>11.475</v>
      </c>
      <c r="D138" s="339">
        <v>710297.1</v>
      </c>
    </row>
    <row r="139" spans="1:4" x14ac:dyDescent="0.25">
      <c r="A139" s="337" t="s">
        <v>1273</v>
      </c>
      <c r="B139" s="338">
        <v>7.125</v>
      </c>
      <c r="C139" s="242">
        <v>6.0562499999999995</v>
      </c>
      <c r="D139" s="339">
        <v>374879.02499999997</v>
      </c>
    </row>
    <row r="140" spans="1:4" x14ac:dyDescent="0.25">
      <c r="A140" s="337" t="s">
        <v>1634</v>
      </c>
      <c r="B140" s="338">
        <v>2.625</v>
      </c>
      <c r="C140" s="242">
        <v>2.2312499999999997</v>
      </c>
      <c r="D140" s="339">
        <v>109178.21249999999</v>
      </c>
    </row>
    <row r="141" spans="1:4" x14ac:dyDescent="0.25">
      <c r="A141" s="337" t="s">
        <v>2199</v>
      </c>
      <c r="B141" s="338">
        <v>0.375</v>
      </c>
      <c r="C141" s="242">
        <v>0.31874999999999998</v>
      </c>
      <c r="D141" s="339">
        <v>19730.474999999999</v>
      </c>
    </row>
    <row r="142" spans="1:4" x14ac:dyDescent="0.25">
      <c r="A142" s="337" t="s">
        <v>2200</v>
      </c>
      <c r="B142" s="338">
        <v>0.75</v>
      </c>
      <c r="C142" s="242">
        <v>0.63749999999999996</v>
      </c>
      <c r="D142" s="339">
        <v>39460.949999999997</v>
      </c>
    </row>
    <row r="143" spans="1:4" x14ac:dyDescent="0.25">
      <c r="A143" s="337" t="s">
        <v>2201</v>
      </c>
      <c r="B143" s="338">
        <v>0.75</v>
      </c>
      <c r="C143" s="242">
        <v>0.63749999999999996</v>
      </c>
      <c r="D143" s="339">
        <v>39460.949999999997</v>
      </c>
    </row>
    <row r="144" spans="1:4" x14ac:dyDescent="0.25">
      <c r="A144" s="337" t="s">
        <v>2134</v>
      </c>
      <c r="B144" s="338">
        <v>15.5</v>
      </c>
      <c r="C144" s="242">
        <v>13.175000000000001</v>
      </c>
      <c r="D144" s="339">
        <v>644671.35000000009</v>
      </c>
    </row>
    <row r="145" spans="1:4" x14ac:dyDescent="0.25">
      <c r="A145" s="337" t="s">
        <v>2290</v>
      </c>
      <c r="B145" s="338">
        <v>6.25</v>
      </c>
      <c r="C145" s="242">
        <v>5</v>
      </c>
      <c r="D145" s="339">
        <v>254497.5</v>
      </c>
    </row>
    <row r="146" spans="1:4" x14ac:dyDescent="0.25">
      <c r="A146" s="337" t="s">
        <v>2291</v>
      </c>
      <c r="B146" s="338">
        <v>5</v>
      </c>
      <c r="C146" s="242">
        <v>4</v>
      </c>
      <c r="D146" s="339">
        <v>203598</v>
      </c>
    </row>
    <row r="147" spans="1:4" x14ac:dyDescent="0.25">
      <c r="A147" s="337" t="s">
        <v>2405</v>
      </c>
      <c r="B147" s="338">
        <v>2.5</v>
      </c>
      <c r="C147" s="242">
        <v>2</v>
      </c>
      <c r="D147" s="339">
        <v>101799</v>
      </c>
    </row>
    <row r="148" spans="1:4" x14ac:dyDescent="0.25">
      <c r="A148" s="337" t="s">
        <v>1277</v>
      </c>
      <c r="B148" s="338">
        <v>7.875</v>
      </c>
      <c r="C148" s="242">
        <v>6.6937499999999996</v>
      </c>
      <c r="D148" s="339">
        <v>414339.97499999998</v>
      </c>
    </row>
    <row r="149" spans="1:4" x14ac:dyDescent="0.25">
      <c r="A149" s="337" t="s">
        <v>1262</v>
      </c>
      <c r="B149" s="338">
        <v>2.875</v>
      </c>
      <c r="C149" s="242">
        <v>2.3875000000000002</v>
      </c>
      <c r="D149" s="339">
        <v>210797.14999999997</v>
      </c>
    </row>
    <row r="150" spans="1:4" x14ac:dyDescent="0.25">
      <c r="A150" s="337" t="s">
        <v>1318</v>
      </c>
      <c r="B150" s="338">
        <v>5.75</v>
      </c>
      <c r="C150" s="242">
        <v>4.8875000000000002</v>
      </c>
      <c r="D150" s="339">
        <v>425653.52500000002</v>
      </c>
    </row>
    <row r="151" spans="1:4" x14ac:dyDescent="0.25">
      <c r="A151" s="337" t="s">
        <v>1802</v>
      </c>
      <c r="B151" s="338">
        <v>5.875</v>
      </c>
      <c r="C151" s="242">
        <v>4.8687500000000004</v>
      </c>
      <c r="D151" s="339">
        <v>430396.61250000005</v>
      </c>
    </row>
    <row r="152" spans="1:4" x14ac:dyDescent="0.25">
      <c r="A152" s="337" t="s">
        <v>1803</v>
      </c>
      <c r="B152" s="338">
        <v>4.75</v>
      </c>
      <c r="C152" s="242">
        <v>3.95</v>
      </c>
      <c r="D152" s="339">
        <v>348469.65</v>
      </c>
    </row>
    <row r="153" spans="1:4" x14ac:dyDescent="0.25">
      <c r="A153" s="337" t="s">
        <v>1804</v>
      </c>
      <c r="B153" s="338">
        <v>4</v>
      </c>
      <c r="C153" s="242">
        <v>3.3625000000000003</v>
      </c>
      <c r="D153" s="339">
        <v>294753.72500000003</v>
      </c>
    </row>
    <row r="154" spans="1:4" x14ac:dyDescent="0.25">
      <c r="A154" s="337" t="s">
        <v>1898</v>
      </c>
      <c r="B154" s="338">
        <v>4.125</v>
      </c>
      <c r="C154" s="242">
        <v>3.3812499999999996</v>
      </c>
      <c r="D154" s="339">
        <v>300849.88749999995</v>
      </c>
    </row>
    <row r="155" spans="1:4" x14ac:dyDescent="0.25">
      <c r="A155" s="337" t="s">
        <v>1899</v>
      </c>
      <c r="B155" s="338">
        <v>2.25</v>
      </c>
      <c r="C155" s="242">
        <v>1.8875</v>
      </c>
      <c r="D155" s="339">
        <v>165658.02499999999</v>
      </c>
    </row>
    <row r="156" spans="1:4" x14ac:dyDescent="0.25">
      <c r="A156" s="337" t="s">
        <v>1900</v>
      </c>
      <c r="B156" s="338">
        <v>1.875</v>
      </c>
      <c r="C156" s="242">
        <v>1.5687499999999999</v>
      </c>
      <c r="D156" s="339">
        <v>137898.01250000001</v>
      </c>
    </row>
    <row r="157" spans="1:4" x14ac:dyDescent="0.25">
      <c r="A157" s="337" t="s">
        <v>1882</v>
      </c>
      <c r="B157" s="338">
        <v>3.25</v>
      </c>
      <c r="C157" s="242">
        <v>2.75</v>
      </c>
      <c r="D157" s="339">
        <v>240135.75</v>
      </c>
    </row>
    <row r="158" spans="1:4" x14ac:dyDescent="0.25">
      <c r="A158" s="337" t="s">
        <v>1929</v>
      </c>
      <c r="B158" s="338">
        <v>0.25</v>
      </c>
      <c r="C158" s="242">
        <v>0.21249999999999999</v>
      </c>
      <c r="D158" s="339">
        <v>18506.674999999999</v>
      </c>
    </row>
    <row r="159" spans="1:4" x14ac:dyDescent="0.25">
      <c r="A159" s="337" t="s">
        <v>1850</v>
      </c>
      <c r="B159" s="338">
        <v>0.25</v>
      </c>
      <c r="C159" s="242">
        <v>0.21249999999999999</v>
      </c>
      <c r="D159" s="339">
        <v>18506.674999999999</v>
      </c>
    </row>
    <row r="160" spans="1:4" x14ac:dyDescent="0.25">
      <c r="A160" s="337" t="s">
        <v>1901</v>
      </c>
      <c r="B160" s="338">
        <v>1</v>
      </c>
      <c r="C160" s="242">
        <v>0.85000000000000009</v>
      </c>
      <c r="D160" s="339">
        <v>52614.6</v>
      </c>
    </row>
    <row r="161" spans="1:4" x14ac:dyDescent="0.25">
      <c r="A161" s="337" t="s">
        <v>1930</v>
      </c>
      <c r="B161" s="338">
        <v>0.25</v>
      </c>
      <c r="C161" s="242">
        <v>0.2</v>
      </c>
      <c r="D161" s="339">
        <v>18055.650000000001</v>
      </c>
    </row>
    <row r="162" spans="1:4" x14ac:dyDescent="0.25">
      <c r="A162" s="337" t="s">
        <v>2283</v>
      </c>
      <c r="B162" s="338">
        <v>3.625</v>
      </c>
      <c r="C162" s="242">
        <v>3.03125</v>
      </c>
      <c r="D162" s="339">
        <v>266542.6875</v>
      </c>
    </row>
    <row r="163" spans="1:4" x14ac:dyDescent="0.25">
      <c r="A163" s="337" t="s">
        <v>2329</v>
      </c>
      <c r="B163" s="338">
        <v>6</v>
      </c>
      <c r="C163" s="242">
        <v>5.0999999999999996</v>
      </c>
      <c r="D163" s="339">
        <v>444160.2</v>
      </c>
    </row>
    <row r="164" spans="1:4" x14ac:dyDescent="0.25">
      <c r="A164" s="337" t="s">
        <v>1902</v>
      </c>
      <c r="B164" s="338">
        <v>1.5</v>
      </c>
      <c r="C164" s="242">
        <v>1.2749999999999999</v>
      </c>
      <c r="D164" s="339">
        <v>111040.05</v>
      </c>
    </row>
    <row r="165" spans="1:4" x14ac:dyDescent="0.25">
      <c r="A165" s="337" t="s">
        <v>1321</v>
      </c>
      <c r="B165" s="338">
        <v>6.375</v>
      </c>
      <c r="C165" s="242">
        <v>5.4187500000000002</v>
      </c>
      <c r="D165" s="339">
        <v>471920.21250000002</v>
      </c>
    </row>
    <row r="166" spans="1:4" x14ac:dyDescent="0.25">
      <c r="A166" s="337" t="s">
        <v>1420</v>
      </c>
      <c r="B166" s="338">
        <v>5.875</v>
      </c>
      <c r="C166" s="242">
        <v>4.9937499999999995</v>
      </c>
      <c r="D166" s="339">
        <v>434906.86249999999</v>
      </c>
    </row>
    <row r="167" spans="1:4" x14ac:dyDescent="0.25">
      <c r="A167" s="337" t="s">
        <v>1422</v>
      </c>
      <c r="B167" s="338">
        <v>4.75</v>
      </c>
      <c r="C167" s="242">
        <v>4.0375000000000005</v>
      </c>
      <c r="D167" s="339">
        <v>351626.82500000007</v>
      </c>
    </row>
    <row r="168" spans="1:4" x14ac:dyDescent="0.25">
      <c r="A168" s="337" t="s">
        <v>1424</v>
      </c>
      <c r="B168" s="338">
        <v>5.375</v>
      </c>
      <c r="C168" s="242">
        <v>4.5687499999999996</v>
      </c>
      <c r="D168" s="339">
        <v>397893.51249999995</v>
      </c>
    </row>
    <row r="169" spans="1:4" x14ac:dyDescent="0.25">
      <c r="A169" s="337" t="s">
        <v>1426</v>
      </c>
      <c r="B169" s="338">
        <v>5.125</v>
      </c>
      <c r="C169" s="242">
        <v>4.3562500000000002</v>
      </c>
      <c r="D169" s="339">
        <v>379386.83750000002</v>
      </c>
    </row>
    <row r="170" spans="1:4" x14ac:dyDescent="0.25">
      <c r="A170" s="337" t="s">
        <v>1428</v>
      </c>
      <c r="B170" s="338">
        <v>2.875</v>
      </c>
      <c r="C170" s="242">
        <v>2.4437500000000001</v>
      </c>
      <c r="D170" s="339">
        <v>212826.76249999998</v>
      </c>
    </row>
    <row r="171" spans="1:4" x14ac:dyDescent="0.25">
      <c r="A171" s="337" t="s">
        <v>1530</v>
      </c>
      <c r="B171" s="338">
        <v>7.125</v>
      </c>
      <c r="C171" s="242">
        <v>6.0562499999999995</v>
      </c>
      <c r="D171" s="339">
        <v>527440.23750000005</v>
      </c>
    </row>
    <row r="172" spans="1:4" x14ac:dyDescent="0.25">
      <c r="A172" s="337" t="s">
        <v>1607</v>
      </c>
      <c r="B172" s="338">
        <v>1.5</v>
      </c>
      <c r="C172" s="242">
        <v>1.2000000000000002</v>
      </c>
      <c r="D172" s="339">
        <v>108333.90000000001</v>
      </c>
    </row>
    <row r="173" spans="1:4" x14ac:dyDescent="0.25">
      <c r="A173" s="337" t="s">
        <v>1608</v>
      </c>
      <c r="B173" s="338">
        <v>1.5</v>
      </c>
      <c r="C173" s="242">
        <v>1.2000000000000002</v>
      </c>
      <c r="D173" s="339">
        <v>108333.90000000001</v>
      </c>
    </row>
    <row r="174" spans="1:4" x14ac:dyDescent="0.25">
      <c r="A174" s="337" t="s">
        <v>1605</v>
      </c>
      <c r="B174" s="338">
        <v>1.5</v>
      </c>
      <c r="C174" s="242">
        <v>1.2000000000000002</v>
      </c>
      <c r="D174" s="339">
        <v>108333.90000000001</v>
      </c>
    </row>
    <row r="175" spans="1:4" x14ac:dyDescent="0.25">
      <c r="A175" s="337" t="s">
        <v>1872</v>
      </c>
      <c r="B175" s="338">
        <v>3.25</v>
      </c>
      <c r="C175" s="242">
        <v>2.7562500000000001</v>
      </c>
      <c r="D175" s="339">
        <v>240361.26249999998</v>
      </c>
    </row>
    <row r="176" spans="1:4" x14ac:dyDescent="0.25">
      <c r="A176" s="337" t="s">
        <v>1881</v>
      </c>
      <c r="B176" s="338">
        <v>3.25</v>
      </c>
      <c r="C176" s="242">
        <v>2.75</v>
      </c>
      <c r="D176" s="339">
        <v>240135.75</v>
      </c>
    </row>
    <row r="177" spans="1:4" x14ac:dyDescent="0.25">
      <c r="A177" s="337" t="s">
        <v>1880</v>
      </c>
      <c r="B177" s="338">
        <v>3.5</v>
      </c>
      <c r="C177" s="242">
        <v>2.9499999999999997</v>
      </c>
      <c r="D177" s="339">
        <v>258191.40000000002</v>
      </c>
    </row>
    <row r="178" spans="1:4" x14ac:dyDescent="0.25">
      <c r="A178" s="337" t="s">
        <v>1931</v>
      </c>
      <c r="B178" s="338">
        <v>0.25</v>
      </c>
      <c r="C178" s="242">
        <v>0.21249999999999999</v>
      </c>
      <c r="D178" s="339">
        <v>18506.674999999999</v>
      </c>
    </row>
    <row r="179" spans="1:4" x14ac:dyDescent="0.25">
      <c r="A179" s="337" t="s">
        <v>764</v>
      </c>
      <c r="B179" s="338">
        <v>3</v>
      </c>
      <c r="C179" s="242">
        <v>2.5499999999999998</v>
      </c>
      <c r="D179" s="339">
        <v>486637.35</v>
      </c>
    </row>
    <row r="180" spans="1:4" x14ac:dyDescent="0.25">
      <c r="A180" s="337" t="s">
        <v>1107</v>
      </c>
      <c r="B180" s="338">
        <v>0.5</v>
      </c>
      <c r="C180" s="242">
        <v>0.4</v>
      </c>
      <c r="D180" s="339">
        <v>79452.800000000003</v>
      </c>
    </row>
    <row r="181" spans="1:4" x14ac:dyDescent="0.25">
      <c r="A181" s="337" t="s">
        <v>1549</v>
      </c>
      <c r="B181" s="338">
        <v>1.5</v>
      </c>
      <c r="C181" s="242">
        <v>1.2749999999999999</v>
      </c>
      <c r="D181" s="339">
        <v>243318.67499999999</v>
      </c>
    </row>
    <row r="182" spans="1:4" x14ac:dyDescent="0.25">
      <c r="A182" s="337" t="s">
        <v>2091</v>
      </c>
      <c r="B182" s="338">
        <v>6.25</v>
      </c>
      <c r="C182" s="242">
        <v>5</v>
      </c>
      <c r="D182" s="339">
        <v>993160</v>
      </c>
    </row>
    <row r="183" spans="1:4" x14ac:dyDescent="0.25">
      <c r="A183" s="337" t="s">
        <v>2092</v>
      </c>
      <c r="B183" s="338">
        <v>3.75</v>
      </c>
      <c r="C183" s="242">
        <v>3</v>
      </c>
      <c r="D183" s="339">
        <v>595896</v>
      </c>
    </row>
    <row r="184" spans="1:4" x14ac:dyDescent="0.25">
      <c r="A184" s="337" t="s">
        <v>2093</v>
      </c>
      <c r="B184" s="338">
        <v>5</v>
      </c>
      <c r="C184" s="242">
        <v>4</v>
      </c>
      <c r="D184" s="339">
        <v>794528</v>
      </c>
    </row>
    <row r="185" spans="1:4" x14ac:dyDescent="0.25">
      <c r="A185" s="337" t="s">
        <v>2022</v>
      </c>
      <c r="B185" s="338">
        <v>5</v>
      </c>
      <c r="C185" s="242">
        <v>4.1500000000000004</v>
      </c>
      <c r="D185" s="339">
        <v>804448.55</v>
      </c>
    </row>
    <row r="186" spans="1:4" x14ac:dyDescent="0.25">
      <c r="A186" s="337" t="s">
        <v>434</v>
      </c>
      <c r="B186" s="338">
        <v>5.75</v>
      </c>
      <c r="C186" s="242">
        <v>4.8875000000000002</v>
      </c>
      <c r="D186" s="339">
        <v>239152.27500000002</v>
      </c>
    </row>
    <row r="187" spans="1:4" x14ac:dyDescent="0.25">
      <c r="A187" s="337" t="s">
        <v>2206</v>
      </c>
      <c r="B187" s="338">
        <v>6</v>
      </c>
      <c r="C187" s="242">
        <v>5.0999999999999996</v>
      </c>
      <c r="D187" s="339">
        <v>249550.19999999998</v>
      </c>
    </row>
    <row r="188" spans="1:4" x14ac:dyDescent="0.25">
      <c r="A188" s="337" t="s">
        <v>2468</v>
      </c>
      <c r="B188" s="338">
        <v>0.375</v>
      </c>
      <c r="C188" s="242">
        <v>0.31874999999999998</v>
      </c>
      <c r="D188" s="339">
        <v>19730.474999999999</v>
      </c>
    </row>
    <row r="189" spans="1:4" x14ac:dyDescent="0.25">
      <c r="A189" s="337" t="s">
        <v>1985</v>
      </c>
      <c r="B189" s="338">
        <v>0.125</v>
      </c>
      <c r="C189" s="242">
        <v>0.10625</v>
      </c>
      <c r="D189" s="339">
        <v>9253.3374999999996</v>
      </c>
    </row>
    <row r="190" spans="1:4" x14ac:dyDescent="0.25">
      <c r="A190" s="337" t="s">
        <v>1746</v>
      </c>
      <c r="B190" s="338">
        <v>0.75</v>
      </c>
      <c r="C190" s="242">
        <v>0.625</v>
      </c>
      <c r="D190" s="339">
        <v>55069</v>
      </c>
    </row>
    <row r="191" spans="1:4" x14ac:dyDescent="0.25">
      <c r="A191" s="337" t="s">
        <v>1747</v>
      </c>
      <c r="B191" s="338">
        <v>0.625</v>
      </c>
      <c r="C191" s="242">
        <v>0.52499999999999991</v>
      </c>
      <c r="D191" s="339">
        <v>46041.174999999996</v>
      </c>
    </row>
    <row r="192" spans="1:4" x14ac:dyDescent="0.25">
      <c r="A192" s="337" t="s">
        <v>1537</v>
      </c>
      <c r="B192" s="338">
        <v>2.875</v>
      </c>
      <c r="C192" s="242">
        <v>2.4437500000000001</v>
      </c>
      <c r="D192" s="339">
        <v>212826.76250000001</v>
      </c>
    </row>
    <row r="193" spans="1:4" x14ac:dyDescent="0.25">
      <c r="A193" s="337" t="s">
        <v>1535</v>
      </c>
      <c r="B193" s="338">
        <v>10.25</v>
      </c>
      <c r="C193" s="242">
        <v>8.7125000000000004</v>
      </c>
      <c r="D193" s="339">
        <v>758773.67500000005</v>
      </c>
    </row>
    <row r="194" spans="1:4" x14ac:dyDescent="0.25">
      <c r="A194" s="337" t="s">
        <v>1538</v>
      </c>
      <c r="B194" s="338">
        <v>4.5</v>
      </c>
      <c r="C194" s="242">
        <v>3.8249999999999997</v>
      </c>
      <c r="D194" s="339">
        <v>333120.15000000002</v>
      </c>
    </row>
    <row r="195" spans="1:4" x14ac:dyDescent="0.25">
      <c r="A195" s="337" t="s">
        <v>1805</v>
      </c>
      <c r="B195" s="338">
        <v>13.25</v>
      </c>
      <c r="C195" s="242">
        <v>11.262499999999999</v>
      </c>
      <c r="D195" s="339">
        <v>980853.77499999991</v>
      </c>
    </row>
    <row r="196" spans="1:4" x14ac:dyDescent="0.25">
      <c r="A196" s="337" t="s">
        <v>2284</v>
      </c>
      <c r="B196" s="338">
        <v>2</v>
      </c>
      <c r="C196" s="242">
        <v>1.6</v>
      </c>
      <c r="D196" s="339">
        <v>144445.20000000001</v>
      </c>
    </row>
    <row r="197" spans="1:4" x14ac:dyDescent="0.25">
      <c r="A197" s="337" t="s">
        <v>2285</v>
      </c>
      <c r="B197" s="338">
        <v>0.5</v>
      </c>
      <c r="C197" s="242">
        <v>0.4</v>
      </c>
      <c r="D197" s="339">
        <v>36111.300000000003</v>
      </c>
    </row>
    <row r="198" spans="1:4" x14ac:dyDescent="0.25">
      <c r="A198" s="337" t="s">
        <v>2151</v>
      </c>
      <c r="B198" s="338">
        <v>9.5</v>
      </c>
      <c r="C198" s="242">
        <v>7.6</v>
      </c>
      <c r="D198" s="339">
        <v>686114.7</v>
      </c>
    </row>
    <row r="199" spans="1:4" x14ac:dyDescent="0.25">
      <c r="A199" s="337" t="s">
        <v>140</v>
      </c>
      <c r="B199" s="338">
        <v>17.5</v>
      </c>
      <c r="C199" s="242">
        <v>14.875</v>
      </c>
      <c r="D199" s="339">
        <v>727854.75</v>
      </c>
    </row>
    <row r="200" spans="1:4" x14ac:dyDescent="0.25">
      <c r="A200" s="337" t="s">
        <v>505</v>
      </c>
      <c r="B200" s="338">
        <v>2.25</v>
      </c>
      <c r="C200" s="242">
        <v>1.9124999999999999</v>
      </c>
      <c r="D200" s="339">
        <v>93581.324999999997</v>
      </c>
    </row>
    <row r="201" spans="1:4" x14ac:dyDescent="0.25">
      <c r="A201" s="337" t="s">
        <v>860</v>
      </c>
      <c r="B201" s="338">
        <v>5.5</v>
      </c>
      <c r="C201" s="242">
        <v>4.6749999999999998</v>
      </c>
      <c r="D201" s="339">
        <v>228754.34999999998</v>
      </c>
    </row>
    <row r="202" spans="1:4" x14ac:dyDescent="0.25">
      <c r="A202" s="337" t="s">
        <v>951</v>
      </c>
      <c r="B202" s="338">
        <v>5.75</v>
      </c>
      <c r="C202" s="242">
        <v>4.6000000000000005</v>
      </c>
      <c r="D202" s="339">
        <v>234137.7</v>
      </c>
    </row>
    <row r="203" spans="1:4" x14ac:dyDescent="0.25">
      <c r="A203" s="337" t="s">
        <v>1068</v>
      </c>
      <c r="B203" s="338">
        <v>7.5</v>
      </c>
      <c r="C203" s="242">
        <v>6</v>
      </c>
      <c r="D203" s="339">
        <v>305397</v>
      </c>
    </row>
    <row r="204" spans="1:4" x14ac:dyDescent="0.25">
      <c r="A204" s="337" t="s">
        <v>1086</v>
      </c>
      <c r="B204" s="338">
        <v>10.5</v>
      </c>
      <c r="C204" s="242">
        <v>8.9249999999999989</v>
      </c>
      <c r="D204" s="339">
        <v>436712.85</v>
      </c>
    </row>
    <row r="205" spans="1:4" x14ac:dyDescent="0.25">
      <c r="A205" s="337" t="s">
        <v>1103</v>
      </c>
      <c r="B205" s="338">
        <v>2.125</v>
      </c>
      <c r="C205" s="242">
        <v>1.7124999999999999</v>
      </c>
      <c r="D205" s="339">
        <v>153924.04999999999</v>
      </c>
    </row>
    <row r="206" spans="1:4" x14ac:dyDescent="0.25">
      <c r="A206" s="337" t="s">
        <v>1122</v>
      </c>
      <c r="B206" s="338">
        <v>8.8000000000000007</v>
      </c>
      <c r="C206" s="242">
        <v>7.48</v>
      </c>
      <c r="D206" s="339">
        <v>536793.4</v>
      </c>
    </row>
    <row r="207" spans="1:4" x14ac:dyDescent="0.25">
      <c r="A207" s="337" t="s">
        <v>1123</v>
      </c>
      <c r="B207" s="338">
        <v>1.9837500000000001</v>
      </c>
      <c r="C207" s="242">
        <v>1.6861875</v>
      </c>
      <c r="D207" s="339">
        <v>104374.21275000001</v>
      </c>
    </row>
    <row r="208" spans="1:4" x14ac:dyDescent="0.25">
      <c r="A208" s="337" t="s">
        <v>1254</v>
      </c>
      <c r="B208" s="338">
        <v>15</v>
      </c>
      <c r="C208" s="242">
        <v>12.75</v>
      </c>
      <c r="D208" s="339">
        <v>914988.75</v>
      </c>
    </row>
    <row r="209" spans="1:4" x14ac:dyDescent="0.25">
      <c r="A209" s="337" t="s">
        <v>1255</v>
      </c>
      <c r="B209" s="338">
        <v>3.65</v>
      </c>
      <c r="C209" s="242">
        <v>3.1025</v>
      </c>
      <c r="D209" s="339">
        <v>192043.28999999998</v>
      </c>
    </row>
    <row r="210" spans="1:4" x14ac:dyDescent="0.25">
      <c r="A210" s="337" t="s">
        <v>1252</v>
      </c>
      <c r="B210" s="338">
        <v>43.524999999999999</v>
      </c>
      <c r="C210" s="242">
        <v>36.996249999999996</v>
      </c>
      <c r="D210" s="339">
        <v>2654992.3562500002</v>
      </c>
    </row>
    <row r="211" spans="1:4" x14ac:dyDescent="0.25">
      <c r="A211" s="337" t="s">
        <v>1334</v>
      </c>
      <c r="B211" s="338">
        <v>3.125</v>
      </c>
      <c r="C211" s="242">
        <v>2.5</v>
      </c>
      <c r="D211" s="339">
        <v>153489.25</v>
      </c>
    </row>
    <row r="212" spans="1:4" x14ac:dyDescent="0.25">
      <c r="A212" s="337" t="s">
        <v>1336</v>
      </c>
      <c r="B212" s="338">
        <v>5.875</v>
      </c>
      <c r="C212" s="242">
        <v>4.7</v>
      </c>
      <c r="D212" s="339">
        <v>239227.65000000002</v>
      </c>
    </row>
    <row r="213" spans="1:4" x14ac:dyDescent="0.25">
      <c r="A213" s="337" t="s">
        <v>1335</v>
      </c>
      <c r="B213" s="338">
        <v>9.375</v>
      </c>
      <c r="C213" s="242">
        <v>7.5</v>
      </c>
      <c r="D213" s="339">
        <v>381746.25</v>
      </c>
    </row>
    <row r="214" spans="1:4" x14ac:dyDescent="0.25">
      <c r="A214" s="337" t="s">
        <v>1337</v>
      </c>
      <c r="B214" s="338">
        <v>1.875</v>
      </c>
      <c r="C214" s="242">
        <v>1.5</v>
      </c>
      <c r="D214" s="339">
        <v>76349.25</v>
      </c>
    </row>
    <row r="215" spans="1:4" x14ac:dyDescent="0.25">
      <c r="A215" s="337" t="s">
        <v>1503</v>
      </c>
      <c r="B215" s="338">
        <v>1.2</v>
      </c>
      <c r="C215" s="242">
        <v>1.02</v>
      </c>
      <c r="D215" s="339">
        <v>88832.04</v>
      </c>
    </row>
    <row r="216" spans="1:4" x14ac:dyDescent="0.25">
      <c r="A216" s="337" t="s">
        <v>1504</v>
      </c>
      <c r="B216" s="338">
        <v>1.8</v>
      </c>
      <c r="C216" s="242">
        <v>1.53</v>
      </c>
      <c r="D216" s="339">
        <v>133248.06</v>
      </c>
    </row>
    <row r="217" spans="1:4" x14ac:dyDescent="0.25">
      <c r="A217" s="337" t="s">
        <v>1505</v>
      </c>
      <c r="B217" s="338">
        <v>1.5</v>
      </c>
      <c r="C217" s="242">
        <v>1.2749999999999999</v>
      </c>
      <c r="D217" s="339">
        <v>111040.04999999999</v>
      </c>
    </row>
    <row r="218" spans="1:4" x14ac:dyDescent="0.25">
      <c r="A218" s="337" t="s">
        <v>1403</v>
      </c>
      <c r="B218" s="338">
        <v>12</v>
      </c>
      <c r="C218" s="242">
        <v>10.199999999999999</v>
      </c>
      <c r="D218" s="339">
        <v>631375.19999999995</v>
      </c>
    </row>
    <row r="219" spans="1:4" x14ac:dyDescent="0.25">
      <c r="A219" s="337" t="s">
        <v>1407</v>
      </c>
      <c r="B219" s="338">
        <v>17.75</v>
      </c>
      <c r="C219" s="242">
        <v>15.087499999999999</v>
      </c>
      <c r="D219" s="339">
        <v>738252.67500000005</v>
      </c>
    </row>
    <row r="220" spans="1:4" x14ac:dyDescent="0.25">
      <c r="A220" s="337" t="s">
        <v>1408</v>
      </c>
      <c r="B220" s="338">
        <v>5.5830000000000002</v>
      </c>
      <c r="C220" s="242">
        <v>4.7455499999999997</v>
      </c>
      <c r="D220" s="339">
        <v>232206.46110000001</v>
      </c>
    </row>
    <row r="221" spans="1:4" x14ac:dyDescent="0.25">
      <c r="A221" s="337" t="s">
        <v>1477</v>
      </c>
      <c r="B221" s="338">
        <v>4.5</v>
      </c>
      <c r="C221" s="242">
        <v>3.8249999999999997</v>
      </c>
      <c r="D221" s="339">
        <v>236765.7</v>
      </c>
    </row>
    <row r="222" spans="1:4" x14ac:dyDescent="0.25">
      <c r="A222" s="337" t="s">
        <v>1448</v>
      </c>
      <c r="B222" s="338">
        <v>4.2583333333333337</v>
      </c>
      <c r="C222" s="242">
        <v>3.4066666666666672</v>
      </c>
      <c r="D222" s="339">
        <v>307547.90500000003</v>
      </c>
    </row>
    <row r="223" spans="1:4" x14ac:dyDescent="0.25">
      <c r="A223" s="337" t="s">
        <v>1478</v>
      </c>
      <c r="B223" s="338">
        <v>2.375</v>
      </c>
      <c r="C223" s="242">
        <v>2.0187499999999998</v>
      </c>
      <c r="D223" s="339">
        <v>124959.67499999999</v>
      </c>
    </row>
    <row r="224" spans="1:4" x14ac:dyDescent="0.25">
      <c r="A224" s="337" t="s">
        <v>1861</v>
      </c>
      <c r="B224" s="338">
        <v>5.799666666666667</v>
      </c>
      <c r="C224" s="242">
        <v>4.6397333333333339</v>
      </c>
      <c r="D224" s="339">
        <v>236160.10680000001</v>
      </c>
    </row>
    <row r="225" spans="1:4" x14ac:dyDescent="0.25">
      <c r="A225" s="337" t="s">
        <v>1446</v>
      </c>
      <c r="B225" s="338">
        <v>16.5</v>
      </c>
      <c r="C225" s="242">
        <v>14.025</v>
      </c>
      <c r="D225" s="339">
        <v>1221440.55</v>
      </c>
    </row>
    <row r="226" spans="1:4" x14ac:dyDescent="0.25">
      <c r="A226" s="337" t="s">
        <v>1447</v>
      </c>
      <c r="B226" s="338">
        <v>12.625</v>
      </c>
      <c r="C226" s="242">
        <v>10.731249999999999</v>
      </c>
      <c r="D226" s="339">
        <v>934587.08749999991</v>
      </c>
    </row>
    <row r="227" spans="1:4" x14ac:dyDescent="0.25">
      <c r="A227" s="337" t="s">
        <v>1534</v>
      </c>
      <c r="B227" s="338">
        <v>7.8663333333333334</v>
      </c>
      <c r="C227" s="242">
        <v>6.6863833333333327</v>
      </c>
      <c r="D227" s="339">
        <v>479840.43358333327</v>
      </c>
    </row>
    <row r="228" spans="1:4" x14ac:dyDescent="0.25">
      <c r="A228" s="337" t="s">
        <v>1531</v>
      </c>
      <c r="B228" s="338">
        <v>6.2</v>
      </c>
      <c r="C228" s="242">
        <v>5.27</v>
      </c>
      <c r="D228" s="339">
        <v>378195.35</v>
      </c>
    </row>
    <row r="229" spans="1:4" x14ac:dyDescent="0.25">
      <c r="A229" s="337" t="s">
        <v>1523</v>
      </c>
      <c r="B229" s="338">
        <v>6.7493333333333334</v>
      </c>
      <c r="C229" s="242">
        <v>5.736933333333333</v>
      </c>
      <c r="D229" s="339">
        <v>411704.27133333334</v>
      </c>
    </row>
    <row r="230" spans="1:4" x14ac:dyDescent="0.25">
      <c r="A230" s="337" t="s">
        <v>1610</v>
      </c>
      <c r="B230" s="338">
        <v>8.4166666666666679</v>
      </c>
      <c r="C230" s="242">
        <v>7.1541666666666668</v>
      </c>
      <c r="D230" s="339">
        <v>513410.35416666663</v>
      </c>
    </row>
    <row r="231" spans="1:4" x14ac:dyDescent="0.25">
      <c r="A231" s="337" t="s">
        <v>1541</v>
      </c>
      <c r="B231" s="338">
        <v>8.8000000000000007</v>
      </c>
      <c r="C231" s="242">
        <v>7.48</v>
      </c>
      <c r="D231" s="339">
        <v>536793.4</v>
      </c>
    </row>
    <row r="232" spans="1:4" x14ac:dyDescent="0.25">
      <c r="A232" s="337" t="s">
        <v>1642</v>
      </c>
      <c r="B232" s="338">
        <v>13.333333333333332</v>
      </c>
      <c r="C232" s="242">
        <v>11.333333333333332</v>
      </c>
      <c r="D232" s="339">
        <v>813323.33333333326</v>
      </c>
    </row>
    <row r="233" spans="1:4" x14ac:dyDescent="0.25">
      <c r="A233" s="337" t="s">
        <v>1536</v>
      </c>
      <c r="B233" s="338">
        <v>6</v>
      </c>
      <c r="C233" s="242">
        <v>5.0999999999999996</v>
      </c>
      <c r="D233" s="339">
        <v>249550.2</v>
      </c>
    </row>
    <row r="234" spans="1:4" x14ac:dyDescent="0.25">
      <c r="A234" s="337" t="s">
        <v>1539</v>
      </c>
      <c r="B234" s="338">
        <v>3.3</v>
      </c>
      <c r="C234" s="242">
        <v>2.8049999999999997</v>
      </c>
      <c r="D234" s="339">
        <v>173628.18</v>
      </c>
    </row>
    <row r="235" spans="1:4" x14ac:dyDescent="0.25">
      <c r="A235" s="337" t="s">
        <v>1542</v>
      </c>
      <c r="B235" s="338">
        <v>15.032999999999999</v>
      </c>
      <c r="C235" s="242">
        <v>12.77805</v>
      </c>
      <c r="D235" s="339">
        <v>917001.7252499999</v>
      </c>
    </row>
    <row r="236" spans="1:4" x14ac:dyDescent="0.25">
      <c r="A236" s="337" t="s">
        <v>1533</v>
      </c>
      <c r="B236" s="338">
        <v>9.8003333333333327</v>
      </c>
      <c r="C236" s="242">
        <v>8.3302833333333339</v>
      </c>
      <c r="D236" s="339">
        <v>597812.98308333324</v>
      </c>
    </row>
    <row r="237" spans="1:4" x14ac:dyDescent="0.25">
      <c r="A237" s="337" t="s">
        <v>1658</v>
      </c>
      <c r="B237" s="338">
        <v>18.516666666666666</v>
      </c>
      <c r="C237" s="242">
        <v>15.739166666666666</v>
      </c>
      <c r="D237" s="339">
        <v>1129502.7791666663</v>
      </c>
    </row>
    <row r="238" spans="1:4" x14ac:dyDescent="0.25">
      <c r="A238" s="337" t="s">
        <v>1664</v>
      </c>
      <c r="B238" s="338">
        <v>7.5</v>
      </c>
      <c r="C238" s="242">
        <v>6</v>
      </c>
      <c r="D238" s="339">
        <v>305397</v>
      </c>
    </row>
    <row r="239" spans="1:4" x14ac:dyDescent="0.25">
      <c r="A239" s="337" t="s">
        <v>1665</v>
      </c>
      <c r="B239" s="338">
        <v>16.5</v>
      </c>
      <c r="C239" s="242">
        <v>13.2</v>
      </c>
      <c r="D239" s="339">
        <v>671873.4</v>
      </c>
    </row>
    <row r="240" spans="1:4" x14ac:dyDescent="0.25">
      <c r="A240" s="337" t="s">
        <v>1668</v>
      </c>
      <c r="B240" s="338">
        <v>10</v>
      </c>
      <c r="C240" s="242">
        <v>8</v>
      </c>
      <c r="D240" s="339">
        <v>407196</v>
      </c>
    </row>
    <row r="241" spans="1:4" x14ac:dyDescent="0.25">
      <c r="A241" s="337" t="s">
        <v>1692</v>
      </c>
      <c r="B241" s="338">
        <v>5</v>
      </c>
      <c r="C241" s="242">
        <v>4</v>
      </c>
      <c r="D241" s="339">
        <v>203598</v>
      </c>
    </row>
    <row r="242" spans="1:4" x14ac:dyDescent="0.25">
      <c r="A242" s="337" t="s">
        <v>2047</v>
      </c>
      <c r="B242" s="338">
        <v>2.875</v>
      </c>
      <c r="C242" s="242">
        <v>2.3000000000000003</v>
      </c>
      <c r="D242" s="339">
        <v>117068.85</v>
      </c>
    </row>
    <row r="243" spans="1:4" x14ac:dyDescent="0.25">
      <c r="A243" s="337" t="s">
        <v>2048</v>
      </c>
      <c r="B243" s="338">
        <v>2</v>
      </c>
      <c r="C243" s="242">
        <v>1.6</v>
      </c>
      <c r="D243" s="339">
        <v>81439.199999999997</v>
      </c>
    </row>
    <row r="244" spans="1:4" x14ac:dyDescent="0.25">
      <c r="A244" s="337" t="s">
        <v>1682</v>
      </c>
      <c r="B244" s="338">
        <v>0.41666666666666663</v>
      </c>
      <c r="C244" s="242">
        <v>0.35416666666666663</v>
      </c>
      <c r="D244" s="339">
        <v>21922.75</v>
      </c>
    </row>
    <row r="245" spans="1:4" x14ac:dyDescent="0.25">
      <c r="A245" s="337" t="s">
        <v>1684</v>
      </c>
      <c r="B245" s="338">
        <v>2.125</v>
      </c>
      <c r="C245" s="242">
        <v>1.8062499999999999</v>
      </c>
      <c r="D245" s="339">
        <v>88382.362500000003</v>
      </c>
    </row>
    <row r="246" spans="1:4" x14ac:dyDescent="0.25">
      <c r="A246" s="337" t="s">
        <v>1705</v>
      </c>
      <c r="B246" s="338">
        <v>5.8330000000000002</v>
      </c>
      <c r="C246" s="242">
        <v>4.9580500000000001</v>
      </c>
      <c r="D246" s="339">
        <v>306900.96179999999</v>
      </c>
    </row>
    <row r="247" spans="1:4" x14ac:dyDescent="0.25">
      <c r="A247" s="337" t="s">
        <v>1686</v>
      </c>
      <c r="B247" s="338">
        <v>10.167</v>
      </c>
      <c r="C247" s="242">
        <v>8.6419499999999996</v>
      </c>
      <c r="D247" s="339">
        <v>422862.81390000001</v>
      </c>
    </row>
    <row r="248" spans="1:4" x14ac:dyDescent="0.25">
      <c r="A248" s="337" t="s">
        <v>1677</v>
      </c>
      <c r="B248" s="338">
        <v>2.0169999999999999</v>
      </c>
      <c r="C248" s="242">
        <v>1.7144499999999998</v>
      </c>
      <c r="D248" s="339">
        <v>106123.64819999998</v>
      </c>
    </row>
    <row r="249" spans="1:4" x14ac:dyDescent="0.25">
      <c r="A249" s="337" t="s">
        <v>1715</v>
      </c>
      <c r="B249" s="338">
        <v>0.5</v>
      </c>
      <c r="C249" s="242">
        <v>0.42499999999999999</v>
      </c>
      <c r="D249" s="339">
        <v>30499.625</v>
      </c>
    </row>
    <row r="250" spans="1:4" x14ac:dyDescent="0.25">
      <c r="A250" s="337" t="s">
        <v>1703</v>
      </c>
      <c r="B250" s="338">
        <v>15.75</v>
      </c>
      <c r="C250" s="242">
        <v>13.387499999999999</v>
      </c>
      <c r="D250" s="339">
        <v>828679.95000000007</v>
      </c>
    </row>
    <row r="251" spans="1:4" x14ac:dyDescent="0.25">
      <c r="A251" s="337" t="s">
        <v>1702</v>
      </c>
      <c r="B251" s="338">
        <v>7.125</v>
      </c>
      <c r="C251" s="242">
        <v>6.0562499999999995</v>
      </c>
      <c r="D251" s="339">
        <v>374879.02499999997</v>
      </c>
    </row>
    <row r="252" spans="1:4" x14ac:dyDescent="0.25">
      <c r="A252" s="337" t="s">
        <v>1733</v>
      </c>
      <c r="B252" s="338">
        <v>2.625</v>
      </c>
      <c r="C252" s="242">
        <v>2.2312499999999997</v>
      </c>
      <c r="D252" s="339">
        <v>138113.32499999998</v>
      </c>
    </row>
    <row r="253" spans="1:4" x14ac:dyDescent="0.25">
      <c r="A253" s="337" t="s">
        <v>1806</v>
      </c>
      <c r="B253" s="338">
        <v>13.5</v>
      </c>
      <c r="C253" s="242">
        <v>11.475</v>
      </c>
      <c r="D253" s="339">
        <v>561487.94999999995</v>
      </c>
    </row>
    <row r="254" spans="1:4" x14ac:dyDescent="0.25">
      <c r="A254" s="337" t="s">
        <v>1808</v>
      </c>
      <c r="B254" s="338">
        <v>2.625</v>
      </c>
      <c r="C254" s="242">
        <v>2.2312499999999997</v>
      </c>
      <c r="D254" s="339">
        <v>160123.03125</v>
      </c>
    </row>
    <row r="255" spans="1:4" x14ac:dyDescent="0.25">
      <c r="A255" s="337" t="s">
        <v>1829</v>
      </c>
      <c r="B255" s="338">
        <v>13.2</v>
      </c>
      <c r="C255" s="242">
        <v>11.22</v>
      </c>
      <c r="D255" s="339">
        <v>805190.1</v>
      </c>
    </row>
    <row r="256" spans="1:4" x14ac:dyDescent="0.25">
      <c r="A256" s="337" t="s">
        <v>1827</v>
      </c>
      <c r="B256" s="338">
        <v>3.25</v>
      </c>
      <c r="C256" s="242">
        <v>2.7624999999999997</v>
      </c>
      <c r="D256" s="339">
        <v>198247.5625</v>
      </c>
    </row>
    <row r="257" spans="1:4" x14ac:dyDescent="0.25">
      <c r="A257" s="337" t="s">
        <v>1828</v>
      </c>
      <c r="B257" s="338">
        <v>3.375</v>
      </c>
      <c r="C257" s="242">
        <v>2.8687499999999999</v>
      </c>
      <c r="D257" s="339">
        <v>205872.46875</v>
      </c>
    </row>
    <row r="258" spans="1:4" x14ac:dyDescent="0.25">
      <c r="A258" s="337" t="s">
        <v>1831</v>
      </c>
      <c r="B258" s="338">
        <v>3.1112500000000001</v>
      </c>
      <c r="C258" s="242">
        <v>2.6445625000000001</v>
      </c>
      <c r="D258" s="339">
        <v>163697.17425000001</v>
      </c>
    </row>
    <row r="259" spans="1:4" x14ac:dyDescent="0.25">
      <c r="A259" s="337" t="s">
        <v>1993</v>
      </c>
      <c r="B259" s="338">
        <v>0.4</v>
      </c>
      <c r="C259" s="242">
        <v>0.34</v>
      </c>
      <c r="D259" s="339">
        <v>21045.84</v>
      </c>
    </row>
    <row r="260" spans="1:4" x14ac:dyDescent="0.25">
      <c r="A260" s="337" t="s">
        <v>1903</v>
      </c>
      <c r="B260" s="338">
        <v>2</v>
      </c>
      <c r="C260" s="242">
        <v>1.7000000000000002</v>
      </c>
      <c r="D260" s="339">
        <v>105229.20000000001</v>
      </c>
    </row>
    <row r="261" spans="1:4" x14ac:dyDescent="0.25">
      <c r="A261" s="337" t="s">
        <v>1904</v>
      </c>
      <c r="B261" s="338">
        <v>1.2000000000000002</v>
      </c>
      <c r="C261" s="242">
        <v>1.02</v>
      </c>
      <c r="D261" s="339">
        <v>63137.520000000004</v>
      </c>
    </row>
    <row r="262" spans="1:4" x14ac:dyDescent="0.25">
      <c r="A262" s="337" t="s">
        <v>2032</v>
      </c>
      <c r="B262" s="338">
        <v>3.75</v>
      </c>
      <c r="C262" s="242">
        <v>3</v>
      </c>
      <c r="D262" s="339">
        <v>152698.5</v>
      </c>
    </row>
    <row r="263" spans="1:4" x14ac:dyDescent="0.25">
      <c r="A263" s="337" t="s">
        <v>2043</v>
      </c>
      <c r="B263" s="338">
        <v>22.75</v>
      </c>
      <c r="C263" s="242">
        <v>18.200000000000003</v>
      </c>
      <c r="D263" s="339">
        <v>926370.9</v>
      </c>
    </row>
    <row r="264" spans="1:4" x14ac:dyDescent="0.25">
      <c r="A264" s="337" t="s">
        <v>2045</v>
      </c>
      <c r="B264" s="338">
        <v>11.5</v>
      </c>
      <c r="C264" s="242">
        <v>9.1999999999999993</v>
      </c>
      <c r="D264" s="339">
        <v>468275.4</v>
      </c>
    </row>
    <row r="265" spans="1:4" x14ac:dyDescent="0.25">
      <c r="A265" s="337" t="s">
        <v>2009</v>
      </c>
      <c r="B265" s="338">
        <v>2.25</v>
      </c>
      <c r="C265" s="242">
        <v>1.9124999999999999</v>
      </c>
      <c r="D265" s="339">
        <v>166560.07500000001</v>
      </c>
    </row>
    <row r="266" spans="1:4" x14ac:dyDescent="0.25">
      <c r="A266" s="337" t="s">
        <v>2027</v>
      </c>
      <c r="B266" s="338">
        <v>7.5</v>
      </c>
      <c r="C266" s="242">
        <v>6</v>
      </c>
      <c r="D266" s="339">
        <v>305397</v>
      </c>
    </row>
    <row r="267" spans="1:4" x14ac:dyDescent="0.25">
      <c r="A267" s="337" t="s">
        <v>2007</v>
      </c>
      <c r="B267" s="338">
        <v>6.375</v>
      </c>
      <c r="C267" s="242">
        <v>5.4187500000000002</v>
      </c>
      <c r="D267" s="339">
        <v>471920.21250000002</v>
      </c>
    </row>
    <row r="268" spans="1:4" x14ac:dyDescent="0.25">
      <c r="A268" s="337" t="s">
        <v>2010</v>
      </c>
      <c r="B268" s="338">
        <v>1.875</v>
      </c>
      <c r="C268" s="242">
        <v>1.59375</v>
      </c>
      <c r="D268" s="339">
        <v>138800.0625</v>
      </c>
    </row>
    <row r="269" spans="1:4" x14ac:dyDescent="0.25">
      <c r="A269" s="337" t="s">
        <v>2327</v>
      </c>
      <c r="B269" s="338">
        <v>11.833</v>
      </c>
      <c r="C269" s="242">
        <v>10.05805</v>
      </c>
      <c r="D269" s="339">
        <v>721804.12525000004</v>
      </c>
    </row>
    <row r="270" spans="1:4" x14ac:dyDescent="0.25">
      <c r="A270" s="337" t="s">
        <v>2345</v>
      </c>
      <c r="B270" s="338">
        <v>5.75</v>
      </c>
      <c r="C270" s="242">
        <v>4.8875000000000002</v>
      </c>
      <c r="D270" s="339">
        <v>350745.6875</v>
      </c>
    </row>
    <row r="271" spans="1:4" x14ac:dyDescent="0.25">
      <c r="A271" s="337" t="s">
        <v>2173</v>
      </c>
      <c r="B271" s="338">
        <v>11</v>
      </c>
      <c r="C271" s="242">
        <v>9.35</v>
      </c>
      <c r="D271" s="339">
        <v>670991.75</v>
      </c>
    </row>
    <row r="272" spans="1:4" x14ac:dyDescent="0.25">
      <c r="A272" s="337" t="s">
        <v>2209</v>
      </c>
      <c r="B272" s="338">
        <v>7.6669999999999998</v>
      </c>
      <c r="C272" s="242">
        <v>6.5169499999999996</v>
      </c>
      <c r="D272" s="339">
        <v>467681.24974999996</v>
      </c>
    </row>
    <row r="273" spans="1:4" x14ac:dyDescent="0.25">
      <c r="A273" s="337" t="s">
        <v>2174</v>
      </c>
      <c r="B273" s="338">
        <v>27</v>
      </c>
      <c r="C273" s="242">
        <v>22.950000000000003</v>
      </c>
      <c r="D273" s="339">
        <v>1420594.2000000002</v>
      </c>
    </row>
    <row r="274" spans="1:4" x14ac:dyDescent="0.25">
      <c r="A274" s="337" t="s">
        <v>2136</v>
      </c>
      <c r="B274" s="338">
        <v>9.125</v>
      </c>
      <c r="C274" s="242">
        <v>7.7562500000000005</v>
      </c>
      <c r="D274" s="339">
        <v>480108.22500000003</v>
      </c>
    </row>
    <row r="275" spans="1:4" x14ac:dyDescent="0.25">
      <c r="A275" s="337" t="s">
        <v>2137</v>
      </c>
      <c r="B275" s="338">
        <v>9.25</v>
      </c>
      <c r="C275" s="242">
        <v>7.8624999999999998</v>
      </c>
      <c r="D275" s="339">
        <v>564243.0625</v>
      </c>
    </row>
    <row r="276" spans="1:4" x14ac:dyDescent="0.25">
      <c r="A276" s="337" t="s">
        <v>2138</v>
      </c>
      <c r="B276" s="338">
        <v>18.5</v>
      </c>
      <c r="C276" s="242">
        <v>15.725</v>
      </c>
      <c r="D276" s="339">
        <v>769446.45</v>
      </c>
    </row>
    <row r="277" spans="1:4" x14ac:dyDescent="0.25">
      <c r="A277" s="337" t="s">
        <v>2197</v>
      </c>
      <c r="B277" s="338">
        <v>2</v>
      </c>
      <c r="C277" s="242">
        <v>1.7</v>
      </c>
      <c r="D277" s="339">
        <v>121998.5</v>
      </c>
    </row>
    <row r="278" spans="1:4" x14ac:dyDescent="0.25">
      <c r="A278" s="337" t="s">
        <v>2368</v>
      </c>
      <c r="B278" s="338">
        <v>1.875</v>
      </c>
      <c r="C278" s="242">
        <v>1.5</v>
      </c>
      <c r="D278" s="339">
        <v>111236.25</v>
      </c>
    </row>
    <row r="279" spans="1:4" x14ac:dyDescent="0.25">
      <c r="A279" s="337" t="s">
        <v>2375</v>
      </c>
      <c r="B279" s="338">
        <v>4.333333333333333</v>
      </c>
      <c r="C279" s="242">
        <v>3.6833333333333327</v>
      </c>
      <c r="D279" s="339">
        <v>227996.59999999998</v>
      </c>
    </row>
    <row r="280" spans="1:4" x14ac:dyDescent="0.25">
      <c r="A280" s="337" t="s">
        <v>2376</v>
      </c>
      <c r="B280" s="338">
        <v>7.1499999999999995</v>
      </c>
      <c r="C280" s="242">
        <v>6.0774999999999997</v>
      </c>
      <c r="D280" s="339">
        <v>376194.39</v>
      </c>
    </row>
    <row r="281" spans="1:4" x14ac:dyDescent="0.25">
      <c r="A281" s="337" t="s">
        <v>1528</v>
      </c>
      <c r="B281" s="338">
        <v>0.375</v>
      </c>
      <c r="C281" s="242">
        <v>0.31874999999999998</v>
      </c>
      <c r="D281" s="339">
        <v>15596.887499999999</v>
      </c>
    </row>
    <row r="282" spans="1:4" x14ac:dyDescent="0.25">
      <c r="A282" s="337" t="s">
        <v>1748</v>
      </c>
      <c r="B282" s="338">
        <v>3</v>
      </c>
      <c r="C282" s="242">
        <v>2.5499999999999998</v>
      </c>
      <c r="D282" s="339">
        <v>157843.79999999999</v>
      </c>
    </row>
    <row r="283" spans="1:4" x14ac:dyDescent="0.25">
      <c r="A283" s="337" t="s">
        <v>1905</v>
      </c>
      <c r="B283" s="338">
        <v>0.30000000000000004</v>
      </c>
      <c r="C283" s="242">
        <v>0.255</v>
      </c>
      <c r="D283" s="339">
        <v>15784.380000000001</v>
      </c>
    </row>
    <row r="284" spans="1:4" x14ac:dyDescent="0.25">
      <c r="A284" s="337" t="s">
        <v>1884</v>
      </c>
      <c r="B284" s="338">
        <v>9.5</v>
      </c>
      <c r="C284" s="242">
        <v>7.9499999999999975</v>
      </c>
      <c r="D284" s="339">
        <v>392940.9</v>
      </c>
    </row>
    <row r="285" spans="1:4" x14ac:dyDescent="0.25">
      <c r="A285" s="337" t="s">
        <v>1986</v>
      </c>
      <c r="B285" s="338">
        <v>12.5</v>
      </c>
      <c r="C285" s="242">
        <v>10.425000000000001</v>
      </c>
      <c r="D285" s="339">
        <v>516407.84999999986</v>
      </c>
    </row>
    <row r="286" spans="1:4" x14ac:dyDescent="0.25">
      <c r="A286" s="337" t="s">
        <v>2016</v>
      </c>
      <c r="B286" s="338">
        <v>7</v>
      </c>
      <c r="C286" s="242">
        <v>5.9499999999999984</v>
      </c>
      <c r="D286" s="339">
        <v>291141.90000000002</v>
      </c>
    </row>
    <row r="287" spans="1:4" x14ac:dyDescent="0.25">
      <c r="A287" s="337" t="s">
        <v>862</v>
      </c>
      <c r="B287" s="338">
        <v>4.5</v>
      </c>
      <c r="C287" s="242">
        <v>3.7250000000000001</v>
      </c>
      <c r="D287" s="339">
        <v>185418.45</v>
      </c>
    </row>
    <row r="288" spans="1:4" x14ac:dyDescent="0.25">
      <c r="A288" s="337" t="s">
        <v>1700</v>
      </c>
      <c r="B288" s="338">
        <v>1</v>
      </c>
      <c r="C288" s="242">
        <v>0.85</v>
      </c>
      <c r="D288" s="339">
        <v>41591.699999999997</v>
      </c>
    </row>
    <row r="289" spans="1:4" x14ac:dyDescent="0.25">
      <c r="A289" s="337" t="s">
        <v>2063</v>
      </c>
      <c r="B289" s="338">
        <v>3</v>
      </c>
      <c r="C289" s="242">
        <v>2.5</v>
      </c>
      <c r="D289" s="339">
        <v>123902.99999999999</v>
      </c>
    </row>
    <row r="290" spans="1:4" x14ac:dyDescent="0.25">
      <c r="A290" s="337" t="s">
        <v>1242</v>
      </c>
      <c r="B290" s="338">
        <v>1.875</v>
      </c>
      <c r="C290" s="242">
        <v>1.59375</v>
      </c>
      <c r="D290" s="339">
        <v>77984.437499999985</v>
      </c>
    </row>
    <row r="291" spans="1:4" x14ac:dyDescent="0.25">
      <c r="A291" s="337" t="s">
        <v>1267</v>
      </c>
      <c r="B291" s="338">
        <v>1.75</v>
      </c>
      <c r="C291" s="242">
        <v>1.4749999999999999</v>
      </c>
      <c r="D291" s="339">
        <v>72567.449999999983</v>
      </c>
    </row>
    <row r="292" spans="1:4" x14ac:dyDescent="0.25">
      <c r="A292" s="337" t="s">
        <v>1941</v>
      </c>
      <c r="B292" s="338">
        <v>1.25</v>
      </c>
      <c r="C292" s="242">
        <v>1</v>
      </c>
      <c r="D292" s="339">
        <v>50899.5</v>
      </c>
    </row>
    <row r="293" spans="1:4" x14ac:dyDescent="0.25">
      <c r="A293" s="337" t="s">
        <v>1976</v>
      </c>
      <c r="B293" s="338">
        <v>7.5</v>
      </c>
      <c r="C293" s="242">
        <v>6.375</v>
      </c>
      <c r="D293" s="339">
        <v>311937.75</v>
      </c>
    </row>
    <row r="294" spans="1:4" x14ac:dyDescent="0.25">
      <c r="A294" s="337" t="s">
        <v>2012</v>
      </c>
      <c r="B294" s="338">
        <v>3.75</v>
      </c>
      <c r="C294" s="242">
        <v>3.1875</v>
      </c>
      <c r="D294" s="339">
        <v>155968.875</v>
      </c>
    </row>
    <row r="295" spans="1:4" x14ac:dyDescent="0.25">
      <c r="A295" s="337" t="s">
        <v>2013</v>
      </c>
      <c r="B295" s="338">
        <v>1.125</v>
      </c>
      <c r="C295" s="242">
        <v>0.95624999999999993</v>
      </c>
      <c r="D295" s="339">
        <v>46790.662499999999</v>
      </c>
    </row>
    <row r="296" spans="1:4" x14ac:dyDescent="0.25">
      <c r="A296" s="337" t="s">
        <v>2360</v>
      </c>
      <c r="B296" s="338">
        <v>2</v>
      </c>
      <c r="C296" s="242">
        <v>1.6</v>
      </c>
      <c r="D296" s="339">
        <v>81439.199999999997</v>
      </c>
    </row>
    <row r="297" spans="1:4" x14ac:dyDescent="0.25">
      <c r="A297" s="337" t="s">
        <v>511</v>
      </c>
      <c r="B297" s="338">
        <v>12</v>
      </c>
      <c r="C297" s="242">
        <v>10.199999999999999</v>
      </c>
      <c r="D297" s="339">
        <v>499100.4</v>
      </c>
    </row>
    <row r="298" spans="1:4" x14ac:dyDescent="0.25">
      <c r="A298" s="337" t="s">
        <v>512</v>
      </c>
      <c r="B298" s="338">
        <v>9.5</v>
      </c>
      <c r="C298" s="242">
        <v>8.0749999999999993</v>
      </c>
      <c r="D298" s="339">
        <v>395121.15</v>
      </c>
    </row>
    <row r="299" spans="1:4" x14ac:dyDescent="0.25">
      <c r="A299" s="337" t="s">
        <v>600</v>
      </c>
      <c r="B299" s="338">
        <v>9.5</v>
      </c>
      <c r="C299" s="242">
        <v>8.0749999999999993</v>
      </c>
      <c r="D299" s="339">
        <v>395121.14999999997</v>
      </c>
    </row>
    <row r="300" spans="1:4" x14ac:dyDescent="0.25">
      <c r="A300" s="337" t="s">
        <v>1024</v>
      </c>
      <c r="B300" s="338">
        <v>1.875</v>
      </c>
      <c r="C300" s="242">
        <v>1.5937499999999998</v>
      </c>
      <c r="D300" s="339">
        <v>77984.4375</v>
      </c>
    </row>
    <row r="301" spans="1:4" x14ac:dyDescent="0.25">
      <c r="A301" s="337" t="s">
        <v>2230</v>
      </c>
      <c r="B301" s="338">
        <v>9.375</v>
      </c>
      <c r="C301" s="242">
        <v>7.9687499999999991</v>
      </c>
      <c r="D301" s="339">
        <v>571867.96875</v>
      </c>
    </row>
    <row r="302" spans="1:4" x14ac:dyDescent="0.25">
      <c r="A302" s="337" t="s">
        <v>566</v>
      </c>
      <c r="B302" s="338">
        <v>6.25</v>
      </c>
      <c r="C302" s="242">
        <v>5</v>
      </c>
      <c r="D302" s="339">
        <v>451391.25</v>
      </c>
    </row>
    <row r="303" spans="1:4" x14ac:dyDescent="0.25">
      <c r="A303" s="337" t="s">
        <v>644</v>
      </c>
      <c r="B303" s="338">
        <v>4.25</v>
      </c>
      <c r="C303" s="242">
        <v>3.4000000000000004</v>
      </c>
      <c r="D303" s="339">
        <v>306946.05000000005</v>
      </c>
    </row>
    <row r="304" spans="1:4" x14ac:dyDescent="0.25">
      <c r="A304" s="337" t="s">
        <v>1721</v>
      </c>
      <c r="B304" s="338">
        <v>18.5</v>
      </c>
      <c r="C304" s="242">
        <v>14.8</v>
      </c>
      <c r="D304" s="339">
        <v>1336118.1000000001</v>
      </c>
    </row>
    <row r="305" spans="1:4" x14ac:dyDescent="0.25">
      <c r="A305" s="337" t="s">
        <v>1592</v>
      </c>
      <c r="B305" s="338">
        <v>2</v>
      </c>
      <c r="C305" s="242">
        <v>1.6</v>
      </c>
      <c r="D305" s="339">
        <v>144445.20000000001</v>
      </c>
    </row>
    <row r="306" spans="1:4" x14ac:dyDescent="0.25">
      <c r="A306" s="337" t="s">
        <v>1589</v>
      </c>
      <c r="B306" s="338">
        <v>2.5</v>
      </c>
      <c r="C306" s="242">
        <v>2</v>
      </c>
      <c r="D306" s="339">
        <v>180556.5</v>
      </c>
    </row>
    <row r="307" spans="1:4" x14ac:dyDescent="0.25">
      <c r="A307" s="337" t="s">
        <v>1864</v>
      </c>
      <c r="B307" s="338">
        <v>11.875</v>
      </c>
      <c r="C307" s="242">
        <v>10.09375</v>
      </c>
      <c r="D307" s="339">
        <v>493901.4375</v>
      </c>
    </row>
    <row r="308" spans="1:4" x14ac:dyDescent="0.25">
      <c r="A308" s="337" t="s">
        <v>1867</v>
      </c>
      <c r="B308" s="338">
        <v>10.7</v>
      </c>
      <c r="C308" s="242">
        <v>9.0949999999999989</v>
      </c>
      <c r="D308" s="339">
        <v>445031.18999999994</v>
      </c>
    </row>
    <row r="309" spans="1:4" x14ac:dyDescent="0.25">
      <c r="A309" s="337" t="s">
        <v>1866</v>
      </c>
      <c r="B309" s="338">
        <v>22.575000000000003</v>
      </c>
      <c r="C309" s="242">
        <v>19.188749999999999</v>
      </c>
      <c r="D309" s="339">
        <v>1625060.9235</v>
      </c>
    </row>
    <row r="310" spans="1:4" x14ac:dyDescent="0.25">
      <c r="A310" s="337" t="s">
        <v>2023</v>
      </c>
      <c r="B310" s="338">
        <v>11</v>
      </c>
      <c r="C310" s="242">
        <v>8.8000000000000007</v>
      </c>
      <c r="D310" s="339">
        <v>447915.6</v>
      </c>
    </row>
    <row r="311" spans="1:4" x14ac:dyDescent="0.25">
      <c r="A311" s="337" t="s">
        <v>1975</v>
      </c>
      <c r="B311" s="338">
        <v>4.875</v>
      </c>
      <c r="C311" s="242">
        <v>4.1437499999999998</v>
      </c>
      <c r="D311" s="339">
        <v>202759.53750000001</v>
      </c>
    </row>
    <row r="312" spans="1:4" x14ac:dyDescent="0.25">
      <c r="A312" s="337" t="s">
        <v>2004</v>
      </c>
      <c r="B312" s="338">
        <v>4</v>
      </c>
      <c r="C312" s="242">
        <v>3.4</v>
      </c>
      <c r="D312" s="339">
        <v>166366.79999999999</v>
      </c>
    </row>
    <row r="313" spans="1:4" x14ac:dyDescent="0.25">
      <c r="A313" s="337" t="s">
        <v>2002</v>
      </c>
      <c r="B313" s="338">
        <v>9.25</v>
      </c>
      <c r="C313" s="242">
        <v>7.8624999999999998</v>
      </c>
      <c r="D313" s="339">
        <v>384723.22499999998</v>
      </c>
    </row>
    <row r="314" spans="1:4" x14ac:dyDescent="0.25">
      <c r="A314" s="337" t="s">
        <v>2256</v>
      </c>
      <c r="B314" s="338">
        <v>13.875</v>
      </c>
      <c r="C314" s="242">
        <v>11.793749999999999</v>
      </c>
      <c r="D314" s="339">
        <v>577084.83749999991</v>
      </c>
    </row>
    <row r="315" spans="1:4" x14ac:dyDescent="0.25">
      <c r="A315" s="337" t="s">
        <v>2257</v>
      </c>
      <c r="B315" s="338">
        <v>4</v>
      </c>
      <c r="C315" s="242">
        <v>3.4</v>
      </c>
      <c r="D315" s="339">
        <v>166366.79999999999</v>
      </c>
    </row>
    <row r="316" spans="1:4" x14ac:dyDescent="0.25">
      <c r="A316" s="337" t="s">
        <v>2258</v>
      </c>
      <c r="B316" s="338">
        <v>4.25</v>
      </c>
      <c r="C316" s="242">
        <v>3.6124999999999998</v>
      </c>
      <c r="D316" s="339">
        <v>176764.72500000001</v>
      </c>
    </row>
    <row r="317" spans="1:4" x14ac:dyDescent="0.25">
      <c r="A317" s="337" t="s">
        <v>2462</v>
      </c>
      <c r="B317" s="338">
        <v>8.625</v>
      </c>
      <c r="C317" s="242">
        <v>7.3312499999999998</v>
      </c>
      <c r="D317" s="339">
        <v>358728.41249999998</v>
      </c>
    </row>
    <row r="318" spans="1:4" x14ac:dyDescent="0.25">
      <c r="A318" s="337" t="s">
        <v>101</v>
      </c>
      <c r="B318" s="338">
        <v>18.25</v>
      </c>
      <c r="C318" s="242">
        <v>15.512499999999999</v>
      </c>
      <c r="D318" s="339">
        <v>759048.52500000002</v>
      </c>
    </row>
    <row r="319" spans="1:4" x14ac:dyDescent="0.25">
      <c r="A319" s="337" t="s">
        <v>102</v>
      </c>
      <c r="B319" s="338">
        <v>5.75</v>
      </c>
      <c r="C319" s="242">
        <v>4.8874999999999993</v>
      </c>
      <c r="D319" s="339">
        <v>239152.27499999999</v>
      </c>
    </row>
    <row r="320" spans="1:4" x14ac:dyDescent="0.25">
      <c r="A320" s="337" t="s">
        <v>2300</v>
      </c>
      <c r="B320" s="338">
        <v>2.5</v>
      </c>
      <c r="C320" s="242">
        <v>2</v>
      </c>
      <c r="D320" s="339">
        <v>101799</v>
      </c>
    </row>
    <row r="321" spans="1:4" x14ac:dyDescent="0.25">
      <c r="A321" s="337" t="s">
        <v>2301</v>
      </c>
      <c r="B321" s="338">
        <v>0.875</v>
      </c>
      <c r="C321" s="242">
        <v>0.70000000000000007</v>
      </c>
      <c r="D321" s="339">
        <v>35629.65</v>
      </c>
    </row>
    <row r="322" spans="1:4" x14ac:dyDescent="0.25">
      <c r="A322" s="337" t="s">
        <v>2302</v>
      </c>
      <c r="B322" s="338">
        <v>2.5</v>
      </c>
      <c r="C322" s="242">
        <v>2</v>
      </c>
      <c r="D322" s="339">
        <v>101799</v>
      </c>
    </row>
    <row r="323" spans="1:4" x14ac:dyDescent="0.25">
      <c r="A323" s="337" t="s">
        <v>516</v>
      </c>
      <c r="B323" s="338">
        <v>12.5</v>
      </c>
      <c r="C323" s="242">
        <v>10.625</v>
      </c>
      <c r="D323" s="339">
        <v>519896.25</v>
      </c>
    </row>
    <row r="324" spans="1:4" x14ac:dyDescent="0.25">
      <c r="A324" s="337" t="s">
        <v>517</v>
      </c>
      <c r="B324" s="338">
        <v>5.75</v>
      </c>
      <c r="C324" s="242">
        <v>4.8875000000000002</v>
      </c>
      <c r="D324" s="339">
        <v>239152.27499999999</v>
      </c>
    </row>
    <row r="325" spans="1:4" x14ac:dyDescent="0.25">
      <c r="A325" s="337" t="s">
        <v>601</v>
      </c>
      <c r="B325" s="338">
        <v>4.75</v>
      </c>
      <c r="C325" s="242">
        <v>4.0374999999999996</v>
      </c>
      <c r="D325" s="339">
        <v>197560.57500000001</v>
      </c>
    </row>
    <row r="326" spans="1:4" x14ac:dyDescent="0.25">
      <c r="A326" s="337" t="s">
        <v>518</v>
      </c>
      <c r="B326" s="338">
        <v>12.5</v>
      </c>
      <c r="C326" s="242">
        <v>10.625</v>
      </c>
      <c r="D326" s="339">
        <v>519896.25</v>
      </c>
    </row>
    <row r="327" spans="1:4" x14ac:dyDescent="0.25">
      <c r="A327" s="337" t="s">
        <v>519</v>
      </c>
      <c r="B327" s="338">
        <v>5.125</v>
      </c>
      <c r="C327" s="242">
        <v>4.3562500000000002</v>
      </c>
      <c r="D327" s="339">
        <v>213157.46250000002</v>
      </c>
    </row>
    <row r="328" spans="1:4" x14ac:dyDescent="0.25">
      <c r="A328" s="337" t="s">
        <v>602</v>
      </c>
      <c r="B328" s="338">
        <v>2.75</v>
      </c>
      <c r="C328" s="242">
        <v>2.3374999999999999</v>
      </c>
      <c r="D328" s="339">
        <v>114377.17499999999</v>
      </c>
    </row>
    <row r="329" spans="1:4" x14ac:dyDescent="0.25">
      <c r="A329" s="337" t="s">
        <v>1840</v>
      </c>
      <c r="B329" s="338">
        <v>0.2</v>
      </c>
      <c r="C329" s="242">
        <v>0.17</v>
      </c>
      <c r="D329" s="339">
        <v>10522.92</v>
      </c>
    </row>
    <row r="330" spans="1:4" x14ac:dyDescent="0.25">
      <c r="A330" s="337" t="s">
        <v>1839</v>
      </c>
      <c r="B330" s="338">
        <v>0.9</v>
      </c>
      <c r="C330" s="242">
        <v>0.76500000000000001</v>
      </c>
      <c r="D330" s="339">
        <v>47353.14</v>
      </c>
    </row>
    <row r="331" spans="1:4" x14ac:dyDescent="0.25">
      <c r="A331" s="337" t="s">
        <v>1932</v>
      </c>
      <c r="B331" s="338">
        <v>7.5</v>
      </c>
      <c r="C331" s="242">
        <v>6</v>
      </c>
      <c r="D331" s="339">
        <v>305397</v>
      </c>
    </row>
    <row r="332" spans="1:4" x14ac:dyDescent="0.25">
      <c r="A332" s="337" t="s">
        <v>2100</v>
      </c>
      <c r="B332" s="338">
        <v>1.5</v>
      </c>
      <c r="C332" s="242">
        <v>1.2000000000000002</v>
      </c>
      <c r="D332" s="339">
        <v>61079.4</v>
      </c>
    </row>
    <row r="333" spans="1:4" x14ac:dyDescent="0.25">
      <c r="A333" s="337" t="s">
        <v>2101</v>
      </c>
      <c r="B333" s="338">
        <v>1</v>
      </c>
      <c r="C333" s="242">
        <v>0.8</v>
      </c>
      <c r="D333" s="339">
        <v>40719.599999999999</v>
      </c>
    </row>
    <row r="334" spans="1:4" x14ac:dyDescent="0.25">
      <c r="A334" s="337" t="s">
        <v>1933</v>
      </c>
      <c r="B334" s="338">
        <v>4</v>
      </c>
      <c r="C334" s="242">
        <v>3.2</v>
      </c>
      <c r="D334" s="339">
        <v>162878.39999999999</v>
      </c>
    </row>
    <row r="335" spans="1:4" x14ac:dyDescent="0.25">
      <c r="A335" s="337" t="s">
        <v>2102</v>
      </c>
      <c r="B335" s="338">
        <v>0.25</v>
      </c>
      <c r="C335" s="242">
        <v>0.2</v>
      </c>
      <c r="D335" s="339">
        <v>10179.9</v>
      </c>
    </row>
    <row r="336" spans="1:4" x14ac:dyDescent="0.25">
      <c r="A336" s="337" t="s">
        <v>1934</v>
      </c>
      <c r="B336" s="338">
        <v>2</v>
      </c>
      <c r="C336" s="242">
        <v>1.6</v>
      </c>
      <c r="D336" s="339">
        <v>81439.199999999997</v>
      </c>
    </row>
    <row r="337" spans="1:4" x14ac:dyDescent="0.25">
      <c r="A337" s="337" t="s">
        <v>1935</v>
      </c>
      <c r="B337" s="338">
        <v>1.75</v>
      </c>
      <c r="C337" s="242">
        <v>1.4000000000000001</v>
      </c>
      <c r="D337" s="339">
        <v>71259.3</v>
      </c>
    </row>
    <row r="338" spans="1:4" x14ac:dyDescent="0.25">
      <c r="A338" s="337" t="s">
        <v>1936</v>
      </c>
      <c r="B338" s="338">
        <v>5</v>
      </c>
      <c r="C338" s="242">
        <v>4.25</v>
      </c>
      <c r="D338" s="339">
        <v>207958.50000000003</v>
      </c>
    </row>
    <row r="339" spans="1:4" x14ac:dyDescent="0.25">
      <c r="A339" s="337" t="s">
        <v>1937</v>
      </c>
      <c r="B339" s="338">
        <v>4.5</v>
      </c>
      <c r="C339" s="242">
        <v>3.7750000000000004</v>
      </c>
      <c r="D339" s="339">
        <v>186290.55</v>
      </c>
    </row>
    <row r="340" spans="1:4" x14ac:dyDescent="0.25">
      <c r="A340" s="337" t="s">
        <v>1938</v>
      </c>
      <c r="B340" s="338">
        <v>7.5</v>
      </c>
      <c r="C340" s="242">
        <v>6.3749999999999991</v>
      </c>
      <c r="D340" s="339">
        <v>311937.75</v>
      </c>
    </row>
    <row r="341" spans="1:4" x14ac:dyDescent="0.25">
      <c r="A341" s="337" t="s">
        <v>2053</v>
      </c>
      <c r="B341" s="338">
        <v>2.5</v>
      </c>
      <c r="C341" s="242">
        <v>2</v>
      </c>
      <c r="D341" s="339">
        <v>101799</v>
      </c>
    </row>
    <row r="342" spans="1:4" x14ac:dyDescent="0.25">
      <c r="A342" s="337" t="s">
        <v>2054</v>
      </c>
      <c r="B342" s="338">
        <v>2.5</v>
      </c>
      <c r="C342" s="242">
        <v>2</v>
      </c>
      <c r="D342" s="339">
        <v>101799</v>
      </c>
    </row>
    <row r="343" spans="1:4" x14ac:dyDescent="0.25">
      <c r="A343" s="337" t="s">
        <v>2117</v>
      </c>
      <c r="B343" s="338">
        <v>3.75</v>
      </c>
      <c r="C343" s="242">
        <v>3</v>
      </c>
      <c r="D343" s="339">
        <v>152698.5</v>
      </c>
    </row>
    <row r="344" spans="1:4" x14ac:dyDescent="0.25">
      <c r="A344" s="337" t="s">
        <v>2131</v>
      </c>
      <c r="B344" s="338">
        <v>20</v>
      </c>
      <c r="C344" s="242">
        <v>17</v>
      </c>
      <c r="D344" s="339">
        <v>831834</v>
      </c>
    </row>
    <row r="345" spans="1:4" x14ac:dyDescent="0.25">
      <c r="A345" s="337" t="s">
        <v>2175</v>
      </c>
      <c r="B345" s="338">
        <v>15.5</v>
      </c>
      <c r="C345" s="242">
        <v>13.174999999999999</v>
      </c>
      <c r="D345" s="339">
        <v>644671.35</v>
      </c>
    </row>
    <row r="346" spans="1:4" x14ac:dyDescent="0.25">
      <c r="A346" s="337" t="s">
        <v>2202</v>
      </c>
      <c r="B346" s="338">
        <v>7</v>
      </c>
      <c r="C346" s="242">
        <v>5.95</v>
      </c>
      <c r="D346" s="339">
        <v>291141.89999999997</v>
      </c>
    </row>
    <row r="347" spans="1:4" x14ac:dyDescent="0.25">
      <c r="A347" s="337" t="s">
        <v>2361</v>
      </c>
      <c r="B347" s="338">
        <v>3.75</v>
      </c>
      <c r="C347" s="242">
        <v>3</v>
      </c>
      <c r="D347" s="339">
        <v>152698.5</v>
      </c>
    </row>
    <row r="348" spans="1:4" x14ac:dyDescent="0.25">
      <c r="A348" s="337" t="s">
        <v>148</v>
      </c>
      <c r="B348" s="338">
        <v>18</v>
      </c>
      <c r="C348" s="242">
        <v>15.299999999999999</v>
      </c>
      <c r="D348" s="339">
        <v>885420.36</v>
      </c>
    </row>
    <row r="349" spans="1:4" x14ac:dyDescent="0.25">
      <c r="A349" s="337" t="s">
        <v>150</v>
      </c>
      <c r="B349" s="338">
        <v>6</v>
      </c>
      <c r="C349" s="242">
        <v>5.0999999999999996</v>
      </c>
      <c r="D349" s="339">
        <v>249550.19999999998</v>
      </c>
    </row>
    <row r="350" spans="1:4" x14ac:dyDescent="0.25">
      <c r="A350" s="337" t="s">
        <v>396</v>
      </c>
      <c r="B350" s="338">
        <v>17.25</v>
      </c>
      <c r="C350" s="242">
        <v>14.6625</v>
      </c>
      <c r="D350" s="339">
        <v>914063.35499999998</v>
      </c>
    </row>
    <row r="351" spans="1:4" x14ac:dyDescent="0.25">
      <c r="A351" s="337" t="s">
        <v>877</v>
      </c>
      <c r="B351" s="338">
        <v>12</v>
      </c>
      <c r="C351" s="242">
        <v>10.199999999999999</v>
      </c>
      <c r="D351" s="339">
        <v>499100.4</v>
      </c>
    </row>
    <row r="352" spans="1:4" x14ac:dyDescent="0.25">
      <c r="A352" s="337" t="s">
        <v>879</v>
      </c>
      <c r="B352" s="338">
        <v>12.833333333333332</v>
      </c>
      <c r="C352" s="242">
        <v>10.908333333333333</v>
      </c>
      <c r="D352" s="339">
        <v>631271.92333333334</v>
      </c>
    </row>
    <row r="353" spans="1:4" x14ac:dyDescent="0.25">
      <c r="A353" s="337" t="s">
        <v>880</v>
      </c>
      <c r="B353" s="338">
        <v>15.760416666666668</v>
      </c>
      <c r="C353" s="242">
        <v>13.396354166666669</v>
      </c>
      <c r="D353" s="339">
        <v>655502.52187499998</v>
      </c>
    </row>
    <row r="354" spans="1:4" x14ac:dyDescent="0.25">
      <c r="A354" s="337" t="s">
        <v>878</v>
      </c>
      <c r="B354" s="338">
        <v>9.4562500000000007</v>
      </c>
      <c r="C354" s="242">
        <v>8.0378124999999994</v>
      </c>
      <c r="D354" s="339">
        <v>680707.96712499997</v>
      </c>
    </row>
    <row r="355" spans="1:4" x14ac:dyDescent="0.25">
      <c r="A355" s="337" t="s">
        <v>876</v>
      </c>
      <c r="B355" s="338">
        <v>6</v>
      </c>
      <c r="C355" s="242">
        <v>5.0999999999999996</v>
      </c>
      <c r="D355" s="339">
        <v>249550.19999999998</v>
      </c>
    </row>
    <row r="356" spans="1:4" x14ac:dyDescent="0.25">
      <c r="A356" s="337" t="s">
        <v>917</v>
      </c>
      <c r="B356" s="338">
        <v>7.0830000000000002</v>
      </c>
      <c r="C356" s="242">
        <v>6.0205500000000001</v>
      </c>
      <c r="D356" s="339">
        <v>294594.0111</v>
      </c>
    </row>
    <row r="357" spans="1:4" x14ac:dyDescent="0.25">
      <c r="A357" s="337" t="s">
        <v>918</v>
      </c>
      <c r="B357" s="338">
        <v>4</v>
      </c>
      <c r="C357" s="242">
        <v>3.4</v>
      </c>
      <c r="D357" s="339">
        <v>166366.79999999999</v>
      </c>
    </row>
    <row r="358" spans="1:4" x14ac:dyDescent="0.25">
      <c r="A358" s="337" t="s">
        <v>919</v>
      </c>
      <c r="B358" s="338">
        <v>5.1669999999999998</v>
      </c>
      <c r="C358" s="242">
        <v>4.3919499999999996</v>
      </c>
      <c r="D358" s="339">
        <v>214904.31389999998</v>
      </c>
    </row>
    <row r="359" spans="1:4" x14ac:dyDescent="0.25">
      <c r="A359" s="337" t="s">
        <v>962</v>
      </c>
      <c r="B359" s="338">
        <v>6</v>
      </c>
      <c r="C359" s="242">
        <v>5.0999999999999996</v>
      </c>
      <c r="D359" s="339">
        <v>249550.2</v>
      </c>
    </row>
    <row r="360" spans="1:4" x14ac:dyDescent="0.25">
      <c r="A360" s="337" t="s">
        <v>1315</v>
      </c>
      <c r="B360" s="338">
        <v>14.666666666666666</v>
      </c>
      <c r="C360" s="242">
        <v>12.466666666666667</v>
      </c>
      <c r="D360" s="339">
        <v>860756.16000000015</v>
      </c>
    </row>
    <row r="361" spans="1:4" x14ac:dyDescent="0.25">
      <c r="A361" s="337" t="s">
        <v>2343</v>
      </c>
      <c r="B361" s="338">
        <v>3.5833333333333335</v>
      </c>
      <c r="C361" s="242">
        <v>3.0458333333333334</v>
      </c>
      <c r="D361" s="339">
        <v>149036.92500000002</v>
      </c>
    </row>
    <row r="362" spans="1:4" x14ac:dyDescent="0.25">
      <c r="A362" s="337" t="s">
        <v>2344</v>
      </c>
      <c r="B362" s="338">
        <v>3.5</v>
      </c>
      <c r="C362" s="242">
        <v>2.9750000000000001</v>
      </c>
      <c r="D362" s="339">
        <v>145570.95000000001</v>
      </c>
    </row>
    <row r="363" spans="1:4" x14ac:dyDescent="0.25">
      <c r="A363" s="337" t="s">
        <v>565</v>
      </c>
      <c r="B363" s="338">
        <v>8</v>
      </c>
      <c r="C363" s="242">
        <v>6.4</v>
      </c>
      <c r="D363" s="339">
        <v>577780.80000000005</v>
      </c>
    </row>
    <row r="364" spans="1:4" x14ac:dyDescent="0.25">
      <c r="A364" s="337" t="s">
        <v>646</v>
      </c>
      <c r="B364" s="338">
        <v>3.75</v>
      </c>
      <c r="C364" s="242">
        <v>3</v>
      </c>
      <c r="D364" s="339">
        <v>270834.75</v>
      </c>
    </row>
    <row r="365" spans="1:4" x14ac:dyDescent="0.25">
      <c r="A365" s="337" t="s">
        <v>2049</v>
      </c>
      <c r="B365" s="338">
        <v>8</v>
      </c>
      <c r="C365" s="242">
        <v>6.4</v>
      </c>
      <c r="D365" s="339">
        <v>577780.80000000005</v>
      </c>
    </row>
    <row r="366" spans="1:4" x14ac:dyDescent="0.25">
      <c r="A366" s="337" t="s">
        <v>1720</v>
      </c>
      <c r="B366" s="338">
        <v>25</v>
      </c>
      <c r="C366" s="242">
        <v>20.012499999999999</v>
      </c>
      <c r="D366" s="339">
        <v>1806016.0250000001</v>
      </c>
    </row>
    <row r="367" spans="1:4" x14ac:dyDescent="0.25">
      <c r="A367" s="337" t="s">
        <v>2051</v>
      </c>
      <c r="B367" s="338">
        <v>2.5</v>
      </c>
      <c r="C367" s="242">
        <v>2</v>
      </c>
      <c r="D367" s="339">
        <v>101799</v>
      </c>
    </row>
    <row r="368" spans="1:4" x14ac:dyDescent="0.25">
      <c r="A368" s="337" t="s">
        <v>2270</v>
      </c>
      <c r="B368" s="338">
        <v>4</v>
      </c>
      <c r="C368" s="242">
        <v>3.2</v>
      </c>
      <c r="D368" s="339">
        <v>288890.40000000002</v>
      </c>
    </row>
    <row r="369" spans="1:4" x14ac:dyDescent="0.25">
      <c r="A369" s="337" t="s">
        <v>2271</v>
      </c>
      <c r="B369" s="338">
        <v>2</v>
      </c>
      <c r="C369" s="242">
        <v>1.6</v>
      </c>
      <c r="D369" s="339">
        <v>144445.20000000001</v>
      </c>
    </row>
    <row r="370" spans="1:4" x14ac:dyDescent="0.25">
      <c r="A370" s="337" t="s">
        <v>2272</v>
      </c>
      <c r="B370" s="338">
        <v>4</v>
      </c>
      <c r="C370" s="242">
        <v>3.2</v>
      </c>
      <c r="D370" s="339">
        <v>288890.40000000002</v>
      </c>
    </row>
    <row r="371" spans="1:4" x14ac:dyDescent="0.25">
      <c r="A371" s="337" t="s">
        <v>1029</v>
      </c>
      <c r="B371" s="338">
        <v>2</v>
      </c>
      <c r="C371" s="242">
        <v>1.6250000000000002</v>
      </c>
      <c r="D371" s="339">
        <v>81875.25</v>
      </c>
    </row>
    <row r="372" spans="1:4" x14ac:dyDescent="0.25">
      <c r="A372" s="337" t="s">
        <v>1841</v>
      </c>
      <c r="B372" s="338">
        <v>0.1</v>
      </c>
      <c r="C372" s="242">
        <v>8.5000000000000006E-2</v>
      </c>
      <c r="D372" s="339">
        <v>5261.46</v>
      </c>
    </row>
    <row r="373" spans="1:4" x14ac:dyDescent="0.25">
      <c r="A373" s="337" t="s">
        <v>2075</v>
      </c>
      <c r="B373" s="338">
        <v>1.5</v>
      </c>
      <c r="C373" s="242">
        <v>1.2250000000000001</v>
      </c>
      <c r="D373" s="339">
        <v>61515.45</v>
      </c>
    </row>
    <row r="374" spans="1:4" x14ac:dyDescent="0.25">
      <c r="A374" s="337" t="s">
        <v>2064</v>
      </c>
      <c r="B374" s="338">
        <v>1.5</v>
      </c>
      <c r="C374" s="242">
        <v>1.25</v>
      </c>
      <c r="D374" s="339">
        <v>61951.499999999993</v>
      </c>
    </row>
    <row r="375" spans="1:4" x14ac:dyDescent="0.25">
      <c r="A375" s="337" t="s">
        <v>63</v>
      </c>
      <c r="B375" s="338">
        <v>0.5</v>
      </c>
      <c r="C375" s="242">
        <v>0.42499999999999999</v>
      </c>
      <c r="D375" s="339">
        <v>30499.625</v>
      </c>
    </row>
    <row r="376" spans="1:4" x14ac:dyDescent="0.25">
      <c r="A376" s="340" t="s">
        <v>768</v>
      </c>
      <c r="B376" s="341">
        <v>2149.3115000000003</v>
      </c>
      <c r="C376" s="342">
        <v>1801.8368750000009</v>
      </c>
      <c r="D376" s="343">
        <v>125314585.18492509</v>
      </c>
    </row>
  </sheetData>
  <sheetProtection sheet="1" objects="1" scenarios="1"/>
  <printOptions horizontalCentered="1" gridLines="1"/>
  <pageMargins left="0.70866141732283472" right="0.70866141732283472" top="0.35433070866141736" bottom="0.35433070866141736" header="0.31496062992125984" footer="0.11811023622047245"/>
  <pageSetup paperSize="9" orientation="portrait" r:id="rId2"/>
  <headerFooter>
    <oddFooter>Sida &amp;P av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pageSetUpPr fitToPage="1"/>
  </sheetPr>
  <dimension ref="A3:E123"/>
  <sheetViews>
    <sheetView zoomScaleNormal="100" workbookViewId="0">
      <selection activeCell="B27" sqref="B27"/>
    </sheetView>
  </sheetViews>
  <sheetFormatPr defaultRowHeight="15" x14ac:dyDescent="0.25"/>
  <cols>
    <col min="1" max="1" width="17.5703125" customWidth="1"/>
    <col min="2" max="2" width="51.42578125" customWidth="1"/>
    <col min="3" max="3" width="29.42578125" customWidth="1"/>
    <col min="4" max="4" width="34.85546875" customWidth="1"/>
    <col min="5" max="5" width="10.85546875" bestFit="1" customWidth="1"/>
  </cols>
  <sheetData>
    <row r="3" spans="1:5" x14ac:dyDescent="0.25">
      <c r="A3" s="61" t="s">
        <v>59</v>
      </c>
      <c r="B3" s="61" t="s">
        <v>158</v>
      </c>
      <c r="C3" s="61" t="s">
        <v>2</v>
      </c>
      <c r="D3" s="61" t="s">
        <v>326</v>
      </c>
      <c r="E3" s="61" t="s">
        <v>10</v>
      </c>
    </row>
    <row r="4" spans="1:5" x14ac:dyDescent="0.25">
      <c r="A4" t="s">
        <v>1532</v>
      </c>
      <c r="B4" t="s">
        <v>1565</v>
      </c>
      <c r="C4" t="s">
        <v>11</v>
      </c>
      <c r="D4" t="s">
        <v>192</v>
      </c>
      <c r="E4" s="50">
        <v>0.2</v>
      </c>
    </row>
    <row r="5" spans="1:5" x14ac:dyDescent="0.25">
      <c r="D5" t="s">
        <v>1102</v>
      </c>
      <c r="E5" s="50">
        <v>0.2</v>
      </c>
    </row>
    <row r="6" spans="1:5" x14ac:dyDescent="0.25">
      <c r="A6" t="s">
        <v>1979</v>
      </c>
      <c r="B6" t="s">
        <v>1392</v>
      </c>
      <c r="C6" t="s">
        <v>11</v>
      </c>
      <c r="D6" t="s">
        <v>192</v>
      </c>
      <c r="E6" s="50">
        <v>0.1</v>
      </c>
    </row>
    <row r="7" spans="1:5" x14ac:dyDescent="0.25">
      <c r="D7" t="s">
        <v>1102</v>
      </c>
      <c r="E7" s="50">
        <v>0.1</v>
      </c>
    </row>
    <row r="8" spans="1:5" x14ac:dyDescent="0.25">
      <c r="A8" t="s">
        <v>2373</v>
      </c>
      <c r="B8" t="s">
        <v>2374</v>
      </c>
      <c r="C8" t="s">
        <v>11</v>
      </c>
      <c r="D8" t="s">
        <v>192</v>
      </c>
      <c r="E8" s="50">
        <v>0.2</v>
      </c>
    </row>
    <row r="9" spans="1:5" x14ac:dyDescent="0.25">
      <c r="D9" t="s">
        <v>1102</v>
      </c>
      <c r="E9" s="50">
        <v>0.2</v>
      </c>
    </row>
    <row r="10" spans="1:5" x14ac:dyDescent="0.25">
      <c r="A10" t="s">
        <v>2372</v>
      </c>
      <c r="B10" t="s">
        <v>1565</v>
      </c>
      <c r="C10" t="s">
        <v>11</v>
      </c>
      <c r="D10" t="s">
        <v>192</v>
      </c>
      <c r="E10" s="50">
        <v>0.1</v>
      </c>
    </row>
    <row r="11" spans="1:5" x14ac:dyDescent="0.25">
      <c r="D11" t="s">
        <v>1102</v>
      </c>
      <c r="E11" s="50">
        <v>0.1</v>
      </c>
    </row>
    <row r="12" spans="1:5" x14ac:dyDescent="0.25">
      <c r="A12" t="s">
        <v>1982</v>
      </c>
      <c r="B12" t="s">
        <v>1997</v>
      </c>
      <c r="C12" t="s">
        <v>172</v>
      </c>
      <c r="D12" t="s">
        <v>199</v>
      </c>
      <c r="E12" s="50">
        <v>0.25</v>
      </c>
    </row>
    <row r="13" spans="1:5" x14ac:dyDescent="0.25">
      <c r="A13" t="s">
        <v>1550</v>
      </c>
      <c r="B13" t="s">
        <v>1566</v>
      </c>
      <c r="C13" t="s">
        <v>192</v>
      </c>
      <c r="D13" t="s">
        <v>242</v>
      </c>
      <c r="E13" s="50">
        <v>0.25</v>
      </c>
    </row>
    <row r="14" spans="1:5" x14ac:dyDescent="0.25">
      <c r="D14" t="s">
        <v>2145</v>
      </c>
      <c r="E14" s="50">
        <v>0.15</v>
      </c>
    </row>
    <row r="15" spans="1:5" x14ac:dyDescent="0.25">
      <c r="A15" t="s">
        <v>1764</v>
      </c>
      <c r="B15" t="s">
        <v>1774</v>
      </c>
      <c r="C15" t="s">
        <v>192</v>
      </c>
      <c r="D15" t="s">
        <v>809</v>
      </c>
      <c r="E15" s="50">
        <v>0.16666666666666666</v>
      </c>
    </row>
    <row r="16" spans="1:5" x14ac:dyDescent="0.25">
      <c r="A16" t="s">
        <v>2325</v>
      </c>
      <c r="B16" t="s">
        <v>2326</v>
      </c>
      <c r="C16" t="s">
        <v>192</v>
      </c>
      <c r="D16" t="s">
        <v>242</v>
      </c>
      <c r="E16" s="50">
        <v>0.25</v>
      </c>
    </row>
    <row r="17" spans="1:5" x14ac:dyDescent="0.25">
      <c r="A17" t="s">
        <v>1800</v>
      </c>
      <c r="B17" t="s">
        <v>1757</v>
      </c>
      <c r="C17" t="s">
        <v>2018</v>
      </c>
      <c r="D17" t="s">
        <v>164</v>
      </c>
      <c r="E17" s="50">
        <v>0.5</v>
      </c>
    </row>
    <row r="18" spans="1:5" x14ac:dyDescent="0.25">
      <c r="A18" t="s">
        <v>2149</v>
      </c>
      <c r="B18" t="s">
        <v>2213</v>
      </c>
      <c r="C18" t="s">
        <v>192</v>
      </c>
      <c r="D18" t="s">
        <v>1102</v>
      </c>
      <c r="E18" s="50">
        <v>0.2</v>
      </c>
    </row>
    <row r="19" spans="1:5" x14ac:dyDescent="0.25">
      <c r="A19" t="s">
        <v>2150</v>
      </c>
      <c r="B19" t="s">
        <v>2214</v>
      </c>
      <c r="C19" t="s">
        <v>172</v>
      </c>
      <c r="D19" t="s">
        <v>173</v>
      </c>
      <c r="E19" s="50">
        <v>0.13333333333333333</v>
      </c>
    </row>
    <row r="20" spans="1:5" x14ac:dyDescent="0.25">
      <c r="D20" t="s">
        <v>176</v>
      </c>
      <c r="E20" s="50">
        <v>0.2</v>
      </c>
    </row>
    <row r="21" spans="1:5" x14ac:dyDescent="0.25">
      <c r="D21" t="s">
        <v>197</v>
      </c>
      <c r="E21" s="50">
        <v>6.6666666666666666E-2</v>
      </c>
    </row>
    <row r="22" spans="1:5" x14ac:dyDescent="0.25">
      <c r="A22" t="s">
        <v>2253</v>
      </c>
      <c r="B22" t="s">
        <v>2216</v>
      </c>
      <c r="C22" t="s">
        <v>461</v>
      </c>
      <c r="D22" t="s">
        <v>192</v>
      </c>
      <c r="E22" s="50">
        <v>0.2</v>
      </c>
    </row>
    <row r="23" spans="1:5" x14ac:dyDescent="0.25">
      <c r="D23" t="s">
        <v>1102</v>
      </c>
      <c r="E23" s="50">
        <v>0.2</v>
      </c>
    </row>
    <row r="24" spans="1:5" x14ac:dyDescent="0.25">
      <c r="A24" t="s">
        <v>1891</v>
      </c>
      <c r="B24" t="s">
        <v>1153</v>
      </c>
      <c r="C24" t="s">
        <v>176</v>
      </c>
      <c r="D24" t="s">
        <v>461</v>
      </c>
      <c r="E24" s="50">
        <v>0.5</v>
      </c>
    </row>
    <row r="25" spans="1:5" x14ac:dyDescent="0.25">
      <c r="A25" t="s">
        <v>470</v>
      </c>
      <c r="B25" t="s">
        <v>473</v>
      </c>
      <c r="C25" t="s">
        <v>172</v>
      </c>
      <c r="D25" t="s">
        <v>173</v>
      </c>
      <c r="E25" s="50">
        <v>0.5</v>
      </c>
    </row>
    <row r="26" spans="1:5" x14ac:dyDescent="0.25">
      <c r="A26" t="s">
        <v>849</v>
      </c>
      <c r="B26" t="s">
        <v>1154</v>
      </c>
      <c r="C26" t="s">
        <v>172</v>
      </c>
      <c r="D26" t="s">
        <v>192</v>
      </c>
      <c r="E26" s="50">
        <v>0.5</v>
      </c>
    </row>
    <row r="27" spans="1:5" x14ac:dyDescent="0.25">
      <c r="D27" t="s">
        <v>2018</v>
      </c>
      <c r="E27" s="50">
        <v>0.16666666666666666</v>
      </c>
    </row>
    <row r="28" spans="1:5" x14ac:dyDescent="0.25">
      <c r="A28" t="s">
        <v>1124</v>
      </c>
      <c r="B28" t="s">
        <v>1110</v>
      </c>
      <c r="C28" t="s">
        <v>172</v>
      </c>
      <c r="D28" t="s">
        <v>192</v>
      </c>
      <c r="E28" s="50">
        <v>0.13333333333333333</v>
      </c>
    </row>
    <row r="29" spans="1:5" x14ac:dyDescent="0.25">
      <c r="D29" t="s">
        <v>200</v>
      </c>
      <c r="E29" s="50">
        <v>0.2</v>
      </c>
    </row>
    <row r="30" spans="1:5" x14ac:dyDescent="0.25">
      <c r="A30" t="s">
        <v>1126</v>
      </c>
      <c r="B30" t="s">
        <v>1111</v>
      </c>
      <c r="C30" t="s">
        <v>172</v>
      </c>
      <c r="D30" t="s">
        <v>173</v>
      </c>
      <c r="E30" s="50">
        <v>0.46666666666666667</v>
      </c>
    </row>
    <row r="31" spans="1:5" x14ac:dyDescent="0.25">
      <c r="A31" t="s">
        <v>2180</v>
      </c>
      <c r="B31" t="s">
        <v>2181</v>
      </c>
      <c r="C31" t="s">
        <v>172</v>
      </c>
      <c r="D31" t="s">
        <v>173</v>
      </c>
      <c r="E31" s="50">
        <v>0.35</v>
      </c>
    </row>
    <row r="32" spans="1:5" x14ac:dyDescent="0.25">
      <c r="A32" t="s">
        <v>2210</v>
      </c>
      <c r="B32" t="s">
        <v>2212</v>
      </c>
      <c r="C32" t="s">
        <v>172</v>
      </c>
      <c r="D32" t="s">
        <v>194</v>
      </c>
      <c r="E32" s="50">
        <v>0.2</v>
      </c>
    </row>
    <row r="33" spans="1:5" x14ac:dyDescent="0.25">
      <c r="A33" t="s">
        <v>815</v>
      </c>
      <c r="B33" t="s">
        <v>618</v>
      </c>
      <c r="C33" t="s">
        <v>176</v>
      </c>
      <c r="D33" t="s">
        <v>461</v>
      </c>
      <c r="E33" s="50">
        <v>0.33333333333333331</v>
      </c>
    </row>
    <row r="34" spans="1:5" x14ac:dyDescent="0.25">
      <c r="A34" t="s">
        <v>814</v>
      </c>
      <c r="B34" t="s">
        <v>617</v>
      </c>
      <c r="C34" t="s">
        <v>176</v>
      </c>
      <c r="D34" t="s">
        <v>461</v>
      </c>
      <c r="E34" s="50">
        <v>0.33333333333333331</v>
      </c>
    </row>
    <row r="35" spans="1:5" x14ac:dyDescent="0.25">
      <c r="A35" t="s">
        <v>1634</v>
      </c>
      <c r="B35" t="s">
        <v>1635</v>
      </c>
      <c r="C35" t="s">
        <v>176</v>
      </c>
      <c r="D35" t="s">
        <v>1102</v>
      </c>
      <c r="E35" s="50">
        <v>0.33333333333333331</v>
      </c>
    </row>
    <row r="36" spans="1:5" x14ac:dyDescent="0.25">
      <c r="A36" t="s">
        <v>2134</v>
      </c>
      <c r="B36" t="s">
        <v>2142</v>
      </c>
      <c r="C36" t="s">
        <v>176</v>
      </c>
      <c r="D36" t="s">
        <v>173</v>
      </c>
      <c r="E36" s="50">
        <v>0.16666666666666666</v>
      </c>
    </row>
    <row r="37" spans="1:5" x14ac:dyDescent="0.25">
      <c r="A37" t="s">
        <v>1422</v>
      </c>
      <c r="B37" t="s">
        <v>1423</v>
      </c>
      <c r="C37" t="s">
        <v>461</v>
      </c>
      <c r="D37" t="s">
        <v>166</v>
      </c>
      <c r="E37" s="50">
        <v>0.33333333333333331</v>
      </c>
    </row>
    <row r="38" spans="1:5" x14ac:dyDescent="0.25">
      <c r="A38" t="s">
        <v>1426</v>
      </c>
      <c r="B38" t="s">
        <v>1427</v>
      </c>
      <c r="C38" t="s">
        <v>461</v>
      </c>
      <c r="D38" t="s">
        <v>166</v>
      </c>
      <c r="E38" s="50">
        <v>0.33333333333333331</v>
      </c>
    </row>
    <row r="39" spans="1:5" x14ac:dyDescent="0.25">
      <c r="A39" t="s">
        <v>1428</v>
      </c>
      <c r="B39" t="s">
        <v>1429</v>
      </c>
      <c r="C39" t="s">
        <v>461</v>
      </c>
      <c r="D39" t="s">
        <v>166</v>
      </c>
      <c r="E39" s="50">
        <v>0.33333333333333331</v>
      </c>
    </row>
    <row r="40" spans="1:5" x14ac:dyDescent="0.25">
      <c r="A40" t="s">
        <v>1530</v>
      </c>
      <c r="B40" t="s">
        <v>1389</v>
      </c>
      <c r="C40" t="s">
        <v>461</v>
      </c>
      <c r="D40" t="s">
        <v>1102</v>
      </c>
      <c r="E40" s="50">
        <v>0.26666666666666666</v>
      </c>
    </row>
    <row r="41" spans="1:5" x14ac:dyDescent="0.25">
      <c r="A41" t="s">
        <v>1805</v>
      </c>
      <c r="B41" t="s">
        <v>1818</v>
      </c>
      <c r="C41" t="s">
        <v>461</v>
      </c>
      <c r="D41" t="s">
        <v>1102</v>
      </c>
      <c r="E41" s="50">
        <v>0.2</v>
      </c>
    </row>
    <row r="42" spans="1:5" x14ac:dyDescent="0.25">
      <c r="A42" t="s">
        <v>505</v>
      </c>
      <c r="B42" t="s">
        <v>552</v>
      </c>
      <c r="C42" t="s">
        <v>1102</v>
      </c>
      <c r="D42" t="s">
        <v>11</v>
      </c>
      <c r="E42" s="50">
        <v>0.4</v>
      </c>
    </row>
    <row r="43" spans="1:5" x14ac:dyDescent="0.25">
      <c r="A43" t="s">
        <v>1122</v>
      </c>
      <c r="B43" t="s">
        <v>1198</v>
      </c>
      <c r="C43" t="s">
        <v>1102</v>
      </c>
      <c r="D43" t="s">
        <v>197</v>
      </c>
      <c r="E43" s="50">
        <v>0.25</v>
      </c>
    </row>
    <row r="44" spans="1:5" x14ac:dyDescent="0.25">
      <c r="A44" t="s">
        <v>1254</v>
      </c>
      <c r="B44" t="s">
        <v>1257</v>
      </c>
      <c r="C44" t="s">
        <v>192</v>
      </c>
      <c r="D44" t="s">
        <v>197</v>
      </c>
      <c r="E44" s="50">
        <v>0.25</v>
      </c>
    </row>
    <row r="45" spans="1:5" x14ac:dyDescent="0.25">
      <c r="A45" t="s">
        <v>1252</v>
      </c>
      <c r="B45" t="s">
        <v>1256</v>
      </c>
      <c r="C45" t="s">
        <v>192</v>
      </c>
      <c r="D45" t="s">
        <v>194</v>
      </c>
      <c r="E45" s="50">
        <v>0.4</v>
      </c>
    </row>
    <row r="46" spans="1:5" x14ac:dyDescent="0.25">
      <c r="A46" t="s">
        <v>1407</v>
      </c>
      <c r="B46" t="s">
        <v>1387</v>
      </c>
      <c r="C46" t="s">
        <v>1102</v>
      </c>
      <c r="D46" t="s">
        <v>192</v>
      </c>
      <c r="E46" s="50">
        <v>0.2</v>
      </c>
    </row>
    <row r="47" spans="1:5" x14ac:dyDescent="0.25">
      <c r="A47" t="s">
        <v>1444</v>
      </c>
      <c r="B47" t="s">
        <v>1443</v>
      </c>
      <c r="C47" t="s">
        <v>192</v>
      </c>
      <c r="D47" t="s">
        <v>1102</v>
      </c>
      <c r="E47" s="50">
        <v>0.5</v>
      </c>
    </row>
    <row r="48" spans="1:5" x14ac:dyDescent="0.25">
      <c r="A48" t="s">
        <v>1502</v>
      </c>
      <c r="B48" t="s">
        <v>1517</v>
      </c>
      <c r="C48" t="s">
        <v>461</v>
      </c>
      <c r="D48" t="s">
        <v>192</v>
      </c>
      <c r="E48" s="50">
        <v>0.26666666666666666</v>
      </c>
    </row>
    <row r="49" spans="1:5" x14ac:dyDescent="0.25">
      <c r="D49" t="s">
        <v>1102</v>
      </c>
      <c r="E49" s="50">
        <v>0.26666666666666666</v>
      </c>
    </row>
    <row r="50" spans="1:5" x14ac:dyDescent="0.25">
      <c r="A50" t="s">
        <v>1578</v>
      </c>
      <c r="B50" t="s">
        <v>1579</v>
      </c>
      <c r="C50" t="s">
        <v>1102</v>
      </c>
      <c r="D50" t="s">
        <v>198</v>
      </c>
      <c r="E50" s="50">
        <v>0.2</v>
      </c>
    </row>
    <row r="51" spans="1:5" x14ac:dyDescent="0.25">
      <c r="A51" t="s">
        <v>1581</v>
      </c>
      <c r="B51" t="s">
        <v>1582</v>
      </c>
      <c r="C51" t="s">
        <v>1102</v>
      </c>
      <c r="D51" t="s">
        <v>192</v>
      </c>
      <c r="E51" s="50">
        <v>0.26666666666666666</v>
      </c>
    </row>
    <row r="52" spans="1:5" x14ac:dyDescent="0.25">
      <c r="A52" t="s">
        <v>1534</v>
      </c>
      <c r="B52" t="s">
        <v>1572</v>
      </c>
      <c r="C52" t="s">
        <v>1102</v>
      </c>
      <c r="D52" t="s">
        <v>194</v>
      </c>
      <c r="E52" s="50">
        <v>0.25</v>
      </c>
    </row>
    <row r="53" spans="1:5" x14ac:dyDescent="0.25">
      <c r="D53" t="s">
        <v>192</v>
      </c>
      <c r="E53" s="50">
        <v>0.125</v>
      </c>
    </row>
    <row r="54" spans="1:5" x14ac:dyDescent="0.25">
      <c r="A54" t="s">
        <v>1531</v>
      </c>
      <c r="B54" t="s">
        <v>1571</v>
      </c>
      <c r="C54" t="s">
        <v>1102</v>
      </c>
      <c r="D54" t="s">
        <v>194</v>
      </c>
      <c r="E54" s="50">
        <v>8.3333333333333329E-2</v>
      </c>
    </row>
    <row r="55" spans="1:5" x14ac:dyDescent="0.25">
      <c r="D55" t="s">
        <v>192</v>
      </c>
      <c r="E55" s="50">
        <v>0.41666666666666669</v>
      </c>
    </row>
    <row r="56" spans="1:5" x14ac:dyDescent="0.25">
      <c r="A56" t="s">
        <v>1523</v>
      </c>
      <c r="B56" t="s">
        <v>1524</v>
      </c>
      <c r="C56" t="s">
        <v>192</v>
      </c>
      <c r="D56" t="s">
        <v>194</v>
      </c>
      <c r="E56" s="50">
        <v>0.1</v>
      </c>
    </row>
    <row r="57" spans="1:5" x14ac:dyDescent="0.25">
      <c r="D57" t="s">
        <v>1102</v>
      </c>
      <c r="E57" s="50">
        <v>0.4</v>
      </c>
    </row>
    <row r="58" spans="1:5" x14ac:dyDescent="0.25">
      <c r="A58" t="s">
        <v>1610</v>
      </c>
      <c r="B58" t="s">
        <v>1631</v>
      </c>
      <c r="C58" t="s">
        <v>192</v>
      </c>
      <c r="D58" t="s">
        <v>194</v>
      </c>
      <c r="E58" s="50">
        <v>0.1</v>
      </c>
    </row>
    <row r="59" spans="1:5" x14ac:dyDescent="0.25">
      <c r="D59" t="s">
        <v>1102</v>
      </c>
      <c r="E59" s="50">
        <v>0.4</v>
      </c>
    </row>
    <row r="60" spans="1:5" x14ac:dyDescent="0.25">
      <c r="A60" t="s">
        <v>1540</v>
      </c>
      <c r="B60" t="s">
        <v>1573</v>
      </c>
      <c r="C60" t="s">
        <v>192</v>
      </c>
      <c r="D60" t="s">
        <v>194</v>
      </c>
      <c r="E60" s="50">
        <v>0.25</v>
      </c>
    </row>
    <row r="61" spans="1:5" x14ac:dyDescent="0.25">
      <c r="D61" t="s">
        <v>1102</v>
      </c>
      <c r="E61" s="50">
        <v>0.375</v>
      </c>
    </row>
    <row r="62" spans="1:5" x14ac:dyDescent="0.25">
      <c r="A62" t="s">
        <v>1541</v>
      </c>
      <c r="B62" t="s">
        <v>1574</v>
      </c>
      <c r="C62" t="s">
        <v>192</v>
      </c>
      <c r="D62" t="s">
        <v>194</v>
      </c>
      <c r="E62" s="50">
        <v>0.25</v>
      </c>
    </row>
    <row r="63" spans="1:5" x14ac:dyDescent="0.25">
      <c r="D63" t="s">
        <v>461</v>
      </c>
      <c r="E63" s="50">
        <v>0.375</v>
      </c>
    </row>
    <row r="64" spans="1:5" x14ac:dyDescent="0.25">
      <c r="A64" t="s">
        <v>1642</v>
      </c>
      <c r="B64" t="s">
        <v>1643</v>
      </c>
      <c r="C64" t="s">
        <v>192</v>
      </c>
      <c r="D64" t="s">
        <v>194</v>
      </c>
      <c r="E64" s="50">
        <v>0.25</v>
      </c>
    </row>
    <row r="65" spans="1:5" x14ac:dyDescent="0.25">
      <c r="D65" t="s">
        <v>461</v>
      </c>
      <c r="E65" s="50">
        <v>0.125</v>
      </c>
    </row>
    <row r="66" spans="1:5" x14ac:dyDescent="0.25">
      <c r="A66" t="s">
        <v>1583</v>
      </c>
      <c r="B66" t="s">
        <v>1584</v>
      </c>
      <c r="C66" t="s">
        <v>192</v>
      </c>
      <c r="D66" t="s">
        <v>1102</v>
      </c>
      <c r="E66" s="50">
        <v>0.26666666666666666</v>
      </c>
    </row>
    <row r="67" spans="1:5" x14ac:dyDescent="0.25">
      <c r="A67" t="s">
        <v>1536</v>
      </c>
      <c r="B67" t="s">
        <v>1393</v>
      </c>
      <c r="C67" t="s">
        <v>1102</v>
      </c>
      <c r="D67" t="s">
        <v>192</v>
      </c>
      <c r="E67" s="50">
        <v>0.2</v>
      </c>
    </row>
    <row r="68" spans="1:5" x14ac:dyDescent="0.25">
      <c r="A68" t="s">
        <v>1542</v>
      </c>
      <c r="B68" t="s">
        <v>1575</v>
      </c>
      <c r="C68" t="s">
        <v>461</v>
      </c>
      <c r="D68" t="s">
        <v>192</v>
      </c>
      <c r="E68" s="50">
        <v>0.22727272727272727</v>
      </c>
    </row>
    <row r="69" spans="1:5" x14ac:dyDescent="0.25">
      <c r="D69" t="s">
        <v>1102</v>
      </c>
      <c r="E69" s="50">
        <v>0.22727272727272727</v>
      </c>
    </row>
    <row r="70" spans="1:5" x14ac:dyDescent="0.25">
      <c r="D70" t="s">
        <v>197</v>
      </c>
      <c r="E70" s="50">
        <v>9.0909090909090912E-2</v>
      </c>
    </row>
    <row r="71" spans="1:5" x14ac:dyDescent="0.25">
      <c r="A71" t="s">
        <v>1533</v>
      </c>
      <c r="B71" t="s">
        <v>1576</v>
      </c>
      <c r="C71" t="s">
        <v>461</v>
      </c>
      <c r="D71" t="s">
        <v>1102</v>
      </c>
      <c r="E71" s="50">
        <v>0.3</v>
      </c>
    </row>
    <row r="72" spans="1:5" x14ac:dyDescent="0.25">
      <c r="D72" t="s">
        <v>197</v>
      </c>
      <c r="E72" s="50">
        <v>0.1</v>
      </c>
    </row>
    <row r="73" spans="1:5" x14ac:dyDescent="0.25">
      <c r="A73" t="s">
        <v>1658</v>
      </c>
      <c r="B73" t="s">
        <v>1659</v>
      </c>
      <c r="C73" t="s">
        <v>461</v>
      </c>
      <c r="D73" t="s">
        <v>192</v>
      </c>
      <c r="E73" s="50">
        <v>0.22727272727272727</v>
      </c>
    </row>
    <row r="74" spans="1:5" x14ac:dyDescent="0.25">
      <c r="D74" t="s">
        <v>1102</v>
      </c>
      <c r="E74" s="50">
        <v>0.22727272727272727</v>
      </c>
    </row>
    <row r="75" spans="1:5" x14ac:dyDescent="0.25">
      <c r="D75" t="s">
        <v>197</v>
      </c>
      <c r="E75" s="50">
        <v>9.0909090909090912E-2</v>
      </c>
    </row>
    <row r="76" spans="1:5" x14ac:dyDescent="0.25">
      <c r="A76" t="s">
        <v>1715</v>
      </c>
      <c r="B76" t="s">
        <v>1716</v>
      </c>
      <c r="C76" t="s">
        <v>461</v>
      </c>
      <c r="D76" t="s">
        <v>11</v>
      </c>
      <c r="E76" s="50">
        <v>0.26666666666666666</v>
      </c>
    </row>
    <row r="77" spans="1:5" x14ac:dyDescent="0.25">
      <c r="D77" t="s">
        <v>192</v>
      </c>
      <c r="E77" s="50">
        <v>0.2</v>
      </c>
    </row>
    <row r="78" spans="1:5" x14ac:dyDescent="0.25">
      <c r="D78" t="s">
        <v>1102</v>
      </c>
      <c r="E78" s="50">
        <v>0.2</v>
      </c>
    </row>
    <row r="79" spans="1:5" x14ac:dyDescent="0.25">
      <c r="A79" t="s">
        <v>1703</v>
      </c>
      <c r="B79" t="s">
        <v>1711</v>
      </c>
      <c r="C79" t="s">
        <v>461</v>
      </c>
      <c r="D79" t="s">
        <v>176</v>
      </c>
      <c r="E79" s="50">
        <v>0.35555555555555557</v>
      </c>
    </row>
    <row r="80" spans="1:5" x14ac:dyDescent="0.25">
      <c r="D80" t="s">
        <v>192</v>
      </c>
      <c r="E80" s="50">
        <v>0.13333333333333333</v>
      </c>
    </row>
    <row r="81" spans="1:5" x14ac:dyDescent="0.25">
      <c r="A81" t="s">
        <v>1702</v>
      </c>
      <c r="B81" t="s">
        <v>1710</v>
      </c>
      <c r="C81" t="s">
        <v>461</v>
      </c>
      <c r="D81" t="s">
        <v>176</v>
      </c>
      <c r="E81" s="50">
        <v>0.4</v>
      </c>
    </row>
    <row r="82" spans="1:5" x14ac:dyDescent="0.25">
      <c r="A82" t="s">
        <v>1806</v>
      </c>
      <c r="B82" t="s">
        <v>1391</v>
      </c>
      <c r="C82" t="s">
        <v>1102</v>
      </c>
      <c r="D82" t="s">
        <v>461</v>
      </c>
      <c r="E82" s="50">
        <v>0.13333333333333333</v>
      </c>
    </row>
    <row r="83" spans="1:5" x14ac:dyDescent="0.25">
      <c r="D83" t="s">
        <v>192</v>
      </c>
      <c r="E83" s="50">
        <v>0.3</v>
      </c>
    </row>
    <row r="84" spans="1:5" x14ac:dyDescent="0.25">
      <c r="A84" t="s">
        <v>1807</v>
      </c>
      <c r="B84" t="s">
        <v>1458</v>
      </c>
      <c r="C84" t="s">
        <v>1102</v>
      </c>
      <c r="D84" t="s">
        <v>192</v>
      </c>
      <c r="E84" s="50">
        <v>0.46666666666666667</v>
      </c>
    </row>
    <row r="85" spans="1:5" x14ac:dyDescent="0.25">
      <c r="A85" t="s">
        <v>1808</v>
      </c>
      <c r="B85" t="s">
        <v>1819</v>
      </c>
      <c r="C85" t="s">
        <v>1102</v>
      </c>
      <c r="D85" t="s">
        <v>192</v>
      </c>
      <c r="E85" s="50">
        <v>0.46666666666666667</v>
      </c>
    </row>
    <row r="86" spans="1:5" x14ac:dyDescent="0.25">
      <c r="A86" t="s">
        <v>1829</v>
      </c>
      <c r="B86" t="s">
        <v>1830</v>
      </c>
      <c r="C86" t="s">
        <v>461</v>
      </c>
      <c r="D86" t="s">
        <v>11</v>
      </c>
      <c r="E86" s="50">
        <v>0.16666666666666666</v>
      </c>
    </row>
    <row r="87" spans="1:5" x14ac:dyDescent="0.25">
      <c r="D87" t="s">
        <v>176</v>
      </c>
      <c r="E87" s="50">
        <v>0.41666666666666669</v>
      </c>
    </row>
    <row r="88" spans="1:5" x14ac:dyDescent="0.25">
      <c r="A88" t="s">
        <v>1827</v>
      </c>
      <c r="B88" t="s">
        <v>1192</v>
      </c>
      <c r="C88" t="s">
        <v>461</v>
      </c>
      <c r="D88" t="s">
        <v>176</v>
      </c>
      <c r="E88" s="50">
        <v>0.4</v>
      </c>
    </row>
    <row r="89" spans="1:5" x14ac:dyDescent="0.25">
      <c r="A89" t="s">
        <v>1828</v>
      </c>
      <c r="B89" t="s">
        <v>2348</v>
      </c>
      <c r="C89" t="s">
        <v>461</v>
      </c>
      <c r="D89" t="s">
        <v>176</v>
      </c>
      <c r="E89" s="50">
        <v>0.4</v>
      </c>
    </row>
    <row r="90" spans="1:5" x14ac:dyDescent="0.25">
      <c r="A90" t="s">
        <v>1831</v>
      </c>
      <c r="B90" t="s">
        <v>1259</v>
      </c>
      <c r="C90" t="s">
        <v>461</v>
      </c>
      <c r="D90" t="s">
        <v>11</v>
      </c>
      <c r="E90" s="50">
        <v>0.33333333333333331</v>
      </c>
    </row>
    <row r="91" spans="1:5" x14ac:dyDescent="0.25">
      <c r="D91" t="s">
        <v>176</v>
      </c>
      <c r="E91" s="50">
        <v>0.33333333333333331</v>
      </c>
    </row>
    <row r="92" spans="1:5" x14ac:dyDescent="0.25">
      <c r="A92" t="s">
        <v>2007</v>
      </c>
      <c r="B92" t="s">
        <v>2008</v>
      </c>
      <c r="C92" t="s">
        <v>461</v>
      </c>
      <c r="D92" t="s">
        <v>176</v>
      </c>
      <c r="E92" s="50">
        <v>0.46666666666666667</v>
      </c>
    </row>
    <row r="93" spans="1:5" x14ac:dyDescent="0.25">
      <c r="A93" t="s">
        <v>2327</v>
      </c>
      <c r="B93" t="s">
        <v>2328</v>
      </c>
      <c r="C93" t="s">
        <v>1102</v>
      </c>
      <c r="D93" t="s">
        <v>192</v>
      </c>
      <c r="E93" s="50">
        <v>0.4</v>
      </c>
    </row>
    <row r="94" spans="1:5" x14ac:dyDescent="0.25">
      <c r="A94" t="s">
        <v>2173</v>
      </c>
      <c r="B94" t="s">
        <v>2178</v>
      </c>
      <c r="C94" t="s">
        <v>192</v>
      </c>
      <c r="D94" t="s">
        <v>1102</v>
      </c>
      <c r="E94" s="50">
        <v>0.4</v>
      </c>
    </row>
    <row r="95" spans="1:5" x14ac:dyDescent="0.25">
      <c r="A95" t="s">
        <v>2209</v>
      </c>
      <c r="B95" t="s">
        <v>2211</v>
      </c>
      <c r="C95" t="s">
        <v>192</v>
      </c>
      <c r="D95" t="s">
        <v>1102</v>
      </c>
      <c r="E95" s="50">
        <v>0.4</v>
      </c>
    </row>
    <row r="96" spans="1:5" x14ac:dyDescent="0.25">
      <c r="A96" t="s">
        <v>2174</v>
      </c>
      <c r="B96" t="s">
        <v>1443</v>
      </c>
      <c r="C96" t="s">
        <v>192</v>
      </c>
      <c r="D96" t="s">
        <v>1102</v>
      </c>
      <c r="E96" s="50">
        <v>0.5</v>
      </c>
    </row>
    <row r="97" spans="1:5" x14ac:dyDescent="0.25">
      <c r="A97" t="s">
        <v>2137</v>
      </c>
      <c r="B97" t="s">
        <v>2157</v>
      </c>
      <c r="C97" t="s">
        <v>1102</v>
      </c>
      <c r="D97" t="s">
        <v>192</v>
      </c>
      <c r="E97" s="50">
        <v>0.46666666666666667</v>
      </c>
    </row>
    <row r="98" spans="1:5" x14ac:dyDescent="0.25">
      <c r="A98" t="s">
        <v>2197</v>
      </c>
      <c r="B98" t="s">
        <v>1573</v>
      </c>
      <c r="C98" t="s">
        <v>1102</v>
      </c>
      <c r="D98" t="s">
        <v>192</v>
      </c>
      <c r="E98" s="50">
        <v>0.375</v>
      </c>
    </row>
    <row r="99" spans="1:5" x14ac:dyDescent="0.25">
      <c r="A99" t="s">
        <v>1242</v>
      </c>
      <c r="B99" t="s">
        <v>1250</v>
      </c>
      <c r="C99" t="s">
        <v>176</v>
      </c>
      <c r="D99" t="s">
        <v>173</v>
      </c>
      <c r="E99" s="50">
        <v>0.5</v>
      </c>
    </row>
    <row r="100" spans="1:5" x14ac:dyDescent="0.25">
      <c r="A100" t="s">
        <v>511</v>
      </c>
      <c r="B100" t="s">
        <v>555</v>
      </c>
      <c r="C100" t="s">
        <v>198</v>
      </c>
      <c r="D100" t="s">
        <v>199</v>
      </c>
      <c r="E100" s="50">
        <v>0.16</v>
      </c>
    </row>
    <row r="101" spans="1:5" x14ac:dyDescent="0.25">
      <c r="D101" t="s">
        <v>196</v>
      </c>
      <c r="E101" s="50">
        <v>0.24000000000000002</v>
      </c>
    </row>
    <row r="102" spans="1:5" x14ac:dyDescent="0.25">
      <c r="D102" t="s">
        <v>192</v>
      </c>
      <c r="E102" s="50">
        <v>0.2</v>
      </c>
    </row>
    <row r="103" spans="1:5" x14ac:dyDescent="0.25">
      <c r="A103" t="s">
        <v>512</v>
      </c>
      <c r="B103" t="s">
        <v>556</v>
      </c>
      <c r="C103" t="s">
        <v>198</v>
      </c>
      <c r="D103" t="s">
        <v>192</v>
      </c>
      <c r="E103" s="50">
        <v>0.2</v>
      </c>
    </row>
    <row r="104" spans="1:5" x14ac:dyDescent="0.25">
      <c r="D104" t="s">
        <v>195</v>
      </c>
      <c r="E104" s="50">
        <v>0.4</v>
      </c>
    </row>
    <row r="105" spans="1:5" x14ac:dyDescent="0.25">
      <c r="A105" t="s">
        <v>600</v>
      </c>
      <c r="B105" t="s">
        <v>615</v>
      </c>
      <c r="C105" t="s">
        <v>198</v>
      </c>
      <c r="D105" t="s">
        <v>199</v>
      </c>
      <c r="E105" s="50">
        <v>0.18000000000000002</v>
      </c>
    </row>
    <row r="106" spans="1:5" x14ac:dyDescent="0.25">
      <c r="D106" t="s">
        <v>196</v>
      </c>
      <c r="E106" s="50">
        <v>0.26999999999999996</v>
      </c>
    </row>
    <row r="107" spans="1:5" x14ac:dyDescent="0.25">
      <c r="D107" t="s">
        <v>192</v>
      </c>
      <c r="E107" s="50">
        <v>0.05</v>
      </c>
    </row>
    <row r="108" spans="1:5" x14ac:dyDescent="0.25">
      <c r="A108" t="s">
        <v>1025</v>
      </c>
      <c r="B108" t="s">
        <v>1191</v>
      </c>
      <c r="C108" t="s">
        <v>198</v>
      </c>
      <c r="D108" t="s">
        <v>197</v>
      </c>
      <c r="E108" s="50">
        <v>0.5</v>
      </c>
    </row>
    <row r="109" spans="1:5" x14ac:dyDescent="0.25">
      <c r="A109" t="s">
        <v>1864</v>
      </c>
      <c r="B109" t="s">
        <v>1865</v>
      </c>
      <c r="C109" t="s">
        <v>192</v>
      </c>
      <c r="D109" t="s">
        <v>194</v>
      </c>
      <c r="E109" s="50">
        <v>0.2</v>
      </c>
    </row>
    <row r="110" spans="1:5" x14ac:dyDescent="0.25">
      <c r="D110" t="s">
        <v>176</v>
      </c>
      <c r="E110" s="50">
        <v>0.2</v>
      </c>
    </row>
    <row r="111" spans="1:5" x14ac:dyDescent="0.25">
      <c r="A111" t="s">
        <v>1867</v>
      </c>
      <c r="B111" t="s">
        <v>1868</v>
      </c>
      <c r="C111" t="s">
        <v>192</v>
      </c>
      <c r="D111" t="s">
        <v>194</v>
      </c>
      <c r="E111" s="50">
        <v>0.26666666666666666</v>
      </c>
    </row>
    <row r="112" spans="1:5" x14ac:dyDescent="0.25">
      <c r="D112" t="s">
        <v>1102</v>
      </c>
      <c r="E112" s="50">
        <v>0.26666666666666666</v>
      </c>
    </row>
    <row r="113" spans="1:5" x14ac:dyDescent="0.25">
      <c r="A113" t="s">
        <v>1866</v>
      </c>
      <c r="B113" t="s">
        <v>1869</v>
      </c>
      <c r="C113" t="s">
        <v>1102</v>
      </c>
      <c r="D113" t="s">
        <v>192</v>
      </c>
      <c r="E113" s="50">
        <v>0.33333333333333331</v>
      </c>
    </row>
    <row r="114" spans="1:5" x14ac:dyDescent="0.25">
      <c r="A114" t="s">
        <v>2256</v>
      </c>
      <c r="B114" t="s">
        <v>442</v>
      </c>
      <c r="C114" t="s">
        <v>192</v>
      </c>
      <c r="D114" t="s">
        <v>194</v>
      </c>
      <c r="E114" s="50">
        <v>0.5</v>
      </c>
    </row>
    <row r="115" spans="1:5" x14ac:dyDescent="0.25">
      <c r="A115" t="s">
        <v>2131</v>
      </c>
      <c r="B115" t="s">
        <v>2132</v>
      </c>
      <c r="C115" t="s">
        <v>176</v>
      </c>
      <c r="D115" t="s">
        <v>173</v>
      </c>
      <c r="E115" s="50">
        <v>0.5</v>
      </c>
    </row>
    <row r="116" spans="1:5" x14ac:dyDescent="0.25">
      <c r="A116" t="s">
        <v>2175</v>
      </c>
      <c r="B116" t="s">
        <v>2179</v>
      </c>
      <c r="C116" t="s">
        <v>176</v>
      </c>
      <c r="D116" t="s">
        <v>173</v>
      </c>
      <c r="E116" s="50">
        <v>0.5</v>
      </c>
    </row>
    <row r="117" spans="1:5" x14ac:dyDescent="0.25">
      <c r="A117" t="s">
        <v>2202</v>
      </c>
      <c r="B117" t="s">
        <v>2204</v>
      </c>
      <c r="C117" t="s">
        <v>176</v>
      </c>
      <c r="D117" t="s">
        <v>173</v>
      </c>
      <c r="E117" s="50">
        <v>0.5</v>
      </c>
    </row>
    <row r="118" spans="1:5" x14ac:dyDescent="0.25">
      <c r="A118" t="s">
        <v>919</v>
      </c>
      <c r="B118" t="s">
        <v>748</v>
      </c>
      <c r="C118" t="s">
        <v>1102</v>
      </c>
      <c r="D118" t="s">
        <v>192</v>
      </c>
      <c r="E118" s="50">
        <v>0.3</v>
      </c>
    </row>
    <row r="119" spans="1:5" x14ac:dyDescent="0.25">
      <c r="D119" t="s">
        <v>198</v>
      </c>
      <c r="E119" s="50">
        <v>0.7</v>
      </c>
    </row>
    <row r="120" spans="1:5" x14ac:dyDescent="0.25">
      <c r="A120" t="s">
        <v>1577</v>
      </c>
      <c r="B120" t="s">
        <v>1169</v>
      </c>
      <c r="C120" t="s">
        <v>1102</v>
      </c>
      <c r="D120" t="s">
        <v>192</v>
      </c>
      <c r="E120" s="50">
        <v>0.6</v>
      </c>
    </row>
    <row r="121" spans="1:5" x14ac:dyDescent="0.25">
      <c r="A121" t="s">
        <v>2343</v>
      </c>
      <c r="B121" t="s">
        <v>2354</v>
      </c>
      <c r="C121" t="s">
        <v>1102</v>
      </c>
      <c r="D121" t="s">
        <v>192</v>
      </c>
      <c r="E121" s="50">
        <v>0.4</v>
      </c>
    </row>
    <row r="122" spans="1:5" x14ac:dyDescent="0.25">
      <c r="A122" t="s">
        <v>374</v>
      </c>
      <c r="B122" t="s">
        <v>374</v>
      </c>
      <c r="C122" t="s">
        <v>374</v>
      </c>
      <c r="D122" t="s">
        <v>374</v>
      </c>
      <c r="E122" s="50" t="s">
        <v>374</v>
      </c>
    </row>
    <row r="123" spans="1:5" x14ac:dyDescent="0.25">
      <c r="A123" t="s">
        <v>768</v>
      </c>
    </row>
  </sheetData>
  <sheetProtection sheet="1" objects="1" scenarios="1"/>
  <pageMargins left="0.70866141732283472" right="0.70866141732283472" top="0.74803149606299213" bottom="0.74803149606299213" header="0.31496062992125984" footer="0.31496062992125984"/>
  <pageSetup paperSize="9" scale="67" fitToHeight="2" orientation="landscape" r:id="rId2"/>
  <headerFooter>
    <oddFooter>&amp;L&amp;F&amp;R&amp;P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pageSetUpPr fitToPage="1"/>
  </sheetPr>
  <dimension ref="A3:E119"/>
  <sheetViews>
    <sheetView zoomScaleNormal="100" workbookViewId="0">
      <selection activeCell="A5" sqref="A5"/>
    </sheetView>
  </sheetViews>
  <sheetFormatPr defaultRowHeight="15" x14ac:dyDescent="0.25"/>
  <cols>
    <col min="1" max="1" width="73.140625" customWidth="1"/>
    <col min="2" max="2" width="15.5703125" customWidth="1"/>
    <col min="3" max="3" width="29.42578125" customWidth="1"/>
    <col min="4" max="4" width="34.85546875" customWidth="1"/>
    <col min="5" max="5" width="10.85546875" bestFit="1" customWidth="1"/>
  </cols>
  <sheetData>
    <row r="3" spans="1:5" x14ac:dyDescent="0.25">
      <c r="A3" s="61" t="s">
        <v>158</v>
      </c>
      <c r="B3" s="61" t="s">
        <v>59</v>
      </c>
      <c r="C3" s="61" t="s">
        <v>2</v>
      </c>
      <c r="D3" s="61" t="s">
        <v>326</v>
      </c>
      <c r="E3" s="61" t="s">
        <v>10</v>
      </c>
    </row>
    <row r="4" spans="1:5" x14ac:dyDescent="0.25">
      <c r="A4" t="s">
        <v>617</v>
      </c>
      <c r="B4" t="s">
        <v>814</v>
      </c>
      <c r="C4" t="s">
        <v>176</v>
      </c>
    </row>
    <row r="5" spans="1:5" x14ac:dyDescent="0.25">
      <c r="A5" t="s">
        <v>618</v>
      </c>
      <c r="B5" t="s">
        <v>815</v>
      </c>
      <c r="C5" t="s">
        <v>176</v>
      </c>
    </row>
    <row r="6" spans="1:5" x14ac:dyDescent="0.25">
      <c r="A6" t="s">
        <v>1259</v>
      </c>
      <c r="B6" t="s">
        <v>1831</v>
      </c>
      <c r="C6" t="s">
        <v>461</v>
      </c>
      <c r="D6" t="s">
        <v>11</v>
      </c>
      <c r="E6" s="200">
        <v>0.33333333333333331</v>
      </c>
    </row>
    <row r="7" spans="1:5" x14ac:dyDescent="0.25">
      <c r="D7" t="s">
        <v>176</v>
      </c>
      <c r="E7" s="200">
        <v>0.33333333333333331</v>
      </c>
    </row>
    <row r="8" spans="1:5" x14ac:dyDescent="0.25">
      <c r="A8" t="s">
        <v>1393</v>
      </c>
      <c r="B8" t="s">
        <v>1536</v>
      </c>
      <c r="C8" t="s">
        <v>1102</v>
      </c>
      <c r="D8" t="s">
        <v>192</v>
      </c>
      <c r="E8" s="200">
        <v>0.2</v>
      </c>
    </row>
    <row r="9" spans="1:5" x14ac:dyDescent="0.25">
      <c r="A9" t="s">
        <v>1387</v>
      </c>
      <c r="B9" t="s">
        <v>1407</v>
      </c>
      <c r="C9" t="s">
        <v>1102</v>
      </c>
      <c r="D9" t="s">
        <v>192</v>
      </c>
      <c r="E9" s="200">
        <v>0.2</v>
      </c>
    </row>
    <row r="10" spans="1:5" x14ac:dyDescent="0.25">
      <c r="A10" t="s">
        <v>1517</v>
      </c>
      <c r="B10" t="s">
        <v>1502</v>
      </c>
      <c r="C10" t="s">
        <v>461</v>
      </c>
      <c r="D10" t="s">
        <v>192</v>
      </c>
      <c r="E10" s="200">
        <v>0.26666666666666666</v>
      </c>
    </row>
    <row r="11" spans="1:5" x14ac:dyDescent="0.25">
      <c r="D11" t="s">
        <v>1102</v>
      </c>
      <c r="E11" s="200">
        <v>0.26666666666666666</v>
      </c>
    </row>
    <row r="12" spans="1:5" x14ac:dyDescent="0.25">
      <c r="A12" t="s">
        <v>1576</v>
      </c>
      <c r="B12" t="s">
        <v>1533</v>
      </c>
      <c r="C12" t="s">
        <v>461</v>
      </c>
      <c r="D12" t="s">
        <v>1102</v>
      </c>
      <c r="E12" s="200">
        <v>0.3</v>
      </c>
    </row>
    <row r="13" spans="1:5" x14ac:dyDescent="0.25">
      <c r="D13" t="s">
        <v>197</v>
      </c>
      <c r="E13" s="200">
        <v>0.1</v>
      </c>
    </row>
    <row r="14" spans="1:5" x14ac:dyDescent="0.25">
      <c r="A14" t="s">
        <v>2216</v>
      </c>
      <c r="B14" t="s">
        <v>2253</v>
      </c>
      <c r="C14" t="s">
        <v>461</v>
      </c>
      <c r="D14" t="s">
        <v>192</v>
      </c>
      <c r="E14" s="200">
        <v>0.2</v>
      </c>
    </row>
    <row r="15" spans="1:5" x14ac:dyDescent="0.25">
      <c r="D15" t="s">
        <v>1102</v>
      </c>
      <c r="E15" s="200">
        <v>0.2</v>
      </c>
    </row>
    <row r="16" spans="1:5" x14ac:dyDescent="0.25">
      <c r="A16" t="s">
        <v>1659</v>
      </c>
      <c r="B16" t="s">
        <v>1658</v>
      </c>
      <c r="C16" t="s">
        <v>461</v>
      </c>
      <c r="D16" t="s">
        <v>192</v>
      </c>
      <c r="E16" s="200">
        <v>0.22727272727272727</v>
      </c>
    </row>
    <row r="17" spans="1:5" x14ac:dyDescent="0.25">
      <c r="D17" t="s">
        <v>1102</v>
      </c>
      <c r="E17" s="200">
        <v>0.22727272727272727</v>
      </c>
    </row>
    <row r="18" spans="1:5" x14ac:dyDescent="0.25">
      <c r="D18" t="s">
        <v>197</v>
      </c>
      <c r="E18" s="200">
        <v>9.0909090909090912E-2</v>
      </c>
    </row>
    <row r="19" spans="1:5" x14ac:dyDescent="0.25">
      <c r="A19" t="s">
        <v>1575</v>
      </c>
      <c r="B19" t="s">
        <v>1542</v>
      </c>
      <c r="C19" t="s">
        <v>461</v>
      </c>
      <c r="D19" t="s">
        <v>192</v>
      </c>
      <c r="E19" s="200">
        <v>0.22727272727272727</v>
      </c>
    </row>
    <row r="20" spans="1:5" x14ac:dyDescent="0.25">
      <c r="D20" t="s">
        <v>1102</v>
      </c>
      <c r="E20" s="200">
        <v>0.22727272727272727</v>
      </c>
    </row>
    <row r="21" spans="1:5" x14ac:dyDescent="0.25">
      <c r="D21" t="s">
        <v>197</v>
      </c>
      <c r="E21" s="200">
        <v>9.0909090909090912E-2</v>
      </c>
    </row>
    <row r="22" spans="1:5" x14ac:dyDescent="0.25">
      <c r="A22" t="s">
        <v>1169</v>
      </c>
      <c r="B22" t="s">
        <v>1577</v>
      </c>
      <c r="C22" t="s">
        <v>1102</v>
      </c>
      <c r="D22" t="s">
        <v>192</v>
      </c>
      <c r="E22" s="200">
        <v>0.6</v>
      </c>
    </row>
    <row r="23" spans="1:5" x14ac:dyDescent="0.25">
      <c r="A23" t="s">
        <v>2354</v>
      </c>
      <c r="B23" t="s">
        <v>2343</v>
      </c>
      <c r="C23" t="s">
        <v>1102</v>
      </c>
      <c r="D23" t="s">
        <v>192</v>
      </c>
      <c r="E23" s="200">
        <v>0.4</v>
      </c>
    </row>
    <row r="24" spans="1:5" x14ac:dyDescent="0.25">
      <c r="A24" t="s">
        <v>473</v>
      </c>
      <c r="B24" t="s">
        <v>470</v>
      </c>
      <c r="C24" t="s">
        <v>172</v>
      </c>
    </row>
    <row r="25" spans="1:5" x14ac:dyDescent="0.25">
      <c r="A25" t="s">
        <v>1582</v>
      </c>
      <c r="B25" t="s">
        <v>1581</v>
      </c>
      <c r="C25" t="s">
        <v>1102</v>
      </c>
      <c r="D25" t="s">
        <v>192</v>
      </c>
      <c r="E25" s="200">
        <v>0.26666666666666666</v>
      </c>
    </row>
    <row r="26" spans="1:5" x14ac:dyDescent="0.25">
      <c r="A26" t="s">
        <v>1584</v>
      </c>
      <c r="B26" t="s">
        <v>1583</v>
      </c>
      <c r="C26" t="s">
        <v>192</v>
      </c>
      <c r="D26" t="s">
        <v>1102</v>
      </c>
      <c r="E26" s="200">
        <v>0.26666666666666666</v>
      </c>
    </row>
    <row r="27" spans="1:5" x14ac:dyDescent="0.25">
      <c r="A27" t="s">
        <v>1111</v>
      </c>
      <c r="B27" t="s">
        <v>1126</v>
      </c>
      <c r="C27" t="s">
        <v>172</v>
      </c>
    </row>
    <row r="28" spans="1:5" x14ac:dyDescent="0.25">
      <c r="A28" t="s">
        <v>1250</v>
      </c>
      <c r="B28" t="s">
        <v>1242</v>
      </c>
      <c r="C28" t="s">
        <v>176</v>
      </c>
    </row>
    <row r="29" spans="1:5" x14ac:dyDescent="0.25">
      <c r="A29" t="s">
        <v>2157</v>
      </c>
      <c r="B29" t="s">
        <v>2137</v>
      </c>
      <c r="C29" t="s">
        <v>1102</v>
      </c>
      <c r="D29" t="s">
        <v>192</v>
      </c>
      <c r="E29" s="200">
        <v>0.46666666666666667</v>
      </c>
    </row>
    <row r="30" spans="1:5" x14ac:dyDescent="0.25">
      <c r="A30" t="s">
        <v>1198</v>
      </c>
      <c r="B30" t="s">
        <v>1122</v>
      </c>
      <c r="C30" t="s">
        <v>1102</v>
      </c>
      <c r="D30" t="s">
        <v>197</v>
      </c>
      <c r="E30" s="200">
        <v>0.25</v>
      </c>
    </row>
    <row r="31" spans="1:5" x14ac:dyDescent="0.25">
      <c r="A31" t="s">
        <v>1830</v>
      </c>
      <c r="B31" t="s">
        <v>1829</v>
      </c>
      <c r="C31" t="s">
        <v>461</v>
      </c>
      <c r="D31" t="s">
        <v>11</v>
      </c>
      <c r="E31" s="200">
        <v>0.16666666666666666</v>
      </c>
    </row>
    <row r="32" spans="1:5" x14ac:dyDescent="0.25">
      <c r="D32" t="s">
        <v>176</v>
      </c>
      <c r="E32" s="200">
        <v>0.41666666666666669</v>
      </c>
    </row>
    <row r="33" spans="1:5" x14ac:dyDescent="0.25">
      <c r="A33" t="s">
        <v>552</v>
      </c>
      <c r="B33" t="s">
        <v>505</v>
      </c>
      <c r="C33" t="s">
        <v>1102</v>
      </c>
      <c r="D33" t="s">
        <v>11</v>
      </c>
      <c r="E33" s="200">
        <v>0.4</v>
      </c>
    </row>
    <row r="34" spans="1:5" x14ac:dyDescent="0.25">
      <c r="A34" t="s">
        <v>1997</v>
      </c>
      <c r="B34" t="s">
        <v>1982</v>
      </c>
      <c r="C34" t="s">
        <v>172</v>
      </c>
    </row>
    <row r="35" spans="1:5" x14ac:dyDescent="0.25">
      <c r="A35" t="s">
        <v>1566</v>
      </c>
      <c r="B35" t="s">
        <v>1550</v>
      </c>
      <c r="C35" t="s">
        <v>192</v>
      </c>
      <c r="D35" t="s">
        <v>242</v>
      </c>
      <c r="E35" s="200">
        <v>0.25</v>
      </c>
    </row>
    <row r="36" spans="1:5" x14ac:dyDescent="0.25">
      <c r="D36" t="s">
        <v>2145</v>
      </c>
      <c r="E36" s="200">
        <v>0.15</v>
      </c>
    </row>
    <row r="37" spans="1:5" x14ac:dyDescent="0.25">
      <c r="A37" t="s">
        <v>2326</v>
      </c>
      <c r="B37" t="s">
        <v>2325</v>
      </c>
      <c r="C37" t="s">
        <v>192</v>
      </c>
      <c r="D37" t="s">
        <v>242</v>
      </c>
      <c r="E37" s="200">
        <v>0.25</v>
      </c>
    </row>
    <row r="38" spans="1:5" x14ac:dyDescent="0.25">
      <c r="A38" t="s">
        <v>1774</v>
      </c>
      <c r="B38" t="s">
        <v>1764</v>
      </c>
      <c r="C38" t="s">
        <v>192</v>
      </c>
      <c r="D38" t="s">
        <v>809</v>
      </c>
      <c r="E38" s="200">
        <v>0.16666666666666666</v>
      </c>
    </row>
    <row r="39" spans="1:5" x14ac:dyDescent="0.25">
      <c r="A39" t="s">
        <v>1865</v>
      </c>
      <c r="B39" t="s">
        <v>1864</v>
      </c>
      <c r="C39" t="s">
        <v>192</v>
      </c>
      <c r="D39" t="s">
        <v>194</v>
      </c>
      <c r="E39" s="200">
        <v>0.2</v>
      </c>
    </row>
    <row r="40" spans="1:5" x14ac:dyDescent="0.25">
      <c r="D40" t="s">
        <v>176</v>
      </c>
      <c r="E40" s="200">
        <v>0.2</v>
      </c>
    </row>
    <row r="41" spans="1:5" x14ac:dyDescent="0.25">
      <c r="A41" t="s">
        <v>1757</v>
      </c>
      <c r="B41" t="s">
        <v>1800</v>
      </c>
      <c r="C41" t="s">
        <v>2018</v>
      </c>
      <c r="D41" t="s">
        <v>164</v>
      </c>
      <c r="E41" s="200">
        <v>0.5</v>
      </c>
    </row>
    <row r="42" spans="1:5" x14ac:dyDescent="0.25">
      <c r="A42" t="s">
        <v>1635</v>
      </c>
      <c r="B42" t="s">
        <v>1634</v>
      </c>
      <c r="C42" t="s">
        <v>176</v>
      </c>
    </row>
    <row r="43" spans="1:5" x14ac:dyDescent="0.25">
      <c r="A43" t="s">
        <v>2212</v>
      </c>
      <c r="B43" t="s">
        <v>2210</v>
      </c>
      <c r="C43" t="s">
        <v>172</v>
      </c>
    </row>
    <row r="44" spans="1:5" x14ac:dyDescent="0.25">
      <c r="A44" t="s">
        <v>1716</v>
      </c>
      <c r="B44" t="s">
        <v>1715</v>
      </c>
      <c r="C44" t="s">
        <v>461</v>
      </c>
      <c r="D44" t="s">
        <v>11</v>
      </c>
      <c r="E44" s="200">
        <v>0.26666666666666666</v>
      </c>
    </row>
    <row r="45" spans="1:5" x14ac:dyDescent="0.25">
      <c r="D45" t="s">
        <v>192</v>
      </c>
      <c r="E45" s="200">
        <v>0.2</v>
      </c>
    </row>
    <row r="46" spans="1:5" x14ac:dyDescent="0.25">
      <c r="D46" t="s">
        <v>1102</v>
      </c>
      <c r="E46" s="200">
        <v>0.2</v>
      </c>
    </row>
    <row r="47" spans="1:5" x14ac:dyDescent="0.25">
      <c r="A47" t="s">
        <v>2178</v>
      </c>
      <c r="B47" t="s">
        <v>2173</v>
      </c>
      <c r="C47" t="s">
        <v>192</v>
      </c>
      <c r="D47" t="s">
        <v>1102</v>
      </c>
      <c r="E47" s="200">
        <v>0.4</v>
      </c>
    </row>
    <row r="48" spans="1:5" x14ac:dyDescent="0.25">
      <c r="A48" t="s">
        <v>1110</v>
      </c>
      <c r="B48" t="s">
        <v>1124</v>
      </c>
      <c r="C48" t="s">
        <v>172</v>
      </c>
    </row>
    <row r="49" spans="1:5" x14ac:dyDescent="0.25">
      <c r="A49" t="s">
        <v>1256</v>
      </c>
      <c r="B49" t="s">
        <v>1252</v>
      </c>
      <c r="C49" t="s">
        <v>192</v>
      </c>
      <c r="D49" t="s">
        <v>194</v>
      </c>
      <c r="E49" s="200">
        <v>0.4</v>
      </c>
    </row>
    <row r="50" spans="1:5" x14ac:dyDescent="0.25">
      <c r="A50" t="s">
        <v>1711</v>
      </c>
      <c r="B50" t="s">
        <v>1703</v>
      </c>
      <c r="C50" t="s">
        <v>461</v>
      </c>
      <c r="D50" t="s">
        <v>176</v>
      </c>
      <c r="E50" s="200">
        <v>0.35555555555555557</v>
      </c>
    </row>
    <row r="51" spans="1:5" x14ac:dyDescent="0.25">
      <c r="D51" t="s">
        <v>192</v>
      </c>
      <c r="E51" s="200">
        <v>0.13333333333333333</v>
      </c>
    </row>
    <row r="52" spans="1:5" x14ac:dyDescent="0.25">
      <c r="A52" t="s">
        <v>1710</v>
      </c>
      <c r="B52" t="s">
        <v>1702</v>
      </c>
      <c r="C52" t="s">
        <v>461</v>
      </c>
      <c r="D52" t="s">
        <v>176</v>
      </c>
      <c r="E52" s="200">
        <v>0.4</v>
      </c>
    </row>
    <row r="53" spans="1:5" x14ac:dyDescent="0.25">
      <c r="A53" t="s">
        <v>1427</v>
      </c>
      <c r="B53" t="s">
        <v>1426</v>
      </c>
      <c r="C53" t="s">
        <v>461</v>
      </c>
      <c r="D53" t="s">
        <v>166</v>
      </c>
      <c r="E53" s="200">
        <v>0.33333333333333331</v>
      </c>
    </row>
    <row r="54" spans="1:5" x14ac:dyDescent="0.25">
      <c r="A54" t="s">
        <v>1423</v>
      </c>
      <c r="B54" t="s">
        <v>1422</v>
      </c>
      <c r="C54" t="s">
        <v>461</v>
      </c>
      <c r="D54" t="s">
        <v>166</v>
      </c>
      <c r="E54" s="200">
        <v>0.33333333333333331</v>
      </c>
    </row>
    <row r="55" spans="1:5" x14ac:dyDescent="0.25">
      <c r="A55" t="s">
        <v>1429</v>
      </c>
      <c r="B55" t="s">
        <v>1428</v>
      </c>
      <c r="C55" t="s">
        <v>461</v>
      </c>
      <c r="D55" t="s">
        <v>166</v>
      </c>
      <c r="E55" s="200">
        <v>0.33333333333333331</v>
      </c>
    </row>
    <row r="56" spans="1:5" x14ac:dyDescent="0.25">
      <c r="A56" t="s">
        <v>1389</v>
      </c>
      <c r="B56" t="s">
        <v>1530</v>
      </c>
      <c r="C56" t="s">
        <v>461</v>
      </c>
      <c r="D56" t="s">
        <v>1102</v>
      </c>
      <c r="E56" s="200">
        <v>0.26666666666666666</v>
      </c>
    </row>
    <row r="57" spans="1:5" x14ac:dyDescent="0.25">
      <c r="A57" t="s">
        <v>1818</v>
      </c>
      <c r="B57" t="s">
        <v>1805</v>
      </c>
      <c r="C57" t="s">
        <v>461</v>
      </c>
      <c r="D57" t="s">
        <v>1102</v>
      </c>
      <c r="E57" s="200">
        <v>0.2</v>
      </c>
    </row>
    <row r="58" spans="1:5" x14ac:dyDescent="0.25">
      <c r="A58" t="s">
        <v>1868</v>
      </c>
      <c r="B58" t="s">
        <v>1867</v>
      </c>
      <c r="C58" t="s">
        <v>192</v>
      </c>
      <c r="D58" t="s">
        <v>194</v>
      </c>
      <c r="E58" s="200">
        <v>0.26666666666666666</v>
      </c>
    </row>
    <row r="59" spans="1:5" x14ac:dyDescent="0.25">
      <c r="D59" t="s">
        <v>1102</v>
      </c>
      <c r="E59" s="200">
        <v>0.26666666666666666</v>
      </c>
    </row>
    <row r="60" spans="1:5" x14ac:dyDescent="0.25">
      <c r="A60" t="s">
        <v>2211</v>
      </c>
      <c r="B60" t="s">
        <v>2209</v>
      </c>
      <c r="C60" t="s">
        <v>192</v>
      </c>
      <c r="D60" t="s">
        <v>1102</v>
      </c>
      <c r="E60" s="200">
        <v>0.4</v>
      </c>
    </row>
    <row r="61" spans="1:5" x14ac:dyDescent="0.25">
      <c r="A61" t="s">
        <v>1191</v>
      </c>
      <c r="B61" t="s">
        <v>1025</v>
      </c>
      <c r="C61" t="s">
        <v>198</v>
      </c>
      <c r="D61" t="s">
        <v>197</v>
      </c>
      <c r="E61" s="200">
        <v>0.5</v>
      </c>
    </row>
    <row r="62" spans="1:5" x14ac:dyDescent="0.25">
      <c r="A62" t="s">
        <v>1819</v>
      </c>
      <c r="B62" t="s">
        <v>1808</v>
      </c>
      <c r="C62" t="s">
        <v>1102</v>
      </c>
      <c r="D62" t="s">
        <v>192</v>
      </c>
      <c r="E62" s="200">
        <v>0.46666666666666667</v>
      </c>
    </row>
    <row r="63" spans="1:5" x14ac:dyDescent="0.25">
      <c r="A63" t="s">
        <v>1458</v>
      </c>
      <c r="B63" t="s">
        <v>1807</v>
      </c>
      <c r="C63" t="s">
        <v>1102</v>
      </c>
      <c r="D63" t="s">
        <v>192</v>
      </c>
      <c r="E63" s="200">
        <v>0.46666666666666667</v>
      </c>
    </row>
    <row r="64" spans="1:5" x14ac:dyDescent="0.25">
      <c r="A64" t="s">
        <v>2348</v>
      </c>
      <c r="B64" t="s">
        <v>1828</v>
      </c>
      <c r="C64" t="s">
        <v>461</v>
      </c>
      <c r="D64" t="s">
        <v>176</v>
      </c>
      <c r="E64" s="200">
        <v>0.4</v>
      </c>
    </row>
    <row r="65" spans="1:5" x14ac:dyDescent="0.25">
      <c r="A65" t="s">
        <v>1192</v>
      </c>
      <c r="B65" t="s">
        <v>1827</v>
      </c>
      <c r="C65" t="s">
        <v>461</v>
      </c>
      <c r="D65" t="s">
        <v>176</v>
      </c>
      <c r="E65" s="200">
        <v>0.4</v>
      </c>
    </row>
    <row r="66" spans="1:5" x14ac:dyDescent="0.25">
      <c r="A66" t="s">
        <v>555</v>
      </c>
      <c r="B66" t="s">
        <v>511</v>
      </c>
      <c r="C66" t="s">
        <v>198</v>
      </c>
      <c r="D66" t="s">
        <v>199</v>
      </c>
      <c r="E66" s="200">
        <v>0.16</v>
      </c>
    </row>
    <row r="67" spans="1:5" x14ac:dyDescent="0.25">
      <c r="D67" t="s">
        <v>196</v>
      </c>
      <c r="E67" s="200">
        <v>0.24000000000000002</v>
      </c>
    </row>
    <row r="68" spans="1:5" x14ac:dyDescent="0.25">
      <c r="D68" t="s">
        <v>192</v>
      </c>
      <c r="E68" s="200">
        <v>0.2</v>
      </c>
    </row>
    <row r="69" spans="1:5" x14ac:dyDescent="0.25">
      <c r="A69" t="s">
        <v>556</v>
      </c>
      <c r="B69" t="s">
        <v>512</v>
      </c>
      <c r="C69" t="s">
        <v>198</v>
      </c>
      <c r="D69" t="s">
        <v>192</v>
      </c>
      <c r="E69" s="200">
        <v>0.2</v>
      </c>
    </row>
    <row r="70" spans="1:5" x14ac:dyDescent="0.25">
      <c r="D70" t="s">
        <v>195</v>
      </c>
      <c r="E70" s="200">
        <v>0.4</v>
      </c>
    </row>
    <row r="71" spans="1:5" x14ac:dyDescent="0.25">
      <c r="A71" t="s">
        <v>615</v>
      </c>
      <c r="B71" t="s">
        <v>600</v>
      </c>
      <c r="C71" t="s">
        <v>198</v>
      </c>
      <c r="D71" t="s">
        <v>199</v>
      </c>
      <c r="E71" s="200">
        <v>0.18000000000000002</v>
      </c>
    </row>
    <row r="72" spans="1:5" x14ac:dyDescent="0.25">
      <c r="D72" t="s">
        <v>196</v>
      </c>
      <c r="E72" s="200">
        <v>0.26999999999999996</v>
      </c>
    </row>
    <row r="73" spans="1:5" x14ac:dyDescent="0.25">
      <c r="D73" t="s">
        <v>192</v>
      </c>
      <c r="E73" s="200">
        <v>0.05</v>
      </c>
    </row>
    <row r="74" spans="1:5" x14ac:dyDescent="0.25">
      <c r="A74" t="s">
        <v>1391</v>
      </c>
      <c r="B74" t="s">
        <v>1806</v>
      </c>
      <c r="C74" t="s">
        <v>1102</v>
      </c>
      <c r="D74" t="s">
        <v>461</v>
      </c>
      <c r="E74" s="200">
        <v>0.13333333333333333</v>
      </c>
    </row>
    <row r="75" spans="1:5" x14ac:dyDescent="0.25">
      <c r="D75" t="s">
        <v>192</v>
      </c>
      <c r="E75" s="200">
        <v>0.3</v>
      </c>
    </row>
    <row r="76" spans="1:5" x14ac:dyDescent="0.25">
      <c r="A76" t="s">
        <v>1154</v>
      </c>
      <c r="B76" t="s">
        <v>849</v>
      </c>
      <c r="C76" t="s">
        <v>172</v>
      </c>
    </row>
    <row r="77" spans="1:5" x14ac:dyDescent="0.25">
      <c r="A77" t="s">
        <v>748</v>
      </c>
      <c r="B77" t="s">
        <v>919</v>
      </c>
      <c r="C77" t="s">
        <v>1102</v>
      </c>
      <c r="D77" t="s">
        <v>192</v>
      </c>
      <c r="E77" s="200">
        <v>0.3</v>
      </c>
    </row>
    <row r="78" spans="1:5" x14ac:dyDescent="0.25">
      <c r="D78" t="s">
        <v>198</v>
      </c>
      <c r="E78" s="200">
        <v>0.7</v>
      </c>
    </row>
    <row r="79" spans="1:5" x14ac:dyDescent="0.25">
      <c r="A79" t="s">
        <v>2374</v>
      </c>
      <c r="B79" t="s">
        <v>2373</v>
      </c>
      <c r="C79" t="s">
        <v>11</v>
      </c>
      <c r="D79" t="s">
        <v>192</v>
      </c>
      <c r="E79" s="200">
        <v>0.2</v>
      </c>
    </row>
    <row r="80" spans="1:5" x14ac:dyDescent="0.25">
      <c r="D80" t="s">
        <v>1102</v>
      </c>
      <c r="E80" s="200">
        <v>0.2</v>
      </c>
    </row>
    <row r="81" spans="1:5" x14ac:dyDescent="0.25">
      <c r="A81" t="s">
        <v>1565</v>
      </c>
      <c r="B81" t="s">
        <v>1532</v>
      </c>
      <c r="C81" t="s">
        <v>11</v>
      </c>
      <c r="D81" t="s">
        <v>192</v>
      </c>
      <c r="E81" s="200">
        <v>0.2</v>
      </c>
    </row>
    <row r="82" spans="1:5" x14ac:dyDescent="0.25">
      <c r="D82" t="s">
        <v>1102</v>
      </c>
      <c r="E82" s="200">
        <v>0.2</v>
      </c>
    </row>
    <row r="83" spans="1:5" x14ac:dyDescent="0.25">
      <c r="B83" t="s">
        <v>2372</v>
      </c>
      <c r="C83" t="s">
        <v>11</v>
      </c>
      <c r="D83" t="s">
        <v>192</v>
      </c>
      <c r="E83" s="200">
        <v>0.1</v>
      </c>
    </row>
    <row r="84" spans="1:5" x14ac:dyDescent="0.25">
      <c r="D84" t="s">
        <v>1102</v>
      </c>
      <c r="E84" s="200">
        <v>0.1</v>
      </c>
    </row>
    <row r="85" spans="1:5" x14ac:dyDescent="0.25">
      <c r="A85" t="s">
        <v>1392</v>
      </c>
      <c r="B85" t="s">
        <v>1979</v>
      </c>
      <c r="C85" t="s">
        <v>11</v>
      </c>
      <c r="D85" t="s">
        <v>192</v>
      </c>
      <c r="E85" s="200">
        <v>0.1</v>
      </c>
    </row>
    <row r="86" spans="1:5" x14ac:dyDescent="0.25">
      <c r="D86" t="s">
        <v>1102</v>
      </c>
      <c r="E86" s="200">
        <v>0.1</v>
      </c>
    </row>
    <row r="87" spans="1:5" x14ac:dyDescent="0.25">
      <c r="A87" t="s">
        <v>2214</v>
      </c>
      <c r="B87" t="s">
        <v>2150</v>
      </c>
      <c r="C87" t="s">
        <v>172</v>
      </c>
    </row>
    <row r="88" spans="1:5" x14ac:dyDescent="0.25">
      <c r="A88" t="s">
        <v>1869</v>
      </c>
      <c r="B88" t="s">
        <v>1866</v>
      </c>
      <c r="C88" t="s">
        <v>1102</v>
      </c>
      <c r="D88" t="s">
        <v>192</v>
      </c>
      <c r="E88" s="200">
        <v>0.33333333333333331</v>
      </c>
    </row>
    <row r="89" spans="1:5" x14ac:dyDescent="0.25">
      <c r="A89" t="s">
        <v>1631</v>
      </c>
      <c r="B89" t="s">
        <v>1610</v>
      </c>
      <c r="C89" t="s">
        <v>192</v>
      </c>
      <c r="D89" t="s">
        <v>194</v>
      </c>
      <c r="E89" s="200">
        <v>0.1</v>
      </c>
    </row>
    <row r="90" spans="1:5" x14ac:dyDescent="0.25">
      <c r="D90" t="s">
        <v>1102</v>
      </c>
      <c r="E90" s="200">
        <v>0.4</v>
      </c>
    </row>
    <row r="91" spans="1:5" x14ac:dyDescent="0.25">
      <c r="A91" t="s">
        <v>1571</v>
      </c>
      <c r="B91" t="s">
        <v>1531</v>
      </c>
      <c r="C91" t="s">
        <v>1102</v>
      </c>
      <c r="D91" t="s">
        <v>194</v>
      </c>
      <c r="E91" s="200">
        <v>8.3333333333333329E-2</v>
      </c>
    </row>
    <row r="92" spans="1:5" x14ac:dyDescent="0.25">
      <c r="D92" t="s">
        <v>192</v>
      </c>
      <c r="E92" s="200">
        <v>0.41666666666666669</v>
      </c>
    </row>
    <row r="93" spans="1:5" x14ac:dyDescent="0.25">
      <c r="A93" t="s">
        <v>1524</v>
      </c>
      <c r="B93" t="s">
        <v>1523</v>
      </c>
      <c r="C93" t="s">
        <v>192</v>
      </c>
      <c r="D93" t="s">
        <v>194</v>
      </c>
      <c r="E93" s="200">
        <v>0.1</v>
      </c>
    </row>
    <row r="94" spans="1:5" x14ac:dyDescent="0.25">
      <c r="D94" t="s">
        <v>1102</v>
      </c>
      <c r="E94" s="200">
        <v>0.4</v>
      </c>
    </row>
    <row r="95" spans="1:5" x14ac:dyDescent="0.25">
      <c r="A95" t="s">
        <v>1153</v>
      </c>
      <c r="B95" t="s">
        <v>1891</v>
      </c>
      <c r="C95" t="s">
        <v>176</v>
      </c>
    </row>
    <row r="96" spans="1:5" x14ac:dyDescent="0.25">
      <c r="A96" t="s">
        <v>2008</v>
      </c>
      <c r="B96" t="s">
        <v>2007</v>
      </c>
      <c r="C96" t="s">
        <v>461</v>
      </c>
      <c r="D96" t="s">
        <v>176</v>
      </c>
      <c r="E96" s="200">
        <v>0.46666666666666667</v>
      </c>
    </row>
    <row r="97" spans="1:5" x14ac:dyDescent="0.25">
      <c r="A97" t="s">
        <v>2142</v>
      </c>
      <c r="B97" t="s">
        <v>2134</v>
      </c>
      <c r="C97" t="s">
        <v>176</v>
      </c>
    </row>
    <row r="98" spans="1:5" x14ac:dyDescent="0.25">
      <c r="A98" t="s">
        <v>2132</v>
      </c>
      <c r="B98" t="s">
        <v>2131</v>
      </c>
      <c r="C98" t="s">
        <v>176</v>
      </c>
    </row>
    <row r="99" spans="1:5" x14ac:dyDescent="0.25">
      <c r="A99" t="s">
        <v>2179</v>
      </c>
      <c r="B99" t="s">
        <v>2175</v>
      </c>
      <c r="C99" t="s">
        <v>176</v>
      </c>
    </row>
    <row r="100" spans="1:5" x14ac:dyDescent="0.25">
      <c r="A100" t="s">
        <v>2204</v>
      </c>
      <c r="B100" t="s">
        <v>2202</v>
      </c>
      <c r="C100" t="s">
        <v>176</v>
      </c>
    </row>
    <row r="101" spans="1:5" x14ac:dyDescent="0.25">
      <c r="A101" t="s">
        <v>2213</v>
      </c>
      <c r="B101" t="s">
        <v>2149</v>
      </c>
      <c r="C101" t="s">
        <v>192</v>
      </c>
      <c r="D101" t="s">
        <v>1102</v>
      </c>
      <c r="E101" s="200">
        <v>0.2</v>
      </c>
    </row>
    <row r="102" spans="1:5" x14ac:dyDescent="0.25">
      <c r="A102" t="s">
        <v>1579</v>
      </c>
      <c r="B102" t="s">
        <v>1578</v>
      </c>
      <c r="C102" t="s">
        <v>1102</v>
      </c>
      <c r="D102" t="s">
        <v>198</v>
      </c>
      <c r="E102" s="200">
        <v>0.2</v>
      </c>
    </row>
    <row r="103" spans="1:5" x14ac:dyDescent="0.25">
      <c r="A103" t="s">
        <v>1643</v>
      </c>
      <c r="B103" t="s">
        <v>1642</v>
      </c>
      <c r="C103" t="s">
        <v>192</v>
      </c>
      <c r="D103" t="s">
        <v>194</v>
      </c>
      <c r="E103" s="200">
        <v>0.25</v>
      </c>
    </row>
    <row r="104" spans="1:5" x14ac:dyDescent="0.25">
      <c r="D104" t="s">
        <v>461</v>
      </c>
      <c r="E104" s="200">
        <v>0.125</v>
      </c>
    </row>
    <row r="105" spans="1:5" x14ac:dyDescent="0.25">
      <c r="A105" t="s">
        <v>1572</v>
      </c>
      <c r="B105" t="s">
        <v>1534</v>
      </c>
      <c r="C105" t="s">
        <v>1102</v>
      </c>
      <c r="D105" t="s">
        <v>194</v>
      </c>
      <c r="E105" s="200">
        <v>0.25</v>
      </c>
    </row>
    <row r="106" spans="1:5" x14ac:dyDescent="0.25">
      <c r="D106" t="s">
        <v>192</v>
      </c>
      <c r="E106" s="200">
        <v>0.125</v>
      </c>
    </row>
    <row r="107" spans="1:5" x14ac:dyDescent="0.25">
      <c r="A107" t="s">
        <v>1573</v>
      </c>
      <c r="B107" t="s">
        <v>1540</v>
      </c>
      <c r="C107" t="s">
        <v>192</v>
      </c>
      <c r="D107" t="s">
        <v>194</v>
      </c>
      <c r="E107" s="200">
        <v>0.25</v>
      </c>
    </row>
    <row r="108" spans="1:5" x14ac:dyDescent="0.25">
      <c r="D108" t="s">
        <v>1102</v>
      </c>
      <c r="E108" s="200">
        <v>0.375</v>
      </c>
    </row>
    <row r="109" spans="1:5" x14ac:dyDescent="0.25">
      <c r="B109" t="s">
        <v>2197</v>
      </c>
      <c r="C109" t="s">
        <v>1102</v>
      </c>
      <c r="D109" t="s">
        <v>192</v>
      </c>
      <c r="E109" s="200">
        <v>0.375</v>
      </c>
    </row>
    <row r="110" spans="1:5" x14ac:dyDescent="0.25">
      <c r="A110" t="s">
        <v>1574</v>
      </c>
      <c r="B110" t="s">
        <v>1541</v>
      </c>
      <c r="C110" t="s">
        <v>192</v>
      </c>
      <c r="D110" t="s">
        <v>194</v>
      </c>
      <c r="E110" s="200">
        <v>0.25</v>
      </c>
    </row>
    <row r="111" spans="1:5" x14ac:dyDescent="0.25">
      <c r="D111" t="s">
        <v>461</v>
      </c>
      <c r="E111" s="200">
        <v>0.375</v>
      </c>
    </row>
    <row r="112" spans="1:5" x14ac:dyDescent="0.25">
      <c r="A112" t="s">
        <v>442</v>
      </c>
      <c r="B112" t="s">
        <v>2256</v>
      </c>
      <c r="C112" t="s">
        <v>192</v>
      </c>
      <c r="D112" t="s">
        <v>194</v>
      </c>
      <c r="E112" s="200">
        <v>0.5</v>
      </c>
    </row>
    <row r="113" spans="1:5" x14ac:dyDescent="0.25">
      <c r="A113" t="s">
        <v>1443</v>
      </c>
      <c r="B113" t="s">
        <v>1444</v>
      </c>
      <c r="C113" t="s">
        <v>192</v>
      </c>
      <c r="D113" t="s">
        <v>1102</v>
      </c>
      <c r="E113" s="200">
        <v>0.5</v>
      </c>
    </row>
    <row r="114" spans="1:5" x14ac:dyDescent="0.25">
      <c r="B114" t="s">
        <v>2174</v>
      </c>
      <c r="C114" t="s">
        <v>192</v>
      </c>
      <c r="D114" t="s">
        <v>1102</v>
      </c>
      <c r="E114" s="200">
        <v>0.5</v>
      </c>
    </row>
    <row r="115" spans="1:5" x14ac:dyDescent="0.25">
      <c r="A115" t="s">
        <v>2181</v>
      </c>
      <c r="B115" t="s">
        <v>2180</v>
      </c>
      <c r="C115" t="s">
        <v>172</v>
      </c>
    </row>
    <row r="116" spans="1:5" x14ac:dyDescent="0.25">
      <c r="A116" t="s">
        <v>2328</v>
      </c>
      <c r="B116" t="s">
        <v>2327</v>
      </c>
      <c r="C116" t="s">
        <v>1102</v>
      </c>
      <c r="D116" t="s">
        <v>192</v>
      </c>
      <c r="E116" s="200">
        <v>0.4</v>
      </c>
    </row>
    <row r="117" spans="1:5" x14ac:dyDescent="0.25">
      <c r="A117" t="s">
        <v>1257</v>
      </c>
      <c r="B117" t="s">
        <v>1254</v>
      </c>
      <c r="C117" t="s">
        <v>192</v>
      </c>
      <c r="D117" t="s">
        <v>197</v>
      </c>
      <c r="E117" s="200">
        <v>0.25</v>
      </c>
    </row>
    <row r="118" spans="1:5" x14ac:dyDescent="0.25">
      <c r="A118" t="s">
        <v>374</v>
      </c>
      <c r="B118" t="s">
        <v>374</v>
      </c>
      <c r="C118" t="s">
        <v>374</v>
      </c>
      <c r="D118" t="s">
        <v>374</v>
      </c>
      <c r="E118" s="200" t="s">
        <v>374</v>
      </c>
    </row>
    <row r="119" spans="1:5" x14ac:dyDescent="0.25">
      <c r="A119" t="s">
        <v>768</v>
      </c>
    </row>
  </sheetData>
  <sheetProtection sheet="1" objects="1" scenarios="1"/>
  <pageMargins left="0.70866141732283472" right="0.70866141732283472" top="0.74803149606299213" bottom="0.74803149606299213" header="0.31496062992125984" footer="0.31496062992125984"/>
  <pageSetup paperSize="9" scale="72" fitToHeight="2" orientation="landscape"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pageSetUpPr fitToPage="1"/>
  </sheetPr>
  <dimension ref="A1:X120"/>
  <sheetViews>
    <sheetView zoomScaleNormal="100" workbookViewId="0">
      <selection activeCell="F20" sqref="F20"/>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1532</v>
      </c>
      <c r="B2" t="str">
        <f>VLOOKUP(A2,kurspris!$A$1:$Q$907,2,FALSE)</f>
        <v>Skapande lek i förskolan 1</v>
      </c>
      <c r="C2" s="31">
        <v>2180</v>
      </c>
      <c r="D2" t="str">
        <f>VLOOKUP(C2,Orgenheter!$A$1:$B$214,2)</f>
        <v xml:space="preserve">Pedagogik                     </v>
      </c>
      <c r="E2" t="str">
        <f>VLOOKUP(C2,Orgenheter!$A$1:$C$166,3,FALSE)</f>
        <v>Sam</v>
      </c>
      <c r="F2" s="262">
        <f>1.5/7.5</f>
        <v>0.2</v>
      </c>
      <c r="G2">
        <f>VLOOKUP(A2,'Ansvar kurs'!$A$98:$C$1072,2,FALSE)</f>
        <v>1650</v>
      </c>
      <c r="H2" t="str">
        <f>VLOOKUP(G2,Orgenheter!$A$1:$B$214,2)</f>
        <v xml:space="preserve">Estetiska ämnen               </v>
      </c>
      <c r="I2" t="str">
        <f>VLOOKUP(G2,Orgenheter!$A$1:$C$166,3,FALSE)</f>
        <v>Hum</v>
      </c>
      <c r="J2" s="192">
        <f>IF(ISERROR(VLOOKUP(A2,'Totalt pivot'!$A$5:$C$397,2,FALSE)),0,(VLOOKUP(A2,'Totalt pivot'!$A$5:$C$397,2,FALSE)))</f>
        <v>2.75</v>
      </c>
      <c r="K2" s="192">
        <f t="shared" ref="K2" si="0">F2*J2</f>
        <v>0.55000000000000004</v>
      </c>
      <c r="L2" s="192">
        <f>IF(ISERROR(VLOOKUP(A2,'Totalt pivot'!$A$5:$C$397,3,FALSE)),0,(VLOOKUP(A2,'Totalt pivot'!$A$5:$C$397,3,FALSE)))</f>
        <v>2.3374999999999999</v>
      </c>
      <c r="M2" s="192">
        <f t="shared" ref="M2:M3" si="1">F2*L2</f>
        <v>0.46750000000000003</v>
      </c>
      <c r="N2" s="26">
        <f>VLOOKUP(A2,kurspris!$A$1:$Q$907,15)</f>
        <v>16920</v>
      </c>
      <c r="O2" s="26">
        <f>VLOOKUP(A2,kurspris!$A$1:$Q$907,16)</f>
        <v>27913</v>
      </c>
      <c r="P2" s="26">
        <f>VLOOKUP(A2,kurspris!$A$1:$Q$907,17)</f>
        <v>17900</v>
      </c>
      <c r="Q2" s="26">
        <f t="shared" ref="Q2:Q3" si="2">K2*N2+M2*O2</f>
        <v>22355.327499999999</v>
      </c>
      <c r="R2" s="26">
        <f>(Q2*Prislapp!$R$5)*-1</f>
        <v>-1564.8729250000001</v>
      </c>
      <c r="S2" s="26">
        <f t="shared" ref="S2:S3" si="3">Q2+R2</f>
        <v>20790.454575</v>
      </c>
      <c r="T2" s="26">
        <f t="shared" ref="T2:T3" si="4">K2*P2</f>
        <v>9845</v>
      </c>
    </row>
    <row r="3" spans="1:22" x14ac:dyDescent="0.25">
      <c r="A3" s="31" t="s">
        <v>1532</v>
      </c>
      <c r="B3" t="str">
        <f>VLOOKUP(A3,kurspris!$A$1:$Q$907,2,FALSE)</f>
        <v>Skapande lek i förskolan 1</v>
      </c>
      <c r="C3" s="31">
        <v>2193</v>
      </c>
      <c r="D3" t="str">
        <f>VLOOKUP(C3,Orgenheter!$A$1:$B$214,2)</f>
        <v xml:space="preserve">TUV </v>
      </c>
      <c r="E3" t="str">
        <f>VLOOKUP(C3,Orgenheter!$A$1:$C$166,3,FALSE)</f>
        <v>Sam</v>
      </c>
      <c r="F3" s="262">
        <f>1.5/7.5</f>
        <v>0.2</v>
      </c>
      <c r="G3">
        <f>VLOOKUP(A3,'Ansvar kurs'!$A$98:$C$1072,2,FALSE)</f>
        <v>1650</v>
      </c>
      <c r="H3" t="str">
        <f>VLOOKUP(G3,Orgenheter!$A$1:$B$214,2)</f>
        <v xml:space="preserve">Estetiska ämnen               </v>
      </c>
      <c r="I3" t="str">
        <f>VLOOKUP(G3,Orgenheter!$A$1:$C$166,3,FALSE)</f>
        <v>Hum</v>
      </c>
      <c r="J3" s="192">
        <f>IF(ISERROR(VLOOKUP(A3,'Totalt pivot'!$A$5:$C$397,2,FALSE)),0,(VLOOKUP(A3,'Totalt pivot'!$A$5:$C$397,2,FALSE)))</f>
        <v>2.75</v>
      </c>
      <c r="K3" s="192">
        <f t="shared" ref="K3:K40" si="5">F3*J3</f>
        <v>0.55000000000000004</v>
      </c>
      <c r="L3" s="192">
        <f>IF(ISERROR(VLOOKUP(A3,'Totalt pivot'!$A$5:$C$397,3,FALSE)),0,(VLOOKUP(A3,'Totalt pivot'!$A$5:$C$397,3,FALSE)))</f>
        <v>2.3374999999999999</v>
      </c>
      <c r="M3" s="192">
        <f t="shared" si="1"/>
        <v>0.46750000000000003</v>
      </c>
      <c r="N3" s="26">
        <f>VLOOKUP(A3,kurspris!$A$1:$Q$907,15)</f>
        <v>16920</v>
      </c>
      <c r="O3" s="26">
        <f>VLOOKUP(A3,kurspris!$A$1:$Q$907,16)</f>
        <v>27913</v>
      </c>
      <c r="P3" s="26">
        <f>VLOOKUP(A3,kurspris!$A$1:$Q$907,17)</f>
        <v>17900</v>
      </c>
      <c r="Q3" s="26">
        <f t="shared" si="2"/>
        <v>22355.327499999999</v>
      </c>
      <c r="R3" s="26">
        <f>(Q3*Prislapp!$R$5)*-1</f>
        <v>-1564.8729250000001</v>
      </c>
      <c r="S3" s="26">
        <f t="shared" si="3"/>
        <v>20790.454575</v>
      </c>
      <c r="T3" s="26">
        <f t="shared" si="4"/>
        <v>9845</v>
      </c>
    </row>
    <row r="4" spans="1:22" x14ac:dyDescent="0.25">
      <c r="A4" s="57" t="s">
        <v>1979</v>
      </c>
      <c r="B4" t="str">
        <f>VLOOKUP(A4,kurspris!$A$1:$Q$907,2,FALSE)</f>
        <v>Skapande och lek för förskolan 2</v>
      </c>
      <c r="C4" s="31">
        <v>2180</v>
      </c>
      <c r="D4" t="str">
        <f>VLOOKUP(C4,Orgenheter!$A$1:$B$214,2)</f>
        <v xml:space="preserve">Pedagogik                     </v>
      </c>
      <c r="E4" t="str">
        <f>VLOOKUP(C4,Orgenheter!$A$1:$C$166,3,FALSE)</f>
        <v>Sam</v>
      </c>
      <c r="F4" s="262">
        <f>1.5/15</f>
        <v>0.1</v>
      </c>
      <c r="G4">
        <f>VLOOKUP(A4,'Ansvar kurs'!$A$98:$C$1072,2,FALSE)</f>
        <v>1650</v>
      </c>
      <c r="H4" t="str">
        <f>VLOOKUP(G4,Orgenheter!$A$1:$B$214,2)</f>
        <v xml:space="preserve">Estetiska ämnen               </v>
      </c>
      <c r="I4" t="str">
        <f>VLOOKUP(G4,Orgenheter!$A$1:$C$166,3,FALSE)</f>
        <v>Hum</v>
      </c>
      <c r="J4" s="192">
        <f>IF(ISERROR(VLOOKUP(A4,'Totalt pivot'!$A$5:$C$397,2,FALSE)),0,(VLOOKUP(A4,'Totalt pivot'!$A$5:$C$397,2,FALSE)))</f>
        <v>9.5</v>
      </c>
      <c r="K4" s="192">
        <f t="shared" ref="K4:K5" si="6">F4*J4</f>
        <v>0.95000000000000007</v>
      </c>
      <c r="L4" s="192">
        <f>IF(ISERROR(VLOOKUP(A4,'Totalt pivot'!$A$5:$C$397,3,FALSE)),0,(VLOOKUP(A4,'Totalt pivot'!$A$5:$C$397,3,FALSE)))</f>
        <v>8.0749999999999993</v>
      </c>
      <c r="M4" s="192">
        <f t="shared" ref="M4:M5" si="7">F4*L4</f>
        <v>0.8075</v>
      </c>
      <c r="N4" s="26">
        <f>VLOOKUP(A4,kurspris!$A$1:$Q$907,15)</f>
        <v>16920</v>
      </c>
      <c r="O4" s="26">
        <f>VLOOKUP(A4,kurspris!$A$1:$Q$907,16)</f>
        <v>27913</v>
      </c>
      <c r="P4" s="26">
        <f>VLOOKUP(A4,kurspris!$A$1:$Q$907,17)</f>
        <v>17900</v>
      </c>
      <c r="Q4" s="26">
        <f t="shared" ref="Q4:Q5" si="8">K4*N4+M4*O4</f>
        <v>38613.747500000005</v>
      </c>
      <c r="R4" s="26">
        <f>(Q4*Prislapp!$R$5)*-1</f>
        <v>-2702.9623250000004</v>
      </c>
      <c r="S4" s="26">
        <f t="shared" ref="S4:S5" si="9">Q4+R4</f>
        <v>35910.785175000005</v>
      </c>
      <c r="T4" s="26">
        <f t="shared" ref="T4:T5" si="10">K4*P4</f>
        <v>17005</v>
      </c>
    </row>
    <row r="5" spans="1:22" x14ac:dyDescent="0.25">
      <c r="A5" s="57" t="s">
        <v>1979</v>
      </c>
      <c r="B5" t="str">
        <f>VLOOKUP(A5,kurspris!$A$1:$Q$907,2,FALSE)</f>
        <v>Skapande och lek för förskolan 2</v>
      </c>
      <c r="C5" s="31">
        <v>2193</v>
      </c>
      <c r="D5" t="str">
        <f>VLOOKUP(C5,Orgenheter!$A$1:$B$214,2)</f>
        <v xml:space="preserve">TUV </v>
      </c>
      <c r="E5" t="str">
        <f>VLOOKUP(C5,Orgenheter!$A$1:$C$166,3,FALSE)</f>
        <v>Sam</v>
      </c>
      <c r="F5" s="262">
        <f>1.5/15</f>
        <v>0.1</v>
      </c>
      <c r="G5">
        <f>VLOOKUP(A5,'Ansvar kurs'!$A$98:$C$1072,2,FALSE)</f>
        <v>1650</v>
      </c>
      <c r="H5" t="str">
        <f>VLOOKUP(G5,Orgenheter!$A$1:$B$214,2)</f>
        <v xml:space="preserve">Estetiska ämnen               </v>
      </c>
      <c r="I5" t="str">
        <f>VLOOKUP(G5,Orgenheter!$A$1:$C$166,3,FALSE)</f>
        <v>Hum</v>
      </c>
      <c r="J5" s="192">
        <f>IF(ISERROR(VLOOKUP(A5,'Totalt pivot'!$A$5:$C$397,2,FALSE)),0,(VLOOKUP(A5,'Totalt pivot'!$A$5:$C$397,2,FALSE)))</f>
        <v>9.5</v>
      </c>
      <c r="K5" s="192">
        <f t="shared" si="6"/>
        <v>0.95000000000000007</v>
      </c>
      <c r="L5" s="192">
        <f>IF(ISERROR(VLOOKUP(A5,'Totalt pivot'!$A$5:$C$397,3,FALSE)),0,(VLOOKUP(A5,'Totalt pivot'!$A$5:$C$397,3,FALSE)))</f>
        <v>8.0749999999999993</v>
      </c>
      <c r="M5" s="192">
        <f t="shared" si="7"/>
        <v>0.8075</v>
      </c>
      <c r="N5" s="26">
        <f>VLOOKUP(A5,kurspris!$A$1:$Q$907,15)</f>
        <v>16920</v>
      </c>
      <c r="O5" s="26">
        <f>VLOOKUP(A5,kurspris!$A$1:$Q$907,16)</f>
        <v>27913</v>
      </c>
      <c r="P5" s="26">
        <f>VLOOKUP(A5,kurspris!$A$1:$Q$907,17)</f>
        <v>17900</v>
      </c>
      <c r="Q5" s="26">
        <f t="shared" si="8"/>
        <v>38613.747500000005</v>
      </c>
      <c r="R5" s="26">
        <f>(Q5*Prislapp!$R$5)*-1</f>
        <v>-2702.9623250000004</v>
      </c>
      <c r="S5" s="26">
        <f t="shared" si="9"/>
        <v>35910.785175000005</v>
      </c>
      <c r="T5" s="26">
        <f t="shared" si="10"/>
        <v>17005</v>
      </c>
    </row>
    <row r="6" spans="1:22" x14ac:dyDescent="0.25">
      <c r="A6" s="57" t="s">
        <v>2373</v>
      </c>
      <c r="B6" t="str">
        <f>VLOOKUP(A6,kurspris!$A$1:$Q$907,2,FALSE)</f>
        <v>Skapande lek i  förskolan 2</v>
      </c>
      <c r="C6" s="31">
        <v>2180</v>
      </c>
      <c r="D6" t="str">
        <f>VLOOKUP(C6,Orgenheter!$A$1:$B$214,2)</f>
        <v xml:space="preserve">Pedagogik                     </v>
      </c>
      <c r="E6" t="str">
        <f>VLOOKUP(C6,Orgenheter!$A$1:$C$166,3,FALSE)</f>
        <v>Sam</v>
      </c>
      <c r="F6" s="262">
        <f>1.5/7.5</f>
        <v>0.2</v>
      </c>
      <c r="G6">
        <f>VLOOKUP(A6,'Ansvar kurs'!$A$98:$C$1072,2,FALSE)</f>
        <v>1650</v>
      </c>
      <c r="H6" t="str">
        <f>VLOOKUP(G6,Orgenheter!$A$1:$B$214,2)</f>
        <v xml:space="preserve">Estetiska ämnen               </v>
      </c>
      <c r="I6" t="str">
        <f>VLOOKUP(G6,Orgenheter!$A$1:$C$166,3,FALSE)</f>
        <v>Hum</v>
      </c>
      <c r="J6" s="192">
        <f>IF(ISERROR(VLOOKUP(A6,'Totalt pivot'!$A$5:$C$397,2,FALSE)),0,(VLOOKUP(A6,'Totalt pivot'!$A$5:$C$397,2,FALSE)))</f>
        <v>3.5</v>
      </c>
      <c r="K6" s="192">
        <f t="shared" ref="K6:K9" si="11">F6*J6</f>
        <v>0.70000000000000007</v>
      </c>
      <c r="L6" s="192">
        <f>IF(ISERROR(VLOOKUP(A6,'Totalt pivot'!$A$5:$C$397,3,FALSE)),0,(VLOOKUP(A6,'Totalt pivot'!$A$5:$C$397,3,FALSE)))</f>
        <v>2.9749999999999996</v>
      </c>
      <c r="M6" s="192">
        <f t="shared" ref="M6:M9" si="12">F6*L6</f>
        <v>0.59499999999999997</v>
      </c>
      <c r="N6" s="26">
        <f>VLOOKUP(A6,kurspris!$A$1:$Q$907,15)</f>
        <v>16920</v>
      </c>
      <c r="O6" s="26">
        <f>VLOOKUP(A6,kurspris!$A$1:$Q$907,16)</f>
        <v>27913</v>
      </c>
      <c r="P6" s="26">
        <f>VLOOKUP(A6,kurspris!$A$1:$Q$907,17)</f>
        <v>17900</v>
      </c>
      <c r="Q6" s="26">
        <f t="shared" ref="Q6:Q9" si="13">K6*N6+M6*O6</f>
        <v>28452.235000000001</v>
      </c>
      <c r="R6" s="26">
        <f>(Q6*Prislapp!$R$5)*-1</f>
        <v>-1991.6564500000002</v>
      </c>
      <c r="S6" s="26">
        <f t="shared" ref="S6:S9" si="14">Q6+R6</f>
        <v>26460.578550000002</v>
      </c>
      <c r="T6" s="26">
        <f t="shared" ref="T6:T9" si="15">K6*P6</f>
        <v>12530.000000000002</v>
      </c>
    </row>
    <row r="7" spans="1:22" x14ac:dyDescent="0.25">
      <c r="A7" s="57" t="s">
        <v>2373</v>
      </c>
      <c r="B7" t="str">
        <f>VLOOKUP(A7,kurspris!$A$1:$Q$907,2,FALSE)</f>
        <v>Skapande lek i  förskolan 2</v>
      </c>
      <c r="C7" s="31">
        <v>2193</v>
      </c>
      <c r="D7" t="str">
        <f>VLOOKUP(C7,Orgenheter!$A$1:$B$214,2)</f>
        <v xml:space="preserve">TUV </v>
      </c>
      <c r="E7" t="str">
        <f>VLOOKUP(C7,Orgenheter!$A$1:$C$166,3,FALSE)</f>
        <v>Sam</v>
      </c>
      <c r="F7" s="262">
        <f>1.5/7.5</f>
        <v>0.2</v>
      </c>
      <c r="G7">
        <f>VLOOKUP(A7,'Ansvar kurs'!$A$98:$C$1072,2,FALSE)</f>
        <v>1650</v>
      </c>
      <c r="H7" t="str">
        <f>VLOOKUP(G7,Orgenheter!$A$1:$B$214,2)</f>
        <v xml:space="preserve">Estetiska ämnen               </v>
      </c>
      <c r="I7" t="str">
        <f>VLOOKUP(G7,Orgenheter!$A$1:$C$166,3,FALSE)</f>
        <v>Hum</v>
      </c>
      <c r="J7" s="192">
        <f>IF(ISERROR(VLOOKUP(A7,'Totalt pivot'!$A$5:$C$397,2,FALSE)),0,(VLOOKUP(A7,'Totalt pivot'!$A$5:$C$397,2,FALSE)))</f>
        <v>3.5</v>
      </c>
      <c r="K7" s="192">
        <f t="shared" si="11"/>
        <v>0.70000000000000007</v>
      </c>
      <c r="L7" s="192">
        <f>IF(ISERROR(VLOOKUP(A7,'Totalt pivot'!$A$5:$C$397,3,FALSE)),0,(VLOOKUP(A7,'Totalt pivot'!$A$5:$C$397,3,FALSE)))</f>
        <v>2.9749999999999996</v>
      </c>
      <c r="M7" s="192">
        <f t="shared" si="12"/>
        <v>0.59499999999999997</v>
      </c>
      <c r="N7" s="26">
        <f>VLOOKUP(A7,kurspris!$A$1:$Q$907,15)</f>
        <v>16920</v>
      </c>
      <c r="O7" s="26">
        <f>VLOOKUP(A7,kurspris!$A$1:$Q$907,16)</f>
        <v>27913</v>
      </c>
      <c r="P7" s="26">
        <f>VLOOKUP(A7,kurspris!$A$1:$Q$907,17)</f>
        <v>17900</v>
      </c>
      <c r="Q7" s="26">
        <f t="shared" si="13"/>
        <v>28452.235000000001</v>
      </c>
      <c r="R7" s="26">
        <f>(Q7*Prislapp!$R$5)*-1</f>
        <v>-1991.6564500000002</v>
      </c>
      <c r="S7" s="26">
        <f t="shared" si="14"/>
        <v>26460.578550000002</v>
      </c>
      <c r="T7" s="26">
        <f t="shared" si="15"/>
        <v>12530.000000000002</v>
      </c>
    </row>
    <row r="8" spans="1:22" x14ac:dyDescent="0.25">
      <c r="A8" s="397" t="s">
        <v>2372</v>
      </c>
      <c r="B8" t="str">
        <f>VLOOKUP(A8,kurspris!$A$1:$Q$907,2,FALSE)</f>
        <v>Skapande lek i förskolan 1</v>
      </c>
      <c r="C8" s="31">
        <v>2180</v>
      </c>
      <c r="D8" t="str">
        <f>VLOOKUP(C8,Orgenheter!$A$1:$B$214,2)</f>
        <v xml:space="preserve">Pedagogik                     </v>
      </c>
      <c r="E8" t="str">
        <f>VLOOKUP(C8,Orgenheter!$A$1:$C$166,3,FALSE)</f>
        <v>Sam</v>
      </c>
      <c r="F8" s="262">
        <f>1.5/15</f>
        <v>0.1</v>
      </c>
      <c r="G8">
        <f>VLOOKUP(A8,'Ansvar kurs'!$A$98:$C$1072,2,FALSE)</f>
        <v>1650</v>
      </c>
      <c r="H8" t="str">
        <f>VLOOKUP(G8,Orgenheter!$A$1:$B$214,2)</f>
        <v xml:space="preserve">Estetiska ämnen               </v>
      </c>
      <c r="I8" t="str">
        <f>VLOOKUP(G8,Orgenheter!$A$1:$C$166,3,FALSE)</f>
        <v>Hum</v>
      </c>
      <c r="J8" s="192">
        <f>IF(ISERROR(VLOOKUP(A8,'Totalt pivot'!$A$5:$C$397,2,FALSE)),0,(VLOOKUP(A8,'Totalt pivot'!$A$5:$C$397,2,FALSE)))</f>
        <v>4.625</v>
      </c>
      <c r="K8" s="192">
        <f t="shared" si="11"/>
        <v>0.46250000000000002</v>
      </c>
      <c r="L8" s="192">
        <f>IF(ISERROR(VLOOKUP(A8,'Totalt pivot'!$A$5:$C$397,3,FALSE)),0,(VLOOKUP(A8,'Totalt pivot'!$A$5:$C$397,3,FALSE)))</f>
        <v>3.9312499999999999</v>
      </c>
      <c r="M8" s="192">
        <f t="shared" si="12"/>
        <v>0.393125</v>
      </c>
      <c r="N8" s="26">
        <f>VLOOKUP(A8,kurspris!$A$1:$Q$907,15)</f>
        <v>16920</v>
      </c>
      <c r="O8" s="26">
        <f>VLOOKUP(A8,kurspris!$A$1:$Q$907,16)</f>
        <v>27913</v>
      </c>
      <c r="P8" s="26">
        <f>VLOOKUP(A8,kurspris!$A$1:$Q$907,17)</f>
        <v>17900</v>
      </c>
      <c r="Q8" s="26">
        <f t="shared" si="13"/>
        <v>18798.798125000001</v>
      </c>
      <c r="R8" s="26">
        <f>(Q8*Prislapp!$R$5)*-1</f>
        <v>-1315.9158687500003</v>
      </c>
      <c r="S8" s="26">
        <f t="shared" si="14"/>
        <v>17482.882256249999</v>
      </c>
      <c r="T8" s="26">
        <f t="shared" si="15"/>
        <v>8278.75</v>
      </c>
    </row>
    <row r="9" spans="1:22" x14ac:dyDescent="0.25">
      <c r="A9" s="397" t="s">
        <v>2372</v>
      </c>
      <c r="B9" t="str">
        <f>VLOOKUP(A9,kurspris!$A$1:$Q$907,2,FALSE)</f>
        <v>Skapande lek i förskolan 1</v>
      </c>
      <c r="C9" s="31">
        <v>2193</v>
      </c>
      <c r="D9" t="str">
        <f>VLOOKUP(C9,Orgenheter!$A$1:$B$214,2)</f>
        <v xml:space="preserve">TUV </v>
      </c>
      <c r="E9" t="str">
        <f>VLOOKUP(C9,Orgenheter!$A$1:$C$166,3,FALSE)</f>
        <v>Sam</v>
      </c>
      <c r="F9" s="262">
        <f>1.5/15</f>
        <v>0.1</v>
      </c>
      <c r="G9">
        <f>VLOOKUP(A9,'Ansvar kurs'!$A$98:$C$1072,2,FALSE)</f>
        <v>1650</v>
      </c>
      <c r="H9" t="str">
        <f>VLOOKUP(G9,Orgenheter!$A$1:$B$214,2)</f>
        <v xml:space="preserve">Estetiska ämnen               </v>
      </c>
      <c r="I9" t="str">
        <f>VLOOKUP(G9,Orgenheter!$A$1:$C$166,3,FALSE)</f>
        <v>Hum</v>
      </c>
      <c r="J9" s="192">
        <f>IF(ISERROR(VLOOKUP(A9,'Totalt pivot'!$A$5:$C$397,2,FALSE)),0,(VLOOKUP(A9,'Totalt pivot'!$A$5:$C$397,2,FALSE)))</f>
        <v>4.625</v>
      </c>
      <c r="K9" s="192">
        <f t="shared" si="11"/>
        <v>0.46250000000000002</v>
      </c>
      <c r="L9" s="192">
        <f>IF(ISERROR(VLOOKUP(A9,'Totalt pivot'!$A$5:$C$397,3,FALSE)),0,(VLOOKUP(A9,'Totalt pivot'!$A$5:$C$397,3,FALSE)))</f>
        <v>3.9312499999999999</v>
      </c>
      <c r="M9" s="192">
        <f t="shared" si="12"/>
        <v>0.393125</v>
      </c>
      <c r="N9" s="26">
        <f>VLOOKUP(A9,kurspris!$A$1:$Q$907,15)</f>
        <v>16920</v>
      </c>
      <c r="O9" s="26">
        <f>VLOOKUP(A9,kurspris!$A$1:$Q$907,16)</f>
        <v>27913</v>
      </c>
      <c r="P9" s="26">
        <f>VLOOKUP(A9,kurspris!$A$1:$Q$907,17)</f>
        <v>17900</v>
      </c>
      <c r="Q9" s="26">
        <f t="shared" si="13"/>
        <v>18798.798125000001</v>
      </c>
      <c r="R9" s="26">
        <f>(Q9*Prislapp!$R$5)*-1</f>
        <v>-1315.9158687500003</v>
      </c>
      <c r="S9" s="26">
        <f t="shared" si="14"/>
        <v>17482.882256249999</v>
      </c>
      <c r="T9" s="26">
        <f t="shared" si="15"/>
        <v>8278.75</v>
      </c>
    </row>
    <row r="10" spans="1:22" x14ac:dyDescent="0.25">
      <c r="A10" s="31" t="s">
        <v>1982</v>
      </c>
      <c r="B10" t="s">
        <v>1997</v>
      </c>
      <c r="C10" s="31">
        <v>2360</v>
      </c>
      <c r="D10" t="str">
        <f>VLOOKUP(C10,Orgenheter!$A$1:$B$214,2)</f>
        <v xml:space="preserve">Ekonomisk historia            </v>
      </c>
      <c r="E10" t="str">
        <f>VLOOKUP(C10,Orgenheter!$A$1:$C$166,3,FALSE)</f>
        <v>Sam</v>
      </c>
      <c r="F10" s="262">
        <f>7.5/30</f>
        <v>0.25</v>
      </c>
      <c r="G10">
        <f>VLOOKUP(A10,'Ansvar kurs'!$A$98:$C$1072,2,FALSE)</f>
        <v>1630</v>
      </c>
      <c r="H10" t="str">
        <f>VLOOKUP(G10,Orgenheter!$A$1:$B$214,2)</f>
        <v>Inst för ide- o samhällsstudier</v>
      </c>
      <c r="I10" t="str">
        <f>VLOOKUP(G10,Orgenheter!$A$1:$C$166,3,FALSE)</f>
        <v>Hum</v>
      </c>
      <c r="J10" s="192">
        <f>IF(ISERROR(VLOOKUP(A10,'Totalt pivot'!$A$5:$C$397,2,FALSE)),0,(VLOOKUP(A10,'Totalt pivot'!$A$5:$C$397,2,FALSE)))</f>
        <v>17.5</v>
      </c>
      <c r="K10" s="192">
        <f t="shared" ref="K10" si="16">F10*J10</f>
        <v>4.375</v>
      </c>
      <c r="L10" s="192">
        <f>IF(ISERROR(VLOOKUP(A10,'Totalt pivot'!$A$5:$C$397,3,FALSE)),0,(VLOOKUP(A10,'Totalt pivot'!$A$5:$C$397,3,FALSE)))</f>
        <v>14.875</v>
      </c>
      <c r="M10" s="192">
        <f t="shared" ref="M10" si="17">F10*L10</f>
        <v>3.71875</v>
      </c>
      <c r="N10" s="26">
        <f>VLOOKUP(A10,kurspris!$A$1:$Q$907,15)</f>
        <v>20766</v>
      </c>
      <c r="O10" s="26">
        <f>VLOOKUP(A10,kurspris!$A$1:$Q$907,16)</f>
        <v>17442</v>
      </c>
      <c r="P10" s="26">
        <f>VLOOKUP(A10,kurspris!$A$1:$Q$907,17)</f>
        <v>6000</v>
      </c>
      <c r="Q10" s="26">
        <f t="shared" ref="Q10" si="18">K10*N10+M10*O10</f>
        <v>155713.6875</v>
      </c>
      <c r="R10" s="26">
        <f>(Q10*Prislapp!$R$5)*-1</f>
        <v>-10899.958125000001</v>
      </c>
      <c r="S10" s="26">
        <f t="shared" ref="S10" si="19">Q10+R10</f>
        <v>144813.729375</v>
      </c>
      <c r="T10" s="26">
        <f t="shared" ref="T10" si="20">K10*P10</f>
        <v>26250</v>
      </c>
    </row>
    <row r="11" spans="1:22" x14ac:dyDescent="0.25">
      <c r="A11" s="57" t="s">
        <v>1550</v>
      </c>
      <c r="B11" t="str">
        <f>VLOOKUP(A11,kurspris!$A$1:$Q$907,2,FALSE)</f>
        <v>Idrott och hälsa 1</v>
      </c>
      <c r="C11" s="31">
        <v>3306</v>
      </c>
      <c r="D11" t="str">
        <f>VLOOKUP(C11,Orgenheter!$A$1:$B$214,2)</f>
        <v xml:space="preserve">Idrottsmedicin                </v>
      </c>
      <c r="E11" t="str">
        <f>VLOOKUP(C11,Orgenheter!$A$1:$C$166,3,FALSE)</f>
        <v>Med</v>
      </c>
      <c r="F11" s="262">
        <v>0.25</v>
      </c>
      <c r="G11">
        <f>VLOOKUP(A11,'Ansvar kurs'!$A$98:$C$1072,2,FALSE)</f>
        <v>2180</v>
      </c>
      <c r="H11" t="str">
        <f>VLOOKUP(G11,Orgenheter!$A$1:$B$214,2)</f>
        <v xml:space="preserve">Pedagogik                     </v>
      </c>
      <c r="I11" t="str">
        <f>VLOOKUP(G11,Orgenheter!$A$1:$C$166,3,FALSE)</f>
        <v>Sam</v>
      </c>
      <c r="J11" s="192">
        <f>IF(ISERROR(VLOOKUP(A11,'Totalt pivot'!$A$5:$C$397,2,FALSE)),0,(VLOOKUP(A11,'Totalt pivot'!$A$5:$C$397,2,FALSE)))</f>
        <v>25.5</v>
      </c>
      <c r="K11" s="192">
        <f t="shared" si="5"/>
        <v>6.375</v>
      </c>
      <c r="L11" s="192">
        <f>IF(ISERROR(VLOOKUP(A11,'Totalt pivot'!$A$5:$C$397,3,FALSE)),0,(VLOOKUP(A11,'Totalt pivot'!$A$5:$C$397,3,FALSE)))</f>
        <v>21.425000000000001</v>
      </c>
      <c r="M11" s="192">
        <f t="shared" ref="M11:M40" si="21">F11*L11</f>
        <v>5.3562500000000002</v>
      </c>
      <c r="N11" s="26">
        <f>VLOOKUP(A11,kurspris!$A$1:$Q$907,15)</f>
        <v>47928</v>
      </c>
      <c r="O11" s="26">
        <f>VLOOKUP(A11,kurspris!$A$1:$Q$907,16)</f>
        <v>35430</v>
      </c>
      <c r="P11" s="26">
        <f>VLOOKUP(A11,kurspris!$A$1:$Q$907,17)</f>
        <v>35700</v>
      </c>
      <c r="Q11" s="26">
        <f t="shared" ref="Q11:Q40" si="22">K11*N11+M11*O11</f>
        <v>495312.9375</v>
      </c>
      <c r="R11" s="26">
        <f>(Q11*Prislapp!$R$5)*-1</f>
        <v>-34671.905625000007</v>
      </c>
      <c r="S11" s="26">
        <f t="shared" ref="S11:S40" si="23">Q11+R11</f>
        <v>460641.03187499999</v>
      </c>
      <c r="T11" s="26">
        <f t="shared" ref="T11:T40" si="24">K11*P11</f>
        <v>227587.5</v>
      </c>
    </row>
    <row r="12" spans="1:22" x14ac:dyDescent="0.25">
      <c r="A12" s="57" t="s">
        <v>1550</v>
      </c>
      <c r="B12" t="str">
        <f>VLOOKUP(A12,kurspris!$A$1:$Q$907,2,FALSE)</f>
        <v>Idrott och hälsa 1</v>
      </c>
      <c r="C12" s="31">
        <v>2650</v>
      </c>
      <c r="D12" t="str">
        <f>VLOOKUP(C12,Orgenheter!$A$1:$B$214,2)</f>
        <v>Inst för kost- och måltidsvetenskap</v>
      </c>
      <c r="E12" t="str">
        <f>VLOOKUP(C12,Orgenheter!$A$1:$C$166,3,FALSE)</f>
        <v>Sam</v>
      </c>
      <c r="F12" s="262">
        <v>0.15</v>
      </c>
      <c r="G12">
        <f>VLOOKUP(A12,'Ansvar kurs'!$A$98:$C$1072,2,FALSE)</f>
        <v>2180</v>
      </c>
      <c r="H12" t="str">
        <f>VLOOKUP(G12,Orgenheter!$A$1:$B$214,2)</f>
        <v xml:space="preserve">Pedagogik                     </v>
      </c>
      <c r="I12" t="str">
        <f>VLOOKUP(G12,Orgenheter!$A$1:$C$166,3,FALSE)</f>
        <v>Sam</v>
      </c>
      <c r="J12" s="192">
        <f>IF(ISERROR(VLOOKUP(A12,'Totalt pivot'!$A$5:$C$397,2,FALSE)),0,(VLOOKUP(A12,'Totalt pivot'!$A$5:$C$397,2,FALSE)))</f>
        <v>25.5</v>
      </c>
      <c r="K12" s="192">
        <f t="shared" si="5"/>
        <v>3.8249999999999997</v>
      </c>
      <c r="L12" s="192">
        <f>IF(ISERROR(VLOOKUP(A12,'Totalt pivot'!$A$5:$C$397,3,FALSE)),0,(VLOOKUP(A12,'Totalt pivot'!$A$5:$C$397,3,FALSE)))</f>
        <v>21.425000000000001</v>
      </c>
      <c r="M12" s="192">
        <f t="shared" si="21"/>
        <v>3.2137500000000001</v>
      </c>
      <c r="N12" s="26">
        <f>VLOOKUP(A12,kurspris!$A$1:$Q$907,15)</f>
        <v>47928</v>
      </c>
      <c r="O12" s="26">
        <f>VLOOKUP(A12,kurspris!$A$1:$Q$907,16)</f>
        <v>35430</v>
      </c>
      <c r="P12" s="26">
        <f>VLOOKUP(A12,kurspris!$A$1:$Q$907,17)</f>
        <v>35700</v>
      </c>
      <c r="Q12" s="26">
        <f t="shared" si="22"/>
        <v>297187.76249999995</v>
      </c>
      <c r="R12" s="26">
        <f>(Q12*Prislapp!$R$5)*-1</f>
        <v>-20803.143375</v>
      </c>
      <c r="S12" s="26">
        <f t="shared" si="23"/>
        <v>276384.61912499997</v>
      </c>
      <c r="T12" s="26">
        <f t="shared" si="24"/>
        <v>136552.5</v>
      </c>
    </row>
    <row r="13" spans="1:22" x14ac:dyDescent="0.25">
      <c r="A13" s="57" t="s">
        <v>1764</v>
      </c>
      <c r="B13" t="str">
        <f>VLOOKUP(A13,kurspris!$A$1:$Q$907,2,FALSE)</f>
        <v>Idrott och hälsa 3</v>
      </c>
      <c r="C13" s="31">
        <v>3850</v>
      </c>
      <c r="D13" t="str">
        <f>VLOOKUP(C13,Orgenheter!$A$1:$B$214,2)</f>
        <v>Epidemiologi och global hälsa</v>
      </c>
      <c r="E13" t="str">
        <f>VLOOKUP(C13,Orgenheter!$A$1:$C$166,3,FALSE)</f>
        <v>Med</v>
      </c>
      <c r="F13" s="262">
        <f>5/30</f>
        <v>0.16666666666666666</v>
      </c>
      <c r="G13">
        <f>VLOOKUP(A13,'Ansvar kurs'!$A$98:$C$1072,2,FALSE)</f>
        <v>2180</v>
      </c>
      <c r="H13" t="str">
        <f>VLOOKUP(G13,Orgenheter!$A$1:$B$214,2)</f>
        <v xml:space="preserve">Pedagogik                     </v>
      </c>
      <c r="I13" t="str">
        <f>VLOOKUP(G13,Orgenheter!$A$1:$C$166,3,FALSE)</f>
        <v>Sam</v>
      </c>
      <c r="J13" s="192">
        <f>IF(ISERROR(VLOOKUP(A13,'Totalt pivot'!$A$5:$C$397,2,FALSE)),0,(VLOOKUP(A13,'Totalt pivot'!$A$5:$C$397,2,FALSE)))</f>
        <v>13.5</v>
      </c>
      <c r="K13" s="192">
        <f t="shared" ref="K13" si="25">F13*J13</f>
        <v>2.25</v>
      </c>
      <c r="L13" s="192">
        <f>IF(ISERROR(VLOOKUP(A13,'Totalt pivot'!$A$5:$C$397,3,FALSE)),0,(VLOOKUP(A13,'Totalt pivot'!$A$5:$C$397,3,FALSE)))</f>
        <v>11.425000000000001</v>
      </c>
      <c r="M13" s="192">
        <f t="shared" ref="M13" si="26">F13*L13</f>
        <v>1.9041666666666668</v>
      </c>
      <c r="N13" s="26">
        <f>VLOOKUP(A13,kurspris!$A$1:$Q$907,15)</f>
        <v>47928</v>
      </c>
      <c r="O13" s="26">
        <f>VLOOKUP(A13,kurspris!$A$1:$Q$907,16)</f>
        <v>35430</v>
      </c>
      <c r="P13" s="26">
        <f>VLOOKUP(A13,kurspris!$A$1:$Q$907,17)</f>
        <v>35700</v>
      </c>
      <c r="Q13" s="26">
        <f t="shared" ref="Q13" si="27">K13*N13+M13*O13</f>
        <v>175302.625</v>
      </c>
      <c r="R13" s="26">
        <f>(Q13*Prislapp!$R$5)*-1</f>
        <v>-12271.183750000002</v>
      </c>
      <c r="S13" s="26">
        <f t="shared" ref="S13" si="28">Q13+R13</f>
        <v>163031.44125</v>
      </c>
      <c r="T13" s="26">
        <f t="shared" ref="T13" si="29">K13*P13</f>
        <v>80325</v>
      </c>
      <c r="V13" t="s">
        <v>1825</v>
      </c>
    </row>
    <row r="14" spans="1:22" ht="15.75" x14ac:dyDescent="0.25">
      <c r="A14" s="245" t="s">
        <v>2325</v>
      </c>
      <c r="B14" t="str">
        <f>VLOOKUP(A14,kurspris!$A$1:$Q$907,2,FALSE)</f>
        <v>Idrott och hälsa 2</v>
      </c>
      <c r="C14" s="31">
        <v>3306</v>
      </c>
      <c r="D14" t="str">
        <f>VLOOKUP(C14,Orgenheter!$A$1:$B$214,2)</f>
        <v xml:space="preserve">Idrottsmedicin                </v>
      </c>
      <c r="E14" t="str">
        <f>VLOOKUP(C14,Orgenheter!$A$1:$C$166,3,FALSE)</f>
        <v>Med</v>
      </c>
      <c r="F14" s="262">
        <v>0.25</v>
      </c>
      <c r="G14">
        <f>VLOOKUP(A14,'Ansvar kurs'!$A$98:$C$1072,2,FALSE)</f>
        <v>2180</v>
      </c>
      <c r="H14" t="str">
        <f>VLOOKUP(G14,Orgenheter!$A$1:$B$214,2)</f>
        <v xml:space="preserve">Pedagogik                     </v>
      </c>
      <c r="I14" t="str">
        <f>VLOOKUP(G14,Orgenheter!$A$1:$C$166,3,FALSE)</f>
        <v>Sam</v>
      </c>
      <c r="J14" s="192">
        <f>IF(ISERROR(VLOOKUP(A14,'Totalt pivot'!$A$5:$C$397,2,FALSE)),0,(VLOOKUP(A14,'Totalt pivot'!$A$5:$C$397,2,FALSE)))</f>
        <v>21</v>
      </c>
      <c r="K14" s="192">
        <f t="shared" si="5"/>
        <v>5.25</v>
      </c>
      <c r="L14" s="192">
        <f>IF(ISERROR(VLOOKUP(A14,'Totalt pivot'!$A$5:$C$397,3,FALSE)),0,(VLOOKUP(A14,'Totalt pivot'!$A$5:$C$397,3,FALSE)))</f>
        <v>17.724999999999998</v>
      </c>
      <c r="M14" s="192">
        <f t="shared" si="21"/>
        <v>4.4312499999999995</v>
      </c>
      <c r="N14" s="26">
        <f>VLOOKUP(A14,kurspris!$A$1:$Q$907,15)</f>
        <v>47928</v>
      </c>
      <c r="O14" s="26">
        <f>VLOOKUP(A14,kurspris!$A$1:$Q$907,16)</f>
        <v>35430</v>
      </c>
      <c r="P14" s="26">
        <f>VLOOKUP(A14,kurspris!$A$1:$Q$907,17)</f>
        <v>35700</v>
      </c>
      <c r="Q14" s="26">
        <f t="shared" si="22"/>
        <v>408621.1875</v>
      </c>
      <c r="R14" s="26">
        <f>(Q14*Prislapp!$R$5)*-1</f>
        <v>-28603.483125000002</v>
      </c>
      <c r="S14" s="26">
        <f t="shared" si="23"/>
        <v>380017.70437499997</v>
      </c>
      <c r="T14" s="26">
        <f t="shared" si="24"/>
        <v>187425</v>
      </c>
    </row>
    <row r="15" spans="1:22" x14ac:dyDescent="0.25">
      <c r="A15" s="157" t="s">
        <v>1800</v>
      </c>
      <c r="B15" t="str">
        <f>VLOOKUP(A15,kurspris!$A$1:$Q$907,2,FALSE)</f>
        <v>Introduktion till geografi</v>
      </c>
      <c r="C15" s="31">
        <v>5100</v>
      </c>
      <c r="D15" t="str">
        <f>VLOOKUP(C15,Orgenheter!$A$1:$B$214,2)</f>
        <v>EMG</v>
      </c>
      <c r="E15" t="str">
        <f>VLOOKUP(C15,Orgenheter!$A$1:$C$166,3,FALSE)</f>
        <v>TekNat</v>
      </c>
      <c r="F15" s="262">
        <v>0.5</v>
      </c>
      <c r="G15">
        <f>VLOOKUP(A15,'Ansvar kurs'!$A$98:$C$1072,2,FALSE)</f>
        <v>2500</v>
      </c>
      <c r="H15" t="str">
        <f>VLOOKUP(G15,Orgenheter!$A$1:$B$214,2)</f>
        <v>Geografi</v>
      </c>
      <c r="I15" t="str">
        <f>VLOOKUP(G15,Orgenheter!$A$1:$C$166,3,FALSE)</f>
        <v>Sam</v>
      </c>
      <c r="J15" s="192">
        <f>IF(ISERROR(VLOOKUP(A15,'Totalt pivot'!$A$5:$C$397,2,FALSE)),0,(VLOOKUP(A15,'Totalt pivot'!$A$5:$C$397,2,FALSE)))</f>
        <v>0</v>
      </c>
      <c r="K15" s="192">
        <f t="shared" ref="K15" si="30">F15*J15</f>
        <v>0</v>
      </c>
      <c r="L15" s="192">
        <f>IF(ISERROR(VLOOKUP(A15,'Totalt pivot'!$A$5:$C$397,3,FALSE)),0,(VLOOKUP(A15,'Totalt pivot'!$A$5:$C$397,3,FALSE)))</f>
        <v>0</v>
      </c>
      <c r="M15" s="192">
        <f t="shared" ref="M15" si="31">F15*L15</f>
        <v>0</v>
      </c>
      <c r="N15" s="26">
        <f>VLOOKUP(A15,kurspris!$A$1:$Q$907,15)</f>
        <v>20766</v>
      </c>
      <c r="O15" s="26">
        <f>VLOOKUP(A15,kurspris!$A$1:$Q$907,16)</f>
        <v>17442</v>
      </c>
      <c r="P15" s="26">
        <f>VLOOKUP(A15,kurspris!$A$1:$Q$907,17)</f>
        <v>6000</v>
      </c>
      <c r="Q15" s="26">
        <f t="shared" ref="Q15" si="32">K15*N15+M15*O15</f>
        <v>0</v>
      </c>
      <c r="R15" s="26">
        <f>(Q15*Prislapp!$R$5)*-1</f>
        <v>0</v>
      </c>
      <c r="S15" s="26">
        <f t="shared" ref="S15" si="33">Q15+R15</f>
        <v>0</v>
      </c>
      <c r="T15" s="26">
        <f t="shared" ref="T15" si="34">K15*P15</f>
        <v>0</v>
      </c>
    </row>
    <row r="16" spans="1:22" x14ac:dyDescent="0.25">
      <c r="A16" s="18" t="s">
        <v>2149</v>
      </c>
      <c r="B16" t="str">
        <f>VLOOKUP(A16,kurspris!$A$1:$Q$907,2,FALSE)</f>
        <v>Undervisning och lärande (UVK)</v>
      </c>
      <c r="C16" s="31">
        <v>2193</v>
      </c>
      <c r="D16" t="str">
        <f>VLOOKUP(C16,Orgenheter!$A$1:$B$214,2)</f>
        <v xml:space="preserve">TUV </v>
      </c>
      <c r="E16" t="str">
        <f>VLOOKUP(C16,Orgenheter!$A$1:$C$166,3,FALSE)</f>
        <v>Sam</v>
      </c>
      <c r="F16" s="262">
        <f>3/15</f>
        <v>0.2</v>
      </c>
      <c r="G16">
        <f>VLOOKUP(A16,'Ansvar kurs'!$A$98:$C$1072,2,FALSE)</f>
        <v>2180</v>
      </c>
      <c r="H16" t="str">
        <f>VLOOKUP(G16,Orgenheter!$A$1:$B$214,2)</f>
        <v xml:space="preserve">Pedagogik                     </v>
      </c>
      <c r="I16" t="str">
        <f>VLOOKUP(G16,Orgenheter!$A$1:$C$166,3,FALSE)</f>
        <v>Sam</v>
      </c>
      <c r="J16" s="192">
        <f>IF(ISERROR(VLOOKUP(A16,'Totalt pivot'!$A$5:$C$397,2,FALSE)),0,(VLOOKUP(A16,'Totalt pivot'!$A$5:$C$397,2,FALSE)))</f>
        <v>21.5</v>
      </c>
      <c r="K16" s="192">
        <f>F16*J16</f>
        <v>4.3</v>
      </c>
      <c r="L16" s="192">
        <f>IF(ISERROR(VLOOKUP(A16,'Totalt pivot'!$A$5:$C$397,3,FALSE)),0,(VLOOKUP(A16,'Totalt pivot'!$A$5:$C$397,3,FALSE)))</f>
        <v>18.274999999999999</v>
      </c>
      <c r="M16" s="192">
        <f>F16*L16</f>
        <v>3.6549999999999998</v>
      </c>
      <c r="N16" s="26">
        <f>VLOOKUP(A16,kurspris!$A$1:$Q$907,15)</f>
        <v>26554</v>
      </c>
      <c r="O16" s="26">
        <f>VLOOKUP(A16,kurspris!$A$1:$Q$907,16)</f>
        <v>33465</v>
      </c>
      <c r="P16" s="26">
        <f>VLOOKUP(A16,kurspris!$A$1:$Q$907,17)</f>
        <v>6000</v>
      </c>
      <c r="Q16" s="26">
        <f>K16*N16+M16*O16</f>
        <v>236496.77499999999</v>
      </c>
      <c r="R16" s="26">
        <f>(Q16*Prislapp!$R$5)*-1</f>
        <v>-16554.774250000002</v>
      </c>
      <c r="S16" s="26">
        <f>Q16+R16</f>
        <v>219942.00075000001</v>
      </c>
      <c r="T16" s="26">
        <f>K16*P16</f>
        <v>25800</v>
      </c>
      <c r="V16" t="s">
        <v>2130</v>
      </c>
    </row>
    <row r="17" spans="1:22" x14ac:dyDescent="0.25">
      <c r="A17" s="62" t="s">
        <v>2150</v>
      </c>
      <c r="B17" t="str">
        <f>VLOOKUP(A17,kurspris!$A$1:$Q$907,2,FALSE)</f>
        <v>Skolans uppdrag (UVK)</v>
      </c>
      <c r="C17" s="31">
        <v>1620</v>
      </c>
      <c r="D17" t="str">
        <f>VLOOKUP(C17,Orgenheter!$A$1:$B$214,2)</f>
        <v>Inst för språkstudier</v>
      </c>
      <c r="E17" t="str">
        <f>VLOOKUP(C17,Orgenheter!$A$1:$C$166,3,FALSE)</f>
        <v>Hum</v>
      </c>
      <c r="F17" s="262">
        <f>3/15</f>
        <v>0.2</v>
      </c>
      <c r="G17">
        <f>VLOOKUP(A17,'Ansvar kurs'!$A$98:$C$1072,2,FALSE)</f>
        <v>1630</v>
      </c>
      <c r="H17" t="str">
        <f>VLOOKUP(G17,Orgenheter!$A$1:$B$214,2)</f>
        <v>Inst för ide- o samhällsstudier</v>
      </c>
      <c r="I17" t="str">
        <f>VLOOKUP(G17,Orgenheter!$A$1:$C$166,3,FALSE)</f>
        <v>Hum</v>
      </c>
      <c r="J17" s="192">
        <f>IF(ISERROR(VLOOKUP(A17,'Totalt pivot'!$A$5:$C$397,2,FALSE)),0,(VLOOKUP(A17,'Totalt pivot'!$A$5:$C$397,2,FALSE)))</f>
        <v>25.25</v>
      </c>
      <c r="K17" s="192">
        <f t="shared" ref="K17" si="35">F17*J17</f>
        <v>5.0500000000000007</v>
      </c>
      <c r="L17" s="192">
        <f>IF(ISERROR(VLOOKUP(A17,'Totalt pivot'!$A$5:$C$397,3,FALSE)),0,(VLOOKUP(A17,'Totalt pivot'!$A$5:$C$397,3,FALSE)))</f>
        <v>21.462499999999999</v>
      </c>
      <c r="M17" s="192">
        <f t="shared" ref="M17" si="36">F17*L17</f>
        <v>4.2924999999999995</v>
      </c>
      <c r="N17" s="26">
        <f>VLOOKUP(A17,kurspris!$A$1:$Q$907,15)</f>
        <v>26554</v>
      </c>
      <c r="O17" s="26">
        <f>VLOOKUP(A17,kurspris!$A$1:$Q$907,16)</f>
        <v>33465</v>
      </c>
      <c r="P17" s="26">
        <f>VLOOKUP(A17,kurspris!$A$1:$Q$907,17)</f>
        <v>6000</v>
      </c>
      <c r="Q17" s="26">
        <f t="shared" ref="Q17" si="37">K17*N17+M17*O17</f>
        <v>277746.21250000002</v>
      </c>
      <c r="R17" s="26">
        <f>(Q17*Prislapp!$R$5)*-1</f>
        <v>-19442.234875000002</v>
      </c>
      <c r="S17" s="26">
        <f t="shared" ref="S17" si="38">Q17+R17</f>
        <v>258303.97762500003</v>
      </c>
      <c r="T17" s="26">
        <f t="shared" ref="T17" si="39">K17*P17</f>
        <v>30300.000000000004</v>
      </c>
      <c r="V17" t="s">
        <v>2221</v>
      </c>
    </row>
    <row r="18" spans="1:22" x14ac:dyDescent="0.25">
      <c r="A18" s="62" t="s">
        <v>2150</v>
      </c>
      <c r="B18" t="str">
        <f>VLOOKUP(A18,kurspris!$A$1:$Q$907,2,FALSE)</f>
        <v>Skolans uppdrag (UVK)</v>
      </c>
      <c r="C18" s="31">
        <v>1640</v>
      </c>
      <c r="D18" t="str">
        <f>VLOOKUP(C18,Orgenheter!$A$1:$B$214,2)</f>
        <v>Inst för kultur- o medievetenskap</v>
      </c>
      <c r="E18" t="str">
        <f>VLOOKUP(C18,Orgenheter!$A$1:$C$166,3,FALSE)</f>
        <v>Hum</v>
      </c>
      <c r="F18" s="262">
        <f>2/15</f>
        <v>0.13333333333333333</v>
      </c>
      <c r="G18">
        <f>VLOOKUP(A18,'Ansvar kurs'!$A$98:$C$1072,2,FALSE)</f>
        <v>1630</v>
      </c>
      <c r="H18" t="str">
        <f>VLOOKUP(G18,Orgenheter!$A$1:$B$214,2)</f>
        <v>Inst för ide- o samhällsstudier</v>
      </c>
      <c r="I18" t="str">
        <f>VLOOKUP(G18,Orgenheter!$A$1:$C$166,3,FALSE)</f>
        <v>Hum</v>
      </c>
      <c r="J18" s="192">
        <f>IF(ISERROR(VLOOKUP(A18,'Totalt pivot'!$A$5:$C$397,2,FALSE)),0,(VLOOKUP(A18,'Totalt pivot'!$A$5:$C$397,2,FALSE)))</f>
        <v>25.25</v>
      </c>
      <c r="K18" s="192">
        <f t="shared" ref="K18:K19" si="40">F18*J18</f>
        <v>3.3666666666666667</v>
      </c>
      <c r="L18" s="192">
        <f>IF(ISERROR(VLOOKUP(A18,'Totalt pivot'!$A$5:$C$397,3,FALSE)),0,(VLOOKUP(A18,'Totalt pivot'!$A$5:$C$397,3,FALSE)))</f>
        <v>21.462499999999999</v>
      </c>
      <c r="M18" s="192">
        <f t="shared" ref="M18:M19" si="41">F18*L18</f>
        <v>2.8616666666666664</v>
      </c>
      <c r="N18" s="26">
        <f>VLOOKUP(A18,kurspris!$A$1:$Q$907,15)</f>
        <v>26554</v>
      </c>
      <c r="O18" s="26">
        <f>VLOOKUP(A18,kurspris!$A$1:$Q$907,16)</f>
        <v>33465</v>
      </c>
      <c r="P18" s="26">
        <f>VLOOKUP(A18,kurspris!$A$1:$Q$907,17)</f>
        <v>6000</v>
      </c>
      <c r="Q18" s="26">
        <f t="shared" ref="Q18:Q19" si="42">K18*N18+M18*O18</f>
        <v>185164.14166666666</v>
      </c>
      <c r="R18" s="26">
        <f>(Q18*Prislapp!$R$5)*-1</f>
        <v>-12961.489916666667</v>
      </c>
      <c r="S18" s="26">
        <f t="shared" ref="S18:S19" si="43">Q18+R18</f>
        <v>172202.65174999999</v>
      </c>
      <c r="T18" s="26">
        <f t="shared" ref="T18:T19" si="44">K18*P18</f>
        <v>20200</v>
      </c>
      <c r="V18" t="s">
        <v>2221</v>
      </c>
    </row>
    <row r="19" spans="1:22" x14ac:dyDescent="0.25">
      <c r="A19" s="62" t="s">
        <v>2150</v>
      </c>
      <c r="B19" t="str">
        <f>VLOOKUP(A19,kurspris!$A$1:$Q$907,2,FALSE)</f>
        <v>Skolans uppdrag (UVK)</v>
      </c>
      <c r="C19" s="31">
        <v>2300</v>
      </c>
      <c r="D19" t="str">
        <f>VLOOKUP(C19,Orgenheter!$A$1:$B$214,2)</f>
        <v xml:space="preserve">Juridiska institutionen       </v>
      </c>
      <c r="E19" t="str">
        <f>VLOOKUP(C19,Orgenheter!$A$1:$C$166,3,FALSE)</f>
        <v>Sam</v>
      </c>
      <c r="F19" s="262">
        <f>1/15</f>
        <v>6.6666666666666666E-2</v>
      </c>
      <c r="G19">
        <f>VLOOKUP(A19,'Ansvar kurs'!$A$98:$C$1072,2,FALSE)</f>
        <v>1630</v>
      </c>
      <c r="H19" t="str">
        <f>VLOOKUP(G19,Orgenheter!$A$1:$B$214,2)</f>
        <v>Inst för ide- o samhällsstudier</v>
      </c>
      <c r="I19" t="str">
        <f>VLOOKUP(G19,Orgenheter!$A$1:$C$166,3,FALSE)</f>
        <v>Hum</v>
      </c>
      <c r="J19" s="192">
        <f>IF(ISERROR(VLOOKUP(A19,'Totalt pivot'!$A$5:$C$397,2,FALSE)),0,(VLOOKUP(A19,'Totalt pivot'!$A$5:$C$397,2,FALSE)))</f>
        <v>25.25</v>
      </c>
      <c r="K19" s="192">
        <f t="shared" si="40"/>
        <v>1.6833333333333333</v>
      </c>
      <c r="L19" s="192">
        <f>IF(ISERROR(VLOOKUP(A19,'Totalt pivot'!$A$5:$C$397,3,FALSE)),0,(VLOOKUP(A19,'Totalt pivot'!$A$5:$C$397,3,FALSE)))</f>
        <v>21.462499999999999</v>
      </c>
      <c r="M19" s="192">
        <f t="shared" si="41"/>
        <v>1.4308333333333332</v>
      </c>
      <c r="N19" s="26">
        <f>VLOOKUP(A19,kurspris!$A$1:$Q$907,15)</f>
        <v>26554</v>
      </c>
      <c r="O19" s="26">
        <f>VLOOKUP(A19,kurspris!$A$1:$Q$907,16)</f>
        <v>33465</v>
      </c>
      <c r="P19" s="26">
        <f>VLOOKUP(A19,kurspris!$A$1:$Q$907,17)</f>
        <v>6000</v>
      </c>
      <c r="Q19" s="26">
        <f t="shared" si="42"/>
        <v>92582.070833333331</v>
      </c>
      <c r="R19" s="26">
        <f>(Q19*Prislapp!$R$5)*-1</f>
        <v>-6480.7449583333337</v>
      </c>
      <c r="S19" s="26">
        <f t="shared" si="43"/>
        <v>86101.325874999995</v>
      </c>
      <c r="T19" s="26">
        <f t="shared" si="44"/>
        <v>10100</v>
      </c>
      <c r="V19" t="s">
        <v>2221</v>
      </c>
    </row>
    <row r="20" spans="1:22" x14ac:dyDescent="0.25">
      <c r="A20" s="62" t="s">
        <v>2253</v>
      </c>
      <c r="B20" t="str">
        <f>VLOOKUP(A20,kurspris!$A$1:$Q$907,2,FALSE)</f>
        <v>Bedömning för och av lärande (UVK)</v>
      </c>
      <c r="C20" s="31">
        <v>2193</v>
      </c>
      <c r="D20" t="str">
        <f>VLOOKUP(C20,Orgenheter!$A$1:$B$214,2)</f>
        <v xml:space="preserve">TUV </v>
      </c>
      <c r="E20" t="str">
        <f>VLOOKUP(C20,Orgenheter!$A$1:$C$166,3,FALSE)</f>
        <v>Sam</v>
      </c>
      <c r="F20" s="262">
        <v>0.2</v>
      </c>
      <c r="G20">
        <f>VLOOKUP(A20,'Ansvar kurs'!$A$98:$C$1072,2,FALSE)</f>
        <v>5740</v>
      </c>
      <c r="H20" t="str">
        <f>VLOOKUP(G20,Orgenheter!$A$1:$B$214,2)</f>
        <v>NMD</v>
      </c>
      <c r="I20" t="str">
        <f>VLOOKUP(G20,Orgenheter!$A$1:$C$166,3,FALSE)</f>
        <v>TekNat</v>
      </c>
      <c r="J20" s="192">
        <f>IF(ISERROR(VLOOKUP(A20,'Totalt pivot'!$A$5:$C$397,2,FALSE)),0,(VLOOKUP(A20,'Totalt pivot'!$A$5:$C$397,2,FALSE)))</f>
        <v>11.5</v>
      </c>
      <c r="K20" s="192">
        <f t="shared" ref="K20:K21" si="45">F20*J20</f>
        <v>2.3000000000000003</v>
      </c>
      <c r="L20" s="192">
        <f>IF(ISERROR(VLOOKUP(A20,'Totalt pivot'!$A$5:$C$397,3,FALSE)),0,(VLOOKUP(A20,'Totalt pivot'!$A$5:$C$397,3,FALSE)))</f>
        <v>9.7750000000000004</v>
      </c>
      <c r="M20" s="192">
        <f t="shared" ref="M20:M21" si="46">F20*L20</f>
        <v>1.9550000000000001</v>
      </c>
      <c r="N20" s="26">
        <f>VLOOKUP(A20,kurspris!$A$1:$Q$907,15)</f>
        <v>26554</v>
      </c>
      <c r="O20" s="26">
        <f>VLOOKUP(A20,kurspris!$A$1:$Q$907,16)</f>
        <v>33465</v>
      </c>
      <c r="P20" s="26">
        <f>VLOOKUP(A20,kurspris!$A$1:$Q$907,17)</f>
        <v>6000</v>
      </c>
      <c r="Q20" s="26">
        <f t="shared" ref="Q20:Q21" si="47">K20*N20+M20*O20</f>
        <v>126498.27500000001</v>
      </c>
      <c r="R20" s="26">
        <f>(Q20*Prislapp!$R$5)*-1</f>
        <v>-8854.8792500000018</v>
      </c>
      <c r="S20" s="26">
        <f t="shared" ref="S20:S21" si="48">Q20+R20</f>
        <v>117643.39575000001</v>
      </c>
      <c r="T20" s="26">
        <f t="shared" ref="T20:T21" si="49">K20*P20</f>
        <v>13800.000000000002</v>
      </c>
    </row>
    <row r="21" spans="1:22" x14ac:dyDescent="0.25">
      <c r="A21" s="62" t="s">
        <v>2253</v>
      </c>
      <c r="B21" t="str">
        <f>VLOOKUP(A21,kurspris!$A$1:$Q$907,2,FALSE)</f>
        <v>Bedömning för och av lärande (UVK)</v>
      </c>
      <c r="C21" s="31">
        <v>2180</v>
      </c>
      <c r="D21" t="str">
        <f>VLOOKUP(C21,Orgenheter!$A$1:$B$214,2)</f>
        <v xml:space="preserve">Pedagogik                     </v>
      </c>
      <c r="E21" t="str">
        <f>VLOOKUP(C21,Orgenheter!$A$1:$C$166,3,FALSE)</f>
        <v>Sam</v>
      </c>
      <c r="F21" s="262">
        <v>0.2</v>
      </c>
      <c r="G21">
        <f>VLOOKUP(A21,'Ansvar kurs'!$A$98:$C$1072,2,FALSE)</f>
        <v>5740</v>
      </c>
      <c r="H21" t="str">
        <f>VLOOKUP(G21,Orgenheter!$A$1:$B$214,2)</f>
        <v>NMD</v>
      </c>
      <c r="I21" t="str">
        <f>VLOOKUP(G21,Orgenheter!$A$1:$C$166,3,FALSE)</f>
        <v>TekNat</v>
      </c>
      <c r="J21" s="192">
        <f>IF(ISERROR(VLOOKUP(A21,'Totalt pivot'!$A$5:$C$397,2,FALSE)),0,(VLOOKUP(A21,'Totalt pivot'!$A$5:$C$397,2,FALSE)))</f>
        <v>11.5</v>
      </c>
      <c r="K21" s="192">
        <f t="shared" si="45"/>
        <v>2.3000000000000003</v>
      </c>
      <c r="L21" s="192">
        <f>IF(ISERROR(VLOOKUP(A21,'Totalt pivot'!$A$5:$C$397,3,FALSE)),0,(VLOOKUP(A21,'Totalt pivot'!$A$5:$C$397,3,FALSE)))</f>
        <v>9.7750000000000004</v>
      </c>
      <c r="M21" s="192">
        <f t="shared" si="46"/>
        <v>1.9550000000000001</v>
      </c>
      <c r="N21" s="26">
        <f>VLOOKUP(A21,kurspris!$A$1:$Q$907,15)</f>
        <v>26554</v>
      </c>
      <c r="O21" s="26">
        <f>VLOOKUP(A21,kurspris!$A$1:$Q$907,16)</f>
        <v>33465</v>
      </c>
      <c r="P21" s="26">
        <f>VLOOKUP(A21,kurspris!$A$1:$Q$907,17)</f>
        <v>6000</v>
      </c>
      <c r="Q21" s="26">
        <f t="shared" si="47"/>
        <v>126498.27500000001</v>
      </c>
      <c r="R21" s="26">
        <f>(Q21*Prislapp!$R$5)*-1</f>
        <v>-8854.8792500000018</v>
      </c>
      <c r="S21" s="26">
        <f t="shared" si="48"/>
        <v>117643.39575000001</v>
      </c>
      <c r="T21" s="26">
        <f t="shared" si="49"/>
        <v>13800.000000000002</v>
      </c>
    </row>
    <row r="22" spans="1:22" x14ac:dyDescent="0.25">
      <c r="A22" s="222" t="s">
        <v>1891</v>
      </c>
      <c r="B22" t="str">
        <f>VLOOKUP(A22,kurspris!$A$1:$Q$907,2,FALSE)</f>
        <v>Specialpedagogik med fokus på svenska och matematik för F-3</v>
      </c>
      <c r="C22" s="31">
        <v>5740</v>
      </c>
      <c r="D22" t="str">
        <f>VLOOKUP(C22,Orgenheter!$A$1:$B$214,2)</f>
        <v>NMD</v>
      </c>
      <c r="E22" t="str">
        <f>VLOOKUP(C22,Orgenheter!$A$1:$C$166,3,FALSE)</f>
        <v>TekNat</v>
      </c>
      <c r="F22" s="262">
        <v>0.5</v>
      </c>
      <c r="G22">
        <f>VLOOKUP(A22,'Ansvar kurs'!$A$98:$C$1072,2,FALSE)</f>
        <v>1620</v>
      </c>
      <c r="H22" t="str">
        <f>VLOOKUP(G22,Orgenheter!$A$1:$B$214,2)</f>
        <v>Inst för språkstudier</v>
      </c>
      <c r="I22" t="str">
        <f>VLOOKUP(G22,Orgenheter!$A$1:$C$166,3,FALSE)</f>
        <v>Hum</v>
      </c>
      <c r="J22" s="192">
        <f>IF(ISERROR(VLOOKUP(A22,'Totalt pivot'!$A$5:$C$397,2,FALSE)),0,(VLOOKUP(A22,'Totalt pivot'!$A$5:$C$397,2,FALSE)))</f>
        <v>8.5</v>
      </c>
      <c r="K22" s="192">
        <f t="shared" ref="K22" si="50">F22*J22</f>
        <v>4.25</v>
      </c>
      <c r="L22" s="192">
        <f>IF(ISERROR(VLOOKUP(A22,'Totalt pivot'!$A$5:$C$397,3,FALSE)),0,(VLOOKUP(A22,'Totalt pivot'!$A$5:$C$397,3,FALSE)))</f>
        <v>7.2249999999999996</v>
      </c>
      <c r="M22" s="192">
        <f t="shared" ref="M22" si="51">F22*L22</f>
        <v>3.6124999999999998</v>
      </c>
      <c r="N22" s="26">
        <f>VLOOKUP(A22,kurspris!$A$1:$Q$907,15)</f>
        <v>20766</v>
      </c>
      <c r="O22" s="26">
        <f>VLOOKUP(A22,kurspris!$A$1:$Q$907,16)</f>
        <v>17442</v>
      </c>
      <c r="P22" s="26">
        <f>VLOOKUP(A22,kurspris!$A$1:$Q$907,17)</f>
        <v>6000</v>
      </c>
      <c r="Q22" s="26">
        <f t="shared" ref="Q22" si="52">K22*N22+M22*O22</f>
        <v>151264.72500000001</v>
      </c>
      <c r="R22" s="26">
        <f>(Q22*Prislapp!$R$5)*-1</f>
        <v>-10588.530750000002</v>
      </c>
      <c r="S22" s="26">
        <f t="shared" ref="S22" si="53">Q22+R22</f>
        <v>140676.19425</v>
      </c>
      <c r="T22" s="26">
        <f t="shared" ref="T22" si="54">K22*P22</f>
        <v>25500</v>
      </c>
    </row>
    <row r="23" spans="1:22" x14ac:dyDescent="0.25">
      <c r="A23" s="31" t="s">
        <v>470</v>
      </c>
      <c r="B23" t="str">
        <f>VLOOKUP(A23,kurspris!$A$1:$Q$907,2,FALSE)</f>
        <v>Demokrati, individ och samhälle</v>
      </c>
      <c r="C23" s="31">
        <v>1640</v>
      </c>
      <c r="D23" t="str">
        <f>VLOOKUP(C23,Orgenheter!$A$1:$B$214,2)</f>
        <v>Inst för kultur- o medievetenskap</v>
      </c>
      <c r="E23" t="str">
        <f>VLOOKUP(C23,Orgenheter!$A$1:$C$166,3,FALSE)</f>
        <v>Hum</v>
      </c>
      <c r="F23" s="262">
        <v>0.5</v>
      </c>
      <c r="G23">
        <f>VLOOKUP(A23,'Ansvar kurs'!$A$98:$C$1072,2,FALSE)</f>
        <v>1630</v>
      </c>
      <c r="H23" t="str">
        <f>VLOOKUP(G23,Orgenheter!$A$1:$B$214,2)</f>
        <v>Inst för ide- o samhällsstudier</v>
      </c>
      <c r="I23" t="str">
        <f>VLOOKUP(G23,Orgenheter!$A$1:$C$166,3,FALSE)</f>
        <v>Hum</v>
      </c>
      <c r="J23" s="192">
        <f>IF(ISERROR(VLOOKUP(A23,'Totalt pivot'!$A$5:$C$397,2,FALSE)),0,(VLOOKUP(A23,'Totalt pivot'!$A$5:$C$397,2,FALSE)))</f>
        <v>0</v>
      </c>
      <c r="K23" s="192">
        <f t="shared" si="5"/>
        <v>0</v>
      </c>
      <c r="L23" s="192">
        <f>IF(ISERROR(VLOOKUP(A23,'Totalt pivot'!$A$5:$C$397,3,FALSE)),0,(VLOOKUP(A23,'Totalt pivot'!$A$5:$C$397,3,FALSE)))</f>
        <v>0</v>
      </c>
      <c r="M23" s="192">
        <f t="shared" si="21"/>
        <v>0</v>
      </c>
      <c r="N23" s="26">
        <f>VLOOKUP(A23,kurspris!$A$1:$Q$907,15)</f>
        <v>26554</v>
      </c>
      <c r="O23" s="26">
        <f>VLOOKUP(A23,kurspris!$A$1:$Q$907,16)</f>
        <v>33465</v>
      </c>
      <c r="P23" s="26">
        <f>VLOOKUP(A23,kurspris!$A$1:$Q$907,17)</f>
        <v>6000</v>
      </c>
      <c r="Q23" s="26">
        <f t="shared" si="22"/>
        <v>0</v>
      </c>
      <c r="R23" s="26">
        <f>(Q23*Prislapp!$R$5)*-1</f>
        <v>0</v>
      </c>
      <c r="S23" s="26">
        <f t="shared" si="23"/>
        <v>0</v>
      </c>
      <c r="T23" s="26">
        <f t="shared" si="24"/>
        <v>0</v>
      </c>
    </row>
    <row r="24" spans="1:22" x14ac:dyDescent="0.25">
      <c r="A24" s="393" t="s">
        <v>2210</v>
      </c>
      <c r="B24" t="str">
        <f>VLOOKUP(A24,kurspris!$A$1:$Q$907,2,FALSE)</f>
        <v>Kunskap, undervisning och lärande 1 (UVK)</v>
      </c>
      <c r="C24" s="31">
        <v>2200</v>
      </c>
      <c r="D24" t="str">
        <f>VLOOKUP(C24,Orgenheter!$A$1:$B$214,2)</f>
        <v xml:space="preserve">Inst för psykologi            </v>
      </c>
      <c r="E24" t="str">
        <f>VLOOKUP(C24,Orgenheter!$A$1:$C$166,3,FALSE)</f>
        <v>Sam</v>
      </c>
      <c r="F24" s="262">
        <v>0.2</v>
      </c>
      <c r="G24">
        <f>VLOOKUP(A24,'Ansvar kurs'!$A$98:$C$1072,2,FALSE)</f>
        <v>1630</v>
      </c>
      <c r="H24" t="str">
        <f>VLOOKUP(G24,Orgenheter!$A$1:$B$214,2)</f>
        <v>Inst för ide- o samhällsstudier</v>
      </c>
      <c r="I24" t="str">
        <f>VLOOKUP(G24,Orgenheter!$A$1:$C$166,3,FALSE)</f>
        <v>Hum</v>
      </c>
      <c r="J24" s="192">
        <f>IF(ISERROR(VLOOKUP(A24,'Totalt pivot'!$A$5:$C$397,2,FALSE)),0,(VLOOKUP(A24,'Totalt pivot'!$A$5:$C$397,2,FALSE)))</f>
        <v>7.5</v>
      </c>
      <c r="K24" s="192">
        <f t="shared" si="5"/>
        <v>1.5</v>
      </c>
      <c r="L24" s="192">
        <f>IF(ISERROR(VLOOKUP(A24,'Totalt pivot'!$A$5:$C$397,3,FALSE)),0,(VLOOKUP(A24,'Totalt pivot'!$A$5:$C$397,3,FALSE)))</f>
        <v>6.375</v>
      </c>
      <c r="M24" s="192">
        <f t="shared" si="21"/>
        <v>1.2750000000000001</v>
      </c>
      <c r="N24" s="26">
        <f>VLOOKUP(A24,kurspris!$A$1:$Q$907,15)</f>
        <v>26554</v>
      </c>
      <c r="O24" s="26">
        <f>VLOOKUP(A24,kurspris!$A$1:$Q$907,16)</f>
        <v>33465</v>
      </c>
      <c r="P24" s="26">
        <f>VLOOKUP(A24,kurspris!$A$1:$Q$907,17)</f>
        <v>6000</v>
      </c>
      <c r="Q24" s="26">
        <f t="shared" si="22"/>
        <v>82498.875</v>
      </c>
      <c r="R24" s="26">
        <f>(Q24*Prislapp!$R$5)*-1</f>
        <v>-5774.9212500000003</v>
      </c>
      <c r="S24" s="26">
        <f t="shared" si="23"/>
        <v>76723.953750000001</v>
      </c>
      <c r="T24" s="26">
        <f t="shared" si="24"/>
        <v>9000</v>
      </c>
      <c r="V24" t="s">
        <v>2221</v>
      </c>
    </row>
    <row r="25" spans="1:22" x14ac:dyDescent="0.25">
      <c r="A25" s="60" t="s">
        <v>849</v>
      </c>
      <c r="B25" t="str">
        <f>VLOOKUP(A25,kurspris!$A$1:$Q$907,2,FALSE)</f>
        <v>Samhällsorientering åk 4-6</v>
      </c>
      <c r="C25" s="31">
        <v>2500</v>
      </c>
      <c r="D25" t="str">
        <f>VLOOKUP(C25,Orgenheter!$A$1:$B$214,2)</f>
        <v>Geografi</v>
      </c>
      <c r="E25" t="str">
        <f>VLOOKUP(C25,Orgenheter!$A$1:$C$166,3,FALSE)</f>
        <v>Sam</v>
      </c>
      <c r="F25" s="262">
        <f>5/30</f>
        <v>0.16666666666666666</v>
      </c>
      <c r="G25">
        <f>VLOOKUP(A25,'Ansvar kurs'!$A$98:$C$1072,2,FALSE)</f>
        <v>1630</v>
      </c>
      <c r="H25" t="str">
        <f>VLOOKUP(G25,Orgenheter!$A$1:$B$214,2)</f>
        <v>Inst för ide- o samhällsstudier</v>
      </c>
      <c r="I25" t="str">
        <f>VLOOKUP(G25,Orgenheter!$A$1:$C$166,3,FALSE)</f>
        <v>Hum</v>
      </c>
      <c r="J25" s="192">
        <f>IF(ISERROR(VLOOKUP(A25,'Totalt pivot'!$A$5:$C$397,2,FALSE)),0,(VLOOKUP(A25,'Totalt pivot'!$A$5:$C$397,2,FALSE)))</f>
        <v>6.5</v>
      </c>
      <c r="K25" s="192">
        <f t="shared" si="5"/>
        <v>1.0833333333333333</v>
      </c>
      <c r="L25" s="192">
        <f>IF(ISERROR(VLOOKUP(A25,'Totalt pivot'!$A$5:$C$397,3,FALSE)),0,(VLOOKUP(A25,'Totalt pivot'!$A$5:$C$397,3,FALSE)))</f>
        <v>5.4749999999999996</v>
      </c>
      <c r="M25" s="192">
        <f t="shared" si="21"/>
        <v>0.91249999999999987</v>
      </c>
      <c r="N25" s="26">
        <f>VLOOKUP(A25,kurspris!$A$1:$Q$907,15)</f>
        <v>20766</v>
      </c>
      <c r="O25" s="26">
        <f>VLOOKUP(A25,kurspris!$A$1:$Q$907,16)</f>
        <v>17442</v>
      </c>
      <c r="P25" s="26">
        <f>VLOOKUP(A25,kurspris!$A$1:$Q$907,17)</f>
        <v>6000</v>
      </c>
      <c r="Q25" s="26">
        <f t="shared" si="22"/>
        <v>38412.324999999997</v>
      </c>
      <c r="R25" s="26">
        <f>(Q25*Prislapp!$R$5)*-1</f>
        <v>-2688.8627500000002</v>
      </c>
      <c r="S25" s="26">
        <f t="shared" si="23"/>
        <v>35723.462249999997</v>
      </c>
      <c r="T25" s="26">
        <f t="shared" si="24"/>
        <v>6500</v>
      </c>
      <c r="V25" s="37" t="s">
        <v>874</v>
      </c>
    </row>
    <row r="26" spans="1:22" x14ac:dyDescent="0.25">
      <c r="A26" s="60" t="s">
        <v>849</v>
      </c>
      <c r="B26" t="str">
        <f>VLOOKUP(A26,kurspris!$A$1:$Q$907,2,FALSE)</f>
        <v>Samhällsorientering åk 4-6</v>
      </c>
      <c r="C26" s="31">
        <v>2180</v>
      </c>
      <c r="D26" t="str">
        <f>VLOOKUP(C26,Orgenheter!$A$1:$B$214,2)</f>
        <v xml:space="preserve">Pedagogik                     </v>
      </c>
      <c r="E26" t="str">
        <f>VLOOKUP(C26,Orgenheter!$A$1:$C$166,3,FALSE)</f>
        <v>Sam</v>
      </c>
      <c r="F26" s="262">
        <v>0.5</v>
      </c>
      <c r="G26">
        <f>VLOOKUP(A26,'Ansvar kurs'!$A$98:$C$1072,2,FALSE)</f>
        <v>1630</v>
      </c>
      <c r="H26" t="str">
        <f>VLOOKUP(G26,Orgenheter!$A$1:$B$214,2)</f>
        <v>Inst för ide- o samhällsstudier</v>
      </c>
      <c r="I26" t="str">
        <f>VLOOKUP(G26,Orgenheter!$A$1:$C$166,3,FALSE)</f>
        <v>Hum</v>
      </c>
      <c r="J26" s="192">
        <f>IF(ISERROR(VLOOKUP(A26,'Totalt pivot'!$A$5:$C$397,2,FALSE)),0,(VLOOKUP(A26,'Totalt pivot'!$A$5:$C$397,2,FALSE)))</f>
        <v>6.5</v>
      </c>
      <c r="K26" s="192">
        <f t="shared" si="5"/>
        <v>3.25</v>
      </c>
      <c r="L26" s="192">
        <f>IF(ISERROR(VLOOKUP(A26,'Totalt pivot'!$A$5:$C$397,3,FALSE)),0,(VLOOKUP(A26,'Totalt pivot'!$A$5:$C$397,3,FALSE)))</f>
        <v>5.4749999999999996</v>
      </c>
      <c r="M26" s="192">
        <f t="shared" si="21"/>
        <v>2.7374999999999998</v>
      </c>
      <c r="N26" s="26">
        <f>VLOOKUP(A26,kurspris!$A$1:$Q$907,15)</f>
        <v>20766</v>
      </c>
      <c r="O26" s="26">
        <f>VLOOKUP(A26,kurspris!$A$1:$Q$907,16)</f>
        <v>17442</v>
      </c>
      <c r="P26" s="26">
        <f>VLOOKUP(A26,kurspris!$A$1:$Q$907,17)</f>
        <v>6000</v>
      </c>
      <c r="Q26" s="26">
        <f t="shared" si="22"/>
        <v>115236.97500000001</v>
      </c>
      <c r="R26" s="26">
        <f>(Q26*Prislapp!$R$5)*-1</f>
        <v>-8066.5882500000016</v>
      </c>
      <c r="S26" s="26">
        <f t="shared" si="23"/>
        <v>107170.38675000001</v>
      </c>
      <c r="T26" s="26">
        <f t="shared" si="24"/>
        <v>19500</v>
      </c>
    </row>
    <row r="27" spans="1:22" x14ac:dyDescent="0.25">
      <c r="A27" s="60" t="s">
        <v>1124</v>
      </c>
      <c r="B27" t="str">
        <f>VLOOKUP(A27,kurspris!$A$1:$Q$907,2,FALSE)</f>
        <v>Kunskap, vetenskap och forskningsmetodik, 7,5 hp</v>
      </c>
      <c r="C27" s="31">
        <v>2272</v>
      </c>
      <c r="D27" t="str">
        <f>VLOOKUP(C27,Orgenheter!$A$1:$B$214,2)</f>
        <v xml:space="preserve">Statistik                     </v>
      </c>
      <c r="E27" t="str">
        <f>VLOOKUP(C27,Orgenheter!$A$1:$C$166,3,FALSE)</f>
        <v>Sam</v>
      </c>
      <c r="F27" s="262">
        <f>1.5/7.5</f>
        <v>0.2</v>
      </c>
      <c r="G27">
        <f>VLOOKUP(A27,'Ansvar kurs'!$A$98:$C$1072,2,FALSE)</f>
        <v>1630</v>
      </c>
      <c r="H27" t="str">
        <f>VLOOKUP(G27,Orgenheter!$A$1:$B$214,2)</f>
        <v>Inst för ide- o samhällsstudier</v>
      </c>
      <c r="I27" t="str">
        <f>VLOOKUP(G27,Orgenheter!$A$1:$C$166,3,FALSE)</f>
        <v>Hum</v>
      </c>
      <c r="J27" s="192">
        <f>IF(ISERROR(VLOOKUP(A27,'Totalt pivot'!$A$5:$C$397,2,FALSE)),0,(VLOOKUP(A27,'Totalt pivot'!$A$5:$C$397,2,FALSE)))</f>
        <v>43.11</v>
      </c>
      <c r="K27" s="192">
        <f t="shared" si="5"/>
        <v>8.6219999999999999</v>
      </c>
      <c r="L27" s="192">
        <f>IF(ISERROR(VLOOKUP(A27,'Totalt pivot'!$A$5:$C$397,3,FALSE)),0,(VLOOKUP(A27,'Totalt pivot'!$A$5:$C$397,3,FALSE)))</f>
        <v>36.643499999999996</v>
      </c>
      <c r="M27" s="192">
        <f t="shared" si="21"/>
        <v>7.3286999999999995</v>
      </c>
      <c r="N27" s="26">
        <f>VLOOKUP(A27,kurspris!$A$1:$Q$907,15)</f>
        <v>26554</v>
      </c>
      <c r="O27" s="26">
        <f>VLOOKUP(A27,kurspris!$A$1:$Q$907,16)</f>
        <v>33465</v>
      </c>
      <c r="P27" s="26">
        <f>VLOOKUP(A27,kurspris!$A$1:$Q$907,17)</f>
        <v>6000</v>
      </c>
      <c r="Q27" s="26">
        <f t="shared" si="22"/>
        <v>474203.53349999996</v>
      </c>
      <c r="R27" s="26">
        <f>(Q27*Prislapp!$R$5)*-1</f>
        <v>-33194.247345000003</v>
      </c>
      <c r="S27" s="26">
        <f t="shared" si="23"/>
        <v>441009.28615499998</v>
      </c>
      <c r="T27" s="26">
        <f t="shared" si="24"/>
        <v>51732</v>
      </c>
      <c r="V27" t="s">
        <v>1112</v>
      </c>
    </row>
    <row r="28" spans="1:22" x14ac:dyDescent="0.25">
      <c r="A28" s="60" t="s">
        <v>1124</v>
      </c>
      <c r="B28" t="str">
        <f>VLOOKUP(A28,kurspris!$A$1:$Q$907,2,FALSE)</f>
        <v>Kunskap, vetenskap och forskningsmetodik, 7,5 hp</v>
      </c>
      <c r="C28" s="31">
        <v>2180</v>
      </c>
      <c r="D28" t="str">
        <f>VLOOKUP(C28,Orgenheter!$A$1:$B$214,2)</f>
        <v xml:space="preserve">Pedagogik                     </v>
      </c>
      <c r="E28" t="str">
        <f>VLOOKUP(C28,Orgenheter!$A$1:$C$166,3,FALSE)</f>
        <v>Sam</v>
      </c>
      <c r="F28" s="262">
        <f>1/7.5</f>
        <v>0.13333333333333333</v>
      </c>
      <c r="G28">
        <f>VLOOKUP(A28,'Ansvar kurs'!$A$98:$C$1072,2,FALSE)</f>
        <v>1630</v>
      </c>
      <c r="H28" t="str">
        <f>VLOOKUP(G28,Orgenheter!$A$1:$B$214,2)</f>
        <v>Inst för ide- o samhällsstudier</v>
      </c>
      <c r="I28" t="str">
        <f>VLOOKUP(G28,Orgenheter!$A$1:$C$166,3,FALSE)</f>
        <v>Hum</v>
      </c>
      <c r="J28" s="192">
        <f>IF(ISERROR(VLOOKUP(A28,'Totalt pivot'!$A$5:$C$397,2,FALSE)),0,(VLOOKUP(A28,'Totalt pivot'!$A$5:$C$397,2,FALSE)))</f>
        <v>43.11</v>
      </c>
      <c r="K28" s="192">
        <f t="shared" si="5"/>
        <v>5.7480000000000002</v>
      </c>
      <c r="L28" s="192">
        <f>IF(ISERROR(VLOOKUP(A28,'Totalt pivot'!$A$5:$C$397,3,FALSE)),0,(VLOOKUP(A28,'Totalt pivot'!$A$5:$C$397,3,FALSE)))</f>
        <v>36.643499999999996</v>
      </c>
      <c r="M28" s="192">
        <f t="shared" si="21"/>
        <v>4.8857999999999997</v>
      </c>
      <c r="N28" s="26">
        <f>VLOOKUP(A28,kurspris!$A$1:$Q$907,15)</f>
        <v>26554</v>
      </c>
      <c r="O28" s="26">
        <f>VLOOKUP(A28,kurspris!$A$1:$Q$907,16)</f>
        <v>33465</v>
      </c>
      <c r="P28" s="26">
        <f>VLOOKUP(A28,kurspris!$A$1:$Q$907,17)</f>
        <v>6000</v>
      </c>
      <c r="Q28" s="26">
        <f t="shared" si="22"/>
        <v>316135.68900000001</v>
      </c>
      <c r="R28" s="26">
        <f>(Q28*Prislapp!$R$5)*-1</f>
        <v>-22129.498230000005</v>
      </c>
      <c r="S28" s="26">
        <f t="shared" si="23"/>
        <v>294006.19076999999</v>
      </c>
      <c r="T28" s="26">
        <f t="shared" si="24"/>
        <v>34488</v>
      </c>
      <c r="V28" t="s">
        <v>1112</v>
      </c>
    </row>
    <row r="29" spans="1:22" x14ac:dyDescent="0.25">
      <c r="A29" s="60" t="s">
        <v>1126</v>
      </c>
      <c r="B29" t="str">
        <f>VLOOKUP(A29,kurspris!$A$1:$Q$907,2,FALSE)</f>
        <v>Etik, demokrati och det heterogena klassrummet, 7,5 hp</v>
      </c>
      <c r="C29" s="31">
        <v>1640</v>
      </c>
      <c r="D29" t="str">
        <f>VLOOKUP(C29,Orgenheter!$A$1:$B$214,2)</f>
        <v>Inst för kultur- o medievetenskap</v>
      </c>
      <c r="E29" t="str">
        <f>VLOOKUP(C29,Orgenheter!$A$1:$C$166,3,FALSE)</f>
        <v>Hum</v>
      </c>
      <c r="F29" s="262">
        <f>3.5/7.5</f>
        <v>0.46666666666666667</v>
      </c>
      <c r="G29">
        <f>VLOOKUP(A29,'Ansvar kurs'!$A$98:$C$1072,2,FALSE)</f>
        <v>1630</v>
      </c>
      <c r="H29" t="str">
        <f>VLOOKUP(G29,Orgenheter!$A$1:$B$214,2)</f>
        <v>Inst för ide- o samhällsstudier</v>
      </c>
      <c r="I29" t="str">
        <f>VLOOKUP(G29,Orgenheter!$A$1:$C$166,3,FALSE)</f>
        <v>Hum</v>
      </c>
      <c r="J29" s="192">
        <f>IF(ISERROR(VLOOKUP(A29,'Totalt pivot'!$A$5:$C$397,2,FALSE)),0,(VLOOKUP(A29,'Totalt pivot'!$A$5:$C$397,2,FALSE)))</f>
        <v>40.232500000000002</v>
      </c>
      <c r="K29" s="192">
        <f t="shared" si="5"/>
        <v>18.775166666666667</v>
      </c>
      <c r="L29" s="192">
        <f>IF(ISERROR(VLOOKUP(A29,'Totalt pivot'!$A$5:$C$397,3,FALSE)),0,(VLOOKUP(A29,'Totalt pivot'!$A$5:$C$397,3,FALSE)))</f>
        <v>34.197625000000002</v>
      </c>
      <c r="M29" s="192">
        <f t="shared" si="21"/>
        <v>15.958891666666668</v>
      </c>
      <c r="N29" s="26">
        <f>VLOOKUP(A29,kurspris!$A$1:$Q$907,15)</f>
        <v>26554</v>
      </c>
      <c r="O29" s="26">
        <f>VLOOKUP(A29,kurspris!$A$1:$Q$907,16)</f>
        <v>33465</v>
      </c>
      <c r="P29" s="26">
        <f>VLOOKUP(A29,kurspris!$A$1:$Q$907,17)</f>
        <v>6000</v>
      </c>
      <c r="Q29" s="26">
        <f t="shared" si="22"/>
        <v>1032620.0852916667</v>
      </c>
      <c r="R29" s="26">
        <f>(Q29*Prislapp!$R$5)*-1</f>
        <v>-72283.405970416672</v>
      </c>
      <c r="S29" s="26">
        <f t="shared" si="23"/>
        <v>960336.67932124995</v>
      </c>
      <c r="T29" s="26">
        <f t="shared" si="24"/>
        <v>112651</v>
      </c>
      <c r="V29" t="s">
        <v>1112</v>
      </c>
    </row>
    <row r="30" spans="1:22" x14ac:dyDescent="0.25">
      <c r="A30" s="60" t="s">
        <v>2180</v>
      </c>
      <c r="B30" t="str">
        <f>VLOOKUP(A30,kurspris!$A$1:$Q$907,2,FALSE)</f>
        <v>Värdegrund, etik och mångfald (UVK)</v>
      </c>
      <c r="C30" s="31">
        <v>1640</v>
      </c>
      <c r="D30" t="str">
        <f>VLOOKUP(C30,Orgenheter!$A$1:$B$214,2)</f>
        <v>Inst för kultur- o medievetenskap</v>
      </c>
      <c r="E30" t="str">
        <f>VLOOKUP(C30,Orgenheter!$A$1:$C$166,3,FALSE)</f>
        <v>Hum</v>
      </c>
      <c r="F30" s="262">
        <f>3.5/10</f>
        <v>0.35</v>
      </c>
      <c r="G30">
        <f>VLOOKUP(A30,'Ansvar kurs'!$A$98:$C$1072,2,FALSE)</f>
        <v>1630</v>
      </c>
      <c r="H30" t="str">
        <f>VLOOKUP(G30,Orgenheter!$A$1:$B$214,2)</f>
        <v>Inst för ide- o samhällsstudier</v>
      </c>
      <c r="I30" t="str">
        <f>VLOOKUP(G30,Orgenheter!$A$1:$C$166,3,FALSE)</f>
        <v>Hum</v>
      </c>
      <c r="J30" s="192">
        <f>IF(ISERROR(VLOOKUP(A30,'Totalt pivot'!$A$5:$C$397,2,FALSE)),0,(VLOOKUP(A30,'Totalt pivot'!$A$5:$C$397,2,FALSE)))</f>
        <v>7.0419999999999998</v>
      </c>
      <c r="K30" s="192">
        <f t="shared" ref="K30" si="55">F30*J30</f>
        <v>2.4646999999999997</v>
      </c>
      <c r="L30" s="192">
        <f>IF(ISERROR(VLOOKUP(A30,'Totalt pivot'!$A$5:$C$397,3,FALSE)),0,(VLOOKUP(A30,'Totalt pivot'!$A$5:$C$397,3,FALSE)))</f>
        <v>5.9856999999999996</v>
      </c>
      <c r="M30" s="192">
        <f t="shared" ref="M30" si="56">F30*L30</f>
        <v>2.0949949999999999</v>
      </c>
      <c r="N30" s="26">
        <f>VLOOKUP(A30,kurspris!$A$1:$Q$907,15)</f>
        <v>26554</v>
      </c>
      <c r="O30" s="26">
        <f>VLOOKUP(A30,kurspris!$A$1:$Q$907,16)</f>
        <v>33465</v>
      </c>
      <c r="P30" s="26">
        <f>VLOOKUP(A30,kurspris!$A$1:$Q$907,17)</f>
        <v>6000</v>
      </c>
      <c r="Q30" s="26">
        <f t="shared" ref="Q30" si="57">K30*N30+M30*O30</f>
        <v>135556.65147499999</v>
      </c>
      <c r="R30" s="26">
        <f>(Q30*Prislapp!$R$5)*-1</f>
        <v>-9488.9656032500006</v>
      </c>
      <c r="S30" s="26">
        <f t="shared" ref="S30" si="58">Q30+R30</f>
        <v>126067.68587174999</v>
      </c>
      <c r="T30" s="26">
        <f t="shared" ref="T30" si="59">K30*P30</f>
        <v>14788.199999999999</v>
      </c>
      <c r="V30" s="37" t="s">
        <v>2182</v>
      </c>
    </row>
    <row r="31" spans="1:22" x14ac:dyDescent="0.25">
      <c r="A31" s="60" t="s">
        <v>815</v>
      </c>
      <c r="B31" t="str">
        <f>VLOOKUP(A31,kurspris!$A$1:$Q$907,2,FALSE)</f>
        <v>Att undervisa i åk 4-6</v>
      </c>
      <c r="C31" s="31">
        <v>5740</v>
      </c>
      <c r="D31" t="str">
        <f>VLOOKUP(C31,Orgenheter!$A$1:$B$214,2)</f>
        <v>NMD</v>
      </c>
      <c r="E31" t="str">
        <f>VLOOKUP(C31,Orgenheter!$A$1:$C$166,3,FALSE)</f>
        <v>TekNat</v>
      </c>
      <c r="F31" s="262">
        <f>2/6</f>
        <v>0.33333333333333331</v>
      </c>
      <c r="G31">
        <f>VLOOKUP(A31,'Ansvar kurs'!$A$98:$C$1072,2,FALSE)</f>
        <v>1620</v>
      </c>
      <c r="H31" t="str">
        <f>VLOOKUP(G31,Orgenheter!$A$1:$B$214,2)</f>
        <v>Inst för språkstudier</v>
      </c>
      <c r="I31" t="str">
        <f>VLOOKUP(G31,Orgenheter!$A$1:$C$166,3,FALSE)</f>
        <v>Hum</v>
      </c>
      <c r="J31" s="192">
        <f>IF(ISERROR(VLOOKUP(A31,'Totalt pivot'!$A$5:$C$397,2,FALSE)),0,(VLOOKUP(A31,'Totalt pivot'!$A$5:$C$397,2,FALSE)))</f>
        <v>1.9</v>
      </c>
      <c r="K31" s="192">
        <f t="shared" si="5"/>
        <v>0.6333333333333333</v>
      </c>
      <c r="L31" s="192">
        <f>IF(ISERROR(VLOOKUP(A31,'Totalt pivot'!$A$5:$C$397,3,FALSE)),0,(VLOOKUP(A31,'Totalt pivot'!$A$5:$C$397,3,FALSE)))</f>
        <v>1.615</v>
      </c>
      <c r="M31" s="192">
        <f t="shared" si="21"/>
        <v>0.53833333333333333</v>
      </c>
      <c r="N31" s="26">
        <f>VLOOKUP(A31,kurspris!$A$1:$Q$907,15)</f>
        <v>25235</v>
      </c>
      <c r="O31" s="26">
        <f>VLOOKUP(A31,kurspris!$A$1:$Q$907,16)</f>
        <v>27976</v>
      </c>
      <c r="P31" s="26">
        <f>VLOOKUP(A31,kurspris!$A$1:$Q$907,17)</f>
        <v>3600</v>
      </c>
      <c r="Q31" s="26">
        <f t="shared" si="22"/>
        <v>31042.58</v>
      </c>
      <c r="R31" s="26">
        <f>(Q31*Prislapp!$R$5)*-1</f>
        <v>-2172.9806000000003</v>
      </c>
      <c r="S31" s="26">
        <f t="shared" si="23"/>
        <v>28869.599400000003</v>
      </c>
      <c r="T31" s="26">
        <f t="shared" si="24"/>
        <v>2280</v>
      </c>
      <c r="V31" s="37" t="s">
        <v>816</v>
      </c>
    </row>
    <row r="32" spans="1:22" x14ac:dyDescent="0.25">
      <c r="A32" s="60" t="s">
        <v>814</v>
      </c>
      <c r="B32" t="str">
        <f>VLOOKUP(A32,kurspris!$A$1:$Q$907,2,FALSE)</f>
        <v>Att undervisa i F-3</v>
      </c>
      <c r="C32" s="31">
        <v>5740</v>
      </c>
      <c r="D32" t="str">
        <f>VLOOKUP(C32,Orgenheter!$A$1:$B$214,2)</f>
        <v>NMD</v>
      </c>
      <c r="E32" t="str">
        <f>VLOOKUP(C32,Orgenheter!$A$1:$C$166,3,FALSE)</f>
        <v>TekNat</v>
      </c>
      <c r="F32" s="262">
        <f>2/6</f>
        <v>0.33333333333333331</v>
      </c>
      <c r="G32">
        <f>VLOOKUP(A32,'Ansvar kurs'!$A$98:$C$1072,2,FALSE)</f>
        <v>1620</v>
      </c>
      <c r="H32" t="str">
        <f>VLOOKUP(G32,Orgenheter!$A$1:$B$214,2)</f>
        <v>Inst för språkstudier</v>
      </c>
      <c r="I32" t="str">
        <f>VLOOKUP(G32,Orgenheter!$A$1:$C$166,3,FALSE)</f>
        <v>Hum</v>
      </c>
      <c r="J32" s="192">
        <f>IF(ISERROR(VLOOKUP(A32,'Totalt pivot'!$A$5:$C$397,2,FALSE)),0,(VLOOKUP(A32,'Totalt pivot'!$A$5:$C$397,2,FALSE)))</f>
        <v>3.8</v>
      </c>
      <c r="K32" s="192">
        <f t="shared" si="5"/>
        <v>1.2666666666666666</v>
      </c>
      <c r="L32" s="192">
        <f>IF(ISERROR(VLOOKUP(A32,'Totalt pivot'!$A$5:$C$397,3,FALSE)),0,(VLOOKUP(A32,'Totalt pivot'!$A$5:$C$397,3,FALSE)))</f>
        <v>3.23</v>
      </c>
      <c r="M32" s="192">
        <f t="shared" si="21"/>
        <v>1.0766666666666667</v>
      </c>
      <c r="N32" s="26">
        <f>VLOOKUP(A32,kurspris!$A$1:$Q$907,15)</f>
        <v>25235</v>
      </c>
      <c r="O32" s="26">
        <f>VLOOKUP(A32,kurspris!$A$1:$Q$907,16)</f>
        <v>27976</v>
      </c>
      <c r="P32" s="26">
        <f>VLOOKUP(A32,kurspris!$A$1:$Q$907,17)</f>
        <v>3600</v>
      </c>
      <c r="Q32" s="26">
        <f t="shared" si="22"/>
        <v>62085.16</v>
      </c>
      <c r="R32" s="26">
        <f>(Q32*Prislapp!$R$5)*-1</f>
        <v>-4345.9612000000006</v>
      </c>
      <c r="S32" s="26">
        <f t="shared" si="23"/>
        <v>57739.198800000006</v>
      </c>
      <c r="T32" s="26">
        <f t="shared" si="24"/>
        <v>4560</v>
      </c>
      <c r="V32" s="37" t="s">
        <v>816</v>
      </c>
    </row>
    <row r="33" spans="1:22" x14ac:dyDescent="0.25">
      <c r="A33" s="60" t="s">
        <v>1634</v>
      </c>
      <c r="B33" t="str">
        <f>VLOOKUP(A33,kurspris!$A$1:$Q$907,2,FALSE)</f>
        <v>Kommunikation och språkutveckling för fritidshem</v>
      </c>
      <c r="C33" s="31">
        <v>2193</v>
      </c>
      <c r="D33" t="str">
        <f>VLOOKUP(C33,Orgenheter!$A$1:$B$214,2)</f>
        <v xml:space="preserve">TUV </v>
      </c>
      <c r="E33" t="str">
        <f>VLOOKUP(C33,Orgenheter!$A$1:$C$166,3,FALSE)</f>
        <v>Sam</v>
      </c>
      <c r="F33" s="262">
        <f>2.5/7.5</f>
        <v>0.33333333333333331</v>
      </c>
      <c r="G33">
        <f>VLOOKUP(A33,'Ansvar kurs'!$A$98:$C$1072,2,FALSE)</f>
        <v>1620</v>
      </c>
      <c r="H33" t="str">
        <f>VLOOKUP(G33,Orgenheter!$A$1:$B$214,2)</f>
        <v>Inst för språkstudier</v>
      </c>
      <c r="I33" t="str">
        <f>VLOOKUP(G33,Orgenheter!$A$1:$C$166,3,FALSE)</f>
        <v>Hum</v>
      </c>
      <c r="J33" s="192">
        <f>IF(ISERROR(VLOOKUP(A33,'Totalt pivot'!$A$5:$C$397,2,FALSE)),0,(VLOOKUP(A33,'Totalt pivot'!$A$5:$C$397,2,FALSE)))</f>
        <v>2.625</v>
      </c>
      <c r="K33" s="192">
        <f t="shared" ref="K33" si="60">F33*J33</f>
        <v>0.875</v>
      </c>
      <c r="L33" s="192">
        <f>IF(ISERROR(VLOOKUP(A33,'Totalt pivot'!$A$5:$C$397,3,FALSE)),0,(VLOOKUP(A33,'Totalt pivot'!$A$5:$C$397,3,FALSE)))</f>
        <v>2.2312499999999997</v>
      </c>
      <c r="M33" s="192">
        <f t="shared" ref="M33" si="61">F33*L33</f>
        <v>0.74374999999999991</v>
      </c>
      <c r="N33" s="26">
        <f>VLOOKUP(A33,kurspris!$A$1:$Q$907,15)</f>
        <v>20766</v>
      </c>
      <c r="O33" s="26">
        <f>VLOOKUP(A33,kurspris!$A$1:$Q$907,16)</f>
        <v>17442</v>
      </c>
      <c r="P33" s="26">
        <f>VLOOKUP(A33,kurspris!$A$1:$Q$907,17)</f>
        <v>6000</v>
      </c>
      <c r="Q33" s="26">
        <f t="shared" ref="Q33" si="62">K33*N33+M33*O33</f>
        <v>31142.737499999999</v>
      </c>
      <c r="R33" s="26">
        <f>(Q33*Prislapp!$R$5)*-1</f>
        <v>-2179.9916250000001</v>
      </c>
      <c r="S33" s="26">
        <f t="shared" ref="S33" si="63">Q33+R33</f>
        <v>28962.745875000001</v>
      </c>
      <c r="T33" s="26">
        <f t="shared" ref="T33" si="64">K33*P33</f>
        <v>5250</v>
      </c>
      <c r="V33" s="37" t="s">
        <v>1673</v>
      </c>
    </row>
    <row r="34" spans="1:22" x14ac:dyDescent="0.25">
      <c r="A34" s="60" t="s">
        <v>2134</v>
      </c>
      <c r="B34" t="str">
        <f>VLOOKUP(A34,kurspris!$A$1:$Q$907,2,FALSE)</f>
        <v>Språkutveckling, litteracitet och barnlitteratur i förskolan och förskoleklassen</v>
      </c>
      <c r="C34" s="31">
        <v>1640</v>
      </c>
      <c r="D34" t="str">
        <f>VLOOKUP(C34,Orgenheter!$A$1:$B$214,2)</f>
        <v>Inst för kultur- o medievetenskap</v>
      </c>
      <c r="E34" t="str">
        <f>VLOOKUP(C34,Orgenheter!$A$1:$C$166,3,FALSE)</f>
        <v>Hum</v>
      </c>
      <c r="F34" s="262">
        <f>2.5/15</f>
        <v>0.16666666666666666</v>
      </c>
      <c r="G34">
        <f>VLOOKUP(A34,'Ansvar kurs'!$A$98:$C$1072,2,FALSE)</f>
        <v>1620</v>
      </c>
      <c r="H34" t="str">
        <f>VLOOKUP(G34,Orgenheter!$A$1:$B$214,2)</f>
        <v>Inst för språkstudier</v>
      </c>
      <c r="I34" t="str">
        <f>VLOOKUP(G34,Orgenheter!$A$1:$C$166,3,FALSE)</f>
        <v>Hum</v>
      </c>
      <c r="J34" s="192">
        <f>IF(ISERROR(VLOOKUP(A34,'Totalt pivot'!$A$5:$C$397,2,FALSE)),0,(VLOOKUP(A34,'Totalt pivot'!$A$5:$C$397,2,FALSE)))</f>
        <v>15.5</v>
      </c>
      <c r="K34" s="192">
        <f t="shared" ref="K34" si="65">F34*J34</f>
        <v>2.583333333333333</v>
      </c>
      <c r="L34" s="192">
        <f>IF(ISERROR(VLOOKUP(A34,'Totalt pivot'!$A$5:$C$397,3,FALSE)),0,(VLOOKUP(A34,'Totalt pivot'!$A$5:$C$397,3,FALSE)))</f>
        <v>13.175000000000001</v>
      </c>
      <c r="M34" s="192">
        <f t="shared" ref="M34" si="66">F34*L34</f>
        <v>2.1958333333333333</v>
      </c>
      <c r="N34" s="26">
        <f>VLOOKUP(A34,kurspris!$A$1:$Q$907,15)</f>
        <v>20766</v>
      </c>
      <c r="O34" s="26">
        <f>VLOOKUP(A34,kurspris!$A$1:$Q$907,16)</f>
        <v>17442</v>
      </c>
      <c r="P34" s="26">
        <f>VLOOKUP(A34,kurspris!$A$1:$Q$907,17)</f>
        <v>6000</v>
      </c>
      <c r="Q34" s="26">
        <f t="shared" ref="Q34" si="67">K34*N34+M34*O34</f>
        <v>91945.224999999991</v>
      </c>
      <c r="R34" s="26">
        <f>(Q34*Prislapp!$R$5)*-1</f>
        <v>-6436.1657500000001</v>
      </c>
      <c r="S34" s="26">
        <f t="shared" ref="S34" si="68">Q34+R34</f>
        <v>85509.059249999991</v>
      </c>
      <c r="T34" s="26">
        <f t="shared" ref="T34" si="69">K34*P34</f>
        <v>15499.999999999998</v>
      </c>
      <c r="V34" s="37" t="s">
        <v>2205</v>
      </c>
    </row>
    <row r="35" spans="1:22" x14ac:dyDescent="0.25">
      <c r="A35" s="31" t="s">
        <v>1422</v>
      </c>
      <c r="B35" t="str">
        <f>VLOOKUP(A35,kurspris!$A$1:$Q$907,2,FALSE)</f>
        <v>Matematik 4 för förskoleklass och grundskolans årskurs 1-3</v>
      </c>
      <c r="C35" s="31">
        <v>5730</v>
      </c>
      <c r="D35" t="str">
        <f>VLOOKUP(C35,Orgenheter!$A$1:$B$214,2)</f>
        <v>Inst för MA och MA statistik</v>
      </c>
      <c r="E35" t="str">
        <f>VLOOKUP(C35,Orgenheter!$A$1:$C$166,3,FALSE)</f>
        <v>TekNat</v>
      </c>
      <c r="F35" s="263">
        <f>2.5/7.5</f>
        <v>0.33333333333333331</v>
      </c>
      <c r="G35">
        <f>VLOOKUP(A35,'Ansvar kurs'!$A$98:$C$1072,2,FALSE)</f>
        <v>5740</v>
      </c>
      <c r="H35" t="str">
        <f>VLOOKUP(G35,Orgenheter!$A$1:$B$214,2)</f>
        <v>NMD</v>
      </c>
      <c r="I35" t="str">
        <f>VLOOKUP(G35,Orgenheter!$A$1:$C$166,3,FALSE)</f>
        <v>TekNat</v>
      </c>
      <c r="J35" s="192">
        <f>IF(ISERROR(VLOOKUP(A35,'Totalt pivot'!$A$5:$C$397,2,FALSE)),0,(VLOOKUP(A35,'Totalt pivot'!$A$5:$C$397,2,FALSE)))</f>
        <v>4.75</v>
      </c>
      <c r="K35" s="192">
        <f t="shared" si="5"/>
        <v>1.5833333333333333</v>
      </c>
      <c r="L35" s="192">
        <f>IF(ISERROR(VLOOKUP(A35,'Totalt pivot'!$A$5:$C$397,3,FALSE)),0,(VLOOKUP(A35,'Totalt pivot'!$A$5:$C$397,3,FALSE)))</f>
        <v>4.0375000000000005</v>
      </c>
      <c r="M35" s="192">
        <f t="shared" ref="M35" si="70">F35*L35</f>
        <v>1.3458333333333334</v>
      </c>
      <c r="N35" s="26">
        <f>VLOOKUP(A35,kurspris!$A$1:$Q$907,15)</f>
        <v>20757</v>
      </c>
      <c r="O35" s="26">
        <f>VLOOKUP(A35,kurspris!$A$1:$Q$907,16)</f>
        <v>36082</v>
      </c>
      <c r="P35" s="26">
        <f>VLOOKUP(A35,kurspris!$A$1:$Q$907,17)</f>
        <v>22600</v>
      </c>
      <c r="Q35" s="26">
        <f t="shared" ref="Q35" si="71">K35*N35+M35*O35</f>
        <v>81425.608333333337</v>
      </c>
      <c r="R35" s="26">
        <f>(Q35*Prislapp!$R$5)*-1</f>
        <v>-5699.7925833333338</v>
      </c>
      <c r="S35" s="26">
        <f t="shared" ref="S35" si="72">Q35+R35</f>
        <v>75725.815750000009</v>
      </c>
      <c r="T35" s="26">
        <f t="shared" ref="T35" si="73">K35*P35</f>
        <v>35783.333333333328</v>
      </c>
    </row>
    <row r="36" spans="1:22" x14ac:dyDescent="0.25">
      <c r="A36" s="31" t="s">
        <v>1426</v>
      </c>
      <c r="B36" t="str">
        <f>VLOOKUP(A36,kurspris!$A$1:$Q$907,2,FALSE)</f>
        <v>Matematik 3 för grundskolans årskurs 4-6</v>
      </c>
      <c r="C36" s="31">
        <v>5730</v>
      </c>
      <c r="D36" t="str">
        <f>VLOOKUP(C36,Orgenheter!$A$1:$B$214,2)</f>
        <v>Inst för MA och MA statistik</v>
      </c>
      <c r="E36" t="str">
        <f>VLOOKUP(C36,Orgenheter!$A$1:$C$166,3,FALSE)</f>
        <v>TekNat</v>
      </c>
      <c r="F36" s="263">
        <f>2.5/7.5</f>
        <v>0.33333333333333331</v>
      </c>
      <c r="G36">
        <f>VLOOKUP(A36,'Ansvar kurs'!$A$98:$C$1072,2,FALSE)</f>
        <v>5740</v>
      </c>
      <c r="H36" t="str">
        <f>VLOOKUP(G36,Orgenheter!$A$1:$B$214,2)</f>
        <v>NMD</v>
      </c>
      <c r="I36" t="str">
        <f>VLOOKUP(G36,Orgenheter!$A$1:$C$166,3,FALSE)</f>
        <v>TekNat</v>
      </c>
      <c r="J36" s="192">
        <f>IF(ISERROR(VLOOKUP(A36,'Totalt pivot'!$A$5:$C$397,2,FALSE)),0,(VLOOKUP(A36,'Totalt pivot'!$A$5:$C$397,2,FALSE)))</f>
        <v>5.125</v>
      </c>
      <c r="K36" s="192">
        <f t="shared" si="5"/>
        <v>1.7083333333333333</v>
      </c>
      <c r="L36" s="192">
        <f>IF(ISERROR(VLOOKUP(A36,'Totalt pivot'!$A$5:$C$397,3,FALSE)),0,(VLOOKUP(A36,'Totalt pivot'!$A$5:$C$397,3,FALSE)))</f>
        <v>4.3562500000000002</v>
      </c>
      <c r="M36" s="192">
        <f>F36*L36</f>
        <v>1.4520833333333334</v>
      </c>
      <c r="N36" s="26">
        <f>VLOOKUP(A36,kurspris!$A$1:$Q$907,15)</f>
        <v>20757</v>
      </c>
      <c r="O36" s="26">
        <f>VLOOKUP(A36,kurspris!$A$1:$Q$907,16)</f>
        <v>36082</v>
      </c>
      <c r="P36" s="26">
        <f>VLOOKUP(A36,kurspris!$A$1:$Q$907,17)</f>
        <v>22600</v>
      </c>
      <c r="Q36" s="26">
        <f>K36*N36+M36*O36</f>
        <v>87853.945833333331</v>
      </c>
      <c r="R36" s="26">
        <f>(Q36*Prislapp!$R$5)*-1</f>
        <v>-6149.7762083333337</v>
      </c>
      <c r="S36" s="26">
        <f>Q36+R36</f>
        <v>81704.169624999995</v>
      </c>
      <c r="T36" s="26">
        <f>K36*P36</f>
        <v>38608.333333333328</v>
      </c>
      <c r="V36" t="s">
        <v>1436</v>
      </c>
    </row>
    <row r="37" spans="1:22" x14ac:dyDescent="0.25">
      <c r="A37" s="31" t="s">
        <v>1428</v>
      </c>
      <c r="B37" t="str">
        <f>VLOOKUP(A37,kurspris!$A$1:$Q$907,2,FALSE)</f>
        <v>Matematik 4 för grundskolans årskurs 4-6</v>
      </c>
      <c r="C37" s="31">
        <v>5730</v>
      </c>
      <c r="D37" t="str">
        <f>VLOOKUP(C37,Orgenheter!$A$1:$B$214,2)</f>
        <v>Inst för MA och MA statistik</v>
      </c>
      <c r="E37" t="str">
        <f>VLOOKUP(C37,Orgenheter!$A$1:$C$166,3,FALSE)</f>
        <v>TekNat</v>
      </c>
      <c r="F37" s="263">
        <f>2.5/7.5</f>
        <v>0.33333333333333331</v>
      </c>
      <c r="G37">
        <f>VLOOKUP(A37,'Ansvar kurs'!$A$98:$C$1072,2,FALSE)</f>
        <v>5740</v>
      </c>
      <c r="H37" t="str">
        <f>VLOOKUP(G37,Orgenheter!$A$1:$B$214,2)</f>
        <v>NMD</v>
      </c>
      <c r="I37" t="str">
        <f>VLOOKUP(G37,Orgenheter!$A$1:$C$166,3,FALSE)</f>
        <v>TekNat</v>
      </c>
      <c r="J37" s="192">
        <f>IF(ISERROR(VLOOKUP(A37,'Totalt pivot'!$A$5:$C$397,2,FALSE)),0,(VLOOKUP(A37,'Totalt pivot'!$A$5:$C$397,2,FALSE)))</f>
        <v>2.875</v>
      </c>
      <c r="K37" s="192">
        <f t="shared" si="5"/>
        <v>0.95833333333333326</v>
      </c>
      <c r="L37" s="192">
        <f>IF(ISERROR(VLOOKUP(A37,'Totalt pivot'!$A$5:$C$397,3,FALSE)),0,(VLOOKUP(A37,'Totalt pivot'!$A$5:$C$397,3,FALSE)))</f>
        <v>2.4437500000000001</v>
      </c>
      <c r="M37" s="192">
        <f>F37*L37</f>
        <v>0.81458333333333333</v>
      </c>
      <c r="N37" s="26">
        <f>VLOOKUP(A37,kurspris!$A$1:$Q$907,15)</f>
        <v>20757</v>
      </c>
      <c r="O37" s="26">
        <f>VLOOKUP(A37,kurspris!$A$1:$Q$907,16)</f>
        <v>36082</v>
      </c>
      <c r="P37" s="26">
        <f>VLOOKUP(A37,kurspris!$A$1:$Q$907,17)</f>
        <v>22600</v>
      </c>
      <c r="Q37" s="26">
        <f>K37*N37+M37*O37</f>
        <v>49283.920833333337</v>
      </c>
      <c r="R37" s="26">
        <f>(Q37*Prislapp!$R$5)*-1</f>
        <v>-3449.8744583333341</v>
      </c>
      <c r="S37" s="26">
        <f>Q37+R37</f>
        <v>45834.046375000005</v>
      </c>
      <c r="T37" s="26">
        <f>K37*P37</f>
        <v>21658.333333333332</v>
      </c>
    </row>
    <row r="38" spans="1:22" x14ac:dyDescent="0.25">
      <c r="A38" s="31" t="s">
        <v>1530</v>
      </c>
      <c r="B38" t="str">
        <f>VLOOKUP(A38,kurspris!$A$1:$Q$907,2,FALSE)</f>
        <v>Matematik för förskolan</v>
      </c>
      <c r="C38" s="31">
        <v>2193</v>
      </c>
      <c r="D38" t="str">
        <f>VLOOKUP(C38,Orgenheter!$A$1:$B$214,2)</f>
        <v xml:space="preserve">TUV </v>
      </c>
      <c r="E38" t="str">
        <f>VLOOKUP(C38,Orgenheter!$A$1:$C$166,3,FALSE)</f>
        <v>Sam</v>
      </c>
      <c r="F38" s="263">
        <f>2/7.5</f>
        <v>0.26666666666666666</v>
      </c>
      <c r="G38">
        <f>VLOOKUP(A38,'Ansvar kurs'!$A$98:$C$1072,2,FALSE)</f>
        <v>5740</v>
      </c>
      <c r="H38" t="str">
        <f>VLOOKUP(G38,Orgenheter!$A$1:$B$214,2)</f>
        <v>NMD</v>
      </c>
      <c r="I38" t="str">
        <f>VLOOKUP(G38,Orgenheter!$A$1:$C$166,3,FALSE)</f>
        <v>TekNat</v>
      </c>
      <c r="J38" s="192">
        <f>IF(ISERROR(VLOOKUP(A38,'Totalt pivot'!$A$5:$C$397,2,FALSE)),0,(VLOOKUP(A38,'Totalt pivot'!$A$5:$C$397,2,FALSE)))</f>
        <v>7.125</v>
      </c>
      <c r="K38" s="192">
        <f t="shared" si="5"/>
        <v>1.9</v>
      </c>
      <c r="L38" s="192">
        <f>IF(ISERROR(VLOOKUP(A38,'Totalt pivot'!$A$5:$C$397,3,FALSE)),0,(VLOOKUP(A38,'Totalt pivot'!$A$5:$C$397,3,FALSE)))</f>
        <v>6.0562499999999995</v>
      </c>
      <c r="M38" s="192">
        <f>F38*L38</f>
        <v>1.6149999999999998</v>
      </c>
      <c r="N38" s="26">
        <f>VLOOKUP(A38,kurspris!$A$1:$Q$907,15)</f>
        <v>20757</v>
      </c>
      <c r="O38" s="26">
        <f>VLOOKUP(A38,kurspris!$A$1:$Q$907,16)</f>
        <v>36082</v>
      </c>
      <c r="P38" s="26">
        <f>VLOOKUP(A38,kurspris!$A$1:$Q$907,17)</f>
        <v>22600</v>
      </c>
      <c r="Q38" s="26">
        <f>K38*N38+M38*O38</f>
        <v>97710.729999999981</v>
      </c>
      <c r="R38" s="26">
        <f>(Q38*Prislapp!$R$5)*-1</f>
        <v>-6839.7510999999995</v>
      </c>
      <c r="S38" s="26">
        <f>Q38+R38</f>
        <v>90870.978899999987</v>
      </c>
      <c r="T38" s="26">
        <f>K38*P38</f>
        <v>42940</v>
      </c>
    </row>
    <row r="39" spans="1:22" x14ac:dyDescent="0.25">
      <c r="A39" s="60" t="s">
        <v>1805</v>
      </c>
      <c r="B39" t="str">
        <f>VLOOKUP(A39,kurspris!$A$1:$Q$907,2,FALSE)</f>
        <v>Naturvetenskap och teknik i förskolan</v>
      </c>
      <c r="C39" s="31">
        <v>2193</v>
      </c>
      <c r="D39" t="str">
        <f>VLOOKUP(C39,Orgenheter!$A$1:$B$214,2)</f>
        <v xml:space="preserve">TUV </v>
      </c>
      <c r="E39" t="str">
        <f>VLOOKUP(C39,Orgenheter!$A$1:$C$166,3,FALSE)</f>
        <v>Sam</v>
      </c>
      <c r="F39" s="263">
        <f>3/15</f>
        <v>0.2</v>
      </c>
      <c r="G39">
        <f>VLOOKUP(A39,'Ansvar kurs'!$A$98:$C$1072,2,FALSE)</f>
        <v>5740</v>
      </c>
      <c r="H39" t="str">
        <f>VLOOKUP(G39,Orgenheter!$A$1:$B$214,2)</f>
        <v>NMD</v>
      </c>
      <c r="I39" t="str">
        <f>VLOOKUP(G39,Orgenheter!$A$1:$C$166,3,FALSE)</f>
        <v>TekNat</v>
      </c>
      <c r="J39" s="192">
        <f>IF(ISERROR(VLOOKUP(A39,'Totalt pivot'!$A$5:$C$397,2,FALSE)),0,(VLOOKUP(A39,'Totalt pivot'!$A$5:$C$397,2,FALSE)))</f>
        <v>13.25</v>
      </c>
      <c r="K39" s="192">
        <f t="shared" ref="K39" si="74">F39*J39</f>
        <v>2.6500000000000004</v>
      </c>
      <c r="L39" s="192">
        <f>IF(ISERROR(VLOOKUP(A39,'Totalt pivot'!$A$5:$C$397,3,FALSE)),0,(VLOOKUP(A39,'Totalt pivot'!$A$5:$C$397,3,FALSE)))</f>
        <v>11.262499999999999</v>
      </c>
      <c r="M39" s="192">
        <f>F39*L39</f>
        <v>2.2524999999999999</v>
      </c>
      <c r="N39" s="26">
        <f>VLOOKUP(A39,kurspris!$A$1:$Q$907,15)</f>
        <v>20757</v>
      </c>
      <c r="O39" s="26">
        <f>VLOOKUP(A39,kurspris!$A$1:$Q$907,16)</f>
        <v>36082</v>
      </c>
      <c r="P39" s="26">
        <f>VLOOKUP(A39,kurspris!$A$1:$Q$907,17)</f>
        <v>22600</v>
      </c>
      <c r="Q39" s="26">
        <f>K39*N39+M39*O39</f>
        <v>136280.755</v>
      </c>
      <c r="R39" s="26">
        <f>(Q39*Prislapp!$R$5)*-1</f>
        <v>-9539.6528500000004</v>
      </c>
      <c r="S39" s="26">
        <f>Q39+R39</f>
        <v>126741.10215000001</v>
      </c>
      <c r="T39" s="26">
        <f>K39*P39</f>
        <v>59890.000000000007</v>
      </c>
    </row>
    <row r="40" spans="1:22" x14ac:dyDescent="0.25">
      <c r="A40" s="31" t="s">
        <v>505</v>
      </c>
      <c r="B40" t="str">
        <f>VLOOKUP(A40,kurspris!$A$1:$Q$907,2,FALSE)</f>
        <v>Grupprocesser och samverkan ur ett fritidshemsperspektiv</v>
      </c>
      <c r="C40" s="31">
        <v>1650</v>
      </c>
      <c r="D40" t="str">
        <f>VLOOKUP(C40,Orgenheter!$A$1:$B$214,2)</f>
        <v xml:space="preserve">Estetiska ämnen               </v>
      </c>
      <c r="E40" t="str">
        <f>VLOOKUP(C40,Orgenheter!$A$1:$C$166,3,FALSE)</f>
        <v>Hum</v>
      </c>
      <c r="F40" s="263">
        <v>0.4</v>
      </c>
      <c r="G40">
        <f>VLOOKUP(A40,'Ansvar kurs'!$A$98:$C$1072,2,FALSE)</f>
        <v>2193</v>
      </c>
      <c r="H40" t="str">
        <f>VLOOKUP(G40,Orgenheter!$A$1:$B$214,2)</f>
        <v xml:space="preserve">TUV </v>
      </c>
      <c r="I40" t="str">
        <f>VLOOKUP(G40,Orgenheter!$A$1:$C$166,3,FALSE)</f>
        <v>Sam</v>
      </c>
      <c r="J40" s="192">
        <f>IF(ISERROR(VLOOKUP(A40,'Totalt pivot'!$A$5:$C$397,2,FALSE)),0,(VLOOKUP(A40,'Totalt pivot'!$A$5:$C$397,2,FALSE)))</f>
        <v>2.25</v>
      </c>
      <c r="K40" s="192">
        <f t="shared" si="5"/>
        <v>0.9</v>
      </c>
      <c r="L40" s="192">
        <f>IF(ISERROR(VLOOKUP(A40,'Totalt pivot'!$A$5:$C$397,3,FALSE)),0,(VLOOKUP(A40,'Totalt pivot'!$A$5:$C$397,3,FALSE)))</f>
        <v>1.9124999999999999</v>
      </c>
      <c r="M40" s="192">
        <f t="shared" si="21"/>
        <v>0.76500000000000001</v>
      </c>
      <c r="N40" s="26">
        <f>VLOOKUP(A40,kurspris!$A$1:$Q$907,15)</f>
        <v>20766</v>
      </c>
      <c r="O40" s="26">
        <f>VLOOKUP(A40,kurspris!$A$1:$Q$907,16)</f>
        <v>17442</v>
      </c>
      <c r="P40" s="26">
        <f>VLOOKUP(A40,kurspris!$A$1:$Q$907,17)</f>
        <v>6000</v>
      </c>
      <c r="Q40" s="26">
        <f t="shared" si="22"/>
        <v>32032.530000000002</v>
      </c>
      <c r="R40" s="26">
        <f>(Q40*Prislapp!$R$5)*-1</f>
        <v>-2242.2771000000002</v>
      </c>
      <c r="S40" s="26">
        <f t="shared" si="23"/>
        <v>29790.252900000003</v>
      </c>
      <c r="T40" s="26">
        <f t="shared" si="24"/>
        <v>5400</v>
      </c>
    </row>
    <row r="41" spans="1:22" x14ac:dyDescent="0.25">
      <c r="A41" s="57" t="s">
        <v>1122</v>
      </c>
      <c r="B41" t="str">
        <f>VLOOKUP(A41,kurspris!$A$1:$Q$907,2,FALSE)</f>
        <v>Förskollärare som profession</v>
      </c>
      <c r="C41" s="31">
        <v>2300</v>
      </c>
      <c r="D41" t="str">
        <f>VLOOKUP(C41,Orgenheter!$A$1:$B$214,2)</f>
        <v xml:space="preserve">Juridiska institutionen       </v>
      </c>
      <c r="E41" t="str">
        <f>VLOOKUP(C41,Orgenheter!$A$1:$C$166,3,FALSE)</f>
        <v>Sam</v>
      </c>
      <c r="F41" s="262">
        <f>1.5/6</f>
        <v>0.25</v>
      </c>
      <c r="G41">
        <f>VLOOKUP(A41,'Ansvar kurs'!$A$98:$C$1072,2,FALSE)</f>
        <v>2193</v>
      </c>
      <c r="H41" t="str">
        <f>VLOOKUP(G41,Orgenheter!$A$1:$B$214,2)</f>
        <v xml:space="preserve">TUV </v>
      </c>
      <c r="I41" t="str">
        <f>VLOOKUP(G41,Orgenheter!$A$1:$C$166,3,FALSE)</f>
        <v>Sam</v>
      </c>
      <c r="J41" s="192">
        <f>IF(ISERROR(VLOOKUP(A41,'Totalt pivot'!$A$5:$C$397,2,FALSE)),0,(VLOOKUP(A41,'Totalt pivot'!$A$5:$C$397,2,FALSE)))</f>
        <v>8.8000000000000007</v>
      </c>
      <c r="K41" s="192">
        <f t="shared" ref="K41:K101" si="75">F41*J41</f>
        <v>2.2000000000000002</v>
      </c>
      <c r="L41" s="192">
        <f>IF(ISERROR(VLOOKUP(A41,'Totalt pivot'!$A$5:$C$397,3,FALSE)),0,(VLOOKUP(A41,'Totalt pivot'!$A$5:$C$397,3,FALSE)))</f>
        <v>7.48</v>
      </c>
      <c r="M41" s="192">
        <f t="shared" ref="M41:M117" si="76">F41*L41</f>
        <v>1.87</v>
      </c>
      <c r="N41" s="26">
        <f>VLOOKUP(A41,kurspris!$A$1:$Q$907,15)</f>
        <v>26554</v>
      </c>
      <c r="O41" s="26">
        <f>VLOOKUP(A41,kurspris!$A$1:$Q$907,16)</f>
        <v>33465</v>
      </c>
      <c r="P41" s="26">
        <f>VLOOKUP(A41,kurspris!$A$1:$Q$907,17)</f>
        <v>6000</v>
      </c>
      <c r="Q41" s="26">
        <f t="shared" ref="Q41:Q117" si="77">K41*N41+M41*O41</f>
        <v>120998.35</v>
      </c>
      <c r="R41" s="26">
        <f>(Q41*Prislapp!$R$5)*-1</f>
        <v>-8469.8845000000019</v>
      </c>
      <c r="S41" s="26">
        <f t="shared" ref="S41:S117" si="78">Q41+R41</f>
        <v>112528.46550000001</v>
      </c>
      <c r="T41" s="26">
        <f t="shared" ref="T41:T117" si="79">K41*P41</f>
        <v>13200.000000000002</v>
      </c>
      <c r="V41" t="s">
        <v>1112</v>
      </c>
    </row>
    <row r="42" spans="1:22" x14ac:dyDescent="0.25">
      <c r="A42" s="60" t="s">
        <v>1254</v>
      </c>
      <c r="B42" t="str">
        <f>VLOOKUP(A42,kurspris!$A$1:$Q$907,2,FALSE)</f>
        <v>Ämneslärare som profession</v>
      </c>
      <c r="C42" s="31">
        <v>2300</v>
      </c>
      <c r="D42" t="str">
        <f>VLOOKUP(C42,Orgenheter!$A$1:$B$214,2)</f>
        <v xml:space="preserve">Juridiska institutionen       </v>
      </c>
      <c r="E42" t="str">
        <f>VLOOKUP(C42,Orgenheter!$A$1:$C$166,3,FALSE)</f>
        <v>Sam</v>
      </c>
      <c r="F42" s="262">
        <f>1.5/6</f>
        <v>0.25</v>
      </c>
      <c r="G42">
        <f>VLOOKUP(A42,'Ansvar kurs'!$A$98:$C$1072,2,FALSE)</f>
        <v>2180</v>
      </c>
      <c r="H42" t="str">
        <f>VLOOKUP(G42,Orgenheter!$A$1:$B$214,2)</f>
        <v xml:space="preserve">Pedagogik                     </v>
      </c>
      <c r="I42" t="str">
        <f>VLOOKUP(G42,Orgenheter!$A$1:$C$166,3,FALSE)</f>
        <v>Sam</v>
      </c>
      <c r="J42" s="192">
        <f>IF(ISERROR(VLOOKUP(A42,'Totalt pivot'!$A$5:$C$397,2,FALSE)),0,(VLOOKUP(A42,'Totalt pivot'!$A$5:$C$397,2,FALSE)))</f>
        <v>15</v>
      </c>
      <c r="K42" s="192">
        <f t="shared" si="75"/>
        <v>3.75</v>
      </c>
      <c r="L42" s="192">
        <f>IF(ISERROR(VLOOKUP(A42,'Totalt pivot'!$A$5:$C$397,3,FALSE)),0,(VLOOKUP(A42,'Totalt pivot'!$A$5:$C$397,3,FALSE)))</f>
        <v>12.75</v>
      </c>
      <c r="M42" s="192">
        <f t="shared" ref="M42:M96" si="80">F42*L42</f>
        <v>3.1875</v>
      </c>
      <c r="N42" s="26">
        <f>VLOOKUP(A42,kurspris!$A$1:$Q$907,15)</f>
        <v>26554</v>
      </c>
      <c r="O42" s="26">
        <f>VLOOKUP(A42,kurspris!$A$1:$Q$907,16)</f>
        <v>33465</v>
      </c>
      <c r="P42" s="26">
        <f>VLOOKUP(A42,kurspris!$A$1:$Q$907,17)</f>
        <v>6000</v>
      </c>
      <c r="Q42" s="26">
        <f t="shared" ref="Q42:Q96" si="81">K42*N42+M42*O42</f>
        <v>206247.1875</v>
      </c>
      <c r="R42" s="26">
        <f>(Q42*Prislapp!$R$5)*-1</f>
        <v>-14437.303125000002</v>
      </c>
      <c r="S42" s="26">
        <f t="shared" ref="S42:S96" si="82">Q42+R42</f>
        <v>191809.88437499999</v>
      </c>
      <c r="T42" s="26">
        <f t="shared" ref="T42:T96" si="83">K42*P42</f>
        <v>22500</v>
      </c>
      <c r="V42" t="s">
        <v>1112</v>
      </c>
    </row>
    <row r="43" spans="1:22" x14ac:dyDescent="0.25">
      <c r="A43" s="60" t="s">
        <v>1252</v>
      </c>
      <c r="B43" t="str">
        <f>VLOOKUP(A43,kurspris!$A$1:$Q$907,2,FALSE)</f>
        <v>Lärande och undervisning</v>
      </c>
      <c r="C43" s="31">
        <v>2200</v>
      </c>
      <c r="D43" t="str">
        <f>VLOOKUP(C43,Orgenheter!$A$1:$B$214,2)</f>
        <v xml:space="preserve">Inst för psykologi            </v>
      </c>
      <c r="E43" t="str">
        <f>VLOOKUP(C43,Orgenheter!$A$1:$C$166,3,FALSE)</f>
        <v>Sam</v>
      </c>
      <c r="F43" s="262">
        <f>3/7.5</f>
        <v>0.4</v>
      </c>
      <c r="G43">
        <f>VLOOKUP(A43,'Ansvar kurs'!$A$98:$C$1072,2,FALSE)</f>
        <v>2180</v>
      </c>
      <c r="H43" t="str">
        <f>VLOOKUP(G43,Orgenheter!$A$1:$B$214,2)</f>
        <v xml:space="preserve">Pedagogik                     </v>
      </c>
      <c r="I43" t="str">
        <f>VLOOKUP(G43,Orgenheter!$A$1:$C$166,3,FALSE)</f>
        <v>Sam</v>
      </c>
      <c r="J43" s="192">
        <f>IF(ISERROR(VLOOKUP(A43,'Totalt pivot'!$A$5:$C$397,2,FALSE)),0,(VLOOKUP(A43,'Totalt pivot'!$A$5:$C$397,2,FALSE)))</f>
        <v>43.524999999999999</v>
      </c>
      <c r="K43" s="192">
        <f t="shared" si="75"/>
        <v>17.41</v>
      </c>
      <c r="L43" s="192">
        <f>IF(ISERROR(VLOOKUP(A43,'Totalt pivot'!$A$5:$C$397,3,FALSE)),0,(VLOOKUP(A43,'Totalt pivot'!$A$5:$C$397,3,FALSE)))</f>
        <v>36.996249999999996</v>
      </c>
      <c r="M43" s="192">
        <f t="shared" si="80"/>
        <v>14.798499999999999</v>
      </c>
      <c r="N43" s="26">
        <f>VLOOKUP(A43,kurspris!$A$1:$Q$907,15)</f>
        <v>26554</v>
      </c>
      <c r="O43" s="26">
        <f>VLOOKUP(A43,kurspris!$A$1:$Q$907,16)</f>
        <v>33465</v>
      </c>
      <c r="P43" s="26">
        <f>VLOOKUP(A43,kurspris!$A$1:$Q$907,17)</f>
        <v>6000</v>
      </c>
      <c r="Q43" s="26">
        <f t="shared" si="81"/>
        <v>957536.9425</v>
      </c>
      <c r="R43" s="26">
        <f>(Q43*Prislapp!$R$5)*-1</f>
        <v>-67027.585975000009</v>
      </c>
      <c r="S43" s="26">
        <f t="shared" si="82"/>
        <v>890509.35652499995</v>
      </c>
      <c r="T43" s="26">
        <f t="shared" si="83"/>
        <v>104460</v>
      </c>
      <c r="V43" t="s">
        <v>1112</v>
      </c>
    </row>
    <row r="44" spans="1:22" x14ac:dyDescent="0.25">
      <c r="A44" s="31" t="s">
        <v>1407</v>
      </c>
      <c r="B44" t="str">
        <f>VLOOKUP(A44,kurspris!$A$1:$Q$907,2,FALSE)</f>
        <v>Barns lärande och omsorg</v>
      </c>
      <c r="C44" s="31">
        <v>2180</v>
      </c>
      <c r="D44" t="str">
        <f>VLOOKUP(C44,Orgenheter!$A$1:$B$214,2)</f>
        <v xml:space="preserve">Pedagogik                     </v>
      </c>
      <c r="E44" t="str">
        <f>VLOOKUP(C44,Orgenheter!$A$1:$C$166,3,FALSE)</f>
        <v>Sam</v>
      </c>
      <c r="F44" s="262">
        <f>3/15</f>
        <v>0.2</v>
      </c>
      <c r="G44">
        <f>VLOOKUP(A44,'Ansvar kurs'!$A$98:$C$1072,2,FALSE)</f>
        <v>2193</v>
      </c>
      <c r="H44" t="str">
        <f>VLOOKUP(G44,Orgenheter!$A$1:$B$214,2)</f>
        <v xml:space="preserve">TUV </v>
      </c>
      <c r="I44" t="str">
        <f>VLOOKUP(G44,Orgenheter!$A$1:$C$166,3,FALSE)</f>
        <v>Sam</v>
      </c>
      <c r="J44" s="192">
        <f>IF(ISERROR(VLOOKUP(A44,'Totalt pivot'!$A$5:$C$397,2,FALSE)),0,(VLOOKUP(A44,'Totalt pivot'!$A$5:$C$397,2,FALSE)))</f>
        <v>17.75</v>
      </c>
      <c r="K44" s="192">
        <f t="shared" si="75"/>
        <v>3.5500000000000003</v>
      </c>
      <c r="L44" s="192">
        <f>IF(ISERROR(VLOOKUP(A44,'Totalt pivot'!$A$5:$C$397,3,FALSE)),0,(VLOOKUP(A44,'Totalt pivot'!$A$5:$C$397,3,FALSE)))</f>
        <v>15.087499999999999</v>
      </c>
      <c r="M44" s="192">
        <f t="shared" si="80"/>
        <v>3.0175000000000001</v>
      </c>
      <c r="N44" s="26">
        <f>VLOOKUP(A44,kurspris!$A$1:$Q$907,15)</f>
        <v>20766</v>
      </c>
      <c r="O44" s="26">
        <f>VLOOKUP(A44,kurspris!$A$1:$Q$907,16)</f>
        <v>17442</v>
      </c>
      <c r="P44" s="26">
        <f>VLOOKUP(A44,kurspris!$A$1:$Q$907,17)</f>
        <v>6000</v>
      </c>
      <c r="Q44" s="26">
        <f t="shared" si="81"/>
        <v>126350.535</v>
      </c>
      <c r="R44" s="26">
        <f>(Q44*Prislapp!$R$5)*-1</f>
        <v>-8844.5374500000016</v>
      </c>
      <c r="S44" s="26">
        <f t="shared" si="82"/>
        <v>117505.99755</v>
      </c>
      <c r="T44" s="26">
        <f t="shared" si="83"/>
        <v>21300</v>
      </c>
    </row>
    <row r="45" spans="1:22" x14ac:dyDescent="0.25">
      <c r="A45" s="31" t="s">
        <v>1444</v>
      </c>
      <c r="B45" t="str">
        <f>VLOOKUP(A45,kurspris!$A$1:$Q$907,2,FALSE)</f>
        <v>Verksamhetsförlagd utbildning för yrkeslärare (VFU)</v>
      </c>
      <c r="C45" s="31">
        <v>2193</v>
      </c>
      <c r="D45" t="str">
        <f>VLOOKUP(C45,Orgenheter!$A$1:$B$214,2)</f>
        <v xml:space="preserve">TUV </v>
      </c>
      <c r="E45" t="str">
        <f>VLOOKUP(C45,Orgenheter!$A$1:$C$166,3,FALSE)</f>
        <v>Sam</v>
      </c>
      <c r="F45" s="262">
        <f>15/30</f>
        <v>0.5</v>
      </c>
      <c r="G45">
        <f>VLOOKUP(A45,'Ansvar kurs'!$A$98:$C$1072,2,FALSE)</f>
        <v>2180</v>
      </c>
      <c r="H45" t="str">
        <f>VLOOKUP(G45,Orgenheter!$A$1:$B$214,2)</f>
        <v xml:space="preserve">Pedagogik                     </v>
      </c>
      <c r="I45" t="str">
        <f>VLOOKUP(G45,Orgenheter!$A$1:$C$166,3,FALSE)</f>
        <v>Sam</v>
      </c>
      <c r="J45" s="192">
        <f>IF(ISERROR(VLOOKUP(A45,'Totalt pivot'!$A$5:$C$397,2,FALSE)),0,(VLOOKUP(A45,'Totalt pivot'!$A$5:$C$397,2,FALSE)))</f>
        <v>0</v>
      </c>
      <c r="K45" s="192">
        <f t="shared" ref="K45" si="84">F45*J45</f>
        <v>0</v>
      </c>
      <c r="L45" s="192">
        <f>IF(ISERROR(VLOOKUP(A45,'Totalt pivot'!$A$5:$C$397,3,FALSE)),0,(VLOOKUP(A45,'Totalt pivot'!$A$5:$C$397,3,FALSE)))</f>
        <v>0</v>
      </c>
      <c r="M45" s="192">
        <f t="shared" ref="M45" si="85">F45*L45</f>
        <v>0</v>
      </c>
      <c r="N45" s="26">
        <f>VLOOKUP(A45,kurspris!$A$1:$Q$907,15)</f>
        <v>25235</v>
      </c>
      <c r="O45" s="26">
        <f>VLOOKUP(A45,kurspris!$A$1:$Q$907,16)</f>
        <v>27976</v>
      </c>
      <c r="P45" s="26">
        <f>VLOOKUP(A45,kurspris!$A$1:$Q$907,17)</f>
        <v>3600</v>
      </c>
      <c r="Q45" s="26">
        <f t="shared" ref="Q45" si="86">K45*N45+M45*O45</f>
        <v>0</v>
      </c>
      <c r="R45" s="26">
        <f>(Q45*Prislapp!$R$5)*-1</f>
        <v>0</v>
      </c>
      <c r="S45" s="26">
        <f t="shared" ref="S45" si="87">Q45+R45</f>
        <v>0</v>
      </c>
      <c r="T45" s="26">
        <f t="shared" ref="T45" si="88">K45*P45</f>
        <v>0</v>
      </c>
      <c r="V45" t="s">
        <v>1862</v>
      </c>
    </row>
    <row r="46" spans="1:22" x14ac:dyDescent="0.25">
      <c r="A46" s="31" t="s">
        <v>1502</v>
      </c>
      <c r="B46" t="str">
        <f>VLOOKUP(A46,kurspris!$A$1:$Q$907,2,FALSE)</f>
        <v>Bedömning (UK)</v>
      </c>
      <c r="C46" s="31">
        <v>2193</v>
      </c>
      <c r="D46" t="str">
        <f>VLOOKUP(C46,Orgenheter!$A$1:$B$214,2)</f>
        <v xml:space="preserve">TUV </v>
      </c>
      <c r="E46" t="str">
        <f>VLOOKUP(C46,Orgenheter!$A$1:$C$166,3,FALSE)</f>
        <v>Sam</v>
      </c>
      <c r="F46" s="262">
        <f>2/7.5</f>
        <v>0.26666666666666666</v>
      </c>
      <c r="G46">
        <f>VLOOKUP(A46,'Ansvar kurs'!$A$98:$C$1072,2,FALSE)</f>
        <v>5740</v>
      </c>
      <c r="H46" t="str">
        <f>VLOOKUP(G46,Orgenheter!$A$1:$B$214,2)</f>
        <v>NMD</v>
      </c>
      <c r="I46" t="str">
        <f>VLOOKUP(G46,Orgenheter!$A$1:$C$166,3,FALSE)</f>
        <v>TekNat</v>
      </c>
      <c r="J46" s="192">
        <f>IF(ISERROR(VLOOKUP(A46,'Totalt pivot'!$A$5:$C$397,2,FALSE)),0,(VLOOKUP(A46,'Totalt pivot'!$A$5:$C$397,2,FALSE)))</f>
        <v>0</v>
      </c>
      <c r="K46" s="192">
        <f t="shared" si="75"/>
        <v>0</v>
      </c>
      <c r="L46" s="192">
        <f>IF(ISERROR(VLOOKUP(A46,'Totalt pivot'!$A$5:$C$397,3,FALSE)),0,(VLOOKUP(A46,'Totalt pivot'!$A$5:$C$397,3,FALSE)))</f>
        <v>0</v>
      </c>
      <c r="M46" s="192">
        <f t="shared" ref="M46:M47" si="89">F46*L46</f>
        <v>0</v>
      </c>
      <c r="N46" s="26">
        <f>VLOOKUP(A46,kurspris!$A$1:$Q$907,15)</f>
        <v>26554</v>
      </c>
      <c r="O46" s="26">
        <f>VLOOKUP(A46,kurspris!$A$1:$Q$907,16)</f>
        <v>33465</v>
      </c>
      <c r="P46" s="26">
        <f>VLOOKUP(A46,kurspris!$A$1:$Q$907,17)</f>
        <v>6000</v>
      </c>
      <c r="Q46" s="26">
        <f t="shared" ref="Q46:Q47" si="90">K46*N46+M46*O46</f>
        <v>0</v>
      </c>
      <c r="R46" s="26">
        <f>(Q46*Prislapp!$R$5)*-1</f>
        <v>0</v>
      </c>
      <c r="S46" s="26">
        <f t="shared" ref="S46:S47" si="91">Q46+R46</f>
        <v>0</v>
      </c>
      <c r="T46" s="26">
        <f t="shared" ref="T46:T47" si="92">K46*P46</f>
        <v>0</v>
      </c>
    </row>
    <row r="47" spans="1:22" x14ac:dyDescent="0.25">
      <c r="A47" s="31" t="s">
        <v>1502</v>
      </c>
      <c r="B47" t="str">
        <f>VLOOKUP(A47,kurspris!$A$1:$Q$907,2,FALSE)</f>
        <v>Bedömning (UK)</v>
      </c>
      <c r="C47" s="31">
        <v>2180</v>
      </c>
      <c r="D47" t="str">
        <f>VLOOKUP(C47,Orgenheter!$A$1:$B$214,2)</f>
        <v xml:space="preserve">Pedagogik                     </v>
      </c>
      <c r="E47" t="str">
        <f>VLOOKUP(C47,Orgenheter!$A$1:$C$166,3,FALSE)</f>
        <v>Sam</v>
      </c>
      <c r="F47" s="262">
        <f>2/7.5</f>
        <v>0.26666666666666666</v>
      </c>
      <c r="G47">
        <f>VLOOKUP(A47,'Ansvar kurs'!$A$98:$C$1072,2,FALSE)</f>
        <v>5740</v>
      </c>
      <c r="H47" t="str">
        <f>VLOOKUP(G47,Orgenheter!$A$1:$B$214,2)</f>
        <v>NMD</v>
      </c>
      <c r="I47" t="str">
        <f>VLOOKUP(G47,Orgenheter!$A$1:$C$166,3,FALSE)</f>
        <v>TekNat</v>
      </c>
      <c r="J47" s="192">
        <f>IF(ISERROR(VLOOKUP(A47,'Totalt pivot'!$A$5:$C$397,2,FALSE)),0,(VLOOKUP(A47,'Totalt pivot'!$A$5:$C$397,2,FALSE)))</f>
        <v>0</v>
      </c>
      <c r="K47" s="192">
        <f t="shared" si="75"/>
        <v>0</v>
      </c>
      <c r="L47" s="192">
        <f>IF(ISERROR(VLOOKUP(A47,'Totalt pivot'!$A$5:$C$397,3,FALSE)),0,(VLOOKUP(A47,'Totalt pivot'!$A$5:$C$397,3,FALSE)))</f>
        <v>0</v>
      </c>
      <c r="M47" s="192">
        <f t="shared" si="89"/>
        <v>0</v>
      </c>
      <c r="N47" s="26">
        <f>VLOOKUP(A47,kurspris!$A$1:$Q$907,15)</f>
        <v>26554</v>
      </c>
      <c r="O47" s="26">
        <f>VLOOKUP(A47,kurspris!$A$1:$Q$907,16)</f>
        <v>33465</v>
      </c>
      <c r="P47" s="26">
        <f>VLOOKUP(A47,kurspris!$A$1:$Q$907,17)</f>
        <v>6000</v>
      </c>
      <c r="Q47" s="26">
        <f t="shared" si="90"/>
        <v>0</v>
      </c>
      <c r="R47" s="26">
        <f>(Q47*Prislapp!$R$5)*-1</f>
        <v>0</v>
      </c>
      <c r="S47" s="26">
        <f t="shared" si="91"/>
        <v>0</v>
      </c>
      <c r="T47" s="26">
        <f t="shared" si="92"/>
        <v>0</v>
      </c>
    </row>
    <row r="48" spans="1:22" x14ac:dyDescent="0.25">
      <c r="A48" s="31" t="s">
        <v>1578</v>
      </c>
      <c r="B48" t="str">
        <f>VLOOKUP(A48,kurspris!$A$1:$Q$907,2,FALSE)</f>
        <v>Utbildningens villkor och samhälleliga funktion (UK)</v>
      </c>
      <c r="C48" s="31">
        <v>2340</v>
      </c>
      <c r="D48" t="str">
        <f>VLOOKUP(C48,Orgenheter!$A$1:$B$214,2)</f>
        <v xml:space="preserve">Statsvetenskap                </v>
      </c>
      <c r="E48" t="str">
        <f>VLOOKUP(C48,Orgenheter!$A$1:$C$166,3,FALSE)</f>
        <v>Sam</v>
      </c>
      <c r="F48" s="262">
        <f>1.5/7.5</f>
        <v>0.2</v>
      </c>
      <c r="G48">
        <f>VLOOKUP(A48,'Ansvar kurs'!$A$98:$C$1072,2,FALSE)</f>
        <v>2193</v>
      </c>
      <c r="H48" t="str">
        <f>VLOOKUP(G48,Orgenheter!$A$1:$B$214,2)</f>
        <v xml:space="preserve">TUV </v>
      </c>
      <c r="I48" t="str">
        <f>VLOOKUP(G48,Orgenheter!$A$1:$C$166,3,FALSE)</f>
        <v>Sam</v>
      </c>
      <c r="J48" s="192">
        <f>IF(ISERROR(VLOOKUP(A48,'Totalt pivot'!$A$5:$C$397,2,FALSE)),0,(VLOOKUP(A48,'Totalt pivot'!$A$5:$C$397,2,FALSE)))</f>
        <v>0</v>
      </c>
      <c r="K48" s="192">
        <f t="shared" si="75"/>
        <v>0</v>
      </c>
      <c r="L48" s="192">
        <f>IF(ISERROR(VLOOKUP(A48,'Totalt pivot'!$A$5:$C$397,3,FALSE)),0,(VLOOKUP(A48,'Totalt pivot'!$A$5:$C$397,3,FALSE)))</f>
        <v>0</v>
      </c>
      <c r="M48" s="192">
        <f t="shared" ref="M48" si="93">F48*L48</f>
        <v>0</v>
      </c>
      <c r="N48" s="26">
        <f>VLOOKUP(A48,kurspris!$A$1:$Q$907,15)</f>
        <v>26554</v>
      </c>
      <c r="O48" s="26">
        <f>VLOOKUP(A48,kurspris!$A$1:$Q$907,16)</f>
        <v>33465</v>
      </c>
      <c r="P48" s="26">
        <f>VLOOKUP(A48,kurspris!$A$1:$Q$907,17)</f>
        <v>6000</v>
      </c>
      <c r="Q48" s="26">
        <f t="shared" ref="Q48" si="94">K48*N48+M48*O48</f>
        <v>0</v>
      </c>
      <c r="R48" s="26">
        <f>(Q48*Prislapp!$R$5)*-1</f>
        <v>0</v>
      </c>
      <c r="S48" s="26">
        <f t="shared" ref="S48" si="95">Q48+R48</f>
        <v>0</v>
      </c>
      <c r="T48" s="26">
        <f t="shared" ref="T48" si="96">K48*P48</f>
        <v>0</v>
      </c>
      <c r="V48" s="281" t="s">
        <v>1580</v>
      </c>
    </row>
    <row r="49" spans="1:22" x14ac:dyDescent="0.25">
      <c r="A49" s="31" t="s">
        <v>1581</v>
      </c>
      <c r="B49" t="str">
        <f>VLOOKUP(A49,kurspris!$A$1:$Q$907,2,FALSE)</f>
        <v>Den professionella läraren 1: Barns utveckling, specialpedagogik, sociala relationer och kommunikation (UK)</v>
      </c>
      <c r="C49" s="31">
        <v>2180</v>
      </c>
      <c r="D49" t="str">
        <f>VLOOKUP(C49,Orgenheter!$A$1:$B$214,2)</f>
        <v xml:space="preserve">Pedagogik                     </v>
      </c>
      <c r="E49" t="str">
        <f>VLOOKUP(C49,Orgenheter!$A$1:$C$166,3,FALSE)</f>
        <v>Sam</v>
      </c>
      <c r="F49" s="262">
        <f>2/7.5</f>
        <v>0.26666666666666666</v>
      </c>
      <c r="G49">
        <f>VLOOKUP(A49,'Ansvar kurs'!$A$98:$C$1072,2,FALSE)</f>
        <v>2193</v>
      </c>
      <c r="H49" t="str">
        <f>VLOOKUP(G49,Orgenheter!$A$1:$B$214,2)</f>
        <v xml:space="preserve">TUV </v>
      </c>
      <c r="I49" t="str">
        <f>VLOOKUP(G49,Orgenheter!$A$1:$C$166,3,FALSE)</f>
        <v>Sam</v>
      </c>
      <c r="J49" s="192">
        <f>IF(ISERROR(VLOOKUP(A49,'Totalt pivot'!$A$5:$C$397,2,FALSE)),0,(VLOOKUP(A49,'Totalt pivot'!$A$5:$C$397,2,FALSE)))</f>
        <v>0</v>
      </c>
      <c r="K49" s="192">
        <f t="shared" si="75"/>
        <v>0</v>
      </c>
      <c r="L49" s="192">
        <f>IF(ISERROR(VLOOKUP(A49,'Totalt pivot'!$A$5:$C$397,3,FALSE)),0,(VLOOKUP(A49,'Totalt pivot'!$A$5:$C$397,3,FALSE)))</f>
        <v>0</v>
      </c>
      <c r="M49" s="192">
        <f t="shared" ref="M49" si="97">F49*L49</f>
        <v>0</v>
      </c>
      <c r="N49" s="26">
        <f>VLOOKUP(A49,kurspris!$A$1:$Q$907,15)</f>
        <v>26554</v>
      </c>
      <c r="O49" s="26">
        <f>VLOOKUP(A49,kurspris!$A$1:$Q$907,16)</f>
        <v>33465</v>
      </c>
      <c r="P49" s="26">
        <f>VLOOKUP(A49,kurspris!$A$1:$Q$907,17)</f>
        <v>6000</v>
      </c>
      <c r="Q49" s="26">
        <f t="shared" ref="Q49" si="98">K49*N49+M49*O49</f>
        <v>0</v>
      </c>
      <c r="R49" s="26">
        <f>(Q49*Prislapp!$R$5)*-1</f>
        <v>0</v>
      </c>
      <c r="S49" s="26">
        <f t="shared" ref="S49" si="99">Q49+R49</f>
        <v>0</v>
      </c>
      <c r="T49" s="26">
        <f t="shared" ref="T49" si="100">K49*P49</f>
        <v>0</v>
      </c>
      <c r="V49" s="281" t="s">
        <v>1580</v>
      </c>
    </row>
    <row r="50" spans="1:22" x14ac:dyDescent="0.25">
      <c r="A50" s="31" t="s">
        <v>1534</v>
      </c>
      <c r="B50" t="str">
        <f>VLOOKUP(A50,kurspris!$A$1:$Q$907,2,FALSE)</f>
        <v>Utbildningsvetenskap, undervisning och lärande för förskolan (UK)</v>
      </c>
      <c r="C50" s="31">
        <v>2180</v>
      </c>
      <c r="D50" t="str">
        <f>VLOOKUP(C50,Orgenheter!$A$1:$B$214,2)</f>
        <v xml:space="preserve">Pedagogik                     </v>
      </c>
      <c r="E50" t="str">
        <f>VLOOKUP(C50,Orgenheter!$A$1:$C$166,3,FALSE)</f>
        <v>Sam</v>
      </c>
      <c r="F50" s="262">
        <f>1/8</f>
        <v>0.125</v>
      </c>
      <c r="G50">
        <f>VLOOKUP(A50,'Ansvar kurs'!$A$98:$C$1072,2,FALSE)</f>
        <v>2193</v>
      </c>
      <c r="H50" t="str">
        <f>VLOOKUP(G50,Orgenheter!$A$1:$B$214,2)</f>
        <v xml:space="preserve">TUV </v>
      </c>
      <c r="I50" t="str">
        <f>VLOOKUP(G50,Orgenheter!$A$1:$C$166,3,FALSE)</f>
        <v>Sam</v>
      </c>
      <c r="J50" s="192">
        <f>IF(ISERROR(VLOOKUP(A50,'Totalt pivot'!$A$5:$C$397,2,FALSE)),0,(VLOOKUP(A50,'Totalt pivot'!$A$5:$C$397,2,FALSE)))</f>
        <v>7.8663333333333334</v>
      </c>
      <c r="K50" s="192">
        <f t="shared" si="75"/>
        <v>0.98329166666666667</v>
      </c>
      <c r="L50" s="192">
        <f>IF(ISERROR(VLOOKUP(A50,'Totalt pivot'!$A$5:$C$397,3,FALSE)),0,(VLOOKUP(A50,'Totalt pivot'!$A$5:$C$397,3,FALSE)))</f>
        <v>6.6863833333333327</v>
      </c>
      <c r="M50" s="192">
        <f t="shared" ref="M50:M51" si="101">F50*L50</f>
        <v>0.83579791666666658</v>
      </c>
      <c r="N50" s="26">
        <f>VLOOKUP(A50,kurspris!$A$1:$Q$907,15)</f>
        <v>26554</v>
      </c>
      <c r="O50" s="26">
        <f>VLOOKUP(A50,kurspris!$A$1:$Q$907,16)</f>
        <v>33465</v>
      </c>
      <c r="P50" s="26">
        <f>VLOOKUP(A50,kurspris!$A$1:$Q$907,17)</f>
        <v>6000</v>
      </c>
      <c r="Q50" s="26">
        <f t="shared" ref="Q50:Q51" si="102">K50*N50+M50*O50</f>
        <v>54080.304197916666</v>
      </c>
      <c r="R50" s="26">
        <f>(Q50*Prislapp!$R$5)*-1</f>
        <v>-3785.6212938541671</v>
      </c>
      <c r="S50" s="26">
        <f t="shared" ref="S50:S51" si="103">Q50+R50</f>
        <v>50294.682904062502</v>
      </c>
      <c r="T50" s="26">
        <f t="shared" ref="T50:T51" si="104">K50*P50</f>
        <v>5899.75</v>
      </c>
    </row>
    <row r="51" spans="1:22" x14ac:dyDescent="0.25">
      <c r="A51" s="31" t="s">
        <v>1534</v>
      </c>
      <c r="B51" t="str">
        <f>VLOOKUP(A51,kurspris!$A$1:$Q$907,2,FALSE)</f>
        <v>Utbildningsvetenskap, undervisning och lärande för förskolan (UK)</v>
      </c>
      <c r="C51" s="31">
        <v>2200</v>
      </c>
      <c r="D51" t="str">
        <f>VLOOKUP(C51,Orgenheter!$A$1:$B$214,2)</f>
        <v xml:space="preserve">Inst för psykologi            </v>
      </c>
      <c r="E51" t="str">
        <f>VLOOKUP(C51,Orgenheter!$A$1:$C$166,3,FALSE)</f>
        <v>Sam</v>
      </c>
      <c r="F51" s="262">
        <f>2/8</f>
        <v>0.25</v>
      </c>
      <c r="G51">
        <f>VLOOKUP(A51,'Ansvar kurs'!$A$98:$C$1072,2,FALSE)</f>
        <v>2193</v>
      </c>
      <c r="H51" t="str">
        <f>VLOOKUP(G51,Orgenheter!$A$1:$B$214,2)</f>
        <v xml:space="preserve">TUV </v>
      </c>
      <c r="I51" t="str">
        <f>VLOOKUP(G51,Orgenheter!$A$1:$C$166,3,FALSE)</f>
        <v>Sam</v>
      </c>
      <c r="J51" s="192">
        <f>IF(ISERROR(VLOOKUP(A51,'Totalt pivot'!$A$5:$C$397,2,FALSE)),0,(VLOOKUP(A51,'Totalt pivot'!$A$5:$C$397,2,FALSE)))</f>
        <v>7.8663333333333334</v>
      </c>
      <c r="K51" s="192">
        <f t="shared" si="75"/>
        <v>1.9665833333333333</v>
      </c>
      <c r="L51" s="192">
        <f>IF(ISERROR(VLOOKUP(A51,'Totalt pivot'!$A$5:$C$397,3,FALSE)),0,(VLOOKUP(A51,'Totalt pivot'!$A$5:$C$397,3,FALSE)))</f>
        <v>6.6863833333333327</v>
      </c>
      <c r="M51" s="192">
        <f t="shared" si="101"/>
        <v>1.6715958333333332</v>
      </c>
      <c r="N51" s="26">
        <f>VLOOKUP(A51,kurspris!$A$1:$Q$907,15)</f>
        <v>26554</v>
      </c>
      <c r="O51" s="26">
        <f>VLOOKUP(A51,kurspris!$A$1:$Q$907,16)</f>
        <v>33465</v>
      </c>
      <c r="P51" s="26">
        <f>VLOOKUP(A51,kurspris!$A$1:$Q$907,17)</f>
        <v>6000</v>
      </c>
      <c r="Q51" s="26">
        <f t="shared" si="102"/>
        <v>108160.60839583333</v>
      </c>
      <c r="R51" s="26">
        <f>(Q51*Prislapp!$R$5)*-1</f>
        <v>-7571.2425877083342</v>
      </c>
      <c r="S51" s="26">
        <f t="shared" si="103"/>
        <v>100589.365808125</v>
      </c>
      <c r="T51" s="26">
        <f t="shared" si="104"/>
        <v>11799.5</v>
      </c>
    </row>
    <row r="52" spans="1:22" x14ac:dyDescent="0.25">
      <c r="A52" s="31" t="s">
        <v>1531</v>
      </c>
      <c r="B52" t="str">
        <f>VLOOKUP(A52,kurspris!$A$1:$Q$907,2,FALSE)</f>
        <v>Specialpedagogik för förskolan (UK)</v>
      </c>
      <c r="C52" s="31">
        <v>2180</v>
      </c>
      <c r="D52" t="str">
        <f>VLOOKUP(C52,Orgenheter!$A$1:$B$214,2)</f>
        <v xml:space="preserve">Pedagogik                     </v>
      </c>
      <c r="E52" t="str">
        <f>VLOOKUP(C52,Orgenheter!$A$1:$C$166,3,FALSE)</f>
        <v>Sam</v>
      </c>
      <c r="F52" s="262">
        <f>2.5/6</f>
        <v>0.41666666666666669</v>
      </c>
      <c r="G52">
        <f>VLOOKUP(A52,'Ansvar kurs'!$A$98:$C$1072,2,FALSE)</f>
        <v>2193</v>
      </c>
      <c r="H52" t="str">
        <f>VLOOKUP(G52,Orgenheter!$A$1:$B$214,2)</f>
        <v xml:space="preserve">TUV </v>
      </c>
      <c r="I52" t="str">
        <f>VLOOKUP(G52,Orgenheter!$A$1:$C$166,3,FALSE)</f>
        <v>Sam</v>
      </c>
      <c r="J52" s="192">
        <f>IF(ISERROR(VLOOKUP(A52,'Totalt pivot'!$A$5:$C$397,2,FALSE)),0,(VLOOKUP(A52,'Totalt pivot'!$A$5:$C$397,2,FALSE)))</f>
        <v>6.2</v>
      </c>
      <c r="K52" s="192">
        <f t="shared" si="75"/>
        <v>2.5833333333333335</v>
      </c>
      <c r="L52" s="192">
        <f>IF(ISERROR(VLOOKUP(A52,'Totalt pivot'!$A$5:$C$397,3,FALSE)),0,(VLOOKUP(A52,'Totalt pivot'!$A$5:$C$397,3,FALSE)))</f>
        <v>5.27</v>
      </c>
      <c r="M52" s="192">
        <f t="shared" ref="M52" si="105">F52*L52</f>
        <v>2.1958333333333333</v>
      </c>
      <c r="N52" s="26">
        <f>VLOOKUP(A52,kurspris!$A$1:$Q$907,15)</f>
        <v>26554</v>
      </c>
      <c r="O52" s="26">
        <f>VLOOKUP(A52,kurspris!$A$1:$Q$907,16)</f>
        <v>33465</v>
      </c>
      <c r="P52" s="26">
        <f>VLOOKUP(A52,kurspris!$A$1:$Q$907,17)</f>
        <v>6000</v>
      </c>
      <c r="Q52" s="26">
        <f t="shared" ref="Q52" si="106">K52*N52+M52*O52</f>
        <v>142081.39583333334</v>
      </c>
      <c r="R52" s="26">
        <f>(Q52*Prislapp!$R$5)*-1</f>
        <v>-9945.697708333335</v>
      </c>
      <c r="S52" s="26">
        <f t="shared" ref="S52" si="107">Q52+R52</f>
        <v>132135.698125</v>
      </c>
      <c r="T52" s="26">
        <f t="shared" ref="T52" si="108">K52*P52</f>
        <v>15500</v>
      </c>
      <c r="V52" t="s">
        <v>1676</v>
      </c>
    </row>
    <row r="53" spans="1:22" x14ac:dyDescent="0.25">
      <c r="A53" s="31" t="s">
        <v>1531</v>
      </c>
      <c r="B53" t="str">
        <f>VLOOKUP(A53,kurspris!$A$1:$Q$907,2,FALSE)</f>
        <v>Specialpedagogik för förskolan (UK)</v>
      </c>
      <c r="C53" s="31">
        <v>2200</v>
      </c>
      <c r="D53" t="str">
        <f>VLOOKUP(C53,Orgenheter!$A$1:$B$214,2)</f>
        <v xml:space="preserve">Inst för psykologi            </v>
      </c>
      <c r="E53" t="str">
        <f>VLOOKUP(C53,Orgenheter!$A$1:$C$166,3,FALSE)</f>
        <v>Sam</v>
      </c>
      <c r="F53" s="262">
        <f>0.5/6</f>
        <v>8.3333333333333329E-2</v>
      </c>
      <c r="G53">
        <f>VLOOKUP(A53,'Ansvar kurs'!$A$98:$C$1072,2,FALSE)</f>
        <v>2193</v>
      </c>
      <c r="H53" t="str">
        <f>VLOOKUP(G53,Orgenheter!$A$1:$B$214,2)</f>
        <v xml:space="preserve">TUV </v>
      </c>
      <c r="I53" t="str">
        <f>VLOOKUP(G53,Orgenheter!$A$1:$C$166,3,FALSE)</f>
        <v>Sam</v>
      </c>
      <c r="J53" s="192">
        <f>IF(ISERROR(VLOOKUP(A53,'Totalt pivot'!$A$5:$C$397,2,FALSE)),0,(VLOOKUP(A53,'Totalt pivot'!$A$5:$C$397,2,FALSE)))</f>
        <v>6.2</v>
      </c>
      <c r="K53" s="192">
        <f t="shared" ref="K53" si="109">F53*J53</f>
        <v>0.51666666666666661</v>
      </c>
      <c r="L53" s="192">
        <f>IF(ISERROR(VLOOKUP(A53,'Totalt pivot'!$A$5:$C$397,3,FALSE)),0,(VLOOKUP(A53,'Totalt pivot'!$A$5:$C$397,3,FALSE)))</f>
        <v>5.27</v>
      </c>
      <c r="M53" s="192">
        <f t="shared" ref="M53" si="110">F53*L53</f>
        <v>0.43916666666666659</v>
      </c>
      <c r="N53" s="26">
        <f>VLOOKUP(A53,kurspris!$A$1:$Q$907,15)</f>
        <v>26554</v>
      </c>
      <c r="O53" s="26">
        <f>VLOOKUP(A53,kurspris!$A$1:$Q$907,16)</f>
        <v>33465</v>
      </c>
      <c r="P53" s="26">
        <f>VLOOKUP(A53,kurspris!$A$1:$Q$907,17)</f>
        <v>6000</v>
      </c>
      <c r="Q53" s="26">
        <f t="shared" ref="Q53" si="111">K53*N53+M53*O53</f>
        <v>28416.279166666664</v>
      </c>
      <c r="R53" s="26">
        <f>(Q53*Prislapp!$R$5)*-1</f>
        <v>-1989.1395416666667</v>
      </c>
      <c r="S53" s="26">
        <f t="shared" ref="S53" si="112">Q53+R53</f>
        <v>26427.139624999996</v>
      </c>
      <c r="T53" s="26">
        <f t="shared" ref="T53" si="113">K53*P53</f>
        <v>3099.9999999999995</v>
      </c>
    </row>
    <row r="54" spans="1:22" x14ac:dyDescent="0.25">
      <c r="A54" s="31" t="s">
        <v>1523</v>
      </c>
      <c r="B54" t="str">
        <f>VLOOKUP(A54,kurspris!$A$1:$Q$907,2,FALSE)</f>
        <v>Specialpedagogik för grundskolan (UK)</v>
      </c>
      <c r="C54" s="31">
        <v>2193</v>
      </c>
      <c r="D54" t="str">
        <f>VLOOKUP(C54,Orgenheter!$A$1:$B$214,2)</f>
        <v xml:space="preserve">TUV </v>
      </c>
      <c r="E54" t="str">
        <f>VLOOKUP(C54,Orgenheter!$A$1:$C$166,3,FALSE)</f>
        <v>Sam</v>
      </c>
      <c r="F54" s="262">
        <f>2/5</f>
        <v>0.4</v>
      </c>
      <c r="G54">
        <f>VLOOKUP(A54,'Ansvar kurs'!$A$98:$C$1072,2,FALSE)</f>
        <v>2180</v>
      </c>
      <c r="H54" t="str">
        <f>VLOOKUP(G54,Orgenheter!$A$1:$B$214,2)</f>
        <v xml:space="preserve">Pedagogik                     </v>
      </c>
      <c r="I54" t="str">
        <f>VLOOKUP(G54,Orgenheter!$A$1:$C$166,3,FALSE)</f>
        <v>Sam</v>
      </c>
      <c r="J54" s="192">
        <f>IF(ISERROR(VLOOKUP(A54,'Totalt pivot'!$A$5:$C$397,2,FALSE)),0,(VLOOKUP(A54,'Totalt pivot'!$A$5:$C$397,2,FALSE)))</f>
        <v>6.7493333333333334</v>
      </c>
      <c r="K54" s="192">
        <f t="shared" si="75"/>
        <v>2.6997333333333335</v>
      </c>
      <c r="L54" s="192">
        <f>IF(ISERROR(VLOOKUP(A54,'Totalt pivot'!$A$5:$C$397,3,FALSE)),0,(VLOOKUP(A54,'Totalt pivot'!$A$5:$C$397,3,FALSE)))</f>
        <v>5.736933333333333</v>
      </c>
      <c r="M54" s="192">
        <f t="shared" ref="M54:M55" si="114">F54*L54</f>
        <v>2.2947733333333331</v>
      </c>
      <c r="N54" s="26">
        <f>VLOOKUP(A54,kurspris!$A$1:$Q$907,15)</f>
        <v>26554</v>
      </c>
      <c r="O54" s="26">
        <f>VLOOKUP(A54,kurspris!$A$1:$Q$907,16)</f>
        <v>33465</v>
      </c>
      <c r="P54" s="26">
        <f>VLOOKUP(A54,kurspris!$A$1:$Q$907,17)</f>
        <v>6000</v>
      </c>
      <c r="Q54" s="26">
        <f t="shared" ref="Q54:Q55" si="115">K54*N54+M54*O54</f>
        <v>148483.30853333333</v>
      </c>
      <c r="R54" s="26">
        <f>(Q54*Prislapp!$R$5)*-1</f>
        <v>-10393.831597333334</v>
      </c>
      <c r="S54" s="26">
        <f t="shared" ref="S54:S55" si="116">Q54+R54</f>
        <v>138089.47693599999</v>
      </c>
      <c r="T54" s="26">
        <f t="shared" ref="T54:T55" si="117">K54*P54</f>
        <v>16198.400000000001</v>
      </c>
    </row>
    <row r="55" spans="1:22" x14ac:dyDescent="0.25">
      <c r="A55" s="31" t="s">
        <v>1523</v>
      </c>
      <c r="B55" t="str">
        <f>VLOOKUP(A55,kurspris!$A$1:$Q$907,2,FALSE)</f>
        <v>Specialpedagogik för grundskolan (UK)</v>
      </c>
      <c r="C55" s="31">
        <v>2200</v>
      </c>
      <c r="D55" t="str">
        <f>VLOOKUP(C55,Orgenheter!$A$1:$B$214,2)</f>
        <v xml:space="preserve">Inst för psykologi            </v>
      </c>
      <c r="E55" t="str">
        <f>VLOOKUP(C55,Orgenheter!$A$1:$C$166,3,FALSE)</f>
        <v>Sam</v>
      </c>
      <c r="F55" s="262">
        <f>0.5/5</f>
        <v>0.1</v>
      </c>
      <c r="G55">
        <f>VLOOKUP(A55,'Ansvar kurs'!$A$98:$C$1072,2,FALSE)</f>
        <v>2180</v>
      </c>
      <c r="H55" t="str">
        <f>VLOOKUP(G55,Orgenheter!$A$1:$B$214,2)</f>
        <v xml:space="preserve">Pedagogik                     </v>
      </c>
      <c r="I55" t="str">
        <f>VLOOKUP(G55,Orgenheter!$A$1:$C$166,3,FALSE)</f>
        <v>Sam</v>
      </c>
      <c r="J55" s="192">
        <f>IF(ISERROR(VLOOKUP(A55,'Totalt pivot'!$A$5:$C$397,2,FALSE)),0,(VLOOKUP(A55,'Totalt pivot'!$A$5:$C$397,2,FALSE)))</f>
        <v>6.7493333333333334</v>
      </c>
      <c r="K55" s="192">
        <f t="shared" si="75"/>
        <v>0.67493333333333339</v>
      </c>
      <c r="L55" s="192">
        <f>IF(ISERROR(VLOOKUP(A55,'Totalt pivot'!$A$5:$C$397,3,FALSE)),0,(VLOOKUP(A55,'Totalt pivot'!$A$5:$C$397,3,FALSE)))</f>
        <v>5.736933333333333</v>
      </c>
      <c r="M55" s="192">
        <f t="shared" si="114"/>
        <v>0.57369333333333328</v>
      </c>
      <c r="N55" s="26">
        <f>VLOOKUP(A55,kurspris!$A$1:$Q$907,15)</f>
        <v>26554</v>
      </c>
      <c r="O55" s="26">
        <f>VLOOKUP(A55,kurspris!$A$1:$Q$907,16)</f>
        <v>33465</v>
      </c>
      <c r="P55" s="26">
        <f>VLOOKUP(A55,kurspris!$A$1:$Q$907,17)</f>
        <v>6000</v>
      </c>
      <c r="Q55" s="26">
        <f t="shared" si="115"/>
        <v>37120.827133333332</v>
      </c>
      <c r="R55" s="26">
        <f>(Q55*Prislapp!$R$5)*-1</f>
        <v>-2598.4578993333334</v>
      </c>
      <c r="S55" s="26">
        <f t="shared" si="116"/>
        <v>34522.369233999998</v>
      </c>
      <c r="T55" s="26">
        <f t="shared" si="117"/>
        <v>4049.6000000000004</v>
      </c>
    </row>
    <row r="56" spans="1:22" x14ac:dyDescent="0.25">
      <c r="A56" s="31" t="s">
        <v>1610</v>
      </c>
      <c r="B56" t="str">
        <f>VLOOKUP(A56,kurspris!$A$1:$Q$907,2,FALSE)</f>
        <v>Specialpedagogik - åk 7-9 och gymnasieskolan (UK)</v>
      </c>
      <c r="C56" s="31">
        <v>2193</v>
      </c>
      <c r="D56" t="str">
        <f>VLOOKUP(C56,Orgenheter!$A$1:$B$214,2)</f>
        <v xml:space="preserve">TUV </v>
      </c>
      <c r="E56" t="str">
        <f>VLOOKUP(C56,Orgenheter!$A$1:$C$166,3,FALSE)</f>
        <v>Sam</v>
      </c>
      <c r="F56" s="262">
        <f>2/5</f>
        <v>0.4</v>
      </c>
      <c r="G56">
        <f>VLOOKUP(A56,'Ansvar kurs'!$A$98:$C$1072,2,FALSE)</f>
        <v>2180</v>
      </c>
      <c r="H56" t="str">
        <f>VLOOKUP(G56,Orgenheter!$A$1:$B$214,2)</f>
        <v xml:space="preserve">Pedagogik                     </v>
      </c>
      <c r="I56" t="str">
        <f>VLOOKUP(G56,Orgenheter!$A$1:$C$166,3,FALSE)</f>
        <v>Sam</v>
      </c>
      <c r="J56" s="192">
        <f>IF(ISERROR(VLOOKUP(A56,'Totalt pivot'!$A$5:$C$397,2,FALSE)),0,(VLOOKUP(A56,'Totalt pivot'!$A$5:$C$397,2,FALSE)))</f>
        <v>8.4166666666666679</v>
      </c>
      <c r="K56" s="192">
        <f t="shared" si="75"/>
        <v>3.3666666666666671</v>
      </c>
      <c r="L56" s="192">
        <f>IF(ISERROR(VLOOKUP(A56,'Totalt pivot'!$A$5:$C$397,3,FALSE)),0,(VLOOKUP(A56,'Totalt pivot'!$A$5:$C$397,3,FALSE)))</f>
        <v>7.1541666666666668</v>
      </c>
      <c r="M56" s="192">
        <f t="shared" ref="M56:M57" si="118">F56*L56</f>
        <v>2.8616666666666668</v>
      </c>
      <c r="N56" s="26">
        <f>VLOOKUP(A56,kurspris!$A$1:$Q$907,15)</f>
        <v>26554</v>
      </c>
      <c r="O56" s="26">
        <f>VLOOKUP(A56,kurspris!$A$1:$Q$907,16)</f>
        <v>33465</v>
      </c>
      <c r="P56" s="26">
        <f>VLOOKUP(A56,kurspris!$A$1:$Q$907,17)</f>
        <v>6000</v>
      </c>
      <c r="Q56" s="26">
        <f t="shared" ref="Q56:Q57" si="119">K56*N56+M56*O56</f>
        <v>185164.14166666666</v>
      </c>
      <c r="R56" s="26">
        <f>(Q56*Prislapp!$R$5)*-1</f>
        <v>-12961.489916666667</v>
      </c>
      <c r="S56" s="26">
        <f t="shared" ref="S56:S57" si="120">Q56+R56</f>
        <v>172202.65174999999</v>
      </c>
      <c r="T56" s="26">
        <f t="shared" ref="T56:T57" si="121">K56*P56</f>
        <v>20200.000000000004</v>
      </c>
      <c r="V56" t="s">
        <v>1644</v>
      </c>
    </row>
    <row r="57" spans="1:22" x14ac:dyDescent="0.25">
      <c r="A57" s="31" t="s">
        <v>1610</v>
      </c>
      <c r="B57" t="str">
        <f>VLOOKUP(A57,kurspris!$A$1:$Q$907,2,FALSE)</f>
        <v>Specialpedagogik - åk 7-9 och gymnasieskolan (UK)</v>
      </c>
      <c r="C57" s="31">
        <v>2200</v>
      </c>
      <c r="D57" t="str">
        <f>VLOOKUP(C57,Orgenheter!$A$1:$B$214,2)</f>
        <v xml:space="preserve">Inst för psykologi            </v>
      </c>
      <c r="E57" t="str">
        <f>VLOOKUP(C57,Orgenheter!$A$1:$C$166,3,FALSE)</f>
        <v>Sam</v>
      </c>
      <c r="F57" s="262">
        <f>0.5/5</f>
        <v>0.1</v>
      </c>
      <c r="G57">
        <f>VLOOKUP(A57,'Ansvar kurs'!$A$98:$C$1072,2,FALSE)</f>
        <v>2180</v>
      </c>
      <c r="H57" t="str">
        <f>VLOOKUP(G57,Orgenheter!$A$1:$B$214,2)</f>
        <v xml:space="preserve">Pedagogik                     </v>
      </c>
      <c r="I57" t="str">
        <f>VLOOKUP(G57,Orgenheter!$A$1:$C$166,3,FALSE)</f>
        <v>Sam</v>
      </c>
      <c r="J57" s="192">
        <f>IF(ISERROR(VLOOKUP(A57,'Totalt pivot'!$A$5:$C$397,2,FALSE)),0,(VLOOKUP(A57,'Totalt pivot'!$A$5:$C$397,2,FALSE)))</f>
        <v>8.4166666666666679</v>
      </c>
      <c r="K57" s="192">
        <f t="shared" si="75"/>
        <v>0.84166666666666679</v>
      </c>
      <c r="L57" s="192">
        <f>IF(ISERROR(VLOOKUP(A57,'Totalt pivot'!$A$5:$C$397,3,FALSE)),0,(VLOOKUP(A57,'Totalt pivot'!$A$5:$C$397,3,FALSE)))</f>
        <v>7.1541666666666668</v>
      </c>
      <c r="M57" s="192">
        <f t="shared" si="118"/>
        <v>0.7154166666666667</v>
      </c>
      <c r="N57" s="26">
        <f>VLOOKUP(A57,kurspris!$A$1:$Q$907,15)</f>
        <v>26554</v>
      </c>
      <c r="O57" s="26">
        <f>VLOOKUP(A57,kurspris!$A$1:$Q$907,16)</f>
        <v>33465</v>
      </c>
      <c r="P57" s="26">
        <f>VLOOKUP(A57,kurspris!$A$1:$Q$907,17)</f>
        <v>6000</v>
      </c>
      <c r="Q57" s="26">
        <f t="shared" si="119"/>
        <v>46291.035416666666</v>
      </c>
      <c r="R57" s="26">
        <f>(Q57*Prislapp!$R$5)*-1</f>
        <v>-3240.3724791666668</v>
      </c>
      <c r="S57" s="26">
        <f t="shared" si="120"/>
        <v>43050.662937499997</v>
      </c>
      <c r="T57" s="26">
        <f t="shared" si="121"/>
        <v>5050.0000000000009</v>
      </c>
      <c r="V57" t="s">
        <v>1644</v>
      </c>
    </row>
    <row r="58" spans="1:22" x14ac:dyDescent="0.25">
      <c r="A58" s="31" t="s">
        <v>1540</v>
      </c>
      <c r="B58" t="str">
        <f>VLOOKUP(A58,kurspris!$A$1:$Q$907,2,FALSE)</f>
        <v>Utbildningsvetenskap, undervisning och lärande för grundskolan - fritidshem (UK)</v>
      </c>
      <c r="C58" s="31">
        <v>2193</v>
      </c>
      <c r="D58" t="str">
        <f>VLOOKUP(C58,Orgenheter!$A$1:$B$214,2)</f>
        <v xml:space="preserve">TUV </v>
      </c>
      <c r="E58" t="str">
        <f>VLOOKUP(C58,Orgenheter!$A$1:$C$166,3,FALSE)</f>
        <v>Sam</v>
      </c>
      <c r="F58" s="262">
        <f>3/8</f>
        <v>0.375</v>
      </c>
      <c r="G58">
        <f>VLOOKUP(A58,'Ansvar kurs'!$A$98:$C$1072,2,FALSE)</f>
        <v>2180</v>
      </c>
      <c r="H58" t="str">
        <f>VLOOKUP(G58,Orgenheter!$A$1:$B$214,2)</f>
        <v xml:space="preserve">Pedagogik                     </v>
      </c>
      <c r="I58" t="str">
        <f>VLOOKUP(G58,Orgenheter!$A$1:$C$166,3,FALSE)</f>
        <v>Sam</v>
      </c>
      <c r="J58" s="192">
        <f>IF(ISERROR(VLOOKUP(A58,'Totalt pivot'!$A$5:$C$397,2,FALSE)),0,(VLOOKUP(A58,'Totalt pivot'!$A$5:$C$397,2,FALSE)))</f>
        <v>0</v>
      </c>
      <c r="K58" s="192">
        <f t="shared" si="75"/>
        <v>0</v>
      </c>
      <c r="L58" s="192">
        <f>IF(ISERROR(VLOOKUP(A58,'Totalt pivot'!$A$5:$C$397,3,FALSE)),0,(VLOOKUP(A58,'Totalt pivot'!$A$5:$C$397,3,FALSE)))</f>
        <v>0</v>
      </c>
      <c r="M58" s="192">
        <f t="shared" ref="M58:M59" si="122">F58*L58</f>
        <v>0</v>
      </c>
      <c r="N58" s="26">
        <f>VLOOKUP(A58,kurspris!$A$1:$Q$907,15)</f>
        <v>26554</v>
      </c>
      <c r="O58" s="26">
        <f>VLOOKUP(A58,kurspris!$A$1:$Q$907,16)</f>
        <v>33465</v>
      </c>
      <c r="P58" s="26">
        <f>VLOOKUP(A58,kurspris!$A$1:$Q$907,17)</f>
        <v>6000</v>
      </c>
      <c r="Q58" s="26">
        <f t="shared" ref="Q58:Q59" si="123">K58*N58+M58*O58</f>
        <v>0</v>
      </c>
      <c r="R58" s="26">
        <f>(Q58*Prislapp!$R$5)*-1</f>
        <v>0</v>
      </c>
      <c r="S58" s="26">
        <f t="shared" ref="S58:S59" si="124">Q58+R58</f>
        <v>0</v>
      </c>
      <c r="T58" s="26">
        <f t="shared" ref="T58:T59" si="125">K58*P58</f>
        <v>0</v>
      </c>
    </row>
    <row r="59" spans="1:22" x14ac:dyDescent="0.25">
      <c r="A59" s="31" t="s">
        <v>1540</v>
      </c>
      <c r="B59" t="str">
        <f>VLOOKUP(A59,kurspris!$A$1:$Q$907,2,FALSE)</f>
        <v>Utbildningsvetenskap, undervisning och lärande för grundskolan - fritidshem (UK)</v>
      </c>
      <c r="C59" s="31">
        <v>2200</v>
      </c>
      <c r="D59" t="str">
        <f>VLOOKUP(C59,Orgenheter!$A$1:$B$214,2)</f>
        <v xml:space="preserve">Inst för psykologi            </v>
      </c>
      <c r="E59" t="str">
        <f>VLOOKUP(C59,Orgenheter!$A$1:$C$166,3,FALSE)</f>
        <v>Sam</v>
      </c>
      <c r="F59" s="262">
        <f>2/8</f>
        <v>0.25</v>
      </c>
      <c r="G59">
        <f>VLOOKUP(A59,'Ansvar kurs'!$A$98:$C$1072,2,FALSE)</f>
        <v>2180</v>
      </c>
      <c r="H59" t="str">
        <f>VLOOKUP(G59,Orgenheter!$A$1:$B$214,2)</f>
        <v xml:space="preserve">Pedagogik                     </v>
      </c>
      <c r="I59" t="str">
        <f>VLOOKUP(G59,Orgenheter!$A$1:$C$166,3,FALSE)</f>
        <v>Sam</v>
      </c>
      <c r="J59" s="192">
        <f>IF(ISERROR(VLOOKUP(A59,'Totalt pivot'!$A$5:$C$397,2,FALSE)),0,(VLOOKUP(A59,'Totalt pivot'!$A$5:$C$397,2,FALSE)))</f>
        <v>0</v>
      </c>
      <c r="K59" s="192">
        <f t="shared" si="75"/>
        <v>0</v>
      </c>
      <c r="L59" s="192">
        <f>IF(ISERROR(VLOOKUP(A59,'Totalt pivot'!$A$5:$C$397,3,FALSE)),0,(VLOOKUP(A59,'Totalt pivot'!$A$5:$C$397,3,FALSE)))</f>
        <v>0</v>
      </c>
      <c r="M59" s="192">
        <f t="shared" si="122"/>
        <v>0</v>
      </c>
      <c r="N59" s="26">
        <f>VLOOKUP(A59,kurspris!$A$1:$Q$907,15)</f>
        <v>26554</v>
      </c>
      <c r="O59" s="26">
        <f>VLOOKUP(A59,kurspris!$A$1:$Q$907,16)</f>
        <v>33465</v>
      </c>
      <c r="P59" s="26">
        <f>VLOOKUP(A59,kurspris!$A$1:$Q$907,17)</f>
        <v>6000</v>
      </c>
      <c r="Q59" s="26">
        <f t="shared" si="123"/>
        <v>0</v>
      </c>
      <c r="R59" s="26">
        <f>(Q59*Prislapp!$R$5)*-1</f>
        <v>0</v>
      </c>
      <c r="S59" s="26">
        <f t="shared" si="124"/>
        <v>0</v>
      </c>
      <c r="T59" s="26">
        <f t="shared" si="125"/>
        <v>0</v>
      </c>
    </row>
    <row r="60" spans="1:22" x14ac:dyDescent="0.25">
      <c r="A60" s="31" t="s">
        <v>1541</v>
      </c>
      <c r="B60" t="str">
        <f>VLOOKUP(A60,kurspris!$A$1:$Q$907,2,FALSE)</f>
        <v>Utbildningsvetenskap, undervisning och lärande för grundskolan (UK)</v>
      </c>
      <c r="C60" s="31">
        <v>5740</v>
      </c>
      <c r="D60" t="str">
        <f>VLOOKUP(C60,Orgenheter!$A$1:$B$214,2)</f>
        <v>NMD</v>
      </c>
      <c r="E60" t="str">
        <f>VLOOKUP(C60,Orgenheter!$A$1:$C$166,3,FALSE)</f>
        <v>TekNat</v>
      </c>
      <c r="F60" s="262">
        <f>3/8</f>
        <v>0.375</v>
      </c>
      <c r="G60">
        <f>VLOOKUP(A60,'Ansvar kurs'!$A$98:$C$1072,2,FALSE)</f>
        <v>2180</v>
      </c>
      <c r="H60" t="str">
        <f>VLOOKUP(G60,Orgenheter!$A$1:$B$214,2)</f>
        <v xml:space="preserve">Pedagogik                     </v>
      </c>
      <c r="I60" t="str">
        <f>VLOOKUP(G60,Orgenheter!$A$1:$C$166,3,FALSE)</f>
        <v>Sam</v>
      </c>
      <c r="J60" s="192">
        <f>IF(ISERROR(VLOOKUP(A60,'Totalt pivot'!$A$5:$C$397,2,FALSE)),0,(VLOOKUP(A60,'Totalt pivot'!$A$5:$C$397,2,FALSE)))</f>
        <v>8.8000000000000007</v>
      </c>
      <c r="K60" s="192">
        <f t="shared" si="75"/>
        <v>3.3000000000000003</v>
      </c>
      <c r="L60" s="192">
        <f>IF(ISERROR(VLOOKUP(A60,'Totalt pivot'!$A$5:$C$397,3,FALSE)),0,(VLOOKUP(A60,'Totalt pivot'!$A$5:$C$397,3,FALSE)))</f>
        <v>7.48</v>
      </c>
      <c r="M60" s="192">
        <f t="shared" ref="M60:M61" si="126">F60*L60</f>
        <v>2.8050000000000002</v>
      </c>
      <c r="N60" s="26">
        <f>VLOOKUP(A60,kurspris!$A$1:$Q$907,15)</f>
        <v>26554</v>
      </c>
      <c r="O60" s="26">
        <f>VLOOKUP(A60,kurspris!$A$1:$Q$907,16)</f>
        <v>33465</v>
      </c>
      <c r="P60" s="26">
        <f>VLOOKUP(A60,kurspris!$A$1:$Q$907,17)</f>
        <v>6000</v>
      </c>
      <c r="Q60" s="26">
        <f t="shared" ref="Q60:Q61" si="127">K60*N60+M60*O60</f>
        <v>181497.52500000002</v>
      </c>
      <c r="R60" s="26">
        <f>(Q60*Prislapp!$R$5)*-1</f>
        <v>-12704.826750000002</v>
      </c>
      <c r="S60" s="26">
        <f t="shared" ref="S60:S61" si="128">Q60+R60</f>
        <v>168792.69825000002</v>
      </c>
      <c r="T60" s="26">
        <f t="shared" ref="T60:T61" si="129">K60*P60</f>
        <v>19800</v>
      </c>
    </row>
    <row r="61" spans="1:22" x14ac:dyDescent="0.25">
      <c r="A61" s="31" t="s">
        <v>1541</v>
      </c>
      <c r="B61" t="str">
        <f>VLOOKUP(A61,kurspris!$A$1:$Q$907,2,FALSE)</f>
        <v>Utbildningsvetenskap, undervisning och lärande för grundskolan (UK)</v>
      </c>
      <c r="C61" s="31">
        <v>2200</v>
      </c>
      <c r="D61" t="str">
        <f>VLOOKUP(C61,Orgenheter!$A$1:$B$214,2)</f>
        <v xml:space="preserve">Inst för psykologi            </v>
      </c>
      <c r="E61" t="str">
        <f>VLOOKUP(C61,Orgenheter!$A$1:$C$166,3,FALSE)</f>
        <v>Sam</v>
      </c>
      <c r="F61" s="262">
        <f>2/8</f>
        <v>0.25</v>
      </c>
      <c r="G61">
        <f>VLOOKUP(A61,'Ansvar kurs'!$A$98:$C$1072,2,FALSE)</f>
        <v>2180</v>
      </c>
      <c r="H61" t="str">
        <f>VLOOKUP(G61,Orgenheter!$A$1:$B$214,2)</f>
        <v xml:space="preserve">Pedagogik                     </v>
      </c>
      <c r="I61" t="str">
        <f>VLOOKUP(G61,Orgenheter!$A$1:$C$166,3,FALSE)</f>
        <v>Sam</v>
      </c>
      <c r="J61" s="192">
        <f>IF(ISERROR(VLOOKUP(A61,'Totalt pivot'!$A$5:$C$397,2,FALSE)),0,(VLOOKUP(A61,'Totalt pivot'!$A$5:$C$397,2,FALSE)))</f>
        <v>8.8000000000000007</v>
      </c>
      <c r="K61" s="192">
        <f t="shared" si="75"/>
        <v>2.2000000000000002</v>
      </c>
      <c r="L61" s="192">
        <f>IF(ISERROR(VLOOKUP(A61,'Totalt pivot'!$A$5:$C$397,3,FALSE)),0,(VLOOKUP(A61,'Totalt pivot'!$A$5:$C$397,3,FALSE)))</f>
        <v>7.48</v>
      </c>
      <c r="M61" s="192">
        <f t="shared" si="126"/>
        <v>1.87</v>
      </c>
      <c r="N61" s="26">
        <f>VLOOKUP(A61,kurspris!$A$1:$Q$907,15)</f>
        <v>26554</v>
      </c>
      <c r="O61" s="26">
        <f>VLOOKUP(A61,kurspris!$A$1:$Q$907,16)</f>
        <v>33465</v>
      </c>
      <c r="P61" s="26">
        <f>VLOOKUP(A61,kurspris!$A$1:$Q$907,17)</f>
        <v>6000</v>
      </c>
      <c r="Q61" s="26">
        <f t="shared" si="127"/>
        <v>120998.35</v>
      </c>
      <c r="R61" s="26">
        <f>(Q61*Prislapp!$R$5)*-1</f>
        <v>-8469.8845000000019</v>
      </c>
      <c r="S61" s="26">
        <f t="shared" si="128"/>
        <v>112528.46550000001</v>
      </c>
      <c r="T61" s="26">
        <f t="shared" si="129"/>
        <v>13200.000000000002</v>
      </c>
    </row>
    <row r="62" spans="1:22" x14ac:dyDescent="0.25">
      <c r="A62" s="31" t="s">
        <v>1642</v>
      </c>
      <c r="B62" t="str">
        <f>VLOOKUP(A62,kurspris!$A$1:$Q$907,2,FALSE)</f>
        <v>Utbildningsvetenskap, undervisning och lärande - Ämneslärarprogrammet (UK)</v>
      </c>
      <c r="C62" s="31">
        <v>2200</v>
      </c>
      <c r="D62" t="str">
        <f>VLOOKUP(C62,Orgenheter!$A$1:$B$214,2)</f>
        <v xml:space="preserve">Inst för psykologi            </v>
      </c>
      <c r="E62" t="str">
        <f>VLOOKUP(C62,Orgenheter!$A$1:$C$166,3,FALSE)</f>
        <v>Sam</v>
      </c>
      <c r="F62" s="262">
        <f>2/8</f>
        <v>0.25</v>
      </c>
      <c r="G62">
        <f>VLOOKUP(A62,'Ansvar kurs'!$A$98:$C$1072,2,FALSE)</f>
        <v>2180</v>
      </c>
      <c r="H62" t="str">
        <f>VLOOKUP(G62,Orgenheter!$A$1:$B$214,2)</f>
        <v xml:space="preserve">Pedagogik                     </v>
      </c>
      <c r="I62" t="str">
        <f>VLOOKUP(G62,Orgenheter!$A$1:$C$166,3,FALSE)</f>
        <v>Sam</v>
      </c>
      <c r="J62" s="192">
        <f>IF(ISERROR(VLOOKUP(A62,'Totalt pivot'!$A$5:$C$397,2,FALSE)),0,(VLOOKUP(A62,'Totalt pivot'!$A$5:$C$397,2,FALSE)))</f>
        <v>13.333333333333332</v>
      </c>
      <c r="K62" s="192">
        <f t="shared" si="75"/>
        <v>3.333333333333333</v>
      </c>
      <c r="L62" s="192">
        <f>IF(ISERROR(VLOOKUP(A62,'Totalt pivot'!$A$5:$C$397,3,FALSE)),0,(VLOOKUP(A62,'Totalt pivot'!$A$5:$C$397,3,FALSE)))</f>
        <v>11.333333333333332</v>
      </c>
      <c r="M62" s="192">
        <f t="shared" ref="M62:M63" si="130">F62*L62</f>
        <v>2.833333333333333</v>
      </c>
      <c r="N62" s="26">
        <f>VLOOKUP(A62,kurspris!$A$1:$Q$907,15)</f>
        <v>26554</v>
      </c>
      <c r="O62" s="26">
        <f>VLOOKUP(A62,kurspris!$A$1:$Q$907,16)</f>
        <v>33465</v>
      </c>
      <c r="P62" s="26">
        <f>VLOOKUP(A62,kurspris!$A$1:$Q$907,17)</f>
        <v>6000</v>
      </c>
      <c r="Q62" s="26">
        <f t="shared" ref="Q62:Q63" si="131">K62*N62+M62*O62</f>
        <v>183330.83333333331</v>
      </c>
      <c r="R62" s="26">
        <f>(Q62*Prislapp!$R$5)*-1</f>
        <v>-12833.158333333333</v>
      </c>
      <c r="S62" s="26">
        <f t="shared" ref="S62:S63" si="132">Q62+R62</f>
        <v>170497.67499999999</v>
      </c>
      <c r="T62" s="26">
        <f t="shared" ref="T62:T63" si="133">K62*P62</f>
        <v>20000</v>
      </c>
      <c r="V62" t="s">
        <v>1644</v>
      </c>
    </row>
    <row r="63" spans="1:22" x14ac:dyDescent="0.25">
      <c r="A63" s="31" t="s">
        <v>1642</v>
      </c>
      <c r="B63" t="str">
        <f>VLOOKUP(A63,kurspris!$A$1:$Q$907,2,FALSE)</f>
        <v>Utbildningsvetenskap, undervisning och lärande - Ämneslärarprogrammet (UK)</v>
      </c>
      <c r="C63" s="31">
        <v>5740</v>
      </c>
      <c r="D63" t="str">
        <f>VLOOKUP(C63,Orgenheter!$A$1:$B$214,2)</f>
        <v>NMD</v>
      </c>
      <c r="E63" t="str">
        <f>VLOOKUP(C63,Orgenheter!$A$1:$C$166,3,FALSE)</f>
        <v>TekNat</v>
      </c>
      <c r="F63" s="262">
        <f>1/8</f>
        <v>0.125</v>
      </c>
      <c r="G63">
        <f>VLOOKUP(A63,'Ansvar kurs'!$A$98:$C$1072,2,FALSE)</f>
        <v>2180</v>
      </c>
      <c r="H63" t="str">
        <f>VLOOKUP(G63,Orgenheter!$A$1:$B$214,2)</f>
        <v xml:space="preserve">Pedagogik                     </v>
      </c>
      <c r="I63" t="str">
        <f>VLOOKUP(G63,Orgenheter!$A$1:$C$166,3,FALSE)</f>
        <v>Sam</v>
      </c>
      <c r="J63" s="192">
        <f>IF(ISERROR(VLOOKUP(A63,'Totalt pivot'!$A$5:$C$397,2,FALSE)),0,(VLOOKUP(A63,'Totalt pivot'!$A$5:$C$397,2,FALSE)))</f>
        <v>13.333333333333332</v>
      </c>
      <c r="K63" s="192">
        <f t="shared" si="75"/>
        <v>1.6666666666666665</v>
      </c>
      <c r="L63" s="192">
        <f>IF(ISERROR(VLOOKUP(A63,'Totalt pivot'!$A$5:$C$397,3,FALSE)),0,(VLOOKUP(A63,'Totalt pivot'!$A$5:$C$397,3,FALSE)))</f>
        <v>11.333333333333332</v>
      </c>
      <c r="M63" s="192">
        <f t="shared" si="130"/>
        <v>1.4166666666666665</v>
      </c>
      <c r="N63" s="26">
        <f>VLOOKUP(A63,kurspris!$A$1:$Q$907,15)</f>
        <v>26554</v>
      </c>
      <c r="O63" s="26">
        <f>VLOOKUP(A63,kurspris!$A$1:$Q$907,16)</f>
        <v>33465</v>
      </c>
      <c r="P63" s="26">
        <f>VLOOKUP(A63,kurspris!$A$1:$Q$907,17)</f>
        <v>6000</v>
      </c>
      <c r="Q63" s="26">
        <f t="shared" si="131"/>
        <v>91665.416666666657</v>
      </c>
      <c r="R63" s="26">
        <f>(Q63*Prislapp!$R$5)*-1</f>
        <v>-6416.5791666666664</v>
      </c>
      <c r="S63" s="26">
        <f t="shared" si="132"/>
        <v>85248.837499999994</v>
      </c>
      <c r="T63" s="26">
        <f t="shared" si="133"/>
        <v>10000</v>
      </c>
      <c r="V63" t="s">
        <v>1644</v>
      </c>
    </row>
    <row r="64" spans="1:22" x14ac:dyDescent="0.25">
      <c r="A64" s="31" t="s">
        <v>1583</v>
      </c>
      <c r="B64" t="str">
        <f>VLOOKUP(A64,kurspris!$A$1:$Q$907,2,FALSE)</f>
        <v>Den professionella läraren 2: Uppdrag, ledarskap och undervisning (UK)</v>
      </c>
      <c r="C64" s="31">
        <v>2193</v>
      </c>
      <c r="D64" t="str">
        <f>VLOOKUP(C64,Orgenheter!$A$1:$B$214,2)</f>
        <v xml:space="preserve">TUV </v>
      </c>
      <c r="E64" t="str">
        <f>VLOOKUP(C64,Orgenheter!$A$1:$C$166,3,FALSE)</f>
        <v>Sam</v>
      </c>
      <c r="F64" s="262">
        <f>2/7.5</f>
        <v>0.26666666666666666</v>
      </c>
      <c r="G64">
        <f>VLOOKUP(A64,'Ansvar kurs'!$A$98:$C$1072,2,FALSE)</f>
        <v>2180</v>
      </c>
      <c r="H64" t="str">
        <f>VLOOKUP(G64,Orgenheter!$A$1:$B$214,2)</f>
        <v xml:space="preserve">Pedagogik                     </v>
      </c>
      <c r="I64" t="str">
        <f>VLOOKUP(G64,Orgenheter!$A$1:$C$166,3,FALSE)</f>
        <v>Sam</v>
      </c>
      <c r="J64" s="192">
        <f>IF(ISERROR(VLOOKUP(A64,'Totalt pivot'!$A$5:$C$397,2,FALSE)),0,(VLOOKUP(A64,'Totalt pivot'!$A$5:$C$397,2,FALSE)))</f>
        <v>0</v>
      </c>
      <c r="K64" s="192">
        <f t="shared" si="75"/>
        <v>0</v>
      </c>
      <c r="L64" s="192">
        <f>IF(ISERROR(VLOOKUP(A64,'Totalt pivot'!$A$5:$C$397,3,FALSE)),0,(VLOOKUP(A64,'Totalt pivot'!$A$5:$C$397,3,FALSE)))</f>
        <v>0</v>
      </c>
      <c r="M64" s="192">
        <f t="shared" ref="M64" si="134">F64*L64</f>
        <v>0</v>
      </c>
      <c r="N64" s="26">
        <f>VLOOKUP(A64,kurspris!$A$1:$Q$907,15)</f>
        <v>26554</v>
      </c>
      <c r="O64" s="26">
        <f>VLOOKUP(A64,kurspris!$A$1:$Q$907,16)</f>
        <v>33465</v>
      </c>
      <c r="P64" s="26">
        <f>VLOOKUP(A64,kurspris!$A$1:$Q$907,17)</f>
        <v>6000</v>
      </c>
      <c r="Q64" s="26">
        <f t="shared" ref="Q64" si="135">K64*N64+M64*O64</f>
        <v>0</v>
      </c>
      <c r="R64" s="26">
        <f>(Q64*Prislapp!$R$5)*-1</f>
        <v>0</v>
      </c>
      <c r="S64" s="26">
        <f t="shared" ref="S64" si="136">Q64+R64</f>
        <v>0</v>
      </c>
      <c r="T64" s="26">
        <f t="shared" ref="T64" si="137">K64*P64</f>
        <v>0</v>
      </c>
      <c r="V64" s="281" t="s">
        <v>1580</v>
      </c>
    </row>
    <row r="65" spans="1:23" x14ac:dyDescent="0.25">
      <c r="A65" s="31" t="s">
        <v>1536</v>
      </c>
      <c r="B65" t="str">
        <f>VLOOKUP(A65,kurspris!$A$1:$Q$907,2,FALSE)</f>
        <v>Barnet, omvärlden och fritidshemmets uppdrag</v>
      </c>
      <c r="C65" s="31">
        <v>2180</v>
      </c>
      <c r="D65" t="str">
        <f>VLOOKUP(C65,Orgenheter!$A$1:$B$214,2)</f>
        <v xml:space="preserve">Pedagogik                     </v>
      </c>
      <c r="E65" t="str">
        <f>VLOOKUP(C65,Orgenheter!$A$1:$C$166,3,FALSE)</f>
        <v>Sam</v>
      </c>
      <c r="F65" s="262">
        <f>3/15</f>
        <v>0.2</v>
      </c>
      <c r="G65">
        <f>VLOOKUP(A65,'Ansvar kurs'!$A$98:$C$1072,2,FALSE)</f>
        <v>2193</v>
      </c>
      <c r="H65" t="str">
        <f>VLOOKUP(G65,Orgenheter!$A$1:$B$214,2)</f>
        <v xml:space="preserve">TUV </v>
      </c>
      <c r="I65" t="str">
        <f>VLOOKUP(G65,Orgenheter!$A$1:$C$166,3,FALSE)</f>
        <v>Sam</v>
      </c>
      <c r="J65" s="192">
        <f>IF(ISERROR(VLOOKUP(A65,'Totalt pivot'!$A$5:$C$397,2,FALSE)),0,(VLOOKUP(A65,'Totalt pivot'!$A$5:$C$397,2,FALSE)))</f>
        <v>6</v>
      </c>
      <c r="K65" s="192">
        <f t="shared" ref="K65" si="138">F65*J65</f>
        <v>1.2000000000000002</v>
      </c>
      <c r="L65" s="192">
        <f>IF(ISERROR(VLOOKUP(A65,'Totalt pivot'!$A$5:$C$397,3,FALSE)),0,(VLOOKUP(A65,'Totalt pivot'!$A$5:$C$397,3,FALSE)))</f>
        <v>5.0999999999999996</v>
      </c>
      <c r="M65" s="192">
        <f t="shared" ref="M65" si="139">F65*L65</f>
        <v>1.02</v>
      </c>
      <c r="N65" s="26">
        <f>VLOOKUP(A65,kurspris!$A$1:$Q$907,15)</f>
        <v>20766</v>
      </c>
      <c r="O65" s="26">
        <f>VLOOKUP(A65,kurspris!$A$1:$Q$907,16)</f>
        <v>17442</v>
      </c>
      <c r="P65" s="26">
        <f>VLOOKUP(A65,kurspris!$A$1:$Q$907,17)</f>
        <v>6000</v>
      </c>
      <c r="Q65" s="26">
        <f t="shared" ref="Q65" si="140">K65*N65+M65*O65</f>
        <v>42710.040000000008</v>
      </c>
      <c r="R65" s="26">
        <f>(Q65*Prislapp!$R$5)*-1</f>
        <v>-2989.7028000000009</v>
      </c>
      <c r="S65" s="26">
        <f t="shared" ref="S65" si="141">Q65+R65</f>
        <v>39720.337200000009</v>
      </c>
      <c r="T65" s="26">
        <f t="shared" ref="T65" si="142">K65*P65</f>
        <v>7200.0000000000009</v>
      </c>
      <c r="V65" s="173" t="s">
        <v>1673</v>
      </c>
      <c r="W65" s="173"/>
    </row>
    <row r="66" spans="1:23" x14ac:dyDescent="0.25">
      <c r="A66" s="31" t="s">
        <v>1542</v>
      </c>
      <c r="B66" t="str">
        <f>VLOOKUP(A66,kurspris!$A$1:$Q$907,2,FALSE)</f>
        <v>Bedömning för och av lärande i grundskolan (UK)</v>
      </c>
      <c r="C66" s="31">
        <v>2180</v>
      </c>
      <c r="D66" t="str">
        <f>VLOOKUP(C66,Orgenheter!$A$1:$B$214,2)</f>
        <v xml:space="preserve">Pedagogik                     </v>
      </c>
      <c r="E66" t="str">
        <f>VLOOKUP(C66,Orgenheter!$A$1:$C$166,3,FALSE)</f>
        <v>Sam</v>
      </c>
      <c r="F66" s="262">
        <f>2.5/11</f>
        <v>0.22727272727272727</v>
      </c>
      <c r="G66">
        <f>VLOOKUP(A66,'Ansvar kurs'!$A$98:$C$1072,2,FALSE)</f>
        <v>5740</v>
      </c>
      <c r="H66" t="str">
        <f>VLOOKUP(G66,Orgenheter!$A$1:$B$214,2)</f>
        <v>NMD</v>
      </c>
      <c r="I66" t="str">
        <f>VLOOKUP(G66,Orgenheter!$A$1:$C$166,3,FALSE)</f>
        <v>TekNat</v>
      </c>
      <c r="J66" s="192">
        <f>IF(ISERROR(VLOOKUP(A66,'Totalt pivot'!$A$5:$C$397,2,FALSE)),0,(VLOOKUP(A66,'Totalt pivot'!$A$5:$C$397,2,FALSE)))</f>
        <v>15.032999999999999</v>
      </c>
      <c r="K66" s="192">
        <f t="shared" si="75"/>
        <v>3.416590909090909</v>
      </c>
      <c r="L66" s="192">
        <f>IF(ISERROR(VLOOKUP(A66,'Totalt pivot'!$A$5:$C$397,3,FALSE)),0,(VLOOKUP(A66,'Totalt pivot'!$A$5:$C$397,3,FALSE)))</f>
        <v>12.77805</v>
      </c>
      <c r="M66" s="192">
        <f t="shared" ref="M66:M68" si="143">F66*L66</f>
        <v>2.9041022727272727</v>
      </c>
      <c r="N66" s="26">
        <f>VLOOKUP(A66,kurspris!$A$1:$Q$907,15)</f>
        <v>26554</v>
      </c>
      <c r="O66" s="26">
        <f>VLOOKUP(A66,kurspris!$A$1:$Q$907,16)</f>
        <v>33465</v>
      </c>
      <c r="P66" s="26">
        <f>VLOOKUP(A66,kurspris!$A$1:$Q$907,17)</f>
        <v>6000</v>
      </c>
      <c r="Q66" s="26">
        <f t="shared" ref="Q66:Q68" si="144">K66*N66+M66*O66</f>
        <v>187909.93755681819</v>
      </c>
      <c r="R66" s="26">
        <f>(Q66*Prislapp!$R$5)*-1</f>
        <v>-13153.695628977273</v>
      </c>
      <c r="S66" s="26">
        <f t="shared" ref="S66:S68" si="145">Q66+R66</f>
        <v>174756.24192784092</v>
      </c>
      <c r="T66" s="26">
        <f t="shared" ref="T66:T68" si="146">K66*P66</f>
        <v>20499.545454545456</v>
      </c>
    </row>
    <row r="67" spans="1:23" x14ac:dyDescent="0.25">
      <c r="A67" s="31" t="s">
        <v>1542</v>
      </c>
      <c r="B67" t="str">
        <f>VLOOKUP(A67,kurspris!$A$1:$Q$907,2,FALSE)</f>
        <v>Bedömning för och av lärande i grundskolan (UK)</v>
      </c>
      <c r="C67" s="31">
        <v>2193</v>
      </c>
      <c r="D67" t="str">
        <f>VLOOKUP(C67,Orgenheter!$A$1:$B$214,2)</f>
        <v xml:space="preserve">TUV </v>
      </c>
      <c r="E67" t="str">
        <f>VLOOKUP(C67,Orgenheter!$A$1:$C$166,3,FALSE)</f>
        <v>Sam</v>
      </c>
      <c r="F67" s="262">
        <f>2.5/11</f>
        <v>0.22727272727272727</v>
      </c>
      <c r="G67">
        <f>VLOOKUP(A67,'Ansvar kurs'!$A$98:$C$1072,2,FALSE)</f>
        <v>5740</v>
      </c>
      <c r="H67" t="str">
        <f>VLOOKUP(G67,Orgenheter!$A$1:$B$214,2)</f>
        <v>NMD</v>
      </c>
      <c r="I67" t="str">
        <f>VLOOKUP(G67,Orgenheter!$A$1:$C$166,3,FALSE)</f>
        <v>TekNat</v>
      </c>
      <c r="J67" s="192">
        <f>IF(ISERROR(VLOOKUP(A67,'Totalt pivot'!$A$5:$C$397,2,FALSE)),0,(VLOOKUP(A67,'Totalt pivot'!$A$5:$C$397,2,FALSE)))</f>
        <v>15.032999999999999</v>
      </c>
      <c r="K67" s="192">
        <f t="shared" si="75"/>
        <v>3.416590909090909</v>
      </c>
      <c r="L67" s="192">
        <f>IF(ISERROR(VLOOKUP(A67,'Totalt pivot'!$A$5:$C$397,3,FALSE)),0,(VLOOKUP(A67,'Totalt pivot'!$A$5:$C$397,3,FALSE)))</f>
        <v>12.77805</v>
      </c>
      <c r="M67" s="192">
        <f t="shared" si="143"/>
        <v>2.9041022727272727</v>
      </c>
      <c r="N67" s="26">
        <f>VLOOKUP(A67,kurspris!$A$1:$Q$907,15)</f>
        <v>26554</v>
      </c>
      <c r="O67" s="26">
        <f>VLOOKUP(A67,kurspris!$A$1:$Q$907,16)</f>
        <v>33465</v>
      </c>
      <c r="P67" s="26">
        <f>VLOOKUP(A67,kurspris!$A$1:$Q$907,17)</f>
        <v>6000</v>
      </c>
      <c r="Q67" s="26">
        <f t="shared" si="144"/>
        <v>187909.93755681819</v>
      </c>
      <c r="R67" s="26">
        <f>(Q67*Prislapp!$R$5)*-1</f>
        <v>-13153.695628977273</v>
      </c>
      <c r="S67" s="26">
        <f t="shared" si="145"/>
        <v>174756.24192784092</v>
      </c>
      <c r="T67" s="26">
        <f t="shared" si="146"/>
        <v>20499.545454545456</v>
      </c>
    </row>
    <row r="68" spans="1:23" x14ac:dyDescent="0.25">
      <c r="A68" s="31" t="s">
        <v>1542</v>
      </c>
      <c r="B68" t="str">
        <f>VLOOKUP(A68,kurspris!$A$1:$Q$907,2,FALSE)</f>
        <v>Bedömning för och av lärande i grundskolan (UK)</v>
      </c>
      <c r="C68" s="31">
        <v>2300</v>
      </c>
      <c r="D68" t="str">
        <f>VLOOKUP(C68,Orgenheter!$A$1:$B$214,2)</f>
        <v xml:space="preserve">Juridiska institutionen       </v>
      </c>
      <c r="E68" t="str">
        <f>VLOOKUP(C68,Orgenheter!$A$1:$C$166,3,FALSE)</f>
        <v>Sam</v>
      </c>
      <c r="F68" s="262">
        <f>1/11</f>
        <v>9.0909090909090912E-2</v>
      </c>
      <c r="G68">
        <f>VLOOKUP(A68,'Ansvar kurs'!$A$98:$C$1072,2,FALSE)</f>
        <v>5740</v>
      </c>
      <c r="H68" t="str">
        <f>VLOOKUP(G68,Orgenheter!$A$1:$B$214,2)</f>
        <v>NMD</v>
      </c>
      <c r="I68" t="str">
        <f>VLOOKUP(G68,Orgenheter!$A$1:$C$166,3,FALSE)</f>
        <v>TekNat</v>
      </c>
      <c r="J68" s="192">
        <f>IF(ISERROR(VLOOKUP(A68,'Totalt pivot'!$A$5:$C$397,2,FALSE)),0,(VLOOKUP(A68,'Totalt pivot'!$A$5:$C$397,2,FALSE)))</f>
        <v>15.032999999999999</v>
      </c>
      <c r="K68" s="192">
        <f t="shared" si="75"/>
        <v>1.3666363636363636</v>
      </c>
      <c r="L68" s="192">
        <f>IF(ISERROR(VLOOKUP(A68,'Totalt pivot'!$A$5:$C$397,3,FALSE)),0,(VLOOKUP(A68,'Totalt pivot'!$A$5:$C$397,3,FALSE)))</f>
        <v>12.77805</v>
      </c>
      <c r="M68" s="192">
        <f t="shared" si="143"/>
        <v>1.1616409090909092</v>
      </c>
      <c r="N68" s="26">
        <f>VLOOKUP(A68,kurspris!$A$1:$Q$907,15)</f>
        <v>26554</v>
      </c>
      <c r="O68" s="26">
        <f>VLOOKUP(A68,kurspris!$A$1:$Q$907,16)</f>
        <v>33465</v>
      </c>
      <c r="P68" s="26">
        <f>VLOOKUP(A68,kurspris!$A$1:$Q$907,17)</f>
        <v>6000</v>
      </c>
      <c r="Q68" s="26">
        <f t="shared" si="144"/>
        <v>75163.975022727274</v>
      </c>
      <c r="R68" s="26">
        <f>(Q68*Prislapp!$R$5)*-1</f>
        <v>-5261.4782515909101</v>
      </c>
      <c r="S68" s="26">
        <f t="shared" si="145"/>
        <v>69902.496771136357</v>
      </c>
      <c r="T68" s="26">
        <f t="shared" si="146"/>
        <v>8199.818181818182</v>
      </c>
    </row>
    <row r="69" spans="1:23" x14ac:dyDescent="0.25">
      <c r="A69" s="244" t="s">
        <v>1533</v>
      </c>
      <c r="B69" t="str">
        <f>VLOOKUP(A69,kurspris!$A$1:$Q$907,2,FALSE)</f>
        <v>Bedömning för lärande i förskolan (UK)</v>
      </c>
      <c r="C69" s="31">
        <v>2193</v>
      </c>
      <c r="D69" t="str">
        <f>VLOOKUP(C69,Orgenheter!$A$1:$B$214,2)</f>
        <v xml:space="preserve">TUV </v>
      </c>
      <c r="E69" t="str">
        <f>VLOOKUP(C69,Orgenheter!$A$1:$C$166,3,FALSE)</f>
        <v>Sam</v>
      </c>
      <c r="F69" s="262">
        <f>3/10</f>
        <v>0.3</v>
      </c>
      <c r="G69">
        <f>VLOOKUP(A69,'Ansvar kurs'!$A$98:$C$1072,2,FALSE)</f>
        <v>5740</v>
      </c>
      <c r="H69" t="str">
        <f>VLOOKUP(G69,Orgenheter!$A$1:$B$214,2)</f>
        <v>NMD</v>
      </c>
      <c r="I69" t="str">
        <f>VLOOKUP(G69,Orgenheter!$A$1:$C$166,3,FALSE)</f>
        <v>TekNat</v>
      </c>
      <c r="J69" s="192">
        <f>IF(ISERROR(VLOOKUP(A69,'Totalt pivot'!$A$5:$C$397,2,FALSE)),0,(VLOOKUP(A69,'Totalt pivot'!$A$5:$C$397,2,FALSE)))</f>
        <v>9.8003333333333327</v>
      </c>
      <c r="K69" s="192">
        <f t="shared" si="75"/>
        <v>2.9400999999999997</v>
      </c>
      <c r="L69" s="192">
        <f>IF(ISERROR(VLOOKUP(A69,'Totalt pivot'!$A$5:$C$397,3,FALSE)),0,(VLOOKUP(A69,'Totalt pivot'!$A$5:$C$397,3,FALSE)))</f>
        <v>8.3302833333333339</v>
      </c>
      <c r="M69" s="192">
        <f t="shared" ref="M69:M70" si="147">F69*L69</f>
        <v>2.499085</v>
      </c>
      <c r="N69" s="26">
        <f>VLOOKUP(A69,kurspris!$A$1:$Q$907,15)</f>
        <v>26554</v>
      </c>
      <c r="O69" s="26">
        <f>VLOOKUP(A69,kurspris!$A$1:$Q$907,16)</f>
        <v>33465</v>
      </c>
      <c r="P69" s="26">
        <f>VLOOKUP(A69,kurspris!$A$1:$Q$907,17)</f>
        <v>6000</v>
      </c>
      <c r="Q69" s="26">
        <f t="shared" ref="Q69:Q70" si="148">K69*N69+M69*O69</f>
        <v>161703.29492499999</v>
      </c>
      <c r="R69" s="26">
        <f>(Q69*Prislapp!$R$5)*-1</f>
        <v>-11319.230644750001</v>
      </c>
      <c r="S69" s="26">
        <f t="shared" ref="S69:S70" si="149">Q69+R69</f>
        <v>150384.06428024999</v>
      </c>
      <c r="T69" s="26">
        <f t="shared" ref="T69:T70" si="150">K69*P69</f>
        <v>17640.599999999999</v>
      </c>
      <c r="V69" t="s">
        <v>1669</v>
      </c>
    </row>
    <row r="70" spans="1:23" x14ac:dyDescent="0.25">
      <c r="A70" s="244" t="s">
        <v>1533</v>
      </c>
      <c r="B70" t="str">
        <f>VLOOKUP(A70,kurspris!$A$1:$Q$907,2,FALSE)</f>
        <v>Bedömning för lärande i förskolan (UK)</v>
      </c>
      <c r="C70" s="31">
        <v>2300</v>
      </c>
      <c r="D70" t="str">
        <f>VLOOKUP(C70,Orgenheter!$A$1:$B$214,2)</f>
        <v xml:space="preserve">Juridiska institutionen       </v>
      </c>
      <c r="E70" t="str">
        <f>VLOOKUP(C70,Orgenheter!$A$1:$C$166,3,FALSE)</f>
        <v>Sam</v>
      </c>
      <c r="F70" s="262">
        <f>1/10</f>
        <v>0.1</v>
      </c>
      <c r="G70">
        <f>VLOOKUP(A70,'Ansvar kurs'!$A$98:$C$1072,2,FALSE)</f>
        <v>5740</v>
      </c>
      <c r="H70" t="str">
        <f>VLOOKUP(G70,Orgenheter!$A$1:$B$214,2)</f>
        <v>NMD</v>
      </c>
      <c r="I70" t="str">
        <f>VLOOKUP(G70,Orgenheter!$A$1:$C$166,3,FALSE)</f>
        <v>TekNat</v>
      </c>
      <c r="J70" s="192">
        <f>IF(ISERROR(VLOOKUP(A70,'Totalt pivot'!$A$5:$C$397,2,FALSE)),0,(VLOOKUP(A70,'Totalt pivot'!$A$5:$C$397,2,FALSE)))</f>
        <v>9.8003333333333327</v>
      </c>
      <c r="K70" s="192">
        <f t="shared" si="75"/>
        <v>0.98003333333333331</v>
      </c>
      <c r="L70" s="192">
        <f>IF(ISERROR(VLOOKUP(A70,'Totalt pivot'!$A$5:$C$397,3,FALSE)),0,(VLOOKUP(A70,'Totalt pivot'!$A$5:$C$397,3,FALSE)))</f>
        <v>8.3302833333333339</v>
      </c>
      <c r="M70" s="192">
        <f t="shared" si="147"/>
        <v>0.83302833333333348</v>
      </c>
      <c r="N70" s="26">
        <f>VLOOKUP(A70,kurspris!$A$1:$Q$907,15)</f>
        <v>26554</v>
      </c>
      <c r="O70" s="26">
        <f>VLOOKUP(A70,kurspris!$A$1:$Q$907,16)</f>
        <v>33465</v>
      </c>
      <c r="P70" s="26">
        <f>VLOOKUP(A70,kurspris!$A$1:$Q$907,17)</f>
        <v>6000</v>
      </c>
      <c r="Q70" s="26">
        <f t="shared" si="148"/>
        <v>53901.098308333341</v>
      </c>
      <c r="R70" s="26">
        <f>(Q70*Prislapp!$R$5)*-1</f>
        <v>-3773.0768815833344</v>
      </c>
      <c r="S70" s="26">
        <f t="shared" si="149"/>
        <v>50128.021426750005</v>
      </c>
      <c r="T70" s="26">
        <f t="shared" si="150"/>
        <v>5880.2</v>
      </c>
      <c r="V70" t="s">
        <v>1669</v>
      </c>
    </row>
    <row r="71" spans="1:23" x14ac:dyDescent="0.25">
      <c r="A71" s="31" t="s">
        <v>1658</v>
      </c>
      <c r="B71" t="str">
        <f>VLOOKUP(A71,kurspris!$A$1:$Q$907,2,FALSE)</f>
        <v>Bedömning för och av lärande för åk 7-9 och gymnasium (UK)</v>
      </c>
      <c r="C71" s="31">
        <v>2180</v>
      </c>
      <c r="D71" t="str">
        <f>VLOOKUP(C71,Orgenheter!$A$1:$B$214,2)</f>
        <v xml:space="preserve">Pedagogik                     </v>
      </c>
      <c r="E71" t="str">
        <f>VLOOKUP(C71,Orgenheter!$A$1:$C$166,3,FALSE)</f>
        <v>Sam</v>
      </c>
      <c r="F71" s="262">
        <f>2.5/11</f>
        <v>0.22727272727272727</v>
      </c>
      <c r="G71">
        <f>VLOOKUP(A71,'Ansvar kurs'!$A$98:$C$1072,2,FALSE)</f>
        <v>5740</v>
      </c>
      <c r="H71" t="str">
        <f>VLOOKUP(G71,Orgenheter!$A$1:$B$214,2)</f>
        <v>NMD</v>
      </c>
      <c r="I71" t="str">
        <f>VLOOKUP(G71,Orgenheter!$A$1:$C$166,3,FALSE)</f>
        <v>TekNat</v>
      </c>
      <c r="J71" s="192">
        <f>IF(ISERROR(VLOOKUP(A71,'Totalt pivot'!$A$5:$C$397,2,FALSE)),0,(VLOOKUP(A71,'Totalt pivot'!$A$5:$C$397,2,FALSE)))</f>
        <v>18.516666666666666</v>
      </c>
      <c r="K71" s="192">
        <f t="shared" ref="K71:K73" si="151">F71*J71</f>
        <v>4.208333333333333</v>
      </c>
      <c r="L71" s="192">
        <f>IF(ISERROR(VLOOKUP(A71,'Totalt pivot'!$A$5:$C$397,3,FALSE)),0,(VLOOKUP(A71,'Totalt pivot'!$A$5:$C$397,3,FALSE)))</f>
        <v>15.739166666666666</v>
      </c>
      <c r="M71" s="192">
        <f t="shared" ref="M71:M73" si="152">F71*L71</f>
        <v>3.5770833333333329</v>
      </c>
      <c r="N71" s="26">
        <f>VLOOKUP(A71,kurspris!$A$1:$Q$907,15)</f>
        <v>26554</v>
      </c>
      <c r="O71" s="26">
        <f>VLOOKUP(A71,kurspris!$A$1:$Q$907,16)</f>
        <v>33465</v>
      </c>
      <c r="P71" s="26">
        <f>VLOOKUP(A71,kurspris!$A$1:$Q$907,17)</f>
        <v>6000</v>
      </c>
      <c r="Q71" s="26">
        <f t="shared" ref="Q71:Q73" si="153">K71*N71+M71*O71</f>
        <v>231455.17708333331</v>
      </c>
      <c r="R71" s="26">
        <f>(Q71*Prislapp!$R$5)*-1</f>
        <v>-16201.862395833334</v>
      </c>
      <c r="S71" s="26">
        <f t="shared" ref="S71:S73" si="154">Q71+R71</f>
        <v>215253.31468749998</v>
      </c>
      <c r="T71" s="26">
        <f t="shared" ref="T71:T73" si="155">K71*P71</f>
        <v>25250</v>
      </c>
      <c r="V71" t="s">
        <v>1644</v>
      </c>
    </row>
    <row r="72" spans="1:23" x14ac:dyDescent="0.25">
      <c r="A72" s="31" t="s">
        <v>1658</v>
      </c>
      <c r="B72" t="str">
        <f>VLOOKUP(A72,kurspris!$A$1:$Q$907,2,FALSE)</f>
        <v>Bedömning för och av lärande för åk 7-9 och gymnasium (UK)</v>
      </c>
      <c r="C72" s="31">
        <v>2193</v>
      </c>
      <c r="D72" t="str">
        <f>VLOOKUP(C72,Orgenheter!$A$1:$B$214,2)</f>
        <v xml:space="preserve">TUV </v>
      </c>
      <c r="E72" t="str">
        <f>VLOOKUP(C72,Orgenheter!$A$1:$C$166,3,FALSE)</f>
        <v>Sam</v>
      </c>
      <c r="F72" s="262">
        <f>2.5/11</f>
        <v>0.22727272727272727</v>
      </c>
      <c r="G72">
        <f>VLOOKUP(A72,'Ansvar kurs'!$A$98:$C$1072,2,FALSE)</f>
        <v>5740</v>
      </c>
      <c r="H72" t="str">
        <f>VLOOKUP(G72,Orgenheter!$A$1:$B$214,2)</f>
        <v>NMD</v>
      </c>
      <c r="I72" t="str">
        <f>VLOOKUP(G72,Orgenheter!$A$1:$C$166,3,FALSE)</f>
        <v>TekNat</v>
      </c>
      <c r="J72" s="192">
        <f>IF(ISERROR(VLOOKUP(A72,'Totalt pivot'!$A$5:$C$397,2,FALSE)),0,(VLOOKUP(A72,'Totalt pivot'!$A$5:$C$397,2,FALSE)))</f>
        <v>18.516666666666666</v>
      </c>
      <c r="K72" s="192">
        <f t="shared" si="151"/>
        <v>4.208333333333333</v>
      </c>
      <c r="L72" s="192">
        <f>IF(ISERROR(VLOOKUP(A72,'Totalt pivot'!$A$5:$C$397,3,FALSE)),0,(VLOOKUP(A72,'Totalt pivot'!$A$5:$C$397,3,FALSE)))</f>
        <v>15.739166666666666</v>
      </c>
      <c r="M72" s="192">
        <f t="shared" si="152"/>
        <v>3.5770833333333329</v>
      </c>
      <c r="N72" s="26">
        <f>VLOOKUP(A72,kurspris!$A$1:$Q$907,15)</f>
        <v>26554</v>
      </c>
      <c r="O72" s="26">
        <f>VLOOKUP(A72,kurspris!$A$1:$Q$907,16)</f>
        <v>33465</v>
      </c>
      <c r="P72" s="26">
        <f>VLOOKUP(A72,kurspris!$A$1:$Q$907,17)</f>
        <v>6000</v>
      </c>
      <c r="Q72" s="26">
        <f t="shared" si="153"/>
        <v>231455.17708333331</v>
      </c>
      <c r="R72" s="26">
        <f>(Q72*Prislapp!$R$5)*-1</f>
        <v>-16201.862395833334</v>
      </c>
      <c r="S72" s="26">
        <f t="shared" si="154"/>
        <v>215253.31468749998</v>
      </c>
      <c r="T72" s="26">
        <f t="shared" si="155"/>
        <v>25250</v>
      </c>
      <c r="V72" t="s">
        <v>1644</v>
      </c>
    </row>
    <row r="73" spans="1:23" x14ac:dyDescent="0.25">
      <c r="A73" s="31" t="s">
        <v>1658</v>
      </c>
      <c r="B73" t="str">
        <f>VLOOKUP(A73,kurspris!$A$1:$Q$907,2,FALSE)</f>
        <v>Bedömning för och av lärande för åk 7-9 och gymnasium (UK)</v>
      </c>
      <c r="C73" s="31">
        <v>2300</v>
      </c>
      <c r="D73" t="str">
        <f>VLOOKUP(C73,Orgenheter!$A$1:$B$214,2)</f>
        <v xml:space="preserve">Juridiska institutionen       </v>
      </c>
      <c r="E73" t="str">
        <f>VLOOKUP(C73,Orgenheter!$A$1:$C$166,3,FALSE)</f>
        <v>Sam</v>
      </c>
      <c r="F73" s="262">
        <f>1/11</f>
        <v>9.0909090909090912E-2</v>
      </c>
      <c r="G73">
        <f>VLOOKUP(A73,'Ansvar kurs'!$A$98:$C$1072,2,FALSE)</f>
        <v>5740</v>
      </c>
      <c r="H73" t="str">
        <f>VLOOKUP(G73,Orgenheter!$A$1:$B$214,2)</f>
        <v>NMD</v>
      </c>
      <c r="I73" t="str">
        <f>VLOOKUP(G73,Orgenheter!$A$1:$C$166,3,FALSE)</f>
        <v>TekNat</v>
      </c>
      <c r="J73" s="192">
        <f>IF(ISERROR(VLOOKUP(A73,'Totalt pivot'!$A$5:$C$397,2,FALSE)),0,(VLOOKUP(A73,'Totalt pivot'!$A$5:$C$397,2,FALSE)))</f>
        <v>18.516666666666666</v>
      </c>
      <c r="K73" s="192">
        <f t="shared" si="151"/>
        <v>1.6833333333333333</v>
      </c>
      <c r="L73" s="192">
        <f>IF(ISERROR(VLOOKUP(A73,'Totalt pivot'!$A$5:$C$397,3,FALSE)),0,(VLOOKUP(A73,'Totalt pivot'!$A$5:$C$397,3,FALSE)))</f>
        <v>15.739166666666666</v>
      </c>
      <c r="M73" s="192">
        <f t="shared" si="152"/>
        <v>1.4308333333333334</v>
      </c>
      <c r="N73" s="26">
        <f>VLOOKUP(A73,kurspris!$A$1:$Q$907,15)</f>
        <v>26554</v>
      </c>
      <c r="O73" s="26">
        <f>VLOOKUP(A73,kurspris!$A$1:$Q$907,16)</f>
        <v>33465</v>
      </c>
      <c r="P73" s="26">
        <f>VLOOKUP(A73,kurspris!$A$1:$Q$907,17)</f>
        <v>6000</v>
      </c>
      <c r="Q73" s="26">
        <f t="shared" si="153"/>
        <v>92582.070833333331</v>
      </c>
      <c r="R73" s="26">
        <f>(Q73*Prislapp!$R$5)*-1</f>
        <v>-6480.7449583333337</v>
      </c>
      <c r="S73" s="26">
        <f t="shared" si="154"/>
        <v>86101.325874999995</v>
      </c>
      <c r="T73" s="26">
        <f t="shared" si="155"/>
        <v>10100</v>
      </c>
      <c r="V73" t="s">
        <v>1644</v>
      </c>
    </row>
    <row r="74" spans="1:23" x14ac:dyDescent="0.25">
      <c r="A74" s="60" t="s">
        <v>1715</v>
      </c>
      <c r="B74" t="str">
        <f>VLOOKUP(A74,kurspris!$A$1:$Q$907,2,FALSE)</f>
        <v>Kunskap, undervisning och lärande 2</v>
      </c>
      <c r="C74" s="31">
        <v>1650</v>
      </c>
      <c r="D74" t="str">
        <f>VLOOKUP(C74,Orgenheter!$A$1:$B$214,2)</f>
        <v xml:space="preserve">Estetiska ämnen               </v>
      </c>
      <c r="E74" t="str">
        <f>VLOOKUP(C74,Orgenheter!$A$1:$C$166,3,FALSE)</f>
        <v>Hum</v>
      </c>
      <c r="F74" s="262">
        <f>4/15</f>
        <v>0.26666666666666666</v>
      </c>
      <c r="G74">
        <f>VLOOKUP(A74,'Ansvar kurs'!$A$98:$C$1072,2,FALSE)</f>
        <v>5740</v>
      </c>
      <c r="H74" t="str">
        <f>VLOOKUP(G74,Orgenheter!$A$1:$B$214,2)</f>
        <v>NMD</v>
      </c>
      <c r="I74" t="str">
        <f>VLOOKUP(G74,Orgenheter!$A$1:$C$166,3,FALSE)</f>
        <v>TekNat</v>
      </c>
      <c r="J74" s="192">
        <f>IF(ISERROR(VLOOKUP(A74,'Totalt pivot'!$A$5:$C$397,2,FALSE)),0,(VLOOKUP(A74,'Totalt pivot'!$A$5:$C$397,2,FALSE)))</f>
        <v>0.5</v>
      </c>
      <c r="K74" s="192">
        <f t="shared" ref="K74:K76" si="156">F74*J74</f>
        <v>0.13333333333333333</v>
      </c>
      <c r="L74" s="192">
        <f>IF(ISERROR(VLOOKUP(A74,'Totalt pivot'!$A$5:$C$397,3,FALSE)),0,(VLOOKUP(A74,'Totalt pivot'!$A$5:$C$397,3,FALSE)))</f>
        <v>0.42499999999999999</v>
      </c>
      <c r="M74" s="192">
        <f t="shared" ref="M74:M76" si="157">F74*L74</f>
        <v>0.11333333333333333</v>
      </c>
      <c r="N74" s="26">
        <f>VLOOKUP(A74,kurspris!$A$1:$Q$907,15)</f>
        <v>26554</v>
      </c>
      <c r="O74" s="26">
        <f>VLOOKUP(A74,kurspris!$A$1:$Q$907,16)</f>
        <v>33465</v>
      </c>
      <c r="P74" s="26">
        <f>VLOOKUP(A74,kurspris!$A$1:$Q$907,17)</f>
        <v>6000</v>
      </c>
      <c r="Q74" s="26">
        <f t="shared" ref="Q74:Q76" si="158">K74*N74+M74*O74</f>
        <v>7333.2333333333336</v>
      </c>
      <c r="R74" s="26">
        <f>(Q74*Prislapp!$R$5)*-1</f>
        <v>-513.32633333333342</v>
      </c>
      <c r="S74" s="26">
        <f t="shared" ref="S74:S76" si="159">Q74+R74</f>
        <v>6819.9070000000002</v>
      </c>
      <c r="T74" s="26">
        <f t="shared" ref="T74:T76" si="160">K74*P74</f>
        <v>800</v>
      </c>
    </row>
    <row r="75" spans="1:23" x14ac:dyDescent="0.25">
      <c r="A75" s="60" t="s">
        <v>1715</v>
      </c>
      <c r="B75" t="str">
        <f>VLOOKUP(A75,kurspris!$A$1:$Q$907,2,FALSE)</f>
        <v>Kunskap, undervisning och lärande 2</v>
      </c>
      <c r="C75" s="31">
        <v>2193</v>
      </c>
      <c r="D75" t="str">
        <f>VLOOKUP(C75,Orgenheter!$A$1:$B$214,2)</f>
        <v xml:space="preserve">TUV </v>
      </c>
      <c r="E75" t="str">
        <f>VLOOKUP(C75,Orgenheter!$A$1:$C$166,3,FALSE)</f>
        <v>Sam</v>
      </c>
      <c r="F75" s="262">
        <f>3/15</f>
        <v>0.2</v>
      </c>
      <c r="G75">
        <f>VLOOKUP(A75,'Ansvar kurs'!$A$98:$C$1072,2,FALSE)</f>
        <v>5740</v>
      </c>
      <c r="H75" t="str">
        <f>VLOOKUP(G75,Orgenheter!$A$1:$B$214,2)</f>
        <v>NMD</v>
      </c>
      <c r="I75" t="str">
        <f>VLOOKUP(G75,Orgenheter!$A$1:$C$166,3,FALSE)</f>
        <v>TekNat</v>
      </c>
      <c r="J75" s="192">
        <f>IF(ISERROR(VLOOKUP(A75,'Totalt pivot'!$A$5:$C$397,2,FALSE)),0,(VLOOKUP(A75,'Totalt pivot'!$A$5:$C$397,2,FALSE)))</f>
        <v>0.5</v>
      </c>
      <c r="K75" s="192">
        <f t="shared" si="156"/>
        <v>0.1</v>
      </c>
      <c r="L75" s="192">
        <f>IF(ISERROR(VLOOKUP(A75,'Totalt pivot'!$A$5:$C$397,3,FALSE)),0,(VLOOKUP(A75,'Totalt pivot'!$A$5:$C$397,3,FALSE)))</f>
        <v>0.42499999999999999</v>
      </c>
      <c r="M75" s="192">
        <f t="shared" si="157"/>
        <v>8.5000000000000006E-2</v>
      </c>
      <c r="N75" s="26">
        <f>VLOOKUP(A75,kurspris!$A$1:$Q$907,15)</f>
        <v>26554</v>
      </c>
      <c r="O75" s="26">
        <f>VLOOKUP(A75,kurspris!$A$1:$Q$907,16)</f>
        <v>33465</v>
      </c>
      <c r="P75" s="26">
        <f>VLOOKUP(A75,kurspris!$A$1:$Q$907,17)</f>
        <v>6000</v>
      </c>
      <c r="Q75" s="26">
        <f t="shared" si="158"/>
        <v>5499.9250000000002</v>
      </c>
      <c r="R75" s="26">
        <f>(Q75*Prislapp!$R$5)*-1</f>
        <v>-384.99475000000007</v>
      </c>
      <c r="S75" s="26">
        <f t="shared" si="159"/>
        <v>5114.9302500000003</v>
      </c>
      <c r="T75" s="26">
        <f t="shared" si="160"/>
        <v>600</v>
      </c>
    </row>
    <row r="76" spans="1:23" x14ac:dyDescent="0.25">
      <c r="A76" s="60" t="s">
        <v>1715</v>
      </c>
      <c r="B76" t="str">
        <f>VLOOKUP(A76,kurspris!$A$1:$Q$907,2,FALSE)</f>
        <v>Kunskap, undervisning och lärande 2</v>
      </c>
      <c r="C76" s="31">
        <v>2180</v>
      </c>
      <c r="D76" t="str">
        <f>VLOOKUP(C76,Orgenheter!$A$1:$B$214,2)</f>
        <v xml:space="preserve">Pedagogik                     </v>
      </c>
      <c r="E76" t="str">
        <f>VLOOKUP(C76,Orgenheter!$A$1:$C$166,3,FALSE)</f>
        <v>Sam</v>
      </c>
      <c r="F76" s="262">
        <f>3/15</f>
        <v>0.2</v>
      </c>
      <c r="G76">
        <f>VLOOKUP(A76,'Ansvar kurs'!$A$98:$C$1072,2,FALSE)</f>
        <v>5740</v>
      </c>
      <c r="H76" t="str">
        <f>VLOOKUP(G76,Orgenheter!$A$1:$B$214,2)</f>
        <v>NMD</v>
      </c>
      <c r="I76" t="str">
        <f>VLOOKUP(G76,Orgenheter!$A$1:$C$166,3,FALSE)</f>
        <v>TekNat</v>
      </c>
      <c r="J76" s="192">
        <f>IF(ISERROR(VLOOKUP(A76,'Totalt pivot'!$A$5:$C$397,2,FALSE)),0,(VLOOKUP(A76,'Totalt pivot'!$A$5:$C$397,2,FALSE)))</f>
        <v>0.5</v>
      </c>
      <c r="K76" s="192">
        <f t="shared" si="156"/>
        <v>0.1</v>
      </c>
      <c r="L76" s="192">
        <f>IF(ISERROR(VLOOKUP(A76,'Totalt pivot'!$A$5:$C$397,3,FALSE)),0,(VLOOKUP(A76,'Totalt pivot'!$A$5:$C$397,3,FALSE)))</f>
        <v>0.42499999999999999</v>
      </c>
      <c r="M76" s="192">
        <f t="shared" si="157"/>
        <v>8.5000000000000006E-2</v>
      </c>
      <c r="N76" s="26">
        <f>VLOOKUP(A76,kurspris!$A$1:$Q$907,15)</f>
        <v>26554</v>
      </c>
      <c r="O76" s="26">
        <f>VLOOKUP(A76,kurspris!$A$1:$Q$907,16)</f>
        <v>33465</v>
      </c>
      <c r="P76" s="26">
        <f>VLOOKUP(A76,kurspris!$A$1:$Q$907,17)</f>
        <v>6000</v>
      </c>
      <c r="Q76" s="26">
        <f t="shared" si="158"/>
        <v>5499.9250000000002</v>
      </c>
      <c r="R76" s="26">
        <f>(Q76*Prislapp!$R$5)*-1</f>
        <v>-384.99475000000007</v>
      </c>
      <c r="S76" s="26">
        <f t="shared" si="159"/>
        <v>5114.9302500000003</v>
      </c>
      <c r="T76" s="26">
        <f t="shared" si="160"/>
        <v>600</v>
      </c>
    </row>
    <row r="77" spans="1:23" x14ac:dyDescent="0.25">
      <c r="A77" s="31" t="s">
        <v>1703</v>
      </c>
      <c r="B77" t="str">
        <f>VLOOKUP(A77,kurspris!$A$1:$Q$907,2,FALSE)</f>
        <v>Läraryrkets dimensioner för förskoleklass och grundskolans årskurs 1-3 (VFU)</v>
      </c>
      <c r="C77" s="31">
        <v>1620</v>
      </c>
      <c r="D77" t="str">
        <f>VLOOKUP(C77,Orgenheter!$A$1:$B$214,2)</f>
        <v>Inst för språkstudier</v>
      </c>
      <c r="E77" t="str">
        <f>VLOOKUP(C77,Orgenheter!$A$1:$C$166,3,FALSE)</f>
        <v>Hum</v>
      </c>
      <c r="F77" s="262">
        <f>8/22.5</f>
        <v>0.35555555555555557</v>
      </c>
      <c r="G77">
        <f>VLOOKUP(A77,'Ansvar kurs'!$A$98:$C$1072,2,FALSE)</f>
        <v>5740</v>
      </c>
      <c r="H77" t="str">
        <f>VLOOKUP(G77,Orgenheter!$A$1:$B$214,2)</f>
        <v>NMD</v>
      </c>
      <c r="I77" t="str">
        <f>VLOOKUP(G77,Orgenheter!$A$1:$C$166,3,FALSE)</f>
        <v>TekNat</v>
      </c>
      <c r="J77" s="192">
        <f>IF(ISERROR(VLOOKUP(A77,'Totalt pivot'!$A$5:$C$397,2,FALSE)),0,(VLOOKUP(A77,'Totalt pivot'!$A$5:$C$397,2,FALSE)))</f>
        <v>15.75</v>
      </c>
      <c r="K77" s="192">
        <f t="shared" ref="K77:K78" si="161">F77*J77</f>
        <v>5.6000000000000005</v>
      </c>
      <c r="L77" s="192">
        <f>IF(ISERROR(VLOOKUP(A77,'Totalt pivot'!$A$5:$C$397,3,FALSE)),0,(VLOOKUP(A77,'Totalt pivot'!$A$5:$C$397,3,FALSE)))</f>
        <v>13.387499999999999</v>
      </c>
      <c r="M77" s="192">
        <f t="shared" ref="M77:M78" si="162">F77*L77</f>
        <v>4.76</v>
      </c>
      <c r="N77" s="26">
        <f>VLOOKUP(A77,kurspris!$A$1:$Q$907,15)</f>
        <v>25235</v>
      </c>
      <c r="O77" s="26">
        <f>VLOOKUP(A77,kurspris!$A$1:$Q$907,16)</f>
        <v>27976</v>
      </c>
      <c r="P77" s="26">
        <f>VLOOKUP(A77,kurspris!$A$1:$Q$907,17)</f>
        <v>3600</v>
      </c>
      <c r="Q77" s="26">
        <f t="shared" ref="Q77:Q78" si="163">K77*N77+M77*O77</f>
        <v>274481.76</v>
      </c>
      <c r="R77" s="26">
        <f>(Q77*Prislapp!$R$5)*-1</f>
        <v>-19213.723200000004</v>
      </c>
      <c r="S77" s="26">
        <f t="shared" ref="S77:S78" si="164">Q77+R77</f>
        <v>255268.0368</v>
      </c>
      <c r="T77" s="26">
        <f t="shared" ref="T77:T78" si="165">K77*P77</f>
        <v>20160.000000000004</v>
      </c>
    </row>
    <row r="78" spans="1:23" x14ac:dyDescent="0.25">
      <c r="A78" s="31" t="s">
        <v>1703</v>
      </c>
      <c r="B78" t="str">
        <f>VLOOKUP(A78,kurspris!$A$1:$Q$907,2,FALSE)</f>
        <v>Läraryrkets dimensioner för förskoleklass och grundskolans årskurs 1-3 (VFU)</v>
      </c>
      <c r="C78" s="31">
        <v>2180</v>
      </c>
      <c r="D78" t="str">
        <f>VLOOKUP(C78,Orgenheter!$A$1:$B$214,2)</f>
        <v xml:space="preserve">Pedagogik                     </v>
      </c>
      <c r="E78" t="str">
        <f>VLOOKUP(C78,Orgenheter!$A$1:$C$166,3,FALSE)</f>
        <v>Sam</v>
      </c>
      <c r="F78" s="262">
        <f>3/22.5</f>
        <v>0.13333333333333333</v>
      </c>
      <c r="G78">
        <f>VLOOKUP(A78,'Ansvar kurs'!$A$98:$C$1072,2,FALSE)</f>
        <v>5740</v>
      </c>
      <c r="H78" t="str">
        <f>VLOOKUP(G78,Orgenheter!$A$1:$B$214,2)</f>
        <v>NMD</v>
      </c>
      <c r="I78" t="str">
        <f>VLOOKUP(G78,Orgenheter!$A$1:$C$166,3,FALSE)</f>
        <v>TekNat</v>
      </c>
      <c r="J78" s="192">
        <f>IF(ISERROR(VLOOKUP(A78,'Totalt pivot'!$A$5:$C$397,2,FALSE)),0,(VLOOKUP(A78,'Totalt pivot'!$A$5:$C$397,2,FALSE)))</f>
        <v>15.75</v>
      </c>
      <c r="K78" s="192">
        <f t="shared" si="161"/>
        <v>2.1</v>
      </c>
      <c r="L78" s="192">
        <f>IF(ISERROR(VLOOKUP(A78,'Totalt pivot'!$A$5:$C$397,3,FALSE)),0,(VLOOKUP(A78,'Totalt pivot'!$A$5:$C$397,3,FALSE)))</f>
        <v>13.387499999999999</v>
      </c>
      <c r="M78" s="192">
        <f t="shared" si="162"/>
        <v>1.7849999999999999</v>
      </c>
      <c r="N78" s="26">
        <f>VLOOKUP(A78,kurspris!$A$1:$Q$907,15)</f>
        <v>25235</v>
      </c>
      <c r="O78" s="26">
        <f>VLOOKUP(A78,kurspris!$A$1:$Q$907,16)</f>
        <v>27976</v>
      </c>
      <c r="P78" s="26">
        <f>VLOOKUP(A78,kurspris!$A$1:$Q$907,17)</f>
        <v>3600</v>
      </c>
      <c r="Q78" s="26">
        <f t="shared" si="163"/>
        <v>102930.66</v>
      </c>
      <c r="R78" s="26">
        <f>(Q78*Prislapp!$R$5)*-1</f>
        <v>-7205.146200000001</v>
      </c>
      <c r="S78" s="26">
        <f t="shared" si="164"/>
        <v>95725.513800000001</v>
      </c>
      <c r="T78" s="26">
        <f t="shared" si="165"/>
        <v>7560</v>
      </c>
    </row>
    <row r="79" spans="1:23" x14ac:dyDescent="0.25">
      <c r="A79" s="31" t="s">
        <v>1702</v>
      </c>
      <c r="B79" t="str">
        <f>VLOOKUP(A79,kurspris!$A$1:$Q$907,2,FALSE)</f>
        <v>Läraryrkets dimensioner för grundskolans årskurs 4-6 (VFU)</v>
      </c>
      <c r="C79" s="31">
        <v>1620</v>
      </c>
      <c r="D79" t="str">
        <f>VLOOKUP(C79,Orgenheter!$A$1:$B$214,2)</f>
        <v>Inst för språkstudier</v>
      </c>
      <c r="E79" t="str">
        <f>VLOOKUP(C79,Orgenheter!$A$1:$C$166,3,FALSE)</f>
        <v>Hum</v>
      </c>
      <c r="F79" s="262">
        <f>9/22.5</f>
        <v>0.4</v>
      </c>
      <c r="G79">
        <f>VLOOKUP(A79,'Ansvar kurs'!$A$98:$C$1072,2,FALSE)</f>
        <v>5740</v>
      </c>
      <c r="H79" t="str">
        <f>VLOOKUP(G79,Orgenheter!$A$1:$B$214,2)</f>
        <v>NMD</v>
      </c>
      <c r="I79" t="str">
        <f>VLOOKUP(G79,Orgenheter!$A$1:$C$166,3,FALSE)</f>
        <v>TekNat</v>
      </c>
      <c r="J79" s="192">
        <f>IF(ISERROR(VLOOKUP(A79,'Totalt pivot'!$A$5:$C$397,2,FALSE)),0,(VLOOKUP(A79,'Totalt pivot'!$A$5:$C$397,2,FALSE)))</f>
        <v>7.125</v>
      </c>
      <c r="K79" s="192">
        <f t="shared" ref="K79" si="166">F79*J79</f>
        <v>2.85</v>
      </c>
      <c r="L79" s="192">
        <f>IF(ISERROR(VLOOKUP(A79,'Totalt pivot'!$A$5:$C$397,3,FALSE)),0,(VLOOKUP(A79,'Totalt pivot'!$A$5:$C$397,3,FALSE)))</f>
        <v>6.0562499999999995</v>
      </c>
      <c r="M79" s="192">
        <f t="shared" ref="M79" si="167">F79*L79</f>
        <v>2.4224999999999999</v>
      </c>
      <c r="N79" s="26">
        <f>VLOOKUP(A79,kurspris!$A$1:$Q$907,15)</f>
        <v>25235</v>
      </c>
      <c r="O79" s="26">
        <f>VLOOKUP(A79,kurspris!$A$1:$Q$907,16)</f>
        <v>27976</v>
      </c>
      <c r="P79" s="26">
        <f>VLOOKUP(A79,kurspris!$A$1:$Q$907,17)</f>
        <v>3600</v>
      </c>
      <c r="Q79" s="26">
        <f t="shared" ref="Q79" si="168">K79*N79+M79*O79</f>
        <v>139691.60999999999</v>
      </c>
      <c r="R79" s="26">
        <f>(Q79*Prislapp!$R$5)*-1</f>
        <v>-9778.4127000000008</v>
      </c>
      <c r="S79" s="26">
        <f t="shared" ref="S79" si="169">Q79+R79</f>
        <v>129913.19729999999</v>
      </c>
      <c r="T79" s="26">
        <f t="shared" ref="T79" si="170">K79*P79</f>
        <v>10260</v>
      </c>
    </row>
    <row r="80" spans="1:23" x14ac:dyDescent="0.25">
      <c r="A80" s="31" t="s">
        <v>1806</v>
      </c>
      <c r="B80" t="str">
        <f>VLOOKUP(A80,kurspris!$A$1:$Q$907,2,FALSE)</f>
        <v>Samhällsorientering för förskolan</v>
      </c>
      <c r="C80" s="31">
        <v>2180</v>
      </c>
      <c r="D80" t="str">
        <f>VLOOKUP(C80,Orgenheter!$A$1:$B$214,2)</f>
        <v xml:space="preserve">Pedagogik                     </v>
      </c>
      <c r="E80" t="str">
        <f>VLOOKUP(C80,Orgenheter!$A$1:$C$166,3,FALSE)</f>
        <v>Sam</v>
      </c>
      <c r="F80" s="262">
        <f>4.5/15</f>
        <v>0.3</v>
      </c>
      <c r="G80">
        <f>VLOOKUP(A80,'Ansvar kurs'!$A$98:$C$1072,2,FALSE)</f>
        <v>2193</v>
      </c>
      <c r="H80" t="str">
        <f>VLOOKUP(G80,Orgenheter!$A$1:$B$214,2)</f>
        <v xml:space="preserve">TUV </v>
      </c>
      <c r="I80" t="str">
        <f>VLOOKUP(G80,Orgenheter!$A$1:$C$166,3,FALSE)</f>
        <v>Sam</v>
      </c>
      <c r="J80" s="192">
        <f>IF(ISERROR(VLOOKUP(A80,'Totalt pivot'!$A$5:$C$397,2,FALSE)),0,(VLOOKUP(A80,'Totalt pivot'!$A$5:$C$397,2,FALSE)))</f>
        <v>13.5</v>
      </c>
      <c r="K80" s="192">
        <f t="shared" ref="K80:K81" si="171">F80*J80</f>
        <v>4.05</v>
      </c>
      <c r="L80" s="192">
        <f>IF(ISERROR(VLOOKUP(A80,'Totalt pivot'!$A$5:$C$397,3,FALSE)),0,(VLOOKUP(A80,'Totalt pivot'!$A$5:$C$397,3,FALSE)))</f>
        <v>11.475</v>
      </c>
      <c r="M80" s="192">
        <f t="shared" ref="M80:M81" si="172">F80*L80</f>
        <v>3.4424999999999999</v>
      </c>
      <c r="N80" s="26">
        <f>VLOOKUP(A80,kurspris!$A$1:$Q$907,15)</f>
        <v>20766</v>
      </c>
      <c r="O80" s="26">
        <f>VLOOKUP(A80,kurspris!$A$1:$Q$907,16)</f>
        <v>17442</v>
      </c>
      <c r="P80" s="26">
        <f>VLOOKUP(A80,kurspris!$A$1:$Q$907,17)</f>
        <v>6000</v>
      </c>
      <c r="Q80" s="26">
        <f t="shared" ref="Q80:Q81" si="173">K80*N80+M80*O80</f>
        <v>144146.38500000001</v>
      </c>
      <c r="R80" s="26">
        <f>(Q80*Prislapp!$R$5)*-1</f>
        <v>-10090.246950000002</v>
      </c>
      <c r="S80" s="26">
        <f t="shared" ref="S80:S81" si="174">Q80+R80</f>
        <v>134056.13805000001</v>
      </c>
      <c r="T80" s="26">
        <f t="shared" ref="T80:T81" si="175">K80*P80</f>
        <v>24300</v>
      </c>
    </row>
    <row r="81" spans="1:23" x14ac:dyDescent="0.25">
      <c r="A81" s="31" t="s">
        <v>1806</v>
      </c>
      <c r="B81" t="str">
        <f>VLOOKUP(A81,kurspris!$A$1:$Q$907,2,FALSE)</f>
        <v>Samhällsorientering för förskolan</v>
      </c>
      <c r="C81" s="31">
        <v>5740</v>
      </c>
      <c r="D81" t="str">
        <f>VLOOKUP(C81,Orgenheter!$A$1:$B$214,2)</f>
        <v>NMD</v>
      </c>
      <c r="E81" t="str">
        <f>VLOOKUP(C81,Orgenheter!$A$1:$C$166,3,FALSE)</f>
        <v>TekNat</v>
      </c>
      <c r="F81" s="262">
        <f>2/15</f>
        <v>0.13333333333333333</v>
      </c>
      <c r="G81">
        <f>VLOOKUP(A81,'Ansvar kurs'!$A$98:$C$1072,2,FALSE)</f>
        <v>2193</v>
      </c>
      <c r="H81" t="str">
        <f>VLOOKUP(G81,Orgenheter!$A$1:$B$214,2)</f>
        <v xml:space="preserve">TUV </v>
      </c>
      <c r="I81" t="str">
        <f>VLOOKUP(G81,Orgenheter!$A$1:$C$166,3,FALSE)</f>
        <v>Sam</v>
      </c>
      <c r="J81" s="192">
        <f>IF(ISERROR(VLOOKUP(A81,'Totalt pivot'!$A$5:$C$397,2,FALSE)),0,(VLOOKUP(A81,'Totalt pivot'!$A$5:$C$397,2,FALSE)))</f>
        <v>13.5</v>
      </c>
      <c r="K81" s="192">
        <f t="shared" si="171"/>
        <v>1.8</v>
      </c>
      <c r="L81" s="192">
        <f>IF(ISERROR(VLOOKUP(A81,'Totalt pivot'!$A$5:$C$397,3,FALSE)),0,(VLOOKUP(A81,'Totalt pivot'!$A$5:$C$397,3,FALSE)))</f>
        <v>11.475</v>
      </c>
      <c r="M81" s="192">
        <f t="shared" si="172"/>
        <v>1.53</v>
      </c>
      <c r="N81" s="26">
        <f>VLOOKUP(A81,kurspris!$A$1:$Q$907,15)</f>
        <v>20766</v>
      </c>
      <c r="O81" s="26">
        <f>VLOOKUP(A81,kurspris!$A$1:$Q$907,16)</f>
        <v>17442</v>
      </c>
      <c r="P81" s="26">
        <f>VLOOKUP(A81,kurspris!$A$1:$Q$907,17)</f>
        <v>6000</v>
      </c>
      <c r="Q81" s="26">
        <f t="shared" si="173"/>
        <v>64065.060000000005</v>
      </c>
      <c r="R81" s="26">
        <f>(Q81*Prislapp!$R$5)*-1</f>
        <v>-4484.5542000000005</v>
      </c>
      <c r="S81" s="26">
        <f t="shared" si="174"/>
        <v>59580.505800000006</v>
      </c>
      <c r="T81" s="26">
        <f t="shared" si="175"/>
        <v>10800</v>
      </c>
    </row>
    <row r="82" spans="1:23" x14ac:dyDescent="0.25">
      <c r="A82" s="31" t="s">
        <v>1807</v>
      </c>
      <c r="B82" t="str">
        <f>VLOOKUP(A82,kurspris!$A$1:$Q$907,2,FALSE)</f>
        <v>Profession och vetenskap för förskolan (UK)</v>
      </c>
      <c r="C82" s="31">
        <v>2180</v>
      </c>
      <c r="D82" t="str">
        <f>VLOOKUP(C82,Orgenheter!$A$1:$B$214,2)</f>
        <v xml:space="preserve">Pedagogik                     </v>
      </c>
      <c r="E82" t="str">
        <f>VLOOKUP(C82,Orgenheter!$A$1:$C$166,3,FALSE)</f>
        <v>Sam</v>
      </c>
      <c r="F82" s="262">
        <f>3.5/7.5</f>
        <v>0.46666666666666667</v>
      </c>
      <c r="G82">
        <f>VLOOKUP(A82,'Ansvar kurs'!$A$98:$C$1072,2,FALSE)</f>
        <v>2193</v>
      </c>
      <c r="H82" t="str">
        <f>VLOOKUP(G82,Orgenheter!$A$1:$B$214,2)</f>
        <v xml:space="preserve">TUV </v>
      </c>
      <c r="I82" t="str">
        <f>VLOOKUP(G82,Orgenheter!$A$1:$C$166,3,FALSE)</f>
        <v>Sam</v>
      </c>
      <c r="J82" s="192">
        <f>IF(ISERROR(VLOOKUP(A82,'Totalt pivot'!$A$5:$C$397,2,FALSE)),0,(VLOOKUP(A82,'Totalt pivot'!$A$5:$C$397,2,FALSE)))</f>
        <v>0</v>
      </c>
      <c r="K82" s="192">
        <f t="shared" ref="K82:K83" si="176">F82*J82</f>
        <v>0</v>
      </c>
      <c r="L82" s="192">
        <f>IF(ISERROR(VLOOKUP(A82,'Totalt pivot'!$A$5:$C$397,3,FALSE)),0,(VLOOKUP(A82,'Totalt pivot'!$A$5:$C$397,3,FALSE)))</f>
        <v>0</v>
      </c>
      <c r="M82" s="192">
        <f t="shared" ref="M82:M83" si="177">F82*L82</f>
        <v>0</v>
      </c>
      <c r="N82" s="26">
        <f>VLOOKUP(A82,kurspris!$A$1:$Q$907,15)</f>
        <v>26554</v>
      </c>
      <c r="O82" s="26">
        <f>VLOOKUP(A82,kurspris!$A$1:$Q$907,16)</f>
        <v>33465</v>
      </c>
      <c r="P82" s="26">
        <f>VLOOKUP(A82,kurspris!$A$1:$Q$907,17)</f>
        <v>6000</v>
      </c>
      <c r="Q82" s="26">
        <f t="shared" ref="Q82:Q83" si="178">K82*N82+M82*O82</f>
        <v>0</v>
      </c>
      <c r="R82" s="26">
        <f>(Q82*Prislapp!$R$5)*-1</f>
        <v>0</v>
      </c>
      <c r="S82" s="26">
        <f t="shared" ref="S82:S83" si="179">Q82+R82</f>
        <v>0</v>
      </c>
      <c r="T82" s="26">
        <f t="shared" ref="T82:T83" si="180">K82*P82</f>
        <v>0</v>
      </c>
      <c r="V82" t="s">
        <v>1863</v>
      </c>
    </row>
    <row r="83" spans="1:23" x14ac:dyDescent="0.25">
      <c r="A83" s="31" t="s">
        <v>1808</v>
      </c>
      <c r="B83" t="str">
        <f>VLOOKUP(A83,kurspris!$A$1:$Q$907,2,FALSE)</f>
        <v>Profession och vetenskap för fritidshem (UK)</v>
      </c>
      <c r="C83" s="31">
        <v>2180</v>
      </c>
      <c r="D83" t="str">
        <f>VLOOKUP(C83,Orgenheter!$A$1:$B$214,2)</f>
        <v xml:space="preserve">Pedagogik                     </v>
      </c>
      <c r="E83" t="str">
        <f>VLOOKUP(C83,Orgenheter!$A$1:$C$166,3,FALSE)</f>
        <v>Sam</v>
      </c>
      <c r="F83" s="262">
        <f>3.5/7.5</f>
        <v>0.46666666666666667</v>
      </c>
      <c r="G83">
        <f>VLOOKUP(A83,'Ansvar kurs'!$A$98:$C$1072,2,FALSE)</f>
        <v>2193</v>
      </c>
      <c r="H83" t="str">
        <f>VLOOKUP(G83,Orgenheter!$A$1:$B$214,2)</f>
        <v xml:space="preserve">TUV </v>
      </c>
      <c r="I83" t="str">
        <f>VLOOKUP(G83,Orgenheter!$A$1:$C$166,3,FALSE)</f>
        <v>Sam</v>
      </c>
      <c r="J83" s="192">
        <f>IF(ISERROR(VLOOKUP(A83,'Totalt pivot'!$A$5:$C$397,2,FALSE)),0,(VLOOKUP(A83,'Totalt pivot'!$A$5:$C$397,2,FALSE)))</f>
        <v>2.625</v>
      </c>
      <c r="K83" s="192">
        <f t="shared" si="176"/>
        <v>1.2250000000000001</v>
      </c>
      <c r="L83" s="192">
        <f>IF(ISERROR(VLOOKUP(A83,'Totalt pivot'!$A$5:$C$397,3,FALSE)),0,(VLOOKUP(A83,'Totalt pivot'!$A$5:$C$397,3,FALSE)))</f>
        <v>2.2312499999999997</v>
      </c>
      <c r="M83" s="192">
        <f t="shared" si="177"/>
        <v>1.0412499999999998</v>
      </c>
      <c r="N83" s="26">
        <f>VLOOKUP(A83,kurspris!$A$1:$Q$907,15)</f>
        <v>26554</v>
      </c>
      <c r="O83" s="26">
        <f>VLOOKUP(A83,kurspris!$A$1:$Q$907,16)</f>
        <v>33465</v>
      </c>
      <c r="P83" s="26">
        <f>VLOOKUP(A83,kurspris!$A$1:$Q$907,17)</f>
        <v>6000</v>
      </c>
      <c r="Q83" s="26">
        <f t="shared" si="178"/>
        <v>67374.081249999988</v>
      </c>
      <c r="R83" s="26">
        <f>(Q83*Prislapp!$R$5)*-1</f>
        <v>-4716.1856874999994</v>
      </c>
      <c r="S83" s="26">
        <f t="shared" si="179"/>
        <v>62657.895562499987</v>
      </c>
      <c r="T83" s="26">
        <f t="shared" si="180"/>
        <v>7350.0000000000009</v>
      </c>
      <c r="V83" t="s">
        <v>1863</v>
      </c>
    </row>
    <row r="84" spans="1:23" x14ac:dyDescent="0.25">
      <c r="A84" s="60" t="s">
        <v>1829</v>
      </c>
      <c r="B84" t="str">
        <f>VLOOKUP(A84,kurspris!$A$1:$Q$907,2,FALSE)</f>
        <v>Grundlärare som profession (UK)</v>
      </c>
      <c r="C84" s="31">
        <v>1620</v>
      </c>
      <c r="D84" t="str">
        <f>VLOOKUP(C84,Orgenheter!$A$1:$B$214,2)</f>
        <v>Inst för språkstudier</v>
      </c>
      <c r="E84" t="str">
        <f>VLOOKUP(C84,Orgenheter!$A$1:$C$166,3,FALSE)</f>
        <v>Hum</v>
      </c>
      <c r="F84" s="262">
        <f>2.5/6</f>
        <v>0.41666666666666669</v>
      </c>
      <c r="G84">
        <f>VLOOKUP(A84,'Ansvar kurs'!$A$98:$C$1072,2,FALSE)</f>
        <v>5740</v>
      </c>
      <c r="H84" t="str">
        <f>VLOOKUP(G84,Orgenheter!$A$1:$B$214,2)</f>
        <v>NMD</v>
      </c>
      <c r="I84" t="str">
        <f>VLOOKUP(G84,Orgenheter!$A$1:$C$166,3,FALSE)</f>
        <v>TekNat</v>
      </c>
      <c r="J84" s="192">
        <f>IF(ISERROR(VLOOKUP(A84,'Totalt pivot'!$A$5:$C$397,2,FALSE)),0,(VLOOKUP(A84,'Totalt pivot'!$A$5:$C$397,2,FALSE)))</f>
        <v>13.2</v>
      </c>
      <c r="K84" s="192">
        <f t="shared" ref="K84:K89" si="181">F84*J84</f>
        <v>5.5</v>
      </c>
      <c r="L84" s="192">
        <f>IF(ISERROR(VLOOKUP(A84,'Totalt pivot'!$A$5:$C$397,3,FALSE)),0,(VLOOKUP(A84,'Totalt pivot'!$A$5:$C$397,3,FALSE)))</f>
        <v>11.22</v>
      </c>
      <c r="M84" s="192">
        <f t="shared" ref="M84:M89" si="182">F84*L84</f>
        <v>4.6750000000000007</v>
      </c>
      <c r="N84" s="26">
        <f>VLOOKUP(A84,kurspris!$A$1:$Q$907,15)</f>
        <v>26554</v>
      </c>
      <c r="O84" s="26">
        <f>VLOOKUP(A84,kurspris!$A$1:$Q$907,16)</f>
        <v>33465</v>
      </c>
      <c r="P84" s="26">
        <f>VLOOKUP(A84,kurspris!$A$1:$Q$907,17)</f>
        <v>6000</v>
      </c>
      <c r="Q84" s="26">
        <f t="shared" ref="Q84:Q89" si="183">K84*N84+M84*O84</f>
        <v>302495.875</v>
      </c>
      <c r="R84" s="26">
        <f>(Q84*Prislapp!$R$5)*-1</f>
        <v>-21174.71125</v>
      </c>
      <c r="S84" s="26">
        <f t="shared" ref="S84:S89" si="184">Q84+R84</f>
        <v>281321.16375000001</v>
      </c>
      <c r="T84" s="26">
        <f t="shared" ref="T84:T89" si="185">K84*P84</f>
        <v>33000</v>
      </c>
      <c r="V84" t="s">
        <v>1112</v>
      </c>
    </row>
    <row r="85" spans="1:23" x14ac:dyDescent="0.25">
      <c r="A85" s="60" t="s">
        <v>1829</v>
      </c>
      <c r="B85" t="str">
        <f>VLOOKUP(A85,kurspris!$A$1:$Q$907,2,FALSE)</f>
        <v>Grundlärare som profession (UK)</v>
      </c>
      <c r="C85" s="31">
        <v>1650</v>
      </c>
      <c r="D85" t="str">
        <f>VLOOKUP(C85,Orgenheter!$A$1:$B$214,2)</f>
        <v xml:space="preserve">Estetiska ämnen               </v>
      </c>
      <c r="E85" t="str">
        <f>VLOOKUP(C85,Orgenheter!$A$1:$C$166,3,FALSE)</f>
        <v>Hum</v>
      </c>
      <c r="F85" s="262">
        <f>1/6</f>
        <v>0.16666666666666666</v>
      </c>
      <c r="G85">
        <f>VLOOKUP(A85,'Ansvar kurs'!$A$98:$C$1072,2,FALSE)</f>
        <v>5740</v>
      </c>
      <c r="H85" t="str">
        <f>VLOOKUP(G85,Orgenheter!$A$1:$B$214,2)</f>
        <v>NMD</v>
      </c>
      <c r="I85" t="str">
        <f>VLOOKUP(G85,Orgenheter!$A$1:$C$166,3,FALSE)</f>
        <v>TekNat</v>
      </c>
      <c r="J85" s="192">
        <f>IF(ISERROR(VLOOKUP(A85,'Totalt pivot'!$A$5:$C$397,2,FALSE)),0,(VLOOKUP(A85,'Totalt pivot'!$A$5:$C$397,2,FALSE)))</f>
        <v>13.2</v>
      </c>
      <c r="K85" s="192">
        <f t="shared" si="181"/>
        <v>2.1999999999999997</v>
      </c>
      <c r="L85" s="192">
        <f>IF(ISERROR(VLOOKUP(A85,'Totalt pivot'!$A$5:$C$397,3,FALSE)),0,(VLOOKUP(A85,'Totalt pivot'!$A$5:$C$397,3,FALSE)))</f>
        <v>11.22</v>
      </c>
      <c r="M85" s="192">
        <f t="shared" si="182"/>
        <v>1.87</v>
      </c>
      <c r="N85" s="26">
        <f>VLOOKUP(A85,kurspris!$A$1:$Q$907,15)</f>
        <v>26554</v>
      </c>
      <c r="O85" s="26">
        <f>VLOOKUP(A85,kurspris!$A$1:$Q$907,16)</f>
        <v>33465</v>
      </c>
      <c r="P85" s="26">
        <f>VLOOKUP(A85,kurspris!$A$1:$Q$907,17)</f>
        <v>6000</v>
      </c>
      <c r="Q85" s="26">
        <f t="shared" si="183"/>
        <v>120998.35</v>
      </c>
      <c r="R85" s="26">
        <f>(Q85*Prislapp!$R$5)*-1</f>
        <v>-8469.8845000000019</v>
      </c>
      <c r="S85" s="26">
        <f t="shared" si="184"/>
        <v>112528.46550000001</v>
      </c>
      <c r="T85" s="26">
        <f t="shared" si="185"/>
        <v>13199.999999999998</v>
      </c>
      <c r="V85" t="s">
        <v>1112</v>
      </c>
    </row>
    <row r="86" spans="1:23" x14ac:dyDescent="0.25">
      <c r="A86" s="31" t="s">
        <v>1827</v>
      </c>
      <c r="B86" t="str">
        <f>VLOOKUP(A86,kurspris!$A$1:$Q$907,2,FALSE)</f>
        <v>Profession och vetenskap för åk 4-6 (UK III)</v>
      </c>
      <c r="C86" s="31">
        <v>1620</v>
      </c>
      <c r="D86" t="str">
        <f>VLOOKUP(C86,Orgenheter!$A$1:$B$214,2)</f>
        <v>Inst för språkstudier</v>
      </c>
      <c r="E86" t="str">
        <f>VLOOKUP(C86,Orgenheter!$A$1:$C$166,3,FALSE)</f>
        <v>Hum</v>
      </c>
      <c r="F86" s="262">
        <f>3/7.5</f>
        <v>0.4</v>
      </c>
      <c r="G86">
        <f>VLOOKUP(A86,'Ansvar kurs'!$A$98:$C$1072,2,FALSE)</f>
        <v>5740</v>
      </c>
      <c r="H86" t="str">
        <f>VLOOKUP(G86,Orgenheter!$A$1:$B$214,2)</f>
        <v>NMD</v>
      </c>
      <c r="I86" t="str">
        <f>VLOOKUP(G86,Orgenheter!$A$1:$C$166,3,FALSE)</f>
        <v>TekNat</v>
      </c>
      <c r="J86" s="192">
        <f>IF(ISERROR(VLOOKUP(A86,'Totalt pivot'!$A$5:$C$397,2,FALSE)),0,(VLOOKUP(A86,'Totalt pivot'!$A$5:$C$397,2,FALSE)))</f>
        <v>3.25</v>
      </c>
      <c r="K86" s="192">
        <f t="shared" si="181"/>
        <v>1.3</v>
      </c>
      <c r="L86" s="192">
        <f>IF(ISERROR(VLOOKUP(A86,'Totalt pivot'!$A$5:$C$397,3,FALSE)),0,(VLOOKUP(A86,'Totalt pivot'!$A$5:$C$397,3,FALSE)))</f>
        <v>2.7624999999999997</v>
      </c>
      <c r="M86" s="192">
        <f t="shared" si="182"/>
        <v>1.105</v>
      </c>
      <c r="N86" s="26">
        <f>VLOOKUP(A86,kurspris!$A$1:$Q$907,15)</f>
        <v>26554</v>
      </c>
      <c r="O86" s="26">
        <f>VLOOKUP(A86,kurspris!$A$1:$Q$907,16)</f>
        <v>33465</v>
      </c>
      <c r="P86" s="26">
        <f>VLOOKUP(A86,kurspris!$A$1:$Q$907,17)</f>
        <v>6000</v>
      </c>
      <c r="Q86" s="26">
        <f t="shared" si="183"/>
        <v>71499.024999999994</v>
      </c>
      <c r="R86" s="26">
        <f>(Q86*Prislapp!$R$5)*-1</f>
        <v>-5004.9317499999997</v>
      </c>
      <c r="S86" s="26">
        <f t="shared" si="184"/>
        <v>66494.093249999991</v>
      </c>
      <c r="T86" s="26">
        <f t="shared" si="185"/>
        <v>7800</v>
      </c>
      <c r="V86" s="37" t="s">
        <v>975</v>
      </c>
      <c r="W86">
        <v>141004</v>
      </c>
    </row>
    <row r="87" spans="1:23" x14ac:dyDescent="0.25">
      <c r="A87" s="31" t="s">
        <v>1828</v>
      </c>
      <c r="B87" t="str">
        <f>VLOOKUP(A87,kurspris!$A$1:$Q$907,2,FALSE)</f>
        <v>Profession och vetenskap för förskoleklass och grundskolans årskurs 1-3 (UK)</v>
      </c>
      <c r="C87" s="31">
        <v>1620</v>
      </c>
      <c r="D87" t="str">
        <f>VLOOKUP(C87,Orgenheter!$A$1:$B$214,2)</f>
        <v>Inst för språkstudier</v>
      </c>
      <c r="E87" t="str">
        <f>VLOOKUP(C87,Orgenheter!$A$1:$C$166,3,FALSE)</f>
        <v>Hum</v>
      </c>
      <c r="F87" s="262">
        <f>3/7.5</f>
        <v>0.4</v>
      </c>
      <c r="G87">
        <f>VLOOKUP(A87,'Ansvar kurs'!$A$98:$C$1072,2,FALSE)</f>
        <v>5740</v>
      </c>
      <c r="H87" t="str">
        <f>VLOOKUP(G87,Orgenheter!$A$1:$B$214,2)</f>
        <v>NMD</v>
      </c>
      <c r="I87" t="str">
        <f>VLOOKUP(G87,Orgenheter!$A$1:$C$166,3,FALSE)</f>
        <v>TekNat</v>
      </c>
      <c r="J87" s="192">
        <f>IF(ISERROR(VLOOKUP(A87,'Totalt pivot'!$A$5:$C$397,2,FALSE)),0,(VLOOKUP(A87,'Totalt pivot'!$A$5:$C$397,2,FALSE)))</f>
        <v>3.375</v>
      </c>
      <c r="K87" s="192">
        <f t="shared" si="181"/>
        <v>1.35</v>
      </c>
      <c r="L87" s="192">
        <f>IF(ISERROR(VLOOKUP(A87,'Totalt pivot'!$A$5:$C$397,3,FALSE)),0,(VLOOKUP(A87,'Totalt pivot'!$A$5:$C$397,3,FALSE)))</f>
        <v>2.8687499999999999</v>
      </c>
      <c r="M87" s="192">
        <f t="shared" si="182"/>
        <v>1.1475</v>
      </c>
      <c r="N87" s="26">
        <f>VLOOKUP(A87,kurspris!$A$1:$Q$907,15)</f>
        <v>26554</v>
      </c>
      <c r="O87" s="26">
        <f>VLOOKUP(A87,kurspris!$A$1:$Q$907,16)</f>
        <v>33465</v>
      </c>
      <c r="P87" s="26">
        <f>VLOOKUP(A87,kurspris!$A$1:$Q$907,17)</f>
        <v>6000</v>
      </c>
      <c r="Q87" s="26">
        <f t="shared" si="183"/>
        <v>74248.987500000003</v>
      </c>
      <c r="R87" s="26">
        <f>(Q87*Prislapp!$R$5)*-1</f>
        <v>-5197.4291250000006</v>
      </c>
      <c r="S87" s="26">
        <f t="shared" si="184"/>
        <v>69051.558375000008</v>
      </c>
      <c r="T87" s="26">
        <f t="shared" si="185"/>
        <v>8100.0000000000009</v>
      </c>
      <c r="V87" s="37" t="s">
        <v>975</v>
      </c>
      <c r="W87">
        <v>141004</v>
      </c>
    </row>
    <row r="88" spans="1:23" x14ac:dyDescent="0.25">
      <c r="A88" s="60" t="s">
        <v>1831</v>
      </c>
      <c r="B88" t="str">
        <f>VLOOKUP(A88,kurspris!$A$1:$Q$907,2,FALSE)</f>
        <v>Att vara grundlärare (VFU)</v>
      </c>
      <c r="C88" s="31">
        <v>1620</v>
      </c>
      <c r="D88" t="str">
        <f>VLOOKUP(C88,Orgenheter!$A$1:$B$214,2)</f>
        <v>Inst för språkstudier</v>
      </c>
      <c r="E88" t="str">
        <f>VLOOKUP(C88,Orgenheter!$A$1:$C$166,3,FALSE)</f>
        <v>Hum</v>
      </c>
      <c r="F88" s="262">
        <f>0.5/1.5</f>
        <v>0.33333333333333331</v>
      </c>
      <c r="G88">
        <f>VLOOKUP(A88,'Ansvar kurs'!$A$98:$C$1072,2,FALSE)</f>
        <v>5740</v>
      </c>
      <c r="H88" t="str">
        <f>VLOOKUP(G88,Orgenheter!$A$1:$B$214,2)</f>
        <v>NMD</v>
      </c>
      <c r="I88" t="str">
        <f>VLOOKUP(G88,Orgenheter!$A$1:$C$166,3,FALSE)</f>
        <v>TekNat</v>
      </c>
      <c r="J88" s="192">
        <f>IF(ISERROR(VLOOKUP(A88,'Totalt pivot'!$A$5:$C$397,2,FALSE)),0,(VLOOKUP(A88,'Totalt pivot'!$A$5:$C$397,2,FALSE)))</f>
        <v>3.1112500000000001</v>
      </c>
      <c r="K88" s="192">
        <f t="shared" si="181"/>
        <v>1.0370833333333334</v>
      </c>
      <c r="L88" s="192">
        <f>IF(ISERROR(VLOOKUP(A88,'Totalt pivot'!$A$5:$C$397,3,FALSE)),0,(VLOOKUP(A88,'Totalt pivot'!$A$5:$C$397,3,FALSE)))</f>
        <v>2.6445625000000001</v>
      </c>
      <c r="M88" s="192">
        <f t="shared" si="182"/>
        <v>0.88152083333333331</v>
      </c>
      <c r="N88" s="26">
        <f>VLOOKUP(A88,kurspris!$A$1:$Q$907,15)</f>
        <v>25235</v>
      </c>
      <c r="O88" s="26">
        <f>VLOOKUP(A88,kurspris!$A$1:$Q$907,16)</f>
        <v>27976</v>
      </c>
      <c r="P88" s="26">
        <f>VLOOKUP(A88,kurspris!$A$1:$Q$907,17)</f>
        <v>3600</v>
      </c>
      <c r="Q88" s="26">
        <f t="shared" si="183"/>
        <v>50832.224749999994</v>
      </c>
      <c r="R88" s="26">
        <f>(Q88*Prislapp!$R$5)*-1</f>
        <v>-3558.2557324999998</v>
      </c>
      <c r="S88" s="26">
        <f t="shared" si="184"/>
        <v>47273.969017499992</v>
      </c>
      <c r="T88" s="26">
        <f t="shared" si="185"/>
        <v>3733.5</v>
      </c>
      <c r="V88" t="s">
        <v>1436</v>
      </c>
    </row>
    <row r="89" spans="1:23" x14ac:dyDescent="0.25">
      <c r="A89" s="60" t="s">
        <v>1831</v>
      </c>
      <c r="B89" t="str">
        <f>VLOOKUP(A89,kurspris!$A$1:$Q$907,2,FALSE)</f>
        <v>Att vara grundlärare (VFU)</v>
      </c>
      <c r="C89" s="31">
        <v>1650</v>
      </c>
      <c r="D89" t="str">
        <f>VLOOKUP(C89,Orgenheter!$A$1:$B$214,2)</f>
        <v xml:space="preserve">Estetiska ämnen               </v>
      </c>
      <c r="E89" t="str">
        <f>VLOOKUP(C89,Orgenheter!$A$1:$C$166,3,FALSE)</f>
        <v>Hum</v>
      </c>
      <c r="F89" s="262">
        <f>0.5/1.5</f>
        <v>0.33333333333333331</v>
      </c>
      <c r="G89">
        <f>VLOOKUP(A89,'Ansvar kurs'!$A$98:$C$1072,2,FALSE)</f>
        <v>5740</v>
      </c>
      <c r="H89" t="str">
        <f>VLOOKUP(G89,Orgenheter!$A$1:$B$214,2)</f>
        <v>NMD</v>
      </c>
      <c r="I89" t="str">
        <f>VLOOKUP(G89,Orgenheter!$A$1:$C$166,3,FALSE)</f>
        <v>TekNat</v>
      </c>
      <c r="J89" s="192">
        <f>IF(ISERROR(VLOOKUP(A89,'Totalt pivot'!$A$5:$C$397,2,FALSE)),0,(VLOOKUP(A89,'Totalt pivot'!$A$5:$C$397,2,FALSE)))</f>
        <v>3.1112500000000001</v>
      </c>
      <c r="K89" s="192">
        <f t="shared" si="181"/>
        <v>1.0370833333333334</v>
      </c>
      <c r="L89" s="192">
        <f>IF(ISERROR(VLOOKUP(A89,'Totalt pivot'!$A$5:$C$397,3,FALSE)),0,(VLOOKUP(A89,'Totalt pivot'!$A$5:$C$397,3,FALSE)))</f>
        <v>2.6445625000000001</v>
      </c>
      <c r="M89" s="192">
        <f t="shared" si="182"/>
        <v>0.88152083333333331</v>
      </c>
      <c r="N89" s="26">
        <f>VLOOKUP(A89,kurspris!$A$1:$Q$907,15)</f>
        <v>25235</v>
      </c>
      <c r="O89" s="26">
        <f>VLOOKUP(A89,kurspris!$A$1:$Q$907,16)</f>
        <v>27976</v>
      </c>
      <c r="P89" s="26">
        <f>VLOOKUP(A89,kurspris!$A$1:$Q$907,17)</f>
        <v>3600</v>
      </c>
      <c r="Q89" s="26">
        <f t="shared" si="183"/>
        <v>50832.224749999994</v>
      </c>
      <c r="R89" s="26">
        <f>(Q89*Prislapp!$R$5)*-1</f>
        <v>-3558.2557324999998</v>
      </c>
      <c r="S89" s="26">
        <f t="shared" si="184"/>
        <v>47273.969017499992</v>
      </c>
      <c r="T89" s="26">
        <f t="shared" si="185"/>
        <v>3733.5</v>
      </c>
      <c r="V89" t="s">
        <v>1436</v>
      </c>
    </row>
    <row r="90" spans="1:23" x14ac:dyDescent="0.25">
      <c r="A90" s="60" t="s">
        <v>2007</v>
      </c>
      <c r="B90" t="str">
        <f>VLOOKUP(A90,kurspris!$A$1:$Q$907,2,FALSE)</f>
        <v>Språk och matematik i ett specialpedagogiskt perspektiv</v>
      </c>
      <c r="C90" s="31">
        <v>1620</v>
      </c>
      <c r="D90" t="str">
        <f>VLOOKUP(C90,Orgenheter!$A$1:$B$214,2)</f>
        <v>Inst för språkstudier</v>
      </c>
      <c r="E90" t="str">
        <f>VLOOKUP(C90,Orgenheter!$A$1:$C$166,3,FALSE)</f>
        <v>Hum</v>
      </c>
      <c r="F90" s="262">
        <f>3.5/7.5</f>
        <v>0.46666666666666667</v>
      </c>
      <c r="G90">
        <f>VLOOKUP(A90,'Ansvar kurs'!$A$98:$C$1072,2,FALSE)</f>
        <v>5740</v>
      </c>
      <c r="H90" t="str">
        <f>VLOOKUP(G90,Orgenheter!$A$1:$B$214,2)</f>
        <v>NMD</v>
      </c>
      <c r="I90" t="str">
        <f>VLOOKUP(G90,Orgenheter!$A$1:$C$166,3,FALSE)</f>
        <v>TekNat</v>
      </c>
      <c r="J90" s="192">
        <f>IF(ISERROR(VLOOKUP(A90,'Totalt pivot'!$A$5:$C$397,2,FALSE)),0,(VLOOKUP(A90,'Totalt pivot'!$A$5:$C$397,2,FALSE)))</f>
        <v>6.375</v>
      </c>
      <c r="K90" s="192">
        <f t="shared" ref="K90" si="186">F90*J90</f>
        <v>2.9750000000000001</v>
      </c>
      <c r="L90" s="192">
        <f>IF(ISERROR(VLOOKUP(A90,'Totalt pivot'!$A$5:$C$397,3,FALSE)),0,(VLOOKUP(A90,'Totalt pivot'!$A$5:$C$397,3,FALSE)))</f>
        <v>5.4187500000000002</v>
      </c>
      <c r="M90" s="192">
        <f t="shared" ref="M90" si="187">F90*L90</f>
        <v>2.5287500000000001</v>
      </c>
      <c r="N90" s="26">
        <f>VLOOKUP(A90,kurspris!$A$1:$Q$907,15)</f>
        <v>20757</v>
      </c>
      <c r="O90" s="26">
        <f>VLOOKUP(A90,kurspris!$A$1:$Q$907,16)</f>
        <v>36082</v>
      </c>
      <c r="P90" s="26">
        <f>VLOOKUP(A90,kurspris!$A$1:$Q$907,17)</f>
        <v>22600</v>
      </c>
      <c r="Q90" s="26">
        <f t="shared" ref="Q90" si="188">K90*N90+M90*O90</f>
        <v>152994.4325</v>
      </c>
      <c r="R90" s="26">
        <f>(Q90*Prislapp!$R$5)*-1</f>
        <v>-10709.610275000001</v>
      </c>
      <c r="S90" s="26">
        <f t="shared" ref="S90" si="189">Q90+R90</f>
        <v>142284.82222499998</v>
      </c>
      <c r="T90" s="26">
        <f t="shared" ref="T90" si="190">K90*P90</f>
        <v>67235</v>
      </c>
    </row>
    <row r="91" spans="1:23" x14ac:dyDescent="0.25">
      <c r="A91" s="60" t="s">
        <v>2327</v>
      </c>
      <c r="B91" t="str">
        <f>VLOOKUP(A91,kurspris!$A$1:$Q$907,2,FALSE)</f>
        <v>Ämnesdidaktik för yrkeslärare (UVK)</v>
      </c>
      <c r="C91" s="31">
        <v>2180</v>
      </c>
      <c r="D91" t="str">
        <f>VLOOKUP(C91,Orgenheter!$A$1:$B$214,2)</f>
        <v xml:space="preserve">Pedagogik                     </v>
      </c>
      <c r="E91" t="str">
        <f>VLOOKUP(C91,Orgenheter!$A$1:$C$166,3,FALSE)</f>
        <v>Sam</v>
      </c>
      <c r="F91" s="263">
        <f>4/10</f>
        <v>0.4</v>
      </c>
      <c r="G91">
        <f>VLOOKUP(A91,'Ansvar kurs'!$A$98:$C$1072,2,FALSE)</f>
        <v>2193</v>
      </c>
      <c r="H91" t="str">
        <f>VLOOKUP(G91,Orgenheter!$A$1:$B$214,2)</f>
        <v xml:space="preserve">TUV </v>
      </c>
      <c r="I91" t="str">
        <f>VLOOKUP(G91,Orgenheter!$A$1:$C$166,3,FALSE)</f>
        <v>Sam</v>
      </c>
      <c r="J91" s="192">
        <f>IF(ISERROR(VLOOKUP(A91,'Totalt pivot'!$A$5:$C$397,2,FALSE)),0,(VLOOKUP(A91,'Totalt pivot'!$A$5:$C$397,2,FALSE)))</f>
        <v>11.833</v>
      </c>
      <c r="K91" s="192">
        <f>F91*J91</f>
        <v>4.7332000000000001</v>
      </c>
      <c r="L91" s="192">
        <f>IF(ISERROR(VLOOKUP(A91,'Totalt pivot'!$A$5:$C$397,3,FALSE)),0,(VLOOKUP(A91,'Totalt pivot'!$A$5:$C$397,3,FALSE)))</f>
        <v>10.05805</v>
      </c>
      <c r="M91" s="192">
        <f>F91*L91</f>
        <v>4.0232200000000002</v>
      </c>
      <c r="N91" s="26">
        <f>VLOOKUP(A91,kurspris!$A$1:$Q$907,15)</f>
        <v>26554</v>
      </c>
      <c r="O91" s="26">
        <f>VLOOKUP(A91,kurspris!$A$1:$Q$907,16)</f>
        <v>33465</v>
      </c>
      <c r="P91" s="26">
        <f>VLOOKUP(A91,kurspris!$A$1:$Q$907,17)</f>
        <v>6000</v>
      </c>
      <c r="Q91" s="26">
        <f>K91*N91+M91*O91</f>
        <v>260322.45010000002</v>
      </c>
      <c r="R91" s="26">
        <f>(Q91*Prislapp!$R$5)*-1</f>
        <v>-18222.571507000004</v>
      </c>
      <c r="S91" s="26">
        <f>Q91+R91</f>
        <v>242099.878593</v>
      </c>
      <c r="T91" s="26">
        <f>K91*P91</f>
        <v>28399.200000000001</v>
      </c>
      <c r="V91" t="s">
        <v>1269</v>
      </c>
    </row>
    <row r="92" spans="1:23" x14ac:dyDescent="0.25">
      <c r="A92" s="397" t="s">
        <v>2173</v>
      </c>
      <c r="B92" t="str">
        <f>VLOOKUP(A92,kurspris!$A$1:$Q$907,2,FALSE)</f>
        <v>Kunskap, undervisning och lärande 2 (UVK)</v>
      </c>
      <c r="C92" s="31">
        <v>2193</v>
      </c>
      <c r="D92" t="str">
        <f>VLOOKUP(C92,Orgenheter!$A$1:$B$214,2)</f>
        <v xml:space="preserve">TUV </v>
      </c>
      <c r="E92" t="str">
        <f>VLOOKUP(C92,Orgenheter!$A$1:$C$166,3,FALSE)</f>
        <v>Sam</v>
      </c>
      <c r="F92" s="263">
        <f>6/15</f>
        <v>0.4</v>
      </c>
      <c r="G92">
        <f>VLOOKUP(A92,'Ansvar kurs'!$A$98:$C$1072,2,FALSE)</f>
        <v>2180</v>
      </c>
      <c r="H92" t="str">
        <f>VLOOKUP(G92,Orgenheter!$A$1:$B$214,2)</f>
        <v xml:space="preserve">Pedagogik                     </v>
      </c>
      <c r="I92" t="str">
        <f>VLOOKUP(G92,Orgenheter!$A$1:$C$166,3,FALSE)</f>
        <v>Sam</v>
      </c>
      <c r="J92" s="192">
        <f>IF(ISERROR(VLOOKUP(A92,'Totalt pivot'!$A$5:$C$397,2,FALSE)),0,(VLOOKUP(A92,'Totalt pivot'!$A$5:$C$397,2,FALSE)))</f>
        <v>11</v>
      </c>
      <c r="K92" s="192">
        <f>F92*J92</f>
        <v>4.4000000000000004</v>
      </c>
      <c r="L92" s="192">
        <f>IF(ISERROR(VLOOKUP(A92,'Totalt pivot'!$A$5:$C$397,3,FALSE)),0,(VLOOKUP(A92,'Totalt pivot'!$A$5:$C$397,3,FALSE)))</f>
        <v>9.35</v>
      </c>
      <c r="M92" s="192">
        <f>F92*L92</f>
        <v>3.74</v>
      </c>
      <c r="N92" s="26">
        <f>VLOOKUP(A92,kurspris!$A$1:$Q$907,15)</f>
        <v>26554</v>
      </c>
      <c r="O92" s="26">
        <f>VLOOKUP(A92,kurspris!$A$1:$Q$907,16)</f>
        <v>33465</v>
      </c>
      <c r="P92" s="26">
        <f>VLOOKUP(A92,kurspris!$A$1:$Q$907,17)</f>
        <v>6000</v>
      </c>
      <c r="Q92" s="26">
        <f>K92*N92+M92*O92</f>
        <v>241996.7</v>
      </c>
      <c r="R92" s="26">
        <f>(Q92*Prislapp!$R$5)*-1</f>
        <v>-16939.769000000004</v>
      </c>
      <c r="S92" s="26">
        <f>Q92+R92</f>
        <v>225056.93100000001</v>
      </c>
      <c r="T92" s="26">
        <f>K92*P92</f>
        <v>26400.000000000004</v>
      </c>
    </row>
    <row r="93" spans="1:23" x14ac:dyDescent="0.25">
      <c r="A93" s="397" t="s">
        <v>2174</v>
      </c>
      <c r="B93" t="str">
        <f>VLOOKUP(A93,kurspris!$A$1:$Q$907,2,FALSE)</f>
        <v>Verksamhetsförlagd utbildning för yrkeslärare (VFU)</v>
      </c>
      <c r="C93" s="31">
        <v>2193</v>
      </c>
      <c r="D93" t="str">
        <f>VLOOKUP(C93,Orgenheter!$A$1:$B$214,2)</f>
        <v xml:space="preserve">TUV </v>
      </c>
      <c r="E93" t="str">
        <f>VLOOKUP(C93,Orgenheter!$A$1:$C$166,3,FALSE)</f>
        <v>Sam</v>
      </c>
      <c r="F93" s="262">
        <f>15/30</f>
        <v>0.5</v>
      </c>
      <c r="G93">
        <f>VLOOKUP(A93,'Ansvar kurs'!$A$98:$C$1072,2,FALSE)</f>
        <v>2180</v>
      </c>
      <c r="H93" t="str">
        <f>VLOOKUP(G93,Orgenheter!$A$1:$B$214,2)</f>
        <v xml:space="preserve">Pedagogik                     </v>
      </c>
      <c r="I93" t="str">
        <f>VLOOKUP(G93,Orgenheter!$A$1:$C$166,3,FALSE)</f>
        <v>Sam</v>
      </c>
      <c r="J93" s="192">
        <f>IF(ISERROR(VLOOKUP(A93,'Totalt pivot'!$A$5:$C$397,2,FALSE)),0,(VLOOKUP(A93,'Totalt pivot'!$A$5:$C$397,2,FALSE)))</f>
        <v>27</v>
      </c>
      <c r="K93" s="192">
        <f t="shared" ref="K93" si="191">F93*J93</f>
        <v>13.5</v>
      </c>
      <c r="L93" s="192">
        <f>IF(ISERROR(VLOOKUP(A93,'Totalt pivot'!$A$5:$C$397,3,FALSE)),0,(VLOOKUP(A93,'Totalt pivot'!$A$5:$C$397,3,FALSE)))</f>
        <v>22.950000000000003</v>
      </c>
      <c r="M93" s="192">
        <f t="shared" ref="M93" si="192">F93*L93</f>
        <v>11.475000000000001</v>
      </c>
      <c r="N93" s="26">
        <f>VLOOKUP(A93,kurspris!$A$1:$Q$907,15)</f>
        <v>25235</v>
      </c>
      <c r="O93" s="26">
        <f>VLOOKUP(A93,kurspris!$A$1:$Q$907,16)</f>
        <v>27976</v>
      </c>
      <c r="P93" s="26">
        <f>VLOOKUP(A93,kurspris!$A$1:$Q$907,17)</f>
        <v>3600</v>
      </c>
      <c r="Q93" s="26">
        <f t="shared" ref="Q93" si="193">K93*N93+M93*O93</f>
        <v>661697.10000000009</v>
      </c>
      <c r="R93" s="26">
        <f>(Q93*Prislapp!$R$5)*-1</f>
        <v>-46318.797000000013</v>
      </c>
      <c r="S93" s="26">
        <f t="shared" ref="S93" si="194">Q93+R93</f>
        <v>615378.30300000007</v>
      </c>
      <c r="T93" s="26">
        <f t="shared" ref="T93" si="195">K93*P93</f>
        <v>48600</v>
      </c>
    </row>
    <row r="94" spans="1:23" x14ac:dyDescent="0.25">
      <c r="A94" s="60" t="s">
        <v>2137</v>
      </c>
      <c r="B94" t="str">
        <f>VLOOKUP(A94,kurspris!$A$1:$Q$907,2,FALSE)</f>
        <v>Forskningsmetod och profession (UVK)</v>
      </c>
      <c r="C94" s="31">
        <v>2180</v>
      </c>
      <c r="D94" t="str">
        <f>VLOOKUP(C94,Orgenheter!$A$1:$B$214,2)</f>
        <v xml:space="preserve">Pedagogik                     </v>
      </c>
      <c r="E94" t="str">
        <f>VLOOKUP(C94,Orgenheter!$A$1:$C$166,3,FALSE)</f>
        <v>Sam</v>
      </c>
      <c r="F94" s="262">
        <f>3.5/7.5</f>
        <v>0.46666666666666667</v>
      </c>
      <c r="G94">
        <f>VLOOKUP(A94,'Ansvar kurs'!$A$98:$C$1072,2,FALSE)</f>
        <v>2193</v>
      </c>
      <c r="H94" t="str">
        <f>VLOOKUP(G94,Orgenheter!$A$1:$B$214,2)</f>
        <v xml:space="preserve">TUV </v>
      </c>
      <c r="I94" t="str">
        <f>VLOOKUP(G94,Orgenheter!$A$1:$C$166,3,FALSE)</f>
        <v>Sam</v>
      </c>
      <c r="J94" s="192">
        <f>IF(ISERROR(VLOOKUP(A94,'Totalt pivot'!$A$5:$C$397,2,FALSE)),0,(VLOOKUP(A94,'Totalt pivot'!$A$5:$C$397,2,FALSE)))</f>
        <v>9.25</v>
      </c>
      <c r="K94" s="192">
        <f t="shared" ref="K94" si="196">F94*J94</f>
        <v>4.3166666666666664</v>
      </c>
      <c r="L94" s="192">
        <f>IF(ISERROR(VLOOKUP(A94,'Totalt pivot'!$A$5:$C$397,3,FALSE)),0,(VLOOKUP(A94,'Totalt pivot'!$A$5:$C$397,3,FALSE)))</f>
        <v>7.8624999999999998</v>
      </c>
      <c r="M94" s="192">
        <f t="shared" ref="M94" si="197">F94*L94</f>
        <v>3.6691666666666665</v>
      </c>
      <c r="N94" s="26">
        <f>VLOOKUP(A94,kurspris!$A$1:$Q$907,15)</f>
        <v>26554</v>
      </c>
      <c r="O94" s="26">
        <f>VLOOKUP(A94,kurspris!$A$1:$Q$907,16)</f>
        <v>33465</v>
      </c>
      <c r="P94" s="26">
        <f>VLOOKUP(A94,kurspris!$A$1:$Q$907,17)</f>
        <v>6000</v>
      </c>
      <c r="Q94" s="26">
        <f t="shared" ref="Q94" si="198">K94*N94+M94*O94</f>
        <v>237413.42916666664</v>
      </c>
      <c r="R94" s="26">
        <f>(Q94*Prislapp!$R$5)*-1</f>
        <v>-16618.940041666665</v>
      </c>
      <c r="S94" s="26">
        <f t="shared" ref="S94" si="199">Q94+R94</f>
        <v>220794.48912499996</v>
      </c>
      <c r="T94" s="26">
        <f t="shared" ref="T94" si="200">K94*P94</f>
        <v>25900</v>
      </c>
    </row>
    <row r="95" spans="1:23" x14ac:dyDescent="0.25">
      <c r="A95" s="57" t="s">
        <v>2197</v>
      </c>
      <c r="B95" t="str">
        <f>VLOOKUP(A95,kurspris!$A$1:$Q$907,2,FALSE)</f>
        <v>Utbildningsvetenskap, undervisning och lärande för grundskolan - fritidshem (UK)</v>
      </c>
      <c r="C95" s="31">
        <v>2180</v>
      </c>
      <c r="D95" t="str">
        <f>VLOOKUP(C95,Orgenheter!$A$1:$B$214,2)</f>
        <v xml:space="preserve">Pedagogik                     </v>
      </c>
      <c r="E95" t="str">
        <f>VLOOKUP(C95,Orgenheter!$A$1:$C$166,3,FALSE)</f>
        <v>Sam</v>
      </c>
      <c r="F95" s="262">
        <f>3/8</f>
        <v>0.375</v>
      </c>
      <c r="G95">
        <f>VLOOKUP(A95,'Ansvar kurs'!$A$98:$C$1072,2,FALSE)</f>
        <v>2193</v>
      </c>
      <c r="H95" t="str">
        <f>VLOOKUP(G95,Orgenheter!$A$1:$B$214,2)</f>
        <v xml:space="preserve">TUV </v>
      </c>
      <c r="I95" t="str">
        <f>VLOOKUP(G95,Orgenheter!$A$1:$C$166,3,FALSE)</f>
        <v>Sam</v>
      </c>
      <c r="J95" s="192">
        <f>IF(ISERROR(VLOOKUP(A95,'Totalt pivot'!$A$5:$C$397,2,FALSE)),0,(VLOOKUP(A95,'Totalt pivot'!$A$5:$C$397,2,FALSE)))</f>
        <v>2</v>
      </c>
      <c r="K95" s="192">
        <f t="shared" ref="K95" si="201">F95*J95</f>
        <v>0.75</v>
      </c>
      <c r="L95" s="192">
        <f>IF(ISERROR(VLOOKUP(A95,'Totalt pivot'!$A$5:$C$397,3,FALSE)),0,(VLOOKUP(A95,'Totalt pivot'!$A$5:$C$397,3,FALSE)))</f>
        <v>1.7</v>
      </c>
      <c r="M95" s="192">
        <f t="shared" ref="M95" si="202">F95*L95</f>
        <v>0.63749999999999996</v>
      </c>
      <c r="N95" s="26">
        <f>VLOOKUP(A95,kurspris!$A$1:$Q$907,15)</f>
        <v>26554</v>
      </c>
      <c r="O95" s="26">
        <f>VLOOKUP(A95,kurspris!$A$1:$Q$907,16)</f>
        <v>33465</v>
      </c>
      <c r="P95" s="26">
        <f>VLOOKUP(A95,kurspris!$A$1:$Q$907,17)</f>
        <v>6000</v>
      </c>
      <c r="Q95" s="26">
        <f t="shared" ref="Q95" si="203">K95*N95+M95*O95</f>
        <v>41249.4375</v>
      </c>
      <c r="R95" s="26">
        <f>(Q95*Prislapp!$R$5)*-1</f>
        <v>-2887.4606250000002</v>
      </c>
      <c r="S95" s="26">
        <f t="shared" ref="S95" si="204">Q95+R95</f>
        <v>38361.976875</v>
      </c>
      <c r="T95" s="26">
        <f t="shared" ref="T95" si="205">K95*P95</f>
        <v>4500</v>
      </c>
    </row>
    <row r="96" spans="1:23" x14ac:dyDescent="0.25">
      <c r="A96" s="505" t="s">
        <v>2209</v>
      </c>
      <c r="B96" t="str">
        <f>VLOOKUP(A96,kurspris!$A$1:$Q$907,2,FALSE)</f>
        <v>Pedagogiskt ledarskap, sociala relationer och specialpedagogik (UVK)</v>
      </c>
      <c r="C96" s="31">
        <v>2193</v>
      </c>
      <c r="D96" t="str">
        <f>VLOOKUP(C96,Orgenheter!$A$1:$B$214,2)</f>
        <v xml:space="preserve">TUV </v>
      </c>
      <c r="E96" t="str">
        <f>VLOOKUP(C96,Orgenheter!$A$1:$C$166,3,FALSE)</f>
        <v>Sam</v>
      </c>
      <c r="F96" s="263">
        <f>4/10</f>
        <v>0.4</v>
      </c>
      <c r="G96">
        <f>VLOOKUP(A96,'Ansvar kurs'!$A$98:$C$1072,2,FALSE)</f>
        <v>2180</v>
      </c>
      <c r="H96" t="str">
        <f>VLOOKUP(G96,Orgenheter!$A$1:$B$214,2)</f>
        <v xml:space="preserve">Pedagogik                     </v>
      </c>
      <c r="I96" t="str">
        <f>VLOOKUP(G96,Orgenheter!$A$1:$C$166,3,FALSE)</f>
        <v>Sam</v>
      </c>
      <c r="J96" s="192">
        <f>IF(ISERROR(VLOOKUP(A96,'Totalt pivot'!$A$5:$C$397,2,FALSE)),0,(VLOOKUP(A96,'Totalt pivot'!$A$5:$C$397,2,FALSE)))</f>
        <v>7.6669999999999998</v>
      </c>
      <c r="K96" s="192">
        <f t="shared" si="75"/>
        <v>3.0668000000000002</v>
      </c>
      <c r="L96" s="192">
        <f>IF(ISERROR(VLOOKUP(A96,'Totalt pivot'!$A$5:$C$397,3,FALSE)),0,(VLOOKUP(A96,'Totalt pivot'!$A$5:$C$397,3,FALSE)))</f>
        <v>6.5169499999999996</v>
      </c>
      <c r="M96" s="192">
        <f t="shared" si="80"/>
        <v>2.6067800000000001</v>
      </c>
      <c r="N96" s="26">
        <f>VLOOKUP(A96,kurspris!$A$1:$Q$907,15)</f>
        <v>26554</v>
      </c>
      <c r="O96" s="26">
        <f>VLOOKUP(A96,kurspris!$A$1:$Q$907,16)</f>
        <v>33465</v>
      </c>
      <c r="P96" s="26">
        <f>VLOOKUP(A96,kurspris!$A$1:$Q$907,17)</f>
        <v>6000</v>
      </c>
      <c r="Q96" s="26">
        <f t="shared" si="81"/>
        <v>168671.69990000001</v>
      </c>
      <c r="R96" s="26">
        <f>(Q96*Prislapp!$R$5)*-1</f>
        <v>-11807.018993000002</v>
      </c>
      <c r="S96" s="26">
        <f t="shared" si="82"/>
        <v>156864.680907</v>
      </c>
      <c r="T96" s="26">
        <f t="shared" si="83"/>
        <v>18400.800000000003</v>
      </c>
      <c r="V96" t="s">
        <v>1269</v>
      </c>
    </row>
    <row r="97" spans="1:24" x14ac:dyDescent="0.25">
      <c r="A97" s="60" t="s">
        <v>1242</v>
      </c>
      <c r="B97" t="str">
        <f>VLOOKUP(A97,kurspris!$A$1:$Q$907,2,FALSE)</f>
        <v>Examensarbete i svenska för ämneslärarexamen</v>
      </c>
      <c r="C97" s="31">
        <v>1640</v>
      </c>
      <c r="D97" t="str">
        <f>VLOOKUP(C97,Orgenheter!$A$1:$B$214,2)</f>
        <v>Inst för kultur- o medievetenskap</v>
      </c>
      <c r="E97" t="str">
        <f>VLOOKUP(C97,Orgenheter!$A$1:$C$166,3,FALSE)</f>
        <v>Hum</v>
      </c>
      <c r="F97" s="263">
        <f>15/30</f>
        <v>0.5</v>
      </c>
      <c r="G97">
        <f>VLOOKUP(A97,'Ansvar kurs'!$A$98:$C$1072,2,FALSE)</f>
        <v>1620</v>
      </c>
      <c r="H97" t="str">
        <f>VLOOKUP(G97,Orgenheter!$A$1:$B$214,2)</f>
        <v>Inst för språkstudier</v>
      </c>
      <c r="I97" t="str">
        <f>VLOOKUP(G97,Orgenheter!$A$1:$C$166,3,FALSE)</f>
        <v>Hum</v>
      </c>
      <c r="J97" s="192">
        <f>IF(ISERROR(VLOOKUP(A97,'Totalt pivot'!$A$5:$C$397,2,FALSE)),0,(VLOOKUP(A97,'Totalt pivot'!$A$5:$C$397,2,FALSE)))</f>
        <v>1.875</v>
      </c>
      <c r="K97" s="192">
        <f t="shared" si="75"/>
        <v>0.9375</v>
      </c>
      <c r="L97" s="192">
        <f>IF(ISERROR(VLOOKUP(A97,'Totalt pivot'!$A$5:$C$397,3,FALSE)),0,(VLOOKUP(A97,'Totalt pivot'!$A$5:$C$397,3,FALSE)))</f>
        <v>1.59375</v>
      </c>
      <c r="M97" s="192">
        <f t="shared" ref="M97" si="206">F97*L97</f>
        <v>0.796875</v>
      </c>
      <c r="N97" s="26">
        <f>VLOOKUP(A97,kurspris!$A$1:$Q$907,15)</f>
        <v>20766</v>
      </c>
      <c r="O97" s="26">
        <f>VLOOKUP(A97,kurspris!$A$1:$Q$907,16)</f>
        <v>17442</v>
      </c>
      <c r="P97" s="26">
        <f>VLOOKUP(A97,kurspris!$A$1:$Q$907,17)</f>
        <v>6000</v>
      </c>
      <c r="Q97" s="26">
        <f t="shared" ref="Q97" si="207">K97*N97+M97*O97</f>
        <v>33367.21875</v>
      </c>
      <c r="R97" s="26">
        <f>(Q97*Prislapp!$R$5)*-1</f>
        <v>-2335.7053125000002</v>
      </c>
      <c r="S97" s="26">
        <f t="shared" ref="S97" si="208">Q97+R97</f>
        <v>31031.513437499998</v>
      </c>
      <c r="T97" s="26">
        <f t="shared" ref="T97" si="209">K97*P97</f>
        <v>5625</v>
      </c>
      <c r="V97" s="173" t="s">
        <v>1525</v>
      </c>
      <c r="W97" s="173"/>
      <c r="X97" s="173"/>
    </row>
    <row r="98" spans="1:24" x14ac:dyDescent="0.25">
      <c r="A98" s="31" t="s">
        <v>511</v>
      </c>
      <c r="B98" t="str">
        <f>VLOOKUP(A98,kurspris!$A$1:$Q$907,2,FALSE)</f>
        <v>Samhällskunskap 1</v>
      </c>
      <c r="C98" s="31">
        <v>2360</v>
      </c>
      <c r="D98" t="str">
        <f>VLOOKUP(C98,Orgenheter!$A$1:$B$214,2)</f>
        <v xml:space="preserve">Ekonomisk historia            </v>
      </c>
      <c r="E98" t="str">
        <f>VLOOKUP(C98,Orgenheter!$A$1:$C$166,3,FALSE)</f>
        <v>Sam</v>
      </c>
      <c r="F98" s="262">
        <f>4.8/30</f>
        <v>0.16</v>
      </c>
      <c r="G98">
        <f>VLOOKUP(A98,'Ansvar kurs'!$A$98:$C$1072,2,FALSE)</f>
        <v>2340</v>
      </c>
      <c r="H98" t="str">
        <f>VLOOKUP(G98,Orgenheter!$A$1:$B$214,2)</f>
        <v xml:space="preserve">Statsvetenskap                </v>
      </c>
      <c r="I98" t="str">
        <f>VLOOKUP(G98,Orgenheter!$A$1:$C$166,3,FALSE)</f>
        <v>Sam</v>
      </c>
      <c r="J98" s="192">
        <f>IF(ISERROR(VLOOKUP(A98,'Totalt pivot'!$A$5:$C$397,2,FALSE)),0,(VLOOKUP(A98,'Totalt pivot'!$A$5:$C$397,2,FALSE)))</f>
        <v>12</v>
      </c>
      <c r="K98" s="192">
        <f t="shared" si="75"/>
        <v>1.92</v>
      </c>
      <c r="L98" s="192">
        <f>IF(ISERROR(VLOOKUP(A98,'Totalt pivot'!$A$5:$C$397,3,FALSE)),0,(VLOOKUP(A98,'Totalt pivot'!$A$5:$C$397,3,FALSE)))</f>
        <v>10.199999999999999</v>
      </c>
      <c r="M98" s="192">
        <f t="shared" si="76"/>
        <v>1.6319999999999999</v>
      </c>
      <c r="N98" s="26">
        <f>VLOOKUP(A98,kurspris!$A$1:$Q$907,15)</f>
        <v>20766</v>
      </c>
      <c r="O98" s="26">
        <f>VLOOKUP(A98,kurspris!$A$1:$Q$907,16)</f>
        <v>17442</v>
      </c>
      <c r="P98" s="26">
        <f>VLOOKUP(A98,kurspris!$A$1:$Q$907,17)</f>
        <v>6000</v>
      </c>
      <c r="Q98" s="26">
        <f t="shared" si="77"/>
        <v>68336.063999999998</v>
      </c>
      <c r="R98" s="26">
        <f>(Q98*Prislapp!$R$5)*-1</f>
        <v>-4783.52448</v>
      </c>
      <c r="S98" s="26">
        <f t="shared" si="78"/>
        <v>63552.539519999998</v>
      </c>
      <c r="T98" s="26">
        <f t="shared" si="79"/>
        <v>11520</v>
      </c>
      <c r="V98" t="s">
        <v>1780</v>
      </c>
    </row>
    <row r="99" spans="1:24" x14ac:dyDescent="0.25">
      <c r="A99" s="31" t="s">
        <v>511</v>
      </c>
      <c r="B99" t="str">
        <f>VLOOKUP(A99,kurspris!$A$1:$Q$907,2,FALSE)</f>
        <v>Samhällskunskap 1</v>
      </c>
      <c r="C99" s="31">
        <v>2271</v>
      </c>
      <c r="D99" t="str">
        <f>VLOOKUP(C99,Orgenheter!$A$1:$B$214,2)</f>
        <v xml:space="preserve">Nationalekonomi               </v>
      </c>
      <c r="E99" t="str">
        <f>VLOOKUP(C99,Orgenheter!$A$1:$C$166,3,FALSE)</f>
        <v>Sam</v>
      </c>
      <c r="F99" s="262">
        <f>7.2/30</f>
        <v>0.24000000000000002</v>
      </c>
      <c r="G99">
        <f>VLOOKUP(A99,'Ansvar kurs'!$A$98:$C$1072,2,FALSE)</f>
        <v>2340</v>
      </c>
      <c r="H99" t="str">
        <f>VLOOKUP(G99,Orgenheter!$A$1:$B$214,2)</f>
        <v xml:space="preserve">Statsvetenskap                </v>
      </c>
      <c r="I99" t="str">
        <f>VLOOKUP(G99,Orgenheter!$A$1:$C$166,3,FALSE)</f>
        <v>Sam</v>
      </c>
      <c r="J99" s="192">
        <f>IF(ISERROR(VLOOKUP(A99,'Totalt pivot'!$A$5:$C$397,2,FALSE)),0,(VLOOKUP(A99,'Totalt pivot'!$A$5:$C$397,2,FALSE)))</f>
        <v>12</v>
      </c>
      <c r="K99" s="192">
        <f t="shared" si="75"/>
        <v>2.8800000000000003</v>
      </c>
      <c r="L99" s="192">
        <f>IF(ISERROR(VLOOKUP(A99,'Totalt pivot'!$A$5:$C$397,3,FALSE)),0,(VLOOKUP(A99,'Totalt pivot'!$A$5:$C$397,3,FALSE)))</f>
        <v>10.199999999999999</v>
      </c>
      <c r="M99" s="192">
        <f t="shared" si="76"/>
        <v>2.448</v>
      </c>
      <c r="N99" s="26">
        <f>VLOOKUP(A99,kurspris!$A$1:$Q$907,15)</f>
        <v>20766</v>
      </c>
      <c r="O99" s="26">
        <f>VLOOKUP(A99,kurspris!$A$1:$Q$907,16)</f>
        <v>17442</v>
      </c>
      <c r="P99" s="26">
        <f>VLOOKUP(A99,kurspris!$A$1:$Q$907,17)</f>
        <v>6000</v>
      </c>
      <c r="Q99" s="26">
        <f t="shared" si="77"/>
        <v>102504.09600000001</v>
      </c>
      <c r="R99" s="26">
        <f>(Q99*Prislapp!$R$5)*-1</f>
        <v>-7175.286720000001</v>
      </c>
      <c r="S99" s="26">
        <f t="shared" si="78"/>
        <v>95328.809280000001</v>
      </c>
      <c r="T99" s="26">
        <f t="shared" si="79"/>
        <v>17280.000000000004</v>
      </c>
      <c r="V99" t="s">
        <v>1780</v>
      </c>
    </row>
    <row r="100" spans="1:24" x14ac:dyDescent="0.25">
      <c r="A100" s="31" t="s">
        <v>511</v>
      </c>
      <c r="B100" t="str">
        <f>VLOOKUP(A100,kurspris!$A$1:$Q$907,2,FALSE)</f>
        <v>Samhällskunskap 1</v>
      </c>
      <c r="C100" s="31">
        <v>2180</v>
      </c>
      <c r="D100" t="str">
        <f>VLOOKUP(C100,Orgenheter!$A$1:$B$214,2)</f>
        <v xml:space="preserve">Pedagogik                     </v>
      </c>
      <c r="E100" t="str">
        <f>VLOOKUP(C100,Orgenheter!$A$1:$C$166,3,FALSE)</f>
        <v>Sam</v>
      </c>
      <c r="F100" s="262">
        <f>6/30</f>
        <v>0.2</v>
      </c>
      <c r="G100">
        <f>VLOOKUP(A100,'Ansvar kurs'!$A$98:$C$1072,2,FALSE)</f>
        <v>2340</v>
      </c>
      <c r="H100" t="str">
        <f>VLOOKUP(G100,Orgenheter!$A$1:$B$214,2)</f>
        <v xml:space="preserve">Statsvetenskap                </v>
      </c>
      <c r="I100" t="str">
        <f>VLOOKUP(G100,Orgenheter!$A$1:$C$166,3,FALSE)</f>
        <v>Sam</v>
      </c>
      <c r="J100" s="192">
        <f>IF(ISERROR(VLOOKUP(A100,'Totalt pivot'!$A$5:$C$397,2,FALSE)),0,(VLOOKUP(A100,'Totalt pivot'!$A$5:$C$397,2,FALSE)))</f>
        <v>12</v>
      </c>
      <c r="K100" s="192">
        <f t="shared" ref="K100" si="210">F100*J100</f>
        <v>2.4000000000000004</v>
      </c>
      <c r="L100" s="192">
        <f>IF(ISERROR(VLOOKUP(A100,'Totalt pivot'!$A$5:$C$397,3,FALSE)),0,(VLOOKUP(A100,'Totalt pivot'!$A$5:$C$397,3,FALSE)))</f>
        <v>10.199999999999999</v>
      </c>
      <c r="M100" s="192">
        <f t="shared" ref="M100" si="211">F100*L100</f>
        <v>2.04</v>
      </c>
      <c r="N100" s="26">
        <f>VLOOKUP(A100,kurspris!$A$1:$Q$907,15)</f>
        <v>20766</v>
      </c>
      <c r="O100" s="26">
        <f>VLOOKUP(A100,kurspris!$A$1:$Q$907,16)</f>
        <v>17442</v>
      </c>
      <c r="P100" s="26">
        <f>VLOOKUP(A100,kurspris!$A$1:$Q$907,17)</f>
        <v>6000</v>
      </c>
      <c r="Q100" s="26">
        <f t="shared" ref="Q100" si="212">K100*N100+M100*O100</f>
        <v>85420.080000000016</v>
      </c>
      <c r="R100" s="26">
        <f>(Q100*Prislapp!$R$5)*-1</f>
        <v>-5979.4056000000019</v>
      </c>
      <c r="S100" s="26">
        <f t="shared" ref="S100" si="213">Q100+R100</f>
        <v>79440.674400000018</v>
      </c>
      <c r="T100" s="26">
        <f t="shared" ref="T100" si="214">K100*P100</f>
        <v>14400.000000000002</v>
      </c>
      <c r="V100" t="s">
        <v>1780</v>
      </c>
    </row>
    <row r="101" spans="1:24" x14ac:dyDescent="0.25">
      <c r="A101" s="31" t="s">
        <v>512</v>
      </c>
      <c r="B101" t="str">
        <f>VLOOKUP(A101,kurspris!$A$1:$Q$907,2,FALSE)</f>
        <v>Samhällskunskap 2</v>
      </c>
      <c r="C101" s="31">
        <v>2220</v>
      </c>
      <c r="D101" t="str">
        <f>VLOOKUP(C101,Orgenheter!$A$1:$B$214,2)</f>
        <v xml:space="preserve">Sociologi                     </v>
      </c>
      <c r="E101" t="str">
        <f>VLOOKUP(C101,Orgenheter!$A$1:$C$166,3,FALSE)</f>
        <v>Sam</v>
      </c>
      <c r="F101" s="262">
        <f>12/30</f>
        <v>0.4</v>
      </c>
      <c r="G101">
        <f>VLOOKUP(A101,'Ansvar kurs'!$A$98:$C$1072,2,FALSE)</f>
        <v>2340</v>
      </c>
      <c r="H101" t="str">
        <f>VLOOKUP(G101,Orgenheter!$A$1:$B$214,2)</f>
        <v xml:space="preserve">Statsvetenskap                </v>
      </c>
      <c r="I101" t="str">
        <f>VLOOKUP(G101,Orgenheter!$A$1:$C$166,3,FALSE)</f>
        <v>Sam</v>
      </c>
      <c r="J101" s="192">
        <f>IF(ISERROR(VLOOKUP(A101,'Totalt pivot'!$A$5:$C$397,2,FALSE)),0,(VLOOKUP(A101,'Totalt pivot'!$A$5:$C$397,2,FALSE)))</f>
        <v>9.5</v>
      </c>
      <c r="K101" s="192">
        <f t="shared" si="75"/>
        <v>3.8000000000000003</v>
      </c>
      <c r="L101" s="192">
        <f>IF(ISERROR(VLOOKUP(A101,'Totalt pivot'!$A$5:$C$397,3,FALSE)),0,(VLOOKUP(A101,'Totalt pivot'!$A$5:$C$397,3,FALSE)))</f>
        <v>8.0749999999999993</v>
      </c>
      <c r="M101" s="192">
        <f t="shared" si="76"/>
        <v>3.23</v>
      </c>
      <c r="N101" s="26">
        <f>VLOOKUP(A101,kurspris!$A$1:$Q$907,15)</f>
        <v>20766</v>
      </c>
      <c r="O101" s="26">
        <f>VLOOKUP(A101,kurspris!$A$1:$Q$907,16)</f>
        <v>17442</v>
      </c>
      <c r="P101" s="26">
        <f>VLOOKUP(A101,kurspris!$A$1:$Q$907,17)</f>
        <v>6000</v>
      </c>
      <c r="Q101" s="26">
        <f t="shared" si="77"/>
        <v>135248.46</v>
      </c>
      <c r="R101" s="26">
        <f>(Q101*Prislapp!$R$5)*-1</f>
        <v>-9467.3922000000002</v>
      </c>
      <c r="S101" s="26">
        <f t="shared" si="78"/>
        <v>125781.06779999999</v>
      </c>
      <c r="T101" s="26">
        <f t="shared" si="79"/>
        <v>22800</v>
      </c>
      <c r="V101" t="s">
        <v>1780</v>
      </c>
    </row>
    <row r="102" spans="1:24" x14ac:dyDescent="0.25">
      <c r="A102" s="31" t="s">
        <v>512</v>
      </c>
      <c r="B102" t="str">
        <f>VLOOKUP(A102,kurspris!$A$1:$Q$907,2,FALSE)</f>
        <v>Samhällskunskap 2</v>
      </c>
      <c r="C102" s="31">
        <v>2180</v>
      </c>
      <c r="D102" t="str">
        <f>VLOOKUP(C102,Orgenheter!$A$1:$B$214,2)</f>
        <v xml:space="preserve">Pedagogik                     </v>
      </c>
      <c r="E102" t="str">
        <f>VLOOKUP(C102,Orgenheter!$A$1:$C$166,3,FALSE)</f>
        <v>Sam</v>
      </c>
      <c r="F102" s="262">
        <f>6/30</f>
        <v>0.2</v>
      </c>
      <c r="G102">
        <f>VLOOKUP(A102,'Ansvar kurs'!$A$98:$C$1072,2,FALSE)</f>
        <v>2340</v>
      </c>
      <c r="H102" t="str">
        <f>VLOOKUP(G102,Orgenheter!$A$1:$B$214,2)</f>
        <v xml:space="preserve">Statsvetenskap                </v>
      </c>
      <c r="I102" t="str">
        <f>VLOOKUP(G102,Orgenheter!$A$1:$C$166,3,FALSE)</f>
        <v>Sam</v>
      </c>
      <c r="J102" s="192">
        <f>IF(ISERROR(VLOOKUP(A102,'Totalt pivot'!$A$5:$C$397,2,FALSE)),0,(VLOOKUP(A102,'Totalt pivot'!$A$5:$C$397,2,FALSE)))</f>
        <v>9.5</v>
      </c>
      <c r="K102" s="192">
        <f t="shared" ref="K102:K106" si="215">F102*J102</f>
        <v>1.9000000000000001</v>
      </c>
      <c r="L102" s="192">
        <f>IF(ISERROR(VLOOKUP(A102,'Totalt pivot'!$A$5:$C$397,3,FALSE)),0,(VLOOKUP(A102,'Totalt pivot'!$A$5:$C$397,3,FALSE)))</f>
        <v>8.0749999999999993</v>
      </c>
      <c r="M102" s="192">
        <f t="shared" ref="M102:M106" si="216">F102*L102</f>
        <v>1.615</v>
      </c>
      <c r="N102" s="26">
        <f>VLOOKUP(A102,kurspris!$A$1:$Q$907,15)</f>
        <v>20766</v>
      </c>
      <c r="O102" s="26">
        <f>VLOOKUP(A102,kurspris!$A$1:$Q$907,16)</f>
        <v>17442</v>
      </c>
      <c r="P102" s="26">
        <f>VLOOKUP(A102,kurspris!$A$1:$Q$907,17)</f>
        <v>6000</v>
      </c>
      <c r="Q102" s="26">
        <f t="shared" ref="Q102:Q106" si="217">K102*N102+M102*O102</f>
        <v>67624.23</v>
      </c>
      <c r="R102" s="26">
        <f>(Q102*Prislapp!$R$5)*-1</f>
        <v>-4733.6961000000001</v>
      </c>
      <c r="S102" s="26">
        <f t="shared" ref="S102:S106" si="218">Q102+R102</f>
        <v>62890.533899999995</v>
      </c>
      <c r="T102" s="26">
        <f t="shared" ref="T102:T106" si="219">K102*P102</f>
        <v>11400</v>
      </c>
      <c r="V102" t="s">
        <v>1780</v>
      </c>
    </row>
    <row r="103" spans="1:24" x14ac:dyDescent="0.25">
      <c r="A103" s="31" t="s">
        <v>600</v>
      </c>
      <c r="B103" t="str">
        <f>VLOOKUP(A103,kurspris!$A$1:$Q$907,2,FALSE)</f>
        <v>Samhällskunskap 3</v>
      </c>
      <c r="C103" s="31">
        <v>2360</v>
      </c>
      <c r="D103" t="str">
        <f>VLOOKUP(C103,Orgenheter!$A$1:$B$214,2)</f>
        <v xml:space="preserve">Ekonomisk historia            </v>
      </c>
      <c r="E103" t="str">
        <f>VLOOKUP(C103,Orgenheter!$A$1:$C$166,3,FALSE)</f>
        <v>Sam</v>
      </c>
      <c r="F103" s="262">
        <f>5.4/30</f>
        <v>0.18000000000000002</v>
      </c>
      <c r="G103">
        <f>VLOOKUP(A103,'Ansvar kurs'!$A$98:$C$1072,2,FALSE)</f>
        <v>2340</v>
      </c>
      <c r="H103" t="str">
        <f>VLOOKUP(G103,Orgenheter!$A$1:$B$214,2)</f>
        <v xml:space="preserve">Statsvetenskap                </v>
      </c>
      <c r="I103" t="str">
        <f>VLOOKUP(G103,Orgenheter!$A$1:$C$166,3,FALSE)</f>
        <v>Sam</v>
      </c>
      <c r="J103" s="192">
        <f>IF(ISERROR(VLOOKUP(A103,'Totalt pivot'!$A$5:$C$397,2,FALSE)),0,(VLOOKUP(A103,'Totalt pivot'!$A$5:$C$397,2,FALSE)))</f>
        <v>9.5</v>
      </c>
      <c r="K103" s="192">
        <f t="shared" si="215"/>
        <v>1.7100000000000002</v>
      </c>
      <c r="L103" s="192">
        <f>IF(ISERROR(VLOOKUP(A103,'Totalt pivot'!$A$5:$C$397,3,FALSE)),0,(VLOOKUP(A103,'Totalt pivot'!$A$5:$C$397,3,FALSE)))</f>
        <v>8.0749999999999993</v>
      </c>
      <c r="M103" s="192">
        <f t="shared" si="216"/>
        <v>1.4535</v>
      </c>
      <c r="N103" s="26">
        <f>VLOOKUP(A103,kurspris!$A$1:$Q$907,15)</f>
        <v>20766</v>
      </c>
      <c r="O103" s="26">
        <f>VLOOKUP(A103,kurspris!$A$1:$Q$907,16)</f>
        <v>17442</v>
      </c>
      <c r="P103" s="26">
        <f>VLOOKUP(A103,kurspris!$A$1:$Q$907,17)</f>
        <v>6000</v>
      </c>
      <c r="Q103" s="26">
        <f t="shared" si="217"/>
        <v>60861.807000000001</v>
      </c>
      <c r="R103" s="26">
        <f>(Q103*Prislapp!$R$5)*-1</f>
        <v>-4260.3264900000004</v>
      </c>
      <c r="S103" s="26">
        <f t="shared" si="218"/>
        <v>56601.480510000001</v>
      </c>
      <c r="T103" s="26">
        <f t="shared" si="219"/>
        <v>10260.000000000002</v>
      </c>
      <c r="V103" t="s">
        <v>1780</v>
      </c>
    </row>
    <row r="104" spans="1:24" x14ac:dyDescent="0.25">
      <c r="A104" s="31" t="s">
        <v>600</v>
      </c>
      <c r="B104" t="str">
        <f>VLOOKUP(A104,kurspris!$A$1:$Q$907,2,FALSE)</f>
        <v>Samhällskunskap 3</v>
      </c>
      <c r="C104" s="31">
        <v>2271</v>
      </c>
      <c r="D104" t="str">
        <f>VLOOKUP(C104,Orgenheter!$A$1:$B$214,2)</f>
        <v xml:space="preserve">Nationalekonomi               </v>
      </c>
      <c r="E104" t="str">
        <f>VLOOKUP(C104,Orgenheter!$A$1:$C$166,3,FALSE)</f>
        <v>Sam</v>
      </c>
      <c r="F104" s="262">
        <f>8.1/30</f>
        <v>0.26999999999999996</v>
      </c>
      <c r="G104">
        <f>VLOOKUP(A104,'Ansvar kurs'!$A$98:$C$1072,2,FALSE)</f>
        <v>2340</v>
      </c>
      <c r="H104" t="str">
        <f>VLOOKUP(G104,Orgenheter!$A$1:$B$214,2)</f>
        <v xml:space="preserve">Statsvetenskap                </v>
      </c>
      <c r="I104" t="str">
        <f>VLOOKUP(G104,Orgenheter!$A$1:$C$166,3,FALSE)</f>
        <v>Sam</v>
      </c>
      <c r="J104" s="192">
        <f>IF(ISERROR(VLOOKUP(A104,'Totalt pivot'!$A$5:$C$397,2,FALSE)),0,(VLOOKUP(A104,'Totalt pivot'!$A$5:$C$397,2,FALSE)))</f>
        <v>9.5</v>
      </c>
      <c r="K104" s="192">
        <f t="shared" si="215"/>
        <v>2.5649999999999995</v>
      </c>
      <c r="L104" s="192">
        <f>IF(ISERROR(VLOOKUP(A104,'Totalt pivot'!$A$5:$C$397,3,FALSE)),0,(VLOOKUP(A104,'Totalt pivot'!$A$5:$C$397,3,FALSE)))</f>
        <v>8.0749999999999993</v>
      </c>
      <c r="M104" s="192">
        <f t="shared" si="216"/>
        <v>2.1802499999999996</v>
      </c>
      <c r="N104" s="26">
        <f>VLOOKUP(A104,kurspris!$A$1:$Q$907,15)</f>
        <v>20766</v>
      </c>
      <c r="O104" s="26">
        <f>VLOOKUP(A104,kurspris!$A$1:$Q$907,16)</f>
        <v>17442</v>
      </c>
      <c r="P104" s="26">
        <f>VLOOKUP(A104,kurspris!$A$1:$Q$907,17)</f>
        <v>6000</v>
      </c>
      <c r="Q104" s="26">
        <f t="shared" si="217"/>
        <v>91292.710499999986</v>
      </c>
      <c r="R104" s="26">
        <f>(Q104*Prislapp!$R$5)*-1</f>
        <v>-6390.4897350000001</v>
      </c>
      <c r="S104" s="26">
        <f t="shared" si="218"/>
        <v>84902.220764999991</v>
      </c>
      <c r="T104" s="26">
        <f t="shared" si="219"/>
        <v>15389.999999999996</v>
      </c>
      <c r="V104" t="s">
        <v>1780</v>
      </c>
    </row>
    <row r="105" spans="1:24" x14ac:dyDescent="0.25">
      <c r="A105" s="31" t="s">
        <v>600</v>
      </c>
      <c r="B105" t="str">
        <f>VLOOKUP(A105,kurspris!$A$1:$Q$907,2,FALSE)</f>
        <v>Samhällskunskap 3</v>
      </c>
      <c r="C105" s="31">
        <v>2180</v>
      </c>
      <c r="D105" t="str">
        <f>VLOOKUP(C105,Orgenheter!$A$1:$B$214,2)</f>
        <v xml:space="preserve">Pedagogik                     </v>
      </c>
      <c r="E105" t="str">
        <f>VLOOKUP(C105,Orgenheter!$A$1:$C$166,3,FALSE)</f>
        <v>Sam</v>
      </c>
      <c r="F105" s="262">
        <f>1.5/30</f>
        <v>0.05</v>
      </c>
      <c r="G105">
        <f>VLOOKUP(A105,'Ansvar kurs'!$A$98:$C$1072,2,FALSE)</f>
        <v>2340</v>
      </c>
      <c r="H105" t="str">
        <f>VLOOKUP(G105,Orgenheter!$A$1:$B$214,2)</f>
        <v xml:space="preserve">Statsvetenskap                </v>
      </c>
      <c r="I105" t="str">
        <f>VLOOKUP(G105,Orgenheter!$A$1:$C$166,3,FALSE)</f>
        <v>Sam</v>
      </c>
      <c r="J105" s="192">
        <f>IF(ISERROR(VLOOKUP(A105,'Totalt pivot'!$A$5:$C$397,2,FALSE)),0,(VLOOKUP(A105,'Totalt pivot'!$A$5:$C$397,2,FALSE)))</f>
        <v>9.5</v>
      </c>
      <c r="K105" s="192">
        <f t="shared" si="215"/>
        <v>0.47500000000000003</v>
      </c>
      <c r="L105" s="192">
        <f>IF(ISERROR(VLOOKUP(A105,'Totalt pivot'!$A$5:$C$397,3,FALSE)),0,(VLOOKUP(A105,'Totalt pivot'!$A$5:$C$397,3,FALSE)))</f>
        <v>8.0749999999999993</v>
      </c>
      <c r="M105" s="192">
        <f t="shared" si="216"/>
        <v>0.40375</v>
      </c>
      <c r="N105" s="26">
        <f>VLOOKUP(A105,kurspris!$A$1:$Q$907,15)</f>
        <v>20766</v>
      </c>
      <c r="O105" s="26">
        <f>VLOOKUP(A105,kurspris!$A$1:$Q$907,16)</f>
        <v>17442</v>
      </c>
      <c r="P105" s="26">
        <f>VLOOKUP(A105,kurspris!$A$1:$Q$907,17)</f>
        <v>6000</v>
      </c>
      <c r="Q105" s="26">
        <f t="shared" si="217"/>
        <v>16906.057499999999</v>
      </c>
      <c r="R105" s="26">
        <f>(Q105*Prislapp!$R$5)*-1</f>
        <v>-1183.424025</v>
      </c>
      <c r="S105" s="26">
        <f t="shared" si="218"/>
        <v>15722.633474999999</v>
      </c>
      <c r="T105" s="26">
        <f t="shared" si="219"/>
        <v>2850</v>
      </c>
      <c r="V105" t="s">
        <v>1780</v>
      </c>
    </row>
    <row r="106" spans="1:24" x14ac:dyDescent="0.25">
      <c r="A106" s="31" t="s">
        <v>1025</v>
      </c>
      <c r="B106" t="str">
        <f>VLOOKUP(A106,kurspris!$A$1:$Q$907,2,FALSE)</f>
        <v>Profession och vetenskap</v>
      </c>
      <c r="C106" s="31">
        <v>2300</v>
      </c>
      <c r="D106" t="str">
        <f>VLOOKUP(C106,Orgenheter!$A$1:$B$214,2)</f>
        <v xml:space="preserve">Juridiska institutionen       </v>
      </c>
      <c r="E106" t="str">
        <f>VLOOKUP(C106,Orgenheter!$A$1:$C$166,3,FALSE)</f>
        <v>Sam</v>
      </c>
      <c r="F106" s="262">
        <f>3.75/7.5</f>
        <v>0.5</v>
      </c>
      <c r="G106">
        <f>VLOOKUP(A106,'Ansvar kurs'!$A$98:$C$1072,2,FALSE)</f>
        <v>2340</v>
      </c>
      <c r="H106" t="str">
        <f>VLOOKUP(G106,Orgenheter!$A$1:$B$214,2)</f>
        <v xml:space="preserve">Statsvetenskap                </v>
      </c>
      <c r="I106" t="str">
        <f>VLOOKUP(G106,Orgenheter!$A$1:$C$166,3,FALSE)</f>
        <v>Sam</v>
      </c>
      <c r="J106" s="192">
        <f>IF(ISERROR(VLOOKUP(A106,'Totalt pivot'!$A$5:$C$397,2,FALSE)),0,(VLOOKUP(A106,'Totalt pivot'!$A$5:$C$397,2,FALSE)))</f>
        <v>0</v>
      </c>
      <c r="K106" s="192">
        <f t="shared" si="215"/>
        <v>0</v>
      </c>
      <c r="L106" s="192">
        <f>IF(ISERROR(VLOOKUP(A106,'Totalt pivot'!$A$5:$C$397,3,FALSE)),0,(VLOOKUP(A106,'Totalt pivot'!$A$5:$C$397,3,FALSE)))</f>
        <v>0</v>
      </c>
      <c r="M106" s="192">
        <f t="shared" si="216"/>
        <v>0</v>
      </c>
      <c r="N106" s="26">
        <f>VLOOKUP(A106,kurspris!$A$1:$Q$907,15)</f>
        <v>26554</v>
      </c>
      <c r="O106" s="26">
        <f>VLOOKUP(A106,kurspris!$A$1:$Q$907,16)</f>
        <v>33465</v>
      </c>
      <c r="P106" s="26">
        <f>VLOOKUP(A106,kurspris!$A$1:$Q$907,17)</f>
        <v>6000</v>
      </c>
      <c r="Q106" s="26">
        <f t="shared" si="217"/>
        <v>0</v>
      </c>
      <c r="R106" s="26">
        <f>(Q106*Prislapp!$R$5)*-1</f>
        <v>0</v>
      </c>
      <c r="S106" s="26">
        <f t="shared" si="218"/>
        <v>0</v>
      </c>
      <c r="T106" s="26">
        <f t="shared" si="219"/>
        <v>0</v>
      </c>
      <c r="V106" t="s">
        <v>1386</v>
      </c>
    </row>
    <row r="107" spans="1:24" x14ac:dyDescent="0.25">
      <c r="A107" s="31" t="s">
        <v>1864</v>
      </c>
      <c r="B107" t="str">
        <f>VLOOKUP(A107,kurspris!$A$1:$Q$907,2,FALSE)</f>
        <v>Introduktion till det specialpedagogiska fältet</v>
      </c>
      <c r="C107" s="31">
        <v>1620</v>
      </c>
      <c r="D107" t="str">
        <f>VLOOKUP(C107,Orgenheter!$A$1:$B$214,2)</f>
        <v>Inst för språkstudier</v>
      </c>
      <c r="E107" t="str">
        <f>VLOOKUP(C107,Orgenheter!$A$1:$C$166,3,FALSE)</f>
        <v>Hum</v>
      </c>
      <c r="F107" s="263">
        <f>1.5/7.5</f>
        <v>0.2</v>
      </c>
      <c r="G107">
        <f>VLOOKUP(A107,'Ansvar kurs'!$A$98:$C$1072,2,FALSE)</f>
        <v>2180</v>
      </c>
      <c r="H107" t="str">
        <f>VLOOKUP(G107,Orgenheter!$A$1:$B$214,2)</f>
        <v xml:space="preserve">Pedagogik                     </v>
      </c>
      <c r="I107" t="str">
        <f>VLOOKUP(G107,Orgenheter!$A$1:$C$166,3,FALSE)</f>
        <v>Sam</v>
      </c>
      <c r="J107" s="192">
        <f>IF(ISERROR(VLOOKUP(A107,'Totalt pivot'!$A$5:$C$397,2,FALSE)),0,(VLOOKUP(A107,'Totalt pivot'!$A$5:$C$397,2,FALSE)))</f>
        <v>11.875</v>
      </c>
      <c r="K107" s="192">
        <f t="shared" ref="K107:K108" si="220">F107*J107</f>
        <v>2.375</v>
      </c>
      <c r="L107" s="192">
        <f>IF(ISERROR(VLOOKUP(A107,'Totalt pivot'!$A$5:$C$397,3,FALSE)),0,(VLOOKUP(A107,'Totalt pivot'!$A$5:$C$397,3,FALSE)))</f>
        <v>10.09375</v>
      </c>
      <c r="M107" s="192">
        <f t="shared" ref="M107:M108" si="221">F107*L107</f>
        <v>2.0187500000000003</v>
      </c>
      <c r="N107" s="26">
        <f>VLOOKUP(A107,kurspris!$A$1:$Q$907,15)</f>
        <v>20766</v>
      </c>
      <c r="O107" s="26">
        <f>VLOOKUP(A107,kurspris!$A$1:$Q$907,16)</f>
        <v>17442</v>
      </c>
      <c r="P107" s="26">
        <f>VLOOKUP(A107,kurspris!$A$1:$Q$907,17)</f>
        <v>6000</v>
      </c>
      <c r="Q107" s="26">
        <f t="shared" ref="Q107:Q108" si="222">K107*N107+M107*O107</f>
        <v>84530.287500000006</v>
      </c>
      <c r="R107" s="26">
        <f>(Q107*Prislapp!$R$5)*-1</f>
        <v>-5917.1201250000013</v>
      </c>
      <c r="S107" s="26">
        <f t="shared" ref="S107:S108" si="223">Q107+R107</f>
        <v>78613.167375000005</v>
      </c>
      <c r="T107" s="26">
        <f t="shared" ref="T107:T108" si="224">K107*P107</f>
        <v>14250</v>
      </c>
      <c r="V107" t="s">
        <v>1870</v>
      </c>
    </row>
    <row r="108" spans="1:24" x14ac:dyDescent="0.25">
      <c r="A108" s="31" t="s">
        <v>1864</v>
      </c>
      <c r="B108" t="str">
        <f>VLOOKUP(A108,kurspris!$A$1:$Q$907,2,FALSE)</f>
        <v>Introduktion till det specialpedagogiska fältet</v>
      </c>
      <c r="C108" s="31">
        <v>2200</v>
      </c>
      <c r="D108" t="str">
        <f>VLOOKUP(C108,Orgenheter!$A$1:$B$214,2)</f>
        <v xml:space="preserve">Inst för psykologi            </v>
      </c>
      <c r="E108" t="str">
        <f>VLOOKUP(C108,Orgenheter!$A$1:$C$166,3,FALSE)</f>
        <v>Sam</v>
      </c>
      <c r="F108" s="263">
        <f>1.5/7.5</f>
        <v>0.2</v>
      </c>
      <c r="G108">
        <f>VLOOKUP(A108,'Ansvar kurs'!$A$98:$C$1072,2,FALSE)</f>
        <v>2180</v>
      </c>
      <c r="H108" t="str">
        <f>VLOOKUP(G108,Orgenheter!$A$1:$B$214,2)</f>
        <v xml:space="preserve">Pedagogik                     </v>
      </c>
      <c r="I108" t="str">
        <f>VLOOKUP(G108,Orgenheter!$A$1:$C$166,3,FALSE)</f>
        <v>Sam</v>
      </c>
      <c r="J108" s="192">
        <f>IF(ISERROR(VLOOKUP(A108,'Totalt pivot'!$A$5:$C$397,2,FALSE)),0,(VLOOKUP(A108,'Totalt pivot'!$A$5:$C$397,2,FALSE)))</f>
        <v>11.875</v>
      </c>
      <c r="K108" s="192">
        <f t="shared" si="220"/>
        <v>2.375</v>
      </c>
      <c r="L108" s="192">
        <f>IF(ISERROR(VLOOKUP(A108,'Totalt pivot'!$A$5:$C$397,3,FALSE)),0,(VLOOKUP(A108,'Totalt pivot'!$A$5:$C$397,3,FALSE)))</f>
        <v>10.09375</v>
      </c>
      <c r="M108" s="192">
        <f t="shared" si="221"/>
        <v>2.0187500000000003</v>
      </c>
      <c r="N108" s="26">
        <f>VLOOKUP(A108,kurspris!$A$1:$Q$907,15)</f>
        <v>20766</v>
      </c>
      <c r="O108" s="26">
        <f>VLOOKUP(A108,kurspris!$A$1:$Q$907,16)</f>
        <v>17442</v>
      </c>
      <c r="P108" s="26">
        <f>VLOOKUP(A108,kurspris!$A$1:$Q$907,17)</f>
        <v>6000</v>
      </c>
      <c r="Q108" s="26">
        <f t="shared" si="222"/>
        <v>84530.287500000006</v>
      </c>
      <c r="R108" s="26">
        <f>(Q108*Prislapp!$R$5)*-1</f>
        <v>-5917.1201250000013</v>
      </c>
      <c r="S108" s="26">
        <f t="shared" si="223"/>
        <v>78613.167375000005</v>
      </c>
      <c r="T108" s="26">
        <f t="shared" si="224"/>
        <v>14250</v>
      </c>
      <c r="V108" t="s">
        <v>1870</v>
      </c>
    </row>
    <row r="109" spans="1:24" x14ac:dyDescent="0.25">
      <c r="A109" s="31" t="s">
        <v>1867</v>
      </c>
      <c r="B109" t="str">
        <f>VLOOKUP(A109,kurspris!$A$1:$Q$907,2,FALSE)</f>
        <v>Neuropsykiatriska svårigheter i olika lärmiljöer</v>
      </c>
      <c r="C109" s="31">
        <v>2193</v>
      </c>
      <c r="D109" t="str">
        <f>VLOOKUP(C109,Orgenheter!$A$1:$B$214,2)</f>
        <v xml:space="preserve">TUV </v>
      </c>
      <c r="E109" t="str">
        <f>VLOOKUP(C109,Orgenheter!$A$1:$C$166,3,FALSE)</f>
        <v>Sam</v>
      </c>
      <c r="F109" s="263">
        <f>2/7.5</f>
        <v>0.26666666666666666</v>
      </c>
      <c r="G109">
        <f>VLOOKUP(A109,'Ansvar kurs'!$A$98:$C$1072,2,FALSE)</f>
        <v>2180</v>
      </c>
      <c r="H109" t="str">
        <f>VLOOKUP(G109,Orgenheter!$A$1:$B$214,2)</f>
        <v xml:space="preserve">Pedagogik                     </v>
      </c>
      <c r="I109" t="str">
        <f>VLOOKUP(G109,Orgenheter!$A$1:$C$166,3,FALSE)</f>
        <v>Sam</v>
      </c>
      <c r="J109" s="192">
        <f>IF(ISERROR(VLOOKUP(A109,'Totalt pivot'!$A$5:$C$397,2,FALSE)),0,(VLOOKUP(A109,'Totalt pivot'!$A$5:$C$397,2,FALSE)))</f>
        <v>10.7</v>
      </c>
      <c r="K109" s="192">
        <f t="shared" ref="K109:K111" si="225">F109*J109</f>
        <v>2.8533333333333331</v>
      </c>
      <c r="L109" s="192">
        <f>IF(ISERROR(VLOOKUP(A109,'Totalt pivot'!$A$5:$C$397,3,FALSE)),0,(VLOOKUP(A109,'Totalt pivot'!$A$5:$C$397,3,FALSE)))</f>
        <v>9.0949999999999989</v>
      </c>
      <c r="M109" s="192">
        <f t="shared" ref="M109:M111" si="226">F109*L109</f>
        <v>2.4253333333333331</v>
      </c>
      <c r="N109" s="26">
        <f>VLOOKUP(A109,kurspris!$A$1:$Q$907,15)</f>
        <v>20766</v>
      </c>
      <c r="O109" s="26">
        <f>VLOOKUP(A109,kurspris!$A$1:$Q$907,16)</f>
        <v>17442</v>
      </c>
      <c r="P109" s="26">
        <f>VLOOKUP(A109,kurspris!$A$1:$Q$907,17)</f>
        <v>6000</v>
      </c>
      <c r="Q109" s="26">
        <f t="shared" ref="Q109:Q111" si="227">K109*N109+M109*O109</f>
        <v>101554.984</v>
      </c>
      <c r="R109" s="26">
        <f>(Q109*Prislapp!$R$5)*-1</f>
        <v>-7108.8488800000005</v>
      </c>
      <c r="S109" s="26">
        <f t="shared" ref="S109:S111" si="228">Q109+R109</f>
        <v>94446.135119999992</v>
      </c>
      <c r="T109" s="26">
        <f t="shared" ref="T109:T111" si="229">K109*P109</f>
        <v>17120</v>
      </c>
      <c r="V109" t="s">
        <v>1870</v>
      </c>
    </row>
    <row r="110" spans="1:24" x14ac:dyDescent="0.25">
      <c r="A110" s="31" t="s">
        <v>1867</v>
      </c>
      <c r="B110" t="str">
        <f>VLOOKUP(A110,kurspris!$A$1:$Q$907,2,FALSE)</f>
        <v>Neuropsykiatriska svårigheter i olika lärmiljöer</v>
      </c>
      <c r="C110" s="31">
        <v>2200</v>
      </c>
      <c r="D110" t="str">
        <f>VLOOKUP(C110,Orgenheter!$A$1:$B$214,2)</f>
        <v xml:space="preserve">Inst för psykologi            </v>
      </c>
      <c r="E110" t="str">
        <f>VLOOKUP(C110,Orgenheter!$A$1:$C$166,3,FALSE)</f>
        <v>Sam</v>
      </c>
      <c r="F110" s="263">
        <f>2/7.5</f>
        <v>0.26666666666666666</v>
      </c>
      <c r="G110">
        <f>VLOOKUP(A110,'Ansvar kurs'!$A$98:$C$1072,2,FALSE)</f>
        <v>2180</v>
      </c>
      <c r="H110" t="str">
        <f>VLOOKUP(G110,Orgenheter!$A$1:$B$214,2)</f>
        <v xml:space="preserve">Pedagogik                     </v>
      </c>
      <c r="I110" t="str">
        <f>VLOOKUP(G110,Orgenheter!$A$1:$C$166,3,FALSE)</f>
        <v>Sam</v>
      </c>
      <c r="J110" s="192">
        <f>IF(ISERROR(VLOOKUP(A110,'Totalt pivot'!$A$5:$C$397,2,FALSE)),0,(VLOOKUP(A110,'Totalt pivot'!$A$5:$C$397,2,FALSE)))</f>
        <v>10.7</v>
      </c>
      <c r="K110" s="192">
        <f t="shared" si="225"/>
        <v>2.8533333333333331</v>
      </c>
      <c r="L110" s="192">
        <f>IF(ISERROR(VLOOKUP(A110,'Totalt pivot'!$A$5:$C$397,3,FALSE)),0,(VLOOKUP(A110,'Totalt pivot'!$A$5:$C$397,3,FALSE)))</f>
        <v>9.0949999999999989</v>
      </c>
      <c r="M110" s="192">
        <f t="shared" si="226"/>
        <v>2.4253333333333331</v>
      </c>
      <c r="N110" s="26">
        <f>VLOOKUP(A110,kurspris!$A$1:$Q$907,15)</f>
        <v>20766</v>
      </c>
      <c r="O110" s="26">
        <f>VLOOKUP(A110,kurspris!$A$1:$Q$907,16)</f>
        <v>17442</v>
      </c>
      <c r="P110" s="26">
        <f>VLOOKUP(A110,kurspris!$A$1:$Q$907,17)</f>
        <v>6000</v>
      </c>
      <c r="Q110" s="26">
        <f t="shared" si="227"/>
        <v>101554.984</v>
      </c>
      <c r="R110" s="26">
        <f>(Q110*Prislapp!$R$5)*-1</f>
        <v>-7108.8488800000005</v>
      </c>
      <c r="S110" s="26">
        <f t="shared" si="228"/>
        <v>94446.135119999992</v>
      </c>
      <c r="T110" s="26">
        <f t="shared" si="229"/>
        <v>17120</v>
      </c>
      <c r="V110" t="s">
        <v>1870</v>
      </c>
    </row>
    <row r="111" spans="1:24" x14ac:dyDescent="0.25">
      <c r="A111" s="31" t="s">
        <v>1866</v>
      </c>
      <c r="B111" t="str">
        <f>VLOOKUP(A111,kurspris!$A$1:$Q$907,2,FALSE)</f>
        <v>Speciallärarens och specialpedagogens yrkesfunktion</v>
      </c>
      <c r="C111" s="31">
        <v>2180</v>
      </c>
      <c r="D111" t="str">
        <f>VLOOKUP(C111,Orgenheter!$A$1:$B$214,2)</f>
        <v xml:space="preserve">Pedagogik                     </v>
      </c>
      <c r="E111" t="str">
        <f>VLOOKUP(C111,Orgenheter!$A$1:$C$166,3,FALSE)</f>
        <v>Sam</v>
      </c>
      <c r="F111" s="263">
        <f>5/15</f>
        <v>0.33333333333333331</v>
      </c>
      <c r="G111">
        <f>VLOOKUP(A111,'Ansvar kurs'!$A$98:$C$1072,2,FALSE)</f>
        <v>2193</v>
      </c>
      <c r="H111" t="str">
        <f>VLOOKUP(G111,Orgenheter!$A$1:$B$214,2)</f>
        <v xml:space="preserve">TUV </v>
      </c>
      <c r="I111" t="str">
        <f>VLOOKUP(G111,Orgenheter!$A$1:$C$166,3,FALSE)</f>
        <v>Sam</v>
      </c>
      <c r="J111" s="192">
        <f>IF(ISERROR(VLOOKUP(A111,'Totalt pivot'!$A$5:$C$397,2,FALSE)),0,(VLOOKUP(A111,'Totalt pivot'!$A$5:$C$397,2,FALSE)))</f>
        <v>22.575000000000003</v>
      </c>
      <c r="K111" s="192">
        <f t="shared" si="225"/>
        <v>7.5250000000000004</v>
      </c>
      <c r="L111" s="192">
        <f>IF(ISERROR(VLOOKUP(A111,'Totalt pivot'!$A$5:$C$397,3,FALSE)),0,(VLOOKUP(A111,'Totalt pivot'!$A$5:$C$397,3,FALSE)))</f>
        <v>19.188749999999999</v>
      </c>
      <c r="M111" s="192">
        <f t="shared" si="226"/>
        <v>6.3962499999999993</v>
      </c>
      <c r="N111" s="26">
        <f>VLOOKUP(A111,kurspris!$A$1:$Q$907,15)</f>
        <v>36229.199999999997</v>
      </c>
      <c r="O111" s="26">
        <f>VLOOKUP(A111,kurspris!$A$1:$Q$907,16)</f>
        <v>35006.800000000003</v>
      </c>
      <c r="P111" s="26">
        <f>VLOOKUP(A111,kurspris!$A$1:$Q$907,17)</f>
        <v>6000</v>
      </c>
      <c r="Q111" s="26">
        <f t="shared" si="227"/>
        <v>496536.97450000001</v>
      </c>
      <c r="R111" s="26">
        <f>(Q111*Prislapp!$R$5)*-1</f>
        <v>-34757.588215000003</v>
      </c>
      <c r="S111" s="26">
        <f t="shared" si="228"/>
        <v>461779.38628500002</v>
      </c>
      <c r="T111" s="26">
        <f t="shared" si="229"/>
        <v>45150</v>
      </c>
      <c r="V111" t="s">
        <v>1870</v>
      </c>
    </row>
    <row r="112" spans="1:24" x14ac:dyDescent="0.25">
      <c r="A112" s="31" t="s">
        <v>2256</v>
      </c>
      <c r="B112" t="str">
        <f>VLOOKUP(A112,kurspris!$A$1:$Q$907,2,FALSE)</f>
        <v>Utvärdering, ledarskap och förändringsarbete</v>
      </c>
      <c r="C112" s="31">
        <v>2200</v>
      </c>
      <c r="D112" t="str">
        <f>VLOOKUP(C112,Orgenheter!$A$1:$B$214,2)</f>
        <v xml:space="preserve">Inst för psykologi            </v>
      </c>
      <c r="E112" t="str">
        <f>VLOOKUP(C112,Orgenheter!$A$1:$C$166,3,FALSE)</f>
        <v>Sam</v>
      </c>
      <c r="F112" s="263">
        <v>0.5</v>
      </c>
      <c r="G112">
        <f>VLOOKUP(A112,'Ansvar kurs'!$A$98:$C$1072,2,FALSE)</f>
        <v>2180</v>
      </c>
      <c r="H112" t="str">
        <f>VLOOKUP(G112,Orgenheter!$A$1:$B$214,2)</f>
        <v xml:space="preserve">Pedagogik                     </v>
      </c>
      <c r="I112" t="str">
        <f>VLOOKUP(G112,Orgenheter!$A$1:$C$166,3,FALSE)</f>
        <v>Sam</v>
      </c>
      <c r="J112" s="192">
        <f>IF(ISERROR(VLOOKUP(A112,'Totalt pivot'!$A$5:$C$397,2,FALSE)),0,(VLOOKUP(A112,'Totalt pivot'!$A$5:$C$397,2,FALSE)))</f>
        <v>13.875</v>
      </c>
      <c r="K112" s="192">
        <f>F112*J112</f>
        <v>6.9375</v>
      </c>
      <c r="L112" s="192">
        <f>IF(ISERROR(VLOOKUP(A112,'Totalt pivot'!$A$5:$C$397,3,FALSE)),0,(VLOOKUP(A112,'Totalt pivot'!$A$5:$C$397,3,FALSE)))</f>
        <v>11.793749999999999</v>
      </c>
      <c r="M112" s="192">
        <f>F112*L112</f>
        <v>5.8968749999999996</v>
      </c>
      <c r="N112" s="26">
        <f>VLOOKUP(A112,kurspris!$A$1:$Q$907,15)</f>
        <v>20766</v>
      </c>
      <c r="O112" s="26">
        <f>VLOOKUP(A112,kurspris!$A$1:$Q$907,16)</f>
        <v>17442</v>
      </c>
      <c r="P112" s="26">
        <f>VLOOKUP(A112,kurspris!$A$1:$Q$907,17)</f>
        <v>6000</v>
      </c>
      <c r="Q112" s="26">
        <f>K112*N112+M112*O112</f>
        <v>246917.41875000001</v>
      </c>
      <c r="R112" s="26">
        <f>(Q112*Prislapp!$R$5)*-1</f>
        <v>-17284.219312500001</v>
      </c>
      <c r="S112" s="26">
        <f>Q112+R112</f>
        <v>229633.19943750001</v>
      </c>
      <c r="T112" s="26">
        <f>K112*P112</f>
        <v>41625</v>
      </c>
    </row>
    <row r="113" spans="1:20" x14ac:dyDescent="0.25">
      <c r="A113" s="31" t="s">
        <v>2131</v>
      </c>
      <c r="B113" t="str">
        <f>VLOOKUP(A113,kurspris!$A$1:$Q$907,2,FALSE)</f>
        <v>Svenska för ämneslärare, kurs 1</v>
      </c>
      <c r="C113" s="31">
        <v>1640</v>
      </c>
      <c r="D113" t="str">
        <f>VLOOKUP(C113,Orgenheter!$A$1:$B$214,2)</f>
        <v>Inst för kultur- o medievetenskap</v>
      </c>
      <c r="E113" t="str">
        <f>VLOOKUP(C113,Orgenheter!$A$1:$C$166,3,FALSE)</f>
        <v>Hum</v>
      </c>
      <c r="F113" s="262">
        <v>0.5</v>
      </c>
      <c r="G113">
        <f>VLOOKUP(A113,'Ansvar kurs'!$A$98:$C$1072,2,FALSE)</f>
        <v>1620</v>
      </c>
      <c r="H113" t="str">
        <f>VLOOKUP(G113,Orgenheter!$A$1:$B$214,2)</f>
        <v>Inst för språkstudier</v>
      </c>
      <c r="I113" t="str">
        <f>VLOOKUP(G113,Orgenheter!$A$1:$C$166,3,FALSE)</f>
        <v>Hum</v>
      </c>
      <c r="J113" s="192">
        <f>IF(ISERROR(VLOOKUP(A113,'Totalt pivot'!$A$5:$C$397,2,FALSE)),0,(VLOOKUP(A113,'Totalt pivot'!$A$5:$C$397,2,FALSE)))</f>
        <v>20</v>
      </c>
      <c r="K113" s="192">
        <f>F113*J113</f>
        <v>10</v>
      </c>
      <c r="L113" s="192">
        <f>IF(ISERROR(VLOOKUP(A113,'Totalt pivot'!$A$5:$C$397,3,FALSE)),0,(VLOOKUP(A113,'Totalt pivot'!$A$5:$C$397,3,FALSE)))</f>
        <v>17</v>
      </c>
      <c r="M113" s="192">
        <f>F113*L113</f>
        <v>8.5</v>
      </c>
      <c r="N113" s="26">
        <f>VLOOKUP(A113,kurspris!$A$1:$Q$907,15)</f>
        <v>20766</v>
      </c>
      <c r="O113" s="26">
        <f>VLOOKUP(A113,kurspris!$A$1:$Q$907,16)</f>
        <v>17442</v>
      </c>
      <c r="P113" s="26">
        <f>VLOOKUP(A113,kurspris!$A$1:$Q$907,17)</f>
        <v>6000</v>
      </c>
      <c r="Q113" s="26">
        <f>K113*N113+M113*O113</f>
        <v>355917</v>
      </c>
      <c r="R113" s="26">
        <f>(Q113*Prislapp!$R$5)*-1</f>
        <v>-24914.190000000002</v>
      </c>
      <c r="S113" s="26">
        <f>Q113+R113</f>
        <v>331002.81</v>
      </c>
      <c r="T113" s="26">
        <f>K113*P113</f>
        <v>60000</v>
      </c>
    </row>
    <row r="114" spans="1:20" x14ac:dyDescent="0.25">
      <c r="A114" s="31" t="s">
        <v>2175</v>
      </c>
      <c r="B114" t="str">
        <f>VLOOKUP(A114,kurspris!$A$1:$Q$907,2,FALSE)</f>
        <v>Svenska för ämneslärare, kurs 2</v>
      </c>
      <c r="C114" s="31">
        <v>1640</v>
      </c>
      <c r="D114" t="str">
        <f>VLOOKUP(C114,Orgenheter!$A$1:$B$214,2)</f>
        <v>Inst för kultur- o medievetenskap</v>
      </c>
      <c r="E114" t="str">
        <f>VLOOKUP(C114,Orgenheter!$A$1:$C$166,3,FALSE)</f>
        <v>Hum</v>
      </c>
      <c r="F114" s="262">
        <v>0.5</v>
      </c>
      <c r="G114">
        <f>VLOOKUP(A114,'Ansvar kurs'!$A$98:$C$1072,2,FALSE)</f>
        <v>1620</v>
      </c>
      <c r="H114" t="str">
        <f>VLOOKUP(G114,Orgenheter!$A$1:$B$214,2)</f>
        <v>Inst för språkstudier</v>
      </c>
      <c r="I114" t="str">
        <f>VLOOKUP(G114,Orgenheter!$A$1:$C$166,3,FALSE)</f>
        <v>Hum</v>
      </c>
      <c r="J114" s="192">
        <f>IF(ISERROR(VLOOKUP(A114,'Totalt pivot'!$A$5:$C$397,2,FALSE)),0,(VLOOKUP(A114,'Totalt pivot'!$A$5:$C$397,2,FALSE)))</f>
        <v>15.5</v>
      </c>
      <c r="K114" s="192">
        <f>F114*J114</f>
        <v>7.75</v>
      </c>
      <c r="L114" s="192">
        <f>IF(ISERROR(VLOOKUP(A114,'Totalt pivot'!$A$5:$C$397,3,FALSE)),0,(VLOOKUP(A114,'Totalt pivot'!$A$5:$C$397,3,FALSE)))</f>
        <v>13.174999999999999</v>
      </c>
      <c r="M114" s="192">
        <f>F114*L114</f>
        <v>6.5874999999999995</v>
      </c>
      <c r="N114" s="26">
        <f>VLOOKUP(A114,kurspris!$A$1:$Q$907,15)</f>
        <v>20766</v>
      </c>
      <c r="O114" s="26">
        <f>VLOOKUP(A114,kurspris!$A$1:$Q$907,16)</f>
        <v>17442</v>
      </c>
      <c r="P114" s="26">
        <f>VLOOKUP(A114,kurspris!$A$1:$Q$907,17)</f>
        <v>6000</v>
      </c>
      <c r="Q114" s="26">
        <f>K114*N114+M114*O114</f>
        <v>275835.67499999999</v>
      </c>
      <c r="R114" s="26">
        <f>(Q114*Prislapp!$R$5)*-1</f>
        <v>-19308.49725</v>
      </c>
      <c r="S114" s="26">
        <f>Q114+R114</f>
        <v>256527.17774999997</v>
      </c>
      <c r="T114" s="26">
        <f>K114*P114</f>
        <v>46500</v>
      </c>
    </row>
    <row r="115" spans="1:20" x14ac:dyDescent="0.25">
      <c r="A115" s="57" t="s">
        <v>2202</v>
      </c>
      <c r="B115" t="str">
        <f>VLOOKUP(A115,kurspris!$A$1:$Q$907,2,FALSE)</f>
        <v>Svenska för ämneslärare, kurs 3</v>
      </c>
      <c r="C115" s="31">
        <v>1640</v>
      </c>
      <c r="D115" t="str">
        <f>VLOOKUP(C115,Orgenheter!$A$1:$B$214,2)</f>
        <v>Inst för kultur- o medievetenskap</v>
      </c>
      <c r="E115" t="str">
        <f>VLOOKUP(C115,Orgenheter!$A$1:$C$166,3,FALSE)</f>
        <v>Hum</v>
      </c>
      <c r="F115" s="262">
        <v>0.5</v>
      </c>
      <c r="G115">
        <f>VLOOKUP(A115,'Ansvar kurs'!$A$98:$C$1072,2,FALSE)</f>
        <v>1620</v>
      </c>
      <c r="H115" t="str">
        <f>VLOOKUP(G115,Orgenheter!$A$1:$B$214,2)</f>
        <v>Inst för språkstudier</v>
      </c>
      <c r="I115" t="str">
        <f>VLOOKUP(G115,Orgenheter!$A$1:$C$166,3,FALSE)</f>
        <v>Hum</v>
      </c>
      <c r="J115" s="192">
        <f>IF(ISERROR(VLOOKUP(A115,'Totalt pivot'!$A$5:$C$397,2,FALSE)),0,(VLOOKUP(A115,'Totalt pivot'!$A$5:$C$397,2,FALSE)))</f>
        <v>7</v>
      </c>
      <c r="K115" s="192">
        <f>F115*J115</f>
        <v>3.5</v>
      </c>
      <c r="L115" s="192">
        <f>IF(ISERROR(VLOOKUP(A115,'Totalt pivot'!$A$5:$C$397,3,FALSE)),0,(VLOOKUP(A115,'Totalt pivot'!$A$5:$C$397,3,FALSE)))</f>
        <v>5.95</v>
      </c>
      <c r="M115" s="192">
        <f>F115*L115</f>
        <v>2.9750000000000001</v>
      </c>
      <c r="N115" s="26">
        <f>VLOOKUP(A115,kurspris!$A$1:$Q$907,15)</f>
        <v>20766</v>
      </c>
      <c r="O115" s="26">
        <f>VLOOKUP(A115,kurspris!$A$1:$Q$907,16)</f>
        <v>17442</v>
      </c>
      <c r="P115" s="26">
        <f>VLOOKUP(A115,kurspris!$A$1:$Q$907,17)</f>
        <v>6000</v>
      </c>
      <c r="Q115" s="26">
        <f>K115*N115+M115*O115</f>
        <v>124570.95000000001</v>
      </c>
      <c r="R115" s="26">
        <f>(Q115*Prislapp!$R$5)*-1</f>
        <v>-8719.9665000000023</v>
      </c>
      <c r="S115" s="26">
        <f>Q115+R115</f>
        <v>115850.9835</v>
      </c>
      <c r="T115" s="26">
        <f>K115*P115</f>
        <v>21000</v>
      </c>
    </row>
    <row r="116" spans="1:20" x14ac:dyDescent="0.25">
      <c r="A116" s="31" t="s">
        <v>919</v>
      </c>
      <c r="B116" t="str">
        <f>VLOOKUP(A116,kurspris!$A$1:$Q$907,2,FALSE)</f>
        <v>Samhällsvetenskap</v>
      </c>
      <c r="C116" s="31">
        <v>2340</v>
      </c>
      <c r="D116" t="str">
        <f>VLOOKUP(C116,Orgenheter!$A$1:$B$214,2)</f>
        <v xml:space="preserve">Statsvetenskap                </v>
      </c>
      <c r="E116" t="str">
        <f>VLOOKUP(C116,Orgenheter!$A$1:$C$166,3,FALSE)</f>
        <v>Sam</v>
      </c>
      <c r="F116" s="262">
        <f>7/10</f>
        <v>0.7</v>
      </c>
      <c r="G116">
        <f>VLOOKUP(A116,'Ansvar kurs'!$A$98:$C$1072,2,FALSE)</f>
        <v>2193</v>
      </c>
      <c r="H116" t="str">
        <f>VLOOKUP(G116,Orgenheter!$A$1:$B$214,2)</f>
        <v xml:space="preserve">TUV </v>
      </c>
      <c r="I116" t="str">
        <f>VLOOKUP(G116,Orgenheter!$A$1:$C$166,3,FALSE)</f>
        <v>Sam</v>
      </c>
      <c r="J116" s="192">
        <f>IF(ISERROR(VLOOKUP(A116,'Totalt pivot'!$A$5:$C$397,2,FALSE)),0,(VLOOKUP(A116,'Totalt pivot'!$A$5:$C$397,2,FALSE)))</f>
        <v>5.1669999999999998</v>
      </c>
      <c r="K116" s="192">
        <f t="shared" ref="K116:K117" si="230">F116*J116</f>
        <v>3.6168999999999998</v>
      </c>
      <c r="L116" s="192">
        <f>IF(ISERROR(VLOOKUP(A116,'Totalt pivot'!$A$5:$C$397,3,FALSE)),0,(VLOOKUP(A116,'Totalt pivot'!$A$5:$C$397,3,FALSE)))</f>
        <v>4.3919499999999996</v>
      </c>
      <c r="M116" s="192">
        <f t="shared" si="76"/>
        <v>3.0743649999999993</v>
      </c>
      <c r="N116" s="26">
        <f>VLOOKUP(A116,kurspris!$A$1:$Q$907,15)</f>
        <v>20766</v>
      </c>
      <c r="O116" s="26">
        <f>VLOOKUP(A116,kurspris!$A$1:$Q$907,16)</f>
        <v>17442</v>
      </c>
      <c r="P116" s="26">
        <f>VLOOKUP(A116,kurspris!$A$1:$Q$907,17)</f>
        <v>6000</v>
      </c>
      <c r="Q116" s="26">
        <f t="shared" si="77"/>
        <v>128731.61972999999</v>
      </c>
      <c r="R116" s="26">
        <f>(Q116*Prislapp!$R$5)*-1</f>
        <v>-9011.2133811000003</v>
      </c>
      <c r="S116" s="26">
        <f t="shared" si="78"/>
        <v>119720.4063489</v>
      </c>
      <c r="T116" s="26">
        <f t="shared" si="79"/>
        <v>21701.399999999998</v>
      </c>
    </row>
    <row r="117" spans="1:20" x14ac:dyDescent="0.25">
      <c r="A117" s="31" t="s">
        <v>919</v>
      </c>
      <c r="B117" t="str">
        <f>VLOOKUP(A117,kurspris!$A$1:$Q$907,2,FALSE)</f>
        <v>Samhällsvetenskap</v>
      </c>
      <c r="C117" s="31">
        <v>2180</v>
      </c>
      <c r="D117" t="str">
        <f>VLOOKUP(C117,Orgenheter!$A$1:$B$214,2)</f>
        <v xml:space="preserve">Pedagogik                     </v>
      </c>
      <c r="E117" t="str">
        <f>VLOOKUP(C117,Orgenheter!$A$1:$C$166,3,FALSE)</f>
        <v>Sam</v>
      </c>
      <c r="F117" s="262">
        <f>3/10</f>
        <v>0.3</v>
      </c>
      <c r="G117">
        <f>VLOOKUP(A117,'Ansvar kurs'!$A$98:$C$1072,2,FALSE)</f>
        <v>2193</v>
      </c>
      <c r="H117" t="str">
        <f>VLOOKUP(G117,Orgenheter!$A$1:$B$214,2)</f>
        <v xml:space="preserve">TUV </v>
      </c>
      <c r="I117" t="str">
        <f>VLOOKUP(G117,Orgenheter!$A$1:$C$166,3,FALSE)</f>
        <v>Sam</v>
      </c>
      <c r="J117" s="192">
        <f>IF(ISERROR(VLOOKUP(A117,'Totalt pivot'!$A$5:$C$397,2,FALSE)),0,(VLOOKUP(A117,'Totalt pivot'!$A$5:$C$397,2,FALSE)))</f>
        <v>5.1669999999999998</v>
      </c>
      <c r="K117" s="192">
        <f t="shared" si="230"/>
        <v>1.5500999999999998</v>
      </c>
      <c r="L117" s="192">
        <f>IF(ISERROR(VLOOKUP(A117,'Totalt pivot'!$A$5:$C$397,3,FALSE)),0,(VLOOKUP(A117,'Totalt pivot'!$A$5:$C$397,3,FALSE)))</f>
        <v>4.3919499999999996</v>
      </c>
      <c r="M117" s="192">
        <f t="shared" si="76"/>
        <v>1.3175849999999998</v>
      </c>
      <c r="N117" s="26">
        <f>VLOOKUP(A117,kurspris!$A$1:$Q$907,15)</f>
        <v>20766</v>
      </c>
      <c r="O117" s="26">
        <f>VLOOKUP(A117,kurspris!$A$1:$Q$907,16)</f>
        <v>17442</v>
      </c>
      <c r="P117" s="26">
        <f>VLOOKUP(A117,kurspris!$A$1:$Q$907,17)</f>
        <v>6000</v>
      </c>
      <c r="Q117" s="26">
        <f t="shared" si="77"/>
        <v>55170.694169999988</v>
      </c>
      <c r="R117" s="26">
        <f>(Q117*Prislapp!$R$5)*-1</f>
        <v>-3861.9485918999994</v>
      </c>
      <c r="S117" s="26">
        <f t="shared" si="78"/>
        <v>51308.745578099988</v>
      </c>
      <c r="T117" s="26">
        <f t="shared" si="79"/>
        <v>9300.5999999999985</v>
      </c>
    </row>
    <row r="118" spans="1:20" x14ac:dyDescent="0.25">
      <c r="A118" s="31" t="s">
        <v>1577</v>
      </c>
      <c r="B118" t="str">
        <f>VLOOKUP(A118,kurspris!$A$1:$Q$907,2,FALSE)</f>
        <v>Beteendevetenskapliga grunder</v>
      </c>
      <c r="C118" s="31">
        <v>2180</v>
      </c>
      <c r="D118" t="str">
        <f>VLOOKUP(C118,Orgenheter!$A$1:$B$214,2)</f>
        <v xml:space="preserve">Pedagogik                     </v>
      </c>
      <c r="E118" t="str">
        <f>VLOOKUP(C118,Orgenheter!$A$1:$C$166,3,FALSE)</f>
        <v>Sam</v>
      </c>
      <c r="F118" s="262">
        <f>4.5/7.5</f>
        <v>0.6</v>
      </c>
      <c r="G118">
        <f>VLOOKUP(A118,'Ansvar kurs'!$A$98:$C$1072,2,FALSE)</f>
        <v>2193</v>
      </c>
      <c r="H118" t="str">
        <f>VLOOKUP(G118,Orgenheter!$A$1:$B$214,2)</f>
        <v xml:space="preserve">TUV </v>
      </c>
      <c r="I118" t="str">
        <f>VLOOKUP(G118,Orgenheter!$A$1:$C$166,3,FALSE)</f>
        <v>Sam</v>
      </c>
      <c r="J118" s="192">
        <f>IF(ISERROR(VLOOKUP(A118,'Totalt pivot'!$A$5:$C$397,2,FALSE)),0,(VLOOKUP(A118,'Totalt pivot'!$A$5:$C$397,2,FALSE)))</f>
        <v>0</v>
      </c>
      <c r="K118" s="192">
        <f t="shared" ref="K118:K119" si="231">F118*J118</f>
        <v>0</v>
      </c>
      <c r="L118" s="192">
        <f>IF(ISERROR(VLOOKUP(A118,'Totalt pivot'!$A$5:$C$397,3,FALSE)),0,(VLOOKUP(A118,'Totalt pivot'!$A$5:$C$397,3,FALSE)))</f>
        <v>0</v>
      </c>
      <c r="M118" s="192">
        <f t="shared" ref="M118:M119" si="232">F118*L118</f>
        <v>0</v>
      </c>
      <c r="N118" s="26">
        <f>VLOOKUP(A118,kurspris!$A$1:$Q$907,15)</f>
        <v>20766</v>
      </c>
      <c r="O118" s="26">
        <f>VLOOKUP(A118,kurspris!$A$1:$Q$907,16)</f>
        <v>17442</v>
      </c>
      <c r="P118" s="26">
        <f>VLOOKUP(A118,kurspris!$A$1:$Q$907,17)</f>
        <v>6000</v>
      </c>
      <c r="Q118" s="26">
        <f t="shared" ref="Q118:Q119" si="233">K118*N118+M118*O118</f>
        <v>0</v>
      </c>
      <c r="R118" s="26">
        <f>(Q118*Prislapp!$R$5)*-1</f>
        <v>0</v>
      </c>
      <c r="S118" s="26">
        <f t="shared" ref="S118:S119" si="234">Q118+R118</f>
        <v>0</v>
      </c>
      <c r="T118" s="26">
        <f t="shared" ref="T118:T119" si="235">K118*P118</f>
        <v>0</v>
      </c>
    </row>
    <row r="119" spans="1:20" x14ac:dyDescent="0.25">
      <c r="A119" s="31" t="s">
        <v>2343</v>
      </c>
      <c r="B119" t="str">
        <f>VLOOKUP(A119,kurspris!$A$1:$Q$907,2,FALSE)</f>
        <v>Beteendevetenskapliga grunder för karriärvägledning</v>
      </c>
      <c r="C119" s="31">
        <v>2180</v>
      </c>
      <c r="D119" t="str">
        <f>VLOOKUP(C119,Orgenheter!$A$1:$B$214,2)</f>
        <v xml:space="preserve">Pedagogik                     </v>
      </c>
      <c r="E119" t="str">
        <f>VLOOKUP(C119,Orgenheter!$A$1:$C$166,3,FALSE)</f>
        <v>Sam</v>
      </c>
      <c r="F119" s="262">
        <f>2/5</f>
        <v>0.4</v>
      </c>
      <c r="G119">
        <f>VLOOKUP(A119,'Ansvar kurs'!$A$98:$C$1072,2,FALSE)</f>
        <v>2193</v>
      </c>
      <c r="H119" t="str">
        <f>VLOOKUP(G119,Orgenheter!$A$1:$B$214,2)</f>
        <v xml:space="preserve">TUV </v>
      </c>
      <c r="I119" t="str">
        <f>VLOOKUP(G119,Orgenheter!$A$1:$C$166,3,FALSE)</f>
        <v>Sam</v>
      </c>
      <c r="J119" s="192">
        <f>IF(ISERROR(VLOOKUP(A119,'Totalt pivot'!$A$5:$C$397,2,FALSE)),0,(VLOOKUP(A119,'Totalt pivot'!$A$5:$C$397,2,FALSE)))</f>
        <v>3.5833333333333335</v>
      </c>
      <c r="K119" s="192">
        <f t="shared" si="231"/>
        <v>1.4333333333333336</v>
      </c>
      <c r="L119" s="192">
        <f>IF(ISERROR(VLOOKUP(A119,'Totalt pivot'!$A$5:$C$397,3,FALSE)),0,(VLOOKUP(A119,'Totalt pivot'!$A$5:$C$397,3,FALSE)))</f>
        <v>3.0458333333333334</v>
      </c>
      <c r="M119" s="192">
        <f t="shared" si="232"/>
        <v>1.2183333333333335</v>
      </c>
      <c r="N119" s="26">
        <f>VLOOKUP(A119,kurspris!$A$1:$Q$907,15)</f>
        <v>20766</v>
      </c>
      <c r="O119" s="26">
        <f>VLOOKUP(A119,kurspris!$A$1:$Q$907,16)</f>
        <v>17442</v>
      </c>
      <c r="P119" s="26">
        <f>VLOOKUP(A119,kurspris!$A$1:$Q$907,17)</f>
        <v>6000</v>
      </c>
      <c r="Q119" s="26">
        <f t="shared" si="233"/>
        <v>51014.770000000004</v>
      </c>
      <c r="R119" s="26">
        <f>(Q119*Prislapp!$R$5)*-1</f>
        <v>-3571.0339000000008</v>
      </c>
      <c r="S119" s="26">
        <f t="shared" si="234"/>
        <v>47443.736100000002</v>
      </c>
      <c r="T119" s="26">
        <f t="shared" si="235"/>
        <v>8600.0000000000018</v>
      </c>
    </row>
    <row r="120" spans="1:20" x14ac:dyDescent="0.25">
      <c r="F120" s="262"/>
      <c r="J120" s="192"/>
      <c r="K120" s="192"/>
      <c r="L120" s="192"/>
      <c r="M120" s="192"/>
      <c r="N120" s="26"/>
      <c r="O120" s="26"/>
      <c r="P120" s="26"/>
      <c r="Q120" s="26"/>
      <c r="R120" s="26"/>
      <c r="S120" s="26"/>
      <c r="T120" s="26"/>
    </row>
  </sheetData>
  <sheetProtection sheet="1" objects="1" scenarios="1"/>
  <autoFilter ref="A1:T120"/>
  <sortState ref="A2:T88">
    <sortCondition ref="A2:A88"/>
  </sortState>
  <phoneticPr fontId="41" type="noConversion"/>
  <pageMargins left="0.70866141732283472" right="0.70866141732283472" top="0.74803149606299213" bottom="0.7480314960629921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92D050"/>
    <pageSetUpPr autoPageBreaks="0" fitToPage="1"/>
  </sheetPr>
  <dimension ref="A1:V109"/>
  <sheetViews>
    <sheetView zoomScaleNormal="100" workbookViewId="0"/>
  </sheetViews>
  <sheetFormatPr defaultColWidth="8.85546875" defaultRowHeight="15" x14ac:dyDescent="0.25"/>
  <cols>
    <col min="1" max="1" width="6.42578125" style="6" customWidth="1"/>
    <col min="2" max="2" width="77.85546875" style="6" bestFit="1" customWidth="1"/>
    <col min="3" max="3" width="16.42578125" style="6" bestFit="1" customWidth="1"/>
    <col min="4" max="4" width="12.5703125" style="6" bestFit="1" customWidth="1"/>
    <col min="5" max="5" width="13.7109375" style="6" customWidth="1"/>
    <col min="6" max="6" width="10.5703125" style="6" bestFit="1" customWidth="1"/>
    <col min="7" max="7" width="12.42578125" style="6" bestFit="1" customWidth="1"/>
    <col min="8" max="9" width="13.5703125" style="6" customWidth="1"/>
    <col min="10" max="17" width="8.85546875" style="6"/>
    <col min="18" max="18" width="20.42578125" style="6" bestFit="1" customWidth="1"/>
    <col min="19" max="19" width="16.140625" style="6" bestFit="1" customWidth="1"/>
    <col min="20" max="16384" width="8.85546875" style="6"/>
  </cols>
  <sheetData>
    <row r="1" spans="1:22" ht="20.25" x14ac:dyDescent="0.3">
      <c r="B1" s="2" t="s">
        <v>631</v>
      </c>
      <c r="M1" s="8"/>
      <c r="N1" s="8"/>
      <c r="O1" s="8"/>
      <c r="P1" s="8"/>
      <c r="Q1" s="8"/>
      <c r="R1" s="8"/>
      <c r="S1" s="8"/>
      <c r="T1" s="8"/>
    </row>
    <row r="2" spans="1:22" ht="7.5" customHeight="1" x14ac:dyDescent="0.25">
      <c r="M2" s="8"/>
      <c r="N2" s="8"/>
      <c r="O2" s="8"/>
      <c r="P2" s="8"/>
      <c r="Q2" s="8"/>
      <c r="R2" s="8"/>
      <c r="S2" s="8"/>
      <c r="T2" s="8"/>
    </row>
    <row r="3" spans="1:22" s="3" customFormat="1" ht="15.75" x14ac:dyDescent="0.25">
      <c r="B3" s="5" t="s">
        <v>2495</v>
      </c>
      <c r="M3" s="7"/>
      <c r="N3" s="7"/>
      <c r="O3" s="7"/>
      <c r="P3" s="7"/>
      <c r="Q3" s="7"/>
      <c r="R3" s="7"/>
      <c r="S3" s="7"/>
      <c r="T3" s="7"/>
    </row>
    <row r="4" spans="1:22" s="3" customFormat="1" ht="15.75" x14ac:dyDescent="0.25">
      <c r="M4" s="7"/>
      <c r="N4" s="7"/>
      <c r="O4" s="7"/>
      <c r="P4" s="7"/>
      <c r="Q4" s="7"/>
      <c r="R4" s="7"/>
      <c r="S4" s="7"/>
      <c r="T4" s="7"/>
    </row>
    <row r="5" spans="1:22" s="3" customFormat="1" ht="19.5" thickBot="1" x14ac:dyDescent="0.35">
      <c r="B5" s="4" t="s">
        <v>156</v>
      </c>
      <c r="C5" s="23">
        <v>2021</v>
      </c>
      <c r="M5" s="7"/>
      <c r="N5" s="7"/>
      <c r="O5" s="7"/>
      <c r="P5" s="7"/>
      <c r="Q5" s="7"/>
      <c r="R5" s="7"/>
      <c r="S5" s="7"/>
      <c r="T5" s="7"/>
    </row>
    <row r="6" spans="1:22" s="3" customFormat="1" ht="21.75" customHeight="1" thickTop="1" thickBot="1" x14ac:dyDescent="0.3">
      <c r="B6" s="20" t="s">
        <v>58</v>
      </c>
      <c r="C6" s="172">
        <v>5740</v>
      </c>
      <c r="M6" s="7"/>
      <c r="N6" s="7"/>
      <c r="O6" s="7"/>
      <c r="P6" s="7"/>
      <c r="Q6" s="7"/>
      <c r="R6" s="7"/>
      <c r="S6" s="7"/>
      <c r="T6" s="7"/>
    </row>
    <row r="7" spans="1:22" s="3" customFormat="1" ht="21.75" customHeight="1" thickTop="1" thickBot="1" x14ac:dyDescent="0.3">
      <c r="B7" s="314" t="s">
        <v>71</v>
      </c>
      <c r="C7" s="171" t="str">
        <f>VLOOKUP($C$6,Orgenheter!$A$1:$C$166,3,FALSE)</f>
        <v>TekNat</v>
      </c>
      <c r="N7" s="7"/>
      <c r="O7" s="7"/>
      <c r="P7" s="7"/>
      <c r="Q7" s="7"/>
      <c r="R7" s="7"/>
      <c r="S7" s="7"/>
      <c r="T7" s="7"/>
      <c r="U7" s="7"/>
    </row>
    <row r="8" spans="1:22" s="3" customFormat="1" ht="15.75" x14ac:dyDescent="0.25">
      <c r="N8" s="7"/>
      <c r="O8" s="7"/>
      <c r="P8" s="7"/>
      <c r="Q8" s="7"/>
      <c r="R8" s="7"/>
      <c r="S8" s="7"/>
      <c r="T8" s="7"/>
      <c r="U8" s="7"/>
    </row>
    <row r="9" spans="1:22" ht="26.25" customHeight="1" x14ac:dyDescent="0.25">
      <c r="B9" s="586" t="str">
        <f>VLOOKUP(C6,Orgenheter!A2:B214,2,FALSE)</f>
        <v>NMD</v>
      </c>
      <c r="C9" s="587"/>
      <c r="D9" s="311" t="s">
        <v>61</v>
      </c>
      <c r="E9" s="311" t="s">
        <v>62</v>
      </c>
      <c r="G9" s="44"/>
      <c r="H9" s="44" t="str">
        <f>IF($C$6=1650,"MUSIK","")</f>
        <v/>
      </c>
      <c r="I9" s="44" t="str">
        <f>IF($C$6=1650,"DESIGN","")</f>
        <v/>
      </c>
      <c r="N9" s="8"/>
      <c r="O9" s="8"/>
      <c r="P9" s="8"/>
      <c r="Q9" s="8"/>
      <c r="R9" s="8"/>
      <c r="S9" s="8"/>
      <c r="T9" s="8"/>
      <c r="U9" s="8"/>
    </row>
    <row r="10" spans="1:22" ht="15.75" x14ac:dyDescent="0.25">
      <c r="B10" s="81"/>
      <c r="C10" s="24"/>
      <c r="D10" s="303"/>
      <c r="E10" s="303"/>
      <c r="G10" s="44"/>
      <c r="H10" s="44"/>
      <c r="I10" s="44"/>
      <c r="N10" s="8"/>
      <c r="O10" s="8"/>
      <c r="P10" s="8"/>
      <c r="Q10" s="8"/>
      <c r="R10" s="8"/>
      <c r="S10" s="8"/>
      <c r="T10" s="8"/>
      <c r="U10" s="8"/>
    </row>
    <row r="11" spans="1:22" ht="19.5" thickBot="1" x14ac:dyDescent="0.35">
      <c r="B11" s="194" t="s">
        <v>416</v>
      </c>
      <c r="C11" s="227">
        <f>VLOOKUP($C$6,'Totalt per inst'!$B$4:$S$40,4,FALSE)</f>
        <v>13210892.979666675</v>
      </c>
      <c r="D11" s="304">
        <f>VLOOKUP($B$9,'Totalt per inst'!$C$4:$S$40,4,FALSE)</f>
        <v>253.69458333333336</v>
      </c>
      <c r="E11" s="305">
        <f>VLOOKUP($B$9,'Totalt per inst'!$C$4:$S$40,5,FALSE)</f>
        <v>214.43997916666683</v>
      </c>
      <c r="G11" s="44" t="str">
        <f>IF($C$6=1650,"HST","")</f>
        <v/>
      </c>
      <c r="H11" s="229" t="str">
        <f>IF($C$6=1650,'kurser alla'!AZ1046,"")</f>
        <v/>
      </c>
      <c r="I11" s="229" t="str">
        <f>IF($C$6=1650,'kurser alla'!AR1046,"")</f>
        <v/>
      </c>
      <c r="N11" s="8"/>
      <c r="O11" s="8"/>
      <c r="P11" s="8"/>
      <c r="Q11" s="8"/>
      <c r="R11" s="8"/>
      <c r="S11" s="8"/>
      <c r="T11" s="8"/>
      <c r="U11" s="8"/>
    </row>
    <row r="12" spans="1:22" s="3" customFormat="1" ht="19.5" thickBot="1" x14ac:dyDescent="0.35">
      <c r="B12" s="194" t="s">
        <v>418</v>
      </c>
      <c r="C12" s="227">
        <f>VLOOKUP($C$6,'Totalt per inst'!$B$4:$S$40,8,FALSE)</f>
        <v>540907.0340000001</v>
      </c>
      <c r="D12" s="304">
        <f>VLOOKUP($B$9,'Totalt per inst'!$C$4:$S$40,8,FALSE)</f>
        <v>12.916666666666666</v>
      </c>
      <c r="E12" s="305">
        <f>VLOOKUP($B$9,'Totalt per inst'!$C$4:$S$40,9,FALSE)</f>
        <v>10.979166666666664</v>
      </c>
      <c r="G12" s="44" t="str">
        <f>IF($C$6=1650,"HPR","")</f>
        <v/>
      </c>
      <c r="H12" s="229" t="str">
        <f>IF($C$6=1650,'kurser alla'!BA1046,"")</f>
        <v/>
      </c>
      <c r="I12" s="229" t="str">
        <f>IF($C$6=1650,'kurser alla'!AS1046,"")</f>
        <v/>
      </c>
      <c r="O12" s="7"/>
      <c r="P12" s="7"/>
      <c r="Q12" s="7"/>
      <c r="R12" s="7"/>
      <c r="S12" s="7"/>
      <c r="T12" s="7"/>
      <c r="U12" s="7"/>
      <c r="V12" s="7"/>
    </row>
    <row r="13" spans="1:22" ht="19.5" thickBot="1" x14ac:dyDescent="0.35">
      <c r="B13" s="194" t="s">
        <v>417</v>
      </c>
      <c r="C13" s="227">
        <f>VLOOKUP($C$6,'Totalt per inst'!$B$4:$S$40,12,FALSE)</f>
        <v>-3056882.4824188179</v>
      </c>
      <c r="D13" s="304">
        <f>VLOOKUP($B$9,'Totalt per inst'!$C$4:$S$40,12,FALSE)</f>
        <v>-61.902451515151526</v>
      </c>
      <c r="E13" s="305">
        <f>VLOOKUP($B$9,'Totalt per inst'!$C$4:$S$40,13,FALSE)</f>
        <v>-52.617083787878791</v>
      </c>
      <c r="G13" s="44"/>
      <c r="H13" s="44"/>
      <c r="I13" s="44"/>
      <c r="N13" s="8"/>
      <c r="O13" s="8"/>
      <c r="P13" s="8"/>
      <c r="Q13" s="8"/>
      <c r="R13" s="8"/>
      <c r="S13" s="8"/>
      <c r="T13" s="8"/>
      <c r="U13" s="8"/>
    </row>
    <row r="14" spans="1:22" ht="19.5" thickBot="1" x14ac:dyDescent="0.35">
      <c r="B14" s="195" t="s">
        <v>466</v>
      </c>
      <c r="C14" s="231">
        <f>IF(C6=1650,H16+I16,0)</f>
        <v>0</v>
      </c>
      <c r="D14" s="304"/>
      <c r="E14" s="305"/>
      <c r="G14" s="44"/>
      <c r="H14" s="44"/>
      <c r="I14" s="44"/>
      <c r="N14" s="8"/>
      <c r="O14" s="8"/>
      <c r="P14" s="8"/>
      <c r="Q14" s="8"/>
      <c r="R14" s="8"/>
      <c r="S14" s="8"/>
      <c r="T14" s="8"/>
      <c r="U14" s="8"/>
    </row>
    <row r="15" spans="1:22" ht="16.5" thickBot="1" x14ac:dyDescent="0.3">
      <c r="A15" s="95"/>
      <c r="B15" s="81"/>
      <c r="C15" s="227"/>
      <c r="D15" s="306"/>
      <c r="E15" s="307"/>
      <c r="G15" s="44" t="str">
        <f>IF($C$6=1650,"Avdrag","")</f>
        <v/>
      </c>
      <c r="H15" s="44"/>
      <c r="I15" s="44"/>
      <c r="N15" s="8"/>
      <c r="O15" s="8"/>
      <c r="P15" s="8"/>
      <c r="Q15" s="8"/>
      <c r="R15" s="8"/>
      <c r="S15" s="8"/>
      <c r="T15" s="8"/>
      <c r="U15" s="8"/>
    </row>
    <row r="16" spans="1:22" ht="19.5" thickBot="1" x14ac:dyDescent="0.35">
      <c r="B16" s="82" t="s">
        <v>452</v>
      </c>
      <c r="C16" s="227">
        <f>SUM(C11:C15)</f>
        <v>10694917.531247856</v>
      </c>
      <c r="D16" s="306">
        <f>SUM(D11:D15)</f>
        <v>204.7087984848485</v>
      </c>
      <c r="E16" s="307">
        <f>SUM(E11:E15)</f>
        <v>172.8020620454547</v>
      </c>
      <c r="G16" s="44" t="str">
        <f>IF($C$6=1650,"Kursintäkter","")</f>
        <v/>
      </c>
      <c r="H16" s="230" t="str">
        <f>IF($C$6=1650,'kurser alla'!AZ1047+'kurser alla'!BA1047,"")</f>
        <v/>
      </c>
      <c r="I16" s="230" t="str">
        <f>IF($C$6=1650,'kurser alla'!AR1047+'kurser alla'!AS1047,"")</f>
        <v/>
      </c>
      <c r="J16" s="153"/>
      <c r="N16" s="8"/>
      <c r="O16" s="8"/>
      <c r="P16" s="8"/>
      <c r="Q16" s="8"/>
      <c r="R16" s="8"/>
      <c r="S16" s="8"/>
      <c r="T16" s="8"/>
      <c r="U16" s="8"/>
    </row>
    <row r="17" spans="2:21" ht="19.5" thickBot="1" x14ac:dyDescent="0.35">
      <c r="B17" s="82"/>
      <c r="C17" s="227"/>
      <c r="D17" s="308"/>
      <c r="E17" s="309"/>
      <c r="G17" s="44" t="str">
        <f>IF($C$6=1650,"Lokalintäkter","")</f>
        <v/>
      </c>
      <c r="H17" s="230" t="str">
        <f>IF($C$6=1650,'kurser alla'!AZ1048,"")</f>
        <v/>
      </c>
      <c r="I17" s="230" t="str">
        <f>IF($C$6=1650,'kurser alla'!AR1048,"")</f>
        <v/>
      </c>
      <c r="J17" s="153"/>
      <c r="N17" s="8"/>
      <c r="O17" s="8"/>
      <c r="P17" s="8"/>
      <c r="Q17" s="8"/>
      <c r="R17" s="8"/>
      <c r="S17" s="8"/>
      <c r="T17" s="8"/>
      <c r="U17" s="8"/>
    </row>
    <row r="18" spans="2:21" ht="19.5" thickBot="1" x14ac:dyDescent="0.35">
      <c r="B18" s="82" t="s">
        <v>454</v>
      </c>
      <c r="C18" s="227">
        <f>VLOOKUP($C$6,'Totalt per inst'!$B$4:$S$40,15,FALSE)</f>
        <v>3440512.1242424245</v>
      </c>
      <c r="D18" s="308"/>
      <c r="E18" s="309"/>
      <c r="H18" s="153"/>
      <c r="I18" s="153"/>
      <c r="J18" s="153"/>
      <c r="N18" s="8"/>
      <c r="O18" s="8"/>
      <c r="P18" s="8"/>
      <c r="Q18" s="8"/>
      <c r="R18" s="8"/>
      <c r="S18" s="8"/>
      <c r="T18" s="8"/>
      <c r="U18" s="8"/>
    </row>
    <row r="19" spans="2:21" ht="19.5" thickBot="1" x14ac:dyDescent="0.35">
      <c r="B19" s="195" t="s">
        <v>466</v>
      </c>
      <c r="C19" s="231">
        <f>IF(C6=1650,H17+I17,0)</f>
        <v>0</v>
      </c>
      <c r="D19" s="308"/>
      <c r="E19" s="309"/>
      <c r="H19" s="153"/>
      <c r="I19" s="153"/>
      <c r="J19" s="153"/>
      <c r="N19" s="8"/>
      <c r="O19" s="8"/>
      <c r="P19" s="8"/>
      <c r="Q19" s="8"/>
      <c r="R19" s="8"/>
      <c r="S19" s="8"/>
      <c r="T19" s="8"/>
      <c r="U19" s="8"/>
    </row>
    <row r="20" spans="2:21" ht="19.5" thickBot="1" x14ac:dyDescent="0.35">
      <c r="B20" s="82"/>
      <c r="C20" s="227"/>
      <c r="D20" s="308"/>
      <c r="E20" s="309"/>
      <c r="N20" s="8"/>
      <c r="O20" s="8"/>
      <c r="P20" s="8"/>
      <c r="Q20" s="8"/>
      <c r="R20" s="8"/>
      <c r="S20" s="8"/>
      <c r="T20" s="8"/>
      <c r="U20" s="8"/>
    </row>
    <row r="21" spans="2:21" ht="19.5" thickBot="1" x14ac:dyDescent="0.35">
      <c r="B21" s="82" t="s">
        <v>456</v>
      </c>
      <c r="C21" s="227">
        <f>IF($C$7="Sam",$C$16,$C$16+$C$18+$C$19)</f>
        <v>14135429.655490281</v>
      </c>
      <c r="D21" s="308"/>
      <c r="E21" s="309"/>
      <c r="N21" s="8"/>
      <c r="O21" s="8"/>
      <c r="P21" s="8"/>
      <c r="Q21" s="8"/>
      <c r="R21" s="8"/>
      <c r="S21" s="8"/>
      <c r="T21" s="8"/>
      <c r="U21" s="8"/>
    </row>
    <row r="22" spans="2:21" ht="18.75" x14ac:dyDescent="0.3">
      <c r="B22" s="82"/>
      <c r="C22" s="30"/>
      <c r="D22" s="309"/>
      <c r="E22" s="309"/>
      <c r="N22" s="8"/>
      <c r="O22" s="8"/>
      <c r="P22" s="8"/>
      <c r="Q22" s="8"/>
      <c r="R22" s="8"/>
      <c r="S22" s="8"/>
      <c r="T22" s="8"/>
      <c r="U22" s="8"/>
    </row>
    <row r="23" spans="2:21" x14ac:dyDescent="0.25">
      <c r="B23" s="84"/>
      <c r="C23" s="83"/>
      <c r="D23" s="310"/>
      <c r="E23" s="310"/>
      <c r="N23" s="8"/>
      <c r="O23" s="8"/>
      <c r="P23" s="8"/>
      <c r="Q23" s="8"/>
      <c r="R23" s="8"/>
      <c r="S23" s="8"/>
      <c r="T23" s="8"/>
      <c r="U23" s="8"/>
    </row>
    <row r="24" spans="2:21" x14ac:dyDescent="0.25">
      <c r="N24" s="8"/>
      <c r="O24" s="8"/>
      <c r="P24" s="8"/>
      <c r="Q24" s="8"/>
      <c r="R24" s="8"/>
      <c r="S24" s="8"/>
      <c r="T24" s="8"/>
      <c r="U24" s="8"/>
    </row>
    <row r="25" spans="2:21" x14ac:dyDescent="0.25">
      <c r="B25" s="44" t="s">
        <v>632</v>
      </c>
      <c r="M25" s="8"/>
      <c r="N25" s="8"/>
      <c r="O25" s="8"/>
      <c r="P25" s="8"/>
      <c r="Q25" s="8"/>
      <c r="R25" s="8"/>
      <c r="S25" s="8"/>
      <c r="T25" s="8"/>
    </row>
    <row r="26" spans="2:21" x14ac:dyDescent="0.25">
      <c r="B26" s="91" t="s">
        <v>633</v>
      </c>
      <c r="M26" s="8"/>
      <c r="N26" s="8"/>
      <c r="O26" s="8"/>
      <c r="P26" s="8"/>
      <c r="Q26" s="8"/>
      <c r="R26" s="8"/>
      <c r="S26" s="8"/>
      <c r="T26" s="8"/>
    </row>
    <row r="27" spans="2:21" ht="34.5" customHeight="1" x14ac:dyDescent="0.25">
      <c r="H27" s="588" t="str">
        <f>IF(C7="Sam","Till Samfak lokalintäkter per månad","")</f>
        <v/>
      </c>
      <c r="I27" s="588"/>
      <c r="M27" s="8"/>
      <c r="N27" s="8"/>
      <c r="O27" s="8"/>
      <c r="P27" s="8"/>
      <c r="Q27" s="8"/>
      <c r="R27" s="8"/>
      <c r="S27" s="8"/>
      <c r="T27" s="8"/>
    </row>
    <row r="28" spans="2:21" ht="16.5" thickBot="1" x14ac:dyDescent="0.3">
      <c r="F28" s="24"/>
      <c r="I28" s="228" t="str">
        <f>IF(C7="Sam",($C$18-D30)/4,"")</f>
        <v/>
      </c>
      <c r="J28" s="98"/>
      <c r="M28" s="8"/>
      <c r="N28" s="8"/>
      <c r="O28" s="8"/>
      <c r="P28" s="8"/>
      <c r="Q28" s="8"/>
      <c r="R28" s="8"/>
      <c r="S28" s="8"/>
      <c r="T28" s="8"/>
    </row>
    <row r="29" spans="2:21" ht="16.5" thickBot="1" x14ac:dyDescent="0.3">
      <c r="B29" s="86" t="s">
        <v>321</v>
      </c>
      <c r="C29" s="87" t="s">
        <v>375</v>
      </c>
      <c r="D29" s="87" t="s">
        <v>149</v>
      </c>
      <c r="E29" s="88" t="s">
        <v>455</v>
      </c>
      <c r="F29" s="312"/>
      <c r="J29" s="98"/>
      <c r="M29" s="8"/>
      <c r="N29" s="8"/>
      <c r="O29" s="8"/>
      <c r="P29" s="8"/>
      <c r="Q29" s="8"/>
      <c r="R29" s="8"/>
      <c r="S29" s="8"/>
      <c r="T29" s="8"/>
    </row>
    <row r="30" spans="2:21" ht="25.5" customHeight="1" thickBot="1" x14ac:dyDescent="0.3">
      <c r="B30" s="405" t="s">
        <v>2496</v>
      </c>
      <c r="C30" s="404">
        <f>VLOOKUP(C6,'Utfördelat tom aug'!A3:L28,10,FALSE)</f>
        <v>7542530.1353547946</v>
      </c>
      <c r="D30" s="404">
        <f>VLOOKUP($C$6,'Utfördelat tom aug'!$A$3:$L$28,11,FALSE)</f>
        <v>2432106.1326118326</v>
      </c>
      <c r="E30" s="404">
        <f>SUM(C30:D30)</f>
        <v>9974636.2679666281</v>
      </c>
      <c r="F30" s="313"/>
      <c r="J30" s="98"/>
      <c r="M30" s="8"/>
      <c r="N30" s="8"/>
      <c r="O30" s="8"/>
      <c r="P30" s="8"/>
      <c r="Q30" s="8"/>
      <c r="R30" s="8"/>
      <c r="S30" s="8"/>
      <c r="T30" s="8"/>
    </row>
    <row r="31" spans="2:21" ht="27" customHeight="1" thickBot="1" x14ac:dyDescent="0.3">
      <c r="B31" s="175" t="s">
        <v>2497</v>
      </c>
      <c r="C31" s="227">
        <f>($C$16-C30)/4</f>
        <v>788096.84897326538</v>
      </c>
      <c r="D31" s="227">
        <f>(IF($C$7="Sam",0,($C$18+$C$19-D30))/4)</f>
        <v>252101.49790764798</v>
      </c>
      <c r="E31" s="227">
        <f>SUM(C31:D31)</f>
        <v>1040198.3468809134</v>
      </c>
      <c r="F31" s="313"/>
      <c r="H31" s="98"/>
      <c r="N31" s="8"/>
      <c r="O31" s="8"/>
      <c r="P31" s="8"/>
      <c r="Q31" s="8"/>
      <c r="R31" s="8"/>
      <c r="S31" s="8"/>
      <c r="T31" s="8"/>
      <c r="U31" s="8"/>
    </row>
    <row r="32" spans="2:21" ht="16.5" thickBot="1" x14ac:dyDescent="0.3">
      <c r="B32" s="85"/>
      <c r="C32" s="154"/>
      <c r="D32" s="154"/>
      <c r="E32" s="155"/>
      <c r="F32" s="313"/>
      <c r="H32" s="98"/>
      <c r="N32" s="8"/>
      <c r="O32" s="8"/>
      <c r="P32" s="8"/>
      <c r="Q32" s="8"/>
      <c r="R32" s="8"/>
      <c r="S32" s="8"/>
      <c r="T32" s="8"/>
      <c r="U32" s="8"/>
    </row>
    <row r="33" spans="2:21" ht="16.5" thickBot="1" x14ac:dyDescent="0.3">
      <c r="B33" s="85"/>
      <c r="C33" s="154"/>
      <c r="D33" s="154"/>
      <c r="E33" s="155"/>
      <c r="F33" s="313"/>
      <c r="H33" s="98"/>
      <c r="I33" s="98"/>
      <c r="N33" s="8"/>
      <c r="O33" s="8"/>
      <c r="P33" s="8"/>
      <c r="Q33" s="8"/>
      <c r="R33" s="8"/>
      <c r="S33" s="10"/>
      <c r="T33" s="7"/>
      <c r="U33" s="7"/>
    </row>
    <row r="34" spans="2:21" ht="15.75" x14ac:dyDescent="0.25">
      <c r="F34" s="24"/>
      <c r="M34" s="8"/>
      <c r="N34" s="8"/>
      <c r="O34" s="8"/>
      <c r="P34" s="8"/>
      <c r="Q34" s="8"/>
      <c r="R34" s="8"/>
      <c r="S34" s="7"/>
      <c r="T34" s="7"/>
    </row>
    <row r="35" spans="2:21" ht="15.75" x14ac:dyDescent="0.25">
      <c r="M35" s="8"/>
      <c r="N35" s="8"/>
      <c r="O35" s="8"/>
      <c r="P35" s="8"/>
      <c r="Q35" s="8"/>
      <c r="R35" s="7"/>
      <c r="S35" s="7"/>
      <c r="T35" s="7"/>
    </row>
    <row r="36" spans="2:21" ht="15.75" x14ac:dyDescent="0.25">
      <c r="M36" s="8"/>
      <c r="N36" s="8"/>
      <c r="O36" s="8"/>
      <c r="P36" s="8"/>
      <c r="Q36" s="8"/>
      <c r="R36" s="8"/>
      <c r="S36" s="7"/>
      <c r="T36" s="7"/>
    </row>
    <row r="37" spans="2:21" ht="15.75" x14ac:dyDescent="0.25">
      <c r="M37" s="8"/>
      <c r="N37" s="8"/>
      <c r="O37" s="8"/>
      <c r="P37" s="8"/>
      <c r="Q37" s="8"/>
      <c r="R37" s="8"/>
      <c r="S37" s="7"/>
      <c r="T37" s="7"/>
    </row>
    <row r="38" spans="2:21" x14ac:dyDescent="0.25">
      <c r="M38" s="8"/>
      <c r="N38" s="8"/>
      <c r="O38" s="8"/>
      <c r="P38" s="8"/>
      <c r="Q38" s="8"/>
      <c r="R38" s="8"/>
      <c r="S38" s="8"/>
      <c r="T38" s="8"/>
    </row>
    <row r="39" spans="2:21" x14ac:dyDescent="0.25">
      <c r="M39" s="8"/>
      <c r="N39" s="8"/>
      <c r="O39" s="8"/>
      <c r="P39" s="8"/>
      <c r="Q39" s="8"/>
      <c r="R39" s="8"/>
      <c r="S39" s="8"/>
      <c r="T39" s="8"/>
    </row>
    <row r="40" spans="2:21" ht="15.75" x14ac:dyDescent="0.25">
      <c r="M40" s="8"/>
      <c r="N40" s="8"/>
      <c r="O40" s="8"/>
      <c r="P40" s="8"/>
      <c r="Q40" s="8"/>
      <c r="R40" s="7"/>
      <c r="S40" s="17"/>
      <c r="T40" s="17"/>
    </row>
    <row r="41" spans="2:21" ht="15.75" x14ac:dyDescent="0.25">
      <c r="M41" s="8"/>
      <c r="N41" s="8"/>
      <c r="O41" s="8"/>
      <c r="P41" s="8"/>
      <c r="Q41" s="8"/>
      <c r="R41" s="7"/>
      <c r="S41" s="8"/>
      <c r="T41" s="8"/>
    </row>
    <row r="42" spans="2:21" x14ac:dyDescent="0.25">
      <c r="M42" s="8"/>
      <c r="N42" s="8"/>
      <c r="O42" s="8"/>
      <c r="P42" s="8"/>
      <c r="Q42" s="8"/>
      <c r="R42" s="8"/>
      <c r="S42" s="8"/>
      <c r="T42" s="8"/>
    </row>
    <row r="43" spans="2:21" x14ac:dyDescent="0.25">
      <c r="M43" s="8"/>
      <c r="N43" s="8"/>
      <c r="O43" s="8"/>
      <c r="P43" s="8"/>
      <c r="Q43" s="8"/>
      <c r="R43" s="8"/>
      <c r="S43" s="8"/>
      <c r="T43" s="8"/>
    </row>
    <row r="44" spans="2:21" x14ac:dyDescent="0.25">
      <c r="M44" s="8"/>
      <c r="N44" s="8"/>
      <c r="O44" s="8"/>
      <c r="P44" s="8"/>
      <c r="Q44" s="8"/>
      <c r="R44" s="8"/>
      <c r="S44" s="8"/>
      <c r="T44" s="8"/>
    </row>
    <row r="45" spans="2:21" ht="15.75" x14ac:dyDescent="0.25">
      <c r="M45" s="8"/>
      <c r="N45" s="8"/>
      <c r="O45" s="8"/>
      <c r="P45" s="8"/>
      <c r="Q45" s="8"/>
      <c r="R45" s="7"/>
      <c r="S45" s="8"/>
      <c r="T45" s="8"/>
    </row>
    <row r="46" spans="2:21" ht="15.75" x14ac:dyDescent="0.25">
      <c r="M46" s="8"/>
      <c r="N46" s="8"/>
      <c r="O46" s="8"/>
      <c r="P46" s="8"/>
      <c r="Q46" s="8"/>
      <c r="R46" s="7"/>
      <c r="S46" s="8"/>
      <c r="T46" s="8"/>
    </row>
    <row r="47" spans="2:21" x14ac:dyDescent="0.25">
      <c r="M47" s="8"/>
      <c r="N47" s="8"/>
      <c r="O47" s="8"/>
      <c r="P47" s="8"/>
      <c r="Q47" s="8"/>
      <c r="R47" s="8"/>
      <c r="S47" s="8"/>
      <c r="T47" s="8"/>
    </row>
    <row r="48" spans="2:21" x14ac:dyDescent="0.25">
      <c r="M48" s="8"/>
      <c r="N48" s="8"/>
      <c r="O48" s="8"/>
      <c r="P48" s="8"/>
      <c r="Q48" s="8"/>
      <c r="R48" s="8"/>
      <c r="S48" s="8"/>
      <c r="T48" s="8"/>
    </row>
    <row r="49" spans="13:20" x14ac:dyDescent="0.25">
      <c r="M49" s="8"/>
      <c r="N49" s="8"/>
      <c r="O49" s="8"/>
      <c r="P49" s="8"/>
      <c r="Q49" s="8"/>
      <c r="R49" s="17"/>
      <c r="S49" s="8"/>
      <c r="T49" s="8"/>
    </row>
    <row r="50" spans="13:20" x14ac:dyDescent="0.25">
      <c r="M50" s="8"/>
      <c r="N50" s="8"/>
      <c r="O50" s="8"/>
      <c r="P50" s="8"/>
      <c r="Q50" s="8"/>
      <c r="R50" s="21"/>
      <c r="S50" s="17"/>
      <c r="T50" s="8"/>
    </row>
    <row r="51" spans="13:20" x14ac:dyDescent="0.25">
      <c r="M51" s="8"/>
      <c r="N51" s="8"/>
      <c r="O51" s="8"/>
      <c r="P51" s="8"/>
      <c r="Q51" s="8"/>
      <c r="R51" s="22"/>
      <c r="S51" s="8"/>
      <c r="T51" s="8"/>
    </row>
    <row r="52" spans="13:20" x14ac:dyDescent="0.25">
      <c r="M52" s="8"/>
      <c r="N52" s="8"/>
      <c r="O52" s="8"/>
      <c r="P52" s="8"/>
      <c r="Q52" s="8"/>
      <c r="R52" s="22"/>
      <c r="S52" s="8"/>
      <c r="T52" s="8"/>
    </row>
    <row r="53" spans="13:20" x14ac:dyDescent="0.25">
      <c r="M53" s="8"/>
      <c r="N53" s="8"/>
      <c r="O53" s="8"/>
      <c r="P53" s="8"/>
      <c r="Q53" s="8"/>
      <c r="R53" s="22"/>
      <c r="S53" s="22"/>
      <c r="T53" s="8"/>
    </row>
    <row r="54" spans="13:20" x14ac:dyDescent="0.25">
      <c r="M54" s="8"/>
      <c r="N54" s="8"/>
      <c r="O54" s="8"/>
      <c r="P54" s="8"/>
      <c r="Q54" s="8"/>
      <c r="R54" s="22"/>
      <c r="S54" s="22"/>
      <c r="T54" s="8"/>
    </row>
    <row r="55" spans="13:20" x14ac:dyDescent="0.25">
      <c r="M55" s="8"/>
      <c r="N55" s="8"/>
      <c r="O55" s="8"/>
      <c r="P55" s="8"/>
      <c r="Q55" s="8"/>
      <c r="R55" s="22"/>
      <c r="S55" s="8"/>
      <c r="T55" s="8"/>
    </row>
    <row r="56" spans="13:20" x14ac:dyDescent="0.25">
      <c r="M56" s="8"/>
      <c r="N56" s="8"/>
      <c r="O56" s="8"/>
      <c r="P56" s="8"/>
      <c r="Q56" s="8"/>
      <c r="R56" s="22"/>
      <c r="S56" s="8"/>
      <c r="T56" s="8"/>
    </row>
    <row r="57" spans="13:20" x14ac:dyDescent="0.25">
      <c r="M57" s="8"/>
      <c r="N57" s="8"/>
      <c r="O57" s="8"/>
      <c r="P57" s="8"/>
      <c r="Q57" s="8"/>
      <c r="R57" s="22"/>
      <c r="S57" s="8"/>
      <c r="T57" s="8"/>
    </row>
    <row r="58" spans="13:20" x14ac:dyDescent="0.25">
      <c r="M58" s="8"/>
      <c r="N58" s="8"/>
      <c r="O58" s="8"/>
      <c r="P58" s="8"/>
      <c r="Q58" s="8"/>
      <c r="R58" s="22"/>
      <c r="S58" s="22"/>
      <c r="T58" s="8"/>
    </row>
    <row r="59" spans="13:20" x14ac:dyDescent="0.25">
      <c r="M59" s="8"/>
      <c r="N59" s="8"/>
      <c r="O59" s="8"/>
      <c r="P59" s="8"/>
      <c r="Q59" s="8"/>
      <c r="R59" s="22"/>
      <c r="S59" s="22"/>
      <c r="T59" s="8"/>
    </row>
    <row r="60" spans="13:20" x14ac:dyDescent="0.25">
      <c r="M60" s="8"/>
      <c r="N60" s="8"/>
      <c r="O60" s="8"/>
      <c r="P60" s="8"/>
      <c r="Q60" s="8"/>
      <c r="R60" s="22"/>
      <c r="S60" s="22"/>
      <c r="T60" s="8"/>
    </row>
    <row r="61" spans="13:20" x14ac:dyDescent="0.25">
      <c r="M61" s="8"/>
      <c r="N61" s="8"/>
      <c r="O61" s="8"/>
      <c r="P61" s="8"/>
      <c r="Q61" s="8"/>
      <c r="R61" s="22"/>
      <c r="S61" s="22"/>
      <c r="T61" s="8"/>
    </row>
    <row r="62" spans="13:20" x14ac:dyDescent="0.25">
      <c r="M62" s="8"/>
      <c r="N62" s="8"/>
      <c r="O62" s="8"/>
      <c r="P62" s="8"/>
      <c r="Q62" s="8"/>
      <c r="R62" s="22"/>
      <c r="S62" s="22"/>
      <c r="T62" s="8"/>
    </row>
    <row r="63" spans="13:20" x14ac:dyDescent="0.25">
      <c r="M63" s="8"/>
      <c r="N63" s="8"/>
      <c r="O63" s="8"/>
      <c r="P63" s="8"/>
      <c r="Q63" s="8"/>
      <c r="R63" s="22"/>
      <c r="S63" s="22"/>
      <c r="T63" s="8"/>
    </row>
    <row r="64" spans="13:20" x14ac:dyDescent="0.25">
      <c r="M64" s="8"/>
      <c r="N64" s="8"/>
      <c r="O64" s="8"/>
      <c r="P64" s="8"/>
      <c r="Q64" s="8"/>
      <c r="R64" s="22"/>
      <c r="S64" s="22"/>
      <c r="T64" s="8"/>
    </row>
    <row r="65" spans="13:20" x14ac:dyDescent="0.25">
      <c r="M65" s="8"/>
      <c r="N65" s="8"/>
      <c r="O65" s="8"/>
      <c r="P65" s="8"/>
      <c r="Q65" s="8"/>
      <c r="R65" s="22"/>
      <c r="S65" s="22"/>
      <c r="T65" s="8"/>
    </row>
    <row r="66" spans="13:20" x14ac:dyDescent="0.25">
      <c r="M66" s="8"/>
      <c r="N66" s="8"/>
      <c r="O66" s="8"/>
      <c r="P66" s="8"/>
      <c r="Q66" s="8"/>
      <c r="R66" s="22"/>
      <c r="S66" s="22"/>
      <c r="T66" s="8"/>
    </row>
    <row r="67" spans="13:20" x14ac:dyDescent="0.25">
      <c r="M67" s="8"/>
      <c r="N67" s="8"/>
      <c r="O67" s="8"/>
      <c r="P67" s="8"/>
      <c r="Q67" s="8"/>
      <c r="R67" s="22"/>
      <c r="S67" s="22"/>
      <c r="T67" s="8"/>
    </row>
    <row r="68" spans="13:20" x14ac:dyDescent="0.25">
      <c r="M68" s="8"/>
      <c r="N68" s="8"/>
      <c r="O68" s="8"/>
      <c r="P68" s="8"/>
      <c r="Q68" s="8"/>
      <c r="R68" s="22"/>
      <c r="S68" s="22"/>
      <c r="T68" s="8"/>
    </row>
    <row r="69" spans="13:20" x14ac:dyDescent="0.25">
      <c r="M69" s="8"/>
      <c r="N69" s="8"/>
      <c r="O69" s="8"/>
      <c r="P69" s="8"/>
      <c r="Q69" s="8"/>
      <c r="R69" s="22"/>
      <c r="S69" s="22"/>
      <c r="T69" s="8"/>
    </row>
    <row r="70" spans="13:20" x14ac:dyDescent="0.25">
      <c r="M70" s="8"/>
      <c r="N70" s="8"/>
      <c r="O70" s="8"/>
      <c r="P70" s="8"/>
      <c r="Q70" s="8"/>
      <c r="R70" s="22"/>
      <c r="S70" s="22"/>
      <c r="T70" s="8"/>
    </row>
    <row r="71" spans="13:20" x14ac:dyDescent="0.25">
      <c r="M71" s="8"/>
      <c r="N71" s="8"/>
      <c r="O71" s="8"/>
      <c r="P71" s="8"/>
      <c r="Q71" s="8"/>
      <c r="R71" s="22"/>
      <c r="S71" s="22"/>
      <c r="T71" s="8"/>
    </row>
    <row r="72" spans="13:20" x14ac:dyDescent="0.25">
      <c r="M72" s="8"/>
      <c r="N72" s="8"/>
      <c r="O72" s="8"/>
      <c r="P72" s="8"/>
      <c r="Q72" s="8"/>
      <c r="R72" s="8"/>
      <c r="S72" s="22"/>
      <c r="T72" s="8"/>
    </row>
    <row r="73" spans="13:20" x14ac:dyDescent="0.25">
      <c r="M73" s="8"/>
      <c r="N73" s="8"/>
      <c r="O73" s="8"/>
      <c r="P73" s="8"/>
      <c r="Q73" s="8"/>
      <c r="R73" s="8"/>
      <c r="S73" s="22"/>
      <c r="T73" s="8"/>
    </row>
    <row r="74" spans="13:20" x14ac:dyDescent="0.25">
      <c r="M74" s="8"/>
      <c r="N74" s="8"/>
      <c r="O74" s="8"/>
      <c r="P74" s="8"/>
      <c r="Q74" s="8"/>
      <c r="R74" s="17"/>
      <c r="S74" s="22"/>
      <c r="T74" s="8"/>
    </row>
    <row r="75" spans="13:20" x14ac:dyDescent="0.25">
      <c r="M75" s="8"/>
      <c r="N75" s="8"/>
      <c r="O75" s="8"/>
      <c r="P75" s="8"/>
      <c r="Q75" s="8"/>
      <c r="R75" s="22"/>
      <c r="S75" s="22"/>
      <c r="T75" s="8"/>
    </row>
    <row r="76" spans="13:20" x14ac:dyDescent="0.25">
      <c r="M76" s="8"/>
      <c r="N76" s="8"/>
      <c r="O76" s="8"/>
      <c r="P76" s="8"/>
      <c r="Q76" s="8"/>
      <c r="R76" s="22"/>
      <c r="S76" s="22"/>
      <c r="T76" s="8"/>
    </row>
    <row r="77" spans="13:20" x14ac:dyDescent="0.25">
      <c r="M77" s="8"/>
      <c r="N77" s="8"/>
      <c r="O77" s="8"/>
      <c r="P77" s="8"/>
      <c r="Q77" s="8"/>
      <c r="R77" s="22"/>
      <c r="S77" s="22"/>
      <c r="T77" s="8"/>
    </row>
    <row r="78" spans="13:20" x14ac:dyDescent="0.25">
      <c r="M78" s="8"/>
      <c r="N78" s="8"/>
      <c r="O78" s="8"/>
      <c r="P78" s="8"/>
      <c r="Q78" s="8"/>
      <c r="R78" s="22"/>
      <c r="S78" s="22"/>
      <c r="T78" s="8"/>
    </row>
    <row r="79" spans="13:20" x14ac:dyDescent="0.25">
      <c r="M79" s="8"/>
      <c r="N79" s="8"/>
      <c r="O79" s="8"/>
      <c r="P79" s="8"/>
      <c r="Q79" s="8"/>
      <c r="R79" s="22"/>
      <c r="S79" s="22"/>
      <c r="T79" s="8"/>
    </row>
    <row r="80" spans="13:20" x14ac:dyDescent="0.25">
      <c r="M80" s="8"/>
      <c r="N80" s="8"/>
      <c r="O80" s="8"/>
      <c r="P80" s="8"/>
      <c r="Q80" s="8"/>
      <c r="R80" s="17"/>
      <c r="S80" s="22"/>
      <c r="T80" s="8"/>
    </row>
    <row r="81" spans="13:20" x14ac:dyDescent="0.25">
      <c r="M81" s="8"/>
      <c r="N81" s="8"/>
      <c r="O81" s="8"/>
      <c r="P81" s="8"/>
      <c r="Q81" s="8"/>
      <c r="R81" s="8"/>
      <c r="S81" s="22"/>
      <c r="T81" s="8"/>
    </row>
    <row r="82" spans="13:20" x14ac:dyDescent="0.25">
      <c r="M82" s="8"/>
      <c r="N82" s="8"/>
      <c r="O82" s="8"/>
      <c r="P82" s="8"/>
      <c r="Q82" s="8"/>
      <c r="R82" s="22"/>
      <c r="S82" s="22"/>
      <c r="T82" s="8"/>
    </row>
    <row r="83" spans="13:20" x14ac:dyDescent="0.25">
      <c r="M83" s="8"/>
      <c r="N83" s="8"/>
      <c r="O83" s="8"/>
      <c r="P83" s="8"/>
      <c r="Q83" s="8"/>
      <c r="R83" s="22"/>
      <c r="S83" s="22"/>
      <c r="T83" s="8"/>
    </row>
    <row r="84" spans="13:20" x14ac:dyDescent="0.25">
      <c r="M84" s="8"/>
      <c r="N84" s="8"/>
      <c r="O84" s="8"/>
      <c r="P84" s="8"/>
      <c r="Q84" s="8"/>
      <c r="R84" s="22"/>
      <c r="S84" s="22"/>
      <c r="T84" s="8"/>
    </row>
    <row r="85" spans="13:20" x14ac:dyDescent="0.25">
      <c r="M85" s="8"/>
      <c r="N85" s="8"/>
      <c r="O85" s="8"/>
      <c r="P85" s="8"/>
      <c r="Q85" s="8"/>
      <c r="R85" s="22"/>
      <c r="S85" s="22"/>
      <c r="T85" s="8"/>
    </row>
    <row r="86" spans="13:20" x14ac:dyDescent="0.25">
      <c r="M86" s="8"/>
      <c r="N86" s="8"/>
      <c r="O86" s="8"/>
      <c r="P86" s="8"/>
      <c r="Q86" s="8"/>
      <c r="R86" s="17"/>
      <c r="S86" s="22"/>
      <c r="T86" s="8"/>
    </row>
    <row r="87" spans="13:20" x14ac:dyDescent="0.25">
      <c r="M87" s="8"/>
      <c r="N87" s="8"/>
      <c r="O87" s="8"/>
      <c r="P87" s="8"/>
      <c r="Q87" s="8"/>
      <c r="R87" s="8"/>
      <c r="S87" s="22"/>
      <c r="T87" s="8"/>
    </row>
    <row r="88" spans="13:20" x14ac:dyDescent="0.25">
      <c r="M88" s="8"/>
      <c r="N88" s="8"/>
      <c r="O88" s="8"/>
      <c r="P88" s="8"/>
      <c r="Q88" s="8"/>
      <c r="R88" s="22"/>
      <c r="S88" s="22"/>
      <c r="T88" s="8"/>
    </row>
    <row r="89" spans="13:20" x14ac:dyDescent="0.25">
      <c r="M89" s="8"/>
      <c r="N89" s="8"/>
      <c r="O89" s="8"/>
      <c r="P89" s="8"/>
      <c r="Q89" s="8"/>
      <c r="R89" s="22"/>
      <c r="S89" s="22"/>
      <c r="T89" s="8"/>
    </row>
    <row r="90" spans="13:20" x14ac:dyDescent="0.25">
      <c r="M90" s="8"/>
      <c r="N90" s="8"/>
      <c r="O90" s="8"/>
      <c r="P90" s="8"/>
      <c r="Q90" s="8"/>
      <c r="R90" s="22"/>
      <c r="S90" s="22"/>
      <c r="T90" s="8"/>
    </row>
    <row r="91" spans="13:20" x14ac:dyDescent="0.25">
      <c r="M91" s="8"/>
      <c r="N91" s="8"/>
      <c r="O91" s="8"/>
      <c r="P91" s="8"/>
      <c r="Q91" s="8"/>
      <c r="R91" s="22"/>
      <c r="S91" s="22"/>
      <c r="T91" s="8"/>
    </row>
    <row r="92" spans="13:20" x14ac:dyDescent="0.25">
      <c r="M92" s="8"/>
      <c r="N92" s="8"/>
      <c r="O92" s="8"/>
      <c r="P92" s="8"/>
      <c r="Q92" s="8"/>
      <c r="R92" s="22"/>
      <c r="S92" s="22"/>
      <c r="T92" s="8"/>
    </row>
    <row r="93" spans="13:20" x14ac:dyDescent="0.25">
      <c r="M93" s="8"/>
      <c r="N93" s="8"/>
      <c r="O93" s="8"/>
      <c r="P93" s="8"/>
      <c r="Q93" s="8"/>
      <c r="R93" s="22"/>
      <c r="S93" s="22"/>
      <c r="T93" s="8"/>
    </row>
    <row r="94" spans="13:20" x14ac:dyDescent="0.25">
      <c r="M94" s="8"/>
      <c r="N94" s="8"/>
      <c r="O94" s="8"/>
      <c r="P94" s="8"/>
      <c r="Q94" s="8"/>
      <c r="R94" s="22"/>
      <c r="S94" s="22"/>
      <c r="T94" s="8"/>
    </row>
    <row r="95" spans="13:20" x14ac:dyDescent="0.25">
      <c r="M95" s="8"/>
      <c r="N95" s="8"/>
      <c r="O95" s="8"/>
      <c r="P95" s="8"/>
      <c r="Q95" s="8"/>
      <c r="R95" s="22"/>
      <c r="S95" s="22"/>
      <c r="T95" s="8"/>
    </row>
    <row r="96" spans="13:20" x14ac:dyDescent="0.25">
      <c r="M96" s="8"/>
      <c r="N96" s="8"/>
      <c r="O96" s="8"/>
      <c r="P96" s="8"/>
      <c r="Q96" s="8"/>
      <c r="R96" s="22"/>
      <c r="S96" s="22"/>
      <c r="T96" s="8"/>
    </row>
    <row r="97" spans="13:20" x14ac:dyDescent="0.25">
      <c r="M97" s="8"/>
      <c r="N97" s="8"/>
      <c r="O97" s="8"/>
      <c r="P97" s="8"/>
      <c r="Q97" s="8"/>
      <c r="R97" s="22"/>
      <c r="S97" s="22"/>
      <c r="T97" s="8"/>
    </row>
    <row r="98" spans="13:20" x14ac:dyDescent="0.25">
      <c r="M98" s="8"/>
      <c r="N98" s="8"/>
      <c r="O98" s="8"/>
      <c r="P98" s="8"/>
      <c r="Q98" s="8"/>
      <c r="R98" s="22"/>
      <c r="S98" s="22"/>
      <c r="T98" s="8"/>
    </row>
    <row r="99" spans="13:20" x14ac:dyDescent="0.25">
      <c r="M99" s="8"/>
      <c r="N99" s="8"/>
      <c r="O99" s="8"/>
      <c r="P99" s="8"/>
      <c r="Q99" s="8"/>
      <c r="R99" s="22"/>
      <c r="S99" s="22"/>
      <c r="T99" s="8"/>
    </row>
    <row r="100" spans="13:20" x14ac:dyDescent="0.25">
      <c r="M100" s="8"/>
      <c r="N100" s="8"/>
      <c r="O100" s="8"/>
      <c r="P100" s="8"/>
      <c r="Q100" s="8"/>
      <c r="R100" s="22"/>
      <c r="S100" s="22"/>
      <c r="T100" s="8"/>
    </row>
    <row r="101" spans="13:20" x14ac:dyDescent="0.25">
      <c r="M101" s="8"/>
      <c r="N101" s="8"/>
      <c r="O101" s="8"/>
      <c r="P101" s="8"/>
      <c r="Q101" s="8"/>
      <c r="R101" s="22"/>
      <c r="S101" s="22"/>
      <c r="T101" s="8"/>
    </row>
    <row r="102" spans="13:20" x14ac:dyDescent="0.25">
      <c r="M102" s="8"/>
      <c r="N102" s="8"/>
      <c r="O102" s="8"/>
      <c r="P102" s="8"/>
      <c r="Q102" s="8"/>
      <c r="R102" s="22"/>
      <c r="S102" s="22"/>
      <c r="T102" s="8"/>
    </row>
    <row r="103" spans="13:20" x14ac:dyDescent="0.25">
      <c r="M103" s="8"/>
      <c r="N103" s="8"/>
      <c r="O103" s="8"/>
      <c r="P103" s="8"/>
      <c r="Q103" s="8"/>
      <c r="R103" s="22"/>
      <c r="S103" s="22"/>
      <c r="T103" s="8"/>
    </row>
    <row r="104" spans="13:20" x14ac:dyDescent="0.25">
      <c r="M104" s="8"/>
      <c r="N104" s="8"/>
      <c r="O104" s="8"/>
      <c r="P104" s="8"/>
      <c r="Q104" s="8"/>
      <c r="R104" s="22"/>
      <c r="S104" s="22"/>
      <c r="T104" s="8"/>
    </row>
    <row r="105" spans="13:20" x14ac:dyDescent="0.25">
      <c r="M105" s="8"/>
      <c r="N105" s="8"/>
      <c r="O105" s="8"/>
      <c r="P105" s="8"/>
      <c r="Q105" s="8"/>
      <c r="R105" s="22"/>
      <c r="S105" s="22"/>
      <c r="T105" s="8"/>
    </row>
    <row r="106" spans="13:20" x14ac:dyDescent="0.25">
      <c r="M106" s="8"/>
      <c r="N106" s="8"/>
      <c r="O106" s="8"/>
      <c r="P106" s="8"/>
      <c r="Q106" s="8"/>
      <c r="R106" s="22"/>
      <c r="S106" s="22"/>
      <c r="T106" s="8"/>
    </row>
    <row r="107" spans="13:20" x14ac:dyDescent="0.25">
      <c r="M107" s="8"/>
      <c r="N107" s="8"/>
      <c r="O107" s="8"/>
      <c r="P107" s="8"/>
      <c r="Q107" s="8"/>
      <c r="R107" s="22"/>
      <c r="S107" s="22"/>
      <c r="T107" s="8"/>
    </row>
    <row r="108" spans="13:20" x14ac:dyDescent="0.25">
      <c r="M108" s="8"/>
      <c r="N108" s="8"/>
      <c r="O108" s="8"/>
      <c r="P108" s="8"/>
      <c r="Q108" s="8"/>
      <c r="R108" s="22"/>
      <c r="S108" s="22"/>
      <c r="T108" s="8"/>
    </row>
    <row r="109" spans="13:20" x14ac:dyDescent="0.25">
      <c r="M109" s="8"/>
      <c r="N109" s="8"/>
      <c r="O109" s="8"/>
      <c r="P109" s="8"/>
      <c r="Q109" s="8"/>
      <c r="R109" s="22"/>
      <c r="S109" s="22"/>
      <c r="T109" s="8"/>
    </row>
  </sheetData>
  <sheetProtection sheet="1" objects="1" scenarios="1"/>
  <dataConsolidate link="1"/>
  <mergeCells count="2">
    <mergeCell ref="B9:C9"/>
    <mergeCell ref="H27:I27"/>
  </mergeCells>
  <phoneticPr fontId="14" type="noConversion"/>
  <printOptions horizontalCentered="1"/>
  <pageMargins left="0.55118110236220474" right="0.39370078740157483" top="0.98425196850393704" bottom="0.78740157480314965" header="0.51181102362204722" footer="0.51181102362204722"/>
  <pageSetup paperSize="9" scale="73"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Orgenheter!$G$3:$G$27</xm:f>
          </x14:formula1>
          <xm:sqref>C6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indexed="17"/>
    <pageSetUpPr fitToPage="1"/>
  </sheetPr>
  <dimension ref="A1:AL89"/>
  <sheetViews>
    <sheetView workbookViewId="0"/>
  </sheetViews>
  <sheetFormatPr defaultColWidth="8.85546875" defaultRowHeight="15" x14ac:dyDescent="0.25"/>
  <cols>
    <col min="3" max="3" width="32.85546875" customWidth="1"/>
    <col min="4" max="4" width="14" customWidth="1"/>
    <col min="5" max="5" width="15.140625" customWidth="1"/>
    <col min="6" max="6" width="9.5703125" style="15" customWidth="1"/>
    <col min="7" max="7" width="6.5703125" style="15" customWidth="1"/>
    <col min="8" max="8" width="13.5703125" customWidth="1"/>
    <col min="9" max="11" width="10.42578125" customWidth="1"/>
    <col min="12" max="12" width="14.5703125" customWidth="1"/>
    <col min="13" max="13" width="12" customWidth="1"/>
    <col min="14" max="15" width="10.42578125" style="26" customWidth="1"/>
    <col min="16" max="17" width="14.42578125" customWidth="1"/>
    <col min="18" max="18" width="11.140625" customWidth="1"/>
    <col min="19" max="19" width="9.42578125" customWidth="1"/>
    <col min="20" max="20" width="9.5703125" customWidth="1"/>
    <col min="21" max="21" width="14.42578125" customWidth="1"/>
    <col min="22" max="22" width="13.42578125" customWidth="1"/>
    <col min="23" max="23" width="2" customWidth="1"/>
    <col min="24" max="32" width="8.85546875" customWidth="1"/>
    <col min="34" max="34" width="13" customWidth="1"/>
    <col min="35" max="35" width="10.85546875" customWidth="1"/>
    <col min="36" max="36" width="10.42578125" customWidth="1"/>
    <col min="37" max="37" width="5.5703125" customWidth="1"/>
    <col min="38" max="39" width="5.85546875" customWidth="1"/>
    <col min="40" max="40" width="20.42578125" customWidth="1"/>
  </cols>
  <sheetData>
    <row r="1" spans="1:38" ht="18.75" x14ac:dyDescent="0.3">
      <c r="A1" s="74"/>
      <c r="B1" s="75"/>
      <c r="C1" s="75"/>
      <c r="D1" s="75"/>
      <c r="E1" s="76"/>
      <c r="F1" s="111"/>
      <c r="G1" s="111"/>
      <c r="H1" s="76"/>
      <c r="I1" s="76"/>
      <c r="J1" s="76"/>
      <c r="K1" s="76"/>
      <c r="L1" s="76"/>
      <c r="M1" s="76"/>
      <c r="N1" s="117"/>
      <c r="O1" s="117"/>
      <c r="P1" s="76"/>
      <c r="Q1" s="76"/>
      <c r="R1" s="76"/>
      <c r="S1" s="77"/>
      <c r="AG1">
        <v>1</v>
      </c>
      <c r="AH1" s="328"/>
      <c r="AI1" s="329" t="s">
        <v>4</v>
      </c>
      <c r="AJ1" s="330"/>
      <c r="AK1" s="330"/>
      <c r="AL1" s="331"/>
    </row>
    <row r="2" spans="1:38" ht="15.75" thickBot="1" x14ac:dyDescent="0.3">
      <c r="A2" s="72"/>
      <c r="B2" s="18"/>
      <c r="C2" s="18"/>
      <c r="D2" s="103" t="s">
        <v>406</v>
      </c>
      <c r="E2" s="104"/>
      <c r="F2" s="112"/>
      <c r="G2" s="113"/>
      <c r="H2" s="65" t="s">
        <v>408</v>
      </c>
      <c r="I2" s="67"/>
      <c r="J2" s="104"/>
      <c r="K2" s="104"/>
      <c r="L2" s="136" t="s">
        <v>409</v>
      </c>
      <c r="M2" s="137"/>
      <c r="N2" s="138"/>
      <c r="O2" s="139"/>
      <c r="P2" s="18"/>
      <c r="Q2" s="18"/>
      <c r="R2" s="18"/>
      <c r="S2" s="73"/>
      <c r="AG2">
        <v>2</v>
      </c>
      <c r="AH2" s="329" t="s">
        <v>60</v>
      </c>
      <c r="AI2" s="328" t="s">
        <v>447</v>
      </c>
      <c r="AJ2" s="332" t="s">
        <v>448</v>
      </c>
      <c r="AK2" s="332" t="s">
        <v>445</v>
      </c>
      <c r="AL2" s="333" t="s">
        <v>446</v>
      </c>
    </row>
    <row r="3" spans="1:38" ht="29.25" x14ac:dyDescent="0.25">
      <c r="A3" s="120" t="s">
        <v>71</v>
      </c>
      <c r="B3" s="121" t="s">
        <v>561</v>
      </c>
      <c r="C3" s="121" t="s">
        <v>35</v>
      </c>
      <c r="D3" s="122" t="s">
        <v>404</v>
      </c>
      <c r="E3" s="121" t="s">
        <v>415</v>
      </c>
      <c r="F3" s="123" t="s">
        <v>61</v>
      </c>
      <c r="G3" s="124" t="s">
        <v>62</v>
      </c>
      <c r="H3" s="122" t="s">
        <v>404</v>
      </c>
      <c r="I3" s="121" t="s">
        <v>415</v>
      </c>
      <c r="J3" s="123" t="s">
        <v>61</v>
      </c>
      <c r="K3" s="124" t="s">
        <v>62</v>
      </c>
      <c r="L3" s="122" t="s">
        <v>404</v>
      </c>
      <c r="M3" s="121" t="s">
        <v>415</v>
      </c>
      <c r="N3" s="125" t="s">
        <v>61</v>
      </c>
      <c r="O3" s="147" t="s">
        <v>62</v>
      </c>
      <c r="P3" s="69" t="s">
        <v>453</v>
      </c>
      <c r="Q3" s="69" t="s">
        <v>452</v>
      </c>
      <c r="R3" s="121" t="s">
        <v>61</v>
      </c>
      <c r="S3" s="70" t="s">
        <v>62</v>
      </c>
      <c r="T3" s="1"/>
      <c r="X3" s="1"/>
      <c r="Y3" s="1"/>
      <c r="Z3" s="1"/>
      <c r="AA3" s="1"/>
      <c r="AB3" s="1"/>
      <c r="AC3" s="1"/>
      <c r="AD3" s="1"/>
      <c r="AE3" s="1"/>
      <c r="AG3">
        <v>3</v>
      </c>
      <c r="AH3" s="328">
        <v>1620</v>
      </c>
      <c r="AI3" s="344">
        <v>1980660</v>
      </c>
      <c r="AJ3" s="345">
        <v>12561770.347499989</v>
      </c>
      <c r="AK3" s="346">
        <v>342.35</v>
      </c>
      <c r="AL3" s="336">
        <v>287.39125000000001</v>
      </c>
    </row>
    <row r="4" spans="1:38" x14ac:dyDescent="0.25">
      <c r="A4" s="78" t="s">
        <v>410</v>
      </c>
      <c r="B4" s="62">
        <v>1620</v>
      </c>
      <c r="C4" s="79" t="str">
        <f>VLOOKUP(B4,Orgenheter!$A$3:$C$166,2,FALSE)</f>
        <v>Inst för språkstudier</v>
      </c>
      <c r="D4" s="269">
        <f>IF(ISERROR(VLOOKUP(B4,$AH$3:$AJ$20,2,FALSE)),"",VLOOKUP(B4,$AH$3:$AJ$20,2,FALSE))</f>
        <v>1980660</v>
      </c>
      <c r="E4" s="68">
        <f>IF(ISERROR(VLOOKUP(B4,$AH$3:$AJ$20,3,FALSE)),"",VLOOKUP(B4,$AH$3:$AJ$20,3,FALSE))</f>
        <v>12561770.347499989</v>
      </c>
      <c r="F4" s="47">
        <f>IF(ISERROR(VLOOKUP(B4,$AH$3:$AM$20,4,FALSE)),"",VLOOKUP(B4,$AH$3:$AM$20,4,FALSE))</f>
        <v>342.35</v>
      </c>
      <c r="G4" s="47">
        <f>IF(ISERROR(VLOOKUP(B4,$AH$3:$AM$20,5,FALSE)),"",VLOOKUP(B4,$AH$3:$AM$20,5,FALSE))</f>
        <v>287.39125000000001</v>
      </c>
      <c r="H4" s="269">
        <f>IF(ISERROR(VLOOKUP(B4,$AH$28:$AJ$47,2,FALSE)),"",VLOOKUP(B4,$AH$28:$AJ$47,2,FALSE))</f>
        <v>194838.5</v>
      </c>
      <c r="I4" s="68">
        <f>IF(ISERROR(VLOOKUP(B4,$AH$28:$AJ$47,3,FALSE)),"",VLOOKUP(B4,$AH$28:$AJ$47,3,FALSE))</f>
        <v>1328523.9857175001</v>
      </c>
      <c r="J4" s="47">
        <f>IF(ISERROR(VLOOKUP(B4,$AH$28:$AM$47,4,FALSE)),"",VLOOKUP(B4,$AH$28:$AM$47,4,FALSE))</f>
        <v>28.037083333333335</v>
      </c>
      <c r="K4" s="47">
        <f>IF(ISERROR(VLOOKUP(B4,$AH$28:$AM$47,5,FALSE)),"",VLOOKUP(B4,$AH$28:$AM$47,5,FALSE))</f>
        <v>23.831520833333332</v>
      </c>
      <c r="L4" s="269">
        <f>IF(ISERROR(VLOOKUP(B4,$AH$53:$AJ$64,2,FALSE)),"",VLOOKUP(B4,$AH$53:$AJ$64,2,FALSE)*-1)</f>
        <v>-186215</v>
      </c>
      <c r="M4" s="68">
        <f>IF(ISERROR(VLOOKUP(B4,$AH$53:$AJ$64,3,FALSE)),"",VLOOKUP(B4,$AH$53:$AJ$64,3,FALSE)*-1)</f>
        <v>-1076169.2822625001</v>
      </c>
      <c r="N4" s="118">
        <f>IF(ISERROR(VLOOKUP(B4,$AH$53:$AM$64,4,FALSE)),"",VLOOKUP(B4,$AH$53:$AM$64,4,FALSE)*-1)</f>
        <v>-31.795833333333334</v>
      </c>
      <c r="O4" s="148">
        <f>IF(ISERROR(VLOOKUP(B4,$AH$53:$AM$64,5,FALSE)),"",VLOOKUP(B4,$AH$53:$AM$64,5,FALSE)*-1)</f>
        <v>-27.026458333333331</v>
      </c>
      <c r="P4" s="68">
        <f t="shared" ref="P4:S7" si="0">SUM(D4,H4,L4)</f>
        <v>1989283.5</v>
      </c>
      <c r="Q4" s="68">
        <f t="shared" si="0"/>
        <v>12814125.050954988</v>
      </c>
      <c r="R4" s="47">
        <f t="shared" si="0"/>
        <v>338.59125</v>
      </c>
      <c r="S4" s="126">
        <f t="shared" si="0"/>
        <v>284.19631250000003</v>
      </c>
      <c r="T4" s="33"/>
      <c r="U4" t="s">
        <v>467</v>
      </c>
      <c r="V4" t="s">
        <v>468</v>
      </c>
      <c r="AG4">
        <v>4</v>
      </c>
      <c r="AH4" s="337">
        <v>1630</v>
      </c>
      <c r="AI4" s="347">
        <v>1324317</v>
      </c>
      <c r="AJ4" s="33">
        <v>10559831.571624994</v>
      </c>
      <c r="AK4" s="15">
        <v>225.3595</v>
      </c>
      <c r="AL4" s="339">
        <v>191.18057500000009</v>
      </c>
    </row>
    <row r="5" spans="1:38" x14ac:dyDescent="0.25">
      <c r="A5" s="72"/>
      <c r="B5" s="18">
        <v>1630</v>
      </c>
      <c r="C5" s="79" t="str">
        <f>VLOOKUP(B5,Orgenheter!$A$3:$C$166,2,FALSE)</f>
        <v>Inst för ide- o samhällsstudier</v>
      </c>
      <c r="D5" s="269">
        <f>IF(ISERROR(VLOOKUP(B5,$AH$3:$AJ$20,2,FALSE)),"",VLOOKUP(B5,$AH$3:$AJ$20,2,FALSE))</f>
        <v>1324317</v>
      </c>
      <c r="E5" s="68">
        <f>IF(ISERROR(VLOOKUP(B5,$AH$3:$AJ$20,3,FALSE)),"",VLOOKUP(B5,$AH$3:$AJ$20,3,FALSE))</f>
        <v>10559831.571624994</v>
      </c>
      <c r="F5" s="47">
        <f>IF(ISERROR(VLOOKUP(B5,$AH$3:$AM$20,4,FALSE)),"",VLOOKUP(B5,$AH$3:$AM$20,4,FALSE))</f>
        <v>225.3595</v>
      </c>
      <c r="G5" s="47">
        <f>IF(ISERROR(VLOOKUP(B5,$AH$3:$AM$20,5,FALSE)),"",VLOOKUP(B5,$AH$3:$AM$20,5,FALSE))</f>
        <v>191.18057500000009</v>
      </c>
      <c r="H5" s="269" t="str">
        <f>IF(ISERROR(VLOOKUP(B5,$AH$28:$AJ$47,2,FALSE)),"",VLOOKUP(B5,$AH$28:$AJ$47,2,FALSE))</f>
        <v/>
      </c>
      <c r="I5" s="68" t="str">
        <f>IF(ISERROR(VLOOKUP(B5,$AH$28:$AJ$47,3,FALSE)),"",VLOOKUP(B5,$AH$28:$AJ$47,3,FALSE))</f>
        <v/>
      </c>
      <c r="J5" s="47" t="str">
        <f>IF(ISERROR(VLOOKUP(B5,$AH$28:$AM$47,4,FALSE)),"",VLOOKUP(B5,$AH$28:$AM$47,4,FALSE))</f>
        <v/>
      </c>
      <c r="K5" s="47" t="str">
        <f>IF(ISERROR(VLOOKUP(B5,$AH$28:$AM$47,5,FALSE)),"",VLOOKUP(B5,$AH$28:$AM$47,5,FALSE))</f>
        <v/>
      </c>
      <c r="L5" s="269">
        <f>IF(ISERROR(VLOOKUP(B5,$AH$53:$AJ$64,2,FALSE)),"",VLOOKUP(B5,$AH$53:$AJ$64,2,FALSE)*-1)</f>
        <v>-335509.2</v>
      </c>
      <c r="M5" s="68">
        <f>IF(ISERROR(VLOOKUP(B5,$AH$53:$AJ$64,3,FALSE)),"",VLOOKUP(B5,$AH$53:$AJ$64,3,FALSE)*-1)</f>
        <v>-2702459.3294930002</v>
      </c>
      <c r="N5" s="118">
        <f>IF(ISERROR(VLOOKUP(B5,$AH$53:$AM$64,4,FALSE)),"",VLOOKUP(B5,$AH$53:$AM$64,4,FALSE)*-1)</f>
        <v>-55.918200000000006</v>
      </c>
      <c r="O5" s="148">
        <f>IF(ISERROR(VLOOKUP(B5,$AH$53:$AM$64,5,FALSE)),"",VLOOKUP(B5,$AH$53:$AM$64,5,FALSE)*-1)</f>
        <v>-47.49713666666667</v>
      </c>
      <c r="P5" s="68">
        <f t="shared" si="0"/>
        <v>988807.8</v>
      </c>
      <c r="Q5" s="68">
        <f t="shared" si="0"/>
        <v>7857372.2421319941</v>
      </c>
      <c r="R5" s="47">
        <f t="shared" si="0"/>
        <v>169.44129999999998</v>
      </c>
      <c r="S5" s="126">
        <f t="shared" si="0"/>
        <v>143.68343833333341</v>
      </c>
      <c r="T5" s="33"/>
      <c r="U5" s="589" t="s">
        <v>807</v>
      </c>
      <c r="V5" s="589"/>
      <c r="W5" s="589"/>
      <c r="AG5">
        <v>5</v>
      </c>
      <c r="AH5" s="337">
        <v>1650</v>
      </c>
      <c r="AI5" s="347">
        <v>7392420</v>
      </c>
      <c r="AJ5" s="33">
        <v>14606371.088749997</v>
      </c>
      <c r="AK5" s="15">
        <v>243.90833333333336</v>
      </c>
      <c r="AL5" s="339">
        <v>200.10333333333332</v>
      </c>
    </row>
    <row r="6" spans="1:38" x14ac:dyDescent="0.25">
      <c r="A6" s="72"/>
      <c r="B6" s="18">
        <v>1640</v>
      </c>
      <c r="C6" s="79" t="str">
        <f>VLOOKUP(B6,Orgenheter!$A$3:$C$166,2,FALSE)</f>
        <v>Inst för kultur- o medievetenskap</v>
      </c>
      <c r="D6" s="269" t="str">
        <f>IF(ISERROR(VLOOKUP(B6,$AH$3:$AJ$20,2,FALSE)),"",VLOOKUP(B6,$AH$3:$AJ$20,2,FALSE))</f>
        <v/>
      </c>
      <c r="E6" s="68" t="str">
        <f>IF(ISERROR(VLOOKUP(B6,$AH$3:$AJ$20,3,FALSE)),"",VLOOKUP(B6,$AH$3:$AJ$20,3,FALSE))</f>
        <v/>
      </c>
      <c r="F6" s="47" t="str">
        <f>IF(ISERROR(VLOOKUP(B6,$AH$3:$AM$20,4,FALSE)),"",VLOOKUP(B6,$AH$3:$AM$20,4,FALSE))</f>
        <v/>
      </c>
      <c r="G6" s="47" t="str">
        <f>IF(ISERROR(VLOOKUP(B6,$AH$3:$AM$20,5,FALSE)),"",VLOOKUP(B6,$AH$3:$AM$20,5,FALSE))</f>
        <v/>
      </c>
      <c r="H6" s="269">
        <f>IF(ISERROR(VLOOKUP(B6,$AH$28:$AJ$47,2,FALSE)),"",VLOOKUP(B6,$AH$28:$AJ$47,2,FALSE))</f>
        <v>296264.2</v>
      </c>
      <c r="I6" s="68">
        <f>IF(ISERROR(VLOOKUP(B6,$AH$28:$AJ$47,3,FALSE)),"",VLOOKUP(B6,$AH$28:$AJ$47,3,FALSE))</f>
        <v>2078528.5608804999</v>
      </c>
      <c r="J6" s="47">
        <f>IF(ISERROR(VLOOKUP(B6,$AH$28:$AM$47,4,FALSE)),"",VLOOKUP(B6,$AH$28:$AM$47,4,FALSE))</f>
        <v>49.377366666666667</v>
      </c>
      <c r="K6" s="47">
        <f>IF(ISERROR(VLOOKUP(B6,$AH$28:$AM$47,5,FALSE)),"",VLOOKUP(B6,$AH$28:$AM$47,5,FALSE))</f>
        <v>41.970761666666668</v>
      </c>
      <c r="L6" s="269" t="str">
        <f>IF(ISERROR(VLOOKUP(B6,$AH$53:$AJ$64,2,FALSE)),"",VLOOKUP(B6,$AH$53:$AJ$64,2,FALSE)*-1)</f>
        <v/>
      </c>
      <c r="M6" s="68" t="str">
        <f>IF(ISERROR(VLOOKUP(B6,$AH$53:$AJ$64,3,FALSE)),"",VLOOKUP(B6,$AH$53:$AJ$64,3,FALSE)*-1)</f>
        <v/>
      </c>
      <c r="N6" s="118" t="str">
        <f>IF(ISERROR(VLOOKUP(B6,$AH$53:$AM$64,4,FALSE)),"",VLOOKUP(B6,$AH$53:$AM$64,4,FALSE)*-1)</f>
        <v/>
      </c>
      <c r="O6" s="148" t="str">
        <f>IF(ISERROR(VLOOKUP(B6,$AH$53:$AM$64,5,FALSE)),"",VLOOKUP(B6,$AH$53:$AM$64,5,FALSE)*-1)</f>
        <v/>
      </c>
      <c r="P6" s="68">
        <f t="shared" si="0"/>
        <v>296264.2</v>
      </c>
      <c r="Q6" s="68">
        <f t="shared" si="0"/>
        <v>2078528.5608804999</v>
      </c>
      <c r="R6" s="47">
        <f t="shared" si="0"/>
        <v>49.377366666666667</v>
      </c>
      <c r="S6" s="126">
        <f t="shared" si="0"/>
        <v>41.970761666666668</v>
      </c>
      <c r="T6" s="33"/>
      <c r="U6" s="174"/>
      <c r="V6" s="174"/>
      <c r="W6" s="174"/>
      <c r="AG6">
        <v>6</v>
      </c>
      <c r="AH6" s="337">
        <v>2180</v>
      </c>
      <c r="AI6" s="347">
        <v>3966983</v>
      </c>
      <c r="AJ6" s="33">
        <v>19185011.502333328</v>
      </c>
      <c r="AK6" s="15">
        <v>372.08299999999997</v>
      </c>
      <c r="AL6" s="339">
        <v>314.39555000000013</v>
      </c>
    </row>
    <row r="7" spans="1:38" x14ac:dyDescent="0.25">
      <c r="A7" s="72"/>
      <c r="B7" s="157">
        <v>1650</v>
      </c>
      <c r="C7" s="79" t="str">
        <f>VLOOKUP(B7,Orgenheter!$A$3:$C$166,2,FALSE)</f>
        <v xml:space="preserve">Estetiska ämnen               </v>
      </c>
      <c r="D7" s="269">
        <f>IF(ISERROR(VLOOKUP(B7,$AH$3:$AJ$20,2,FALSE)),"",VLOOKUP(B7,$AH$3:$AJ$20,2,FALSE))</f>
        <v>7392420</v>
      </c>
      <c r="E7" s="68">
        <f>IF(ISERROR(VLOOKUP(B7,$AH$3:$AJ$20,3,FALSE)),"",VLOOKUP(B7,$AH$3:$AJ$20,3,FALSE))</f>
        <v>14606371.088749997</v>
      </c>
      <c r="F7" s="47">
        <f>IF(ISERROR(VLOOKUP(B7,$AH$3:$AM$20,4,FALSE)),"",VLOOKUP(B7,$AH$3:$AM$20,4,FALSE))</f>
        <v>243.90833333333336</v>
      </c>
      <c r="G7" s="47">
        <f>IF(ISERROR(VLOOKUP(B7,$AH$3:$AM$20,5,FALSE)),"",VLOOKUP(B7,$AH$3:$AM$20,5,FALSE))</f>
        <v>200.10333333333332</v>
      </c>
      <c r="H7" s="269">
        <f>IF(ISERROR(VLOOKUP(B7,$AH$28:$AJ$47,2,FALSE)),"",VLOOKUP(B7,$AH$28:$AJ$47,2,FALSE))</f>
        <v>23133.5</v>
      </c>
      <c r="I7" s="68">
        <f>IF(ISERROR(VLOOKUP(B7,$AH$28:$AJ$47,3,FALSE)),"",VLOOKUP(B7,$AH$28:$AJ$47,3,FALSE))</f>
        <v>196412.59441750002</v>
      </c>
      <c r="J7" s="47">
        <f>IF(ISERROR(VLOOKUP(B7,$AH$28:$AM$47,4,FALSE)),"",VLOOKUP(B7,$AH$28:$AM$47,4,FALSE))</f>
        <v>4.2704166666666667</v>
      </c>
      <c r="K7" s="47">
        <f>IF(ISERROR(VLOOKUP(B7,$AH$28:$AM$47,5,FALSE)),"",VLOOKUP(B7,$AH$28:$AM$47,5,FALSE))</f>
        <v>3.629854166666667</v>
      </c>
      <c r="L7" s="269">
        <f>IF(ISERROR(VLOOKUP(B7,$AH$53:$AJ$64,2,FALSE)),"",VLOOKUP(B7,$AH$53:$AJ$64,2,FALSE)*-1)</f>
        <v>-95317.5</v>
      </c>
      <c r="M7" s="68">
        <f>IF(ISERROR(VLOOKUP(B7,$AH$53:$AJ$64,3,FALSE)),"",VLOOKUP(B7,$AH$53:$AJ$64,3,FALSE)*-1)</f>
        <v>-201289.40111250005</v>
      </c>
      <c r="N7" s="118">
        <f>IF(ISERROR(VLOOKUP(B7,$AH$53:$AM$64,4,FALSE)),"",VLOOKUP(B7,$AH$53:$AM$64,4,FALSE)*-1)</f>
        <v>-5.3250000000000011</v>
      </c>
      <c r="O7" s="148">
        <f>IF(ISERROR(VLOOKUP(B7,$AH$53:$AM$64,5,FALSE)),"",VLOOKUP(B7,$AH$53:$AM$64,5,FALSE)*-1)</f>
        <v>-4.526250000000001</v>
      </c>
      <c r="P7" s="68">
        <f t="shared" si="0"/>
        <v>7320236</v>
      </c>
      <c r="Q7" s="68">
        <f t="shared" si="0"/>
        <v>14601494.282054996</v>
      </c>
      <c r="R7" s="47">
        <f t="shared" si="0"/>
        <v>242.85375000000005</v>
      </c>
      <c r="S7" s="126">
        <f t="shared" si="0"/>
        <v>199.20693749999998</v>
      </c>
      <c r="T7" s="174" t="s">
        <v>808</v>
      </c>
      <c r="U7" s="174">
        <f>'kurser alla'!AR1048+'kurser alla'!AZ1048</f>
        <v>-805012.5</v>
      </c>
      <c r="V7" s="174">
        <f>'kurser alla'!AR1047+'kurser alla'!AS1047+'kurser alla'!AZ1047+'kurser alla'!BA1047</f>
        <v>-535836.25000000012</v>
      </c>
      <c r="W7" s="174"/>
      <c r="AA7" s="62"/>
      <c r="AG7">
        <v>7</v>
      </c>
      <c r="AH7" s="337">
        <v>2193</v>
      </c>
      <c r="AI7" s="347">
        <v>2799715.5</v>
      </c>
      <c r="AJ7" s="33">
        <v>20282611.875466675</v>
      </c>
      <c r="AK7" s="15">
        <v>482.11608333333328</v>
      </c>
      <c r="AL7" s="339">
        <v>403.15243749999979</v>
      </c>
    </row>
    <row r="8" spans="1:38" ht="15.75" thickBot="1" x14ac:dyDescent="0.3">
      <c r="A8" s="96"/>
      <c r="B8" s="80"/>
      <c r="C8" s="80"/>
      <c r="D8" s="182"/>
      <c r="E8" s="68"/>
      <c r="F8" s="47"/>
      <c r="G8" s="183"/>
      <c r="H8" s="105"/>
      <c r="I8" s="106"/>
      <c r="J8" s="106"/>
      <c r="K8" s="107"/>
      <c r="L8" s="105"/>
      <c r="M8" s="106"/>
      <c r="N8" s="127"/>
      <c r="O8" s="149"/>
      <c r="P8" s="106"/>
      <c r="Q8" s="106"/>
      <c r="R8" s="106"/>
      <c r="S8" s="128"/>
      <c r="AA8" s="18"/>
      <c r="AG8">
        <v>8</v>
      </c>
      <c r="AH8" s="337">
        <v>2271</v>
      </c>
      <c r="AI8" s="347">
        <v>71250</v>
      </c>
      <c r="AJ8" s="33">
        <v>422651.4375</v>
      </c>
      <c r="AK8" s="15">
        <v>11.875</v>
      </c>
      <c r="AL8" s="339">
        <v>10.09375</v>
      </c>
    </row>
    <row r="9" spans="1:38" ht="15.75" thickBot="1" x14ac:dyDescent="0.3">
      <c r="A9" s="34" t="s">
        <v>36</v>
      </c>
      <c r="B9" s="89"/>
      <c r="C9" s="273"/>
      <c r="D9" s="129">
        <f>SUM(D4:D7)</f>
        <v>10697397</v>
      </c>
      <c r="E9" s="130">
        <f>SUM(E4:E7)</f>
        <v>37727973.007874981</v>
      </c>
      <c r="F9" s="131">
        <f>SUM(F4:F7)</f>
        <v>811.61783333333346</v>
      </c>
      <c r="G9" s="131">
        <f>SUM(G4:G7)</f>
        <v>678.67515833333346</v>
      </c>
      <c r="H9" s="130">
        <f>SUM(H4:H7)</f>
        <v>514236.2</v>
      </c>
      <c r="I9" s="130">
        <f t="shared" ref="I9:Q9" si="1">SUM(I4:I7)</f>
        <v>3603465.1410154998</v>
      </c>
      <c r="J9" s="132">
        <f>SUM(J4:J7)</f>
        <v>81.684866666666665</v>
      </c>
      <c r="K9" s="132">
        <f>SUM(K4:K7)</f>
        <v>69.432136666666665</v>
      </c>
      <c r="L9" s="130">
        <f t="shared" si="1"/>
        <v>-617041.69999999995</v>
      </c>
      <c r="M9" s="130">
        <f t="shared" si="1"/>
        <v>-3979918.0128680007</v>
      </c>
      <c r="N9" s="131">
        <f t="shared" si="1"/>
        <v>-93.039033333333336</v>
      </c>
      <c r="O9" s="272">
        <f t="shared" si="1"/>
        <v>-79.049845000000005</v>
      </c>
      <c r="P9" s="270">
        <f t="shared" si="1"/>
        <v>10594591.5</v>
      </c>
      <c r="Q9" s="141">
        <f t="shared" si="1"/>
        <v>37351520.136022478</v>
      </c>
      <c r="R9" s="142">
        <f>SUM(R4:R7)</f>
        <v>800.26366666666672</v>
      </c>
      <c r="S9" s="143">
        <f>SUM(S4:S7)</f>
        <v>669.05745000000002</v>
      </c>
      <c r="U9" s="391"/>
      <c r="AA9" s="18"/>
      <c r="AG9">
        <v>9</v>
      </c>
      <c r="AH9" s="337">
        <v>2340</v>
      </c>
      <c r="AI9" s="347">
        <v>432750</v>
      </c>
      <c r="AJ9" s="33">
        <v>2743873.5562499994</v>
      </c>
      <c r="AK9" s="15">
        <v>72.125</v>
      </c>
      <c r="AL9" s="339">
        <v>61.01250000000001</v>
      </c>
    </row>
    <row r="10" spans="1:38" x14ac:dyDescent="0.25">
      <c r="A10" s="72"/>
      <c r="B10" s="18"/>
      <c r="C10" s="18"/>
      <c r="D10" s="182"/>
      <c r="E10" s="68"/>
      <c r="F10" s="47"/>
      <c r="G10" s="183"/>
      <c r="H10" s="108"/>
      <c r="I10" s="109"/>
      <c r="J10" s="109"/>
      <c r="K10" s="110"/>
      <c r="L10" s="182"/>
      <c r="M10" s="68"/>
      <c r="N10" s="118"/>
      <c r="O10" s="148"/>
      <c r="P10" s="109"/>
      <c r="Q10" s="109"/>
      <c r="R10" s="109"/>
      <c r="S10" s="144"/>
      <c r="AA10" s="157"/>
      <c r="AG10">
        <v>10</v>
      </c>
      <c r="AH10" s="337">
        <v>2500</v>
      </c>
      <c r="AI10" s="347">
        <v>45605</v>
      </c>
      <c r="AJ10" s="33">
        <v>206518.50499999998</v>
      </c>
      <c r="AK10" s="15">
        <v>5.3</v>
      </c>
      <c r="AL10" s="339">
        <v>4.5050000000000008</v>
      </c>
    </row>
    <row r="11" spans="1:38" ht="29.25" x14ac:dyDescent="0.25">
      <c r="A11" s="177" t="s">
        <v>71</v>
      </c>
      <c r="B11" s="178" t="s">
        <v>561</v>
      </c>
      <c r="C11" s="179" t="s">
        <v>35</v>
      </c>
      <c r="D11" s="184" t="s">
        <v>404</v>
      </c>
      <c r="E11" s="27" t="s">
        <v>415</v>
      </c>
      <c r="F11" s="114" t="s">
        <v>61</v>
      </c>
      <c r="G11" s="185" t="s">
        <v>62</v>
      </c>
      <c r="H11" s="184" t="s">
        <v>404</v>
      </c>
      <c r="I11" s="27" t="s">
        <v>415</v>
      </c>
      <c r="J11" s="114" t="s">
        <v>61</v>
      </c>
      <c r="K11" s="185" t="s">
        <v>62</v>
      </c>
      <c r="L11" s="184" t="s">
        <v>404</v>
      </c>
      <c r="M11" s="27" t="s">
        <v>415</v>
      </c>
      <c r="N11" s="119" t="s">
        <v>61</v>
      </c>
      <c r="O11" s="150" t="s">
        <v>62</v>
      </c>
      <c r="P11" s="116" t="s">
        <v>453</v>
      </c>
      <c r="Q11" s="116" t="s">
        <v>452</v>
      </c>
      <c r="R11" s="27" t="s">
        <v>61</v>
      </c>
      <c r="S11" s="71" t="s">
        <v>62</v>
      </c>
      <c r="AG11">
        <v>11</v>
      </c>
      <c r="AH11" s="337">
        <v>2650</v>
      </c>
      <c r="AI11" s="347">
        <v>1212450</v>
      </c>
      <c r="AJ11" s="33">
        <v>3049511.5750000002</v>
      </c>
      <c r="AK11" s="15">
        <v>65.125</v>
      </c>
      <c r="AL11" s="339">
        <v>52.225000000000001</v>
      </c>
    </row>
    <row r="12" spans="1:38" x14ac:dyDescent="0.25">
      <c r="A12" s="78" t="s">
        <v>411</v>
      </c>
      <c r="B12" s="18">
        <v>2180</v>
      </c>
      <c r="C12" s="79" t="str">
        <f>VLOOKUP(B12,Orgenheter!$A$3:$C$166,2,FALSE)</f>
        <v xml:space="preserve">Pedagogik                     </v>
      </c>
      <c r="D12" s="269">
        <f>IF(ISERROR(VLOOKUP(B12,$AH$3:$AJ$20,2,FALSE)),"",VLOOKUP(B12,$AH$3:$AJ$20,2,FALSE))</f>
        <v>3966983</v>
      </c>
      <c r="E12" s="68">
        <f>IF(ISERROR(VLOOKUP(B12,$AH$3:$AJ$20,3,FALSE)),"",VLOOKUP(B12,$AH$3:$AJ$20,3,FALSE))</f>
        <v>19185011.502333328</v>
      </c>
      <c r="F12" s="47">
        <f>IF(ISERROR(VLOOKUP(B12,$AH$3:$AM$20,4,FALSE)),"",VLOOKUP(B12,$AH$3:$AM$20,4,FALSE))</f>
        <v>372.08299999999997</v>
      </c>
      <c r="G12" s="47">
        <f>IF(ISERROR(VLOOKUP(B12,$AH$3:$AM$20,5,FALSE)),"",VLOOKUP(B12,$AH$3:$AM$20,5,FALSE))</f>
        <v>314.39555000000013</v>
      </c>
      <c r="H12" s="269">
        <f>IF(ISERROR(VLOOKUP(B12,$AH$28:$AJ$47,2,FALSE)),"",VLOOKUP(B12,$AH$28:$AJ$47,2,FALSE))</f>
        <v>401405.84545454546</v>
      </c>
      <c r="I12" s="68">
        <f>IF(ISERROR(VLOOKUP(B12,$AH$28:$AJ$47,3,FALSE)),"",VLOOKUP(B12,$AH$28:$AJ$47,3,FALSE))</f>
        <v>2866527.4782142537</v>
      </c>
      <c r="J12" s="47">
        <f>IF(ISERROR(VLOOKUP(B12,$AH$28:$AM$47,4,FALSE)),"",VLOOKUP(B12,$AH$28:$AM$47,4,FALSE))</f>
        <v>62.460349242424243</v>
      </c>
      <c r="K12" s="47">
        <f>IF(ISERROR(VLOOKUP(B12,$AH$28:$AM$47,5,FALSE)),"",VLOOKUP(B12,$AH$28:$AM$47,5,FALSE))</f>
        <v>53.066296856060625</v>
      </c>
      <c r="L12" s="269">
        <f>IF(ISERROR(VLOOKUP(B12,$AH$53:$AJ$64,2,FALSE)),"",VLOOKUP(B12,$AH$53:$AJ$64,2,FALSE)*-1)</f>
        <v>-1090913.8</v>
      </c>
      <c r="M12" s="68">
        <f>IF(ISERROR(VLOOKUP(B12,$AH$53:$AJ$64,3,FALSE)),"",VLOOKUP(B12,$AH$53:$AJ$64,3,FALSE)*-1)</f>
        <v>-5080320.5947169987</v>
      </c>
      <c r="N12" s="118">
        <f>IF(ISERROR(VLOOKUP(B12,$AH$53:$AM$64,4,FALSE)),"",VLOOKUP(B12,$AH$53:$AM$64,4,FALSE)*-1)</f>
        <v>-99.603966666666679</v>
      </c>
      <c r="O12" s="148">
        <f>IF(ISERROR(VLOOKUP(B12,$AH$53:$AM$64,5,FALSE)),"",VLOOKUP(B12,$AH$53:$AM$64,5,FALSE)*-1)</f>
        <v>-84.523788333333314</v>
      </c>
      <c r="P12" s="68">
        <f>SUM(D12,H12,L12)</f>
        <v>3277475.0454545459</v>
      </c>
      <c r="Q12" s="68">
        <f t="shared" ref="Q12:S22" si="2">SUM(E12,I12,M12)</f>
        <v>16971218.385830581</v>
      </c>
      <c r="R12" s="47">
        <f t="shared" si="2"/>
        <v>334.93938257575752</v>
      </c>
      <c r="S12" s="126">
        <f t="shared" si="2"/>
        <v>282.93805852272743</v>
      </c>
      <c r="T12" s="33"/>
      <c r="AA12" s="18"/>
      <c r="AB12" s="18"/>
      <c r="AG12">
        <v>12</v>
      </c>
      <c r="AH12" s="337">
        <v>5100</v>
      </c>
      <c r="AI12" s="347">
        <v>197750</v>
      </c>
      <c r="AJ12" s="33">
        <v>449983.625</v>
      </c>
      <c r="AK12" s="15">
        <v>8.75</v>
      </c>
      <c r="AL12" s="339">
        <v>7.4375</v>
      </c>
    </row>
    <row r="13" spans="1:38" x14ac:dyDescent="0.25">
      <c r="A13" s="72"/>
      <c r="B13" s="18">
        <v>2193</v>
      </c>
      <c r="C13" s="79" t="str">
        <f>VLOOKUP(B13,Orgenheter!$A$3:$C$166,2,FALSE)</f>
        <v xml:space="preserve">TUV </v>
      </c>
      <c r="D13" s="269">
        <f>IF(ISERROR(VLOOKUP(B13,$AH$3:$AJ$20,2,FALSE)),"",VLOOKUP(B13,$AH$3:$AJ$20,2,FALSE))</f>
        <v>2799715.5</v>
      </c>
      <c r="E13" s="68">
        <f>IF(ISERROR(VLOOKUP(B13,$AH$3:$AJ$20,3,FALSE)),"",VLOOKUP(B13,$AH$3:$AJ$20,3,FALSE))</f>
        <v>20282611.875466675</v>
      </c>
      <c r="F13" s="47">
        <f>IF(ISERROR(VLOOKUP(B13,$AH$3:$AM$20,4,FALSE)),"",VLOOKUP(B13,$AH$3:$AM$20,4,FALSE))</f>
        <v>482.11608333333328</v>
      </c>
      <c r="G13" s="47">
        <f>IF(ISERROR(VLOOKUP(B13,$AH$3:$AM$20,5,FALSE)),"",VLOOKUP(B13,$AH$3:$AM$20,5,FALSE))</f>
        <v>403.15243749999979</v>
      </c>
      <c r="H13" s="269">
        <f t="shared" ref="H13:H22" si="3">IF(ISERROR(VLOOKUP(B13,$AH$28:$AJ$47,2,FALSE)),"",VLOOKUP(B13,$AH$28:$AJ$47,2,FALSE))</f>
        <v>406248.0954545454</v>
      </c>
      <c r="I13" s="68">
        <f t="shared" ref="I13:I22" si="4">IF(ISERROR(VLOOKUP(B13,$AH$28:$AJ$47,3,FALSE)),"",VLOOKUP(B13,$AH$28:$AJ$47,3,FALSE))</f>
        <v>2632351.6538398415</v>
      </c>
      <c r="J13" s="47">
        <f t="shared" ref="J13:J22" si="5">IF(ISERROR(VLOOKUP(B13,$AH$28:$AM$47,4,FALSE)),"",VLOOKUP(B13,$AH$28:$AM$47,4,FALSE))</f>
        <v>55.239057575757577</v>
      </c>
      <c r="K13" s="47">
        <f t="shared" ref="K13:K22" si="6">IF(ISERROR(VLOOKUP(B13,$AH$28:$AM$47,5,FALSE)),"",VLOOKUP(B13,$AH$28:$AM$47,5,FALSE))</f>
        <v>46.953198939393943</v>
      </c>
      <c r="L13" s="269">
        <f>IF(ISERROR(VLOOKUP(B13,$AH$53:$AJ$64,2,FALSE)),"",VLOOKUP(B13,$AH$53:$AJ$64,2,FALSE)*-1)</f>
        <v>-269400.45</v>
      </c>
      <c r="M13" s="68">
        <f>IF(ISERROR(VLOOKUP(B13,$AH$53:$AJ$64,3,FALSE)),"",VLOOKUP(B13,$AH$53:$AJ$64,3,FALSE)*-1)</f>
        <v>-2046795.0979296872</v>
      </c>
      <c r="N13" s="118">
        <f>IF(ISERROR(VLOOKUP(B13,$AH$53:$AM$64,4,FALSE)),"",VLOOKUP(B13,$AH$53:$AM$64,4,FALSE)*-1)</f>
        <v>-44.900075000000001</v>
      </c>
      <c r="O13" s="148">
        <f>IF(ISERROR(VLOOKUP(B13,$AH$53:$AM$64,5,FALSE)),"",VLOOKUP(B13,$AH$53:$AM$64,5,FALSE)*-1)</f>
        <v>-38.165063750000002</v>
      </c>
      <c r="P13" s="68">
        <f>SUM(D13,H13,L13)</f>
        <v>2936563.145454545</v>
      </c>
      <c r="Q13" s="68">
        <f t="shared" si="2"/>
        <v>20868168.43137683</v>
      </c>
      <c r="R13" s="47">
        <f t="shared" si="2"/>
        <v>492.45506590909088</v>
      </c>
      <c r="S13" s="126">
        <f t="shared" si="2"/>
        <v>411.94057268939372</v>
      </c>
      <c r="T13" s="33"/>
      <c r="AA13" s="18"/>
      <c r="AB13" s="18"/>
      <c r="AG13">
        <v>13</v>
      </c>
      <c r="AH13" s="337">
        <v>5160</v>
      </c>
      <c r="AI13" s="347">
        <v>45200</v>
      </c>
      <c r="AJ13" s="33">
        <v>102853.4</v>
      </c>
      <c r="AK13" s="15">
        <v>2</v>
      </c>
      <c r="AL13" s="339">
        <v>1.7</v>
      </c>
    </row>
    <row r="14" spans="1:38" x14ac:dyDescent="0.25">
      <c r="A14" s="72"/>
      <c r="B14" s="18">
        <v>2200</v>
      </c>
      <c r="C14" s="79" t="str">
        <f>VLOOKUP(B14,Orgenheter!$A$3:$C$166,2,FALSE)</f>
        <v xml:space="preserve">Inst för psykologi            </v>
      </c>
      <c r="D14" s="269" t="str">
        <f t="shared" ref="D14:D22" si="7">IF(ISERROR(VLOOKUP(B14,$AH$3:$AJ$20,2,FALSE)),"",VLOOKUP(B14,$AH$3:$AJ$20,2,FALSE))</f>
        <v/>
      </c>
      <c r="E14" s="68" t="str">
        <f t="shared" ref="E14:E22" si="8">IF(ISERROR(VLOOKUP(B14,$AH$3:$AJ$20,3,FALSE)),"",VLOOKUP(B14,$AH$3:$AJ$20,3,FALSE))</f>
        <v/>
      </c>
      <c r="F14" s="47" t="str">
        <f t="shared" ref="F14:F22" si="9">IF(ISERROR(VLOOKUP(B14,$AH$3:$AM$20,4,FALSE)),"",VLOOKUP(B14,$AH$3:$AM$20,4,FALSE))</f>
        <v/>
      </c>
      <c r="G14" s="47" t="str">
        <f t="shared" ref="G14:G22" si="10">IF(ISERROR(VLOOKUP(B14,$AH$3:$AM$20,5,FALSE)),"",VLOOKUP(B14,$AH$3:$AM$20,5,FALSE))</f>
        <v/>
      </c>
      <c r="H14" s="269">
        <f t="shared" si="3"/>
        <v>243654.1</v>
      </c>
      <c r="I14" s="68">
        <f t="shared" si="4"/>
        <v>1857541.4903121251</v>
      </c>
      <c r="J14" s="47">
        <f t="shared" si="5"/>
        <v>40.609016666666662</v>
      </c>
      <c r="K14" s="47">
        <f t="shared" si="6"/>
        <v>34.51766416666667</v>
      </c>
      <c r="L14" s="269" t="str">
        <f t="shared" ref="L14:L22" si="11">IF(ISERROR(VLOOKUP(B14,$AH$53:$AJ$64,2,FALSE)),"",VLOOKUP(B14,$AH$53:$AJ$64,2,FALSE)*-1)</f>
        <v/>
      </c>
      <c r="M14" s="68" t="str">
        <f t="shared" ref="M14:M22" si="12">IF(ISERROR(VLOOKUP(B14,$AH$53:$AJ$64,3,FALSE)),"",VLOOKUP(B14,$AH$53:$AJ$64,3,FALSE)*-1)</f>
        <v/>
      </c>
      <c r="N14" s="118" t="str">
        <f t="shared" ref="N14:N22" si="13">IF(ISERROR(VLOOKUP(B14,$AH$53:$AM$64,4,FALSE)),"",VLOOKUP(B14,$AH$53:$AM$64,4,FALSE)*-1)</f>
        <v/>
      </c>
      <c r="O14" s="148" t="str">
        <f t="shared" ref="O14:O22" si="14">IF(ISERROR(VLOOKUP(B14,$AH$53:$AM$64,5,FALSE)),"",VLOOKUP(B14,$AH$53:$AM$64,5,FALSE)*-1)</f>
        <v/>
      </c>
      <c r="P14" s="68">
        <f>SUM(D14,H14,L14)</f>
        <v>243654.1</v>
      </c>
      <c r="Q14" s="68">
        <f>SUM(E14,I14,M14)</f>
        <v>1857541.4903121251</v>
      </c>
      <c r="R14" s="47">
        <f t="shared" si="2"/>
        <v>40.609016666666662</v>
      </c>
      <c r="S14" s="126">
        <f t="shared" si="2"/>
        <v>34.51766416666667</v>
      </c>
      <c r="T14" s="33"/>
      <c r="AA14" s="18"/>
      <c r="AB14" s="18"/>
      <c r="AG14">
        <v>14</v>
      </c>
      <c r="AH14" s="337">
        <v>5400</v>
      </c>
      <c r="AI14" s="347">
        <v>79100</v>
      </c>
      <c r="AJ14" s="33">
        <v>174581.15</v>
      </c>
      <c r="AK14" s="15">
        <v>3.5</v>
      </c>
      <c r="AL14" s="339">
        <v>2.8250000000000006</v>
      </c>
    </row>
    <row r="15" spans="1:38" x14ac:dyDescent="0.25">
      <c r="A15" s="72"/>
      <c r="B15" s="157">
        <v>2220</v>
      </c>
      <c r="C15" s="79" t="str">
        <f>VLOOKUP(B15,Orgenheter!$A$3:$C$166,2,FALSE)</f>
        <v xml:space="preserve">Sociologi                     </v>
      </c>
      <c r="D15" s="269" t="str">
        <f t="shared" si="7"/>
        <v/>
      </c>
      <c r="E15" s="68" t="str">
        <f t="shared" si="8"/>
        <v/>
      </c>
      <c r="F15" s="47" t="str">
        <f t="shared" si="9"/>
        <v/>
      </c>
      <c r="G15" s="47" t="str">
        <f t="shared" si="10"/>
        <v/>
      </c>
      <c r="H15" s="269">
        <f t="shared" si="3"/>
        <v>22800</v>
      </c>
      <c r="I15" s="68">
        <f t="shared" si="4"/>
        <v>125781.06779999999</v>
      </c>
      <c r="J15" s="47">
        <f t="shared" si="5"/>
        <v>3.8000000000000003</v>
      </c>
      <c r="K15" s="47">
        <f t="shared" si="6"/>
        <v>3.23</v>
      </c>
      <c r="L15" s="269" t="str">
        <f t="shared" si="11"/>
        <v/>
      </c>
      <c r="M15" s="68" t="str">
        <f t="shared" si="12"/>
        <v/>
      </c>
      <c r="N15" s="118" t="str">
        <f t="shared" si="13"/>
        <v/>
      </c>
      <c r="O15" s="148" t="str">
        <f t="shared" si="14"/>
        <v/>
      </c>
      <c r="P15" s="68">
        <f t="shared" ref="P15:P22" si="15">SUM(D15,H15,L15)</f>
        <v>22800</v>
      </c>
      <c r="Q15" s="68">
        <f t="shared" ref="Q15:Q22" si="16">SUM(E15,I15,M15)</f>
        <v>125781.06779999999</v>
      </c>
      <c r="R15" s="47">
        <f t="shared" si="2"/>
        <v>3.8000000000000003</v>
      </c>
      <c r="S15" s="126">
        <f t="shared" si="2"/>
        <v>3.23</v>
      </c>
      <c r="T15" s="33"/>
      <c r="X15" s="18"/>
      <c r="Y15" s="79"/>
      <c r="AA15" s="157"/>
      <c r="AB15" s="157"/>
      <c r="AG15">
        <v>15</v>
      </c>
      <c r="AH15" s="337">
        <v>5500</v>
      </c>
      <c r="AI15" s="347">
        <v>62150</v>
      </c>
      <c r="AJ15" s="33">
        <v>141423.42499999999</v>
      </c>
      <c r="AK15" s="15">
        <v>2.75</v>
      </c>
      <c r="AL15" s="339">
        <v>2.3375000000000004</v>
      </c>
    </row>
    <row r="16" spans="1:38" x14ac:dyDescent="0.25">
      <c r="B16" s="18">
        <v>2271</v>
      </c>
      <c r="C16" s="79" t="str">
        <f>VLOOKUP(B16,Orgenheter!$A$3:$C$166,2,FALSE)</f>
        <v xml:space="preserve">Nationalekonomi               </v>
      </c>
      <c r="D16" s="269">
        <f t="shared" si="7"/>
        <v>71250</v>
      </c>
      <c r="E16" s="68">
        <f t="shared" si="8"/>
        <v>422651.4375</v>
      </c>
      <c r="F16" s="47">
        <f t="shared" si="9"/>
        <v>11.875</v>
      </c>
      <c r="G16" s="47">
        <f t="shared" si="10"/>
        <v>10.09375</v>
      </c>
      <c r="H16" s="269">
        <f t="shared" si="3"/>
        <v>32670</v>
      </c>
      <c r="I16" s="68">
        <f t="shared" si="4"/>
        <v>180231.03004499999</v>
      </c>
      <c r="J16" s="47">
        <f t="shared" si="5"/>
        <v>5.4450000000000003</v>
      </c>
      <c r="K16" s="47">
        <f t="shared" si="6"/>
        <v>4.6282499999999995</v>
      </c>
      <c r="L16" s="269" t="str">
        <f t="shared" si="11"/>
        <v/>
      </c>
      <c r="M16" s="68" t="str">
        <f t="shared" si="12"/>
        <v/>
      </c>
      <c r="N16" s="118" t="str">
        <f t="shared" si="13"/>
        <v/>
      </c>
      <c r="O16" s="148" t="str">
        <f t="shared" si="14"/>
        <v/>
      </c>
      <c r="P16" s="68">
        <f t="shared" si="15"/>
        <v>103920</v>
      </c>
      <c r="Q16" s="68">
        <f t="shared" si="16"/>
        <v>602882.46754500002</v>
      </c>
      <c r="R16" s="47">
        <f t="shared" si="2"/>
        <v>17.32</v>
      </c>
      <c r="S16" s="126">
        <f t="shared" si="2"/>
        <v>14.722</v>
      </c>
      <c r="T16" s="33"/>
      <c r="AA16" s="18"/>
      <c r="AB16" s="157"/>
      <c r="AG16">
        <v>16</v>
      </c>
      <c r="AH16" s="337">
        <v>5700</v>
      </c>
      <c r="AI16" s="347">
        <v>5650</v>
      </c>
      <c r="AJ16" s="33">
        <v>12856.674999999999</v>
      </c>
      <c r="AK16" s="15">
        <v>0.25</v>
      </c>
      <c r="AL16" s="339">
        <v>0.21249999999999999</v>
      </c>
    </row>
    <row r="17" spans="1:38" x14ac:dyDescent="0.25">
      <c r="A17" s="72"/>
      <c r="B17" s="186">
        <v>2272</v>
      </c>
      <c r="C17" s="79" t="str">
        <f>VLOOKUP(B17,Orgenheter!$A$3:$C$166,2,FALSE)</f>
        <v xml:space="preserve">Statistik                     </v>
      </c>
      <c r="D17" s="269" t="str">
        <f t="shared" si="7"/>
        <v/>
      </c>
      <c r="E17" s="68" t="str">
        <f t="shared" si="8"/>
        <v/>
      </c>
      <c r="F17" s="47" t="str">
        <f t="shared" si="9"/>
        <v/>
      </c>
      <c r="G17" s="47" t="str">
        <f t="shared" si="10"/>
        <v/>
      </c>
      <c r="H17" s="269">
        <f t="shared" si="3"/>
        <v>51732</v>
      </c>
      <c r="I17" s="68">
        <f t="shared" si="4"/>
        <v>441009.28615499998</v>
      </c>
      <c r="J17" s="47">
        <f t="shared" si="5"/>
        <v>8.6219999999999999</v>
      </c>
      <c r="K17" s="47">
        <f t="shared" si="6"/>
        <v>7.3286999999999995</v>
      </c>
      <c r="L17" s="269" t="str">
        <f t="shared" si="11"/>
        <v/>
      </c>
      <c r="M17" s="68" t="str">
        <f t="shared" si="12"/>
        <v/>
      </c>
      <c r="N17" s="118" t="str">
        <f t="shared" si="13"/>
        <v/>
      </c>
      <c r="O17" s="148" t="str">
        <f t="shared" si="14"/>
        <v/>
      </c>
      <c r="P17" s="68">
        <f t="shared" si="15"/>
        <v>51732</v>
      </c>
      <c r="Q17" s="68">
        <f t="shared" si="16"/>
        <v>441009.28615499998</v>
      </c>
      <c r="R17" s="47">
        <f t="shared" si="2"/>
        <v>8.6219999999999999</v>
      </c>
      <c r="S17" s="126">
        <f t="shared" si="2"/>
        <v>7.3286999999999995</v>
      </c>
      <c r="T17" s="33"/>
      <c r="X17" s="18"/>
      <c r="Y17" s="79"/>
      <c r="AA17" s="186"/>
      <c r="AB17" s="18"/>
      <c r="AG17">
        <v>17</v>
      </c>
      <c r="AH17" s="337">
        <v>5730</v>
      </c>
      <c r="AI17" s="347">
        <v>1139350</v>
      </c>
      <c r="AJ17" s="33">
        <v>2933940.2124999976</v>
      </c>
      <c r="AK17" s="15">
        <v>57.875</v>
      </c>
      <c r="AL17" s="339">
        <v>48.612500000000026</v>
      </c>
    </row>
    <row r="18" spans="1:38" x14ac:dyDescent="0.25">
      <c r="B18" s="157">
        <v>2300</v>
      </c>
      <c r="C18" s="79" t="str">
        <f>VLOOKUP(B18,Orgenheter!$A$3:$C$166,2,FALSE)</f>
        <v xml:space="preserve">Juridiska institutionen       </v>
      </c>
      <c r="D18" s="269" t="str">
        <f t="shared" si="7"/>
        <v/>
      </c>
      <c r="E18" s="68" t="str">
        <f t="shared" si="8"/>
        <v/>
      </c>
      <c r="F18" s="47" t="str">
        <f t="shared" si="9"/>
        <v/>
      </c>
      <c r="G18" s="47" t="str">
        <f t="shared" si="10"/>
        <v/>
      </c>
      <c r="H18" s="269">
        <f t="shared" si="3"/>
        <v>69980.018181818188</v>
      </c>
      <c r="I18" s="68">
        <f t="shared" si="4"/>
        <v>596571.51982288633</v>
      </c>
      <c r="J18" s="47">
        <f t="shared" si="5"/>
        <v>11.663336363636365</v>
      </c>
      <c r="K18" s="47">
        <f t="shared" si="6"/>
        <v>9.9138359090909098</v>
      </c>
      <c r="L18" s="269" t="str">
        <f t="shared" si="11"/>
        <v/>
      </c>
      <c r="M18" s="68" t="str">
        <f t="shared" si="12"/>
        <v/>
      </c>
      <c r="N18" s="118" t="str">
        <f t="shared" si="13"/>
        <v/>
      </c>
      <c r="O18" s="148" t="str">
        <f t="shared" si="14"/>
        <v/>
      </c>
      <c r="P18" s="68">
        <f t="shared" si="15"/>
        <v>69980.018181818188</v>
      </c>
      <c r="Q18" s="68">
        <f t="shared" si="16"/>
        <v>596571.51982288633</v>
      </c>
      <c r="R18" s="47">
        <f t="shared" si="2"/>
        <v>11.663336363636365</v>
      </c>
      <c r="S18" s="126">
        <f t="shared" si="2"/>
        <v>9.9138359090909098</v>
      </c>
      <c r="T18" s="33"/>
      <c r="AA18" s="157"/>
      <c r="AB18" s="186"/>
      <c r="AG18">
        <v>18</v>
      </c>
      <c r="AH18" s="337">
        <v>5740</v>
      </c>
      <c r="AI18" s="347">
        <v>3904153.8333333335</v>
      </c>
      <c r="AJ18" s="33">
        <v>13210892.979666675</v>
      </c>
      <c r="AK18" s="15">
        <v>253.69458333333336</v>
      </c>
      <c r="AL18" s="339">
        <v>214.43997916666683</v>
      </c>
    </row>
    <row r="19" spans="1:38" x14ac:dyDescent="0.25">
      <c r="A19" s="72"/>
      <c r="B19" s="18">
        <v>2340</v>
      </c>
      <c r="C19" s="79" t="str">
        <f>VLOOKUP(B19,Orgenheter!$A$3:$C$166,2,FALSE)</f>
        <v xml:space="preserve">Statsvetenskap                </v>
      </c>
      <c r="D19" s="269">
        <f t="shared" si="7"/>
        <v>432750</v>
      </c>
      <c r="E19" s="68">
        <f t="shared" si="8"/>
        <v>2743873.5562499994</v>
      </c>
      <c r="F19" s="47">
        <f t="shared" si="9"/>
        <v>72.125</v>
      </c>
      <c r="G19" s="47">
        <f t="shared" si="10"/>
        <v>61.01250000000001</v>
      </c>
      <c r="H19" s="269">
        <f t="shared" si="3"/>
        <v>21701.399999999998</v>
      </c>
      <c r="I19" s="68">
        <f t="shared" si="4"/>
        <v>119720.4063489</v>
      </c>
      <c r="J19" s="47">
        <f t="shared" si="5"/>
        <v>3.6168999999999998</v>
      </c>
      <c r="K19" s="47">
        <f t="shared" si="6"/>
        <v>3.0743649999999993</v>
      </c>
      <c r="L19" s="269">
        <f t="shared" si="11"/>
        <v>-105900</v>
      </c>
      <c r="M19" s="68">
        <f t="shared" si="12"/>
        <v>-584219.95965000009</v>
      </c>
      <c r="N19" s="118">
        <f t="shared" si="13"/>
        <v>-17.650000000000006</v>
      </c>
      <c r="O19" s="148">
        <f t="shared" si="14"/>
        <v>-15.0025</v>
      </c>
      <c r="P19" s="68">
        <f t="shared" si="15"/>
        <v>348551.4</v>
      </c>
      <c r="Q19" s="68">
        <f t="shared" si="16"/>
        <v>2279374.0029488993</v>
      </c>
      <c r="R19" s="47">
        <f t="shared" si="2"/>
        <v>58.091899999999995</v>
      </c>
      <c r="S19" s="126">
        <f t="shared" si="2"/>
        <v>49.084365000000005</v>
      </c>
      <c r="T19" s="33"/>
      <c r="AA19" s="18"/>
      <c r="AB19" s="18"/>
      <c r="AG19">
        <v>19</v>
      </c>
      <c r="AH19" s="337">
        <v>6000</v>
      </c>
      <c r="AI19" s="347">
        <v>1500</v>
      </c>
      <c r="AJ19" s="33">
        <v>8897.9249999999993</v>
      </c>
      <c r="AK19" s="15">
        <v>0.25</v>
      </c>
      <c r="AL19" s="339">
        <v>0.21249999999999999</v>
      </c>
    </row>
    <row r="20" spans="1:38" x14ac:dyDescent="0.25">
      <c r="A20" s="72"/>
      <c r="B20" s="186">
        <v>2360</v>
      </c>
      <c r="C20" s="79" t="str">
        <f>VLOOKUP(B20,Orgenheter!$A$3:$C$166,2,FALSE)</f>
        <v xml:space="preserve">Ekonomisk historia            </v>
      </c>
      <c r="D20" s="269" t="str">
        <f t="shared" si="7"/>
        <v/>
      </c>
      <c r="E20" s="68" t="str">
        <f t="shared" si="8"/>
        <v/>
      </c>
      <c r="F20" s="47" t="str">
        <f t="shared" si="9"/>
        <v/>
      </c>
      <c r="G20" s="47" t="str">
        <f t="shared" si="10"/>
        <v/>
      </c>
      <c r="H20" s="269">
        <f t="shared" si="3"/>
        <v>48030</v>
      </c>
      <c r="I20" s="68">
        <f t="shared" si="4"/>
        <v>264967.74940500001</v>
      </c>
      <c r="J20" s="47">
        <f t="shared" si="5"/>
        <v>8.0050000000000008</v>
      </c>
      <c r="K20" s="47">
        <f t="shared" si="6"/>
        <v>6.8042499999999997</v>
      </c>
      <c r="L20" s="269" t="str">
        <f t="shared" si="11"/>
        <v/>
      </c>
      <c r="M20" s="68" t="str">
        <f t="shared" si="12"/>
        <v/>
      </c>
      <c r="N20" s="118" t="str">
        <f t="shared" si="13"/>
        <v/>
      </c>
      <c r="O20" s="148" t="str">
        <f t="shared" si="14"/>
        <v/>
      </c>
      <c r="P20" s="68">
        <f t="shared" si="15"/>
        <v>48030</v>
      </c>
      <c r="Q20" s="68">
        <f t="shared" si="16"/>
        <v>264967.74940500001</v>
      </c>
      <c r="R20" s="47">
        <f t="shared" si="2"/>
        <v>8.0050000000000008</v>
      </c>
      <c r="S20" s="126">
        <f t="shared" si="2"/>
        <v>6.8042499999999997</v>
      </c>
      <c r="T20" s="33"/>
      <c r="AA20" s="186"/>
      <c r="AB20" s="186"/>
      <c r="AG20">
        <v>20</v>
      </c>
      <c r="AH20" s="340" t="s">
        <v>768</v>
      </c>
      <c r="AI20" s="348">
        <v>24661004.333333332</v>
      </c>
      <c r="AJ20" s="349">
        <v>100653580.85159166</v>
      </c>
      <c r="AK20" s="350">
        <v>2149.3114999999998</v>
      </c>
      <c r="AL20" s="343">
        <v>1801.8368750000009</v>
      </c>
    </row>
    <row r="21" spans="1:38" x14ac:dyDescent="0.25">
      <c r="A21" s="72"/>
      <c r="B21" s="186">
        <v>2500</v>
      </c>
      <c r="C21" s="79" t="str">
        <f>VLOOKUP(B21,Orgenheter!$A$3:$C$166,2,FALSE)</f>
        <v>Geografi</v>
      </c>
      <c r="D21" s="269">
        <f t="shared" si="7"/>
        <v>45605</v>
      </c>
      <c r="E21" s="68">
        <f t="shared" si="8"/>
        <v>206518.50499999998</v>
      </c>
      <c r="F21" s="47">
        <f t="shared" si="9"/>
        <v>5.3</v>
      </c>
      <c r="G21" s="47">
        <f t="shared" si="10"/>
        <v>4.5050000000000008</v>
      </c>
      <c r="H21" s="269">
        <f t="shared" si="3"/>
        <v>6500</v>
      </c>
      <c r="I21" s="68">
        <f t="shared" si="4"/>
        <v>35723.462249999997</v>
      </c>
      <c r="J21" s="47">
        <f t="shared" si="5"/>
        <v>1.0833333333333333</v>
      </c>
      <c r="K21" s="47">
        <f t="shared" si="6"/>
        <v>0.91249999999999987</v>
      </c>
      <c r="L21" s="269">
        <f t="shared" si="11"/>
        <v>0</v>
      </c>
      <c r="M21" s="68">
        <f t="shared" si="12"/>
        <v>0</v>
      </c>
      <c r="N21" s="118">
        <f t="shared" si="13"/>
        <v>0</v>
      </c>
      <c r="O21" s="148">
        <f t="shared" si="14"/>
        <v>0</v>
      </c>
      <c r="P21" s="68">
        <f t="shared" si="15"/>
        <v>52105</v>
      </c>
      <c r="Q21" s="68">
        <f t="shared" si="16"/>
        <v>242241.96724999999</v>
      </c>
      <c r="R21" s="47">
        <f t="shared" si="2"/>
        <v>6.3833333333333329</v>
      </c>
      <c r="S21" s="126">
        <f t="shared" si="2"/>
        <v>5.4175000000000004</v>
      </c>
      <c r="T21" s="33"/>
      <c r="AA21" s="186"/>
      <c r="AB21" s="186"/>
      <c r="AG21">
        <v>21</v>
      </c>
    </row>
    <row r="22" spans="1:38" x14ac:dyDescent="0.25">
      <c r="A22" s="72"/>
      <c r="B22" s="186">
        <v>2650</v>
      </c>
      <c r="C22" s="79" t="str">
        <f>VLOOKUP(B22,Orgenheter!$A$3:$C$166,2,FALSE)</f>
        <v>Inst för kost- och måltidsvetenskap</v>
      </c>
      <c r="D22" s="269">
        <f t="shared" si="7"/>
        <v>1212450</v>
      </c>
      <c r="E22" s="68">
        <f t="shared" si="8"/>
        <v>3049511.5750000002</v>
      </c>
      <c r="F22" s="47">
        <f t="shared" si="9"/>
        <v>65.125</v>
      </c>
      <c r="G22" s="47">
        <f t="shared" si="10"/>
        <v>52.225000000000001</v>
      </c>
      <c r="H22" s="269">
        <f t="shared" si="3"/>
        <v>136552.5</v>
      </c>
      <c r="I22" s="68">
        <f t="shared" si="4"/>
        <v>276384.61912499997</v>
      </c>
      <c r="J22" s="47">
        <f t="shared" si="5"/>
        <v>3.8249999999999997</v>
      </c>
      <c r="K22" s="47">
        <f t="shared" si="6"/>
        <v>3.2137500000000001</v>
      </c>
      <c r="L22" s="269" t="str">
        <f t="shared" si="11"/>
        <v/>
      </c>
      <c r="M22" s="68" t="str">
        <f t="shared" si="12"/>
        <v/>
      </c>
      <c r="N22" s="118" t="str">
        <f t="shared" si="13"/>
        <v/>
      </c>
      <c r="O22" s="148" t="str">
        <f t="shared" si="14"/>
        <v/>
      </c>
      <c r="P22" s="68">
        <f t="shared" si="15"/>
        <v>1349002.5</v>
      </c>
      <c r="Q22" s="68">
        <f t="shared" si="16"/>
        <v>3325896.1941250004</v>
      </c>
      <c r="R22" s="47">
        <f t="shared" si="2"/>
        <v>68.95</v>
      </c>
      <c r="S22" s="126">
        <f t="shared" si="2"/>
        <v>55.438749999999999</v>
      </c>
      <c r="AA22" s="186"/>
      <c r="AB22" s="186"/>
      <c r="AG22">
        <v>22</v>
      </c>
      <c r="AJ22" s="15"/>
    </row>
    <row r="23" spans="1:38" ht="15.75" thickBot="1" x14ac:dyDescent="0.3">
      <c r="A23" s="72"/>
      <c r="B23" s="18"/>
      <c r="C23" s="18"/>
      <c r="D23" s="105"/>
      <c r="E23" s="106"/>
      <c r="F23" s="90"/>
      <c r="G23" s="115"/>
      <c r="H23" s="105"/>
      <c r="I23" s="106"/>
      <c r="J23" s="106"/>
      <c r="K23" s="107"/>
      <c r="L23" s="105"/>
      <c r="M23" s="106"/>
      <c r="N23" s="118"/>
      <c r="O23" s="148"/>
      <c r="P23" s="106"/>
      <c r="Q23" s="106"/>
      <c r="R23" s="106"/>
      <c r="S23" s="128"/>
      <c r="AG23">
        <v>23</v>
      </c>
      <c r="AJ23" s="15"/>
    </row>
    <row r="24" spans="1:38" ht="15.75" thickBot="1" x14ac:dyDescent="0.3">
      <c r="A24" s="34" t="s">
        <v>37</v>
      </c>
      <c r="B24" s="89"/>
      <c r="C24" s="273"/>
      <c r="D24" s="129">
        <f t="shared" ref="D24:S24" si="17">SUM(D12:D22)</f>
        <v>8528753.5</v>
      </c>
      <c r="E24" s="130">
        <f t="shared" si="17"/>
        <v>45890178.451550007</v>
      </c>
      <c r="F24" s="132">
        <f t="shared" si="17"/>
        <v>1008.6240833333331</v>
      </c>
      <c r="G24" s="132">
        <f t="shared" si="17"/>
        <v>845.38423749999993</v>
      </c>
      <c r="H24" s="130">
        <f t="shared" si="17"/>
        <v>1441273.959090909</v>
      </c>
      <c r="I24" s="130">
        <f t="shared" si="17"/>
        <v>9396809.7633180078</v>
      </c>
      <c r="J24" s="132">
        <f t="shared" si="17"/>
        <v>204.36899318181815</v>
      </c>
      <c r="K24" s="132">
        <f t="shared" si="17"/>
        <v>173.64281087121213</v>
      </c>
      <c r="L24" s="130">
        <f t="shared" si="17"/>
        <v>-1466214.25</v>
      </c>
      <c r="M24" s="130">
        <f t="shared" si="17"/>
        <v>-7711335.6522966865</v>
      </c>
      <c r="N24" s="131">
        <f t="shared" si="17"/>
        <v>-162.1540416666667</v>
      </c>
      <c r="O24" s="272">
        <f t="shared" si="17"/>
        <v>-137.69135208333333</v>
      </c>
      <c r="P24" s="270">
        <f t="shared" si="17"/>
        <v>8503813.2090909109</v>
      </c>
      <c r="Q24" s="141">
        <f t="shared" si="17"/>
        <v>47575652.562571317</v>
      </c>
      <c r="R24" s="142">
        <f t="shared" si="17"/>
        <v>1050.8390348484847</v>
      </c>
      <c r="S24" s="143">
        <f t="shared" si="17"/>
        <v>881.33569628787893</v>
      </c>
      <c r="AG24">
        <v>24</v>
      </c>
    </row>
    <row r="25" spans="1:38" x14ac:dyDescent="0.25">
      <c r="A25" s="72"/>
      <c r="B25" s="18"/>
      <c r="C25" s="18"/>
      <c r="D25" s="182"/>
      <c r="E25" s="68"/>
      <c r="F25" s="47"/>
      <c r="G25" s="47"/>
      <c r="H25" s="108"/>
      <c r="I25" s="109"/>
      <c r="J25" s="109"/>
      <c r="K25" s="110"/>
      <c r="L25" s="182"/>
      <c r="M25" s="68"/>
      <c r="N25" s="118"/>
      <c r="O25" s="148"/>
      <c r="P25" s="109"/>
      <c r="Q25" s="109"/>
      <c r="R25" s="109"/>
      <c r="S25" s="144"/>
      <c r="AG25">
        <v>25</v>
      </c>
    </row>
    <row r="26" spans="1:38" ht="29.25" x14ac:dyDescent="0.25">
      <c r="A26" s="177" t="s">
        <v>71</v>
      </c>
      <c r="B26" s="178" t="s">
        <v>561</v>
      </c>
      <c r="C26" s="179" t="s">
        <v>35</v>
      </c>
      <c r="D26" s="184" t="s">
        <v>404</v>
      </c>
      <c r="E26" s="27" t="s">
        <v>415</v>
      </c>
      <c r="F26" s="114" t="s">
        <v>61</v>
      </c>
      <c r="G26" s="114" t="s">
        <v>62</v>
      </c>
      <c r="H26" s="184" t="s">
        <v>404</v>
      </c>
      <c r="I26" s="27" t="s">
        <v>415</v>
      </c>
      <c r="J26" s="114" t="s">
        <v>61</v>
      </c>
      <c r="K26" s="185" t="s">
        <v>62</v>
      </c>
      <c r="L26" s="184" t="s">
        <v>404</v>
      </c>
      <c r="M26" s="27" t="s">
        <v>415</v>
      </c>
      <c r="N26" s="119" t="s">
        <v>61</v>
      </c>
      <c r="O26" s="150" t="s">
        <v>62</v>
      </c>
      <c r="P26" s="116" t="s">
        <v>453</v>
      </c>
      <c r="Q26" s="116" t="s">
        <v>452</v>
      </c>
      <c r="R26" s="27" t="s">
        <v>61</v>
      </c>
      <c r="S26" s="71" t="s">
        <v>62</v>
      </c>
      <c r="T26" s="33"/>
      <c r="AA26" s="62"/>
      <c r="AG26">
        <v>26</v>
      </c>
      <c r="AI26" s="61" t="s">
        <v>403</v>
      </c>
    </row>
    <row r="27" spans="1:38" x14ac:dyDescent="0.25">
      <c r="A27" s="78" t="s">
        <v>413</v>
      </c>
      <c r="B27" s="176">
        <v>3306</v>
      </c>
      <c r="C27" s="79" t="str">
        <f>VLOOKUP(B27,Orgenheter!$A$3:$C$166,2,FALSE)</f>
        <v xml:space="preserve">Idrottsmedicin                </v>
      </c>
      <c r="D27" s="269" t="str">
        <f>IF(ISERROR(VLOOKUP(B27,$AH$3:$AJ$20,2,FALSE)),"",VLOOKUP(B27,$AH$3:$AJ$20,2,FALSE))</f>
        <v/>
      </c>
      <c r="E27" s="68" t="str">
        <f>IF(ISERROR(VLOOKUP(B27,$AH$3:$AJ$20,3,FALSE)),"",VLOOKUP(B27,$AH$3:$AJ$20,3,FALSE))</f>
        <v/>
      </c>
      <c r="F27" s="47" t="str">
        <f>IF(ISERROR(VLOOKUP(B27,$AH$3:$AM$20,4,FALSE)),"",VLOOKUP(B27,$AH$3:$AM$20,4,FALSE))</f>
        <v/>
      </c>
      <c r="G27" s="47" t="str">
        <f>IF(ISERROR(VLOOKUP(B27,$AH$3:$AM$20,5,FALSE)),"",VLOOKUP(B27,$AH$3:$AM$20,5,FALSE))</f>
        <v/>
      </c>
      <c r="H27" s="269">
        <f>IF(ISERROR(VLOOKUP(B27,$AH$28:$AJ$47,2,FALSE)),"",VLOOKUP(B27,$AH$28:$AJ$47,2,FALSE))</f>
        <v>415012.5</v>
      </c>
      <c r="I27" s="68">
        <f>IF(ISERROR(VLOOKUP(B27,$AH$28:$AJ$47,3,FALSE)),"",VLOOKUP(B27,$AH$28:$AJ$47,3,FALSE))</f>
        <v>840658.73624999996</v>
      </c>
      <c r="J27" s="47">
        <f>IF(ISERROR(VLOOKUP(B27,$AH$28:$AM$47,4,FALSE)),"",VLOOKUP(B27,$AH$28:$AM$47,4,FALSE))</f>
        <v>11.625</v>
      </c>
      <c r="K27" s="47">
        <f>IF(ISERROR(VLOOKUP(B27,$AH$28:$AM$47,5,FALSE)),"",VLOOKUP(B27,$AH$28:$AM$47,5,FALSE))</f>
        <v>9.7874999999999996</v>
      </c>
      <c r="L27" s="269" t="str">
        <f>IF(ISERROR(VLOOKUP(B27,$AH$53:$AJ$64,2,FALSE)),"",VLOOKUP(B27,$AH$53:$AJ$64,2,FALSE)*-1)</f>
        <v/>
      </c>
      <c r="M27" s="68" t="str">
        <f>IF(ISERROR(VLOOKUP(B27,$AH$53:$AJ$64,3,FALSE)),"",VLOOKUP(B27,$AH$53:$AJ$64,3,FALSE)*-1)</f>
        <v/>
      </c>
      <c r="N27" s="118" t="str">
        <f>IF(ISERROR(VLOOKUP(B27,$AH$53:$AM$64,4,FALSE)),"",VLOOKUP(B27,$AH$53:$AM$64,4,FALSE)*-1)</f>
        <v/>
      </c>
      <c r="O27" s="148" t="str">
        <f>IF(ISERROR(VLOOKUP(B27,$AH$53:$AM$64,5,FALSE)),"",VLOOKUP(B27,$AH$53:$AM$64,5,FALSE)*-1)</f>
        <v/>
      </c>
      <c r="P27" s="68">
        <f t="shared" ref="P27:S28" si="18">SUM(D27,H27,L27)</f>
        <v>415012.5</v>
      </c>
      <c r="Q27" s="68">
        <f t="shared" si="18"/>
        <v>840658.73624999996</v>
      </c>
      <c r="R27" s="47">
        <f t="shared" si="18"/>
        <v>11.625</v>
      </c>
      <c r="S27" s="126">
        <f t="shared" si="18"/>
        <v>9.7874999999999996</v>
      </c>
      <c r="AA27" s="62"/>
      <c r="AG27">
        <v>27</v>
      </c>
      <c r="AH27" s="61" t="s">
        <v>399</v>
      </c>
      <c r="AI27" t="s">
        <v>894</v>
      </c>
      <c r="AJ27" t="s">
        <v>458</v>
      </c>
      <c r="AK27" t="s">
        <v>449</v>
      </c>
      <c r="AL27" t="s">
        <v>450</v>
      </c>
    </row>
    <row r="28" spans="1:38" x14ac:dyDescent="0.25">
      <c r="A28" s="78"/>
      <c r="B28" s="62">
        <v>3850</v>
      </c>
      <c r="C28" s="79" t="str">
        <f>VLOOKUP(B28,Orgenheter!$A$3:$C$166,2,FALSE)</f>
        <v>Epidemiologi och global hälsa</v>
      </c>
      <c r="D28" s="269" t="str">
        <f>IF(ISERROR(VLOOKUP(B28,$AH$3:$AJ$20,2,FALSE)),"",VLOOKUP(B28,$AH$3:$AJ$20,2,FALSE))</f>
        <v/>
      </c>
      <c r="E28" s="68" t="str">
        <f>IF(ISERROR(VLOOKUP(B28,$AH$3:$AJ$20,3,FALSE)),"",VLOOKUP(B28,$AH$3:$AJ$20,3,FALSE))</f>
        <v/>
      </c>
      <c r="F28" s="47" t="str">
        <f>IF(ISERROR(VLOOKUP(B28,$AH$3:$AM$20,4,FALSE)),"",VLOOKUP(B28,$AH$3:$AM$20,4,FALSE))</f>
        <v/>
      </c>
      <c r="G28" s="47" t="str">
        <f>IF(ISERROR(VLOOKUP(B28,$AH$3:$AM$20,5,FALSE)),"",VLOOKUP(B28,$AH$3:$AM$20,5,FALSE))</f>
        <v/>
      </c>
      <c r="H28" s="269">
        <f>IF(ISERROR(VLOOKUP(B28,$AH$28:$AJ$47,2,FALSE)),"",VLOOKUP(B28,$AH$28:$AJ$47,2,FALSE))</f>
        <v>80325</v>
      </c>
      <c r="I28" s="68">
        <f>IF(ISERROR(VLOOKUP(B28,$AH$28:$AJ$47,3,FALSE)),"",VLOOKUP(B28,$AH$28:$AJ$47,3,FALSE))</f>
        <v>163031.44125</v>
      </c>
      <c r="J28" s="47">
        <f>IF(ISERROR(VLOOKUP(B28,$AH$28:$AM$47,4,FALSE)),"",VLOOKUP(B28,$AH$28:$AM$47,4,FALSE))</f>
        <v>2.25</v>
      </c>
      <c r="K28" s="47">
        <f>IF(ISERROR(VLOOKUP(B28,$AH$28:$AM$47,5,FALSE)),"",VLOOKUP(B28,$AH$28:$AM$47,5,FALSE))</f>
        <v>1.9041666666666668</v>
      </c>
      <c r="L28" s="269" t="str">
        <f>IF(ISERROR(VLOOKUP(B28,$AH$53:$AJ$64,2,FALSE)),"",VLOOKUP(B28,$AH$53:$AJ$64,2,FALSE)*-1)</f>
        <v/>
      </c>
      <c r="M28" s="68" t="str">
        <f>IF(ISERROR(VLOOKUP(B28,$AH$53:$AJ$64,3,FALSE)),"",VLOOKUP(B28,$AH$53:$AJ$64,3,FALSE)*-1)</f>
        <v/>
      </c>
      <c r="N28" s="118" t="str">
        <f>IF(ISERROR(VLOOKUP(B28,$AH$53:$AM$64,4,FALSE)),"",VLOOKUP(B28,$AH$53:$AM$64,4,FALSE)*-1)</f>
        <v/>
      </c>
      <c r="O28" s="148" t="str">
        <f>IF(ISERROR(VLOOKUP(B28,$AH$53:$AM$64,5,FALSE)),"",VLOOKUP(B28,$AH$53:$AM$64,5,FALSE)*-1)</f>
        <v/>
      </c>
      <c r="P28" s="68">
        <f t="shared" si="18"/>
        <v>80325</v>
      </c>
      <c r="Q28" s="68">
        <f t="shared" si="18"/>
        <v>163031.44125</v>
      </c>
      <c r="R28" s="47">
        <f t="shared" si="18"/>
        <v>2.25</v>
      </c>
      <c r="S28" s="126">
        <f t="shared" si="18"/>
        <v>1.9041666666666668</v>
      </c>
      <c r="AG28">
        <v>28</v>
      </c>
      <c r="AH28">
        <v>1620</v>
      </c>
      <c r="AI28" s="33">
        <v>194838.5</v>
      </c>
      <c r="AJ28" s="33">
        <v>1328523.9857175001</v>
      </c>
      <c r="AK28" s="15">
        <v>28.037083333333335</v>
      </c>
      <c r="AL28" s="15">
        <v>23.831520833333332</v>
      </c>
    </row>
    <row r="29" spans="1:38" ht="15.75" thickBot="1" x14ac:dyDescent="0.3">
      <c r="A29" s="72"/>
      <c r="B29" s="18"/>
      <c r="C29" s="18"/>
      <c r="D29" s="182"/>
      <c r="E29" s="68"/>
      <c r="F29" s="47"/>
      <c r="G29" s="47"/>
      <c r="H29" s="105"/>
      <c r="I29" s="106"/>
      <c r="J29" s="106"/>
      <c r="K29" s="107"/>
      <c r="L29" s="182"/>
      <c r="M29" s="68"/>
      <c r="N29" s="118"/>
      <c r="O29" s="148"/>
      <c r="P29" s="106"/>
      <c r="Q29" s="106"/>
      <c r="R29" s="106"/>
      <c r="S29" s="128"/>
      <c r="AG29">
        <v>29</v>
      </c>
      <c r="AH29">
        <v>1640</v>
      </c>
      <c r="AI29" s="33">
        <v>296264.2</v>
      </c>
      <c r="AJ29" s="33">
        <v>2078528.5608804999</v>
      </c>
      <c r="AK29" s="15">
        <v>49.377366666666667</v>
      </c>
      <c r="AL29" s="15">
        <v>41.970761666666668</v>
      </c>
    </row>
    <row r="30" spans="1:38" ht="15.75" thickBot="1" x14ac:dyDescent="0.3">
      <c r="A30" s="34" t="s">
        <v>38</v>
      </c>
      <c r="B30" s="89"/>
      <c r="C30" s="273"/>
      <c r="D30" s="129">
        <f t="shared" ref="D30:O30" si="19">SUM(D27)</f>
        <v>0</v>
      </c>
      <c r="E30" s="130">
        <f t="shared" si="19"/>
        <v>0</v>
      </c>
      <c r="F30" s="132">
        <f t="shared" si="19"/>
        <v>0</v>
      </c>
      <c r="G30" s="132">
        <f t="shared" si="19"/>
        <v>0</v>
      </c>
      <c r="H30" s="130">
        <f>SUM(H27:H28)</f>
        <v>495337.5</v>
      </c>
      <c r="I30" s="130">
        <f>SUM(I27:I28)</f>
        <v>1003690.1775</v>
      </c>
      <c r="J30" s="132">
        <f>SUM(J27:J28)</f>
        <v>13.875</v>
      </c>
      <c r="K30" s="132">
        <f>SUM(K27:K28)</f>
        <v>11.691666666666666</v>
      </c>
      <c r="L30" s="130">
        <f t="shared" si="19"/>
        <v>0</v>
      </c>
      <c r="M30" s="130">
        <f t="shared" si="19"/>
        <v>0</v>
      </c>
      <c r="N30" s="131">
        <f t="shared" si="19"/>
        <v>0</v>
      </c>
      <c r="O30" s="272">
        <f t="shared" si="19"/>
        <v>0</v>
      </c>
      <c r="P30" s="270">
        <f>SUM(P27:P28)</f>
        <v>495337.5</v>
      </c>
      <c r="Q30" s="141">
        <f>SUM(Q27:Q28)</f>
        <v>1003690.1775</v>
      </c>
      <c r="R30" s="142">
        <f>SUM(R27:R28)</f>
        <v>13.875</v>
      </c>
      <c r="S30" s="143">
        <f>SUM(S27:S28)</f>
        <v>11.691666666666666</v>
      </c>
      <c r="AG30">
        <v>30</v>
      </c>
      <c r="AH30">
        <v>1650</v>
      </c>
      <c r="AI30" s="33">
        <v>23133.5</v>
      </c>
      <c r="AJ30" s="33">
        <v>196412.59441750002</v>
      </c>
      <c r="AK30" s="15">
        <v>4.2704166666666667</v>
      </c>
      <c r="AL30" s="15">
        <v>3.629854166666667</v>
      </c>
    </row>
    <row r="31" spans="1:38" x14ac:dyDescent="0.25">
      <c r="A31" s="72"/>
      <c r="B31" s="18"/>
      <c r="C31" s="18"/>
      <c r="D31" s="182"/>
      <c r="E31" s="68"/>
      <c r="F31" s="47"/>
      <c r="G31" s="183"/>
      <c r="H31" s="108"/>
      <c r="I31" s="109"/>
      <c r="J31" s="109"/>
      <c r="K31" s="110"/>
      <c r="L31" s="182"/>
      <c r="M31" s="68"/>
      <c r="N31" s="118"/>
      <c r="O31" s="148"/>
      <c r="P31" s="109"/>
      <c r="Q31" s="109"/>
      <c r="R31" s="109"/>
      <c r="S31" s="144"/>
      <c r="T31" s="33"/>
      <c r="AG31">
        <v>31</v>
      </c>
      <c r="AH31">
        <v>2180</v>
      </c>
      <c r="AI31" s="33">
        <v>401405.84545454546</v>
      </c>
      <c r="AJ31" s="33">
        <v>2866527.4782142537</v>
      </c>
      <c r="AK31" s="15">
        <v>62.460349242424243</v>
      </c>
      <c r="AL31" s="15">
        <v>53.066296856060625</v>
      </c>
    </row>
    <row r="32" spans="1:38" ht="29.25" x14ac:dyDescent="0.25">
      <c r="A32" s="177" t="s">
        <v>71</v>
      </c>
      <c r="B32" s="178" t="s">
        <v>561</v>
      </c>
      <c r="C32" s="179" t="s">
        <v>35</v>
      </c>
      <c r="D32" s="184" t="s">
        <v>404</v>
      </c>
      <c r="E32" s="27" t="s">
        <v>415</v>
      </c>
      <c r="F32" s="114" t="s">
        <v>61</v>
      </c>
      <c r="G32" s="185" t="s">
        <v>62</v>
      </c>
      <c r="H32" s="184" t="s">
        <v>404</v>
      </c>
      <c r="I32" s="27" t="s">
        <v>415</v>
      </c>
      <c r="J32" s="114" t="s">
        <v>61</v>
      </c>
      <c r="K32" s="185" t="s">
        <v>62</v>
      </c>
      <c r="L32" s="184" t="s">
        <v>404</v>
      </c>
      <c r="M32" s="27" t="s">
        <v>415</v>
      </c>
      <c r="N32" s="119" t="s">
        <v>61</v>
      </c>
      <c r="O32" s="150" t="s">
        <v>62</v>
      </c>
      <c r="P32" s="116" t="s">
        <v>453</v>
      </c>
      <c r="Q32" s="116" t="s">
        <v>452</v>
      </c>
      <c r="R32" s="27" t="s">
        <v>61</v>
      </c>
      <c r="S32" s="71" t="s">
        <v>62</v>
      </c>
      <c r="T32" s="33"/>
      <c r="AG32">
        <v>32</v>
      </c>
      <c r="AH32">
        <v>2193</v>
      </c>
      <c r="AI32" s="33">
        <v>406248.0954545454</v>
      </c>
      <c r="AJ32" s="33">
        <v>2632351.6538398415</v>
      </c>
      <c r="AK32" s="15">
        <v>55.239057575757577</v>
      </c>
      <c r="AL32" s="15">
        <v>46.953198939393943</v>
      </c>
    </row>
    <row r="33" spans="1:38" x14ac:dyDescent="0.25">
      <c r="A33" s="78" t="s">
        <v>412</v>
      </c>
      <c r="B33">
        <v>5100</v>
      </c>
      <c r="C33" s="79" t="str">
        <f>VLOOKUP(B33,Orgenheter!$A$3:$C$166,2,FALSE)</f>
        <v>EMG</v>
      </c>
      <c r="D33" s="269">
        <f>IF(ISERROR(VLOOKUP(B33,$AH$3:$AJ$20,2,FALSE)),"",VLOOKUP(B33,$AH$3:$AJ$20,2,FALSE))</f>
        <v>197750</v>
      </c>
      <c r="E33" s="68">
        <f>IF(ISERROR(VLOOKUP(B33,$AH$3:$AJ$20,3,FALSE)),"",VLOOKUP(B33,$AH$3:$AJ$20,3,FALSE))</f>
        <v>449983.625</v>
      </c>
      <c r="F33" s="47">
        <f>IF(ISERROR(VLOOKUP(B33,$AH$3:$AM$20,4,FALSE)),"",VLOOKUP(B33,$AH$3:$AM$20,4,FALSE))</f>
        <v>8.75</v>
      </c>
      <c r="G33" s="47">
        <f>IF(ISERROR(VLOOKUP(B33,$AH$3:$AM$20,5,FALSE)),"",VLOOKUP(B33,$AH$3:$AM$20,5,FALSE))</f>
        <v>7.4375</v>
      </c>
      <c r="H33" s="269">
        <f>IF(ISERROR(VLOOKUP(B33,$AH$28:$AJ$47,2,FALSE)),"",VLOOKUP(B33,$AH$28:$AJ$47,2,FALSE))</f>
        <v>0</v>
      </c>
      <c r="I33" s="68">
        <f>IF(ISERROR(VLOOKUP(B33,$AH$28:$AJ$47,3,FALSE)),"",VLOOKUP(B33,$AH$28:$AJ$47,3,FALSE))</f>
        <v>0</v>
      </c>
      <c r="J33" s="47">
        <f>IF(ISERROR(VLOOKUP(B33,$AH$28:$AM$47,4,FALSE)),"",VLOOKUP(B33,$AH$28:$AM$47,4,FALSE))</f>
        <v>0</v>
      </c>
      <c r="K33" s="47">
        <f>IF(ISERROR(VLOOKUP(B33,$AH$28:$AM$47,5,FALSE)),"",VLOOKUP(B33,$AH$28:$AM$47,5,FALSE))</f>
        <v>0</v>
      </c>
      <c r="L33" s="269" t="str">
        <f t="shared" ref="L33:L38" si="20">IF(ISERROR(VLOOKUP(B33,$AH$53:$AJ$64,2,FALSE)),"",VLOOKUP(B33,$AH$53:$AJ$64,2,FALSE)*-1)</f>
        <v/>
      </c>
      <c r="M33" s="68" t="str">
        <f t="shared" ref="M33:M38" si="21">IF(ISERROR(VLOOKUP(B33,$AH$53:$AJ$64,3,FALSE)),"",VLOOKUP(B33,$AH$53:$AJ$64,3,FALSE)*-1)</f>
        <v/>
      </c>
      <c r="N33" s="118" t="str">
        <f t="shared" ref="N33:N38" si="22">IF(ISERROR(VLOOKUP(B33,$AH$53:$AM$64,4,FALSE)),"",VLOOKUP(B33,$AH$53:$AM$64,4,FALSE)*-1)</f>
        <v/>
      </c>
      <c r="O33" s="148" t="str">
        <f t="shared" ref="O33:O38" si="23">IF(ISERROR(VLOOKUP(B33,$AH$53:$AM$64,5,FALSE)),"",VLOOKUP(B33,$AH$53:$AM$64,5,FALSE)*-1)</f>
        <v/>
      </c>
      <c r="P33" s="68">
        <f>SUM(D33,H33,L33)</f>
        <v>197750</v>
      </c>
      <c r="Q33" s="68">
        <f>SUM(E33,I33,M33)</f>
        <v>449983.625</v>
      </c>
      <c r="R33" s="47">
        <f>SUM(F33,J33,N33)</f>
        <v>8.75</v>
      </c>
      <c r="S33" s="126">
        <f>SUM(G33,K33,O33)</f>
        <v>7.4375</v>
      </c>
      <c r="T33" s="33"/>
      <c r="AG33">
        <v>33</v>
      </c>
      <c r="AH33">
        <v>2200</v>
      </c>
      <c r="AI33" s="33">
        <v>243654.1</v>
      </c>
      <c r="AJ33" s="33">
        <v>1857541.4903121251</v>
      </c>
      <c r="AK33" s="15">
        <v>40.609016666666662</v>
      </c>
      <c r="AL33" s="15">
        <v>34.51766416666667</v>
      </c>
    </row>
    <row r="34" spans="1:38" x14ac:dyDescent="0.25">
      <c r="B34">
        <v>5160</v>
      </c>
      <c r="C34" s="79" t="s">
        <v>305</v>
      </c>
      <c r="D34" s="269">
        <f t="shared" ref="D34:D38" si="24">IF(ISERROR(VLOOKUP(B34,$AH$3:$AJ$20,2,FALSE)),"",VLOOKUP(B34,$AH$3:$AJ$20,2,FALSE))</f>
        <v>45200</v>
      </c>
      <c r="E34" s="68">
        <f t="shared" ref="E34:E38" si="25">IF(ISERROR(VLOOKUP(B34,$AH$3:$AJ$20,3,FALSE)),"",VLOOKUP(B34,$AH$3:$AJ$20,3,FALSE))</f>
        <v>102853.4</v>
      </c>
      <c r="F34" s="47">
        <f t="shared" ref="F34:F38" si="26">IF(ISERROR(VLOOKUP(B34,$AH$3:$AM$20,4,FALSE)),"",VLOOKUP(B34,$AH$3:$AM$20,4,FALSE))</f>
        <v>2</v>
      </c>
      <c r="G34" s="47">
        <f t="shared" ref="G34:G38" si="27">IF(ISERROR(VLOOKUP(B34,$AH$3:$AM$20,5,FALSE)),"",VLOOKUP(B34,$AH$3:$AM$20,5,FALSE))</f>
        <v>1.7</v>
      </c>
      <c r="H34" s="269" t="str">
        <f t="shared" ref="H34:H38" si="28">IF(ISERROR(VLOOKUP(B34,$AH$28:$AJ$47,2,FALSE)),"",VLOOKUP(B34,$AH$28:$AJ$47,2,FALSE))</f>
        <v/>
      </c>
      <c r="I34" s="68" t="str">
        <f t="shared" ref="I34:I38" si="29">IF(ISERROR(VLOOKUP(B34,$AH$28:$AJ$47,3,FALSE)),"",VLOOKUP(B34,$AH$28:$AJ$47,3,FALSE))</f>
        <v/>
      </c>
      <c r="J34" s="47" t="str">
        <f t="shared" ref="J34:J38" si="30">IF(ISERROR(VLOOKUP(B34,$AH$28:$AM$47,4,FALSE)),"",VLOOKUP(B34,$AH$28:$AM$47,4,FALSE))</f>
        <v/>
      </c>
      <c r="K34" s="47" t="str">
        <f t="shared" ref="K34:K38" si="31">IF(ISERROR(VLOOKUP(B34,$AH$28:$AM$47,5,FALSE)),"",VLOOKUP(B34,$AH$28:$AM$47,5,FALSE))</f>
        <v/>
      </c>
      <c r="L34" s="269" t="str">
        <f t="shared" si="20"/>
        <v/>
      </c>
      <c r="M34" s="68" t="str">
        <f t="shared" si="21"/>
        <v/>
      </c>
      <c r="N34" s="118" t="str">
        <f t="shared" si="22"/>
        <v/>
      </c>
      <c r="O34" s="148" t="str">
        <f t="shared" si="23"/>
        <v/>
      </c>
      <c r="P34" s="68">
        <f t="shared" ref="P34:P38" si="32">SUM(D34,H34,L34)</f>
        <v>45200</v>
      </c>
      <c r="Q34" s="68">
        <f t="shared" ref="Q34:Q38" si="33">SUM(E34,I34,M34)</f>
        <v>102853.4</v>
      </c>
      <c r="R34" s="47">
        <f t="shared" ref="R34:R38" si="34">SUM(F34,J34,N34)</f>
        <v>2</v>
      </c>
      <c r="S34" s="126">
        <f t="shared" ref="S34:S38" si="35">SUM(G34,K34,O34)</f>
        <v>1.7</v>
      </c>
      <c r="T34" s="33"/>
      <c r="AA34" s="18"/>
      <c r="AG34">
        <v>34</v>
      </c>
      <c r="AH34">
        <v>2220</v>
      </c>
      <c r="AI34" s="33">
        <v>22800</v>
      </c>
      <c r="AJ34" s="33">
        <v>125781.06779999999</v>
      </c>
      <c r="AK34" s="15">
        <v>3.8000000000000003</v>
      </c>
      <c r="AL34" s="15">
        <v>3.23</v>
      </c>
    </row>
    <row r="35" spans="1:38" x14ac:dyDescent="0.25">
      <c r="A35" s="72"/>
      <c r="B35">
        <v>5400</v>
      </c>
      <c r="C35" s="79" t="str">
        <f>VLOOKUP(B35,Orgenheter!$A$3:$C$166,2,FALSE)</f>
        <v xml:space="preserve">Inst för Fysik                </v>
      </c>
      <c r="D35" s="269">
        <f t="shared" si="24"/>
        <v>79100</v>
      </c>
      <c r="E35" s="68">
        <f t="shared" si="25"/>
        <v>174581.15</v>
      </c>
      <c r="F35" s="47">
        <f t="shared" si="26"/>
        <v>3.5</v>
      </c>
      <c r="G35" s="47">
        <f t="shared" si="27"/>
        <v>2.8250000000000006</v>
      </c>
      <c r="H35" s="269" t="str">
        <f t="shared" si="28"/>
        <v/>
      </c>
      <c r="I35" s="68" t="str">
        <f t="shared" si="29"/>
        <v/>
      </c>
      <c r="J35" s="47" t="str">
        <f t="shared" si="30"/>
        <v/>
      </c>
      <c r="K35" s="47" t="str">
        <f t="shared" si="31"/>
        <v/>
      </c>
      <c r="L35" s="269" t="str">
        <f t="shared" si="20"/>
        <v/>
      </c>
      <c r="M35" s="68" t="str">
        <f t="shared" si="21"/>
        <v/>
      </c>
      <c r="N35" s="118" t="str">
        <f t="shared" si="22"/>
        <v/>
      </c>
      <c r="O35" s="148" t="str">
        <f t="shared" si="23"/>
        <v/>
      </c>
      <c r="P35" s="68">
        <f t="shared" si="32"/>
        <v>79100</v>
      </c>
      <c r="Q35" s="68">
        <f t="shared" si="33"/>
        <v>174581.15</v>
      </c>
      <c r="R35" s="47">
        <f t="shared" si="34"/>
        <v>3.5</v>
      </c>
      <c r="S35" s="126">
        <f t="shared" si="35"/>
        <v>2.8250000000000006</v>
      </c>
      <c r="T35" s="33"/>
      <c r="AA35" s="18"/>
      <c r="AG35">
        <v>35</v>
      </c>
      <c r="AH35">
        <v>2271</v>
      </c>
      <c r="AI35" s="33">
        <v>32670</v>
      </c>
      <c r="AJ35" s="33">
        <v>180231.03004499999</v>
      </c>
      <c r="AK35" s="15">
        <v>5.4450000000000003</v>
      </c>
      <c r="AL35" s="15">
        <v>4.6282499999999995</v>
      </c>
    </row>
    <row r="36" spans="1:38" x14ac:dyDescent="0.25">
      <c r="B36">
        <v>5410</v>
      </c>
      <c r="C36" s="79" t="str">
        <f>VLOOKUP(B36,Orgenheter!$A$3:$C$166,2,FALSE)</f>
        <v>TFE</v>
      </c>
      <c r="D36" s="269" t="str">
        <f t="shared" si="24"/>
        <v/>
      </c>
      <c r="E36" s="68" t="str">
        <f t="shared" si="25"/>
        <v/>
      </c>
      <c r="F36" s="47" t="str">
        <f t="shared" si="26"/>
        <v/>
      </c>
      <c r="G36" s="47" t="str">
        <f t="shared" si="27"/>
        <v/>
      </c>
      <c r="H36" s="269" t="str">
        <f t="shared" si="28"/>
        <v/>
      </c>
      <c r="I36" s="68" t="str">
        <f t="shared" si="29"/>
        <v/>
      </c>
      <c r="J36" s="47" t="str">
        <f t="shared" si="30"/>
        <v/>
      </c>
      <c r="K36" s="47" t="str">
        <f t="shared" si="31"/>
        <v/>
      </c>
      <c r="L36" s="269" t="str">
        <f t="shared" si="20"/>
        <v/>
      </c>
      <c r="M36" s="68" t="str">
        <f t="shared" si="21"/>
        <v/>
      </c>
      <c r="N36" s="118" t="str">
        <f t="shared" si="22"/>
        <v/>
      </c>
      <c r="O36" s="148" t="str">
        <f t="shared" si="23"/>
        <v/>
      </c>
      <c r="P36" s="68">
        <f t="shared" si="32"/>
        <v>0</v>
      </c>
      <c r="Q36" s="68">
        <f t="shared" si="33"/>
        <v>0</v>
      </c>
      <c r="R36" s="47">
        <f t="shared" si="34"/>
        <v>0</v>
      </c>
      <c r="S36" s="126">
        <f t="shared" si="35"/>
        <v>0</v>
      </c>
      <c r="T36" s="33"/>
      <c r="AA36" s="18"/>
      <c r="AG36">
        <v>36</v>
      </c>
      <c r="AH36">
        <v>2272</v>
      </c>
      <c r="AI36" s="33">
        <v>51732</v>
      </c>
      <c r="AJ36" s="33">
        <v>441009.28615499998</v>
      </c>
      <c r="AK36" s="15">
        <v>8.6219999999999999</v>
      </c>
      <c r="AL36" s="15">
        <v>7.3286999999999995</v>
      </c>
    </row>
    <row r="37" spans="1:38" x14ac:dyDescent="0.25">
      <c r="A37" s="72"/>
      <c r="B37" s="18">
        <v>5500</v>
      </c>
      <c r="C37" s="79" t="str">
        <f>VLOOKUP(B37,Orgenheter!$A$3:$C$166,2,FALSE)</f>
        <v xml:space="preserve">Kemiska institutionen         </v>
      </c>
      <c r="D37" s="269">
        <f t="shared" si="24"/>
        <v>62150</v>
      </c>
      <c r="E37" s="68">
        <f t="shared" si="25"/>
        <v>141423.42499999999</v>
      </c>
      <c r="F37" s="47">
        <f t="shared" si="26"/>
        <v>2.75</v>
      </c>
      <c r="G37" s="47">
        <f t="shared" si="27"/>
        <v>2.3375000000000004</v>
      </c>
      <c r="H37" s="269" t="str">
        <f t="shared" si="28"/>
        <v/>
      </c>
      <c r="I37" s="68" t="str">
        <f t="shared" si="29"/>
        <v/>
      </c>
      <c r="J37" s="47" t="str">
        <f t="shared" si="30"/>
        <v/>
      </c>
      <c r="K37" s="47" t="str">
        <f t="shared" si="31"/>
        <v/>
      </c>
      <c r="L37" s="269" t="str">
        <f t="shared" si="20"/>
        <v/>
      </c>
      <c r="M37" s="68" t="str">
        <f t="shared" si="21"/>
        <v/>
      </c>
      <c r="N37" s="118" t="str">
        <f t="shared" si="22"/>
        <v/>
      </c>
      <c r="O37" s="148" t="str">
        <f t="shared" si="23"/>
        <v/>
      </c>
      <c r="P37" s="68">
        <f t="shared" si="32"/>
        <v>62150</v>
      </c>
      <c r="Q37" s="68">
        <f t="shared" si="33"/>
        <v>141423.42499999999</v>
      </c>
      <c r="R37" s="47">
        <f t="shared" si="34"/>
        <v>2.75</v>
      </c>
      <c r="S37" s="126">
        <f t="shared" si="35"/>
        <v>2.3375000000000004</v>
      </c>
      <c r="AG37">
        <v>37</v>
      </c>
      <c r="AH37">
        <v>2300</v>
      </c>
      <c r="AI37" s="33">
        <v>69980.018181818188</v>
      </c>
      <c r="AJ37" s="33">
        <v>596571.51982288633</v>
      </c>
      <c r="AK37" s="15">
        <v>11.663336363636365</v>
      </c>
      <c r="AL37" s="15">
        <v>9.9138359090909098</v>
      </c>
    </row>
    <row r="38" spans="1:38" x14ac:dyDescent="0.25">
      <c r="B38" s="157">
        <v>5700</v>
      </c>
      <c r="C38" s="79" t="str">
        <f>VLOOKUP(B38,Orgenheter!$A$3:$C$166,2,FALSE)</f>
        <v xml:space="preserve">Inst för datavetenskap        </v>
      </c>
      <c r="D38" s="383">
        <f t="shared" si="24"/>
        <v>5650</v>
      </c>
      <c r="E38" s="180">
        <f t="shared" si="25"/>
        <v>12856.674999999999</v>
      </c>
      <c r="F38" s="15">
        <f t="shared" si="26"/>
        <v>0.25</v>
      </c>
      <c r="G38" s="15">
        <f t="shared" si="27"/>
        <v>0.21249999999999999</v>
      </c>
      <c r="H38" s="383" t="str">
        <f t="shared" si="28"/>
        <v/>
      </c>
      <c r="I38" s="180" t="str">
        <f t="shared" si="29"/>
        <v/>
      </c>
      <c r="J38" s="224" t="str">
        <f t="shared" si="30"/>
        <v/>
      </c>
      <c r="K38" s="224" t="str">
        <f t="shared" si="31"/>
        <v/>
      </c>
      <c r="L38" s="383" t="str">
        <f t="shared" si="20"/>
        <v/>
      </c>
      <c r="M38" s="180" t="str">
        <f t="shared" si="21"/>
        <v/>
      </c>
      <c r="N38" s="26" t="str">
        <f t="shared" si="22"/>
        <v/>
      </c>
      <c r="O38" s="148" t="str">
        <f t="shared" si="23"/>
        <v/>
      </c>
      <c r="P38" s="180">
        <f t="shared" si="32"/>
        <v>5650</v>
      </c>
      <c r="Q38" s="180">
        <f t="shared" si="33"/>
        <v>12856.674999999999</v>
      </c>
      <c r="R38" s="224">
        <f t="shared" si="34"/>
        <v>0.25</v>
      </c>
      <c r="S38" s="384">
        <f t="shared" si="35"/>
        <v>0.21249999999999999</v>
      </c>
      <c r="AG38">
        <v>38</v>
      </c>
      <c r="AH38">
        <v>2340</v>
      </c>
      <c r="AI38" s="33">
        <v>21701.399999999998</v>
      </c>
      <c r="AJ38" s="33">
        <v>119720.4063489</v>
      </c>
      <c r="AK38" s="15">
        <v>3.6168999999999998</v>
      </c>
      <c r="AL38" s="15">
        <v>3.0743649999999993</v>
      </c>
    </row>
    <row r="39" spans="1:38" x14ac:dyDescent="0.25">
      <c r="A39" s="72"/>
      <c r="B39" s="18">
        <v>5730</v>
      </c>
      <c r="C39" s="79" t="str">
        <f>VLOOKUP(B39,Orgenheter!$A$3:$C$166,2,FALSE)</f>
        <v>Inst för MA och MA statistik</v>
      </c>
      <c r="D39" s="269">
        <f>IF(ISERROR(VLOOKUP(B39,$AH$3:$AJ$20,2,FALSE)),"",VLOOKUP(B39,$AH$3:$AJ$20,2,FALSE))</f>
        <v>1139350</v>
      </c>
      <c r="E39" s="68">
        <f>IF(ISERROR(VLOOKUP(B39,$AH$3:$AJ$20,3,FALSE)),"",VLOOKUP(B39,$AH$3:$AJ$20,3,FALSE))</f>
        <v>2933940.2124999976</v>
      </c>
      <c r="F39" s="47">
        <f>IF(ISERROR(VLOOKUP(B39,$AH$3:$AM$20,4,FALSE)),"",VLOOKUP(B39,$AH$3:$AM$20,4,FALSE))</f>
        <v>57.875</v>
      </c>
      <c r="G39" s="47">
        <f>IF(ISERROR(VLOOKUP(B39,$AH$3:$AM$20,5,FALSE)),"",VLOOKUP(B39,$AH$3:$AM$20,5,FALSE))</f>
        <v>48.612500000000026</v>
      </c>
      <c r="H39" s="269">
        <f>IF(ISERROR(VLOOKUP(B39,$AH$28:$AJ$47,2,FALSE)),"",VLOOKUP(B39,$AH$28:$AJ$47,2,FALSE))</f>
        <v>96049.999999999985</v>
      </c>
      <c r="I39" s="68">
        <f>IF(ISERROR(VLOOKUP(B39,$AH$28:$AJ$47,3,FALSE)),"",VLOOKUP(B39,$AH$28:$AJ$47,3,FALSE))</f>
        <v>203264.03174999999</v>
      </c>
      <c r="J39" s="47">
        <f>IF(ISERROR(VLOOKUP(B39,$AH$28:$AM$47,4,FALSE)),"",VLOOKUP(B39,$AH$28:$AM$47,4,FALSE))</f>
        <v>4.25</v>
      </c>
      <c r="K39" s="47">
        <f>IF(ISERROR(VLOOKUP(B39,$AH$28:$AM$47,5,FALSE)),"",VLOOKUP(B39,$AH$28:$AM$47,5,FALSE))</f>
        <v>3.6124999999999998</v>
      </c>
      <c r="L39" s="269" t="str">
        <f>IF(ISERROR(VLOOKUP(B39,$AH$53:$AJ$64,2,FALSE)),"",VLOOKUP(B39,$AH$53:$AJ$64,2,FALSE)*-1)</f>
        <v/>
      </c>
      <c r="M39" s="68" t="str">
        <f>IF(ISERROR(VLOOKUP(B39,$AH$53:$AJ$64,3,FALSE)),"",VLOOKUP(B39,$AH$53:$AJ$64,3,FALSE)*-1)</f>
        <v/>
      </c>
      <c r="N39" s="118" t="str">
        <f>IF(ISERROR(VLOOKUP(B39,$AH$53:$AM$64,4,FALSE)),"",VLOOKUP(B39,$AH$53:$AM$64,4,FALSE)*-1)</f>
        <v/>
      </c>
      <c r="O39" s="148" t="str">
        <f>IF(ISERROR(VLOOKUP(B39,$AH$53:$AM$64,5,FALSE)),"",VLOOKUP(B39,$AH$53:$AM$64,5,FALSE)*-1)</f>
        <v/>
      </c>
      <c r="P39" s="68">
        <f t="shared" ref="P39:S40" si="36">SUM(D39,H39,L39)</f>
        <v>1235400</v>
      </c>
      <c r="Q39" s="68">
        <f t="shared" si="36"/>
        <v>3137204.2442499977</v>
      </c>
      <c r="R39" s="47">
        <f t="shared" si="36"/>
        <v>62.125</v>
      </c>
      <c r="S39" s="126">
        <f t="shared" si="36"/>
        <v>52.225000000000023</v>
      </c>
      <c r="AG39">
        <v>39</v>
      </c>
      <c r="AH39">
        <v>2360</v>
      </c>
      <c r="AI39" s="33">
        <v>48030</v>
      </c>
      <c r="AJ39" s="33">
        <v>264967.74940500001</v>
      </c>
      <c r="AK39" s="15">
        <v>8.0050000000000008</v>
      </c>
      <c r="AL39" s="15">
        <v>6.8042499999999997</v>
      </c>
    </row>
    <row r="40" spans="1:38" x14ac:dyDescent="0.25">
      <c r="A40" s="72"/>
      <c r="B40" s="18">
        <v>5740</v>
      </c>
      <c r="C40" s="79" t="str">
        <f>VLOOKUP(B40,Orgenheter!$A$3:$C$166,2,FALSE)</f>
        <v>NMD</v>
      </c>
      <c r="D40" s="269">
        <f>IF(ISERROR(VLOOKUP(B40,$AH$3:$AJ$20,2,FALSE)),"",VLOOKUP(B40,$AH$3:$AJ$20,2,FALSE))</f>
        <v>3904153.8333333335</v>
      </c>
      <c r="E40" s="68">
        <f>IF(ISERROR(VLOOKUP(B40,$AH$3:$AJ$20,3,FALSE)),"",VLOOKUP(B40,$AH$3:$AJ$20,3,FALSE))</f>
        <v>13210892.979666675</v>
      </c>
      <c r="F40" s="47">
        <f>IF(ISERROR(VLOOKUP(B40,$AH$3:$AM$20,4,FALSE)),"",VLOOKUP(B40,$AH$3:$AM$20,4,FALSE))</f>
        <v>253.69458333333336</v>
      </c>
      <c r="G40" s="47">
        <f>IF(ISERROR(VLOOKUP(B40,$AH$3:$AM$20,5,FALSE)),"",VLOOKUP(B40,$AH$3:$AM$20,5,FALSE))</f>
        <v>214.43997916666683</v>
      </c>
      <c r="H40" s="269">
        <f>IF(ISERROR(VLOOKUP(B40,$AH$28:$AJ$47,2,FALSE)),"",VLOOKUP(B40,$AH$28:$AJ$47,2,FALSE))</f>
        <v>72940</v>
      </c>
      <c r="I40" s="68">
        <f>IF(ISERROR(VLOOKUP(B40,$AH$28:$AJ$47,3,FALSE)),"",VLOOKUP(B40,$AH$28:$AJ$47,3,FALSE))</f>
        <v>540907.0340000001</v>
      </c>
      <c r="J40" s="47">
        <f>IF(ISERROR(VLOOKUP(B40,$AH$28:$AM$47,4,FALSE)),"",VLOOKUP(B40,$AH$28:$AM$47,4,FALSE))</f>
        <v>12.916666666666666</v>
      </c>
      <c r="K40" s="47">
        <f>IF(ISERROR(VLOOKUP(B40,$AH$28:$AM$47,5,FALSE)),"",VLOOKUP(B40,$AH$28:$AM$47,5,FALSE))</f>
        <v>10.979166666666664</v>
      </c>
      <c r="L40" s="269">
        <f>IF(ISERROR(VLOOKUP(B40,$AH$53:$AJ$64,2,FALSE)),"",VLOOKUP(B40,$AH$53:$AJ$64,2,FALSE)*-1)</f>
        <v>-536581.70909090911</v>
      </c>
      <c r="M40" s="68">
        <f>IF(ISERROR(VLOOKUP(B40,$AH$53:$AJ$64,3,FALSE)),"",VLOOKUP(B40,$AH$53:$AJ$64,3,FALSE)*-1)</f>
        <v>-3056882.4824188179</v>
      </c>
      <c r="N40" s="118">
        <f>IF(ISERROR(VLOOKUP(B40,$AH$53:$AM$64,4,FALSE)),"",VLOOKUP(B40,$AH$53:$AM$64,4,FALSE)*-1)</f>
        <v>-61.902451515151526</v>
      </c>
      <c r="O40" s="148">
        <f>IF(ISERROR(VLOOKUP(B40,$AH$53:$AM$64,5,FALSE)),"",VLOOKUP(B40,$AH$53:$AM$64,5,FALSE)*-1)</f>
        <v>-52.617083787878791</v>
      </c>
      <c r="P40" s="68">
        <f t="shared" si="36"/>
        <v>3440512.1242424245</v>
      </c>
      <c r="Q40" s="68">
        <f t="shared" si="36"/>
        <v>10694917.531247856</v>
      </c>
      <c r="R40" s="47">
        <f t="shared" si="36"/>
        <v>204.7087984848485</v>
      </c>
      <c r="S40" s="126">
        <f t="shared" si="36"/>
        <v>172.8020620454547</v>
      </c>
      <c r="AG40">
        <v>40</v>
      </c>
      <c r="AH40">
        <v>2500</v>
      </c>
      <c r="AI40" s="33">
        <v>6500</v>
      </c>
      <c r="AJ40" s="33">
        <v>35723.462249999997</v>
      </c>
      <c r="AK40" s="15">
        <v>1.0833333333333333</v>
      </c>
      <c r="AL40" s="15">
        <v>0.91249999999999987</v>
      </c>
    </row>
    <row r="41" spans="1:38" ht="15.75" thickBot="1" x14ac:dyDescent="0.3">
      <c r="A41" s="72"/>
      <c r="B41" s="18"/>
      <c r="C41" s="18"/>
      <c r="D41" s="187"/>
      <c r="E41" s="18"/>
      <c r="F41" s="47"/>
      <c r="G41" s="183"/>
      <c r="H41" s="145"/>
      <c r="I41" s="80"/>
      <c r="J41" s="80"/>
      <c r="K41" s="146"/>
      <c r="L41" s="182"/>
      <c r="M41" s="68"/>
      <c r="N41" s="118"/>
      <c r="O41" s="148"/>
      <c r="P41" s="80"/>
      <c r="Q41" s="80"/>
      <c r="R41" s="80"/>
      <c r="S41" s="97"/>
      <c r="AG41">
        <v>41</v>
      </c>
      <c r="AH41">
        <v>2650</v>
      </c>
      <c r="AI41" s="33">
        <v>136552.5</v>
      </c>
      <c r="AJ41" s="33">
        <v>276384.61912499997</v>
      </c>
      <c r="AK41" s="15">
        <v>3.8249999999999997</v>
      </c>
      <c r="AL41" s="15">
        <v>3.2137500000000001</v>
      </c>
    </row>
    <row r="42" spans="1:38" ht="15.75" thickBot="1" x14ac:dyDescent="0.3">
      <c r="A42" s="133" t="s">
        <v>39</v>
      </c>
      <c r="B42" s="89"/>
      <c r="C42" s="273"/>
      <c r="D42" s="129">
        <f t="shared" ref="D42:S42" si="37">SUM(D33:D40)</f>
        <v>5433353.833333334</v>
      </c>
      <c r="E42" s="130">
        <f t="shared" si="37"/>
        <v>17026531.467166673</v>
      </c>
      <c r="F42" s="132">
        <f t="shared" si="37"/>
        <v>328.81958333333336</v>
      </c>
      <c r="G42" s="132">
        <f t="shared" si="37"/>
        <v>277.56497916666683</v>
      </c>
      <c r="H42" s="130">
        <f t="shared" si="37"/>
        <v>168990</v>
      </c>
      <c r="I42" s="130">
        <f t="shared" si="37"/>
        <v>744171.06575000007</v>
      </c>
      <c r="J42" s="132">
        <f t="shared" si="37"/>
        <v>17.166666666666664</v>
      </c>
      <c r="K42" s="132">
        <f t="shared" si="37"/>
        <v>14.591666666666665</v>
      </c>
      <c r="L42" s="130">
        <f t="shared" si="37"/>
        <v>-536581.70909090911</v>
      </c>
      <c r="M42" s="130">
        <f t="shared" si="37"/>
        <v>-3056882.4824188179</v>
      </c>
      <c r="N42" s="131">
        <f t="shared" si="37"/>
        <v>-61.902451515151526</v>
      </c>
      <c r="O42" s="272">
        <f t="shared" si="37"/>
        <v>-52.617083787878791</v>
      </c>
      <c r="P42" s="271">
        <f t="shared" si="37"/>
        <v>5065762.124242425</v>
      </c>
      <c r="Q42" s="134">
        <f t="shared" si="37"/>
        <v>14713820.050497854</v>
      </c>
      <c r="R42" s="135">
        <f t="shared" si="37"/>
        <v>284.0837984848485</v>
      </c>
      <c r="S42" s="140">
        <f t="shared" si="37"/>
        <v>239.53956204545472</v>
      </c>
      <c r="AG42">
        <v>42</v>
      </c>
      <c r="AH42">
        <v>3306</v>
      </c>
      <c r="AI42" s="33">
        <v>415012.5</v>
      </c>
      <c r="AJ42" s="33">
        <v>840658.73624999996</v>
      </c>
      <c r="AK42" s="15">
        <v>11.625</v>
      </c>
      <c r="AL42" s="15">
        <v>9.7874999999999996</v>
      </c>
    </row>
    <row r="43" spans="1:38" ht="15.75" thickBot="1" x14ac:dyDescent="0.3">
      <c r="O43" s="148"/>
      <c r="S43" s="73"/>
      <c r="AG43">
        <v>43</v>
      </c>
      <c r="AH43">
        <v>3850</v>
      </c>
      <c r="AI43" s="33">
        <v>80325</v>
      </c>
      <c r="AJ43" s="33">
        <v>163031.44125</v>
      </c>
      <c r="AK43" s="15">
        <v>2.25</v>
      </c>
      <c r="AL43" s="15">
        <v>1.9041666666666668</v>
      </c>
    </row>
    <row r="44" spans="1:38" ht="15" customHeight="1" thickBot="1" x14ac:dyDescent="0.3">
      <c r="A44" s="151" t="s">
        <v>159</v>
      </c>
      <c r="B44" s="152"/>
      <c r="C44" s="152"/>
      <c r="D44" s="275">
        <f t="shared" ref="D44:S44" si="38">D9+D24+D30+D42</f>
        <v>24659504.333333336</v>
      </c>
      <c r="E44" s="276">
        <f t="shared" si="38"/>
        <v>100644682.92659166</v>
      </c>
      <c r="F44" s="277">
        <f t="shared" si="38"/>
        <v>2149.0614999999998</v>
      </c>
      <c r="G44" s="278">
        <f t="shared" si="38"/>
        <v>1801.6243750000003</v>
      </c>
      <c r="H44" s="275">
        <f t="shared" si="38"/>
        <v>2619837.6590909092</v>
      </c>
      <c r="I44" s="276">
        <f t="shared" si="38"/>
        <v>14748136.147583507</v>
      </c>
      <c r="J44" s="277">
        <f t="shared" si="38"/>
        <v>317.09552651515151</v>
      </c>
      <c r="K44" s="278">
        <f t="shared" si="38"/>
        <v>269.35828087121212</v>
      </c>
      <c r="L44" s="275">
        <f t="shared" si="38"/>
        <v>-2619837.6590909092</v>
      </c>
      <c r="M44" s="276">
        <f t="shared" si="38"/>
        <v>-14748136.147583505</v>
      </c>
      <c r="N44" s="277">
        <f t="shared" si="38"/>
        <v>-317.09552651515156</v>
      </c>
      <c r="O44" s="278">
        <f t="shared" si="38"/>
        <v>-269.35828087121212</v>
      </c>
      <c r="P44" s="275">
        <f t="shared" si="38"/>
        <v>24659504.333333336</v>
      </c>
      <c r="Q44" s="276">
        <f t="shared" si="38"/>
        <v>100644682.92659165</v>
      </c>
      <c r="R44" s="277">
        <f t="shared" si="38"/>
        <v>2149.0614999999998</v>
      </c>
      <c r="S44" s="278">
        <f t="shared" si="38"/>
        <v>1801.6243750000003</v>
      </c>
      <c r="AG44">
        <v>44</v>
      </c>
      <c r="AH44">
        <v>5100</v>
      </c>
      <c r="AI44" s="33">
        <v>0</v>
      </c>
      <c r="AJ44" s="33">
        <v>0</v>
      </c>
      <c r="AK44" s="15">
        <v>0</v>
      </c>
      <c r="AL44" s="15">
        <v>0</v>
      </c>
    </row>
    <row r="45" spans="1:38" x14ac:dyDescent="0.25">
      <c r="Q45" s="15"/>
      <c r="AG45">
        <v>45</v>
      </c>
      <c r="AH45">
        <v>5730</v>
      </c>
      <c r="AI45" s="33">
        <v>96049.999999999985</v>
      </c>
      <c r="AJ45" s="33">
        <v>203264.03174999999</v>
      </c>
      <c r="AK45" s="15">
        <v>4.25</v>
      </c>
      <c r="AL45" s="15">
        <v>3.6124999999999998</v>
      </c>
    </row>
    <row r="46" spans="1:38" x14ac:dyDescent="0.25">
      <c r="C46" s="252"/>
      <c r="D46" s="248" t="s">
        <v>467</v>
      </c>
      <c r="E46" s="249" t="s">
        <v>468</v>
      </c>
      <c r="F46"/>
      <c r="O46" s="181"/>
      <c r="P46" s="180"/>
      <c r="Q46" s="157"/>
      <c r="R46" s="157"/>
      <c r="AG46">
        <v>46</v>
      </c>
      <c r="AH46">
        <v>5740</v>
      </c>
      <c r="AI46" s="33">
        <v>72940</v>
      </c>
      <c r="AJ46" s="33">
        <v>540907.0340000001</v>
      </c>
      <c r="AK46" s="15">
        <v>12.916666666666666</v>
      </c>
      <c r="AL46" s="15">
        <v>10.979166666666664</v>
      </c>
    </row>
    <row r="47" spans="1:38" ht="15.75" thickBot="1" x14ac:dyDescent="0.3">
      <c r="C47" s="253"/>
      <c r="D47" s="18" t="s">
        <v>807</v>
      </c>
      <c r="E47" s="251"/>
      <c r="F47"/>
      <c r="O47" s="158"/>
      <c r="P47" s="285">
        <f>D49</f>
        <v>-805012.5</v>
      </c>
      <c r="Q47" s="285">
        <f>E49</f>
        <v>-535836.25000000012</v>
      </c>
      <c r="R47" s="157"/>
      <c r="U47" s="26"/>
      <c r="AG47">
        <v>47</v>
      </c>
      <c r="AH47" t="s">
        <v>374</v>
      </c>
      <c r="AI47" s="33"/>
      <c r="AJ47" s="33"/>
      <c r="AK47" s="15"/>
      <c r="AL47" s="15"/>
    </row>
    <row r="48" spans="1:38" ht="16.5" thickBot="1" x14ac:dyDescent="0.3">
      <c r="C48" s="253"/>
      <c r="D48" s="68"/>
      <c r="E48" s="254"/>
      <c r="F48" s="33"/>
      <c r="O48" s="158"/>
      <c r="P48" s="275">
        <f>P44+P47</f>
        <v>23854491.833333336</v>
      </c>
      <c r="Q48" s="275">
        <f>Q44+Q47</f>
        <v>100108846.67659165</v>
      </c>
      <c r="R48" s="157"/>
      <c r="AG48">
        <v>48</v>
      </c>
      <c r="AH48" t="s">
        <v>768</v>
      </c>
      <c r="AI48" s="33">
        <v>2619837.6590909092</v>
      </c>
      <c r="AJ48" s="33">
        <v>14748136.147583507</v>
      </c>
      <c r="AK48" s="15">
        <v>317.09552651515145</v>
      </c>
      <c r="AL48" s="15">
        <v>269.35828087121212</v>
      </c>
    </row>
    <row r="49" spans="3:38" x14ac:dyDescent="0.25">
      <c r="C49" s="253" t="s">
        <v>808</v>
      </c>
      <c r="D49" s="68">
        <f>U7</f>
        <v>-805012.5</v>
      </c>
      <c r="E49" s="254">
        <f>V7</f>
        <v>-535836.25000000012</v>
      </c>
      <c r="F49" s="33"/>
      <c r="O49" s="158"/>
      <c r="P49" s="224"/>
      <c r="Q49" s="157"/>
      <c r="R49" s="157"/>
      <c r="AG49">
        <v>49</v>
      </c>
    </row>
    <row r="50" spans="3:38" x14ac:dyDescent="0.25">
      <c r="C50" s="250"/>
      <c r="D50" s="68">
        <f>P7</f>
        <v>7320236</v>
      </c>
      <c r="E50" s="254">
        <f>Q7</f>
        <v>14601494.282054996</v>
      </c>
      <c r="P50" s="26"/>
      <c r="AG50">
        <v>50</v>
      </c>
    </row>
    <row r="51" spans="3:38" x14ac:dyDescent="0.25">
      <c r="C51" s="255"/>
      <c r="D51" s="258">
        <f>SUM(D49:D50)</f>
        <v>6515223.5</v>
      </c>
      <c r="E51" s="259">
        <f>SUM(E49:E50)</f>
        <v>14065658.032054996</v>
      </c>
      <c r="P51" s="15"/>
      <c r="AG51">
        <v>51</v>
      </c>
      <c r="AI51" s="61" t="s">
        <v>403</v>
      </c>
    </row>
    <row r="52" spans="3:38" x14ac:dyDescent="0.25">
      <c r="AG52">
        <v>52</v>
      </c>
      <c r="AH52" s="61" t="s">
        <v>327</v>
      </c>
      <c r="AI52" t="s">
        <v>894</v>
      </c>
      <c r="AJ52" t="s">
        <v>458</v>
      </c>
      <c r="AK52" t="s">
        <v>449</v>
      </c>
      <c r="AL52" t="s">
        <v>451</v>
      </c>
    </row>
    <row r="53" spans="3:38" x14ac:dyDescent="0.25">
      <c r="AG53">
        <v>53</v>
      </c>
      <c r="AH53">
        <v>1620</v>
      </c>
      <c r="AI53" s="33">
        <v>186215</v>
      </c>
      <c r="AJ53" s="33">
        <v>1076169.2822625001</v>
      </c>
      <c r="AK53" s="15">
        <v>31.795833333333334</v>
      </c>
      <c r="AL53" s="15">
        <v>27.026458333333331</v>
      </c>
    </row>
    <row r="54" spans="3:38" x14ac:dyDescent="0.25">
      <c r="E54" s="15"/>
      <c r="AG54">
        <v>54</v>
      </c>
      <c r="AH54">
        <v>1630</v>
      </c>
      <c r="AI54" s="33">
        <v>335509.2</v>
      </c>
      <c r="AJ54" s="33">
        <v>2702459.3294930002</v>
      </c>
      <c r="AK54" s="15">
        <v>55.918200000000006</v>
      </c>
      <c r="AL54" s="15">
        <v>47.49713666666667</v>
      </c>
    </row>
    <row r="55" spans="3:38" x14ac:dyDescent="0.25">
      <c r="AG55">
        <v>55</v>
      </c>
      <c r="AH55">
        <v>1650</v>
      </c>
      <c r="AI55" s="33">
        <v>95317.5</v>
      </c>
      <c r="AJ55" s="33">
        <v>201289.40111250005</v>
      </c>
      <c r="AK55" s="15">
        <v>5.3250000000000011</v>
      </c>
      <c r="AL55" s="15">
        <v>4.526250000000001</v>
      </c>
    </row>
    <row r="56" spans="3:38" x14ac:dyDescent="0.25">
      <c r="AG56">
        <v>56</v>
      </c>
      <c r="AH56">
        <v>2180</v>
      </c>
      <c r="AI56" s="33">
        <v>1090913.8</v>
      </c>
      <c r="AJ56" s="33">
        <v>5080320.5947169987</v>
      </c>
      <c r="AK56" s="15">
        <v>99.603966666666679</v>
      </c>
      <c r="AL56" s="15">
        <v>84.523788333333314</v>
      </c>
    </row>
    <row r="57" spans="3:38" x14ac:dyDescent="0.25">
      <c r="AG57">
        <v>57</v>
      </c>
      <c r="AH57">
        <v>2193</v>
      </c>
      <c r="AI57" s="33">
        <v>269400.45</v>
      </c>
      <c r="AJ57" s="33">
        <v>2046795.0979296872</v>
      </c>
      <c r="AK57" s="15">
        <v>44.900075000000001</v>
      </c>
      <c r="AL57" s="15">
        <v>38.165063750000002</v>
      </c>
    </row>
    <row r="58" spans="3:38" x14ac:dyDescent="0.25">
      <c r="AG58">
        <v>58</v>
      </c>
      <c r="AH58">
        <v>2340</v>
      </c>
      <c r="AI58" s="33">
        <v>105900</v>
      </c>
      <c r="AJ58" s="33">
        <v>584219.95965000009</v>
      </c>
      <c r="AK58" s="15">
        <v>17.650000000000006</v>
      </c>
      <c r="AL58" s="15">
        <v>15.0025</v>
      </c>
    </row>
    <row r="59" spans="3:38" x14ac:dyDescent="0.25">
      <c r="AG59">
        <v>59</v>
      </c>
      <c r="AH59">
        <v>2500</v>
      </c>
      <c r="AI59" s="33">
        <v>0</v>
      </c>
      <c r="AJ59" s="33">
        <v>0</v>
      </c>
      <c r="AK59" s="15">
        <v>0</v>
      </c>
      <c r="AL59" s="15">
        <v>0</v>
      </c>
    </row>
    <row r="60" spans="3:38" x14ac:dyDescent="0.25">
      <c r="AG60">
        <v>60</v>
      </c>
      <c r="AH60">
        <v>5740</v>
      </c>
      <c r="AI60" s="33">
        <v>536581.70909090911</v>
      </c>
      <c r="AJ60" s="33">
        <v>3056882.4824188179</v>
      </c>
      <c r="AK60" s="15">
        <v>61.902451515151526</v>
      </c>
      <c r="AL60" s="15">
        <v>52.617083787878791</v>
      </c>
    </row>
    <row r="61" spans="3:38" x14ac:dyDescent="0.25">
      <c r="AG61">
        <v>61</v>
      </c>
      <c r="AH61" t="s">
        <v>374</v>
      </c>
      <c r="AI61" s="33"/>
      <c r="AJ61" s="33"/>
      <c r="AK61" s="15"/>
      <c r="AL61" s="15"/>
    </row>
    <row r="62" spans="3:38" x14ac:dyDescent="0.25">
      <c r="AG62">
        <v>62</v>
      </c>
      <c r="AH62" t="s">
        <v>768</v>
      </c>
      <c r="AI62" s="33">
        <v>2619837.6590909092</v>
      </c>
      <c r="AJ62" s="33">
        <v>14748136.147583507</v>
      </c>
      <c r="AK62" s="15">
        <v>317.09552651515156</v>
      </c>
      <c r="AL62" s="15">
        <v>269.35828087121212</v>
      </c>
    </row>
    <row r="63" spans="3:38" x14ac:dyDescent="0.25">
      <c r="AG63">
        <v>63</v>
      </c>
    </row>
    <row r="64" spans="3:38" x14ac:dyDescent="0.25">
      <c r="AG64">
        <v>64</v>
      </c>
    </row>
    <row r="65" spans="33:33" x14ac:dyDescent="0.25">
      <c r="AG65">
        <v>65</v>
      </c>
    </row>
    <row r="66" spans="33:33" x14ac:dyDescent="0.25">
      <c r="AG66">
        <v>66</v>
      </c>
    </row>
    <row r="67" spans="33:33" x14ac:dyDescent="0.25">
      <c r="AG67">
        <v>67</v>
      </c>
    </row>
    <row r="68" spans="33:33" x14ac:dyDescent="0.25">
      <c r="AG68">
        <v>68</v>
      </c>
    </row>
    <row r="69" spans="33:33" x14ac:dyDescent="0.25">
      <c r="AG69">
        <v>69</v>
      </c>
    </row>
    <row r="70" spans="33:33" x14ac:dyDescent="0.25">
      <c r="AG70">
        <v>70</v>
      </c>
    </row>
    <row r="71" spans="33:33" x14ac:dyDescent="0.25">
      <c r="AG71">
        <v>71</v>
      </c>
    </row>
    <row r="72" spans="33:33" x14ac:dyDescent="0.25">
      <c r="AG72">
        <v>72</v>
      </c>
    </row>
    <row r="73" spans="33:33" x14ac:dyDescent="0.25">
      <c r="AG73">
        <v>73</v>
      </c>
    </row>
    <row r="74" spans="33:33" x14ac:dyDescent="0.25">
      <c r="AG74">
        <v>74</v>
      </c>
    </row>
    <row r="75" spans="33:33" x14ac:dyDescent="0.25">
      <c r="AG75">
        <v>75</v>
      </c>
    </row>
    <row r="76" spans="33:33" x14ac:dyDescent="0.25">
      <c r="AG76">
        <v>76</v>
      </c>
    </row>
    <row r="77" spans="33:33" x14ac:dyDescent="0.25">
      <c r="AG77">
        <v>77</v>
      </c>
    </row>
    <row r="78" spans="33:33" x14ac:dyDescent="0.25">
      <c r="AG78">
        <v>78</v>
      </c>
    </row>
    <row r="79" spans="33:33" x14ac:dyDescent="0.25">
      <c r="AG79">
        <v>79</v>
      </c>
    </row>
    <row r="80" spans="33:33" x14ac:dyDescent="0.25">
      <c r="AG80">
        <v>80</v>
      </c>
    </row>
    <row r="81" spans="33:33" x14ac:dyDescent="0.25">
      <c r="AG81">
        <v>81</v>
      </c>
    </row>
    <row r="82" spans="33:33" x14ac:dyDescent="0.25">
      <c r="AG82">
        <v>82</v>
      </c>
    </row>
    <row r="83" spans="33:33" x14ac:dyDescent="0.25">
      <c r="AG83">
        <v>83</v>
      </c>
    </row>
    <row r="84" spans="33:33" x14ac:dyDescent="0.25">
      <c r="AG84">
        <v>84</v>
      </c>
    </row>
    <row r="85" spans="33:33" x14ac:dyDescent="0.25">
      <c r="AG85">
        <v>85</v>
      </c>
    </row>
    <row r="86" spans="33:33" x14ac:dyDescent="0.25">
      <c r="AG86">
        <v>86</v>
      </c>
    </row>
    <row r="87" spans="33:33" x14ac:dyDescent="0.25">
      <c r="AG87">
        <v>87</v>
      </c>
    </row>
    <row r="88" spans="33:33" x14ac:dyDescent="0.25">
      <c r="AG88">
        <v>88</v>
      </c>
    </row>
    <row r="89" spans="33:33" x14ac:dyDescent="0.25">
      <c r="AG89">
        <v>89</v>
      </c>
    </row>
  </sheetData>
  <sheetProtection sheet="1" objects="1" scenarios="1"/>
  <mergeCells count="1">
    <mergeCell ref="U5:W5"/>
  </mergeCells>
  <pageMargins left="0.35433070866141736" right="0.35433070866141736" top="0.98425196850393704" bottom="0.98425196850393704" header="0.51181102362204722" footer="0.51181102362204722"/>
  <pageSetup paperSize="9" scale="59" orientation="landscape" r:id="rId4"/>
  <headerFooter alignWithMargins="0">
    <oddFooter>&amp;L&amp;F&amp;C&amp;A&amp;R&amp;D</oddFooter>
  </headerFooter>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C5" sqref="C5"/>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6.1406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427"/>
      <c r="O1" s="319"/>
      <c r="P1" s="319"/>
      <c r="Q1" s="319"/>
    </row>
    <row r="2" spans="1:26" ht="27.75" customHeight="1" x14ac:dyDescent="0.3">
      <c r="C2" s="428" t="s">
        <v>2189</v>
      </c>
      <c r="D2" s="320"/>
      <c r="L2" s="426" t="s">
        <v>421</v>
      </c>
      <c r="M2" s="426"/>
      <c r="N2" s="427"/>
      <c r="O2" s="319"/>
      <c r="P2" s="319"/>
      <c r="Q2" s="319"/>
    </row>
    <row r="3" spans="1:26" ht="27.75" customHeight="1" x14ac:dyDescent="0.25">
      <c r="A3" s="319"/>
      <c r="B3" s="319"/>
      <c r="O3" s="590"/>
      <c r="P3" s="591"/>
      <c r="Q3" s="591"/>
      <c r="R3" s="591"/>
      <c r="S3" s="591"/>
      <c r="T3" s="591"/>
    </row>
    <row r="4" spans="1:26" ht="51.75" customHeight="1" x14ac:dyDescent="0.25">
      <c r="A4" s="430" t="s">
        <v>71</v>
      </c>
      <c r="B4" s="430" t="s">
        <v>804</v>
      </c>
      <c r="C4" s="430" t="s">
        <v>35</v>
      </c>
      <c r="D4" s="507" t="s">
        <v>2190</v>
      </c>
      <c r="E4" s="507" t="s">
        <v>2191</v>
      </c>
      <c r="G4" s="432" t="s">
        <v>423</v>
      </c>
      <c r="H4" s="432" t="s">
        <v>424</v>
      </c>
      <c r="I4" s="432"/>
      <c r="J4" s="432" t="s">
        <v>425</v>
      </c>
      <c r="K4" s="433" t="s">
        <v>2192</v>
      </c>
      <c r="L4" s="433" t="s">
        <v>2196</v>
      </c>
      <c r="M4" s="432" t="s">
        <v>428</v>
      </c>
      <c r="N4" s="432" t="s">
        <v>426</v>
      </c>
      <c r="O4" s="434"/>
      <c r="P4" s="435"/>
      <c r="Q4" s="435"/>
      <c r="T4" s="436" t="s">
        <v>462</v>
      </c>
    </row>
    <row r="5" spans="1:26" ht="22.5" customHeight="1" x14ac:dyDescent="0.25">
      <c r="O5" s="319"/>
      <c r="P5" s="319"/>
      <c r="Q5" s="319"/>
      <c r="T5" s="317">
        <v>2020</v>
      </c>
      <c r="U5" s="317" t="s">
        <v>375</v>
      </c>
      <c r="V5" s="317" t="s">
        <v>149</v>
      </c>
      <c r="X5" s="437"/>
      <c r="Y5" s="320"/>
      <c r="Z5" s="320"/>
    </row>
    <row r="6" spans="1:26" ht="22.5" customHeight="1" x14ac:dyDescent="0.25">
      <c r="A6" s="438" t="s">
        <v>410</v>
      </c>
      <c r="B6" s="438">
        <v>1620</v>
      </c>
      <c r="C6" s="439" t="s">
        <v>176</v>
      </c>
      <c r="D6" s="440">
        <f>U6</f>
        <v>10330826.354000263</v>
      </c>
      <c r="E6" s="440">
        <f>V6</f>
        <v>1781578.9277742452</v>
      </c>
      <c r="F6" s="441"/>
      <c r="G6" s="441">
        <v>3094</v>
      </c>
      <c r="H6" s="441">
        <v>162000100</v>
      </c>
      <c r="I6" s="441"/>
      <c r="J6" s="441">
        <v>11</v>
      </c>
      <c r="K6" s="442">
        <f>VLOOKUP(B6,'Utfördelat tom maj'!$A$3:$G$28,7,FALSE)</f>
        <v>6637236.7958864542</v>
      </c>
      <c r="L6" s="440">
        <f>(D6+E6-K6)/7</f>
        <v>782166.92655543622</v>
      </c>
      <c r="M6" s="441" t="s">
        <v>805</v>
      </c>
      <c r="N6" s="441" t="s">
        <v>427</v>
      </c>
      <c r="O6" s="436"/>
      <c r="P6" s="443"/>
      <c r="Q6" s="444"/>
      <c r="S6" s="436">
        <v>1620</v>
      </c>
      <c r="T6" s="443" t="s">
        <v>176</v>
      </c>
      <c r="U6" s="445">
        <v>10330826.354000263</v>
      </c>
      <c r="V6" s="445">
        <v>1781578.9277742452</v>
      </c>
      <c r="X6" s="445"/>
      <c r="Y6" s="506"/>
      <c r="Z6" s="506"/>
    </row>
    <row r="7" spans="1:26" ht="22.5" customHeight="1" x14ac:dyDescent="0.25">
      <c r="A7" s="441"/>
      <c r="B7" s="441"/>
      <c r="C7" s="438"/>
      <c r="D7" s="441"/>
      <c r="E7" s="441"/>
      <c r="F7" s="441"/>
      <c r="G7" s="441">
        <v>3094</v>
      </c>
      <c r="H7" s="441">
        <v>600011100</v>
      </c>
      <c r="I7" s="441"/>
      <c r="J7" s="441">
        <v>11</v>
      </c>
      <c r="K7" s="442"/>
      <c r="L7" s="440">
        <f>L6</f>
        <v>782166.92655543622</v>
      </c>
      <c r="M7" s="441" t="s">
        <v>806</v>
      </c>
      <c r="N7" s="441" t="s">
        <v>427</v>
      </c>
      <c r="O7" s="319"/>
      <c r="P7" s="443"/>
      <c r="Q7" s="444"/>
      <c r="S7" s="319">
        <v>1630</v>
      </c>
      <c r="T7" s="443" t="s">
        <v>172</v>
      </c>
      <c r="U7" s="445">
        <v>6774256.1245233491</v>
      </c>
      <c r="V7" s="445">
        <v>926324.16944222257</v>
      </c>
      <c r="X7" s="445"/>
      <c r="Y7" s="506"/>
      <c r="Z7" s="506"/>
    </row>
    <row r="8" spans="1:26" ht="22.5" customHeight="1" x14ac:dyDescent="0.25">
      <c r="A8" s="441"/>
      <c r="B8" s="441">
        <v>1630</v>
      </c>
      <c r="C8" s="439" t="s">
        <v>172</v>
      </c>
      <c r="D8" s="440">
        <f>U7</f>
        <v>6774256.1245233491</v>
      </c>
      <c r="E8" s="440">
        <f>V7</f>
        <v>926324.16944222257</v>
      </c>
      <c r="F8" s="441"/>
      <c r="G8" s="441">
        <v>3094</v>
      </c>
      <c r="H8" s="446">
        <v>163000100</v>
      </c>
      <c r="I8" s="441"/>
      <c r="J8" s="441">
        <v>11</v>
      </c>
      <c r="K8" s="442">
        <f>VLOOKUP(B8,'Utfördelat tom maj'!$A$3:$G$28,7,FALSE)</f>
        <v>4235760.8527699625</v>
      </c>
      <c r="L8" s="440">
        <f>(D8+E8-K8)/7</f>
        <v>494974.20588508702</v>
      </c>
      <c r="M8" s="441" t="s">
        <v>805</v>
      </c>
      <c r="N8" s="441" t="s">
        <v>427</v>
      </c>
      <c r="O8" s="319"/>
      <c r="P8" s="443"/>
      <c r="Q8" s="444"/>
      <c r="S8" s="319">
        <v>1640</v>
      </c>
      <c r="T8" s="443" t="s">
        <v>173</v>
      </c>
      <c r="U8" s="445">
        <v>1898669.226572392</v>
      </c>
      <c r="V8" s="445">
        <v>284292.20275018003</v>
      </c>
      <c r="X8" s="445"/>
      <c r="Y8" s="506"/>
      <c r="Z8" s="506"/>
    </row>
    <row r="9" spans="1:26" ht="22.5" customHeight="1" x14ac:dyDescent="0.25">
      <c r="A9" s="441"/>
      <c r="B9" s="441"/>
      <c r="C9" s="438"/>
      <c r="D9" s="441"/>
      <c r="E9" s="441"/>
      <c r="F9" s="441"/>
      <c r="G9" s="441">
        <v>3094</v>
      </c>
      <c r="H9" s="441">
        <v>600011100</v>
      </c>
      <c r="I9" s="441"/>
      <c r="J9" s="441">
        <v>11</v>
      </c>
      <c r="K9" s="442"/>
      <c r="L9" s="440">
        <f>L8</f>
        <v>494974.20588508702</v>
      </c>
      <c r="M9" s="441" t="s">
        <v>806</v>
      </c>
      <c r="N9" s="441" t="s">
        <v>427</v>
      </c>
      <c r="O9" s="321"/>
      <c r="P9" s="443"/>
      <c r="Q9" s="444"/>
      <c r="S9" s="447">
        <v>1650</v>
      </c>
      <c r="T9" s="448" t="s">
        <v>11</v>
      </c>
      <c r="U9" s="449">
        <v>13428115.037089195</v>
      </c>
      <c r="V9" s="449">
        <v>7574376.0672188131</v>
      </c>
      <c r="X9" s="445"/>
      <c r="Y9" s="506"/>
      <c r="Z9" s="506"/>
    </row>
    <row r="10" spans="1:26" ht="22.5" customHeight="1" x14ac:dyDescent="0.25">
      <c r="A10" s="441"/>
      <c r="B10" s="441">
        <v>1640</v>
      </c>
      <c r="C10" s="450" t="s">
        <v>173</v>
      </c>
      <c r="D10" s="440">
        <f>U8</f>
        <v>1898669.226572392</v>
      </c>
      <c r="E10" s="440">
        <f>V8</f>
        <v>284292.20275018003</v>
      </c>
      <c r="F10" s="441"/>
      <c r="G10" s="441">
        <v>3094</v>
      </c>
      <c r="H10" s="441">
        <v>164016100</v>
      </c>
      <c r="I10" s="441"/>
      <c r="J10" s="441">
        <v>11</v>
      </c>
      <c r="K10" s="442">
        <f>VLOOKUP(B10,'Utfördelat tom maj'!$A$3:$G$28,7,FALSE)</f>
        <v>1162876.941205729</v>
      </c>
      <c r="L10" s="440">
        <f>(D10+E10-K10)/7</f>
        <v>145726.35544526327</v>
      </c>
      <c r="M10" s="441" t="s">
        <v>805</v>
      </c>
      <c r="N10" s="441" t="s">
        <v>427</v>
      </c>
      <c r="O10" s="444"/>
      <c r="P10" s="444"/>
      <c r="Q10" s="444"/>
      <c r="T10" s="425" t="s">
        <v>466</v>
      </c>
      <c r="U10" s="451">
        <v>-801916.17509079399</v>
      </c>
      <c r="V10" s="451">
        <v>-1212712.5139584008</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145726.35544526327</v>
      </c>
      <c r="M11" s="441" t="s">
        <v>806</v>
      </c>
      <c r="N11" s="441" t="s">
        <v>427</v>
      </c>
      <c r="O11" s="444"/>
      <c r="P11" s="444"/>
      <c r="Q11" s="444"/>
      <c r="U11" s="445"/>
      <c r="V11" s="445"/>
      <c r="X11" s="437"/>
      <c r="Y11" s="452"/>
      <c r="Z11" s="452"/>
    </row>
    <row r="12" spans="1:26" ht="22.5" customHeight="1" x14ac:dyDescent="0.25">
      <c r="A12" s="441"/>
      <c r="B12" s="446">
        <v>1650</v>
      </c>
      <c r="C12" s="450" t="s">
        <v>11</v>
      </c>
      <c r="D12" s="453">
        <f>U9+U10</f>
        <v>12626198.861998402</v>
      </c>
      <c r="E12" s="453">
        <f>V9+V10</f>
        <v>6361663.5532604121</v>
      </c>
      <c r="F12" s="446"/>
      <c r="G12" s="446">
        <v>3094</v>
      </c>
      <c r="H12" s="446">
        <v>165000001</v>
      </c>
      <c r="I12" s="446"/>
      <c r="J12" s="446">
        <v>11</v>
      </c>
      <c r="K12" s="442">
        <f>VLOOKUP(B12,'Utfördelat tom maj'!$A$3:$G$28,7,FALSE)</f>
        <v>9161070.8540531211</v>
      </c>
      <c r="L12" s="440">
        <f>(D12+E12-K12)/7</f>
        <v>1403827.3658865276</v>
      </c>
      <c r="M12" s="446" t="s">
        <v>805</v>
      </c>
      <c r="N12" s="446" t="s">
        <v>427</v>
      </c>
      <c r="O12" s="444"/>
      <c r="P12" s="444"/>
      <c r="Q12" s="444"/>
      <c r="R12" s="425"/>
      <c r="X12" s="437"/>
      <c r="Y12" s="506"/>
      <c r="Z12" s="506"/>
    </row>
    <row r="13" spans="1:26" ht="22.5" customHeight="1" x14ac:dyDescent="0.25">
      <c r="A13" s="441"/>
      <c r="B13" s="446"/>
      <c r="C13" s="450"/>
      <c r="D13" s="446"/>
      <c r="E13" s="446"/>
      <c r="F13" s="446"/>
      <c r="G13" s="446">
        <v>3094</v>
      </c>
      <c r="H13" s="446">
        <v>600011100</v>
      </c>
      <c r="I13" s="446"/>
      <c r="J13" s="446">
        <v>11</v>
      </c>
      <c r="K13" s="442"/>
      <c r="L13" s="453">
        <f>L12</f>
        <v>1403827.3658865276</v>
      </c>
      <c r="M13" s="446" t="s">
        <v>806</v>
      </c>
      <c r="N13" s="446" t="s">
        <v>427</v>
      </c>
      <c r="O13" s="444"/>
      <c r="P13" s="444"/>
      <c r="Q13" s="444"/>
      <c r="X13" s="437"/>
      <c r="Y13" s="320"/>
      <c r="Z13" s="320"/>
    </row>
    <row r="14" spans="1:26" ht="22.5" customHeight="1" x14ac:dyDescent="0.25">
      <c r="A14" s="454"/>
      <c r="B14" s="454"/>
      <c r="C14" s="454"/>
      <c r="D14" s="454"/>
      <c r="E14" s="454"/>
      <c r="F14" s="454"/>
      <c r="G14" s="454"/>
      <c r="H14" s="454"/>
      <c r="I14" s="454"/>
      <c r="J14" s="454"/>
      <c r="K14" s="455"/>
      <c r="L14" s="456"/>
      <c r="M14" s="454"/>
      <c r="N14" s="454"/>
      <c r="O14" s="444"/>
      <c r="P14" s="444"/>
      <c r="Q14" s="444"/>
      <c r="X14" s="437"/>
      <c r="Y14" s="320"/>
      <c r="Z14" s="320"/>
    </row>
    <row r="15" spans="1:26" ht="22.5" customHeight="1" x14ac:dyDescent="0.25">
      <c r="A15" s="438"/>
      <c r="K15" s="442"/>
      <c r="O15" s="444"/>
      <c r="P15" s="444"/>
      <c r="Q15" s="444"/>
      <c r="T15" s="317">
        <v>2020</v>
      </c>
      <c r="U15" s="317" t="s">
        <v>375</v>
      </c>
      <c r="V15" s="317" t="s">
        <v>149</v>
      </c>
      <c r="X15" s="437"/>
      <c r="Y15" s="506"/>
      <c r="Z15" s="506"/>
    </row>
    <row r="16" spans="1:26" ht="22.5" customHeight="1" x14ac:dyDescent="0.25">
      <c r="A16" s="441" t="s">
        <v>411</v>
      </c>
      <c r="B16" s="441">
        <v>2180</v>
      </c>
      <c r="C16" s="439" t="s">
        <v>192</v>
      </c>
      <c r="D16" s="440">
        <f>U16</f>
        <v>14914577.171762582</v>
      </c>
      <c r="E16" s="457">
        <f>V16</f>
        <v>2832111.0870488286</v>
      </c>
      <c r="F16" s="441"/>
      <c r="G16" s="441">
        <v>3094</v>
      </c>
      <c r="H16" s="446">
        <v>218000101</v>
      </c>
      <c r="I16" s="441"/>
      <c r="J16" s="441">
        <v>11</v>
      </c>
      <c r="K16" s="442">
        <f>VLOOKUP(B16,'Utfördelat tom maj'!$A$3:$G$28,5,FALSE)</f>
        <v>7746845.8873585062</v>
      </c>
      <c r="L16" s="440">
        <f>(D16-K16)/7</f>
        <v>1023961.6120577251</v>
      </c>
      <c r="M16" s="441" t="s">
        <v>805</v>
      </c>
      <c r="N16" s="441" t="s">
        <v>464</v>
      </c>
      <c r="O16" s="319"/>
      <c r="P16" s="444"/>
      <c r="Q16" s="458"/>
      <c r="S16" s="319">
        <v>2180</v>
      </c>
      <c r="T16" s="443" t="s">
        <v>192</v>
      </c>
      <c r="U16" s="445">
        <v>14914577.171762582</v>
      </c>
      <c r="V16" s="445">
        <v>2832111.0870488286</v>
      </c>
      <c r="X16" s="445"/>
      <c r="Y16" s="506"/>
      <c r="Z16" s="506"/>
    </row>
    <row r="17" spans="1:26" ht="22.5" customHeight="1" x14ac:dyDescent="0.25">
      <c r="B17" s="441"/>
      <c r="C17" s="450"/>
      <c r="D17" s="440"/>
      <c r="E17" s="457"/>
      <c r="F17" s="441"/>
      <c r="G17" s="441">
        <v>3094</v>
      </c>
      <c r="H17" s="441">
        <v>600011100</v>
      </c>
      <c r="I17" s="441"/>
      <c r="J17" s="441">
        <v>11</v>
      </c>
      <c r="K17" s="442"/>
      <c r="L17" s="440">
        <f>L16</f>
        <v>1023961.6120577251</v>
      </c>
      <c r="M17" s="441" t="s">
        <v>806</v>
      </c>
      <c r="N17" s="441" t="s">
        <v>464</v>
      </c>
      <c r="O17" s="319"/>
      <c r="P17" s="444"/>
      <c r="S17" s="319">
        <v>2193</v>
      </c>
      <c r="T17" s="443" t="s">
        <v>1102</v>
      </c>
      <c r="U17" s="445">
        <v>19310896.047101542</v>
      </c>
      <c r="V17" s="445">
        <v>2975590.4968238887</v>
      </c>
      <c r="X17" s="445"/>
      <c r="Y17" s="506"/>
      <c r="Z17" s="506"/>
    </row>
    <row r="18" spans="1:26" ht="22.5" customHeight="1" x14ac:dyDescent="0.25">
      <c r="B18" s="441">
        <v>2193</v>
      </c>
      <c r="C18" s="439" t="s">
        <v>441</v>
      </c>
      <c r="D18" s="440">
        <f>U17</f>
        <v>19310896.047101542</v>
      </c>
      <c r="E18" s="457">
        <f>V17</f>
        <v>2975590.4968238887</v>
      </c>
      <c r="F18" s="441"/>
      <c r="G18" s="441">
        <v>3094</v>
      </c>
      <c r="H18" s="441">
        <v>219300001</v>
      </c>
      <c r="I18" s="441"/>
      <c r="J18" s="441">
        <v>11</v>
      </c>
      <c r="K18" s="442">
        <f>VLOOKUP(B18,'Utfördelat tom maj'!$A$3:$G$28,5,FALSE)</f>
        <v>8930853.7960017379</v>
      </c>
      <c r="L18" s="440">
        <f>(D18-K18)/7</f>
        <v>1482863.1787285435</v>
      </c>
      <c r="M18" s="441" t="s">
        <v>805</v>
      </c>
      <c r="N18" s="441" t="s">
        <v>464</v>
      </c>
      <c r="O18" s="319"/>
      <c r="P18" s="444"/>
      <c r="Q18" s="458"/>
      <c r="S18" s="319">
        <v>2200</v>
      </c>
      <c r="T18" s="443" t="s">
        <v>194</v>
      </c>
      <c r="U18" s="445">
        <v>1828775.1469784963</v>
      </c>
      <c r="V18" s="445">
        <v>255401.16674069205</v>
      </c>
      <c r="X18" s="445"/>
      <c r="Y18" s="506"/>
      <c r="Z18" s="506"/>
    </row>
    <row r="19" spans="1:26" ht="22.5" customHeight="1" x14ac:dyDescent="0.25">
      <c r="B19" s="441"/>
      <c r="C19" s="438"/>
      <c r="D19" s="441"/>
      <c r="E19" s="459"/>
      <c r="F19" s="441"/>
      <c r="G19" s="441">
        <v>3094</v>
      </c>
      <c r="H19" s="441">
        <v>600011100</v>
      </c>
      <c r="I19" s="441"/>
      <c r="J19" s="441">
        <v>11</v>
      </c>
      <c r="K19" s="442"/>
      <c r="L19" s="440">
        <f>L18</f>
        <v>1482863.1787285435</v>
      </c>
      <c r="M19" s="441" t="s">
        <v>806</v>
      </c>
      <c r="N19" s="441" t="s">
        <v>464</v>
      </c>
      <c r="O19" s="321"/>
      <c r="P19" s="444"/>
      <c r="Q19" s="458"/>
      <c r="S19" s="321">
        <v>2220</v>
      </c>
      <c r="T19" s="443" t="s">
        <v>195</v>
      </c>
      <c r="U19" s="445">
        <v>164524.4865</v>
      </c>
      <c r="V19" s="445">
        <v>31860.000000000004</v>
      </c>
      <c r="X19" s="445"/>
      <c r="Y19" s="506"/>
      <c r="Z19" s="506"/>
    </row>
    <row r="20" spans="1:26" ht="22.5" customHeight="1" x14ac:dyDescent="0.25">
      <c r="A20" s="441"/>
      <c r="B20" s="441">
        <v>2200</v>
      </c>
      <c r="C20" s="439" t="s">
        <v>571</v>
      </c>
      <c r="D20" s="440">
        <f>U18</f>
        <v>1828775.1469784963</v>
      </c>
      <c r="E20" s="457">
        <f>V18</f>
        <v>255401.16674069205</v>
      </c>
      <c r="F20" s="441"/>
      <c r="G20" s="441">
        <v>3094</v>
      </c>
      <c r="H20" s="441">
        <v>220000100</v>
      </c>
      <c r="I20" s="441"/>
      <c r="J20" s="441">
        <v>11</v>
      </c>
      <c r="K20" s="442">
        <f>VLOOKUP(B20,'Utfördelat tom maj'!$A$3:$G$28,5,FALSE)</f>
        <v>892075.4123776044</v>
      </c>
      <c r="L20" s="440">
        <f>(D20-K20)/7</f>
        <v>133814.24780012743</v>
      </c>
      <c r="M20" s="441" t="s">
        <v>805</v>
      </c>
      <c r="N20" s="441" t="s">
        <v>464</v>
      </c>
      <c r="O20" s="319"/>
      <c r="P20" s="444"/>
      <c r="Q20" s="458"/>
      <c r="S20" s="319">
        <v>2271</v>
      </c>
      <c r="T20" s="443" t="s">
        <v>1356</v>
      </c>
      <c r="U20" s="445">
        <v>313264.8456450511</v>
      </c>
      <c r="V20" s="445">
        <v>58498.50037594801</v>
      </c>
      <c r="X20" s="445"/>
      <c r="Y20" s="506"/>
      <c r="Z20" s="506"/>
    </row>
    <row r="21" spans="1:26" ht="22.5" customHeight="1" x14ac:dyDescent="0.25">
      <c r="A21" s="441"/>
      <c r="B21" s="441"/>
      <c r="C21" s="438"/>
      <c r="D21" s="441"/>
      <c r="E21" s="459"/>
      <c r="F21" s="441"/>
      <c r="G21" s="441">
        <v>3094</v>
      </c>
      <c r="H21" s="441">
        <v>600011100</v>
      </c>
      <c r="I21" s="441"/>
      <c r="J21" s="441">
        <v>11</v>
      </c>
      <c r="K21" s="442"/>
      <c r="L21" s="440">
        <f>L20</f>
        <v>133814.24780012743</v>
      </c>
      <c r="M21" s="441" t="s">
        <v>806</v>
      </c>
      <c r="N21" s="441" t="s">
        <v>464</v>
      </c>
      <c r="O21" s="460"/>
      <c r="P21" s="444"/>
      <c r="Q21" s="458"/>
      <c r="S21" s="460">
        <v>2272</v>
      </c>
      <c r="T21" s="443" t="s">
        <v>200</v>
      </c>
      <c r="U21" s="445">
        <v>431675.27304577141</v>
      </c>
      <c r="V21" s="445">
        <v>53886.666697346671</v>
      </c>
      <c r="X21" s="445"/>
      <c r="Y21" s="506"/>
      <c r="Z21" s="506"/>
    </row>
    <row r="22" spans="1:26" ht="22.5" customHeight="1" x14ac:dyDescent="0.25">
      <c r="A22" s="441"/>
      <c r="B22" s="441">
        <v>2220</v>
      </c>
      <c r="C22" s="439" t="s">
        <v>195</v>
      </c>
      <c r="D22" s="440">
        <f>U19</f>
        <v>164524.4865</v>
      </c>
      <c r="E22" s="457">
        <f>V19</f>
        <v>31860.000000000004</v>
      </c>
      <c r="F22" s="441"/>
      <c r="G22" s="441">
        <v>3094</v>
      </c>
      <c r="H22" s="441">
        <v>222000100</v>
      </c>
      <c r="I22" s="441"/>
      <c r="J22" s="441">
        <v>11</v>
      </c>
      <c r="K22" s="442">
        <f>VLOOKUP(B22,'Utfördelat tom maj'!$A$3:$G$28,5,FALSE)</f>
        <v>68958.918749999997</v>
      </c>
      <c r="L22" s="440">
        <f>(D22-K22)/7</f>
        <v>13652.223964285715</v>
      </c>
      <c r="M22" s="441" t="s">
        <v>805</v>
      </c>
      <c r="N22" s="441" t="s">
        <v>464</v>
      </c>
      <c r="O22" s="321"/>
      <c r="P22" s="444"/>
      <c r="Q22" s="458"/>
      <c r="S22" s="321">
        <v>2300</v>
      </c>
      <c r="T22" s="443" t="s">
        <v>197</v>
      </c>
      <c r="U22" s="445">
        <v>728767.11497970659</v>
      </c>
      <c r="V22" s="445">
        <v>90973.083419430433</v>
      </c>
      <c r="X22" s="445"/>
      <c r="Y22" s="506"/>
      <c r="Z22" s="506"/>
    </row>
    <row r="23" spans="1:26" ht="22.5" customHeight="1" x14ac:dyDescent="0.25">
      <c r="A23" s="441"/>
      <c r="B23" s="441"/>
      <c r="C23" s="450"/>
      <c r="F23" s="441"/>
      <c r="G23" s="441">
        <v>3094</v>
      </c>
      <c r="H23" s="441">
        <v>600011100</v>
      </c>
      <c r="I23" s="441"/>
      <c r="J23" s="441">
        <v>11</v>
      </c>
      <c r="K23" s="442"/>
      <c r="L23" s="440">
        <f>L22</f>
        <v>13652.223964285715</v>
      </c>
      <c r="M23" s="441" t="s">
        <v>806</v>
      </c>
      <c r="N23" s="441" t="s">
        <v>464</v>
      </c>
      <c r="O23" s="319"/>
      <c r="P23" s="444"/>
      <c r="Q23" s="458"/>
      <c r="S23" s="319">
        <v>2340</v>
      </c>
      <c r="T23" s="443" t="s">
        <v>198</v>
      </c>
      <c r="U23" s="445">
        <v>2149626.0435471558</v>
      </c>
      <c r="V23" s="445">
        <v>360711.24994914199</v>
      </c>
      <c r="X23" s="445"/>
      <c r="Y23" s="506"/>
      <c r="Z23" s="506"/>
    </row>
    <row r="24" spans="1:26" ht="22.5" customHeight="1" x14ac:dyDescent="0.25">
      <c r="B24" s="441">
        <v>2271</v>
      </c>
      <c r="C24" s="450" t="s">
        <v>1356</v>
      </c>
      <c r="D24" s="440">
        <f>U20</f>
        <v>313264.8456450511</v>
      </c>
      <c r="E24" s="457">
        <f>V20</f>
        <v>58498.50037594801</v>
      </c>
      <c r="G24" s="446">
        <v>3094</v>
      </c>
      <c r="H24" s="446">
        <v>227100100</v>
      </c>
      <c r="J24" s="441">
        <v>11</v>
      </c>
      <c r="K24" s="442">
        <f>VLOOKUP(B24,'Utfördelat tom maj'!$A$3:$G$28,5,FALSE)</f>
        <v>258218.52499375003</v>
      </c>
      <c r="L24" s="440">
        <f>(D24-K24)/7</f>
        <v>7863.7600930430099</v>
      </c>
      <c r="M24" s="441" t="s">
        <v>805</v>
      </c>
      <c r="N24" s="441" t="s">
        <v>464</v>
      </c>
      <c r="O24" s="460"/>
      <c r="P24" s="444"/>
      <c r="Q24" s="458"/>
      <c r="S24" s="460">
        <v>2360</v>
      </c>
      <c r="T24" s="443" t="s">
        <v>199</v>
      </c>
      <c r="U24" s="445">
        <v>186156.4112142513</v>
      </c>
      <c r="V24" s="445">
        <v>36049.00028839201</v>
      </c>
      <c r="X24" s="445"/>
      <c r="Y24" s="506"/>
      <c r="Z24" s="506"/>
    </row>
    <row r="25" spans="1:26" ht="22.5" customHeight="1" x14ac:dyDescent="0.25">
      <c r="G25" s="446">
        <v>3094</v>
      </c>
      <c r="H25" s="446">
        <v>600011100</v>
      </c>
      <c r="J25" s="441">
        <v>11</v>
      </c>
      <c r="K25" s="442"/>
      <c r="L25" s="440">
        <f>L24</f>
        <v>7863.7600930430099</v>
      </c>
      <c r="M25" s="441" t="s">
        <v>806</v>
      </c>
      <c r="N25" s="441" t="s">
        <v>464</v>
      </c>
      <c r="O25" s="460"/>
      <c r="P25" s="444"/>
      <c r="Q25" s="458"/>
      <c r="S25" s="460">
        <v>2500</v>
      </c>
      <c r="T25" s="443" t="s">
        <v>2018</v>
      </c>
      <c r="U25" s="445">
        <v>455763.23465260275</v>
      </c>
      <c r="V25" s="445">
        <v>115541.5619025325</v>
      </c>
      <c r="X25" s="445"/>
      <c r="Y25" s="506"/>
      <c r="Z25" s="506"/>
    </row>
    <row r="26" spans="1:26" ht="22.5" customHeight="1" x14ac:dyDescent="0.25">
      <c r="A26" s="441"/>
      <c r="B26" s="441">
        <v>2272</v>
      </c>
      <c r="C26" s="439" t="s">
        <v>200</v>
      </c>
      <c r="D26" s="440">
        <f>U21</f>
        <v>431675.27304577141</v>
      </c>
      <c r="E26" s="457">
        <f>V21</f>
        <v>53886.666697346671</v>
      </c>
      <c r="F26" s="441"/>
      <c r="G26" s="441">
        <v>3094</v>
      </c>
      <c r="H26" s="446">
        <v>227200100</v>
      </c>
      <c r="I26" s="441"/>
      <c r="J26" s="441">
        <v>11</v>
      </c>
      <c r="K26" s="442">
        <f>VLOOKUP(B26,'Utfördelat tom maj'!$A$3:$G$28,5,FALSE)</f>
        <v>226015.98042187496</v>
      </c>
      <c r="L26" s="440">
        <f>(D26-K26)/7</f>
        <v>29379.898946270921</v>
      </c>
      <c r="M26" s="441" t="s">
        <v>805</v>
      </c>
      <c r="N26" s="441" t="s">
        <v>464</v>
      </c>
      <c r="O26" s="460"/>
      <c r="P26" s="444"/>
      <c r="Q26" s="458"/>
      <c r="S26" s="494">
        <v>2650</v>
      </c>
      <c r="T26" s="443" t="s">
        <v>2145</v>
      </c>
      <c r="U26" s="445">
        <v>2576988.8955046991</v>
      </c>
      <c r="V26" s="445">
        <v>1040955.0044953905</v>
      </c>
      <c r="X26" s="445"/>
      <c r="Y26" s="506"/>
      <c r="Z26" s="506"/>
    </row>
    <row r="27" spans="1:26" ht="22.5" customHeight="1" x14ac:dyDescent="0.25">
      <c r="A27" s="441"/>
      <c r="G27" s="441">
        <v>3094</v>
      </c>
      <c r="H27" s="441">
        <v>600011100</v>
      </c>
      <c r="J27" s="441">
        <v>11</v>
      </c>
      <c r="K27" s="442"/>
      <c r="L27" s="440">
        <f>L26</f>
        <v>29379.898946270921</v>
      </c>
      <c r="M27" s="441" t="s">
        <v>806</v>
      </c>
      <c r="N27" s="441" t="s">
        <v>464</v>
      </c>
      <c r="O27" s="444"/>
      <c r="P27" s="444"/>
      <c r="Q27" s="458"/>
      <c r="U27" s="445"/>
      <c r="V27" s="445"/>
      <c r="X27" s="437"/>
      <c r="Y27" s="506"/>
      <c r="Z27" s="506"/>
    </row>
    <row r="28" spans="1:26" ht="22.5" customHeight="1" x14ac:dyDescent="0.25">
      <c r="B28" s="441">
        <v>2300</v>
      </c>
      <c r="C28" s="439" t="s">
        <v>899</v>
      </c>
      <c r="D28" s="440">
        <f>U22</f>
        <v>728767.11497970659</v>
      </c>
      <c r="E28" s="457">
        <f>V22</f>
        <v>90973.083419430433</v>
      </c>
      <c r="F28" s="441"/>
      <c r="G28" s="441">
        <v>3094</v>
      </c>
      <c r="H28" s="446">
        <v>230000100</v>
      </c>
      <c r="I28" s="441"/>
      <c r="J28" s="441">
        <v>11</v>
      </c>
      <c r="K28" s="442">
        <f>VLOOKUP(B28,'Utfördelat tom maj'!$A$3:$G$28,5,FALSE)</f>
        <v>279438.58525520831</v>
      </c>
      <c r="L28" s="440">
        <f>(D28-K28)/7</f>
        <v>64189.789960642614</v>
      </c>
      <c r="M28" s="441" t="s">
        <v>805</v>
      </c>
      <c r="N28" s="441" t="s">
        <v>464</v>
      </c>
      <c r="O28" s="444"/>
      <c r="P28" s="444"/>
      <c r="Q28" s="458"/>
      <c r="X28" s="437"/>
      <c r="Y28" s="506"/>
      <c r="Z28" s="506"/>
    </row>
    <row r="29" spans="1:26" ht="22.5" customHeight="1" x14ac:dyDescent="0.25">
      <c r="G29" s="441">
        <v>3094</v>
      </c>
      <c r="H29" s="441">
        <v>600011100</v>
      </c>
      <c r="J29" s="441">
        <v>11</v>
      </c>
      <c r="K29" s="442"/>
      <c r="L29" s="440">
        <f>L28</f>
        <v>64189.789960642614</v>
      </c>
      <c r="M29" s="441" t="s">
        <v>806</v>
      </c>
      <c r="N29" s="441" t="s">
        <v>464</v>
      </c>
      <c r="O29" s="444"/>
      <c r="P29" s="444"/>
      <c r="Q29" s="458"/>
      <c r="X29" s="437"/>
      <c r="Y29" s="506"/>
      <c r="Z29" s="506"/>
    </row>
    <row r="30" spans="1:26" ht="22.5" customHeight="1" x14ac:dyDescent="0.25">
      <c r="A30" s="441"/>
      <c r="B30" s="441">
        <v>2340</v>
      </c>
      <c r="C30" s="439" t="s">
        <v>198</v>
      </c>
      <c r="D30" s="453">
        <f>U23</f>
        <v>2149626.0435471558</v>
      </c>
      <c r="E30" s="461">
        <f>V23</f>
        <v>360711.24994914199</v>
      </c>
      <c r="F30" s="441"/>
      <c r="G30" s="441">
        <v>3094</v>
      </c>
      <c r="H30" s="441">
        <v>234000100</v>
      </c>
      <c r="I30" s="441"/>
      <c r="J30" s="441">
        <v>11</v>
      </c>
      <c r="K30" s="442">
        <f>VLOOKUP(B30,'Utfördelat tom maj'!$A$3:$G$28,5,FALSE)</f>
        <v>1038807.7254843747</v>
      </c>
      <c r="L30" s="440">
        <f>(D30-K30)/7</f>
        <v>158688.33115182587</v>
      </c>
      <c r="M30" s="441" t="s">
        <v>805</v>
      </c>
      <c r="N30" s="441" t="s">
        <v>464</v>
      </c>
      <c r="O30" s="444"/>
      <c r="P30" s="444"/>
      <c r="Q30" s="458"/>
      <c r="X30" s="437"/>
      <c r="Y30" s="320"/>
      <c r="Z30" s="320"/>
    </row>
    <row r="31" spans="1:26" ht="22.5" customHeight="1" x14ac:dyDescent="0.25">
      <c r="A31" s="441"/>
      <c r="B31" s="441"/>
      <c r="C31" s="438"/>
      <c r="D31" s="441"/>
      <c r="E31" s="459"/>
      <c r="F31" s="441"/>
      <c r="G31" s="441">
        <v>3094</v>
      </c>
      <c r="H31" s="441">
        <v>600011100</v>
      </c>
      <c r="I31" s="441"/>
      <c r="J31" s="441">
        <v>11</v>
      </c>
      <c r="K31" s="442"/>
      <c r="L31" s="440">
        <f>L30</f>
        <v>158688.33115182587</v>
      </c>
      <c r="M31" s="441" t="s">
        <v>806</v>
      </c>
      <c r="N31" s="441" t="s">
        <v>464</v>
      </c>
      <c r="O31" s="444"/>
      <c r="P31" s="444"/>
      <c r="Q31" s="458"/>
      <c r="X31" s="437"/>
      <c r="Y31" s="320"/>
      <c r="Z31" s="320"/>
    </row>
    <row r="32" spans="1:26" ht="22.5" customHeight="1" x14ac:dyDescent="0.25">
      <c r="A32" s="441"/>
      <c r="B32" s="441">
        <v>2360</v>
      </c>
      <c r="C32" s="439" t="s">
        <v>572</v>
      </c>
      <c r="D32" s="440">
        <f>U24</f>
        <v>186156.4112142513</v>
      </c>
      <c r="E32" s="457">
        <f>V24</f>
        <v>36049.00028839201</v>
      </c>
      <c r="F32" s="441"/>
      <c r="G32" s="446">
        <v>3094</v>
      </c>
      <c r="H32" s="441">
        <v>236000100</v>
      </c>
      <c r="I32" s="441"/>
      <c r="J32" s="441">
        <v>11</v>
      </c>
      <c r="K32" s="442">
        <f>VLOOKUP(B32,'Utfördelat tom maj'!$A$3:$G$28,5,FALSE)</f>
        <v>114333.88728750002</v>
      </c>
      <c r="L32" s="440">
        <f>(D32-K32)/7</f>
        <v>10260.360560964469</v>
      </c>
      <c r="M32" s="441" t="s">
        <v>805</v>
      </c>
      <c r="N32" s="441" t="s">
        <v>464</v>
      </c>
      <c r="O32" s="444"/>
      <c r="P32" s="444"/>
      <c r="Q32" s="458"/>
      <c r="S32" s="462"/>
      <c r="T32" s="462"/>
      <c r="U32" s="462"/>
      <c r="X32" s="437"/>
      <c r="Y32" s="320"/>
      <c r="Z32" s="320"/>
    </row>
    <row r="33" spans="1:26" ht="22.5" customHeight="1" x14ac:dyDescent="0.25">
      <c r="A33" s="441"/>
      <c r="G33" s="446">
        <v>3094</v>
      </c>
      <c r="H33" s="441">
        <v>600011100</v>
      </c>
      <c r="J33" s="441">
        <v>11</v>
      </c>
      <c r="K33" s="442"/>
      <c r="L33" s="440">
        <f>L32</f>
        <v>10260.360560964469</v>
      </c>
      <c r="M33" s="441" t="s">
        <v>806</v>
      </c>
      <c r="N33" s="441" t="s">
        <v>464</v>
      </c>
      <c r="O33" s="444"/>
      <c r="P33" s="444"/>
      <c r="Q33" s="458"/>
      <c r="X33" s="437"/>
      <c r="Y33" s="320"/>
      <c r="Z33" s="320"/>
    </row>
    <row r="34" spans="1:26" ht="22.5" customHeight="1" x14ac:dyDescent="0.25">
      <c r="A34" s="441"/>
      <c r="B34" s="441">
        <v>2500</v>
      </c>
      <c r="C34" s="439" t="s">
        <v>2018</v>
      </c>
      <c r="D34" s="440">
        <f>U25</f>
        <v>455763.23465260275</v>
      </c>
      <c r="E34" s="457">
        <f>V25</f>
        <v>115541.5619025325</v>
      </c>
      <c r="F34" s="441"/>
      <c r="G34" s="441">
        <v>3094</v>
      </c>
      <c r="H34" s="441">
        <v>250000010</v>
      </c>
      <c r="I34" s="441"/>
      <c r="J34" s="441">
        <v>11</v>
      </c>
      <c r="K34" s="442">
        <f>VLOOKUP(B34,'Utfördelat tom maj'!$A$3:$G$28,5,FALSE)</f>
        <v>109755.30874999998</v>
      </c>
      <c r="L34" s="440">
        <f>(D34-K34)/7</f>
        <v>49429.703700371829</v>
      </c>
      <c r="M34" s="441" t="s">
        <v>805</v>
      </c>
      <c r="N34" s="441" t="s">
        <v>464</v>
      </c>
      <c r="O34" s="444"/>
      <c r="P34" s="444"/>
      <c r="Q34" s="458"/>
      <c r="X34" s="437"/>
      <c r="Y34" s="320"/>
      <c r="Z34" s="320"/>
    </row>
    <row r="35" spans="1:26" ht="22.5" customHeight="1" x14ac:dyDescent="0.25">
      <c r="A35" s="441"/>
      <c r="G35" s="441">
        <v>3094</v>
      </c>
      <c r="H35" s="441">
        <v>600011100</v>
      </c>
      <c r="J35" s="441">
        <v>11</v>
      </c>
      <c r="K35" s="442"/>
      <c r="L35" s="440">
        <f>L34</f>
        <v>49429.703700371829</v>
      </c>
      <c r="M35" s="441" t="s">
        <v>806</v>
      </c>
      <c r="N35" s="441" t="s">
        <v>464</v>
      </c>
      <c r="O35" s="444"/>
      <c r="P35" s="444"/>
      <c r="Q35" s="458"/>
      <c r="X35" s="437"/>
      <c r="Y35" s="320"/>
      <c r="Z35" s="320"/>
    </row>
    <row r="36" spans="1:26" ht="22.5" customHeight="1" x14ac:dyDescent="0.25">
      <c r="A36" s="495" t="s">
        <v>2148</v>
      </c>
      <c r="B36" s="441">
        <v>2650</v>
      </c>
      <c r="C36" s="439" t="s">
        <v>2147</v>
      </c>
      <c r="D36" s="440">
        <f>U26</f>
        <v>2576988.8955046991</v>
      </c>
      <c r="E36" s="457">
        <f>V26</f>
        <v>1040955.0044953905</v>
      </c>
      <c r="F36" s="441"/>
      <c r="G36" s="441">
        <v>3094</v>
      </c>
      <c r="H36" s="441">
        <v>275000100</v>
      </c>
      <c r="I36" s="441"/>
      <c r="J36" s="441">
        <v>11</v>
      </c>
      <c r="K36" s="442">
        <f>VLOOKUP(B36,'Utfördelat tom maj'!$A$3:$G$28,5,FALSE)</f>
        <v>1238242.4138541666</v>
      </c>
      <c r="L36" s="440">
        <f>(D36-K36)/7</f>
        <v>191249.4973786475</v>
      </c>
      <c r="M36" s="441" t="s">
        <v>805</v>
      </c>
      <c r="N36" s="441" t="s">
        <v>464</v>
      </c>
      <c r="O36" s="444"/>
      <c r="P36" s="444"/>
      <c r="Q36" s="458"/>
      <c r="X36" s="437"/>
      <c r="Y36" s="320"/>
      <c r="Z36" s="320"/>
    </row>
    <row r="37" spans="1:26" ht="22.5" customHeight="1" x14ac:dyDescent="0.25">
      <c r="A37" s="441"/>
      <c r="B37" s="441"/>
      <c r="C37" s="438"/>
      <c r="D37" s="441"/>
      <c r="E37" s="459"/>
      <c r="F37" s="441"/>
      <c r="G37" s="441">
        <v>3094</v>
      </c>
      <c r="H37" s="441">
        <v>600011100</v>
      </c>
      <c r="I37" s="441"/>
      <c r="J37" s="441">
        <v>11</v>
      </c>
      <c r="K37" s="442"/>
      <c r="L37" s="440">
        <f>L36</f>
        <v>191249.4973786475</v>
      </c>
      <c r="M37" s="441" t="s">
        <v>806</v>
      </c>
      <c r="N37" s="441" t="s">
        <v>464</v>
      </c>
      <c r="O37" s="444"/>
      <c r="P37" s="444"/>
      <c r="Q37" s="458"/>
      <c r="X37" s="437"/>
      <c r="Y37" s="320"/>
      <c r="Z37" s="320"/>
    </row>
    <row r="38" spans="1:26" ht="22.5" customHeight="1" x14ac:dyDescent="0.25">
      <c r="A38" s="438"/>
      <c r="B38" s="438">
        <v>2000</v>
      </c>
      <c r="C38" s="450" t="s">
        <v>463</v>
      </c>
      <c r="D38" s="438"/>
      <c r="E38" s="463">
        <f>SUM(E16:E37)</f>
        <v>7851577.8177415915</v>
      </c>
      <c r="F38" s="438"/>
      <c r="G38" s="438">
        <v>3094</v>
      </c>
      <c r="H38" s="438">
        <v>200000001</v>
      </c>
      <c r="I38" s="438"/>
      <c r="J38" s="441">
        <v>11</v>
      </c>
      <c r="K38" s="442">
        <f>VLOOKUP(B38,'Utfördelat tom maj'!$A$3:$G$28,6,FALSE)</f>
        <v>3693578.4722222225</v>
      </c>
      <c r="L38" s="440">
        <f>(E38-K38)/7</f>
        <v>593999.906502767</v>
      </c>
      <c r="M38" s="441" t="s">
        <v>805</v>
      </c>
      <c r="N38" s="438" t="s">
        <v>404</v>
      </c>
      <c r="O38" s="444"/>
      <c r="P38" s="444"/>
      <c r="Q38" s="458"/>
      <c r="X38" s="437"/>
      <c r="Y38" s="320"/>
      <c r="Z38" s="320"/>
    </row>
    <row r="39" spans="1:26" ht="22.5" customHeight="1" x14ac:dyDescent="0.25">
      <c r="G39" s="464">
        <v>3094</v>
      </c>
      <c r="H39" s="441">
        <v>600011100</v>
      </c>
      <c r="J39" s="441">
        <v>11</v>
      </c>
      <c r="K39" s="442"/>
      <c r="L39" s="440">
        <f>L38</f>
        <v>593999.906502767</v>
      </c>
      <c r="M39" s="441" t="s">
        <v>806</v>
      </c>
      <c r="N39" s="438" t="s">
        <v>404</v>
      </c>
      <c r="O39" s="444"/>
      <c r="P39" s="444"/>
      <c r="Q39" s="444"/>
      <c r="X39" s="437"/>
      <c r="Y39" s="320"/>
      <c r="Z39" s="320"/>
    </row>
    <row r="40" spans="1:26" ht="22.5" customHeight="1" x14ac:dyDescent="0.25">
      <c r="A40" s="454"/>
      <c r="B40" s="454"/>
      <c r="C40" s="465"/>
      <c r="D40" s="454"/>
      <c r="E40" s="466"/>
      <c r="F40" s="454"/>
      <c r="G40" s="454"/>
      <c r="H40" s="454"/>
      <c r="I40" s="454"/>
      <c r="J40" s="454"/>
      <c r="K40" s="455"/>
      <c r="L40" s="467"/>
      <c r="M40" s="454"/>
      <c r="N40" s="454"/>
      <c r="O40" s="444"/>
      <c r="P40" s="444"/>
      <c r="Q40" s="444"/>
      <c r="X40" s="437"/>
      <c r="Y40" s="320"/>
      <c r="Z40" s="320"/>
    </row>
    <row r="41" spans="1:26" ht="22.5" customHeight="1" x14ac:dyDescent="0.25">
      <c r="A41" s="438"/>
      <c r="K41" s="442"/>
      <c r="O41" s="444"/>
      <c r="P41" s="444"/>
      <c r="Q41" s="444"/>
      <c r="T41" s="317">
        <v>2020</v>
      </c>
      <c r="U41" s="317" t="s">
        <v>375</v>
      </c>
      <c r="V41" s="317" t="s">
        <v>149</v>
      </c>
      <c r="X41" s="437"/>
      <c r="Y41" s="506"/>
      <c r="Z41" s="506"/>
    </row>
    <row r="42" spans="1:26" ht="22.5" customHeight="1" x14ac:dyDescent="0.25">
      <c r="A42" s="438" t="s">
        <v>413</v>
      </c>
      <c r="B42" s="441">
        <v>3306</v>
      </c>
      <c r="C42" s="439" t="s">
        <v>242</v>
      </c>
      <c r="D42" s="468">
        <f>U42</f>
        <v>586131.16536587547</v>
      </c>
      <c r="E42" s="468">
        <f>V42</f>
        <v>294800.00112640002</v>
      </c>
      <c r="F42" s="438"/>
      <c r="G42" s="464">
        <v>3094</v>
      </c>
      <c r="H42" s="464">
        <v>330600100</v>
      </c>
      <c r="I42" s="464"/>
      <c r="J42" s="464">
        <v>11</v>
      </c>
      <c r="K42" s="442">
        <f>VLOOKUP(B42,'Utfördelat tom maj'!$A$3:$G$28,7,FALSE)</f>
        <v>523625.38359375001</v>
      </c>
      <c r="L42" s="440">
        <f>(D42+E42-K42)/7</f>
        <v>51043.683271217917</v>
      </c>
      <c r="M42" s="441" t="s">
        <v>805</v>
      </c>
      <c r="N42" s="438" t="s">
        <v>427</v>
      </c>
      <c r="O42" s="444"/>
      <c r="P42" s="444"/>
      <c r="Q42" s="444"/>
      <c r="S42" s="436">
        <v>3306</v>
      </c>
      <c r="T42" s="443" t="s">
        <v>242</v>
      </c>
      <c r="U42" s="445">
        <v>586131.16536587547</v>
      </c>
      <c r="V42" s="445">
        <v>294800.00112640002</v>
      </c>
      <c r="X42" s="445"/>
      <c r="Y42" s="506"/>
      <c r="Z42" s="506"/>
    </row>
    <row r="43" spans="1:26" ht="22.5" customHeight="1" x14ac:dyDescent="0.25">
      <c r="B43" s="441"/>
      <c r="C43" s="439"/>
      <c r="G43" s="464">
        <v>3094</v>
      </c>
      <c r="H43" s="441">
        <v>600011100</v>
      </c>
      <c r="J43" s="464">
        <v>11</v>
      </c>
      <c r="K43" s="442"/>
      <c r="L43" s="468">
        <f>L42</f>
        <v>51043.683271217917</v>
      </c>
      <c r="M43" s="441" t="s">
        <v>806</v>
      </c>
      <c r="N43" s="438" t="s">
        <v>427</v>
      </c>
      <c r="O43" s="444"/>
      <c r="P43" s="444"/>
      <c r="Q43" s="444"/>
      <c r="S43" s="317">
        <v>3850</v>
      </c>
      <c r="T43" s="443" t="s">
        <v>809</v>
      </c>
      <c r="U43" s="445">
        <v>140223.42487178743</v>
      </c>
      <c r="V43" s="445">
        <v>70400.00056320001</v>
      </c>
      <c r="X43" s="445"/>
      <c r="Y43" s="506"/>
      <c r="Z43" s="506"/>
    </row>
    <row r="44" spans="1:26" ht="22.5" customHeight="1" x14ac:dyDescent="0.25">
      <c r="B44" s="441">
        <v>3850</v>
      </c>
      <c r="C44" s="443" t="str">
        <f>VLOOKUP(B44,[1]Orgenheter!$A$3:$C$165,2,FALSE)</f>
        <v>Epidemiologi och global hälsa</v>
      </c>
      <c r="D44" s="468">
        <f>U43</f>
        <v>140223.42487178743</v>
      </c>
      <c r="E44" s="468">
        <f>V43</f>
        <v>70400.00056320001</v>
      </c>
      <c r="G44" s="464">
        <v>3094</v>
      </c>
      <c r="H44" s="446">
        <v>385000002</v>
      </c>
      <c r="J44" s="464">
        <v>11</v>
      </c>
      <c r="K44" s="442">
        <f>VLOOKUP(B44,'Utfördelat tom maj'!$A$3:$G$28,7,FALSE)</f>
        <v>127545.06927083332</v>
      </c>
      <c r="L44" s="440">
        <f>(D44+E44-K44)/7</f>
        <v>11868.33659487916</v>
      </c>
      <c r="M44" s="441" t="s">
        <v>805</v>
      </c>
      <c r="N44" s="438" t="s">
        <v>427</v>
      </c>
      <c r="O44" s="444"/>
      <c r="P44" s="444"/>
      <c r="Q44" s="444"/>
      <c r="T44" s="443"/>
      <c r="U44" s="445"/>
      <c r="V44" s="445"/>
      <c r="X44" s="437"/>
      <c r="Y44" s="320"/>
      <c r="Z44" s="320"/>
    </row>
    <row r="45" spans="1:26" ht="22.5" customHeight="1" x14ac:dyDescent="0.25">
      <c r="G45" s="464">
        <v>3094</v>
      </c>
      <c r="H45" s="441">
        <v>600011100</v>
      </c>
      <c r="J45" s="464">
        <v>11</v>
      </c>
      <c r="K45" s="442"/>
      <c r="L45" s="468">
        <f>L44</f>
        <v>11868.33659487916</v>
      </c>
      <c r="M45" s="441" t="s">
        <v>806</v>
      </c>
      <c r="N45" s="438" t="s">
        <v>427</v>
      </c>
      <c r="O45" s="444"/>
      <c r="P45" s="444"/>
      <c r="Q45" s="444"/>
      <c r="X45" s="437"/>
      <c r="Y45" s="320"/>
      <c r="Z45" s="320"/>
    </row>
    <row r="46" spans="1:26" ht="22.5" customHeight="1" x14ac:dyDescent="0.25">
      <c r="A46" s="454"/>
      <c r="B46" s="454"/>
      <c r="C46" s="469"/>
      <c r="D46" s="467"/>
      <c r="E46" s="467"/>
      <c r="F46" s="454"/>
      <c r="G46" s="470"/>
      <c r="H46" s="470"/>
      <c r="I46" s="470"/>
      <c r="J46" s="470"/>
      <c r="K46" s="455"/>
      <c r="L46" s="467"/>
      <c r="M46" s="454"/>
      <c r="N46" s="454"/>
      <c r="O46" s="444"/>
      <c r="P46" s="444"/>
      <c r="Q46" s="444"/>
      <c r="X46" s="437"/>
      <c r="Y46" s="320"/>
      <c r="Z46" s="320"/>
    </row>
    <row r="47" spans="1:26" ht="22.5" customHeight="1" x14ac:dyDescent="0.25">
      <c r="K47" s="442"/>
      <c r="O47" s="444"/>
      <c r="P47" s="444"/>
      <c r="Q47" s="444"/>
      <c r="S47" s="444"/>
      <c r="T47" s="317">
        <v>2020</v>
      </c>
      <c r="U47" s="317" t="s">
        <v>375</v>
      </c>
      <c r="V47" s="317" t="s">
        <v>149</v>
      </c>
      <c r="X47" s="437"/>
      <c r="Y47" s="320"/>
      <c r="Z47" s="320"/>
    </row>
    <row r="48" spans="1:26" ht="22.5" customHeight="1" x14ac:dyDescent="0.25">
      <c r="A48" s="441" t="s">
        <v>465</v>
      </c>
      <c r="B48" s="441">
        <v>5100</v>
      </c>
      <c r="C48" s="439" t="s">
        <v>164</v>
      </c>
      <c r="D48" s="471">
        <f>U48</f>
        <v>667234.89405869471</v>
      </c>
      <c r="E48" s="471">
        <f>V48</f>
        <v>296168.18119859998</v>
      </c>
      <c r="G48" s="464">
        <v>3094</v>
      </c>
      <c r="H48" s="446">
        <v>510010100</v>
      </c>
      <c r="J48" s="464">
        <v>11</v>
      </c>
      <c r="K48" s="442">
        <f>VLOOKUP(B48,'Utfördelat tom maj'!$A$3:$G$28,7,FALSE)</f>
        <v>350855.71354166663</v>
      </c>
      <c r="L48" s="440">
        <f>(D48+E48-K48)/7</f>
        <v>87506.765959375436</v>
      </c>
      <c r="M48" s="464" t="s">
        <v>805</v>
      </c>
      <c r="N48" s="438" t="s">
        <v>427</v>
      </c>
      <c r="P48" s="444"/>
      <c r="Q48" s="444"/>
      <c r="S48" s="317">
        <v>5100</v>
      </c>
      <c r="T48" s="443" t="s">
        <v>164</v>
      </c>
      <c r="U48" s="445">
        <v>667234.89405869471</v>
      </c>
      <c r="V48" s="445">
        <v>296168.18119859998</v>
      </c>
      <c r="X48" s="444"/>
      <c r="Y48" s="506"/>
      <c r="Z48" s="506"/>
    </row>
    <row r="49" spans="1:26" ht="22.5" customHeight="1" x14ac:dyDescent="0.25">
      <c r="G49" s="464">
        <v>3094</v>
      </c>
      <c r="H49" s="446">
        <v>600011100</v>
      </c>
      <c r="J49" s="464">
        <v>11</v>
      </c>
      <c r="L49" s="468">
        <f>L48</f>
        <v>87506.765959375436</v>
      </c>
      <c r="M49" s="464" t="s">
        <v>806</v>
      </c>
      <c r="N49" s="438" t="s">
        <v>427</v>
      </c>
      <c r="P49" s="444"/>
      <c r="Q49" s="444"/>
      <c r="S49" s="317">
        <v>5160</v>
      </c>
      <c r="T49" s="443" t="s">
        <v>305</v>
      </c>
      <c r="U49" s="445">
        <v>150042.59783938655</v>
      </c>
      <c r="V49" s="445">
        <v>66599.999040959985</v>
      </c>
      <c r="X49" s="444"/>
      <c r="Y49" s="506"/>
      <c r="Z49" s="506"/>
    </row>
    <row r="50" spans="1:26" ht="22.5" customHeight="1" x14ac:dyDescent="0.25">
      <c r="B50" s="441">
        <v>5160</v>
      </c>
      <c r="C50" s="439" t="str">
        <f>VLOOKUP(B50,[1]Orgenheter!$A$3:$C$165,2,FALSE)</f>
        <v xml:space="preserve">Inst för Fysiologisk botanik  </v>
      </c>
      <c r="D50" s="471">
        <f>U49</f>
        <v>150042.59783938655</v>
      </c>
      <c r="E50" s="471">
        <f>V49</f>
        <v>66599.999040959985</v>
      </c>
      <c r="G50" s="446">
        <v>3094</v>
      </c>
      <c r="H50" s="446">
        <v>516001100</v>
      </c>
      <c r="J50" s="464">
        <v>11</v>
      </c>
      <c r="K50" s="442">
        <f>VLOOKUP(B50,'Utfördelat tom maj'!$A$3:$G$28,7,FALSE)</f>
        <v>61688.916666666672</v>
      </c>
      <c r="L50" s="440">
        <f>(D50+E50-K50)/7</f>
        <v>22136.240030525692</v>
      </c>
      <c r="M50" s="464" t="s">
        <v>805</v>
      </c>
      <c r="N50" s="438" t="s">
        <v>427</v>
      </c>
      <c r="O50" s="319"/>
      <c r="P50" s="444"/>
      <c r="Q50" s="444"/>
      <c r="S50" s="317">
        <v>5400</v>
      </c>
      <c r="T50" s="443" t="s">
        <v>308</v>
      </c>
      <c r="U50" s="445">
        <v>323522.56611031533</v>
      </c>
      <c r="V50" s="445">
        <v>145965.00049283999</v>
      </c>
      <c r="X50" s="444"/>
      <c r="Y50" s="506"/>
      <c r="Z50" s="506"/>
    </row>
    <row r="51" spans="1:26" ht="22.5" customHeight="1" x14ac:dyDescent="0.25">
      <c r="G51" s="446">
        <v>3094</v>
      </c>
      <c r="H51" s="446">
        <v>600011100</v>
      </c>
      <c r="I51" s="320"/>
      <c r="J51" s="464">
        <v>11</v>
      </c>
      <c r="L51" s="468">
        <f>L50</f>
        <v>22136.240030525692</v>
      </c>
      <c r="M51" s="464" t="s">
        <v>806</v>
      </c>
      <c r="N51" s="438" t="s">
        <v>427</v>
      </c>
      <c r="O51" s="319"/>
      <c r="P51" s="444"/>
      <c r="Q51" s="444"/>
      <c r="S51" s="317">
        <v>5410</v>
      </c>
      <c r="T51" s="443" t="s">
        <v>1077</v>
      </c>
      <c r="U51" s="445">
        <v>15004.26001500426</v>
      </c>
      <c r="V51" s="445">
        <v>6660.0000066600005</v>
      </c>
      <c r="X51" s="444"/>
      <c r="Y51" s="506"/>
      <c r="Z51" s="506"/>
    </row>
    <row r="52" spans="1:26" ht="22.5" customHeight="1" x14ac:dyDescent="0.25">
      <c r="B52" s="446">
        <v>5400</v>
      </c>
      <c r="C52" s="450" t="s">
        <v>898</v>
      </c>
      <c r="D52" s="471">
        <f>U50</f>
        <v>323522.56611031533</v>
      </c>
      <c r="E52" s="471">
        <f>V50</f>
        <v>145965.00049283999</v>
      </c>
      <c r="F52" s="320"/>
      <c r="G52" s="446">
        <v>3094</v>
      </c>
      <c r="H52" s="446">
        <v>540000100</v>
      </c>
      <c r="I52" s="320"/>
      <c r="J52" s="464">
        <v>11</v>
      </c>
      <c r="K52" s="442">
        <f>VLOOKUP(B52,'Utfördelat tom maj'!$A$3:$G$28,7,FALSE)</f>
        <v>116496.03958333333</v>
      </c>
      <c r="L52" s="440">
        <f>(D52+E52-K52)/7</f>
        <v>50427.36100283172</v>
      </c>
      <c r="M52" s="446" t="s">
        <v>805</v>
      </c>
      <c r="N52" s="464" t="s">
        <v>427</v>
      </c>
      <c r="O52" s="319"/>
      <c r="P52" s="444"/>
      <c r="Q52" s="444"/>
      <c r="S52" s="319">
        <v>5500</v>
      </c>
      <c r="T52" s="443" t="s">
        <v>165</v>
      </c>
      <c r="U52" s="445">
        <v>100028.40032009088</v>
      </c>
      <c r="V52" s="445">
        <v>44400.000142080004</v>
      </c>
      <c r="X52" s="444"/>
      <c r="Y52" s="506"/>
      <c r="Z52" s="506"/>
    </row>
    <row r="53" spans="1:26" ht="22.5" customHeight="1" x14ac:dyDescent="0.25">
      <c r="B53" s="446"/>
      <c r="C53" s="450"/>
      <c r="D53" s="446"/>
      <c r="E53" s="446"/>
      <c r="F53" s="320"/>
      <c r="G53" s="446">
        <v>3094</v>
      </c>
      <c r="H53" s="446">
        <v>600011100</v>
      </c>
      <c r="I53" s="320"/>
      <c r="J53" s="464">
        <v>11</v>
      </c>
      <c r="K53" s="452"/>
      <c r="L53" s="471">
        <f>L52</f>
        <v>50427.36100283172</v>
      </c>
      <c r="M53" s="446" t="s">
        <v>806</v>
      </c>
      <c r="N53" s="464" t="s">
        <v>427</v>
      </c>
      <c r="O53" s="444"/>
      <c r="P53" s="444"/>
      <c r="Q53" s="444"/>
      <c r="S53" s="321">
        <v>5700</v>
      </c>
      <c r="T53" s="443" t="s">
        <v>313</v>
      </c>
      <c r="U53" s="445">
        <v>36402.15</v>
      </c>
      <c r="V53" s="445">
        <v>16650</v>
      </c>
      <c r="X53" s="444"/>
      <c r="Y53" s="506"/>
      <c r="Z53" s="506"/>
    </row>
    <row r="54" spans="1:26" ht="22.5" customHeight="1" x14ac:dyDescent="0.25">
      <c r="B54" s="446">
        <v>5410</v>
      </c>
      <c r="C54" s="450" t="s">
        <v>1077</v>
      </c>
      <c r="D54" s="471">
        <f>U51</f>
        <v>15004.26001500426</v>
      </c>
      <c r="E54" s="471">
        <f>V51</f>
        <v>6660.0000066600005</v>
      </c>
      <c r="F54" s="320"/>
      <c r="G54" s="446">
        <v>3094</v>
      </c>
      <c r="H54" s="446">
        <v>541000100</v>
      </c>
      <c r="I54" s="320"/>
      <c r="J54" s="464">
        <v>11</v>
      </c>
      <c r="K54" s="442">
        <f>VLOOKUP(B54,'Utfördelat tom maj'!$A$3:$G$28,7,FALSE)</f>
        <v>0</v>
      </c>
      <c r="L54" s="440">
        <f>(D54+E54-K54)/7</f>
        <v>3094.8942888091801</v>
      </c>
      <c r="M54" s="446" t="s">
        <v>805</v>
      </c>
      <c r="N54" s="464" t="s">
        <v>427</v>
      </c>
      <c r="O54" s="444"/>
      <c r="P54" s="444"/>
      <c r="Q54" s="444"/>
      <c r="S54" s="319">
        <v>5730</v>
      </c>
      <c r="T54" s="443" t="s">
        <v>166</v>
      </c>
      <c r="U54" s="445">
        <v>1985419.8150857531</v>
      </c>
      <c r="V54" s="445">
        <v>861487.49819009996</v>
      </c>
      <c r="X54" s="444"/>
      <c r="Y54" s="506"/>
      <c r="Z54" s="506"/>
    </row>
    <row r="55" spans="1:26" ht="22.5" customHeight="1" x14ac:dyDescent="0.25">
      <c r="B55" s="446"/>
      <c r="C55" s="450"/>
      <c r="D55" s="446"/>
      <c r="E55" s="446"/>
      <c r="F55" s="320"/>
      <c r="G55" s="446">
        <v>3094</v>
      </c>
      <c r="H55" s="446">
        <v>600011100</v>
      </c>
      <c r="I55" s="320"/>
      <c r="J55" s="464">
        <v>11</v>
      </c>
      <c r="K55" s="452"/>
      <c r="L55" s="471">
        <f>L54</f>
        <v>3094.8942888091801</v>
      </c>
      <c r="M55" s="446" t="s">
        <v>806</v>
      </c>
      <c r="N55" s="464" t="s">
        <v>427</v>
      </c>
      <c r="O55" s="444"/>
      <c r="P55" s="444"/>
      <c r="Q55" s="444"/>
      <c r="S55" s="319">
        <v>5740</v>
      </c>
      <c r="T55" s="443" t="s">
        <v>461</v>
      </c>
      <c r="U55" s="445">
        <v>12074488.950978162</v>
      </c>
      <c r="V55" s="445">
        <v>3549804.8760160599</v>
      </c>
      <c r="X55" s="437"/>
      <c r="Y55" s="506"/>
      <c r="Z55" s="506"/>
    </row>
    <row r="56" spans="1:26" ht="22.5" customHeight="1" x14ac:dyDescent="0.25">
      <c r="B56" s="446">
        <v>5500</v>
      </c>
      <c r="C56" s="450" t="s">
        <v>165</v>
      </c>
      <c r="D56" s="471">
        <f>U52</f>
        <v>100028.40032009088</v>
      </c>
      <c r="E56" s="471">
        <f>V52</f>
        <v>44400.000142080004</v>
      </c>
      <c r="F56" s="446"/>
      <c r="G56" s="446">
        <v>3094</v>
      </c>
      <c r="H56" s="446">
        <v>550001100</v>
      </c>
      <c r="I56" s="446"/>
      <c r="J56" s="446">
        <v>11</v>
      </c>
      <c r="K56" s="442">
        <f>VLOOKUP(B56,'Utfördelat tom maj'!$A$3:$G$28,7,FALSE)</f>
        <v>115666.71874999997</v>
      </c>
      <c r="L56" s="440">
        <f>(D56+E56-K56)/7</f>
        <v>4108.8116731672735</v>
      </c>
      <c r="M56" s="446" t="s">
        <v>805</v>
      </c>
      <c r="N56" s="446" t="s">
        <v>427</v>
      </c>
      <c r="O56" s="444"/>
      <c r="P56" s="444"/>
      <c r="Q56" s="444"/>
      <c r="U56" s="445"/>
      <c r="V56" s="445"/>
      <c r="X56" s="437"/>
      <c r="Y56" s="506"/>
      <c r="Z56" s="506"/>
    </row>
    <row r="57" spans="1:26" ht="22.5" customHeight="1" x14ac:dyDescent="0.25">
      <c r="A57" s="441"/>
      <c r="B57" s="446"/>
      <c r="C57" s="450"/>
      <c r="D57" s="446"/>
      <c r="E57" s="446"/>
      <c r="F57" s="446"/>
      <c r="G57" s="446">
        <v>3094</v>
      </c>
      <c r="H57" s="446">
        <v>600011100</v>
      </c>
      <c r="I57" s="446"/>
      <c r="J57" s="446">
        <v>11</v>
      </c>
      <c r="K57" s="452"/>
      <c r="L57" s="471">
        <f>L56</f>
        <v>4108.8116731672735</v>
      </c>
      <c r="M57" s="446" t="s">
        <v>806</v>
      </c>
      <c r="N57" s="446" t="s">
        <v>427</v>
      </c>
      <c r="O57" s="472"/>
      <c r="P57" s="472"/>
      <c r="Q57" s="472"/>
      <c r="X57" s="437"/>
      <c r="Y57" s="320"/>
      <c r="Z57" s="320"/>
    </row>
    <row r="58" spans="1:26" ht="22.5" customHeight="1" x14ac:dyDescent="0.25">
      <c r="B58" s="446">
        <v>5700</v>
      </c>
      <c r="C58" s="450" t="s">
        <v>313</v>
      </c>
      <c r="D58" s="471">
        <f>U53</f>
        <v>36402.15</v>
      </c>
      <c r="E58" s="471">
        <f>V53</f>
        <v>16650</v>
      </c>
      <c r="G58" s="446">
        <v>3094</v>
      </c>
      <c r="H58" s="446">
        <v>570001100</v>
      </c>
      <c r="J58" s="446">
        <v>11</v>
      </c>
      <c r="K58" s="442">
        <f>VLOOKUP(B58,'Utfördelat tom maj'!$A$3:$G$28,7,FALSE)</f>
        <v>3855.557291666667</v>
      </c>
      <c r="L58" s="440">
        <f>(D58+E58-K58)/7</f>
        <v>7028.0846726190484</v>
      </c>
      <c r="M58" s="446" t="s">
        <v>805</v>
      </c>
      <c r="N58" s="446" t="s">
        <v>427</v>
      </c>
      <c r="O58" s="444"/>
      <c r="P58" s="444"/>
      <c r="Q58" s="444"/>
      <c r="X58" s="437"/>
      <c r="Y58" s="445"/>
      <c r="Z58" s="445"/>
    </row>
    <row r="59" spans="1:26" ht="22.5" customHeight="1" x14ac:dyDescent="0.25">
      <c r="G59" s="446">
        <v>3094</v>
      </c>
      <c r="H59" s="446">
        <v>600011100</v>
      </c>
      <c r="I59" s="446"/>
      <c r="J59" s="446">
        <v>11</v>
      </c>
      <c r="L59" s="471">
        <f>L58</f>
        <v>7028.0846726190484</v>
      </c>
      <c r="M59" s="446" t="s">
        <v>806</v>
      </c>
      <c r="N59" s="446" t="s">
        <v>427</v>
      </c>
      <c r="O59" s="472"/>
      <c r="P59" s="472"/>
      <c r="Q59" s="472"/>
      <c r="X59" s="437"/>
      <c r="Y59" s="445"/>
      <c r="Z59" s="445"/>
    </row>
    <row r="60" spans="1:26" ht="22.5" customHeight="1" x14ac:dyDescent="0.25">
      <c r="A60" s="441"/>
      <c r="B60" s="441">
        <v>5730</v>
      </c>
      <c r="C60" s="439" t="s">
        <v>166</v>
      </c>
      <c r="D60" s="468">
        <f>U54</f>
        <v>1985419.8150857531</v>
      </c>
      <c r="E60" s="468">
        <f>V54</f>
        <v>861487.49819009996</v>
      </c>
      <c r="F60" s="441"/>
      <c r="G60" s="441">
        <v>3094</v>
      </c>
      <c r="H60" s="441">
        <v>573000111</v>
      </c>
      <c r="I60" s="441"/>
      <c r="J60" s="441">
        <v>11</v>
      </c>
      <c r="K60" s="442">
        <f>VLOOKUP(B60,'Utfördelat tom maj'!$A$3:$G$28,7,FALSE)</f>
        <v>1854500.6540972206</v>
      </c>
      <c r="L60" s="440">
        <f>(D60+E60-K60)/7</f>
        <v>141772.3798826618</v>
      </c>
      <c r="M60" s="441" t="s">
        <v>805</v>
      </c>
      <c r="N60" s="441" t="s">
        <v>427</v>
      </c>
      <c r="O60" s="444"/>
      <c r="P60" s="444"/>
      <c r="Q60" s="444"/>
      <c r="X60" s="437"/>
      <c r="Y60" s="445"/>
      <c r="Z60" s="445"/>
    </row>
    <row r="61" spans="1:26" ht="22.5" customHeight="1" x14ac:dyDescent="0.25">
      <c r="A61" s="441"/>
      <c r="B61" s="441"/>
      <c r="C61" s="439"/>
      <c r="F61" s="441"/>
      <c r="G61" s="441">
        <v>3094</v>
      </c>
      <c r="H61" s="441">
        <v>600011100</v>
      </c>
      <c r="I61" s="441"/>
      <c r="J61" s="441">
        <v>11</v>
      </c>
      <c r="K61" s="442"/>
      <c r="L61" s="468">
        <f>L60</f>
        <v>141772.3798826618</v>
      </c>
      <c r="M61" s="441" t="s">
        <v>806</v>
      </c>
      <c r="N61" s="441" t="s">
        <v>427</v>
      </c>
      <c r="O61" s="444"/>
      <c r="P61" s="444"/>
      <c r="Q61" s="444"/>
      <c r="X61" s="437"/>
      <c r="Z61" s="445"/>
    </row>
    <row r="62" spans="1:26" ht="22.5" customHeight="1" x14ac:dyDescent="0.25">
      <c r="B62" s="441">
        <v>5740</v>
      </c>
      <c r="C62" s="439" t="s">
        <v>461</v>
      </c>
      <c r="D62" s="468">
        <f>U55</f>
        <v>12074488.950978162</v>
      </c>
      <c r="E62" s="468">
        <f>V55</f>
        <v>3549804.8760160599</v>
      </c>
      <c r="F62" s="441"/>
      <c r="G62" s="441">
        <v>3094</v>
      </c>
      <c r="H62" s="446">
        <v>574002011</v>
      </c>
      <c r="I62" s="441"/>
      <c r="J62" s="441">
        <v>11</v>
      </c>
      <c r="K62" s="442">
        <f>VLOOKUP(B62,'Utfördelat tom maj'!$A$3:$G$28,7,FALSE)</f>
        <v>6443447.8821732635</v>
      </c>
      <c r="L62" s="440">
        <f>(D62+E62-K62)/7</f>
        <v>1311549.4206887085</v>
      </c>
      <c r="M62" s="441" t="s">
        <v>805</v>
      </c>
      <c r="N62" s="441" t="s">
        <v>427</v>
      </c>
      <c r="O62" s="472"/>
      <c r="P62" s="472"/>
      <c r="Q62" s="472"/>
      <c r="X62" s="437"/>
      <c r="Z62" s="445"/>
    </row>
    <row r="63" spans="1:26" ht="22.5" customHeight="1" x14ac:dyDescent="0.25">
      <c r="B63" s="441"/>
      <c r="C63" s="438"/>
      <c r="D63" s="441"/>
      <c r="E63" s="441"/>
      <c r="F63" s="441"/>
      <c r="G63" s="441">
        <v>3094</v>
      </c>
      <c r="H63" s="441">
        <v>600011100</v>
      </c>
      <c r="I63" s="441"/>
      <c r="J63" s="441">
        <v>11</v>
      </c>
      <c r="K63" s="442"/>
      <c r="L63" s="468">
        <f>L62</f>
        <v>1311549.4206887085</v>
      </c>
      <c r="M63" s="441" t="s">
        <v>806</v>
      </c>
      <c r="N63" s="441" t="s">
        <v>427</v>
      </c>
      <c r="O63" s="444"/>
      <c r="P63" s="444"/>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90769463.46267134</v>
      </c>
      <c r="E66" s="442">
        <f>SUM(E6:E36,E42:E62)</f>
        <v>22558372.227745555</v>
      </c>
      <c r="L66" s="442"/>
      <c r="X66" s="437"/>
      <c r="Z66" s="445"/>
    </row>
    <row r="67" spans="3:26" x14ac:dyDescent="0.25">
      <c r="I67" s="496" t="s">
        <v>469</v>
      </c>
      <c r="J67" s="497"/>
      <c r="K67" s="497"/>
      <c r="L67" s="497"/>
      <c r="M67" s="497"/>
      <c r="N67" s="498"/>
      <c r="Z67" s="445"/>
    </row>
    <row r="68" spans="3:26" x14ac:dyDescent="0.25">
      <c r="I68" s="477"/>
      <c r="J68" s="473"/>
      <c r="K68" s="473"/>
      <c r="L68" s="473"/>
      <c r="M68" s="473"/>
      <c r="N68" s="478"/>
    </row>
    <row r="69" spans="3:26" x14ac:dyDescent="0.25">
      <c r="I69" s="479" t="s">
        <v>562</v>
      </c>
      <c r="J69" s="480"/>
      <c r="K69" s="480"/>
      <c r="L69" s="480"/>
      <c r="M69" s="480"/>
      <c r="N69" s="427"/>
    </row>
    <row r="70" spans="3:26" x14ac:dyDescent="0.25">
      <c r="C70" s="443"/>
      <c r="D70" s="444"/>
      <c r="E70" s="444"/>
    </row>
    <row r="71" spans="3:26" x14ac:dyDescent="0.25">
      <c r="I71" s="499" t="s">
        <v>422</v>
      </c>
      <c r="J71" s="497"/>
      <c r="K71" s="497"/>
      <c r="L71" s="497"/>
      <c r="M71" s="497"/>
      <c r="N71" s="498"/>
    </row>
    <row r="72" spans="3:26" x14ac:dyDescent="0.25">
      <c r="I72" s="477"/>
      <c r="J72" s="473"/>
      <c r="K72" s="473"/>
      <c r="L72" s="473"/>
      <c r="M72" s="473"/>
      <c r="N72" s="478"/>
    </row>
    <row r="73" spans="3:26" x14ac:dyDescent="0.25">
      <c r="I73" s="479" t="s">
        <v>1695</v>
      </c>
      <c r="J73" s="480"/>
      <c r="K73" s="480"/>
      <c r="L73" s="480"/>
      <c r="M73" s="480"/>
      <c r="N73" s="427"/>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E29" sqref="E29"/>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6.1406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427"/>
      <c r="O1" s="319"/>
      <c r="P1" s="319"/>
      <c r="Q1" s="319"/>
    </row>
    <row r="2" spans="1:26" ht="27.75" customHeight="1" x14ac:dyDescent="0.3">
      <c r="C2" s="428" t="s">
        <v>2185</v>
      </c>
      <c r="D2" s="320"/>
      <c r="L2" s="426" t="s">
        <v>421</v>
      </c>
      <c r="M2" s="426"/>
      <c r="N2" s="427"/>
      <c r="O2" s="319"/>
      <c r="P2" s="319"/>
      <c r="Q2" s="319"/>
    </row>
    <row r="3" spans="1:26" ht="27.75" customHeight="1" x14ac:dyDescent="0.25">
      <c r="A3" s="319"/>
      <c r="B3" s="319"/>
      <c r="O3" s="590"/>
      <c r="P3" s="591"/>
      <c r="Q3" s="591"/>
      <c r="R3" s="591"/>
      <c r="S3" s="591"/>
      <c r="T3" s="591"/>
    </row>
    <row r="4" spans="1:26" ht="51.75" customHeight="1" x14ac:dyDescent="0.25">
      <c r="A4" s="430" t="s">
        <v>71</v>
      </c>
      <c r="B4" s="430" t="s">
        <v>804</v>
      </c>
      <c r="C4" s="430" t="s">
        <v>35</v>
      </c>
      <c r="D4" s="431" t="s">
        <v>2186</v>
      </c>
      <c r="E4" s="431" t="s">
        <v>2187</v>
      </c>
      <c r="G4" s="432" t="s">
        <v>423</v>
      </c>
      <c r="H4" s="432" t="s">
        <v>424</v>
      </c>
      <c r="I4" s="432"/>
      <c r="J4" s="432" t="s">
        <v>425</v>
      </c>
      <c r="K4" s="433" t="s">
        <v>1076</v>
      </c>
      <c r="L4" s="433" t="s">
        <v>2188</v>
      </c>
      <c r="M4" s="432" t="s">
        <v>428</v>
      </c>
      <c r="N4" s="432" t="s">
        <v>426</v>
      </c>
      <c r="O4" s="434"/>
      <c r="P4" s="435"/>
      <c r="Q4" s="435"/>
      <c r="T4" s="436" t="s">
        <v>462</v>
      </c>
    </row>
    <row r="5" spans="1:26" ht="22.5" customHeight="1" x14ac:dyDescent="0.25">
      <c r="O5" s="319"/>
      <c r="P5" s="319"/>
      <c r="Q5" s="319"/>
      <c r="T5" s="317">
        <v>2020</v>
      </c>
      <c r="U5" s="317" t="s">
        <v>375</v>
      </c>
      <c r="V5" s="317" t="s">
        <v>149</v>
      </c>
      <c r="X5" s="437"/>
    </row>
    <row r="6" spans="1:26" ht="22.5" customHeight="1" x14ac:dyDescent="0.25">
      <c r="A6" s="438" t="s">
        <v>410</v>
      </c>
      <c r="B6" s="438">
        <v>1620</v>
      </c>
      <c r="C6" s="439" t="s">
        <v>176</v>
      </c>
      <c r="D6" s="440">
        <f>U6</f>
        <v>11004501.632135626</v>
      </c>
      <c r="E6" s="440">
        <f>V6</f>
        <v>1832518.9583333333</v>
      </c>
      <c r="F6" s="441"/>
      <c r="G6" s="441">
        <v>3094</v>
      </c>
      <c r="H6" s="441">
        <v>162000100</v>
      </c>
      <c r="I6" s="441"/>
      <c r="J6" s="441">
        <v>11</v>
      </c>
      <c r="K6" s="442"/>
      <c r="L6" s="440">
        <f>(D6+E6-K6)/12</f>
        <v>1069751.7158724132</v>
      </c>
      <c r="M6" s="441" t="s">
        <v>805</v>
      </c>
      <c r="N6" s="441" t="s">
        <v>427</v>
      </c>
      <c r="O6" s="436"/>
      <c r="P6" s="443"/>
      <c r="Q6" s="444"/>
      <c r="S6" s="436">
        <v>1620</v>
      </c>
      <c r="T6" s="443" t="s">
        <v>176</v>
      </c>
      <c r="U6" s="445">
        <v>11004501.632135626</v>
      </c>
      <c r="V6" s="445">
        <v>1832518.9583333333</v>
      </c>
      <c r="X6" s="445"/>
      <c r="Y6" s="445"/>
      <c r="Z6" s="445"/>
    </row>
    <row r="7" spans="1:26" ht="22.5" customHeight="1" x14ac:dyDescent="0.25">
      <c r="A7" s="441"/>
      <c r="B7" s="441"/>
      <c r="C7" s="438"/>
      <c r="D7" s="441"/>
      <c r="E7" s="441"/>
      <c r="F7" s="441"/>
      <c r="G7" s="441">
        <v>3094</v>
      </c>
      <c r="H7" s="441">
        <v>600011100</v>
      </c>
      <c r="I7" s="441"/>
      <c r="J7" s="441">
        <v>11</v>
      </c>
      <c r="K7" s="442"/>
      <c r="L7" s="440">
        <f>L6</f>
        <v>1069751.7158724132</v>
      </c>
      <c r="M7" s="441" t="s">
        <v>806</v>
      </c>
      <c r="N7" s="441" t="s">
        <v>427</v>
      </c>
      <c r="O7" s="319"/>
      <c r="P7" s="443"/>
      <c r="Q7" s="444"/>
      <c r="S7" s="319">
        <v>1630</v>
      </c>
      <c r="T7" s="443" t="s">
        <v>172</v>
      </c>
      <c r="U7" s="445">
        <v>7031696.5529000033</v>
      </c>
      <c r="V7" s="445">
        <v>912264.16666666674</v>
      </c>
      <c r="X7" s="445"/>
      <c r="Y7" s="445"/>
      <c r="Z7" s="445"/>
    </row>
    <row r="8" spans="1:26" ht="22.5" customHeight="1" x14ac:dyDescent="0.25">
      <c r="A8" s="441"/>
      <c r="B8" s="441">
        <v>1630</v>
      </c>
      <c r="C8" s="439" t="s">
        <v>172</v>
      </c>
      <c r="D8" s="440">
        <f>U7</f>
        <v>7031696.5529000033</v>
      </c>
      <c r="E8" s="440">
        <f>V7</f>
        <v>912264.16666666674</v>
      </c>
      <c r="F8" s="441"/>
      <c r="G8" s="441">
        <v>3094</v>
      </c>
      <c r="H8" s="446">
        <v>163000100</v>
      </c>
      <c r="I8" s="441"/>
      <c r="J8" s="441">
        <v>11</v>
      </c>
      <c r="K8" s="442"/>
      <c r="L8" s="440">
        <f>(D8+E8-K8)/12</f>
        <v>661996.72663055582</v>
      </c>
      <c r="M8" s="441" t="s">
        <v>805</v>
      </c>
      <c r="N8" s="441" t="s">
        <v>427</v>
      </c>
      <c r="O8" s="319"/>
      <c r="P8" s="443"/>
      <c r="Q8" s="444"/>
      <c r="S8" s="319">
        <v>1640</v>
      </c>
      <c r="T8" s="443" t="s">
        <v>173</v>
      </c>
      <c r="U8" s="445">
        <v>1828595.5083187502</v>
      </c>
      <c r="V8" s="445">
        <v>269900.41666666669</v>
      </c>
      <c r="X8" s="445"/>
      <c r="Y8" s="445"/>
      <c r="Z8" s="445"/>
    </row>
    <row r="9" spans="1:26" ht="22.5" customHeight="1" x14ac:dyDescent="0.25">
      <c r="A9" s="441"/>
      <c r="B9" s="441"/>
      <c r="C9" s="438"/>
      <c r="D9" s="441"/>
      <c r="E9" s="441"/>
      <c r="F9" s="441"/>
      <c r="G9" s="441">
        <v>3094</v>
      </c>
      <c r="H9" s="441">
        <v>600011100</v>
      </c>
      <c r="I9" s="441"/>
      <c r="J9" s="441">
        <v>11</v>
      </c>
      <c r="K9" s="442"/>
      <c r="L9" s="440">
        <f>L8</f>
        <v>661996.72663055582</v>
      </c>
      <c r="M9" s="441" t="s">
        <v>806</v>
      </c>
      <c r="N9" s="441" t="s">
        <v>427</v>
      </c>
      <c r="O9" s="321"/>
      <c r="P9" s="443"/>
      <c r="Q9" s="444"/>
      <c r="S9" s="447">
        <v>1650</v>
      </c>
      <c r="T9" s="448" t="s">
        <v>11</v>
      </c>
      <c r="U9" s="449">
        <v>14485343.992896045</v>
      </c>
      <c r="V9" s="449">
        <v>8292998.5416666679</v>
      </c>
      <c r="X9" s="445"/>
      <c r="Y9" s="445"/>
      <c r="Z9" s="445"/>
    </row>
    <row r="10" spans="1:26" ht="22.5" customHeight="1" x14ac:dyDescent="0.25">
      <c r="A10" s="441"/>
      <c r="B10" s="441">
        <v>1640</v>
      </c>
      <c r="C10" s="450" t="s">
        <v>173</v>
      </c>
      <c r="D10" s="440">
        <f>U8</f>
        <v>1828595.5083187502</v>
      </c>
      <c r="E10" s="440">
        <f>V8</f>
        <v>269900.41666666669</v>
      </c>
      <c r="F10" s="441"/>
      <c r="G10" s="441">
        <v>3094</v>
      </c>
      <c r="H10" s="441">
        <v>164016100</v>
      </c>
      <c r="I10" s="441"/>
      <c r="J10" s="441">
        <v>11</v>
      </c>
      <c r="K10" s="442"/>
      <c r="L10" s="440">
        <f>(D10+E10-K10)/12</f>
        <v>174874.66041545139</v>
      </c>
      <c r="M10" s="441" t="s">
        <v>805</v>
      </c>
      <c r="N10" s="441" t="s">
        <v>427</v>
      </c>
      <c r="O10" s="444"/>
      <c r="P10" s="444"/>
      <c r="Q10" s="444"/>
      <c r="T10" s="425" t="s">
        <v>466</v>
      </c>
      <c r="U10" s="451">
        <v>-1236393.8124999998</v>
      </c>
      <c r="V10" s="451">
        <v>-1743225</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174874.66041545139</v>
      </c>
      <c r="M11" s="441" t="s">
        <v>806</v>
      </c>
      <c r="N11" s="441" t="s">
        <v>427</v>
      </c>
      <c r="O11" s="444"/>
      <c r="P11" s="444"/>
      <c r="Q11" s="444"/>
      <c r="U11" s="445"/>
      <c r="V11" s="445"/>
      <c r="X11" s="437"/>
      <c r="Y11" s="445"/>
      <c r="Z11" s="445"/>
    </row>
    <row r="12" spans="1:26" ht="22.5" customHeight="1" x14ac:dyDescent="0.25">
      <c r="A12" s="441"/>
      <c r="B12" s="446">
        <v>1650</v>
      </c>
      <c r="C12" s="450" t="s">
        <v>11</v>
      </c>
      <c r="D12" s="453">
        <f>U9+U10</f>
        <v>13248950.180396045</v>
      </c>
      <c r="E12" s="453">
        <f>V9+V10</f>
        <v>6549773.5416666679</v>
      </c>
      <c r="F12" s="446"/>
      <c r="G12" s="446">
        <v>3094</v>
      </c>
      <c r="H12" s="446">
        <v>165000001</v>
      </c>
      <c r="I12" s="446"/>
      <c r="J12" s="446">
        <v>11</v>
      </c>
      <c r="K12" s="442"/>
      <c r="L12" s="440">
        <f>(D12+E12-K12)/12</f>
        <v>1649893.6435052261</v>
      </c>
      <c r="M12" s="446" t="s">
        <v>805</v>
      </c>
      <c r="N12" s="446" t="s">
        <v>427</v>
      </c>
      <c r="O12" s="444"/>
      <c r="P12" s="444"/>
      <c r="Q12" s="444"/>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1649893.6435052261</v>
      </c>
      <c r="M13" s="446" t="s">
        <v>806</v>
      </c>
      <c r="N13" s="446" t="s">
        <v>427</v>
      </c>
      <c r="O13" s="444"/>
      <c r="P13" s="444"/>
      <c r="Q13" s="444"/>
      <c r="X13" s="437"/>
    </row>
    <row r="14" spans="1:26" ht="22.5" customHeight="1" x14ac:dyDescent="0.25">
      <c r="A14" s="454"/>
      <c r="B14" s="454"/>
      <c r="C14" s="454"/>
      <c r="D14" s="454"/>
      <c r="E14" s="454"/>
      <c r="F14" s="454"/>
      <c r="G14" s="454"/>
      <c r="H14" s="454"/>
      <c r="I14" s="454"/>
      <c r="J14" s="454"/>
      <c r="K14" s="455"/>
      <c r="L14" s="456"/>
      <c r="M14" s="454"/>
      <c r="N14" s="454"/>
      <c r="O14" s="444"/>
      <c r="P14" s="444"/>
      <c r="Q14" s="444"/>
      <c r="X14" s="437"/>
    </row>
    <row r="15" spans="1:26" ht="22.5" customHeight="1" x14ac:dyDescent="0.25">
      <c r="A15" s="438"/>
      <c r="K15" s="442"/>
      <c r="O15" s="444"/>
      <c r="P15" s="444"/>
      <c r="Q15" s="444"/>
      <c r="T15" s="317">
        <v>2020</v>
      </c>
      <c r="U15" s="317" t="s">
        <v>375</v>
      </c>
      <c r="V15" s="317" t="s">
        <v>149</v>
      </c>
      <c r="X15" s="437"/>
    </row>
    <row r="16" spans="1:26" ht="22.5" customHeight="1" x14ac:dyDescent="0.25">
      <c r="A16" s="441" t="s">
        <v>411</v>
      </c>
      <c r="B16" s="441">
        <v>2180</v>
      </c>
      <c r="C16" s="439" t="s">
        <v>192</v>
      </c>
      <c r="D16" s="440">
        <f>U16</f>
        <v>16207245.554415828</v>
      </c>
      <c r="E16" s="457">
        <f>V16</f>
        <v>3243188.7833333332</v>
      </c>
      <c r="F16" s="441"/>
      <c r="G16" s="441">
        <v>3094</v>
      </c>
      <c r="H16" s="446">
        <v>218000101</v>
      </c>
      <c r="I16" s="441"/>
      <c r="J16" s="441">
        <v>11</v>
      </c>
      <c r="K16" s="442"/>
      <c r="L16" s="440">
        <f>(D16-K16)/12</f>
        <v>1350603.796201319</v>
      </c>
      <c r="M16" s="441" t="s">
        <v>805</v>
      </c>
      <c r="N16" s="441" t="s">
        <v>464</v>
      </c>
      <c r="O16" s="319"/>
      <c r="P16" s="444"/>
      <c r="Q16" s="458"/>
      <c r="S16" s="319">
        <v>2180</v>
      </c>
      <c r="T16" s="443" t="s">
        <v>192</v>
      </c>
      <c r="U16" s="445">
        <v>16207245.554415828</v>
      </c>
      <c r="V16" s="445">
        <v>3243188.7833333332</v>
      </c>
      <c r="X16" s="445"/>
    </row>
    <row r="17" spans="1:26" ht="22.5" customHeight="1" x14ac:dyDescent="0.25">
      <c r="B17" s="441"/>
      <c r="C17" s="450"/>
      <c r="D17" s="440"/>
      <c r="E17" s="457"/>
      <c r="F17" s="441"/>
      <c r="G17" s="441">
        <v>3094</v>
      </c>
      <c r="H17" s="441">
        <v>600011100</v>
      </c>
      <c r="I17" s="441"/>
      <c r="J17" s="441">
        <v>11</v>
      </c>
      <c r="K17" s="442"/>
      <c r="L17" s="440">
        <f>L16</f>
        <v>1350603.796201319</v>
      </c>
      <c r="M17" s="441" t="s">
        <v>806</v>
      </c>
      <c r="N17" s="441" t="s">
        <v>464</v>
      </c>
      <c r="O17" s="319"/>
      <c r="P17" s="444"/>
      <c r="S17" s="319">
        <v>2193</v>
      </c>
      <c r="T17" s="443" t="s">
        <v>1102</v>
      </c>
      <c r="U17" s="445">
        <v>19549703.020537507</v>
      </c>
      <c r="V17" s="445">
        <v>2886515.833333334</v>
      </c>
      <c r="X17" s="445"/>
      <c r="Y17" s="445"/>
      <c r="Z17" s="445"/>
    </row>
    <row r="18" spans="1:26" ht="22.5" customHeight="1" x14ac:dyDescent="0.25">
      <c r="B18" s="441">
        <v>2193</v>
      </c>
      <c r="C18" s="439" t="s">
        <v>441</v>
      </c>
      <c r="D18" s="440">
        <f>U17</f>
        <v>19549703.020537507</v>
      </c>
      <c r="E18" s="457">
        <f>V17</f>
        <v>2886515.833333334</v>
      </c>
      <c r="F18" s="441"/>
      <c r="G18" s="441">
        <v>3094</v>
      </c>
      <c r="H18" s="441">
        <v>219300001</v>
      </c>
      <c r="I18" s="441"/>
      <c r="J18" s="441">
        <v>11</v>
      </c>
      <c r="K18" s="442"/>
      <c r="L18" s="440">
        <f>(D18-K18)/12</f>
        <v>1629141.9183781256</v>
      </c>
      <c r="M18" s="441" t="s">
        <v>805</v>
      </c>
      <c r="N18" s="441" t="s">
        <v>464</v>
      </c>
      <c r="O18" s="319"/>
      <c r="P18" s="444"/>
      <c r="Q18" s="458"/>
      <c r="S18" s="319">
        <v>2200</v>
      </c>
      <c r="T18" s="443" t="s">
        <v>194</v>
      </c>
      <c r="U18" s="445">
        <v>1852678.3101049999</v>
      </c>
      <c r="V18" s="445">
        <v>258252.83333333337</v>
      </c>
      <c r="X18" s="445"/>
      <c r="Y18" s="445"/>
      <c r="Z18" s="445"/>
    </row>
    <row r="19" spans="1:26" ht="22.5" customHeight="1" x14ac:dyDescent="0.25">
      <c r="B19" s="441"/>
      <c r="C19" s="438"/>
      <c r="D19" s="441"/>
      <c r="E19" s="459"/>
      <c r="F19" s="441"/>
      <c r="G19" s="441">
        <v>3094</v>
      </c>
      <c r="H19" s="441">
        <v>600011100</v>
      </c>
      <c r="I19" s="441"/>
      <c r="J19" s="441">
        <v>11</v>
      </c>
      <c r="K19" s="442"/>
      <c r="L19" s="440">
        <f>L18</f>
        <v>1629141.9183781256</v>
      </c>
      <c r="M19" s="441" t="s">
        <v>806</v>
      </c>
      <c r="N19" s="441" t="s">
        <v>464</v>
      </c>
      <c r="O19" s="321"/>
      <c r="P19" s="444"/>
      <c r="Q19" s="458"/>
      <c r="S19" s="321">
        <v>2220</v>
      </c>
      <c r="T19" s="443" t="s">
        <v>195</v>
      </c>
      <c r="U19" s="445">
        <v>164524.4865</v>
      </c>
      <c r="V19" s="445">
        <v>31860.000000000004</v>
      </c>
      <c r="X19" s="445"/>
      <c r="Y19" s="445"/>
      <c r="Z19" s="445"/>
    </row>
    <row r="20" spans="1:26" ht="22.5" customHeight="1" x14ac:dyDescent="0.25">
      <c r="A20" s="441"/>
      <c r="B20" s="441">
        <v>2200</v>
      </c>
      <c r="C20" s="439" t="s">
        <v>571</v>
      </c>
      <c r="D20" s="440">
        <f>U18</f>
        <v>1852678.3101049999</v>
      </c>
      <c r="E20" s="457">
        <f>V18</f>
        <v>258252.83333333337</v>
      </c>
      <c r="F20" s="441"/>
      <c r="G20" s="441">
        <v>3094</v>
      </c>
      <c r="H20" s="441">
        <v>220000100</v>
      </c>
      <c r="I20" s="441"/>
      <c r="J20" s="441">
        <v>11</v>
      </c>
      <c r="K20" s="442"/>
      <c r="L20" s="440">
        <f>(D20-K20)/12</f>
        <v>154389.85917541667</v>
      </c>
      <c r="M20" s="441" t="s">
        <v>805</v>
      </c>
      <c r="N20" s="441" t="s">
        <v>464</v>
      </c>
      <c r="O20" s="319"/>
      <c r="P20" s="444"/>
      <c r="Q20" s="458"/>
      <c r="S20" s="319">
        <v>2271</v>
      </c>
      <c r="T20" s="443" t="s">
        <v>1356</v>
      </c>
      <c r="U20" s="445">
        <v>348382.7296125</v>
      </c>
      <c r="V20" s="445">
        <v>65077</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154389.85917541667</v>
      </c>
      <c r="M21" s="441" t="s">
        <v>806</v>
      </c>
      <c r="N21" s="441" t="s">
        <v>464</v>
      </c>
      <c r="O21" s="460"/>
      <c r="P21" s="444"/>
      <c r="Q21" s="458"/>
      <c r="S21" s="460">
        <v>2272</v>
      </c>
      <c r="T21" s="443" t="s">
        <v>200</v>
      </c>
      <c r="U21" s="445">
        <v>437583.23729999992</v>
      </c>
      <c r="V21" s="445">
        <v>54624.166666666672</v>
      </c>
      <c r="X21" s="445"/>
      <c r="Y21" s="445"/>
      <c r="Z21" s="445"/>
    </row>
    <row r="22" spans="1:26" ht="22.5" customHeight="1" x14ac:dyDescent="0.25">
      <c r="A22" s="441"/>
      <c r="B22" s="441">
        <v>2220</v>
      </c>
      <c r="C22" s="439" t="s">
        <v>195</v>
      </c>
      <c r="D22" s="440">
        <f>U19</f>
        <v>164524.4865</v>
      </c>
      <c r="E22" s="457">
        <f>V19</f>
        <v>31860.000000000004</v>
      </c>
      <c r="F22" s="441"/>
      <c r="G22" s="441">
        <v>3094</v>
      </c>
      <c r="H22" s="441">
        <v>222000100</v>
      </c>
      <c r="I22" s="441"/>
      <c r="J22" s="441">
        <v>11</v>
      </c>
      <c r="K22" s="442"/>
      <c r="L22" s="440">
        <f>(D22-K22)/12</f>
        <v>13710.373874999999</v>
      </c>
      <c r="M22" s="441" t="s">
        <v>805</v>
      </c>
      <c r="N22" s="441" t="s">
        <v>464</v>
      </c>
      <c r="O22" s="321"/>
      <c r="P22" s="444"/>
      <c r="Q22" s="458"/>
      <c r="S22" s="321">
        <v>2300</v>
      </c>
      <c r="T22" s="443" t="s">
        <v>197</v>
      </c>
      <c r="U22" s="445">
        <v>756219.45600000001</v>
      </c>
      <c r="V22" s="445">
        <v>94400</v>
      </c>
      <c r="X22" s="445"/>
      <c r="Y22" s="445"/>
      <c r="Z22" s="445"/>
    </row>
    <row r="23" spans="1:26" ht="22.5" customHeight="1" x14ac:dyDescent="0.25">
      <c r="A23" s="441"/>
      <c r="B23" s="441"/>
      <c r="C23" s="450"/>
      <c r="F23" s="441"/>
      <c r="G23" s="441">
        <v>3094</v>
      </c>
      <c r="H23" s="441">
        <v>600011100</v>
      </c>
      <c r="I23" s="441"/>
      <c r="J23" s="441">
        <v>11</v>
      </c>
      <c r="K23" s="442"/>
      <c r="L23" s="440">
        <f>L22</f>
        <v>13710.373874999999</v>
      </c>
      <c r="M23" s="441" t="s">
        <v>806</v>
      </c>
      <c r="N23" s="441" t="s">
        <v>464</v>
      </c>
      <c r="O23" s="319"/>
      <c r="P23" s="444"/>
      <c r="Q23" s="458"/>
      <c r="S23" s="319">
        <v>2340</v>
      </c>
      <c r="T23" s="443" t="s">
        <v>198</v>
      </c>
      <c r="U23" s="445">
        <v>2137957.058424999</v>
      </c>
      <c r="V23" s="445">
        <v>358769.16666666669</v>
      </c>
      <c r="X23" s="445"/>
      <c r="Y23" s="445"/>
      <c r="Z23" s="445"/>
    </row>
    <row r="24" spans="1:26" ht="22.5" customHeight="1" x14ac:dyDescent="0.25">
      <c r="B24" s="441">
        <v>2271</v>
      </c>
      <c r="C24" s="450" t="s">
        <v>1356</v>
      </c>
      <c r="D24" s="440">
        <f>U20</f>
        <v>348382.7296125</v>
      </c>
      <c r="E24" s="457">
        <f>V20</f>
        <v>65077</v>
      </c>
      <c r="G24" s="446">
        <v>3094</v>
      </c>
      <c r="H24" s="446">
        <v>227100100</v>
      </c>
      <c r="J24" s="441">
        <v>11</v>
      </c>
      <c r="K24" s="442"/>
      <c r="L24" s="440">
        <f>(D24-K24)/12</f>
        <v>29031.894134375001</v>
      </c>
      <c r="M24" s="441" t="s">
        <v>805</v>
      </c>
      <c r="N24" s="441" t="s">
        <v>464</v>
      </c>
      <c r="O24" s="460"/>
      <c r="P24" s="444"/>
      <c r="Q24" s="458"/>
      <c r="S24" s="460">
        <v>2360</v>
      </c>
      <c r="T24" s="443" t="s">
        <v>199</v>
      </c>
      <c r="U24" s="445">
        <v>242773.78207500002</v>
      </c>
      <c r="V24" s="445">
        <v>83293</v>
      </c>
      <c r="X24" s="445"/>
      <c r="Y24" s="445"/>
      <c r="Z24" s="445"/>
    </row>
    <row r="25" spans="1:26" ht="22.5" customHeight="1" x14ac:dyDescent="0.25">
      <c r="G25" s="446">
        <v>3094</v>
      </c>
      <c r="H25" s="446">
        <v>600011100</v>
      </c>
      <c r="J25" s="441">
        <v>11</v>
      </c>
      <c r="K25" s="442"/>
      <c r="L25" s="440">
        <f>L24</f>
        <v>29031.894134375001</v>
      </c>
      <c r="M25" s="441" t="s">
        <v>806</v>
      </c>
      <c r="N25" s="441" t="s">
        <v>464</v>
      </c>
      <c r="O25" s="460"/>
      <c r="P25" s="444"/>
      <c r="Q25" s="458"/>
      <c r="S25" s="460">
        <v>2500</v>
      </c>
      <c r="T25" s="443" t="s">
        <v>2018</v>
      </c>
      <c r="U25" s="445">
        <v>480481.03500000003</v>
      </c>
      <c r="V25" s="445">
        <v>119625</v>
      </c>
      <c r="X25" s="445"/>
      <c r="Y25" s="445"/>
      <c r="Z25" s="445"/>
    </row>
    <row r="26" spans="1:26" ht="22.5" customHeight="1" x14ac:dyDescent="0.25">
      <c r="A26" s="441"/>
      <c r="B26" s="441">
        <v>2272</v>
      </c>
      <c r="C26" s="439" t="s">
        <v>200</v>
      </c>
      <c r="D26" s="440">
        <f>U21</f>
        <v>437583.23729999992</v>
      </c>
      <c r="E26" s="457">
        <f>V21</f>
        <v>54624.166666666672</v>
      </c>
      <c r="F26" s="441"/>
      <c r="G26" s="441">
        <v>3094</v>
      </c>
      <c r="H26" s="446">
        <v>227200100</v>
      </c>
      <c r="I26" s="441"/>
      <c r="J26" s="441">
        <v>11</v>
      </c>
      <c r="K26" s="442"/>
      <c r="L26" s="440">
        <f>(D26-K26)/12</f>
        <v>36465.269774999993</v>
      </c>
      <c r="M26" s="441" t="s">
        <v>805</v>
      </c>
      <c r="N26" s="441" t="s">
        <v>464</v>
      </c>
      <c r="O26" s="460"/>
      <c r="P26" s="444"/>
      <c r="Q26" s="458"/>
      <c r="S26" s="494">
        <v>2650</v>
      </c>
      <c r="T26" s="443" t="s">
        <v>2145</v>
      </c>
      <c r="U26" s="445">
        <v>2442825.3918499998</v>
      </c>
      <c r="V26" s="445">
        <v>983320</v>
      </c>
      <c r="X26" s="445"/>
      <c r="Y26" s="445"/>
      <c r="Z26" s="445"/>
    </row>
    <row r="27" spans="1:26" ht="22.5" customHeight="1" x14ac:dyDescent="0.25">
      <c r="A27" s="441"/>
      <c r="G27" s="441">
        <v>3094</v>
      </c>
      <c r="H27" s="441">
        <v>600011100</v>
      </c>
      <c r="J27" s="441">
        <v>11</v>
      </c>
      <c r="K27" s="442"/>
      <c r="L27" s="440">
        <f>L26</f>
        <v>36465.269774999993</v>
      </c>
      <c r="M27" s="441" t="s">
        <v>806</v>
      </c>
      <c r="N27" s="441" t="s">
        <v>464</v>
      </c>
      <c r="O27" s="444"/>
      <c r="P27" s="444"/>
      <c r="Q27" s="458"/>
      <c r="U27" s="445"/>
      <c r="V27" s="445"/>
      <c r="X27" s="437"/>
      <c r="Y27" s="445"/>
      <c r="Z27" s="445"/>
    </row>
    <row r="28" spans="1:26" ht="22.5" customHeight="1" x14ac:dyDescent="0.25">
      <c r="B28" s="441">
        <v>2300</v>
      </c>
      <c r="C28" s="439" t="s">
        <v>899</v>
      </c>
      <c r="D28" s="440">
        <f>U22</f>
        <v>756219.45600000001</v>
      </c>
      <c r="E28" s="457">
        <f>V22</f>
        <v>94400</v>
      </c>
      <c r="F28" s="441"/>
      <c r="G28" s="441">
        <v>3094</v>
      </c>
      <c r="H28" s="446">
        <v>230000100</v>
      </c>
      <c r="I28" s="441"/>
      <c r="J28" s="441">
        <v>11</v>
      </c>
      <c r="K28" s="442"/>
      <c r="L28" s="440">
        <f>(D28-K28)/12</f>
        <v>63018.288</v>
      </c>
      <c r="M28" s="441" t="s">
        <v>805</v>
      </c>
      <c r="N28" s="441" t="s">
        <v>464</v>
      </c>
      <c r="O28" s="444"/>
      <c r="P28" s="444"/>
      <c r="Q28" s="458"/>
      <c r="X28" s="437"/>
      <c r="Y28" s="445"/>
      <c r="Z28" s="445"/>
    </row>
    <row r="29" spans="1:26" ht="22.5" customHeight="1" x14ac:dyDescent="0.25">
      <c r="G29" s="441">
        <v>3094</v>
      </c>
      <c r="H29" s="441">
        <v>600011100</v>
      </c>
      <c r="J29" s="441">
        <v>11</v>
      </c>
      <c r="K29" s="442"/>
      <c r="L29" s="440">
        <f>L28</f>
        <v>63018.288</v>
      </c>
      <c r="M29" s="441" t="s">
        <v>806</v>
      </c>
      <c r="N29" s="441" t="s">
        <v>464</v>
      </c>
      <c r="O29" s="444"/>
      <c r="P29" s="444"/>
      <c r="Q29" s="458"/>
      <c r="X29" s="437"/>
    </row>
    <row r="30" spans="1:26" ht="22.5" customHeight="1" x14ac:dyDescent="0.25">
      <c r="A30" s="441"/>
      <c r="B30" s="441">
        <v>2340</v>
      </c>
      <c r="C30" s="439" t="s">
        <v>198</v>
      </c>
      <c r="D30" s="453">
        <f>U23</f>
        <v>2137957.058424999</v>
      </c>
      <c r="E30" s="461">
        <f>V23</f>
        <v>358769.16666666669</v>
      </c>
      <c r="F30" s="441"/>
      <c r="G30" s="441">
        <v>3094</v>
      </c>
      <c r="H30" s="441">
        <v>234000100</v>
      </c>
      <c r="I30" s="441"/>
      <c r="J30" s="441">
        <v>11</v>
      </c>
      <c r="K30" s="442"/>
      <c r="L30" s="440">
        <f>(D30-K30)/12</f>
        <v>178163.08820208325</v>
      </c>
      <c r="M30" s="441" t="s">
        <v>805</v>
      </c>
      <c r="N30" s="441" t="s">
        <v>464</v>
      </c>
      <c r="O30" s="444"/>
      <c r="P30" s="444"/>
      <c r="Q30" s="458"/>
      <c r="X30" s="437"/>
    </row>
    <row r="31" spans="1:26" ht="22.5" customHeight="1" x14ac:dyDescent="0.25">
      <c r="A31" s="441"/>
      <c r="B31" s="441"/>
      <c r="C31" s="438"/>
      <c r="D31" s="441"/>
      <c r="E31" s="459"/>
      <c r="F31" s="441"/>
      <c r="G31" s="441">
        <v>3094</v>
      </c>
      <c r="H31" s="441">
        <v>600011100</v>
      </c>
      <c r="I31" s="441"/>
      <c r="J31" s="441">
        <v>11</v>
      </c>
      <c r="K31" s="442"/>
      <c r="L31" s="440">
        <f>L30</f>
        <v>178163.08820208325</v>
      </c>
      <c r="M31" s="441" t="s">
        <v>806</v>
      </c>
      <c r="N31" s="441" t="s">
        <v>464</v>
      </c>
      <c r="O31" s="444"/>
      <c r="P31" s="444"/>
      <c r="Q31" s="458"/>
      <c r="X31" s="437"/>
    </row>
    <row r="32" spans="1:26" ht="22.5" customHeight="1" x14ac:dyDescent="0.25">
      <c r="A32" s="441"/>
      <c r="B32" s="441">
        <v>2360</v>
      </c>
      <c r="C32" s="439" t="s">
        <v>572</v>
      </c>
      <c r="D32" s="440">
        <f>U24</f>
        <v>242773.78207500002</v>
      </c>
      <c r="E32" s="457">
        <f>V24</f>
        <v>83293</v>
      </c>
      <c r="F32" s="441"/>
      <c r="G32" s="446">
        <v>3094</v>
      </c>
      <c r="H32" s="441">
        <v>236000100</v>
      </c>
      <c r="I32" s="441"/>
      <c r="J32" s="441">
        <v>11</v>
      </c>
      <c r="K32" s="442"/>
      <c r="L32" s="440">
        <f>(D32-K32)/12</f>
        <v>20231.148506250003</v>
      </c>
      <c r="M32" s="441" t="s">
        <v>805</v>
      </c>
      <c r="N32" s="441" t="s">
        <v>464</v>
      </c>
      <c r="O32" s="444"/>
      <c r="P32" s="444"/>
      <c r="Q32" s="458"/>
      <c r="S32" s="462"/>
      <c r="T32" s="462"/>
      <c r="U32" s="462"/>
      <c r="X32" s="437"/>
    </row>
    <row r="33" spans="1:26" ht="22.5" customHeight="1" x14ac:dyDescent="0.25">
      <c r="A33" s="441"/>
      <c r="G33" s="446">
        <v>3094</v>
      </c>
      <c r="H33" s="441">
        <v>600011100</v>
      </c>
      <c r="J33" s="441">
        <v>11</v>
      </c>
      <c r="K33" s="442"/>
      <c r="L33" s="440">
        <f>L32</f>
        <v>20231.148506250003</v>
      </c>
      <c r="M33" s="441" t="s">
        <v>806</v>
      </c>
      <c r="N33" s="441" t="s">
        <v>464</v>
      </c>
      <c r="O33" s="444"/>
      <c r="P33" s="444"/>
      <c r="Q33" s="458"/>
      <c r="X33" s="437"/>
    </row>
    <row r="34" spans="1:26" ht="22.5" customHeight="1" x14ac:dyDescent="0.25">
      <c r="A34" s="441"/>
      <c r="B34" s="441">
        <v>2500</v>
      </c>
      <c r="C34" s="439" t="s">
        <v>2018</v>
      </c>
      <c r="D34" s="440">
        <f>U25</f>
        <v>480481.03500000003</v>
      </c>
      <c r="E34" s="457">
        <f>V25</f>
        <v>119625</v>
      </c>
      <c r="F34" s="441"/>
      <c r="G34" s="441">
        <v>3094</v>
      </c>
      <c r="H34" s="441">
        <v>250000010</v>
      </c>
      <c r="I34" s="441"/>
      <c r="J34" s="441">
        <v>11</v>
      </c>
      <c r="K34" s="442"/>
      <c r="L34" s="440">
        <f>(D34-K34)/12</f>
        <v>40040.08625</v>
      </c>
      <c r="M34" s="441" t="s">
        <v>805</v>
      </c>
      <c r="N34" s="441" t="s">
        <v>464</v>
      </c>
      <c r="O34" s="444"/>
      <c r="P34" s="444"/>
      <c r="Q34" s="458"/>
      <c r="X34" s="437"/>
    </row>
    <row r="35" spans="1:26" ht="22.5" customHeight="1" x14ac:dyDescent="0.25">
      <c r="A35" s="441"/>
      <c r="G35" s="441">
        <v>3094</v>
      </c>
      <c r="H35" s="441">
        <v>600011100</v>
      </c>
      <c r="J35" s="441">
        <v>11</v>
      </c>
      <c r="K35" s="442"/>
      <c r="L35" s="440">
        <f>L34</f>
        <v>40040.08625</v>
      </c>
      <c r="M35" s="441" t="s">
        <v>806</v>
      </c>
      <c r="N35" s="441" t="s">
        <v>464</v>
      </c>
      <c r="O35" s="444"/>
      <c r="P35" s="444"/>
      <c r="Q35" s="458"/>
      <c r="X35" s="437"/>
    </row>
    <row r="36" spans="1:26" ht="22.5" customHeight="1" x14ac:dyDescent="0.25">
      <c r="A36" s="495" t="s">
        <v>2148</v>
      </c>
      <c r="B36" s="441">
        <v>2650</v>
      </c>
      <c r="C36" s="439" t="s">
        <v>2147</v>
      </c>
      <c r="D36" s="440">
        <f>U26</f>
        <v>2442825.3918499998</v>
      </c>
      <c r="E36" s="457">
        <f>V26</f>
        <v>983320</v>
      </c>
      <c r="F36" s="441"/>
      <c r="G36" s="441">
        <v>3094</v>
      </c>
      <c r="H36" s="441">
        <v>275000100</v>
      </c>
      <c r="I36" s="441"/>
      <c r="J36" s="441">
        <v>11</v>
      </c>
      <c r="K36" s="442"/>
      <c r="L36" s="440">
        <f>(D36-K36)/12</f>
        <v>203568.78265416666</v>
      </c>
      <c r="M36" s="441" t="s">
        <v>805</v>
      </c>
      <c r="N36" s="441" t="s">
        <v>464</v>
      </c>
      <c r="O36" s="444"/>
      <c r="P36" s="444"/>
      <c r="Q36" s="458"/>
      <c r="X36" s="437"/>
    </row>
    <row r="37" spans="1:26" ht="22.5" customHeight="1" x14ac:dyDescent="0.25">
      <c r="A37" s="441"/>
      <c r="B37" s="441"/>
      <c r="C37" s="438"/>
      <c r="D37" s="441"/>
      <c r="E37" s="459"/>
      <c r="F37" s="441"/>
      <c r="G37" s="441">
        <v>3094</v>
      </c>
      <c r="H37" s="441">
        <v>600011100</v>
      </c>
      <c r="I37" s="441"/>
      <c r="J37" s="441">
        <v>11</v>
      </c>
      <c r="K37" s="442"/>
      <c r="L37" s="440">
        <f>L36</f>
        <v>203568.78265416666</v>
      </c>
      <c r="M37" s="441" t="s">
        <v>806</v>
      </c>
      <c r="N37" s="441" t="s">
        <v>464</v>
      </c>
      <c r="O37" s="444"/>
      <c r="P37" s="444"/>
      <c r="Q37" s="458"/>
      <c r="X37" s="437"/>
    </row>
    <row r="38" spans="1:26" ht="22.5" customHeight="1" x14ac:dyDescent="0.25">
      <c r="A38" s="438"/>
      <c r="B38" s="438">
        <v>2000</v>
      </c>
      <c r="C38" s="450" t="s">
        <v>463</v>
      </c>
      <c r="D38" s="438"/>
      <c r="E38" s="463">
        <f>SUM(E16:E37)</f>
        <v>8178925.7833333341</v>
      </c>
      <c r="F38" s="438"/>
      <c r="G38" s="438">
        <v>3094</v>
      </c>
      <c r="H38" s="438">
        <v>200000001</v>
      </c>
      <c r="I38" s="438"/>
      <c r="J38" s="441">
        <v>11</v>
      </c>
      <c r="K38" s="442"/>
      <c r="L38" s="440">
        <f>(E38-K38)/12</f>
        <v>681577.14861111122</v>
      </c>
      <c r="M38" s="441" t="s">
        <v>805</v>
      </c>
      <c r="N38" s="438" t="s">
        <v>404</v>
      </c>
      <c r="O38" s="444"/>
      <c r="P38" s="444"/>
      <c r="Q38" s="458"/>
      <c r="X38" s="437"/>
    </row>
    <row r="39" spans="1:26" ht="22.5" customHeight="1" x14ac:dyDescent="0.25">
      <c r="G39" s="464">
        <v>3094</v>
      </c>
      <c r="H39" s="441">
        <v>600011100</v>
      </c>
      <c r="J39" s="441">
        <v>11</v>
      </c>
      <c r="K39" s="442"/>
      <c r="L39" s="440">
        <f>L38</f>
        <v>681577.14861111122</v>
      </c>
      <c r="M39" s="441" t="s">
        <v>806</v>
      </c>
      <c r="N39" s="438" t="s">
        <v>404</v>
      </c>
      <c r="O39" s="444"/>
      <c r="P39" s="444"/>
      <c r="Q39" s="444"/>
      <c r="X39" s="437"/>
    </row>
    <row r="40" spans="1:26" ht="22.5" customHeight="1" x14ac:dyDescent="0.25">
      <c r="A40" s="454"/>
      <c r="B40" s="454"/>
      <c r="C40" s="465"/>
      <c r="D40" s="454"/>
      <c r="E40" s="466"/>
      <c r="F40" s="454"/>
      <c r="G40" s="454"/>
      <c r="H40" s="454"/>
      <c r="I40" s="454"/>
      <c r="J40" s="454"/>
      <c r="K40" s="455"/>
      <c r="L40" s="467"/>
      <c r="M40" s="454"/>
      <c r="N40" s="454"/>
      <c r="O40" s="444"/>
      <c r="P40" s="444"/>
      <c r="Q40" s="444"/>
      <c r="X40" s="437"/>
    </row>
    <row r="41" spans="1:26" ht="22.5" customHeight="1" x14ac:dyDescent="0.25">
      <c r="A41" s="438"/>
      <c r="K41" s="442"/>
      <c r="O41" s="444"/>
      <c r="P41" s="444"/>
      <c r="Q41" s="444"/>
      <c r="T41" s="317">
        <v>2020</v>
      </c>
      <c r="U41" s="317" t="s">
        <v>375</v>
      </c>
      <c r="V41" s="317" t="s">
        <v>149</v>
      </c>
      <c r="X41" s="437"/>
      <c r="Y41" s="445"/>
      <c r="Z41" s="445"/>
    </row>
    <row r="42" spans="1:26" ht="22.5" customHeight="1" x14ac:dyDescent="0.25">
      <c r="A42" s="438" t="s">
        <v>413</v>
      </c>
      <c r="B42" s="441">
        <v>3306</v>
      </c>
      <c r="C42" s="439" t="s">
        <v>242</v>
      </c>
      <c r="D42" s="468">
        <f>U42</f>
        <v>364229.68724999996</v>
      </c>
      <c r="E42" s="468">
        <f>V42</f>
        <v>174825</v>
      </c>
      <c r="F42" s="438"/>
      <c r="G42" s="464">
        <v>3094</v>
      </c>
      <c r="H42" s="464">
        <v>330600100</v>
      </c>
      <c r="I42" s="464"/>
      <c r="J42" s="464">
        <v>11</v>
      </c>
      <c r="K42" s="442"/>
      <c r="L42" s="440">
        <f>(D42+E42-K42)/12</f>
        <v>44921.223937499999</v>
      </c>
      <c r="M42" s="441" t="s">
        <v>805</v>
      </c>
      <c r="N42" s="438" t="s">
        <v>427</v>
      </c>
      <c r="O42" s="444"/>
      <c r="P42" s="444"/>
      <c r="Q42" s="444"/>
      <c r="S42" s="436">
        <v>3306</v>
      </c>
      <c r="T42" s="443" t="s">
        <v>242</v>
      </c>
      <c r="U42" s="445">
        <v>364229.68724999996</v>
      </c>
      <c r="V42" s="445">
        <v>174825</v>
      </c>
      <c r="X42" s="445"/>
      <c r="Y42" s="445"/>
      <c r="Z42" s="445"/>
    </row>
    <row r="43" spans="1:26" ht="22.5" customHeight="1" x14ac:dyDescent="0.25">
      <c r="B43" s="441"/>
      <c r="C43" s="439"/>
      <c r="G43" s="464">
        <v>3094</v>
      </c>
      <c r="H43" s="441">
        <v>600011100</v>
      </c>
      <c r="J43" s="464">
        <v>11</v>
      </c>
      <c r="K43" s="442"/>
      <c r="L43" s="468">
        <f>L42</f>
        <v>44921.223937499999</v>
      </c>
      <c r="M43" s="441" t="s">
        <v>806</v>
      </c>
      <c r="N43" s="438" t="s">
        <v>427</v>
      </c>
      <c r="O43" s="444"/>
      <c r="P43" s="444"/>
      <c r="Q43" s="444"/>
      <c r="S43" s="317">
        <v>3850</v>
      </c>
      <c r="T43" s="443" t="s">
        <v>809</v>
      </c>
      <c r="U43" s="445">
        <v>107843.54399999999</v>
      </c>
      <c r="V43" s="445">
        <v>51799.999999999993</v>
      </c>
      <c r="X43" s="445"/>
    </row>
    <row r="44" spans="1:26" ht="22.5" customHeight="1" x14ac:dyDescent="0.25">
      <c r="B44" s="441">
        <v>3850</v>
      </c>
      <c r="C44" s="443" t="str">
        <f>VLOOKUP(B44,[1]Orgenheter!$A$3:$C$165,2,FALSE)</f>
        <v>Epidemiologi och global hälsa</v>
      </c>
      <c r="D44" s="468">
        <f>U43</f>
        <v>107843.54399999999</v>
      </c>
      <c r="E44" s="468">
        <f>V43</f>
        <v>51799.999999999993</v>
      </c>
      <c r="G44" s="464">
        <v>3094</v>
      </c>
      <c r="H44" s="446">
        <v>385000002</v>
      </c>
      <c r="J44" s="464">
        <v>11</v>
      </c>
      <c r="K44" s="442"/>
      <c r="L44" s="440">
        <f>(D44+E44-K44)/12</f>
        <v>13303.628666666666</v>
      </c>
      <c r="M44" s="441" t="s">
        <v>805</v>
      </c>
      <c r="N44" s="438" t="s">
        <v>427</v>
      </c>
      <c r="O44" s="444"/>
      <c r="P44" s="444"/>
      <c r="Q44" s="444"/>
      <c r="T44" s="443"/>
      <c r="U44" s="445"/>
      <c r="V44" s="445"/>
      <c r="X44" s="437"/>
    </row>
    <row r="45" spans="1:26" ht="22.5" customHeight="1" x14ac:dyDescent="0.25">
      <c r="G45" s="464">
        <v>3094</v>
      </c>
      <c r="H45" s="441">
        <v>600011100</v>
      </c>
      <c r="J45" s="464">
        <v>11</v>
      </c>
      <c r="K45" s="442"/>
      <c r="L45" s="468">
        <f>L44</f>
        <v>13303.628666666666</v>
      </c>
      <c r="M45" s="441" t="s">
        <v>806</v>
      </c>
      <c r="N45" s="438" t="s">
        <v>427</v>
      </c>
      <c r="O45" s="444"/>
      <c r="P45" s="444"/>
      <c r="Q45" s="444"/>
      <c r="X45" s="437"/>
    </row>
    <row r="46" spans="1:26" ht="22.5" customHeight="1" x14ac:dyDescent="0.25">
      <c r="A46" s="454"/>
      <c r="B46" s="454"/>
      <c r="C46" s="469"/>
      <c r="D46" s="467"/>
      <c r="E46" s="467"/>
      <c r="F46" s="454"/>
      <c r="G46" s="470"/>
      <c r="H46" s="470"/>
      <c r="I46" s="470"/>
      <c r="J46" s="470"/>
      <c r="K46" s="455"/>
      <c r="L46" s="467"/>
      <c r="M46" s="454"/>
      <c r="N46" s="454"/>
      <c r="O46" s="444"/>
      <c r="P46" s="444"/>
      <c r="Q46" s="444"/>
      <c r="X46" s="437"/>
      <c r="Y46" s="445"/>
      <c r="Z46" s="445"/>
    </row>
    <row r="47" spans="1:26" ht="22.5" customHeight="1" x14ac:dyDescent="0.25">
      <c r="K47" s="442"/>
      <c r="O47" s="444"/>
      <c r="P47" s="444"/>
      <c r="Q47" s="444"/>
      <c r="S47" s="444"/>
      <c r="T47" s="317">
        <v>2020</v>
      </c>
      <c r="U47" s="317" t="s">
        <v>375</v>
      </c>
      <c r="V47" s="317" t="s">
        <v>149</v>
      </c>
      <c r="X47" s="437"/>
    </row>
    <row r="48" spans="1:26" ht="22.5" customHeight="1" x14ac:dyDescent="0.25">
      <c r="A48" s="441" t="s">
        <v>465</v>
      </c>
      <c r="B48" s="441">
        <v>5100</v>
      </c>
      <c r="C48" s="439" t="s">
        <v>164</v>
      </c>
      <c r="D48" s="471">
        <f>U48</f>
        <v>675191.7</v>
      </c>
      <c r="E48" s="471">
        <f>V48</f>
        <v>299700</v>
      </c>
      <c r="G48" s="464">
        <v>3094</v>
      </c>
      <c r="H48" s="446">
        <v>510010100</v>
      </c>
      <c r="J48" s="464">
        <v>11</v>
      </c>
      <c r="L48" s="440">
        <f>(D48+E48-K48)/12</f>
        <v>81240.974999999991</v>
      </c>
      <c r="M48" s="464" t="s">
        <v>805</v>
      </c>
      <c r="N48" s="438" t="s">
        <v>427</v>
      </c>
      <c r="P48" s="444"/>
      <c r="Q48" s="444"/>
      <c r="S48" s="317">
        <v>5100</v>
      </c>
      <c r="T48" s="443" t="s">
        <v>164</v>
      </c>
      <c r="U48" s="445">
        <v>675191.7</v>
      </c>
      <c r="V48" s="445">
        <v>299700</v>
      </c>
      <c r="X48" s="444"/>
    </row>
    <row r="49" spans="1:26" ht="22.5" customHeight="1" x14ac:dyDescent="0.25">
      <c r="G49" s="464">
        <v>3094</v>
      </c>
      <c r="H49" s="446">
        <v>600011100</v>
      </c>
      <c r="J49" s="464">
        <v>11</v>
      </c>
      <c r="L49" s="468">
        <f>L48</f>
        <v>81240.974999999991</v>
      </c>
      <c r="M49" s="464" t="s">
        <v>806</v>
      </c>
      <c r="N49" s="438" t="s">
        <v>427</v>
      </c>
      <c r="P49" s="444"/>
      <c r="Q49" s="444"/>
      <c r="S49" s="317">
        <v>5160</v>
      </c>
      <c r="T49" s="443" t="s">
        <v>305</v>
      </c>
      <c r="U49" s="445">
        <v>187553.24999999994</v>
      </c>
      <c r="V49" s="445">
        <v>83250</v>
      </c>
      <c r="X49" s="444"/>
    </row>
    <row r="50" spans="1:26" ht="22.5" customHeight="1" x14ac:dyDescent="0.25">
      <c r="B50" s="441">
        <v>5160</v>
      </c>
      <c r="C50" s="439" t="str">
        <f>VLOOKUP(B50,[1]Orgenheter!$A$3:$C$165,2,FALSE)</f>
        <v xml:space="preserve">Inst för Fysiologisk botanik  </v>
      </c>
      <c r="D50" s="471">
        <f>U49</f>
        <v>187553.24999999994</v>
      </c>
      <c r="E50" s="471">
        <f>V49</f>
        <v>83250</v>
      </c>
      <c r="G50" s="446">
        <v>3094</v>
      </c>
      <c r="H50" s="446">
        <v>516001100</v>
      </c>
      <c r="J50" s="464">
        <v>11</v>
      </c>
      <c r="L50" s="440">
        <f>(D50+E50-K50)/12</f>
        <v>22566.937499999996</v>
      </c>
      <c r="M50" s="464" t="s">
        <v>805</v>
      </c>
      <c r="N50" s="438" t="s">
        <v>427</v>
      </c>
      <c r="O50" s="319"/>
      <c r="P50" s="444"/>
      <c r="Q50" s="444"/>
      <c r="S50" s="317">
        <v>5400</v>
      </c>
      <c r="T50" s="443" t="s">
        <v>308</v>
      </c>
      <c r="U50" s="445">
        <v>298515.46500000003</v>
      </c>
      <c r="V50" s="445">
        <v>134865</v>
      </c>
      <c r="X50" s="444"/>
    </row>
    <row r="51" spans="1:26" ht="22.5" customHeight="1" x14ac:dyDescent="0.25">
      <c r="G51" s="446">
        <v>3094</v>
      </c>
      <c r="H51" s="446">
        <v>600011100</v>
      </c>
      <c r="I51" s="320"/>
      <c r="J51" s="464">
        <v>11</v>
      </c>
      <c r="L51" s="468">
        <f>L50</f>
        <v>22566.937499999996</v>
      </c>
      <c r="M51" s="464" t="s">
        <v>806</v>
      </c>
      <c r="N51" s="438" t="s">
        <v>427</v>
      </c>
      <c r="O51" s="319"/>
      <c r="P51" s="444"/>
      <c r="Q51" s="444"/>
      <c r="S51" s="317">
        <v>5410</v>
      </c>
      <c r="T51" s="443" t="s">
        <v>1077</v>
      </c>
      <c r="U51" s="445">
        <v>20005.68</v>
      </c>
      <c r="V51" s="445">
        <v>8880</v>
      </c>
      <c r="X51" s="444"/>
    </row>
    <row r="52" spans="1:26" ht="22.5" customHeight="1" x14ac:dyDescent="0.25">
      <c r="B52" s="446">
        <v>5400</v>
      </c>
      <c r="C52" s="450" t="s">
        <v>898</v>
      </c>
      <c r="D52" s="471">
        <f>U50</f>
        <v>298515.46500000003</v>
      </c>
      <c r="E52" s="471">
        <f>V50</f>
        <v>134865</v>
      </c>
      <c r="F52" s="320"/>
      <c r="G52" s="446">
        <v>3094</v>
      </c>
      <c r="H52" s="446">
        <v>540000100</v>
      </c>
      <c r="I52" s="320"/>
      <c r="J52" s="464">
        <v>11</v>
      </c>
      <c r="K52" s="452"/>
      <c r="L52" s="440">
        <f>(D52+E52-K52)/12</f>
        <v>36115.03875</v>
      </c>
      <c r="M52" s="446" t="s">
        <v>805</v>
      </c>
      <c r="N52" s="464" t="s">
        <v>427</v>
      </c>
      <c r="O52" s="319"/>
      <c r="P52" s="444"/>
      <c r="Q52" s="444"/>
      <c r="S52" s="319">
        <v>5500</v>
      </c>
      <c r="T52" s="443" t="s">
        <v>165</v>
      </c>
      <c r="U52" s="445">
        <v>137539.05000000002</v>
      </c>
      <c r="V52" s="445">
        <v>61050</v>
      </c>
      <c r="X52" s="444"/>
    </row>
    <row r="53" spans="1:26" ht="22.5" customHeight="1" x14ac:dyDescent="0.25">
      <c r="B53" s="446"/>
      <c r="C53" s="450"/>
      <c r="D53" s="446"/>
      <c r="E53" s="446"/>
      <c r="F53" s="320"/>
      <c r="G53" s="446">
        <v>3094</v>
      </c>
      <c r="H53" s="446">
        <v>600011100</v>
      </c>
      <c r="I53" s="320"/>
      <c r="J53" s="464">
        <v>11</v>
      </c>
      <c r="K53" s="452"/>
      <c r="L53" s="471">
        <f>L52</f>
        <v>36115.03875</v>
      </c>
      <c r="M53" s="446" t="s">
        <v>806</v>
      </c>
      <c r="N53" s="464" t="s">
        <v>427</v>
      </c>
      <c r="O53" s="444"/>
      <c r="P53" s="444"/>
      <c r="Q53" s="444"/>
      <c r="S53" s="321">
        <v>5700</v>
      </c>
      <c r="T53" s="443" t="s">
        <v>313</v>
      </c>
      <c r="U53" s="445">
        <v>30150.375</v>
      </c>
      <c r="V53" s="445">
        <v>13875</v>
      </c>
      <c r="X53" s="444"/>
    </row>
    <row r="54" spans="1:26" ht="22.5" customHeight="1" x14ac:dyDescent="0.25">
      <c r="B54" s="446">
        <v>5410</v>
      </c>
      <c r="C54" s="450" t="s">
        <v>1077</v>
      </c>
      <c r="D54" s="471">
        <f>U51</f>
        <v>20005.68</v>
      </c>
      <c r="E54" s="471">
        <f>V51</f>
        <v>8880</v>
      </c>
      <c r="F54" s="320"/>
      <c r="G54" s="446">
        <v>3094</v>
      </c>
      <c r="H54" s="446">
        <v>541000100</v>
      </c>
      <c r="I54" s="320"/>
      <c r="J54" s="464">
        <v>11</v>
      </c>
      <c r="K54" s="452"/>
      <c r="L54" s="440">
        <f>(D54+E54-K54)/12</f>
        <v>2407.14</v>
      </c>
      <c r="M54" s="446" t="s">
        <v>805</v>
      </c>
      <c r="N54" s="464" t="s">
        <v>427</v>
      </c>
      <c r="O54" s="444"/>
      <c r="P54" s="444"/>
      <c r="Q54" s="444"/>
      <c r="S54" s="319">
        <v>5730</v>
      </c>
      <c r="T54" s="443" t="s">
        <v>166</v>
      </c>
      <c r="U54" s="445">
        <v>2387199.7152499971</v>
      </c>
      <c r="V54" s="445">
        <v>986375</v>
      </c>
      <c r="X54" s="444"/>
      <c r="Y54" s="445"/>
      <c r="Z54" s="445"/>
    </row>
    <row r="55" spans="1:26" ht="22.5" customHeight="1" x14ac:dyDescent="0.25">
      <c r="B55" s="446"/>
      <c r="C55" s="450"/>
      <c r="D55" s="446"/>
      <c r="E55" s="446"/>
      <c r="F55" s="320"/>
      <c r="G55" s="446">
        <v>3094</v>
      </c>
      <c r="H55" s="446">
        <v>600011100</v>
      </c>
      <c r="I55" s="320"/>
      <c r="J55" s="464">
        <v>11</v>
      </c>
      <c r="K55" s="452"/>
      <c r="L55" s="471">
        <f>L54</f>
        <v>2407.14</v>
      </c>
      <c r="M55" s="446" t="s">
        <v>806</v>
      </c>
      <c r="N55" s="464" t="s">
        <v>427</v>
      </c>
      <c r="O55" s="444"/>
      <c r="P55" s="444"/>
      <c r="Q55" s="444"/>
      <c r="S55" s="319">
        <v>5740</v>
      </c>
      <c r="T55" s="443" t="s">
        <v>461</v>
      </c>
      <c r="U55" s="445">
        <v>12938982.573003758</v>
      </c>
      <c r="V55" s="445">
        <v>3803662.708333333</v>
      </c>
      <c r="X55" s="437"/>
      <c r="Y55" s="445"/>
      <c r="Z55" s="445"/>
    </row>
    <row r="56" spans="1:26" ht="22.5" customHeight="1" x14ac:dyDescent="0.25">
      <c r="B56" s="446">
        <v>5500</v>
      </c>
      <c r="C56" s="450" t="s">
        <v>165</v>
      </c>
      <c r="D56" s="471">
        <f>U52</f>
        <v>137539.05000000002</v>
      </c>
      <c r="E56" s="471">
        <f>V52</f>
        <v>61050</v>
      </c>
      <c r="F56" s="446"/>
      <c r="G56" s="446">
        <v>3094</v>
      </c>
      <c r="H56" s="446">
        <v>550001100</v>
      </c>
      <c r="I56" s="446"/>
      <c r="J56" s="446">
        <v>11</v>
      </c>
      <c r="K56" s="452"/>
      <c r="L56" s="440">
        <f>(D56+E56-K56)/12</f>
        <v>16549.087500000001</v>
      </c>
      <c r="M56" s="446" t="s">
        <v>805</v>
      </c>
      <c r="N56" s="446" t="s">
        <v>427</v>
      </c>
      <c r="O56" s="444"/>
      <c r="P56" s="444"/>
      <c r="Q56" s="444"/>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16549.087500000001</v>
      </c>
      <c r="M57" s="446" t="s">
        <v>806</v>
      </c>
      <c r="N57" s="446" t="s">
        <v>427</v>
      </c>
      <c r="O57" s="472"/>
      <c r="P57" s="472"/>
      <c r="Q57" s="472"/>
      <c r="X57" s="437"/>
      <c r="Y57" s="445"/>
      <c r="Z57" s="445"/>
    </row>
    <row r="58" spans="1:26" ht="22.5" customHeight="1" x14ac:dyDescent="0.25">
      <c r="B58" s="446">
        <v>5700</v>
      </c>
      <c r="C58" s="450" t="s">
        <v>313</v>
      </c>
      <c r="D58" s="471">
        <f>U53</f>
        <v>30150.375</v>
      </c>
      <c r="E58" s="471">
        <f>V53</f>
        <v>13875</v>
      </c>
      <c r="G58" s="446">
        <v>3094</v>
      </c>
      <c r="H58" s="446">
        <v>570001100</v>
      </c>
      <c r="J58" s="446">
        <v>11</v>
      </c>
      <c r="L58" s="440">
        <f>(D58+E58-K58)/12</f>
        <v>3668.78125</v>
      </c>
      <c r="M58" s="446" t="s">
        <v>805</v>
      </c>
      <c r="N58" s="446" t="s">
        <v>427</v>
      </c>
      <c r="O58" s="444"/>
      <c r="P58" s="444"/>
      <c r="Q58" s="444"/>
      <c r="X58" s="437"/>
      <c r="Y58" s="445"/>
      <c r="Z58" s="445"/>
    </row>
    <row r="59" spans="1:26" ht="22.5" customHeight="1" x14ac:dyDescent="0.25">
      <c r="G59" s="446">
        <v>3094</v>
      </c>
      <c r="H59" s="446">
        <v>600011100</v>
      </c>
      <c r="I59" s="446"/>
      <c r="J59" s="446">
        <v>11</v>
      </c>
      <c r="L59" s="471">
        <f>L58</f>
        <v>3668.78125</v>
      </c>
      <c r="M59" s="446" t="s">
        <v>806</v>
      </c>
      <c r="N59" s="446" t="s">
        <v>427</v>
      </c>
      <c r="O59" s="472"/>
      <c r="P59" s="472"/>
      <c r="Q59" s="472"/>
      <c r="X59" s="437"/>
      <c r="Y59" s="445"/>
      <c r="Z59" s="445"/>
    </row>
    <row r="60" spans="1:26" ht="22.5" customHeight="1" x14ac:dyDescent="0.25">
      <c r="A60" s="441"/>
      <c r="B60" s="441">
        <v>5730</v>
      </c>
      <c r="C60" s="439" t="s">
        <v>166</v>
      </c>
      <c r="D60" s="468">
        <f>U54</f>
        <v>2387199.7152499971</v>
      </c>
      <c r="E60" s="468">
        <f>V54</f>
        <v>986375</v>
      </c>
      <c r="F60" s="441"/>
      <c r="G60" s="441">
        <v>3094</v>
      </c>
      <c r="H60" s="441">
        <v>573000111</v>
      </c>
      <c r="I60" s="441"/>
      <c r="J60" s="441">
        <v>11</v>
      </c>
      <c r="K60" s="442"/>
      <c r="L60" s="440">
        <f>(D60+E60-K60)/12</f>
        <v>281131.22627083311</v>
      </c>
      <c r="M60" s="441" t="s">
        <v>805</v>
      </c>
      <c r="N60" s="441" t="s">
        <v>427</v>
      </c>
      <c r="O60" s="444"/>
      <c r="P60" s="444"/>
      <c r="Q60" s="444"/>
      <c r="X60" s="437"/>
      <c r="Y60" s="445"/>
      <c r="Z60" s="445"/>
    </row>
    <row r="61" spans="1:26" ht="22.5" customHeight="1" x14ac:dyDescent="0.25">
      <c r="A61" s="441"/>
      <c r="B61" s="441"/>
      <c r="C61" s="439"/>
      <c r="F61" s="441"/>
      <c r="G61" s="441">
        <v>3094</v>
      </c>
      <c r="H61" s="441">
        <v>600011100</v>
      </c>
      <c r="I61" s="441"/>
      <c r="J61" s="441">
        <v>11</v>
      </c>
      <c r="K61" s="442"/>
      <c r="L61" s="468">
        <f>L60</f>
        <v>281131.22627083311</v>
      </c>
      <c r="M61" s="441" t="s">
        <v>806</v>
      </c>
      <c r="N61" s="441" t="s">
        <v>427</v>
      </c>
      <c r="O61" s="444"/>
      <c r="P61" s="444"/>
      <c r="Q61" s="444"/>
      <c r="X61" s="437"/>
      <c r="Z61" s="445"/>
    </row>
    <row r="62" spans="1:26" ht="22.5" customHeight="1" x14ac:dyDescent="0.25">
      <c r="B62" s="441">
        <v>5740</v>
      </c>
      <c r="C62" s="439" t="s">
        <v>461</v>
      </c>
      <c r="D62" s="468">
        <f>U55</f>
        <v>12938982.573003758</v>
      </c>
      <c r="E62" s="468">
        <f>V55</f>
        <v>3803662.708333333</v>
      </c>
      <c r="F62" s="441"/>
      <c r="G62" s="441">
        <v>3094</v>
      </c>
      <c r="H62" s="446">
        <v>574002011</v>
      </c>
      <c r="I62" s="441"/>
      <c r="J62" s="441">
        <v>11</v>
      </c>
      <c r="K62" s="442"/>
      <c r="L62" s="440">
        <f>(D62+E62-K62)/12</f>
        <v>1395220.4401114241</v>
      </c>
      <c r="M62" s="441" t="s">
        <v>805</v>
      </c>
      <c r="N62" s="441" t="s">
        <v>427</v>
      </c>
      <c r="O62" s="472"/>
      <c r="P62" s="472"/>
      <c r="Q62" s="472"/>
      <c r="X62" s="437"/>
      <c r="Z62" s="445"/>
    </row>
    <row r="63" spans="1:26" ht="22.5" customHeight="1" x14ac:dyDescent="0.25">
      <c r="B63" s="441"/>
      <c r="C63" s="438"/>
      <c r="D63" s="441"/>
      <c r="E63" s="441"/>
      <c r="F63" s="441"/>
      <c r="G63" s="441">
        <v>3094</v>
      </c>
      <c r="H63" s="441">
        <v>600011100</v>
      </c>
      <c r="I63" s="441"/>
      <c r="J63" s="441">
        <v>11</v>
      </c>
      <c r="K63" s="442"/>
      <c r="L63" s="468">
        <f>L62</f>
        <v>1395220.4401114241</v>
      </c>
      <c r="M63" s="441" t="s">
        <v>806</v>
      </c>
      <c r="N63" s="441" t="s">
        <v>427</v>
      </c>
      <c r="O63" s="444"/>
      <c r="P63" s="444"/>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94881328.975075006</v>
      </c>
      <c r="E66" s="442">
        <f>SUM(E6:E36,E42:E62)</f>
        <v>23361665.574999999</v>
      </c>
      <c r="L66" s="442"/>
      <c r="X66" s="437"/>
      <c r="Z66" s="445"/>
    </row>
    <row r="67" spans="3:26" x14ac:dyDescent="0.25">
      <c r="I67" s="496" t="s">
        <v>469</v>
      </c>
      <c r="J67" s="497"/>
      <c r="K67" s="497"/>
      <c r="L67" s="497"/>
      <c r="M67" s="497"/>
      <c r="N67" s="498"/>
      <c r="Z67" s="445"/>
    </row>
    <row r="68" spans="3:26" x14ac:dyDescent="0.25">
      <c r="I68" s="477"/>
      <c r="J68" s="473"/>
      <c r="K68" s="473"/>
      <c r="L68" s="473"/>
      <c r="M68" s="473"/>
      <c r="N68" s="478"/>
    </row>
    <row r="69" spans="3:26" x14ac:dyDescent="0.25">
      <c r="I69" s="479" t="s">
        <v>562</v>
      </c>
      <c r="J69" s="480"/>
      <c r="K69" s="480"/>
      <c r="L69" s="480"/>
      <c r="M69" s="480"/>
      <c r="N69" s="427"/>
    </row>
    <row r="70" spans="3:26" x14ac:dyDescent="0.25">
      <c r="C70" s="443"/>
      <c r="D70" s="444"/>
      <c r="E70" s="444"/>
    </row>
    <row r="71" spans="3:26" x14ac:dyDescent="0.25">
      <c r="I71" s="499" t="s">
        <v>422</v>
      </c>
      <c r="J71" s="497"/>
      <c r="K71" s="497"/>
      <c r="L71" s="497"/>
      <c r="M71" s="497"/>
      <c r="N71" s="498"/>
    </row>
    <row r="72" spans="3:26" x14ac:dyDescent="0.25">
      <c r="I72" s="477"/>
      <c r="J72" s="473"/>
      <c r="K72" s="473"/>
      <c r="L72" s="473"/>
      <c r="M72" s="473"/>
      <c r="N72" s="478"/>
    </row>
    <row r="73" spans="3:26" x14ac:dyDescent="0.25">
      <c r="I73" s="479" t="s">
        <v>1695</v>
      </c>
      <c r="J73" s="480"/>
      <c r="K73" s="480"/>
      <c r="L73" s="480"/>
      <c r="M73" s="480"/>
      <c r="N73" s="427"/>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zoomScaleNormal="100" workbookViewId="0">
      <selection activeCell="X1" sqref="X1:Z1048576"/>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8.425781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517"/>
      <c r="O1" s="319"/>
      <c r="P1" s="319"/>
      <c r="Q1" s="319"/>
    </row>
    <row r="2" spans="1:26" ht="27.75" customHeight="1" x14ac:dyDescent="0.3">
      <c r="C2" s="541" t="s">
        <v>2492</v>
      </c>
      <c r="D2" s="429"/>
      <c r="L2" s="426" t="s">
        <v>421</v>
      </c>
      <c r="M2" s="426"/>
      <c r="N2" s="517"/>
      <c r="O2" s="319"/>
      <c r="P2" s="319"/>
      <c r="Q2" s="319"/>
    </row>
    <row r="3" spans="1:26" ht="27.75" customHeight="1" x14ac:dyDescent="0.25">
      <c r="A3" s="319"/>
      <c r="B3" s="319"/>
      <c r="D3" s="572"/>
      <c r="E3" s="572"/>
      <c r="O3" s="590"/>
      <c r="P3" s="591"/>
      <c r="Q3" s="591"/>
      <c r="R3" s="591"/>
      <c r="S3" s="591"/>
      <c r="T3" s="591"/>
    </row>
    <row r="4" spans="1:26" ht="51.75" customHeight="1" x14ac:dyDescent="0.25">
      <c r="A4" s="430" t="s">
        <v>71</v>
      </c>
      <c r="B4" s="430" t="s">
        <v>804</v>
      </c>
      <c r="C4" s="430" t="s">
        <v>35</v>
      </c>
      <c r="D4" s="431" t="s">
        <v>2500</v>
      </c>
      <c r="E4" s="431" t="s">
        <v>2501</v>
      </c>
      <c r="G4" s="432" t="s">
        <v>423</v>
      </c>
      <c r="H4" s="432" t="s">
        <v>424</v>
      </c>
      <c r="I4" s="432"/>
      <c r="J4" s="432" t="s">
        <v>425</v>
      </c>
      <c r="K4" s="433" t="s">
        <v>2493</v>
      </c>
      <c r="L4" s="433" t="s">
        <v>2494</v>
      </c>
      <c r="M4" s="432" t="s">
        <v>428</v>
      </c>
      <c r="N4" s="432" t="s">
        <v>426</v>
      </c>
      <c r="O4" s="434"/>
      <c r="P4" s="435"/>
      <c r="Q4" s="435"/>
      <c r="T4" s="436" t="s">
        <v>462</v>
      </c>
    </row>
    <row r="5" spans="1:26" ht="22.5" customHeight="1" x14ac:dyDescent="0.25">
      <c r="O5" s="319"/>
      <c r="P5" s="440"/>
      <c r="Q5" s="440"/>
      <c r="T5" s="317">
        <v>2021</v>
      </c>
      <c r="U5" s="317" t="s">
        <v>375</v>
      </c>
      <c r="V5" s="317" t="s">
        <v>149</v>
      </c>
      <c r="X5" s="437"/>
    </row>
    <row r="6" spans="1:26" ht="22.5" customHeight="1" x14ac:dyDescent="0.25">
      <c r="A6" s="438" t="s">
        <v>410</v>
      </c>
      <c r="B6" s="438">
        <v>1620</v>
      </c>
      <c r="C6" s="439" t="s">
        <v>176</v>
      </c>
      <c r="D6" s="440">
        <f>U6</f>
        <v>12814125.050954988</v>
      </c>
      <c r="E6" s="440">
        <f>V6</f>
        <v>1989283.5</v>
      </c>
      <c r="F6" s="441"/>
      <c r="G6" s="441">
        <v>3094</v>
      </c>
      <c r="H6" s="441">
        <v>162000100</v>
      </c>
      <c r="I6" s="441"/>
      <c r="J6" s="441">
        <v>11</v>
      </c>
      <c r="K6" s="442">
        <f>VLOOKUP(B6,'Utfördelat tom aug'!$A$3:$L$28,12,FALSE)</f>
        <v>10553460.453182612</v>
      </c>
      <c r="L6" s="440">
        <f>(D6+E6-K6)/4</f>
        <v>1062487.0244430942</v>
      </c>
      <c r="M6" s="441" t="s">
        <v>805</v>
      </c>
      <c r="N6" s="441" t="s">
        <v>427</v>
      </c>
      <c r="O6" s="436"/>
      <c r="P6" s="440"/>
      <c r="Q6" s="440"/>
      <c r="S6" s="436">
        <v>1620</v>
      </c>
      <c r="T6" s="443" t="str">
        <f>VLOOKUP(S6,[1]Orgenheter!$A$3:$C$165,2,FALSE)</f>
        <v>Inst för språkstudier</v>
      </c>
      <c r="U6" s="445">
        <v>12814125.050954988</v>
      </c>
      <c r="V6" s="445">
        <v>1989283.5</v>
      </c>
      <c r="X6" s="445"/>
      <c r="Y6" s="445"/>
      <c r="Z6" s="445"/>
    </row>
    <row r="7" spans="1:26" ht="22.5" customHeight="1" x14ac:dyDescent="0.25">
      <c r="A7" s="441"/>
      <c r="B7" s="441"/>
      <c r="C7" s="438"/>
      <c r="D7" s="441"/>
      <c r="E7" s="441"/>
      <c r="F7" s="441"/>
      <c r="G7" s="441">
        <v>3094</v>
      </c>
      <c r="H7" s="441">
        <v>600011100</v>
      </c>
      <c r="I7" s="441"/>
      <c r="J7" s="441">
        <v>11</v>
      </c>
      <c r="K7" s="442"/>
      <c r="L7" s="440">
        <f>L6</f>
        <v>1062487.0244430942</v>
      </c>
      <c r="M7" s="441" t="s">
        <v>806</v>
      </c>
      <c r="N7" s="441" t="s">
        <v>427</v>
      </c>
      <c r="O7" s="319"/>
      <c r="P7" s="440"/>
      <c r="Q7" s="440"/>
      <c r="S7" s="319">
        <v>1630</v>
      </c>
      <c r="T7" s="443" t="str">
        <f>VLOOKUP(S7,[1]Orgenheter!$A$3:$C$165,2,FALSE)</f>
        <v>Inst för ide- o samhällsstudier</v>
      </c>
      <c r="U7" s="445">
        <v>7857372.2421319941</v>
      </c>
      <c r="V7" s="445">
        <v>988807.8</v>
      </c>
      <c r="X7" s="445"/>
      <c r="Y7" s="445"/>
      <c r="Z7" s="445"/>
    </row>
    <row r="8" spans="1:26" ht="22.5" customHeight="1" x14ac:dyDescent="0.25">
      <c r="A8" s="441"/>
      <c r="B8" s="441">
        <v>1630</v>
      </c>
      <c r="C8" s="439" t="s">
        <v>172</v>
      </c>
      <c r="D8" s="440">
        <f>U7</f>
        <v>7857372.2421319941</v>
      </c>
      <c r="E8" s="440">
        <f>V7</f>
        <v>988807.8</v>
      </c>
      <c r="F8" s="441"/>
      <c r="G8" s="441">
        <v>3094</v>
      </c>
      <c r="H8" s="446">
        <v>163000100</v>
      </c>
      <c r="I8" s="441"/>
      <c r="J8" s="441">
        <v>11</v>
      </c>
      <c r="K8" s="442">
        <f>VLOOKUP(B8,'Utfördelat tom aug'!$A$3:$L$28,12,FALSE)</f>
        <v>6787699.6780802105</v>
      </c>
      <c r="L8" s="440">
        <f>(D8+E8-K8)/4</f>
        <v>514620.09101294586</v>
      </c>
      <c r="M8" s="441" t="s">
        <v>805</v>
      </c>
      <c r="N8" s="441" t="s">
        <v>427</v>
      </c>
      <c r="O8" s="319"/>
      <c r="P8" s="440"/>
      <c r="Q8" s="440"/>
      <c r="S8" s="319">
        <v>1640</v>
      </c>
      <c r="T8" s="443" t="str">
        <f>VLOOKUP(S8,[1]Orgenheter!$A$3:$C$165,2,FALSE)</f>
        <v>Inst för kultur- o medievetenskap</v>
      </c>
      <c r="U8" s="445">
        <v>2078528.5608804999</v>
      </c>
      <c r="V8" s="445">
        <v>296264.2</v>
      </c>
      <c r="X8" s="445"/>
      <c r="Y8" s="445"/>
      <c r="Z8" s="445"/>
    </row>
    <row r="9" spans="1:26" ht="22.5" customHeight="1" x14ac:dyDescent="0.25">
      <c r="A9" s="441"/>
      <c r="B9" s="441"/>
      <c r="C9" s="438"/>
      <c r="D9" s="441"/>
      <c r="E9" s="441"/>
      <c r="F9" s="441"/>
      <c r="G9" s="441">
        <v>3094</v>
      </c>
      <c r="H9" s="441">
        <v>600011100</v>
      </c>
      <c r="I9" s="441"/>
      <c r="J9" s="441">
        <v>11</v>
      </c>
      <c r="K9" s="442"/>
      <c r="L9" s="440">
        <f>L8</f>
        <v>514620.09101294586</v>
      </c>
      <c r="M9" s="441" t="s">
        <v>806</v>
      </c>
      <c r="N9" s="441" t="s">
        <v>427</v>
      </c>
      <c r="O9" s="321"/>
      <c r="P9" s="440"/>
      <c r="Q9" s="440"/>
      <c r="S9" s="447">
        <v>1650</v>
      </c>
      <c r="T9" s="448" t="str">
        <f>VLOOKUP(S9,[1]Orgenheter!$A$3:$C$165,2,FALSE)</f>
        <v xml:space="preserve">Estetiska ämnen               </v>
      </c>
      <c r="U9" s="449">
        <v>14601494.282054996</v>
      </c>
      <c r="V9" s="449">
        <v>7320236</v>
      </c>
      <c r="X9" s="445"/>
      <c r="Y9" s="445"/>
      <c r="Z9" s="445"/>
    </row>
    <row r="10" spans="1:26" ht="22.5" customHeight="1" x14ac:dyDescent="0.25">
      <c r="A10" s="441"/>
      <c r="B10" s="441">
        <v>1640</v>
      </c>
      <c r="C10" s="450" t="s">
        <v>173</v>
      </c>
      <c r="D10" s="440">
        <f>U8</f>
        <v>2078528.5608804999</v>
      </c>
      <c r="E10" s="440">
        <f>V8</f>
        <v>296264.2</v>
      </c>
      <c r="F10" s="441"/>
      <c r="G10" s="441">
        <v>3094</v>
      </c>
      <c r="H10" s="441">
        <v>164016100</v>
      </c>
      <c r="I10" s="441"/>
      <c r="J10" s="441">
        <v>11</v>
      </c>
      <c r="K10" s="442">
        <f>VLOOKUP(B10,'Utfördelat tom aug'!$A$3:$L$28,12,FALSE)</f>
        <v>1845466.8864907201</v>
      </c>
      <c r="L10" s="440">
        <f>(D10+E10-K10)/4</f>
        <v>132331.468597445</v>
      </c>
      <c r="M10" s="441" t="s">
        <v>805</v>
      </c>
      <c r="N10" s="441" t="s">
        <v>427</v>
      </c>
      <c r="O10" s="444"/>
      <c r="P10" s="444"/>
      <c r="Q10" s="444"/>
      <c r="T10" s="425" t="s">
        <v>466</v>
      </c>
      <c r="U10" s="451">
        <v>-535836.25000000012</v>
      </c>
      <c r="V10" s="451">
        <v>-805012.5</v>
      </c>
      <c r="X10" s="547"/>
      <c r="Y10" s="585"/>
      <c r="Z10" s="452"/>
    </row>
    <row r="11" spans="1:26" ht="22.5" customHeight="1" x14ac:dyDescent="0.25">
      <c r="A11" s="441"/>
      <c r="B11" s="441"/>
      <c r="C11" s="438"/>
      <c r="D11" s="441"/>
      <c r="E11" s="441"/>
      <c r="F11" s="441"/>
      <c r="G11" s="441">
        <v>3094</v>
      </c>
      <c r="H11" s="441">
        <v>600011100</v>
      </c>
      <c r="I11" s="441"/>
      <c r="J11" s="441">
        <v>11</v>
      </c>
      <c r="K11" s="442"/>
      <c r="L11" s="440">
        <f>L10</f>
        <v>132331.468597445</v>
      </c>
      <c r="M11" s="441" t="s">
        <v>806</v>
      </c>
      <c r="N11" s="441" t="s">
        <v>427</v>
      </c>
      <c r="O11" s="444"/>
      <c r="P11" s="444"/>
      <c r="Q11" s="444"/>
      <c r="U11" s="445"/>
      <c r="V11" s="445"/>
      <c r="X11" s="437"/>
      <c r="Y11" s="445"/>
      <c r="Z11" s="445"/>
    </row>
    <row r="12" spans="1:26" ht="22.5" customHeight="1" x14ac:dyDescent="0.25">
      <c r="A12" s="441"/>
      <c r="B12" s="446">
        <v>1650</v>
      </c>
      <c r="C12" s="450" t="s">
        <v>11</v>
      </c>
      <c r="D12" s="453">
        <f>U9+U10</f>
        <v>14065658.032054996</v>
      </c>
      <c r="E12" s="453">
        <f>V9+V10</f>
        <v>6515223.5</v>
      </c>
      <c r="F12" s="446"/>
      <c r="G12" s="446">
        <v>3094</v>
      </c>
      <c r="H12" s="446">
        <v>165000001</v>
      </c>
      <c r="I12" s="446"/>
      <c r="J12" s="446">
        <v>11</v>
      </c>
      <c r="K12" s="442">
        <f>VLOOKUP(B12,'Utfördelat tom aug'!$A$3:$L$28,12,FALSE)</f>
        <v>14196280.241502855</v>
      </c>
      <c r="L12" s="440">
        <f>(D12+E12-K12)/4</f>
        <v>1596150.3226380358</v>
      </c>
      <c r="M12" s="446" t="s">
        <v>805</v>
      </c>
      <c r="N12" s="446" t="s">
        <v>427</v>
      </c>
      <c r="O12" s="444"/>
      <c r="P12" s="444"/>
      <c r="Q12" s="444"/>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1596150.3226380358</v>
      </c>
      <c r="M13" s="446" t="s">
        <v>806</v>
      </c>
      <c r="N13" s="446" t="s">
        <v>427</v>
      </c>
      <c r="O13" s="444"/>
      <c r="P13" s="444"/>
      <c r="Q13" s="444"/>
      <c r="X13" s="437"/>
    </row>
    <row r="14" spans="1:26" ht="22.5" customHeight="1" x14ac:dyDescent="0.25">
      <c r="A14" s="454"/>
      <c r="B14" s="454"/>
      <c r="C14" s="454"/>
      <c r="D14" s="454"/>
      <c r="E14" s="454"/>
      <c r="F14" s="454"/>
      <c r="G14" s="454"/>
      <c r="H14" s="454"/>
      <c r="I14" s="454"/>
      <c r="J14" s="454"/>
      <c r="K14" s="455"/>
      <c r="L14" s="456"/>
      <c r="M14" s="454"/>
      <c r="N14" s="454"/>
      <c r="O14" s="444"/>
      <c r="P14" s="444"/>
      <c r="Q14" s="444"/>
      <c r="X14" s="437"/>
    </row>
    <row r="15" spans="1:26" ht="22.5" customHeight="1" x14ac:dyDescent="0.25">
      <c r="A15" s="438"/>
      <c r="K15" s="442"/>
      <c r="O15" s="444"/>
      <c r="P15" s="444"/>
      <c r="Q15" s="444"/>
      <c r="T15" s="317">
        <v>2021</v>
      </c>
      <c r="U15" s="317" t="s">
        <v>375</v>
      </c>
      <c r="V15" s="317" t="s">
        <v>149</v>
      </c>
      <c r="X15" s="437"/>
    </row>
    <row r="16" spans="1:26" ht="22.5" customHeight="1" x14ac:dyDescent="0.25">
      <c r="A16" s="441" t="s">
        <v>411</v>
      </c>
      <c r="B16" s="441">
        <v>2180</v>
      </c>
      <c r="C16" s="439" t="s">
        <v>192</v>
      </c>
      <c r="D16" s="440">
        <f>U16</f>
        <v>16971218.385830581</v>
      </c>
      <c r="E16" s="457">
        <f>V16</f>
        <v>3277475.0454545459</v>
      </c>
      <c r="F16" s="441"/>
      <c r="G16" s="441">
        <v>3094</v>
      </c>
      <c r="H16" s="446">
        <v>218000101</v>
      </c>
      <c r="I16" s="441"/>
      <c r="J16" s="441">
        <v>11</v>
      </c>
      <c r="K16" s="442">
        <f>VLOOKUP(B16,'Utfördelat tom aug'!$A$3:$L$28,10,FALSE)</f>
        <v>12199967.829664219</v>
      </c>
      <c r="L16" s="440">
        <f>(D16-K16)/4</f>
        <v>1192812.6390415905</v>
      </c>
      <c r="M16" s="441" t="s">
        <v>805</v>
      </c>
      <c r="N16" s="441" t="s">
        <v>464</v>
      </c>
      <c r="O16" s="319"/>
      <c r="P16" s="444"/>
      <c r="Q16" s="458"/>
      <c r="S16" s="319">
        <v>2180</v>
      </c>
      <c r="T16" s="443" t="str">
        <f>VLOOKUP(S16,[1]Orgenheter!$A$3:$C$165,2,FALSE)</f>
        <v xml:space="preserve">Pedagogik                     </v>
      </c>
      <c r="U16" s="445">
        <v>16971218.385830581</v>
      </c>
      <c r="V16" s="445">
        <v>3277475.0454545459</v>
      </c>
      <c r="X16" s="445"/>
      <c r="Y16" s="445"/>
      <c r="Z16" s="445"/>
    </row>
    <row r="17" spans="1:26" ht="22.5" customHeight="1" x14ac:dyDescent="0.25">
      <c r="B17" s="441"/>
      <c r="C17" s="450"/>
      <c r="D17" s="440"/>
      <c r="E17" s="457"/>
      <c r="F17" s="441"/>
      <c r="G17" s="441">
        <v>3094</v>
      </c>
      <c r="H17" s="441">
        <v>600011100</v>
      </c>
      <c r="I17" s="441"/>
      <c r="J17" s="441">
        <v>11</v>
      </c>
      <c r="K17" s="442"/>
      <c r="L17" s="440">
        <f>L16</f>
        <v>1192812.6390415905</v>
      </c>
      <c r="M17" s="441" t="s">
        <v>806</v>
      </c>
      <c r="N17" s="441" t="s">
        <v>464</v>
      </c>
      <c r="O17" s="319"/>
      <c r="P17" s="444"/>
      <c r="S17" s="319">
        <v>2193</v>
      </c>
      <c r="T17" s="443" t="str">
        <f>VLOOKUP(S17,[1]Orgenheter!$A$3:$C$165,2,FALSE)</f>
        <v xml:space="preserve">TUV </v>
      </c>
      <c r="U17" s="445">
        <v>20868168.43137683</v>
      </c>
      <c r="V17" s="445">
        <v>2936563.145454545</v>
      </c>
      <c r="X17" s="445"/>
      <c r="Y17" s="445"/>
      <c r="Z17" s="445"/>
    </row>
    <row r="18" spans="1:26" ht="22.5" customHeight="1" x14ac:dyDescent="0.25">
      <c r="B18" s="441">
        <v>2193</v>
      </c>
      <c r="C18" s="439" t="s">
        <v>441</v>
      </c>
      <c r="D18" s="440">
        <f>U17</f>
        <v>20868168.43137683</v>
      </c>
      <c r="E18" s="457">
        <f>V17</f>
        <v>2936563.145454545</v>
      </c>
      <c r="F18" s="441"/>
      <c r="G18" s="441">
        <v>3094</v>
      </c>
      <c r="H18" s="441">
        <v>219300001</v>
      </c>
      <c r="I18" s="441"/>
      <c r="J18" s="441">
        <v>11</v>
      </c>
      <c r="K18" s="442">
        <f>VLOOKUP(B18,'Utfördelat tom aug'!$A$3:$L$28,10,FALSE)</f>
        <v>14307479.797383206</v>
      </c>
      <c r="L18" s="440">
        <f>(D18-K18)/4</f>
        <v>1640172.1584984059</v>
      </c>
      <c r="M18" s="441" t="s">
        <v>805</v>
      </c>
      <c r="N18" s="441" t="s">
        <v>464</v>
      </c>
      <c r="O18" s="319"/>
      <c r="P18" s="444"/>
      <c r="Q18" s="458"/>
      <c r="S18" s="319">
        <v>2200</v>
      </c>
      <c r="T18" s="443" t="str">
        <f>VLOOKUP(S18,[1]Orgenheter!$A$3:$C$165,2,FALSE)</f>
        <v xml:space="preserve">Inst för psykologi            </v>
      </c>
      <c r="U18" s="445">
        <v>1857541.4903121251</v>
      </c>
      <c r="V18" s="445">
        <v>243654.1</v>
      </c>
      <c r="X18" s="445"/>
      <c r="Y18" s="445"/>
      <c r="Z18" s="445"/>
    </row>
    <row r="19" spans="1:26" ht="22.5" customHeight="1" x14ac:dyDescent="0.25">
      <c r="B19" s="441"/>
      <c r="C19" s="438"/>
      <c r="D19" s="441"/>
      <c r="E19" s="459"/>
      <c r="F19" s="441"/>
      <c r="G19" s="441">
        <v>3094</v>
      </c>
      <c r="H19" s="441">
        <v>600011100</v>
      </c>
      <c r="I19" s="441"/>
      <c r="J19" s="441">
        <v>11</v>
      </c>
      <c r="K19" s="442"/>
      <c r="L19" s="440">
        <f>L18</f>
        <v>1640172.1584984059</v>
      </c>
      <c r="M19" s="441" t="s">
        <v>806</v>
      </c>
      <c r="N19" s="441" t="s">
        <v>464</v>
      </c>
      <c r="O19" s="321"/>
      <c r="P19" s="444"/>
      <c r="Q19" s="458"/>
      <c r="S19" s="321">
        <v>2220</v>
      </c>
      <c r="T19" s="443" t="str">
        <f>VLOOKUP(S19,[1]Orgenheter!$A$3:$C$165,2,FALSE)</f>
        <v xml:space="preserve">Sociologi                     </v>
      </c>
      <c r="U19" s="445">
        <v>125781.06779999999</v>
      </c>
      <c r="V19" s="445">
        <v>22800</v>
      </c>
      <c r="X19" s="445"/>
      <c r="Y19" s="445"/>
      <c r="Z19" s="445"/>
    </row>
    <row r="20" spans="1:26" ht="22.5" customHeight="1" x14ac:dyDescent="0.25">
      <c r="A20" s="441"/>
      <c r="B20" s="441">
        <v>2200</v>
      </c>
      <c r="C20" s="439" t="s">
        <v>571</v>
      </c>
      <c r="D20" s="440">
        <f>U18</f>
        <v>1857541.4903121251</v>
      </c>
      <c r="E20" s="457">
        <f>V18</f>
        <v>243654.1</v>
      </c>
      <c r="F20" s="441"/>
      <c r="G20" s="441">
        <v>3094</v>
      </c>
      <c r="H20" s="441">
        <v>220000100</v>
      </c>
      <c r="I20" s="441"/>
      <c r="J20" s="441">
        <v>11</v>
      </c>
      <c r="K20" s="442">
        <f>VLOOKUP(B20,'Utfördelat tom aug'!$A$3:$L$28,10,FALSE)</f>
        <v>1423773.4556757919</v>
      </c>
      <c r="L20" s="440">
        <f>(D20-K20)/4</f>
        <v>108442.00865908328</v>
      </c>
      <c r="M20" s="441" t="s">
        <v>805</v>
      </c>
      <c r="N20" s="441" t="s">
        <v>464</v>
      </c>
      <c r="O20" s="319"/>
      <c r="P20" s="444"/>
      <c r="Q20" s="458"/>
      <c r="S20" s="319">
        <v>2271</v>
      </c>
      <c r="T20" s="443" t="s">
        <v>1356</v>
      </c>
      <c r="U20" s="445">
        <v>602882.46754500002</v>
      </c>
      <c r="V20" s="445">
        <v>103920</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108442.00865908328</v>
      </c>
      <c r="M21" s="441" t="s">
        <v>806</v>
      </c>
      <c r="N21" s="441" t="s">
        <v>464</v>
      </c>
      <c r="O21" s="460"/>
      <c r="P21" s="444"/>
      <c r="Q21" s="458"/>
      <c r="S21" s="460">
        <v>2272</v>
      </c>
      <c r="T21" s="443" t="str">
        <f>VLOOKUP(S21,[1]Orgenheter!$A$3:$C$165,2,FALSE)</f>
        <v xml:space="preserve">Statistik                     </v>
      </c>
      <c r="U21" s="445">
        <v>441009.28615499998</v>
      </c>
      <c r="V21" s="445">
        <v>51732</v>
      </c>
      <c r="X21" s="445"/>
      <c r="Y21" s="445"/>
      <c r="Z21" s="445"/>
    </row>
    <row r="22" spans="1:26" ht="22.5" customHeight="1" x14ac:dyDescent="0.25">
      <c r="A22" s="441"/>
      <c r="B22" s="441">
        <v>2220</v>
      </c>
      <c r="C22" s="439" t="s">
        <v>195</v>
      </c>
      <c r="D22" s="440">
        <f>U19</f>
        <v>125781.06779999999</v>
      </c>
      <c r="E22" s="457">
        <f>V19</f>
        <v>22800</v>
      </c>
      <c r="F22" s="441"/>
      <c r="G22" s="441">
        <v>3094</v>
      </c>
      <c r="H22" s="441">
        <v>222000100</v>
      </c>
      <c r="I22" s="441"/>
      <c r="J22" s="441">
        <v>11</v>
      </c>
      <c r="K22" s="442">
        <f>VLOOKUP(B22,'Utfördelat tom aug'!$A$3:$L$28,10,FALSE)</f>
        <v>104659.93611428572</v>
      </c>
      <c r="L22" s="440">
        <f>(D22-K22)/4</f>
        <v>5280.2829214285666</v>
      </c>
      <c r="M22" s="441" t="s">
        <v>805</v>
      </c>
      <c r="N22" s="441" t="s">
        <v>464</v>
      </c>
      <c r="O22" s="321"/>
      <c r="P22" s="444"/>
      <c r="Q22" s="458"/>
      <c r="S22" s="321">
        <v>2300</v>
      </c>
      <c r="T22" s="443" t="str">
        <f>VLOOKUP(S22,[1]Orgenheter!$A$3:$C$165,2,FALSE)</f>
        <v xml:space="preserve">Juridiska institutionen       </v>
      </c>
      <c r="U22" s="445">
        <v>596571.51982288633</v>
      </c>
      <c r="V22" s="445">
        <v>69980.018181818188</v>
      </c>
      <c r="X22" s="445"/>
      <c r="Y22" s="445"/>
      <c r="Z22" s="445"/>
    </row>
    <row r="23" spans="1:26" ht="22.5" customHeight="1" x14ac:dyDescent="0.25">
      <c r="A23" s="441"/>
      <c r="B23" s="441"/>
      <c r="C23" s="450"/>
      <c r="F23" s="441"/>
      <c r="G23" s="441">
        <v>3094</v>
      </c>
      <c r="H23" s="441">
        <v>600011100</v>
      </c>
      <c r="I23" s="441"/>
      <c r="J23" s="441">
        <v>11</v>
      </c>
      <c r="K23" s="442"/>
      <c r="L23" s="440">
        <f>L22</f>
        <v>5280.2829214285666</v>
      </c>
      <c r="M23" s="441" t="s">
        <v>806</v>
      </c>
      <c r="N23" s="441" t="s">
        <v>464</v>
      </c>
      <c r="O23" s="319"/>
      <c r="P23" s="444"/>
      <c r="Q23" s="458"/>
      <c r="S23" s="319">
        <v>2340</v>
      </c>
      <c r="T23" s="443" t="str">
        <f>VLOOKUP(S23,[1]Orgenheter!$A$3:$C$165,2,FALSE)</f>
        <v xml:space="preserve">Statsvetenskap                </v>
      </c>
      <c r="U23" s="445">
        <v>2279374.0029488993</v>
      </c>
      <c r="V23" s="445">
        <v>348551.4</v>
      </c>
      <c r="X23" s="445"/>
      <c r="Y23" s="445"/>
      <c r="Z23" s="445"/>
    </row>
    <row r="24" spans="1:26" ht="22.5" customHeight="1" x14ac:dyDescent="0.25">
      <c r="B24" s="441">
        <v>2271</v>
      </c>
      <c r="C24" s="450" t="s">
        <v>1356</v>
      </c>
      <c r="D24" s="440">
        <f>U20</f>
        <v>602882.46754500002</v>
      </c>
      <c r="E24" s="457">
        <f>V20</f>
        <v>103920</v>
      </c>
      <c r="G24" s="446">
        <v>3094</v>
      </c>
      <c r="H24" s="446">
        <v>227100100</v>
      </c>
      <c r="J24" s="441">
        <v>11</v>
      </c>
      <c r="K24" s="442">
        <f>VLOOKUP(B24,'Utfördelat tom aug'!$A$3:$L$28,10,FALSE)</f>
        <v>405931.64323000005</v>
      </c>
      <c r="L24" s="440">
        <f>(D24-K24)/4</f>
        <v>49237.706078749994</v>
      </c>
      <c r="M24" s="441" t="s">
        <v>805</v>
      </c>
      <c r="N24" s="441" t="s">
        <v>464</v>
      </c>
      <c r="O24" s="460"/>
      <c r="P24" s="444"/>
      <c r="Q24" s="458"/>
      <c r="S24" s="460">
        <v>2360</v>
      </c>
      <c r="T24" s="443" t="str">
        <f>VLOOKUP(S24,[1]Orgenheter!$A$3:$C$165,2,FALSE)</f>
        <v xml:space="preserve">Ekonomisk historia            </v>
      </c>
      <c r="U24" s="445">
        <v>264967.74940500001</v>
      </c>
      <c r="V24" s="445">
        <v>48030</v>
      </c>
      <c r="X24" s="445"/>
      <c r="Y24" s="445"/>
      <c r="Z24" s="445"/>
    </row>
    <row r="25" spans="1:26" ht="22.5" customHeight="1" x14ac:dyDescent="0.25">
      <c r="G25" s="446">
        <v>3094</v>
      </c>
      <c r="H25" s="446">
        <v>600011100</v>
      </c>
      <c r="J25" s="441">
        <v>11</v>
      </c>
      <c r="K25" s="442"/>
      <c r="L25" s="440">
        <f>L24</f>
        <v>49237.706078749994</v>
      </c>
      <c r="M25" s="441" t="s">
        <v>806</v>
      </c>
      <c r="N25" s="441" t="s">
        <v>464</v>
      </c>
      <c r="O25" s="460"/>
      <c r="P25" s="444"/>
      <c r="Q25" s="458"/>
      <c r="S25" s="460">
        <v>2500</v>
      </c>
      <c r="T25" s="443" t="str">
        <f>VLOOKUP(S25,[1]Orgenheter!$A$3:$C$165,2,FALSE)</f>
        <v>Geografi</v>
      </c>
      <c r="U25" s="445">
        <v>242241.96724999999</v>
      </c>
      <c r="V25" s="445">
        <v>52105</v>
      </c>
      <c r="X25" s="445"/>
      <c r="Y25" s="445"/>
      <c r="Z25" s="445"/>
    </row>
    <row r="26" spans="1:26" ht="22.5" customHeight="1" x14ac:dyDescent="0.25">
      <c r="A26" s="441"/>
      <c r="B26" s="441">
        <v>2272</v>
      </c>
      <c r="C26" s="439" t="s">
        <v>200</v>
      </c>
      <c r="D26" s="440">
        <f>U21</f>
        <v>441009.28615499998</v>
      </c>
      <c r="E26" s="457">
        <f>V21</f>
        <v>51732</v>
      </c>
      <c r="F26" s="441"/>
      <c r="G26" s="441">
        <v>3094</v>
      </c>
      <c r="H26" s="446">
        <v>227200100</v>
      </c>
      <c r="I26" s="441"/>
      <c r="J26" s="441">
        <v>11</v>
      </c>
      <c r="K26" s="442">
        <f>VLOOKUP(B26,'Utfördelat tom aug'!$A$3:$L$28,10,FALSE)</f>
        <v>361351.5545544643</v>
      </c>
      <c r="L26" s="440">
        <f>(D26-K26)/4</f>
        <v>19914.432900133921</v>
      </c>
      <c r="M26" s="441" t="s">
        <v>805</v>
      </c>
      <c r="N26" s="441" t="s">
        <v>464</v>
      </c>
      <c r="O26" s="460"/>
      <c r="P26" s="444"/>
      <c r="Q26" s="458"/>
      <c r="S26" s="460">
        <v>2750</v>
      </c>
      <c r="T26" s="443" t="str">
        <f>VLOOKUP(S26,[1]Orgenheter!$A$3:$C$165,2,FALSE)</f>
        <v xml:space="preserve">Kostvetenskap                 </v>
      </c>
      <c r="U26" s="445">
        <v>3325896.1941250004</v>
      </c>
      <c r="V26" s="445">
        <v>1349002.5</v>
      </c>
      <c r="X26" s="445"/>
      <c r="Y26" s="445"/>
      <c r="Z26" s="445"/>
    </row>
    <row r="27" spans="1:26" ht="22.5" customHeight="1" x14ac:dyDescent="0.25">
      <c r="A27" s="441"/>
      <c r="G27" s="441">
        <v>3094</v>
      </c>
      <c r="H27" s="441">
        <v>600011100</v>
      </c>
      <c r="J27" s="441">
        <v>11</v>
      </c>
      <c r="K27" s="442"/>
      <c r="L27" s="440">
        <f>L26</f>
        <v>19914.432900133921</v>
      </c>
      <c r="M27" s="441" t="s">
        <v>806</v>
      </c>
      <c r="N27" s="441" t="s">
        <v>464</v>
      </c>
      <c r="O27" s="444"/>
      <c r="P27" s="444"/>
      <c r="Q27" s="458"/>
      <c r="U27" s="445"/>
      <c r="V27" s="445"/>
      <c r="X27" s="437"/>
      <c r="Y27" s="445"/>
      <c r="Z27" s="445"/>
    </row>
    <row r="28" spans="1:26" ht="22.5" customHeight="1" x14ac:dyDescent="0.25">
      <c r="B28" s="441">
        <v>2300</v>
      </c>
      <c r="C28" s="439" t="s">
        <v>899</v>
      </c>
      <c r="D28" s="440">
        <f>U22</f>
        <v>596571.51982288633</v>
      </c>
      <c r="E28" s="457">
        <f>V22</f>
        <v>69980.018181818188</v>
      </c>
      <c r="F28" s="441"/>
      <c r="G28" s="441">
        <v>3094</v>
      </c>
      <c r="H28" s="446">
        <v>230000100</v>
      </c>
      <c r="I28" s="441"/>
      <c r="J28" s="441">
        <v>11</v>
      </c>
      <c r="K28" s="442">
        <f>VLOOKUP(B28,'Utfördelat tom aug'!$A$3:$L$28,10,FALSE)</f>
        <v>454993.40950742748</v>
      </c>
      <c r="L28" s="440">
        <f>(D28-K28)/4</f>
        <v>35394.527578864712</v>
      </c>
      <c r="M28" s="441" t="s">
        <v>805</v>
      </c>
      <c r="N28" s="441" t="s">
        <v>464</v>
      </c>
      <c r="O28" s="444"/>
      <c r="P28" s="444"/>
      <c r="Q28" s="458"/>
      <c r="X28" s="437"/>
      <c r="Y28" s="445"/>
      <c r="Z28" s="445"/>
    </row>
    <row r="29" spans="1:26" ht="22.5" customHeight="1" x14ac:dyDescent="0.25">
      <c r="G29" s="441">
        <v>3094</v>
      </c>
      <c r="H29" s="441">
        <v>600011100</v>
      </c>
      <c r="J29" s="441">
        <v>11</v>
      </c>
      <c r="K29" s="442"/>
      <c r="L29" s="440">
        <f>L28</f>
        <v>35394.527578864712</v>
      </c>
      <c r="M29" s="441" t="s">
        <v>806</v>
      </c>
      <c r="N29" s="441" t="s">
        <v>464</v>
      </c>
      <c r="O29" s="444"/>
      <c r="P29" s="444"/>
      <c r="Q29" s="458"/>
      <c r="X29" s="437"/>
    </row>
    <row r="30" spans="1:26" ht="22.5" customHeight="1" x14ac:dyDescent="0.25">
      <c r="A30" s="441"/>
      <c r="B30" s="441">
        <v>2340</v>
      </c>
      <c r="C30" s="439" t="s">
        <v>198</v>
      </c>
      <c r="D30" s="453">
        <f>U23</f>
        <v>2279374.0029488993</v>
      </c>
      <c r="E30" s="461">
        <f>V23</f>
        <v>348551.4</v>
      </c>
      <c r="F30" s="441"/>
      <c r="G30" s="441">
        <v>3094</v>
      </c>
      <c r="H30" s="441">
        <v>234000100</v>
      </c>
      <c r="I30" s="441"/>
      <c r="J30" s="441">
        <v>11</v>
      </c>
      <c r="K30" s="442">
        <f>VLOOKUP(B30,'Utfördelat tom aug'!$A$3:$L$28,10,FALSE)</f>
        <v>1562122.4686334566</v>
      </c>
      <c r="L30" s="440">
        <f>(D30-K30)/4</f>
        <v>179312.88357886067</v>
      </c>
      <c r="M30" s="441" t="s">
        <v>805</v>
      </c>
      <c r="N30" s="441" t="s">
        <v>464</v>
      </c>
      <c r="O30" s="444"/>
      <c r="P30" s="444"/>
      <c r="Q30" s="458"/>
      <c r="X30" s="437"/>
    </row>
    <row r="31" spans="1:26" ht="22.5" customHeight="1" x14ac:dyDescent="0.25">
      <c r="A31" s="441"/>
      <c r="B31" s="441"/>
      <c r="C31" s="438"/>
      <c r="D31" s="441"/>
      <c r="E31" s="459"/>
      <c r="F31" s="441"/>
      <c r="G31" s="441">
        <v>3094</v>
      </c>
      <c r="H31" s="441">
        <v>600011100</v>
      </c>
      <c r="I31" s="441"/>
      <c r="J31" s="441">
        <v>11</v>
      </c>
      <c r="K31" s="442"/>
      <c r="L31" s="440">
        <f>L30</f>
        <v>179312.88357886067</v>
      </c>
      <c r="M31" s="441" t="s">
        <v>806</v>
      </c>
      <c r="N31" s="441" t="s">
        <v>464</v>
      </c>
      <c r="O31" s="444"/>
      <c r="P31" s="444"/>
      <c r="Q31" s="458"/>
      <c r="X31" s="437"/>
    </row>
    <row r="32" spans="1:26" ht="22.5" customHeight="1" x14ac:dyDescent="0.25">
      <c r="A32" s="441"/>
      <c r="B32" s="441">
        <v>2360</v>
      </c>
      <c r="C32" s="439" t="s">
        <v>572</v>
      </c>
      <c r="D32" s="440">
        <f>U24</f>
        <v>264967.74940500001</v>
      </c>
      <c r="E32" s="457">
        <f>V24</f>
        <v>48030</v>
      </c>
      <c r="F32" s="441"/>
      <c r="G32" s="446">
        <v>3094</v>
      </c>
      <c r="H32" s="441">
        <v>236000100</v>
      </c>
      <c r="I32" s="441"/>
      <c r="J32" s="441">
        <v>11</v>
      </c>
      <c r="K32" s="442">
        <f>VLOOKUP(B32,'Utfördelat tom aug'!$A$3:$L$28,10,FALSE)</f>
        <v>178891.25676642859</v>
      </c>
      <c r="L32" s="440">
        <f>(D32-K32)/4</f>
        <v>21519.123159642855</v>
      </c>
      <c r="M32" s="441" t="s">
        <v>805</v>
      </c>
      <c r="N32" s="441" t="s">
        <v>464</v>
      </c>
      <c r="O32" s="444"/>
      <c r="P32" s="444"/>
      <c r="Q32" s="458"/>
      <c r="S32" s="462"/>
      <c r="T32" s="462"/>
      <c r="U32" s="462"/>
      <c r="X32" s="437"/>
    </row>
    <row r="33" spans="1:26" ht="22.5" customHeight="1" x14ac:dyDescent="0.25">
      <c r="A33" s="441"/>
      <c r="G33" s="446">
        <v>3094</v>
      </c>
      <c r="H33" s="441">
        <v>600011100</v>
      </c>
      <c r="J33" s="441">
        <v>11</v>
      </c>
      <c r="K33" s="442"/>
      <c r="L33" s="440">
        <f>L32</f>
        <v>21519.123159642855</v>
      </c>
      <c r="M33" s="441" t="s">
        <v>806</v>
      </c>
      <c r="N33" s="441" t="s">
        <v>464</v>
      </c>
      <c r="O33" s="444"/>
      <c r="P33" s="444"/>
      <c r="Q33" s="458"/>
      <c r="X33" s="437"/>
    </row>
    <row r="34" spans="1:26" ht="22.5" customHeight="1" x14ac:dyDescent="0.25">
      <c r="A34" s="441"/>
      <c r="B34" s="441">
        <v>2500</v>
      </c>
      <c r="C34" s="439" t="s">
        <v>2018</v>
      </c>
      <c r="D34" s="440">
        <f>U25</f>
        <v>242241.96724999999</v>
      </c>
      <c r="E34" s="457">
        <f>V25</f>
        <v>52105</v>
      </c>
      <c r="F34" s="441"/>
      <c r="G34" s="441">
        <v>3094</v>
      </c>
      <c r="H34" s="441">
        <v>250000010</v>
      </c>
      <c r="I34" s="441"/>
      <c r="J34" s="441">
        <v>11</v>
      </c>
      <c r="K34" s="442">
        <f>VLOOKUP(B34,'Utfördelat tom aug'!$A$3:$L$28,10,FALSE)</f>
        <v>172873.47917857143</v>
      </c>
      <c r="L34" s="440">
        <f>(D34-K34)/4</f>
        <v>17342.122017857138</v>
      </c>
      <c r="M34" s="441" t="s">
        <v>805</v>
      </c>
      <c r="N34" s="441" t="s">
        <v>464</v>
      </c>
      <c r="O34" s="444"/>
      <c r="P34" s="444"/>
      <c r="Q34" s="458"/>
      <c r="X34" s="437"/>
    </row>
    <row r="35" spans="1:26" ht="22.5" customHeight="1" x14ac:dyDescent="0.25">
      <c r="A35" s="441"/>
      <c r="G35" s="441">
        <v>3094</v>
      </c>
      <c r="H35" s="441">
        <v>600011100</v>
      </c>
      <c r="J35" s="441">
        <v>11</v>
      </c>
      <c r="K35" s="442"/>
      <c r="L35" s="440">
        <f>L34</f>
        <v>17342.122017857138</v>
      </c>
      <c r="M35" s="441" t="s">
        <v>806</v>
      </c>
      <c r="N35" s="441" t="s">
        <v>464</v>
      </c>
      <c r="O35" s="444"/>
      <c r="P35" s="444"/>
      <c r="Q35" s="458"/>
      <c r="X35" s="437"/>
    </row>
    <row r="36" spans="1:26" ht="22.5" customHeight="1" x14ac:dyDescent="0.25">
      <c r="A36" s="441"/>
      <c r="B36" s="441">
        <v>2650</v>
      </c>
      <c r="C36" s="439" t="s">
        <v>2147</v>
      </c>
      <c r="D36" s="440">
        <f>U26</f>
        <v>3325896.1941250004</v>
      </c>
      <c r="E36" s="457">
        <f>V26</f>
        <v>1349002.5</v>
      </c>
      <c r="F36" s="441"/>
      <c r="G36" s="441">
        <v>3094</v>
      </c>
      <c r="H36" s="441">
        <v>275000100</v>
      </c>
      <c r="I36" s="441"/>
      <c r="J36" s="441">
        <v>11</v>
      </c>
      <c r="K36" s="442">
        <f>VLOOKUP(B36,'Utfördelat tom aug'!$A$3:$L$28,10,FALSE)</f>
        <v>2132951.1768273814</v>
      </c>
      <c r="L36" s="440">
        <f>(D36-K36)/4</f>
        <v>298236.25432440476</v>
      </c>
      <c r="M36" s="441" t="s">
        <v>805</v>
      </c>
      <c r="N36" s="441" t="s">
        <v>464</v>
      </c>
      <c r="O36" s="444"/>
      <c r="P36" s="444"/>
      <c r="Q36" s="458"/>
      <c r="X36" s="437"/>
    </row>
    <row r="37" spans="1:26" ht="22.5" customHeight="1" x14ac:dyDescent="0.25">
      <c r="A37" s="441"/>
      <c r="B37" s="441"/>
      <c r="C37" s="438"/>
      <c r="D37" s="441"/>
      <c r="E37" s="459"/>
      <c r="F37" s="441"/>
      <c r="G37" s="441">
        <v>3094</v>
      </c>
      <c r="H37" s="441">
        <v>600011100</v>
      </c>
      <c r="I37" s="441"/>
      <c r="J37" s="441">
        <v>11</v>
      </c>
      <c r="K37" s="442"/>
      <c r="L37" s="440">
        <f>L36</f>
        <v>298236.25432440476</v>
      </c>
      <c r="M37" s="441" t="s">
        <v>806</v>
      </c>
      <c r="N37" s="441" t="s">
        <v>464</v>
      </c>
      <c r="O37" s="444"/>
      <c r="P37" s="444"/>
      <c r="Q37" s="458"/>
      <c r="X37" s="437"/>
    </row>
    <row r="38" spans="1:26" ht="22.5" customHeight="1" x14ac:dyDescent="0.25">
      <c r="A38" s="438"/>
      <c r="B38" s="438">
        <v>2000</v>
      </c>
      <c r="C38" s="450" t="s">
        <v>463</v>
      </c>
      <c r="D38" s="438"/>
      <c r="E38" s="463">
        <f>SUM(E16:E37)</f>
        <v>8503813.2090909109</v>
      </c>
      <c r="F38" s="438"/>
      <c r="G38" s="438">
        <v>3094</v>
      </c>
      <c r="H38" s="438">
        <v>200000001</v>
      </c>
      <c r="I38" s="438"/>
      <c r="J38" s="441">
        <v>11</v>
      </c>
      <c r="K38" s="442">
        <f>VLOOKUP(B38,'Utfördelat tom aug'!$A$3:$L$28,11,FALSE)</f>
        <v>5893428.0737373736</v>
      </c>
      <c r="L38" s="440">
        <f>(E38-K38)/4</f>
        <v>652596.28383838432</v>
      </c>
      <c r="M38" s="441" t="s">
        <v>805</v>
      </c>
      <c r="N38" s="438" t="s">
        <v>404</v>
      </c>
      <c r="O38" s="444"/>
      <c r="P38" s="444"/>
      <c r="Q38" s="458"/>
      <c r="X38" s="437"/>
    </row>
    <row r="39" spans="1:26" ht="22.5" customHeight="1" x14ac:dyDescent="0.25">
      <c r="G39" s="464">
        <v>3094</v>
      </c>
      <c r="H39" s="441">
        <v>600011100</v>
      </c>
      <c r="J39" s="441">
        <v>11</v>
      </c>
      <c r="K39" s="442"/>
      <c r="L39" s="440">
        <f>L38</f>
        <v>652596.28383838432</v>
      </c>
      <c r="M39" s="441" t="s">
        <v>806</v>
      </c>
      <c r="N39" s="438" t="s">
        <v>404</v>
      </c>
      <c r="O39" s="444"/>
      <c r="P39" s="444"/>
      <c r="Q39" s="444"/>
      <c r="X39" s="437"/>
    </row>
    <row r="40" spans="1:26" ht="22.5" customHeight="1" x14ac:dyDescent="0.25">
      <c r="A40" s="454"/>
      <c r="B40" s="454"/>
      <c r="C40" s="465"/>
      <c r="D40" s="454"/>
      <c r="E40" s="466"/>
      <c r="F40" s="454"/>
      <c r="G40" s="454"/>
      <c r="H40" s="454"/>
      <c r="I40" s="454"/>
      <c r="J40" s="454"/>
      <c r="K40" s="455"/>
      <c r="L40" s="467"/>
      <c r="M40" s="454"/>
      <c r="N40" s="454"/>
      <c r="O40" s="444"/>
      <c r="P40" s="444"/>
      <c r="Q40" s="444"/>
      <c r="X40" s="437"/>
    </row>
    <row r="41" spans="1:26" ht="22.5" customHeight="1" x14ac:dyDescent="0.25">
      <c r="A41" s="438"/>
      <c r="K41" s="442"/>
      <c r="O41" s="444"/>
      <c r="P41" s="444"/>
      <c r="Q41" s="444"/>
      <c r="T41" s="317">
        <v>2021</v>
      </c>
      <c r="U41" s="317" t="s">
        <v>375</v>
      </c>
      <c r="V41" s="317" t="s">
        <v>149</v>
      </c>
      <c r="X41" s="437"/>
      <c r="Y41" s="445"/>
      <c r="Z41" s="445"/>
    </row>
    <row r="42" spans="1:26" ht="22.5" customHeight="1" x14ac:dyDescent="0.25">
      <c r="A42" s="438" t="s">
        <v>413</v>
      </c>
      <c r="B42" s="441">
        <v>3306</v>
      </c>
      <c r="C42" s="439" t="s">
        <v>242</v>
      </c>
      <c r="D42" s="468">
        <f>U42</f>
        <v>840658.73624999996</v>
      </c>
      <c r="E42" s="468">
        <f>V42</f>
        <v>415012.5</v>
      </c>
      <c r="F42" s="438"/>
      <c r="G42" s="464">
        <v>3094</v>
      </c>
      <c r="H42" s="464">
        <v>330600100</v>
      </c>
      <c r="I42" s="464"/>
      <c r="J42" s="464">
        <v>11</v>
      </c>
      <c r="K42" s="442">
        <f>VLOOKUP(B42,'Utfördelat tom aug'!$A$3:$L$28,12,FALSE)</f>
        <v>866363.01374999993</v>
      </c>
      <c r="L42" s="440">
        <f>(D42+E42-K42)/4</f>
        <v>97327.055625000037</v>
      </c>
      <c r="M42" s="441" t="s">
        <v>805</v>
      </c>
      <c r="N42" s="438" t="s">
        <v>427</v>
      </c>
      <c r="O42" s="444"/>
      <c r="P42" s="444"/>
      <c r="Q42" s="444"/>
      <c r="S42" s="436">
        <v>3306</v>
      </c>
      <c r="T42" s="443" t="str">
        <f>VLOOKUP(S42,[1]Orgenheter!$A$3:$C$165,2,FALSE)</f>
        <v xml:space="preserve">Idrottsmedicin                </v>
      </c>
      <c r="U42" s="445">
        <v>840658.73624999996</v>
      </c>
      <c r="V42" s="445">
        <v>415012.5</v>
      </c>
      <c r="X42" s="445"/>
      <c r="Y42" s="445"/>
      <c r="Z42" s="445"/>
    </row>
    <row r="43" spans="1:26" ht="22.5" customHeight="1" x14ac:dyDescent="0.25">
      <c r="B43" s="441"/>
      <c r="C43" s="439"/>
      <c r="G43" s="464">
        <v>3094</v>
      </c>
      <c r="H43" s="441">
        <v>600011100</v>
      </c>
      <c r="J43" s="464">
        <v>11</v>
      </c>
      <c r="K43" s="442"/>
      <c r="L43" s="468">
        <f>L42</f>
        <v>97327.055625000037</v>
      </c>
      <c r="M43" s="441" t="s">
        <v>806</v>
      </c>
      <c r="N43" s="438" t="s">
        <v>427</v>
      </c>
      <c r="O43" s="444"/>
      <c r="P43" s="444"/>
      <c r="Q43" s="444"/>
      <c r="S43" s="317">
        <v>3850</v>
      </c>
      <c r="T43" s="443" t="str">
        <f>VLOOKUP(S43,[1]Orgenheter!$A$3:$C$165,2,FALSE)</f>
        <v>Epidemiologi och global hälsa</v>
      </c>
      <c r="U43" s="445">
        <v>163031.44125</v>
      </c>
      <c r="V43" s="445">
        <v>80325</v>
      </c>
      <c r="X43" s="445"/>
      <c r="Y43" s="445"/>
      <c r="Z43" s="445"/>
    </row>
    <row r="44" spans="1:26" ht="22.5" customHeight="1" x14ac:dyDescent="0.25">
      <c r="B44" s="441">
        <v>3850</v>
      </c>
      <c r="C44" s="443" t="str">
        <f>VLOOKUP(B44,[1]Orgenheter!$A$3:$C$165,2,FALSE)</f>
        <v>Epidemiologi och global hälsa</v>
      </c>
      <c r="D44" s="468">
        <f>U43</f>
        <v>163031.44125</v>
      </c>
      <c r="E44" s="468">
        <f>V43</f>
        <v>80325</v>
      </c>
      <c r="G44" s="464">
        <v>3094</v>
      </c>
      <c r="H44" s="446">
        <v>385000002</v>
      </c>
      <c r="J44" s="464">
        <v>11</v>
      </c>
      <c r="K44" s="442">
        <f>VLOOKUP(B44,'Utfördelat tom aug'!$A$3:$L$28,12,FALSE)</f>
        <v>177178.5144047619</v>
      </c>
      <c r="L44" s="440">
        <f>(D44+E44-K44)/4</f>
        <v>16544.481711309527</v>
      </c>
      <c r="M44" s="441" t="s">
        <v>805</v>
      </c>
      <c r="N44" s="438" t="s">
        <v>427</v>
      </c>
      <c r="O44" s="444"/>
      <c r="P44" s="444"/>
      <c r="Q44" s="444"/>
      <c r="T44" s="443"/>
      <c r="U44" s="445"/>
      <c r="V44" s="445"/>
      <c r="X44" s="437"/>
    </row>
    <row r="45" spans="1:26" ht="22.5" customHeight="1" x14ac:dyDescent="0.25">
      <c r="G45" s="464">
        <v>3094</v>
      </c>
      <c r="H45" s="441">
        <v>600011100</v>
      </c>
      <c r="J45" s="464">
        <v>11</v>
      </c>
      <c r="K45" s="442"/>
      <c r="L45" s="468">
        <f>L44</f>
        <v>16544.481711309527</v>
      </c>
      <c r="M45" s="441" t="s">
        <v>806</v>
      </c>
      <c r="N45" s="438" t="s">
        <v>427</v>
      </c>
      <c r="O45" s="444"/>
      <c r="P45" s="444"/>
      <c r="Q45" s="444"/>
      <c r="X45" s="437"/>
    </row>
    <row r="46" spans="1:26" ht="22.5" customHeight="1" x14ac:dyDescent="0.25">
      <c r="A46" s="454"/>
      <c r="B46" s="454"/>
      <c r="C46" s="469"/>
      <c r="D46" s="467"/>
      <c r="E46" s="467"/>
      <c r="F46" s="454"/>
      <c r="G46" s="470"/>
      <c r="H46" s="470"/>
      <c r="I46" s="470"/>
      <c r="J46" s="470"/>
      <c r="K46" s="455"/>
      <c r="L46" s="467"/>
      <c r="M46" s="454"/>
      <c r="N46" s="454"/>
      <c r="O46" s="444"/>
      <c r="P46" s="444"/>
      <c r="Q46" s="444"/>
      <c r="X46" s="437"/>
      <c r="Y46" s="445"/>
      <c r="Z46" s="445"/>
    </row>
    <row r="47" spans="1:26" ht="22.5" customHeight="1" x14ac:dyDescent="0.25">
      <c r="K47" s="442"/>
      <c r="O47" s="444"/>
      <c r="P47" s="444"/>
      <c r="Q47" s="444"/>
      <c r="S47" s="444"/>
      <c r="T47" s="317">
        <v>2021</v>
      </c>
      <c r="U47" s="317" t="s">
        <v>375</v>
      </c>
      <c r="V47" s="317" t="s">
        <v>149</v>
      </c>
      <c r="X47" s="437"/>
    </row>
    <row r="48" spans="1:26" ht="22.5" customHeight="1" x14ac:dyDescent="0.25">
      <c r="A48" s="441" t="s">
        <v>465</v>
      </c>
      <c r="B48" s="441">
        <v>5100</v>
      </c>
      <c r="C48" s="439" t="s">
        <v>164</v>
      </c>
      <c r="D48" s="471">
        <f>U48</f>
        <v>449983.625</v>
      </c>
      <c r="E48" s="471">
        <f>V48</f>
        <v>197750</v>
      </c>
      <c r="G48" s="464">
        <v>3094</v>
      </c>
      <c r="H48" s="446">
        <v>510010100</v>
      </c>
      <c r="J48" s="464">
        <v>11</v>
      </c>
      <c r="K48" s="442">
        <f>VLOOKUP(B48,'Utfördelat tom aug'!$A$3:$L$28,12,FALSE)</f>
        <v>545506.27738095238</v>
      </c>
      <c r="L48" s="440">
        <f>(D48+E48-K48)/4</f>
        <v>25556.836904761905</v>
      </c>
      <c r="M48" s="464" t="s">
        <v>805</v>
      </c>
      <c r="N48" s="438" t="s">
        <v>427</v>
      </c>
      <c r="P48" s="444"/>
      <c r="Q48" s="444"/>
      <c r="S48" s="317">
        <v>5100</v>
      </c>
      <c r="T48" s="443" t="str">
        <f>VLOOKUP(S48,[1]Orgenheter!$A$3:$C$165,2,FALSE)</f>
        <v>EMG</v>
      </c>
      <c r="U48" s="445">
        <v>449983.625</v>
      </c>
      <c r="V48" s="445">
        <v>197750</v>
      </c>
      <c r="X48" s="444"/>
      <c r="Y48" s="445"/>
      <c r="Z48" s="445"/>
    </row>
    <row r="49" spans="1:26" ht="22.5" customHeight="1" x14ac:dyDescent="0.25">
      <c r="G49" s="464">
        <v>3094</v>
      </c>
      <c r="H49" s="446">
        <v>600011100</v>
      </c>
      <c r="J49" s="464">
        <v>11</v>
      </c>
      <c r="L49" s="468">
        <f>L48</f>
        <v>25556.836904761905</v>
      </c>
      <c r="M49" s="464" t="s">
        <v>806</v>
      </c>
      <c r="N49" s="438" t="s">
        <v>427</v>
      </c>
      <c r="P49" s="444"/>
      <c r="Q49" s="444"/>
      <c r="S49" s="317">
        <v>5160</v>
      </c>
      <c r="T49" s="443" t="str">
        <f>VLOOKUP(S49,[1]Orgenheter!$A$3:$C$165,2,FALSE)</f>
        <v xml:space="preserve">Inst för Fysiologisk botanik  </v>
      </c>
      <c r="U49" s="445">
        <v>102853.4</v>
      </c>
      <c r="V49" s="445">
        <v>45200</v>
      </c>
      <c r="X49" s="444"/>
      <c r="Y49" s="445"/>
      <c r="Z49" s="445"/>
    </row>
    <row r="50" spans="1:26" ht="22.5" customHeight="1" x14ac:dyDescent="0.25">
      <c r="B50" s="441">
        <v>5160</v>
      </c>
      <c r="C50" s="439" t="str">
        <f>VLOOKUP(B50,[1]Orgenheter!$A$3:$C$165,2,FALSE)</f>
        <v xml:space="preserve">Inst för Fysiologisk botanik  </v>
      </c>
      <c r="D50" s="471">
        <f>U49</f>
        <v>102853.4</v>
      </c>
      <c r="E50" s="471">
        <f>V49</f>
        <v>45200</v>
      </c>
      <c r="G50" s="446">
        <v>3094</v>
      </c>
      <c r="H50" s="446">
        <v>516001100</v>
      </c>
      <c r="J50" s="464">
        <v>11</v>
      </c>
      <c r="K50" s="442">
        <f>VLOOKUP(B50,'Utfördelat tom aug'!$A$3:$L$28,12,FALSE)</f>
        <v>98702.266666666663</v>
      </c>
      <c r="L50" s="440">
        <f>(D50+E50-K50)/4</f>
        <v>12337.783333333333</v>
      </c>
      <c r="M50" s="464" t="s">
        <v>805</v>
      </c>
      <c r="N50" s="438" t="s">
        <v>427</v>
      </c>
      <c r="O50" s="319"/>
      <c r="P50" s="444"/>
      <c r="Q50" s="444"/>
      <c r="S50" s="317">
        <v>5400</v>
      </c>
      <c r="T50" s="443" t="str">
        <f>VLOOKUP(S50,[1]Orgenheter!$A$3:$C$165,2,FALSE)</f>
        <v xml:space="preserve">Inst för Fysik                </v>
      </c>
      <c r="U50" s="445">
        <v>174581.15</v>
      </c>
      <c r="V50" s="445">
        <v>79100</v>
      </c>
      <c r="X50" s="444"/>
      <c r="Y50" s="445"/>
      <c r="Z50" s="445"/>
    </row>
    <row r="51" spans="1:26" ht="22.5" customHeight="1" x14ac:dyDescent="0.25">
      <c r="G51" s="446">
        <v>3094</v>
      </c>
      <c r="H51" s="446">
        <v>600011100</v>
      </c>
      <c r="I51" s="320"/>
      <c r="J51" s="464">
        <v>11</v>
      </c>
      <c r="L51" s="468">
        <f>L50</f>
        <v>12337.783333333333</v>
      </c>
      <c r="M51" s="464" t="s">
        <v>806</v>
      </c>
      <c r="N51" s="438" t="s">
        <v>427</v>
      </c>
      <c r="O51" s="319"/>
      <c r="P51" s="444"/>
      <c r="Q51" s="444"/>
      <c r="S51" s="317">
        <v>5410</v>
      </c>
      <c r="T51" s="443" t="s">
        <v>1077</v>
      </c>
      <c r="U51" s="445">
        <v>0</v>
      </c>
      <c r="V51" s="445">
        <v>0</v>
      </c>
      <c r="X51" s="444"/>
      <c r="Y51" s="445"/>
      <c r="Z51" s="445"/>
    </row>
    <row r="52" spans="1:26" ht="22.5" customHeight="1" x14ac:dyDescent="0.25">
      <c r="B52" s="446">
        <v>5400</v>
      </c>
      <c r="C52" s="450" t="s">
        <v>898</v>
      </c>
      <c r="D52" s="471">
        <f>U50</f>
        <v>174581.15</v>
      </c>
      <c r="E52" s="471">
        <f>V50</f>
        <v>79100</v>
      </c>
      <c r="F52" s="320"/>
      <c r="G52" s="446">
        <v>3094</v>
      </c>
      <c r="H52" s="446">
        <v>540000100</v>
      </c>
      <c r="I52" s="320"/>
      <c r="J52" s="464">
        <v>11</v>
      </c>
      <c r="K52" s="442">
        <f>VLOOKUP(B52,'Utfördelat tom aug'!$A$3:$L$28,12,FALSE)</f>
        <v>179255.37440476188</v>
      </c>
      <c r="L52" s="440">
        <f>(D52+E52-K52)/4</f>
        <v>18606.443898809528</v>
      </c>
      <c r="M52" s="446" t="s">
        <v>805</v>
      </c>
      <c r="N52" s="464" t="s">
        <v>427</v>
      </c>
      <c r="O52" s="319"/>
      <c r="P52" s="444"/>
      <c r="Q52" s="444"/>
      <c r="S52" s="319">
        <v>5500</v>
      </c>
      <c r="T52" s="443" t="str">
        <f>VLOOKUP(S52,[1]Orgenheter!$A$3:$C$165,2,FALSE)</f>
        <v xml:space="preserve">Kemiska institutionen         </v>
      </c>
      <c r="U52" s="445">
        <v>141423.42499999999</v>
      </c>
      <c r="V52" s="445">
        <v>62150</v>
      </c>
      <c r="X52" s="444"/>
      <c r="Y52" s="445"/>
      <c r="Z52" s="445"/>
    </row>
    <row r="53" spans="1:26" ht="22.5" customHeight="1" x14ac:dyDescent="0.25">
      <c r="B53" s="446"/>
      <c r="C53" s="450"/>
      <c r="D53" s="446"/>
      <c r="E53" s="446"/>
      <c r="F53" s="320"/>
      <c r="G53" s="446">
        <v>3094</v>
      </c>
      <c r="H53" s="446">
        <v>600011100</v>
      </c>
      <c r="I53" s="320"/>
      <c r="J53" s="464">
        <v>11</v>
      </c>
      <c r="K53" s="452"/>
      <c r="L53" s="471">
        <f>L52</f>
        <v>18606.443898809528</v>
      </c>
      <c r="M53" s="446" t="s">
        <v>806</v>
      </c>
      <c r="N53" s="464" t="s">
        <v>427</v>
      </c>
      <c r="O53" s="444"/>
      <c r="P53" s="444"/>
      <c r="Q53" s="444"/>
      <c r="S53" s="321">
        <v>5700</v>
      </c>
      <c r="T53" s="443" t="s">
        <v>313</v>
      </c>
      <c r="U53" s="445">
        <v>12856.674999999999</v>
      </c>
      <c r="V53" s="445">
        <v>5650</v>
      </c>
      <c r="X53" s="444"/>
      <c r="Y53" s="445"/>
      <c r="Z53" s="445"/>
    </row>
    <row r="54" spans="1:26" ht="22.5" customHeight="1" x14ac:dyDescent="0.25">
      <c r="B54" s="446">
        <v>5410</v>
      </c>
      <c r="C54" s="450" t="s">
        <v>1077</v>
      </c>
      <c r="D54" s="471">
        <f>U51</f>
        <v>0</v>
      </c>
      <c r="E54" s="471">
        <f>V51</f>
        <v>0</v>
      </c>
      <c r="F54" s="320"/>
      <c r="G54" s="446">
        <v>3094</v>
      </c>
      <c r="H54" s="446">
        <v>541000100</v>
      </c>
      <c r="I54" s="320"/>
      <c r="J54" s="464">
        <v>11</v>
      </c>
      <c r="K54" s="442">
        <f>VLOOKUP(B54,'Utfördelat tom aug'!$A$3:$L$28,12,FALSE)</f>
        <v>0</v>
      </c>
      <c r="L54" s="440">
        <f>(D54+E54-K54)/4</f>
        <v>0</v>
      </c>
      <c r="M54" s="446" t="s">
        <v>805</v>
      </c>
      <c r="N54" s="464" t="s">
        <v>427</v>
      </c>
      <c r="O54" s="444"/>
      <c r="P54" s="444"/>
      <c r="Q54" s="444"/>
      <c r="S54" s="319">
        <v>5730</v>
      </c>
      <c r="T54" s="443" t="str">
        <f>VLOOKUP(S54,[1]Orgenheter!$A$3:$C$165,2,FALSE)</f>
        <v>Inst för MA och MA statistik</v>
      </c>
      <c r="U54" s="445">
        <v>3137204.2442499977</v>
      </c>
      <c r="V54" s="445">
        <v>1235400</v>
      </c>
      <c r="X54" s="444"/>
      <c r="Y54" s="445"/>
      <c r="Z54" s="445"/>
    </row>
    <row r="55" spans="1:26" ht="22.5" customHeight="1" x14ac:dyDescent="0.25">
      <c r="B55" s="446"/>
      <c r="C55" s="450"/>
      <c r="D55" s="446"/>
      <c r="E55" s="446"/>
      <c r="F55" s="320"/>
      <c r="G55" s="446">
        <v>3094</v>
      </c>
      <c r="H55" s="446">
        <v>600011100</v>
      </c>
      <c r="I55" s="320"/>
      <c r="J55" s="464">
        <v>11</v>
      </c>
      <c r="K55" s="452"/>
      <c r="L55" s="471">
        <f>L54</f>
        <v>0</v>
      </c>
      <c r="M55" s="446" t="s">
        <v>806</v>
      </c>
      <c r="N55" s="464" t="s">
        <v>427</v>
      </c>
      <c r="O55" s="444"/>
      <c r="P55" s="444"/>
      <c r="Q55" s="444"/>
      <c r="S55" s="319">
        <v>5740</v>
      </c>
      <c r="T55" s="443" t="str">
        <f>VLOOKUP(S55,[1]Orgenheter!$A$3:$C$165,2,FALSE)</f>
        <v>NMD</v>
      </c>
      <c r="U55" s="445">
        <v>10694917.531247856</v>
      </c>
      <c r="V55" s="445">
        <v>3440512.1242424245</v>
      </c>
      <c r="X55" s="437"/>
      <c r="Y55" s="445"/>
      <c r="Z55" s="445"/>
    </row>
    <row r="56" spans="1:26" ht="22.5" customHeight="1" x14ac:dyDescent="0.25">
      <c r="B56" s="446">
        <v>5500</v>
      </c>
      <c r="C56" s="450" t="s">
        <v>165</v>
      </c>
      <c r="D56" s="471">
        <f>U52</f>
        <v>141423.42499999999</v>
      </c>
      <c r="E56" s="471">
        <f>V52</f>
        <v>62150</v>
      </c>
      <c r="F56" s="446"/>
      <c r="G56" s="446">
        <v>3094</v>
      </c>
      <c r="H56" s="446">
        <v>550001100</v>
      </c>
      <c r="I56" s="446"/>
      <c r="J56" s="446">
        <v>11</v>
      </c>
      <c r="K56" s="442">
        <f>VLOOKUP(B56,'Utfördelat tom aug'!$A$3:$L$28,12,FALSE)</f>
        <v>169203.88571428566</v>
      </c>
      <c r="L56" s="440">
        <f>(D56+E56-K56)/4</f>
        <v>8592.3848214285827</v>
      </c>
      <c r="M56" s="446" t="s">
        <v>805</v>
      </c>
      <c r="N56" s="446" t="s">
        <v>427</v>
      </c>
      <c r="O56" s="444"/>
      <c r="P56" s="444"/>
      <c r="Q56" s="444"/>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8592.3848214285827</v>
      </c>
      <c r="M57" s="446" t="s">
        <v>806</v>
      </c>
      <c r="N57" s="446" t="s">
        <v>427</v>
      </c>
      <c r="O57" s="472"/>
      <c r="P57" s="472"/>
      <c r="Q57" s="472"/>
      <c r="X57" s="437"/>
      <c r="Y57" s="445"/>
      <c r="Z57" s="445"/>
    </row>
    <row r="58" spans="1:26" ht="22.5" customHeight="1" x14ac:dyDescent="0.25">
      <c r="B58" s="446">
        <v>5700</v>
      </c>
      <c r="C58" s="450" t="s">
        <v>313</v>
      </c>
      <c r="D58" s="471">
        <f>U53</f>
        <v>12856.674999999999</v>
      </c>
      <c r="E58" s="471">
        <f>V53</f>
        <v>5650</v>
      </c>
      <c r="G58" s="446">
        <v>3094</v>
      </c>
      <c r="H58" s="446">
        <v>570001100</v>
      </c>
      <c r="J58" s="446">
        <v>11</v>
      </c>
      <c r="K58" s="442">
        <f>VLOOKUP(B58,'Utfördelat tom aug'!$A$3:$L$28,12,FALSE)</f>
        <v>10134.607738095237</v>
      </c>
      <c r="L58" s="440">
        <f>(D58+E58-K58)/4</f>
        <v>2093.0168154761905</v>
      </c>
      <c r="M58" s="446" t="s">
        <v>805</v>
      </c>
      <c r="N58" s="446" t="s">
        <v>427</v>
      </c>
      <c r="O58" s="444"/>
      <c r="P58" s="444"/>
      <c r="Q58" s="444"/>
      <c r="X58" s="437"/>
      <c r="Y58" s="445"/>
      <c r="Z58" s="445"/>
    </row>
    <row r="59" spans="1:26" ht="22.5" customHeight="1" x14ac:dyDescent="0.25">
      <c r="G59" s="446">
        <v>3094</v>
      </c>
      <c r="H59" s="446">
        <v>600011100</v>
      </c>
      <c r="I59" s="446"/>
      <c r="J59" s="446">
        <v>11</v>
      </c>
      <c r="L59" s="471">
        <f>L58</f>
        <v>2093.0168154761905</v>
      </c>
      <c r="M59" s="446" t="s">
        <v>806</v>
      </c>
      <c r="N59" s="446" t="s">
        <v>427</v>
      </c>
      <c r="O59" s="472"/>
      <c r="P59" s="472"/>
      <c r="Q59" s="472"/>
      <c r="X59" s="437"/>
      <c r="Y59" s="445"/>
      <c r="Z59" s="445"/>
    </row>
    <row r="60" spans="1:26" ht="22.5" customHeight="1" x14ac:dyDescent="0.25">
      <c r="A60" s="441"/>
      <c r="B60" s="441">
        <v>5730</v>
      </c>
      <c r="C60" s="439" t="s">
        <v>166</v>
      </c>
      <c r="D60" s="468">
        <f>U54</f>
        <v>3137204.2442499977</v>
      </c>
      <c r="E60" s="468">
        <f>V54</f>
        <v>1235400</v>
      </c>
      <c r="F60" s="441"/>
      <c r="G60" s="441">
        <v>3094</v>
      </c>
      <c r="H60" s="441">
        <v>573000111</v>
      </c>
      <c r="I60" s="441"/>
      <c r="J60" s="441">
        <v>11</v>
      </c>
      <c r="K60" s="442">
        <f>VLOOKUP(B60,'Utfördelat tom aug'!$A$3:$L$28,12,FALSE)</f>
        <v>3033388.3333412674</v>
      </c>
      <c r="L60" s="440">
        <f>(D60+E60-K60)/4</f>
        <v>334803.97772718256</v>
      </c>
      <c r="M60" s="441" t="s">
        <v>805</v>
      </c>
      <c r="N60" s="441" t="s">
        <v>427</v>
      </c>
      <c r="O60" s="444"/>
      <c r="P60" s="444"/>
      <c r="Q60" s="444"/>
      <c r="X60" s="437"/>
      <c r="Y60" s="445"/>
      <c r="Z60" s="445"/>
    </row>
    <row r="61" spans="1:26" ht="22.5" customHeight="1" x14ac:dyDescent="0.25">
      <c r="A61" s="441"/>
      <c r="B61" s="441"/>
      <c r="C61" s="439"/>
      <c r="F61" s="441"/>
      <c r="G61" s="441">
        <v>3094</v>
      </c>
      <c r="H61" s="441">
        <v>600011100</v>
      </c>
      <c r="I61" s="441"/>
      <c r="J61" s="441">
        <v>11</v>
      </c>
      <c r="K61" s="442"/>
      <c r="L61" s="468">
        <f>L60</f>
        <v>334803.97772718256</v>
      </c>
      <c r="M61" s="441" t="s">
        <v>806</v>
      </c>
      <c r="N61" s="441" t="s">
        <v>427</v>
      </c>
      <c r="O61" s="444"/>
      <c r="P61" s="444"/>
      <c r="Q61" s="444"/>
      <c r="X61" s="437"/>
      <c r="Z61" s="445"/>
    </row>
    <row r="62" spans="1:26" ht="22.5" customHeight="1" x14ac:dyDescent="0.25">
      <c r="B62" s="441">
        <v>5740</v>
      </c>
      <c r="C62" s="439" t="s">
        <v>461</v>
      </c>
      <c r="D62" s="468">
        <f>U55</f>
        <v>10694917.531247856</v>
      </c>
      <c r="E62" s="468">
        <f>V55</f>
        <v>3440512.1242424245</v>
      </c>
      <c r="F62" s="441"/>
      <c r="G62" s="441">
        <v>3094</v>
      </c>
      <c r="H62" s="446">
        <v>574002011</v>
      </c>
      <c r="I62" s="441"/>
      <c r="J62" s="441">
        <v>11</v>
      </c>
      <c r="K62" s="442">
        <f>VLOOKUP(B62,'Utfördelat tom aug'!$A$3:$L$28,12,FALSE)</f>
        <v>9974636.2679666281</v>
      </c>
      <c r="L62" s="440">
        <f>(D62+E62-K62)/4</f>
        <v>1040198.3468809132</v>
      </c>
      <c r="M62" s="441" t="s">
        <v>805</v>
      </c>
      <c r="N62" s="441" t="s">
        <v>427</v>
      </c>
      <c r="O62" s="472"/>
      <c r="P62" s="472"/>
      <c r="Q62" s="472"/>
      <c r="X62" s="437"/>
      <c r="Z62" s="445"/>
    </row>
    <row r="63" spans="1:26" ht="22.5" customHeight="1" x14ac:dyDescent="0.25">
      <c r="B63" s="441"/>
      <c r="C63" s="438"/>
      <c r="D63" s="441"/>
      <c r="E63" s="441"/>
      <c r="F63" s="441"/>
      <c r="G63" s="441">
        <v>3094</v>
      </c>
      <c r="H63" s="441">
        <v>600011100</v>
      </c>
      <c r="I63" s="441"/>
      <c r="J63" s="441">
        <v>11</v>
      </c>
      <c r="K63" s="442"/>
      <c r="L63" s="468">
        <f>L62</f>
        <v>1040198.3468809132</v>
      </c>
      <c r="M63" s="441" t="s">
        <v>806</v>
      </c>
      <c r="N63" s="441" t="s">
        <v>427</v>
      </c>
      <c r="O63" s="444"/>
      <c r="P63" s="444"/>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100108846.67659165</v>
      </c>
      <c r="E66" s="442">
        <f>SUM(E6:E36,E42:E62)</f>
        <v>23854491.833333332</v>
      </c>
      <c r="L66" s="442"/>
      <c r="X66" s="437"/>
      <c r="Z66" s="445"/>
    </row>
    <row r="67" spans="3:26" x14ac:dyDescent="0.25">
      <c r="D67" s="473" t="s">
        <v>154</v>
      </c>
      <c r="E67" s="455">
        <f>SUM(D66:E66)</f>
        <v>123963338.50992498</v>
      </c>
      <c r="I67" s="542" t="s">
        <v>469</v>
      </c>
      <c r="J67" s="543"/>
      <c r="K67" s="543"/>
      <c r="L67" s="543"/>
      <c r="M67" s="543"/>
      <c r="N67" s="544"/>
      <c r="Z67" s="445"/>
    </row>
    <row r="68" spans="3:26" x14ac:dyDescent="0.25">
      <c r="D68" s="317" t="s">
        <v>2409</v>
      </c>
      <c r="E68" s="442">
        <f>E67/12</f>
        <v>10330278.209160415</v>
      </c>
      <c r="I68" s="477"/>
      <c r="J68" s="473"/>
      <c r="K68" s="473"/>
      <c r="L68" s="473"/>
      <c r="M68" s="473"/>
      <c r="N68" s="478"/>
    </row>
    <row r="69" spans="3:26" x14ac:dyDescent="0.25">
      <c r="I69" s="479" t="s">
        <v>562</v>
      </c>
      <c r="J69" s="480"/>
      <c r="K69" s="480"/>
      <c r="L69" s="480"/>
      <c r="M69" s="480"/>
      <c r="N69" s="517"/>
    </row>
    <row r="70" spans="3:26" x14ac:dyDescent="0.25">
      <c r="C70" s="443"/>
      <c r="D70" s="444"/>
      <c r="E70" s="444"/>
    </row>
    <row r="71" spans="3:26" x14ac:dyDescent="0.25">
      <c r="I71" s="545" t="s">
        <v>422</v>
      </c>
      <c r="J71" s="543"/>
      <c r="K71" s="543"/>
      <c r="L71" s="543"/>
      <c r="M71" s="543"/>
      <c r="N71" s="544"/>
    </row>
    <row r="72" spans="3:26" x14ac:dyDescent="0.25">
      <c r="D72" s="442"/>
      <c r="E72" s="442"/>
      <c r="I72" s="477"/>
      <c r="J72" s="473"/>
      <c r="K72" s="473"/>
      <c r="L72" s="473"/>
      <c r="M72" s="473"/>
      <c r="N72" s="478"/>
    </row>
    <row r="73" spans="3:26" x14ac:dyDescent="0.25">
      <c r="I73" s="479" t="s">
        <v>1695</v>
      </c>
      <c r="J73" s="480"/>
      <c r="K73" s="480"/>
      <c r="L73" s="480"/>
      <c r="M73" s="480"/>
      <c r="N73" s="517"/>
    </row>
  </sheetData>
  <sheetProtection sheet="1" objects="1" scenarios="1"/>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U6" sqref="U6:U8"/>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8.425781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517"/>
      <c r="O1" s="319"/>
      <c r="P1" s="319"/>
      <c r="Q1" s="319"/>
    </row>
    <row r="2" spans="1:26" ht="27.75" customHeight="1" x14ac:dyDescent="0.3">
      <c r="C2" s="541" t="s">
        <v>2189</v>
      </c>
      <c r="D2" s="429"/>
      <c r="L2" s="426" t="s">
        <v>421</v>
      </c>
      <c r="M2" s="426"/>
      <c r="N2" s="517"/>
      <c r="O2" s="319"/>
      <c r="P2" s="319"/>
      <c r="Q2" s="319"/>
    </row>
    <row r="3" spans="1:26" ht="27.75" customHeight="1" x14ac:dyDescent="0.25">
      <c r="A3" s="319"/>
      <c r="B3" s="319"/>
      <c r="O3" s="590"/>
      <c r="P3" s="591"/>
      <c r="Q3" s="591"/>
      <c r="R3" s="591"/>
      <c r="S3" s="591"/>
      <c r="T3" s="591"/>
    </row>
    <row r="4" spans="1:26" ht="51.75" customHeight="1" x14ac:dyDescent="0.25">
      <c r="A4" s="430" t="s">
        <v>71</v>
      </c>
      <c r="B4" s="430" t="s">
        <v>804</v>
      </c>
      <c r="C4" s="430" t="s">
        <v>35</v>
      </c>
      <c r="D4" s="431" t="s">
        <v>2190</v>
      </c>
      <c r="E4" s="431" t="s">
        <v>2191</v>
      </c>
      <c r="G4" s="432" t="s">
        <v>423</v>
      </c>
      <c r="H4" s="432" t="s">
        <v>424</v>
      </c>
      <c r="I4" s="432"/>
      <c r="J4" s="432" t="s">
        <v>425</v>
      </c>
      <c r="K4" s="433" t="s">
        <v>2192</v>
      </c>
      <c r="L4" s="433" t="s">
        <v>2410</v>
      </c>
      <c r="M4" s="432" t="s">
        <v>428</v>
      </c>
      <c r="N4" s="432" t="s">
        <v>426</v>
      </c>
      <c r="O4" s="434"/>
      <c r="P4" s="435"/>
      <c r="Q4" s="435"/>
      <c r="T4" s="436" t="s">
        <v>462</v>
      </c>
    </row>
    <row r="5" spans="1:26" ht="22.5" customHeight="1" x14ac:dyDescent="0.25">
      <c r="O5" s="319"/>
      <c r="P5" s="440"/>
      <c r="Q5" s="440"/>
      <c r="T5" s="317">
        <v>2021</v>
      </c>
      <c r="U5" s="317" t="s">
        <v>375</v>
      </c>
      <c r="V5" s="317" t="s">
        <v>149</v>
      </c>
      <c r="X5" s="437"/>
    </row>
    <row r="6" spans="1:26" ht="22.5" customHeight="1" x14ac:dyDescent="0.25">
      <c r="A6" s="438" t="s">
        <v>410</v>
      </c>
      <c r="B6" s="438">
        <v>1620</v>
      </c>
      <c r="C6" s="439" t="s">
        <v>176</v>
      </c>
      <c r="D6" s="440">
        <f>U6</f>
        <v>13657717.329577491</v>
      </c>
      <c r="E6" s="440">
        <f>V6</f>
        <v>2117374.6666666665</v>
      </c>
      <c r="F6" s="441"/>
      <c r="G6" s="441">
        <v>3094</v>
      </c>
      <c r="H6" s="441">
        <v>162000100</v>
      </c>
      <c r="I6" s="441"/>
      <c r="J6" s="441">
        <v>11</v>
      </c>
      <c r="K6" s="442">
        <f>VLOOKUP(B6,'Utfördelat tom maj'!$A$3:$G$28,7,FALSE)</f>
        <v>6637236.7958864542</v>
      </c>
      <c r="L6" s="440">
        <f>(D6+E6-K6)/7</f>
        <v>1305407.885765386</v>
      </c>
      <c r="M6" s="441" t="s">
        <v>805</v>
      </c>
      <c r="N6" s="441" t="s">
        <v>427</v>
      </c>
      <c r="O6" s="436"/>
      <c r="P6" s="440"/>
      <c r="Q6" s="440"/>
      <c r="S6" s="436">
        <v>1620</v>
      </c>
      <c r="T6" s="443" t="str">
        <f>VLOOKUP(S6,[1]Orgenheter!$A$3:$C$165,2,FALSE)</f>
        <v>Inst för språkstudier</v>
      </c>
      <c r="U6" s="445">
        <v>13657717.329577491</v>
      </c>
      <c r="V6" s="445">
        <v>2117374.6666666665</v>
      </c>
      <c r="X6" s="445"/>
      <c r="Y6" s="445"/>
      <c r="Z6" s="445"/>
    </row>
    <row r="7" spans="1:26" ht="22.5" customHeight="1" x14ac:dyDescent="0.25">
      <c r="A7" s="441"/>
      <c r="B7" s="441"/>
      <c r="C7" s="438"/>
      <c r="D7" s="441"/>
      <c r="E7" s="441"/>
      <c r="F7" s="441"/>
      <c r="G7" s="441">
        <v>3094</v>
      </c>
      <c r="H7" s="441">
        <v>600011100</v>
      </c>
      <c r="I7" s="441"/>
      <c r="J7" s="441">
        <v>11</v>
      </c>
      <c r="K7" s="442"/>
      <c r="L7" s="440">
        <f>L6</f>
        <v>1305407.885765386</v>
      </c>
      <c r="M7" s="441" t="s">
        <v>806</v>
      </c>
      <c r="N7" s="441" t="s">
        <v>427</v>
      </c>
      <c r="O7" s="319"/>
      <c r="P7" s="440"/>
      <c r="Q7" s="440"/>
      <c r="S7" s="319">
        <v>1630</v>
      </c>
      <c r="T7" s="443" t="str">
        <f>VLOOKUP(S7,[1]Orgenheter!$A$3:$C$165,2,FALSE)</f>
        <v>Inst för ide- o samhällsstudier</v>
      </c>
      <c r="U7" s="445">
        <v>9056473.478493873</v>
      </c>
      <c r="V7" s="445">
        <v>1133811.3</v>
      </c>
      <c r="X7" s="445"/>
      <c r="Y7" s="445"/>
      <c r="Z7" s="445"/>
    </row>
    <row r="8" spans="1:26" ht="22.5" customHeight="1" x14ac:dyDescent="0.25">
      <c r="A8" s="441"/>
      <c r="B8" s="441">
        <v>1630</v>
      </c>
      <c r="C8" s="439" t="s">
        <v>172</v>
      </c>
      <c r="D8" s="440">
        <f>U7</f>
        <v>9056473.478493873</v>
      </c>
      <c r="E8" s="440">
        <f>V7</f>
        <v>1133811.3</v>
      </c>
      <c r="F8" s="441"/>
      <c r="G8" s="441">
        <v>3094</v>
      </c>
      <c r="H8" s="446">
        <v>163000100</v>
      </c>
      <c r="I8" s="441"/>
      <c r="J8" s="441">
        <v>11</v>
      </c>
      <c r="K8" s="442">
        <f>VLOOKUP(B8,'Utfördelat tom maj'!$A$3:$G$28,7,FALSE)</f>
        <v>4235760.8527699625</v>
      </c>
      <c r="L8" s="440">
        <f>(D8+E8-K8)/7</f>
        <v>850646.27510341594</v>
      </c>
      <c r="M8" s="441" t="s">
        <v>805</v>
      </c>
      <c r="N8" s="441" t="s">
        <v>427</v>
      </c>
      <c r="O8" s="319"/>
      <c r="P8" s="440"/>
      <c r="Q8" s="440"/>
      <c r="S8" s="319">
        <v>1640</v>
      </c>
      <c r="T8" s="443" t="str">
        <f>VLOOKUP(S8,[1]Orgenheter!$A$3:$C$165,2,FALSE)</f>
        <v>Inst för kultur- o medievetenskap</v>
      </c>
      <c r="U8" s="445">
        <v>2414251.1135373749</v>
      </c>
      <c r="V8" s="445">
        <v>341335.7</v>
      </c>
      <c r="X8" s="445"/>
      <c r="Y8" s="445"/>
      <c r="Z8" s="445"/>
    </row>
    <row r="9" spans="1:26" ht="22.5" customHeight="1" x14ac:dyDescent="0.25">
      <c r="A9" s="441"/>
      <c r="B9" s="441"/>
      <c r="C9" s="438"/>
      <c r="D9" s="441"/>
      <c r="E9" s="441"/>
      <c r="F9" s="441"/>
      <c r="G9" s="441">
        <v>3094</v>
      </c>
      <c r="H9" s="441">
        <v>600011100</v>
      </c>
      <c r="I9" s="441"/>
      <c r="J9" s="441">
        <v>11</v>
      </c>
      <c r="K9" s="442"/>
      <c r="L9" s="440">
        <f>L8</f>
        <v>850646.27510341594</v>
      </c>
      <c r="M9" s="441" t="s">
        <v>806</v>
      </c>
      <c r="N9" s="441" t="s">
        <v>427</v>
      </c>
      <c r="O9" s="321"/>
      <c r="P9" s="440"/>
      <c r="Q9" s="440"/>
      <c r="S9" s="447">
        <v>1650</v>
      </c>
      <c r="T9" s="448" t="str">
        <f>VLOOKUP(S9,[1]Orgenheter!$A$3:$C$165,2,FALSE)</f>
        <v xml:space="preserve">Estetiska ämnen               </v>
      </c>
      <c r="U9" s="449">
        <v>14908063.508102501</v>
      </c>
      <c r="V9" s="449">
        <v>7461935.5</v>
      </c>
      <c r="X9" s="445"/>
      <c r="Y9" s="445"/>
      <c r="Z9" s="445"/>
    </row>
    <row r="10" spans="1:26" ht="22.5" customHeight="1" x14ac:dyDescent="0.25">
      <c r="A10" s="441"/>
      <c r="B10" s="441">
        <v>1640</v>
      </c>
      <c r="C10" s="450" t="s">
        <v>173</v>
      </c>
      <c r="D10" s="440">
        <f>U8</f>
        <v>2414251.1135373749</v>
      </c>
      <c r="E10" s="440">
        <f>V8</f>
        <v>341335.7</v>
      </c>
      <c r="F10" s="441"/>
      <c r="G10" s="441">
        <v>3094</v>
      </c>
      <c r="H10" s="441">
        <v>164016100</v>
      </c>
      <c r="I10" s="441"/>
      <c r="J10" s="441">
        <v>11</v>
      </c>
      <c r="K10" s="442">
        <f>VLOOKUP(B10,'Utfördelat tom maj'!$A$3:$G$28,7,FALSE)</f>
        <v>1162876.941205729</v>
      </c>
      <c r="L10" s="440">
        <f>(D10+E10-K10)/7</f>
        <v>227529.98176166372</v>
      </c>
      <c r="M10" s="441" t="s">
        <v>805</v>
      </c>
      <c r="N10" s="441" t="s">
        <v>427</v>
      </c>
      <c r="O10" s="444"/>
      <c r="P10" s="444"/>
      <c r="Q10" s="444"/>
      <c r="T10" s="425" t="s">
        <v>466</v>
      </c>
      <c r="U10" s="451">
        <v>-581743.75000000012</v>
      </c>
      <c r="V10" s="451">
        <v>-878362.5</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227529.98176166372</v>
      </c>
      <c r="M11" s="441" t="s">
        <v>806</v>
      </c>
      <c r="N11" s="441" t="s">
        <v>427</v>
      </c>
      <c r="O11" s="444"/>
      <c r="P11" s="444"/>
      <c r="Q11" s="444"/>
      <c r="U11" s="445"/>
      <c r="V11" s="445"/>
      <c r="X11" s="437"/>
      <c r="Y11" s="445"/>
      <c r="Z11" s="445"/>
    </row>
    <row r="12" spans="1:26" ht="22.5" customHeight="1" x14ac:dyDescent="0.25">
      <c r="A12" s="441"/>
      <c r="B12" s="446">
        <v>1650</v>
      </c>
      <c r="C12" s="450" t="s">
        <v>11</v>
      </c>
      <c r="D12" s="453">
        <f>U9+U10</f>
        <v>14326319.758102501</v>
      </c>
      <c r="E12" s="453">
        <f>V9+V10</f>
        <v>6583573</v>
      </c>
      <c r="F12" s="446"/>
      <c r="G12" s="446">
        <v>3094</v>
      </c>
      <c r="H12" s="446">
        <v>165000001</v>
      </c>
      <c r="I12" s="446"/>
      <c r="J12" s="446">
        <v>11</v>
      </c>
      <c r="K12" s="442">
        <f>VLOOKUP(B12,'Utfördelat tom maj'!$A$3:$G$28,7,FALSE)</f>
        <v>9161070.8540531211</v>
      </c>
      <c r="L12" s="440">
        <f>(D12+E12-K12)/7</f>
        <v>1678403.1291499112</v>
      </c>
      <c r="M12" s="446" t="s">
        <v>805</v>
      </c>
      <c r="N12" s="446" t="s">
        <v>427</v>
      </c>
      <c r="O12" s="444"/>
      <c r="P12" s="444"/>
      <c r="Q12" s="444"/>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1678403.1291499112</v>
      </c>
      <c r="M13" s="446" t="s">
        <v>806</v>
      </c>
      <c r="N13" s="446" t="s">
        <v>427</v>
      </c>
      <c r="O13" s="444"/>
      <c r="P13" s="444"/>
      <c r="Q13" s="444"/>
      <c r="X13" s="437"/>
    </row>
    <row r="14" spans="1:26" ht="22.5" customHeight="1" x14ac:dyDescent="0.25">
      <c r="A14" s="454"/>
      <c r="B14" s="454"/>
      <c r="C14" s="454"/>
      <c r="D14" s="454"/>
      <c r="E14" s="454"/>
      <c r="F14" s="454"/>
      <c r="G14" s="454"/>
      <c r="H14" s="454"/>
      <c r="I14" s="454"/>
      <c r="J14" s="454"/>
      <c r="K14" s="455"/>
      <c r="L14" s="456"/>
      <c r="M14" s="454"/>
      <c r="N14" s="454"/>
      <c r="O14" s="444"/>
      <c r="P14" s="444"/>
      <c r="Q14" s="444"/>
      <c r="X14" s="437"/>
    </row>
    <row r="15" spans="1:26" ht="22.5" customHeight="1" x14ac:dyDescent="0.25">
      <c r="A15" s="438"/>
      <c r="K15" s="442"/>
      <c r="O15" s="444"/>
      <c r="P15" s="444"/>
      <c r="Q15" s="444"/>
      <c r="T15" s="317">
        <v>2021</v>
      </c>
      <c r="U15" s="317" t="s">
        <v>375</v>
      </c>
      <c r="V15" s="317" t="s">
        <v>149</v>
      </c>
      <c r="X15" s="437"/>
    </row>
    <row r="16" spans="1:26" ht="22.5" customHeight="1" x14ac:dyDescent="0.25">
      <c r="A16" s="441" t="s">
        <v>411</v>
      </c>
      <c r="B16" s="441">
        <v>2180</v>
      </c>
      <c r="C16" s="439" t="s">
        <v>192</v>
      </c>
      <c r="D16" s="440">
        <f>U16</f>
        <v>18137463.752738506</v>
      </c>
      <c r="E16" s="457">
        <f>V16</f>
        <v>3467089.5454545459</v>
      </c>
      <c r="F16" s="441"/>
      <c r="G16" s="441">
        <v>3094</v>
      </c>
      <c r="H16" s="446">
        <v>218000101</v>
      </c>
      <c r="I16" s="441"/>
      <c r="J16" s="441">
        <v>11</v>
      </c>
      <c r="K16" s="442">
        <f>VLOOKUP(B16,'Utfördelat tom maj'!$A$3:$G$28,5,FALSE)</f>
        <v>7746845.8873585062</v>
      </c>
      <c r="L16" s="440">
        <f>(D16-K16)/7</f>
        <v>1484373.9807685714</v>
      </c>
      <c r="M16" s="441" t="s">
        <v>805</v>
      </c>
      <c r="N16" s="441" t="s">
        <v>464</v>
      </c>
      <c r="O16" s="319"/>
      <c r="P16" s="444"/>
      <c r="Q16" s="458"/>
      <c r="S16" s="319">
        <v>2180</v>
      </c>
      <c r="T16" s="443" t="str">
        <f>VLOOKUP(S16,[1]Orgenheter!$A$3:$C$165,2,FALSE)</f>
        <v xml:space="preserve">Pedagogik                     </v>
      </c>
      <c r="U16" s="445">
        <v>18137463.752738506</v>
      </c>
      <c r="V16" s="445">
        <v>3467089.5454545459</v>
      </c>
      <c r="X16" s="445"/>
      <c r="Y16" s="445"/>
      <c r="Z16" s="445"/>
    </row>
    <row r="17" spans="1:26" ht="22.5" customHeight="1" x14ac:dyDescent="0.25">
      <c r="B17" s="441"/>
      <c r="C17" s="450"/>
      <c r="D17" s="440"/>
      <c r="E17" s="457"/>
      <c r="F17" s="441"/>
      <c r="G17" s="441">
        <v>3094</v>
      </c>
      <c r="H17" s="441">
        <v>600011100</v>
      </c>
      <c r="I17" s="441"/>
      <c r="J17" s="441">
        <v>11</v>
      </c>
      <c r="K17" s="442"/>
      <c r="L17" s="440">
        <f>L16</f>
        <v>1484373.9807685714</v>
      </c>
      <c r="M17" s="441" t="s">
        <v>806</v>
      </c>
      <c r="N17" s="441" t="s">
        <v>464</v>
      </c>
      <c r="O17" s="319"/>
      <c r="P17" s="444"/>
      <c r="S17" s="319">
        <v>2193</v>
      </c>
      <c r="T17" s="443" t="str">
        <f>VLOOKUP(S17,[1]Orgenheter!$A$3:$C$165,2,FALSE)</f>
        <v xml:space="preserve">TUV </v>
      </c>
      <c r="U17" s="445">
        <v>21476314.465891831</v>
      </c>
      <c r="V17" s="445">
        <v>3010090.812121212</v>
      </c>
      <c r="X17" s="445"/>
      <c r="Y17" s="445"/>
      <c r="Z17" s="445"/>
    </row>
    <row r="18" spans="1:26" ht="22.5" customHeight="1" x14ac:dyDescent="0.25">
      <c r="B18" s="441">
        <v>2193</v>
      </c>
      <c r="C18" s="439" t="s">
        <v>441</v>
      </c>
      <c r="D18" s="440">
        <f>U17</f>
        <v>21476314.465891831</v>
      </c>
      <c r="E18" s="457">
        <f>V17</f>
        <v>3010090.812121212</v>
      </c>
      <c r="F18" s="441"/>
      <c r="G18" s="441">
        <v>3094</v>
      </c>
      <c r="H18" s="441">
        <v>219300001</v>
      </c>
      <c r="I18" s="441"/>
      <c r="J18" s="441">
        <v>11</v>
      </c>
      <c r="K18" s="442">
        <f>VLOOKUP(B18,'Utfördelat tom maj'!$A$3:$G$28,5,FALSE)</f>
        <v>8930853.7960017379</v>
      </c>
      <c r="L18" s="440">
        <f>(D18-K18)/7</f>
        <v>1792208.6671271562</v>
      </c>
      <c r="M18" s="441" t="s">
        <v>805</v>
      </c>
      <c r="N18" s="441" t="s">
        <v>464</v>
      </c>
      <c r="O18" s="319"/>
      <c r="P18" s="444"/>
      <c r="Q18" s="458"/>
      <c r="S18" s="319">
        <v>2200</v>
      </c>
      <c r="T18" s="443" t="str">
        <f>VLOOKUP(S18,[1]Orgenheter!$A$3:$C$165,2,FALSE)</f>
        <v xml:space="preserve">Inst för psykologi            </v>
      </c>
      <c r="U18" s="445">
        <v>2132704.1800733749</v>
      </c>
      <c r="V18" s="445">
        <v>277089.09999999998</v>
      </c>
      <c r="X18" s="445"/>
      <c r="Y18" s="445"/>
      <c r="Z18" s="445"/>
    </row>
    <row r="19" spans="1:26" ht="22.5" customHeight="1" x14ac:dyDescent="0.25">
      <c r="B19" s="441"/>
      <c r="C19" s="438"/>
      <c r="D19" s="441"/>
      <c r="E19" s="459"/>
      <c r="F19" s="441"/>
      <c r="G19" s="441">
        <v>3094</v>
      </c>
      <c r="H19" s="441">
        <v>600011100</v>
      </c>
      <c r="I19" s="441"/>
      <c r="J19" s="441">
        <v>11</v>
      </c>
      <c r="K19" s="442"/>
      <c r="L19" s="440">
        <f>L18</f>
        <v>1792208.6671271562</v>
      </c>
      <c r="M19" s="441" t="s">
        <v>806</v>
      </c>
      <c r="N19" s="441" t="s">
        <v>464</v>
      </c>
      <c r="O19" s="321"/>
      <c r="P19" s="444"/>
      <c r="Q19" s="458"/>
      <c r="S19" s="321">
        <v>2220</v>
      </c>
      <c r="T19" s="443" t="str">
        <f>VLOOKUP(S19,[1]Orgenheter!$A$3:$C$165,2,FALSE)</f>
        <v xml:space="preserve">Sociologi                     </v>
      </c>
      <c r="U19" s="445">
        <v>152261.29260000002</v>
      </c>
      <c r="V19" s="445">
        <v>27600.000000000004</v>
      </c>
      <c r="X19" s="445"/>
      <c r="Y19" s="445"/>
      <c r="Z19" s="445"/>
    </row>
    <row r="20" spans="1:26" ht="22.5" customHeight="1" x14ac:dyDescent="0.25">
      <c r="A20" s="441"/>
      <c r="B20" s="441">
        <v>2200</v>
      </c>
      <c r="C20" s="439" t="s">
        <v>571</v>
      </c>
      <c r="D20" s="440">
        <f>U18</f>
        <v>2132704.1800733749</v>
      </c>
      <c r="E20" s="457">
        <f>V18</f>
        <v>277089.09999999998</v>
      </c>
      <c r="F20" s="441"/>
      <c r="G20" s="441">
        <v>3094</v>
      </c>
      <c r="H20" s="441">
        <v>220000100</v>
      </c>
      <c r="I20" s="441"/>
      <c r="J20" s="441">
        <v>11</v>
      </c>
      <c r="K20" s="442">
        <f>VLOOKUP(B20,'Utfördelat tom maj'!$A$3:$G$28,5,FALSE)</f>
        <v>892075.4123776044</v>
      </c>
      <c r="L20" s="440">
        <f>(D20-K20)/7</f>
        <v>177232.68109939579</v>
      </c>
      <c r="M20" s="441" t="s">
        <v>805</v>
      </c>
      <c r="N20" s="441" t="s">
        <v>464</v>
      </c>
      <c r="O20" s="319"/>
      <c r="P20" s="444"/>
      <c r="Q20" s="458"/>
      <c r="S20" s="319">
        <v>2271</v>
      </c>
      <c r="T20" s="443" t="s">
        <v>1356</v>
      </c>
      <c r="U20" s="445">
        <v>602882.46754500002</v>
      </c>
      <c r="V20" s="445">
        <v>103920</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177232.68109939579</v>
      </c>
      <c r="M21" s="441" t="s">
        <v>806</v>
      </c>
      <c r="N21" s="441" t="s">
        <v>464</v>
      </c>
      <c r="O21" s="460"/>
      <c r="P21" s="444"/>
      <c r="Q21" s="458"/>
      <c r="S21" s="460">
        <v>2272</v>
      </c>
      <c r="T21" s="443" t="str">
        <f>VLOOKUP(S21,[1]Orgenheter!$A$3:$C$165,2,FALSE)</f>
        <v xml:space="preserve">Statistik                     </v>
      </c>
      <c r="U21" s="445">
        <v>541798.98673125007</v>
      </c>
      <c r="V21" s="445">
        <v>63555.000000000007</v>
      </c>
      <c r="X21" s="445"/>
      <c r="Y21" s="445"/>
      <c r="Z21" s="445"/>
    </row>
    <row r="22" spans="1:26" ht="22.5" customHeight="1" x14ac:dyDescent="0.25">
      <c r="A22" s="441"/>
      <c r="B22" s="441">
        <v>2220</v>
      </c>
      <c r="C22" s="439" t="s">
        <v>195</v>
      </c>
      <c r="D22" s="440">
        <f>U19</f>
        <v>152261.29260000002</v>
      </c>
      <c r="E22" s="457">
        <f>V19</f>
        <v>27600.000000000004</v>
      </c>
      <c r="F22" s="441"/>
      <c r="G22" s="441">
        <v>3094</v>
      </c>
      <c r="H22" s="441">
        <v>222000100</v>
      </c>
      <c r="I22" s="441"/>
      <c r="J22" s="441">
        <v>11</v>
      </c>
      <c r="K22" s="442">
        <f>VLOOKUP(B22,'Utfördelat tom maj'!$A$3:$G$28,5,FALSE)</f>
        <v>68958.918749999997</v>
      </c>
      <c r="L22" s="440">
        <f>(D22-K22)/7</f>
        <v>11900.339121428575</v>
      </c>
      <c r="M22" s="441" t="s">
        <v>805</v>
      </c>
      <c r="N22" s="441" t="s">
        <v>464</v>
      </c>
      <c r="O22" s="321"/>
      <c r="P22" s="444"/>
      <c r="Q22" s="458"/>
      <c r="S22" s="321">
        <v>2300</v>
      </c>
      <c r="T22" s="443" t="str">
        <f>VLOOKUP(S22,[1]Orgenheter!$A$3:$C$165,2,FALSE)</f>
        <v xml:space="preserve">Juridiska institutionen       </v>
      </c>
      <c r="U22" s="445">
        <v>689066.50851038634</v>
      </c>
      <c r="V22" s="445">
        <v>80830.018181818188</v>
      </c>
      <c r="X22" s="445"/>
      <c r="Y22" s="445"/>
      <c r="Z22" s="445"/>
    </row>
    <row r="23" spans="1:26" ht="22.5" customHeight="1" x14ac:dyDescent="0.25">
      <c r="A23" s="441"/>
      <c r="B23" s="441"/>
      <c r="C23" s="450"/>
      <c r="F23" s="441"/>
      <c r="G23" s="441">
        <v>3094</v>
      </c>
      <c r="H23" s="441">
        <v>600011100</v>
      </c>
      <c r="I23" s="441"/>
      <c r="J23" s="441">
        <v>11</v>
      </c>
      <c r="K23" s="442"/>
      <c r="L23" s="440">
        <f>L22</f>
        <v>11900.339121428575</v>
      </c>
      <c r="M23" s="441" t="s">
        <v>806</v>
      </c>
      <c r="N23" s="441" t="s">
        <v>464</v>
      </c>
      <c r="O23" s="319"/>
      <c r="P23" s="444"/>
      <c r="Q23" s="458"/>
      <c r="S23" s="319">
        <v>2340</v>
      </c>
      <c r="T23" s="443" t="str">
        <f>VLOOKUP(S23,[1]Orgenheter!$A$3:$C$165,2,FALSE)</f>
        <v xml:space="preserve">Statsvetenskap                </v>
      </c>
      <c r="U23" s="445">
        <v>2259875.4594988991</v>
      </c>
      <c r="V23" s="445">
        <v>344351.4</v>
      </c>
      <c r="X23" s="445"/>
      <c r="Y23" s="445"/>
      <c r="Z23" s="445"/>
    </row>
    <row r="24" spans="1:26" ht="22.5" customHeight="1" x14ac:dyDescent="0.25">
      <c r="B24" s="441">
        <v>2271</v>
      </c>
      <c r="C24" s="450" t="s">
        <v>1356</v>
      </c>
      <c r="D24" s="440">
        <f>U20</f>
        <v>602882.46754500002</v>
      </c>
      <c r="E24" s="457">
        <f>V20</f>
        <v>103920</v>
      </c>
      <c r="G24" s="446">
        <v>3094</v>
      </c>
      <c r="H24" s="446">
        <v>227100100</v>
      </c>
      <c r="J24" s="441">
        <v>11</v>
      </c>
      <c r="K24" s="442">
        <f>VLOOKUP(B24,'Utfördelat tom maj'!$A$3:$G$28,5,FALSE)</f>
        <v>258218.52499375003</v>
      </c>
      <c r="L24" s="440">
        <f>(D24-K24)/7</f>
        <v>49237.706078750001</v>
      </c>
      <c r="M24" s="441" t="s">
        <v>805</v>
      </c>
      <c r="N24" s="441" t="s">
        <v>464</v>
      </c>
      <c r="O24" s="460"/>
      <c r="P24" s="444"/>
      <c r="Q24" s="458"/>
      <c r="S24" s="460">
        <v>2360</v>
      </c>
      <c r="T24" s="443" t="str">
        <f>VLOOKUP(S24,[1]Orgenheter!$A$3:$C$165,2,FALSE)</f>
        <v xml:space="preserve">Ekonomisk historia            </v>
      </c>
      <c r="U24" s="445">
        <v>264967.74940500001</v>
      </c>
      <c r="V24" s="445">
        <v>48030</v>
      </c>
      <c r="X24" s="445"/>
      <c r="Y24" s="445"/>
      <c r="Z24" s="445"/>
    </row>
    <row r="25" spans="1:26" ht="22.5" customHeight="1" x14ac:dyDescent="0.25">
      <c r="G25" s="446">
        <v>3094</v>
      </c>
      <c r="H25" s="446">
        <v>600011100</v>
      </c>
      <c r="J25" s="441">
        <v>11</v>
      </c>
      <c r="K25" s="442"/>
      <c r="L25" s="440">
        <f>L24</f>
        <v>49237.706078750001</v>
      </c>
      <c r="M25" s="441" t="s">
        <v>806</v>
      </c>
      <c r="N25" s="441" t="s">
        <v>464</v>
      </c>
      <c r="O25" s="460"/>
      <c r="P25" s="444"/>
      <c r="Q25" s="458"/>
      <c r="S25" s="460">
        <v>2500</v>
      </c>
      <c r="T25" s="443" t="str">
        <f>VLOOKUP(S25,[1]Orgenheter!$A$3:$C$165,2,FALSE)</f>
        <v>Geografi</v>
      </c>
      <c r="U25" s="445">
        <v>257031.03975</v>
      </c>
      <c r="V25" s="445">
        <v>55002.5</v>
      </c>
      <c r="X25" s="445"/>
      <c r="Y25" s="445"/>
      <c r="Z25" s="445"/>
    </row>
    <row r="26" spans="1:26" ht="22.5" customHeight="1" x14ac:dyDescent="0.25">
      <c r="A26" s="441"/>
      <c r="B26" s="441">
        <v>2272</v>
      </c>
      <c r="C26" s="439" t="s">
        <v>200</v>
      </c>
      <c r="D26" s="440">
        <f>U21</f>
        <v>541798.98673125007</v>
      </c>
      <c r="E26" s="457">
        <f>V21</f>
        <v>63555.000000000007</v>
      </c>
      <c r="F26" s="441"/>
      <c r="G26" s="441">
        <v>3094</v>
      </c>
      <c r="H26" s="446">
        <v>227200100</v>
      </c>
      <c r="I26" s="441"/>
      <c r="J26" s="441">
        <v>11</v>
      </c>
      <c r="K26" s="442">
        <f>VLOOKUP(B26,'Utfördelat tom maj'!$A$3:$G$28,5,FALSE)</f>
        <v>226015.98042187496</v>
      </c>
      <c r="L26" s="440">
        <f>(D26-K26)/7</f>
        <v>45111.858044196444</v>
      </c>
      <c r="M26" s="441" t="s">
        <v>805</v>
      </c>
      <c r="N26" s="441" t="s">
        <v>464</v>
      </c>
      <c r="O26" s="460"/>
      <c r="P26" s="444"/>
      <c r="Q26" s="458"/>
      <c r="S26" s="460">
        <v>2750</v>
      </c>
      <c r="T26" s="443" t="str">
        <f>VLOOKUP(S26,[1]Orgenheter!$A$3:$C$165,2,FALSE)</f>
        <v xml:space="preserve">Kostvetenskap                 </v>
      </c>
      <c r="U26" s="445">
        <v>3325896.1941250004</v>
      </c>
      <c r="V26" s="445">
        <v>1349002.5</v>
      </c>
      <c r="X26" s="445"/>
      <c r="Y26" s="445"/>
      <c r="Z26" s="445"/>
    </row>
    <row r="27" spans="1:26" ht="22.5" customHeight="1" x14ac:dyDescent="0.25">
      <c r="A27" s="441"/>
      <c r="G27" s="441">
        <v>3094</v>
      </c>
      <c r="H27" s="441">
        <v>600011100</v>
      </c>
      <c r="J27" s="441">
        <v>11</v>
      </c>
      <c r="K27" s="442"/>
      <c r="L27" s="440">
        <f>L26</f>
        <v>45111.858044196444</v>
      </c>
      <c r="M27" s="441" t="s">
        <v>806</v>
      </c>
      <c r="N27" s="441" t="s">
        <v>464</v>
      </c>
      <c r="O27" s="444"/>
      <c r="P27" s="444"/>
      <c r="Q27" s="458"/>
      <c r="U27" s="445"/>
      <c r="V27" s="445"/>
      <c r="X27" s="437"/>
      <c r="Y27" s="445"/>
      <c r="Z27" s="445"/>
    </row>
    <row r="28" spans="1:26" ht="22.5" customHeight="1" x14ac:dyDescent="0.25">
      <c r="B28" s="441">
        <v>2300</v>
      </c>
      <c r="C28" s="439" t="s">
        <v>899</v>
      </c>
      <c r="D28" s="440">
        <f>U22</f>
        <v>689066.50851038634</v>
      </c>
      <c r="E28" s="457">
        <f>V22</f>
        <v>80830.018181818188</v>
      </c>
      <c r="F28" s="441"/>
      <c r="G28" s="441">
        <v>3094</v>
      </c>
      <c r="H28" s="446">
        <v>230000100</v>
      </c>
      <c r="I28" s="441"/>
      <c r="J28" s="441">
        <v>11</v>
      </c>
      <c r="K28" s="442">
        <f>VLOOKUP(B28,'Utfördelat tom maj'!$A$3:$G$28,5,FALSE)</f>
        <v>279438.58525520831</v>
      </c>
      <c r="L28" s="440">
        <f>(D28-K28)/7</f>
        <v>58518.274750739722</v>
      </c>
      <c r="M28" s="441" t="s">
        <v>805</v>
      </c>
      <c r="N28" s="441" t="s">
        <v>464</v>
      </c>
      <c r="O28" s="444"/>
      <c r="P28" s="444"/>
      <c r="Q28" s="458"/>
      <c r="X28" s="437"/>
      <c r="Y28" s="445"/>
      <c r="Z28" s="445"/>
    </row>
    <row r="29" spans="1:26" ht="22.5" customHeight="1" x14ac:dyDescent="0.25">
      <c r="G29" s="441">
        <v>3094</v>
      </c>
      <c r="H29" s="441">
        <v>600011100</v>
      </c>
      <c r="J29" s="441">
        <v>11</v>
      </c>
      <c r="K29" s="442"/>
      <c r="L29" s="440">
        <f>L28</f>
        <v>58518.274750739722</v>
      </c>
      <c r="M29" s="441" t="s">
        <v>806</v>
      </c>
      <c r="N29" s="441" t="s">
        <v>464</v>
      </c>
      <c r="O29" s="444"/>
      <c r="P29" s="444"/>
      <c r="Q29" s="458"/>
      <c r="X29" s="437"/>
    </row>
    <row r="30" spans="1:26" ht="22.5" customHeight="1" x14ac:dyDescent="0.25">
      <c r="A30" s="441"/>
      <c r="B30" s="441">
        <v>2340</v>
      </c>
      <c r="C30" s="439" t="s">
        <v>198</v>
      </c>
      <c r="D30" s="453">
        <f>U23</f>
        <v>2259875.4594988991</v>
      </c>
      <c r="E30" s="461">
        <f>V23</f>
        <v>344351.4</v>
      </c>
      <c r="F30" s="441"/>
      <c r="G30" s="441">
        <v>3094</v>
      </c>
      <c r="H30" s="441">
        <v>234000100</v>
      </c>
      <c r="I30" s="441"/>
      <c r="J30" s="441">
        <v>11</v>
      </c>
      <c r="K30" s="442">
        <f>VLOOKUP(B30,'Utfördelat tom maj'!$A$3:$G$28,5,FALSE)</f>
        <v>1038807.7254843747</v>
      </c>
      <c r="L30" s="440">
        <f>(D30-K30)/7</f>
        <v>174438.24771636064</v>
      </c>
      <c r="M30" s="441" t="s">
        <v>805</v>
      </c>
      <c r="N30" s="441" t="s">
        <v>464</v>
      </c>
      <c r="O30" s="444"/>
      <c r="P30" s="444"/>
      <c r="Q30" s="458"/>
      <c r="X30" s="437"/>
    </row>
    <row r="31" spans="1:26" ht="22.5" customHeight="1" x14ac:dyDescent="0.25">
      <c r="A31" s="441"/>
      <c r="B31" s="441"/>
      <c r="C31" s="438"/>
      <c r="D31" s="441"/>
      <c r="E31" s="459"/>
      <c r="F31" s="441"/>
      <c r="G31" s="441">
        <v>3094</v>
      </c>
      <c r="H31" s="441">
        <v>600011100</v>
      </c>
      <c r="I31" s="441"/>
      <c r="J31" s="441">
        <v>11</v>
      </c>
      <c r="K31" s="442"/>
      <c r="L31" s="440">
        <f>L30</f>
        <v>174438.24771636064</v>
      </c>
      <c r="M31" s="441" t="s">
        <v>806</v>
      </c>
      <c r="N31" s="441" t="s">
        <v>464</v>
      </c>
      <c r="O31" s="444"/>
      <c r="P31" s="444"/>
      <c r="Q31" s="458"/>
      <c r="X31" s="437"/>
    </row>
    <row r="32" spans="1:26" ht="22.5" customHeight="1" x14ac:dyDescent="0.25">
      <c r="A32" s="441"/>
      <c r="B32" s="441">
        <v>2360</v>
      </c>
      <c r="C32" s="439" t="s">
        <v>572</v>
      </c>
      <c r="D32" s="440">
        <f>U24</f>
        <v>264967.74940500001</v>
      </c>
      <c r="E32" s="457">
        <f>V24</f>
        <v>48030</v>
      </c>
      <c r="F32" s="441"/>
      <c r="G32" s="446">
        <v>3094</v>
      </c>
      <c r="H32" s="441">
        <v>236000100</v>
      </c>
      <c r="I32" s="441"/>
      <c r="J32" s="441">
        <v>11</v>
      </c>
      <c r="K32" s="442">
        <f>VLOOKUP(B32,'Utfördelat tom maj'!$A$3:$G$28,5,FALSE)</f>
        <v>114333.88728750002</v>
      </c>
      <c r="L32" s="440">
        <f>(D32-K32)/7</f>
        <v>21519.123159642855</v>
      </c>
      <c r="M32" s="441" t="s">
        <v>805</v>
      </c>
      <c r="N32" s="441" t="s">
        <v>464</v>
      </c>
      <c r="O32" s="444"/>
      <c r="P32" s="444"/>
      <c r="Q32" s="458"/>
      <c r="S32" s="462"/>
      <c r="T32" s="462"/>
      <c r="U32" s="462"/>
      <c r="X32" s="437"/>
    </row>
    <row r="33" spans="1:26" ht="22.5" customHeight="1" x14ac:dyDescent="0.25">
      <c r="A33" s="441"/>
      <c r="G33" s="446">
        <v>3094</v>
      </c>
      <c r="H33" s="441">
        <v>600011100</v>
      </c>
      <c r="J33" s="441">
        <v>11</v>
      </c>
      <c r="K33" s="442"/>
      <c r="L33" s="440">
        <f>L32</f>
        <v>21519.123159642855</v>
      </c>
      <c r="M33" s="441" t="s">
        <v>806</v>
      </c>
      <c r="N33" s="441" t="s">
        <v>464</v>
      </c>
      <c r="O33" s="444"/>
      <c r="P33" s="444"/>
      <c r="Q33" s="458"/>
      <c r="X33" s="437"/>
    </row>
    <row r="34" spans="1:26" ht="22.5" customHeight="1" x14ac:dyDescent="0.25">
      <c r="A34" s="441"/>
      <c r="B34" s="441">
        <v>2500</v>
      </c>
      <c r="C34" s="439" t="s">
        <v>2018</v>
      </c>
      <c r="D34" s="440">
        <f>U25</f>
        <v>257031.03975</v>
      </c>
      <c r="E34" s="457">
        <f>V25</f>
        <v>55002.5</v>
      </c>
      <c r="F34" s="441"/>
      <c r="G34" s="441">
        <v>3094</v>
      </c>
      <c r="H34" s="441">
        <v>250000010</v>
      </c>
      <c r="I34" s="441"/>
      <c r="J34" s="441">
        <v>11</v>
      </c>
      <c r="K34" s="442">
        <f>VLOOKUP(B34,'Utfördelat tom maj'!$A$3:$G$28,5,FALSE)</f>
        <v>109755.30874999998</v>
      </c>
      <c r="L34" s="440">
        <f>(D34-K34)/7</f>
        <v>21039.390142857148</v>
      </c>
      <c r="M34" s="441" t="s">
        <v>805</v>
      </c>
      <c r="N34" s="441" t="s">
        <v>464</v>
      </c>
      <c r="O34" s="444"/>
      <c r="P34" s="444"/>
      <c r="Q34" s="458"/>
      <c r="X34" s="437"/>
    </row>
    <row r="35" spans="1:26" ht="22.5" customHeight="1" x14ac:dyDescent="0.25">
      <c r="A35" s="441"/>
      <c r="G35" s="441">
        <v>3094</v>
      </c>
      <c r="H35" s="441">
        <v>600011100</v>
      </c>
      <c r="J35" s="441">
        <v>11</v>
      </c>
      <c r="K35" s="442"/>
      <c r="L35" s="440">
        <f>L34</f>
        <v>21039.390142857148</v>
      </c>
      <c r="M35" s="441" t="s">
        <v>806</v>
      </c>
      <c r="N35" s="441" t="s">
        <v>464</v>
      </c>
      <c r="O35" s="444"/>
      <c r="P35" s="444"/>
      <c r="Q35" s="458"/>
      <c r="X35" s="437"/>
    </row>
    <row r="36" spans="1:26" ht="22.5" customHeight="1" x14ac:dyDescent="0.25">
      <c r="A36" s="441"/>
      <c r="B36" s="441">
        <v>2650</v>
      </c>
      <c r="C36" s="439" t="s">
        <v>2147</v>
      </c>
      <c r="D36" s="440">
        <f>U26</f>
        <v>3325896.1941250004</v>
      </c>
      <c r="E36" s="457">
        <f>V26</f>
        <v>1349002.5</v>
      </c>
      <c r="F36" s="441"/>
      <c r="G36" s="441">
        <v>3094</v>
      </c>
      <c r="H36" s="441">
        <v>275000100</v>
      </c>
      <c r="I36" s="441"/>
      <c r="J36" s="441">
        <v>11</v>
      </c>
      <c r="K36" s="442">
        <f>VLOOKUP(B36,'Utfördelat tom maj'!$A$3:$G$28,5,FALSE)</f>
        <v>1238242.4138541666</v>
      </c>
      <c r="L36" s="440">
        <f>(D36-K36)/7</f>
        <v>298236.25432440481</v>
      </c>
      <c r="M36" s="441" t="s">
        <v>805</v>
      </c>
      <c r="N36" s="441" t="s">
        <v>464</v>
      </c>
      <c r="O36" s="444"/>
      <c r="P36" s="444"/>
      <c r="Q36" s="458"/>
      <c r="X36" s="437"/>
    </row>
    <row r="37" spans="1:26" ht="22.5" customHeight="1" x14ac:dyDescent="0.25">
      <c r="A37" s="441"/>
      <c r="B37" s="441"/>
      <c r="C37" s="438"/>
      <c r="D37" s="441"/>
      <c r="E37" s="459"/>
      <c r="F37" s="441"/>
      <c r="G37" s="441">
        <v>3094</v>
      </c>
      <c r="H37" s="441">
        <v>600011100</v>
      </c>
      <c r="I37" s="441"/>
      <c r="J37" s="441">
        <v>11</v>
      </c>
      <c r="K37" s="442"/>
      <c r="L37" s="440">
        <f>L36</f>
        <v>298236.25432440481</v>
      </c>
      <c r="M37" s="441" t="s">
        <v>806</v>
      </c>
      <c r="N37" s="441" t="s">
        <v>464</v>
      </c>
      <c r="O37" s="444"/>
      <c r="P37" s="444"/>
      <c r="Q37" s="458"/>
      <c r="X37" s="437"/>
    </row>
    <row r="38" spans="1:26" ht="22.5" customHeight="1" x14ac:dyDescent="0.25">
      <c r="A38" s="438"/>
      <c r="B38" s="438">
        <v>2000</v>
      </c>
      <c r="C38" s="450" t="s">
        <v>463</v>
      </c>
      <c r="D38" s="438"/>
      <c r="E38" s="463">
        <f>SUM(E16:E37)</f>
        <v>8826560.875757575</v>
      </c>
      <c r="F38" s="438"/>
      <c r="G38" s="438">
        <v>3094</v>
      </c>
      <c r="H38" s="438">
        <v>200000001</v>
      </c>
      <c r="I38" s="438"/>
      <c r="J38" s="441">
        <v>11</v>
      </c>
      <c r="K38" s="442">
        <f>VLOOKUP(B38,'Utfördelat tom maj'!$A$3:$G$28,6,FALSE)</f>
        <v>3693578.4722222225</v>
      </c>
      <c r="L38" s="440">
        <f>(E38-K38)/7</f>
        <v>733283.20050505048</v>
      </c>
      <c r="M38" s="441" t="s">
        <v>805</v>
      </c>
      <c r="N38" s="438" t="s">
        <v>404</v>
      </c>
      <c r="O38" s="444"/>
      <c r="P38" s="444"/>
      <c r="Q38" s="458"/>
      <c r="X38" s="437"/>
    </row>
    <row r="39" spans="1:26" ht="22.5" customHeight="1" x14ac:dyDescent="0.25">
      <c r="G39" s="464">
        <v>3094</v>
      </c>
      <c r="H39" s="441">
        <v>600011100</v>
      </c>
      <c r="J39" s="441">
        <v>11</v>
      </c>
      <c r="K39" s="442"/>
      <c r="L39" s="440">
        <f>L38</f>
        <v>733283.20050505048</v>
      </c>
      <c r="M39" s="441" t="s">
        <v>806</v>
      </c>
      <c r="N39" s="438" t="s">
        <v>404</v>
      </c>
      <c r="O39" s="444"/>
      <c r="P39" s="444"/>
      <c r="Q39" s="444"/>
      <c r="X39" s="437"/>
    </row>
    <row r="40" spans="1:26" ht="22.5" customHeight="1" x14ac:dyDescent="0.25">
      <c r="A40" s="454"/>
      <c r="B40" s="454"/>
      <c r="C40" s="465"/>
      <c r="D40" s="454"/>
      <c r="E40" s="466"/>
      <c r="F40" s="454"/>
      <c r="G40" s="454"/>
      <c r="H40" s="454"/>
      <c r="I40" s="454"/>
      <c r="J40" s="454"/>
      <c r="K40" s="455"/>
      <c r="L40" s="467"/>
      <c r="M40" s="454"/>
      <c r="N40" s="454"/>
      <c r="O40" s="444"/>
      <c r="P40" s="444"/>
      <c r="Q40" s="444"/>
      <c r="X40" s="437"/>
    </row>
    <row r="41" spans="1:26" ht="22.5" customHeight="1" x14ac:dyDescent="0.25">
      <c r="A41" s="438"/>
      <c r="K41" s="442"/>
      <c r="O41" s="444"/>
      <c r="P41" s="444"/>
      <c r="Q41" s="444"/>
      <c r="T41" s="317">
        <v>2021</v>
      </c>
      <c r="U41" s="317" t="s">
        <v>375</v>
      </c>
      <c r="V41" s="317" t="s">
        <v>149</v>
      </c>
      <c r="X41" s="437"/>
      <c r="Y41" s="445"/>
      <c r="Z41" s="445"/>
    </row>
    <row r="42" spans="1:26" ht="22.5" customHeight="1" x14ac:dyDescent="0.25">
      <c r="A42" s="438" t="s">
        <v>413</v>
      </c>
      <c r="B42" s="441">
        <v>3306</v>
      </c>
      <c r="C42" s="439" t="s">
        <v>242</v>
      </c>
      <c r="D42" s="468">
        <f>U42</f>
        <v>886021.520625</v>
      </c>
      <c r="E42" s="468">
        <f>V42</f>
        <v>437325</v>
      </c>
      <c r="F42" s="438"/>
      <c r="G42" s="464">
        <v>3094</v>
      </c>
      <c r="H42" s="464">
        <v>330600100</v>
      </c>
      <c r="I42" s="464"/>
      <c r="J42" s="464">
        <v>11</v>
      </c>
      <c r="K42" s="442">
        <f>VLOOKUP(B42,'Utfördelat tom maj'!$A$3:$G$28,7,FALSE)</f>
        <v>523625.38359375001</v>
      </c>
      <c r="L42" s="440">
        <f>(D42+E42-K42)/7</f>
        <v>114245.87671874999</v>
      </c>
      <c r="M42" s="441" t="s">
        <v>805</v>
      </c>
      <c r="N42" s="438" t="s">
        <v>427</v>
      </c>
      <c r="O42" s="444"/>
      <c r="P42" s="444"/>
      <c r="Q42" s="444"/>
      <c r="S42" s="436">
        <v>3306</v>
      </c>
      <c r="T42" s="443" t="str">
        <f>VLOOKUP(S42,[1]Orgenheter!$A$3:$C$165,2,FALSE)</f>
        <v xml:space="preserve">Idrottsmedicin                </v>
      </c>
      <c r="U42" s="445">
        <v>886021.520625</v>
      </c>
      <c r="V42" s="445">
        <v>437325</v>
      </c>
      <c r="X42" s="445"/>
      <c r="Y42" s="445"/>
      <c r="Z42" s="445"/>
    </row>
    <row r="43" spans="1:26" ht="22.5" customHeight="1" x14ac:dyDescent="0.25">
      <c r="B43" s="441"/>
      <c r="C43" s="439"/>
      <c r="G43" s="464">
        <v>3094</v>
      </c>
      <c r="H43" s="441">
        <v>600011100</v>
      </c>
      <c r="J43" s="464">
        <v>11</v>
      </c>
      <c r="K43" s="442"/>
      <c r="L43" s="468">
        <f>L42</f>
        <v>114245.87671874999</v>
      </c>
      <c r="M43" s="441" t="s">
        <v>806</v>
      </c>
      <c r="N43" s="438" t="s">
        <v>427</v>
      </c>
      <c r="O43" s="444"/>
      <c r="P43" s="444"/>
      <c r="Q43" s="444"/>
      <c r="S43" s="317">
        <v>3850</v>
      </c>
      <c r="T43" s="443" t="str">
        <f>VLOOKUP(S43,[1]Orgenheter!$A$3:$C$165,2,FALSE)</f>
        <v>Epidemiologi och global hälsa</v>
      </c>
      <c r="U43" s="445">
        <v>163031.44125</v>
      </c>
      <c r="V43" s="445">
        <v>80325</v>
      </c>
      <c r="X43" s="445"/>
      <c r="Y43" s="445"/>
      <c r="Z43" s="445"/>
    </row>
    <row r="44" spans="1:26" ht="22.5" customHeight="1" x14ac:dyDescent="0.25">
      <c r="B44" s="441">
        <v>3850</v>
      </c>
      <c r="C44" s="443" t="str">
        <f>VLOOKUP(B44,[1]Orgenheter!$A$3:$C$165,2,FALSE)</f>
        <v>Epidemiologi och global hälsa</v>
      </c>
      <c r="D44" s="468">
        <f>U43</f>
        <v>163031.44125</v>
      </c>
      <c r="E44" s="468">
        <f>V43</f>
        <v>80325</v>
      </c>
      <c r="G44" s="464">
        <v>3094</v>
      </c>
      <c r="H44" s="446">
        <v>385000002</v>
      </c>
      <c r="J44" s="464">
        <v>11</v>
      </c>
      <c r="K44" s="442">
        <f>VLOOKUP(B44,'Utfördelat tom maj'!$A$3:$G$28,7,FALSE)</f>
        <v>127545.06927083332</v>
      </c>
      <c r="L44" s="440">
        <f>(D44+E44-K44)/7</f>
        <v>16544.481711309527</v>
      </c>
      <c r="M44" s="441" t="s">
        <v>805</v>
      </c>
      <c r="N44" s="438" t="s">
        <v>427</v>
      </c>
      <c r="O44" s="444"/>
      <c r="P44" s="444"/>
      <c r="Q44" s="444"/>
      <c r="T44" s="443"/>
      <c r="U44" s="445"/>
      <c r="V44" s="445"/>
      <c r="X44" s="437"/>
    </row>
    <row r="45" spans="1:26" ht="22.5" customHeight="1" x14ac:dyDescent="0.25">
      <c r="G45" s="464">
        <v>3094</v>
      </c>
      <c r="H45" s="441">
        <v>600011100</v>
      </c>
      <c r="J45" s="464">
        <v>11</v>
      </c>
      <c r="K45" s="442"/>
      <c r="L45" s="468">
        <f>L44</f>
        <v>16544.481711309527</v>
      </c>
      <c r="M45" s="441" t="s">
        <v>806</v>
      </c>
      <c r="N45" s="438" t="s">
        <v>427</v>
      </c>
      <c r="O45" s="444"/>
      <c r="P45" s="444"/>
      <c r="Q45" s="444"/>
      <c r="X45" s="437"/>
    </row>
    <row r="46" spans="1:26" ht="22.5" customHeight="1" x14ac:dyDescent="0.25">
      <c r="A46" s="454"/>
      <c r="B46" s="454"/>
      <c r="C46" s="469"/>
      <c r="D46" s="467"/>
      <c r="E46" s="467"/>
      <c r="F46" s="454"/>
      <c r="G46" s="470"/>
      <c r="H46" s="470"/>
      <c r="I46" s="470"/>
      <c r="J46" s="470"/>
      <c r="K46" s="455"/>
      <c r="L46" s="467"/>
      <c r="M46" s="454"/>
      <c r="N46" s="454"/>
      <c r="O46" s="444"/>
      <c r="P46" s="444"/>
      <c r="Q46" s="444"/>
      <c r="X46" s="437"/>
      <c r="Y46" s="445"/>
      <c r="Z46" s="445"/>
    </row>
    <row r="47" spans="1:26" ht="22.5" customHeight="1" x14ac:dyDescent="0.25">
      <c r="K47" s="442"/>
      <c r="O47" s="444"/>
      <c r="P47" s="444"/>
      <c r="Q47" s="444"/>
      <c r="S47" s="444"/>
      <c r="T47" s="317">
        <v>2021</v>
      </c>
      <c r="U47" s="317" t="s">
        <v>375</v>
      </c>
      <c r="V47" s="317" t="s">
        <v>149</v>
      </c>
      <c r="X47" s="437"/>
    </row>
    <row r="48" spans="1:26" ht="22.5" customHeight="1" x14ac:dyDescent="0.25">
      <c r="A48" s="441" t="s">
        <v>465</v>
      </c>
      <c r="B48" s="441">
        <v>5100</v>
      </c>
      <c r="C48" s="439" t="s">
        <v>164</v>
      </c>
      <c r="D48" s="471">
        <f>U48</f>
        <v>559265.36249999993</v>
      </c>
      <c r="E48" s="471">
        <f>V48</f>
        <v>245775</v>
      </c>
      <c r="G48" s="464">
        <v>3094</v>
      </c>
      <c r="H48" s="446">
        <v>510010100</v>
      </c>
      <c r="J48" s="464">
        <v>11</v>
      </c>
      <c r="K48" s="442">
        <f>VLOOKUP(B48,'Utfördelat tom maj'!$A$3:$G$28,7,FALSE)</f>
        <v>350855.71354166663</v>
      </c>
      <c r="L48" s="440">
        <f>(D48+E48-K48)/7</f>
        <v>64883.521279761902</v>
      </c>
      <c r="M48" s="464" t="s">
        <v>805</v>
      </c>
      <c r="N48" s="438" t="s">
        <v>427</v>
      </c>
      <c r="P48" s="444"/>
      <c r="Q48" s="444"/>
      <c r="S48" s="317">
        <v>5100</v>
      </c>
      <c r="T48" s="443" t="str">
        <f>VLOOKUP(S48,[1]Orgenheter!$A$3:$C$165,2,FALSE)</f>
        <v>EMG</v>
      </c>
      <c r="U48" s="445">
        <v>559265.36249999993</v>
      </c>
      <c r="V48" s="445">
        <v>245775</v>
      </c>
      <c r="X48" s="444"/>
      <c r="Y48" s="445"/>
      <c r="Z48" s="445"/>
    </row>
    <row r="49" spans="1:26" ht="22.5" customHeight="1" x14ac:dyDescent="0.25">
      <c r="G49" s="464">
        <v>3094</v>
      </c>
      <c r="H49" s="446">
        <v>600011100</v>
      </c>
      <c r="J49" s="464">
        <v>11</v>
      </c>
      <c r="L49" s="468">
        <f>L48</f>
        <v>64883.521279761902</v>
      </c>
      <c r="M49" s="464" t="s">
        <v>806</v>
      </c>
      <c r="N49" s="438" t="s">
        <v>427</v>
      </c>
      <c r="P49" s="444"/>
      <c r="Q49" s="444"/>
      <c r="S49" s="317">
        <v>5160</v>
      </c>
      <c r="T49" s="443" t="str">
        <f>VLOOKUP(S49,[1]Orgenheter!$A$3:$C$165,2,FALSE)</f>
        <v xml:space="preserve">Inst för Fysiologisk botanik  </v>
      </c>
      <c r="U49" s="445">
        <v>102853.4</v>
      </c>
      <c r="V49" s="445">
        <v>45200</v>
      </c>
      <c r="X49" s="444"/>
      <c r="Y49" s="445"/>
      <c r="Z49" s="445"/>
    </row>
    <row r="50" spans="1:26" ht="22.5" customHeight="1" x14ac:dyDescent="0.25">
      <c r="B50" s="441">
        <v>5160</v>
      </c>
      <c r="C50" s="439" t="str">
        <f>VLOOKUP(B50,[1]Orgenheter!$A$3:$C$165,2,FALSE)</f>
        <v xml:space="preserve">Inst för Fysiologisk botanik  </v>
      </c>
      <c r="D50" s="471">
        <f>U49</f>
        <v>102853.4</v>
      </c>
      <c r="E50" s="471">
        <f>V49</f>
        <v>45200</v>
      </c>
      <c r="G50" s="446">
        <v>3094</v>
      </c>
      <c r="H50" s="446">
        <v>516001100</v>
      </c>
      <c r="J50" s="464">
        <v>11</v>
      </c>
      <c r="K50" s="442">
        <f>VLOOKUP(B50,'Utfördelat tom maj'!$A$3:$G$28,7,FALSE)</f>
        <v>61688.916666666672</v>
      </c>
      <c r="L50" s="440">
        <f>(D50+E50-K50)/7</f>
        <v>12337.783333333331</v>
      </c>
      <c r="M50" s="464" t="s">
        <v>805</v>
      </c>
      <c r="N50" s="438" t="s">
        <v>427</v>
      </c>
      <c r="O50" s="319"/>
      <c r="P50" s="444"/>
      <c r="Q50" s="444"/>
      <c r="S50" s="317">
        <v>5400</v>
      </c>
      <c r="T50" s="443" t="str">
        <f>VLOOKUP(S50,[1]Orgenheter!$A$3:$C$165,2,FALSE)</f>
        <v xml:space="preserve">Inst för Fysik                </v>
      </c>
      <c r="U50" s="445">
        <v>181009.48749999999</v>
      </c>
      <c r="V50" s="445">
        <v>81925</v>
      </c>
      <c r="X50" s="444"/>
      <c r="Y50" s="445"/>
      <c r="Z50" s="445"/>
    </row>
    <row r="51" spans="1:26" ht="22.5" customHeight="1" x14ac:dyDescent="0.25">
      <c r="G51" s="446">
        <v>3094</v>
      </c>
      <c r="H51" s="446">
        <v>600011100</v>
      </c>
      <c r="I51" s="320"/>
      <c r="J51" s="464">
        <v>11</v>
      </c>
      <c r="L51" s="468">
        <f>L50</f>
        <v>12337.783333333331</v>
      </c>
      <c r="M51" s="464" t="s">
        <v>806</v>
      </c>
      <c r="N51" s="438" t="s">
        <v>427</v>
      </c>
      <c r="O51" s="319"/>
      <c r="P51" s="444"/>
      <c r="Q51" s="444"/>
      <c r="S51" s="317">
        <v>5410</v>
      </c>
      <c r="T51" s="443" t="s">
        <v>1077</v>
      </c>
      <c r="U51" s="445">
        <v>0</v>
      </c>
      <c r="V51" s="445">
        <v>0</v>
      </c>
      <c r="X51" s="444"/>
      <c r="Y51" s="445"/>
      <c r="Z51" s="445"/>
    </row>
    <row r="52" spans="1:26" ht="22.5" customHeight="1" x14ac:dyDescent="0.25">
      <c r="B52" s="446">
        <v>5400</v>
      </c>
      <c r="C52" s="450" t="s">
        <v>898</v>
      </c>
      <c r="D52" s="471">
        <f>U50</f>
        <v>181009.48749999999</v>
      </c>
      <c r="E52" s="471">
        <f>V50</f>
        <v>81925</v>
      </c>
      <c r="F52" s="320"/>
      <c r="G52" s="446">
        <v>3094</v>
      </c>
      <c r="H52" s="446">
        <v>540000100</v>
      </c>
      <c r="I52" s="320"/>
      <c r="J52" s="464">
        <v>11</v>
      </c>
      <c r="K52" s="442">
        <f>VLOOKUP(B52,'Utfördelat tom maj'!$A$3:$G$28,7,FALSE)</f>
        <v>116496.03958333333</v>
      </c>
      <c r="L52" s="440">
        <f>(D52+E52-K52)/7</f>
        <v>20919.778273809523</v>
      </c>
      <c r="M52" s="446" t="s">
        <v>805</v>
      </c>
      <c r="N52" s="464" t="s">
        <v>427</v>
      </c>
      <c r="O52" s="319"/>
      <c r="P52" s="444"/>
      <c r="Q52" s="444"/>
      <c r="S52" s="319">
        <v>5500</v>
      </c>
      <c r="T52" s="443" t="str">
        <f>VLOOKUP(S52,[1]Orgenheter!$A$3:$C$165,2,FALSE)</f>
        <v xml:space="preserve">Kemiska institutionen         </v>
      </c>
      <c r="U52" s="445">
        <v>167136.77499999997</v>
      </c>
      <c r="V52" s="445">
        <v>73450</v>
      </c>
      <c r="X52" s="444"/>
      <c r="Y52" s="445"/>
      <c r="Z52" s="445"/>
    </row>
    <row r="53" spans="1:26" ht="22.5" customHeight="1" x14ac:dyDescent="0.25">
      <c r="B53" s="446"/>
      <c r="C53" s="450"/>
      <c r="D53" s="446"/>
      <c r="E53" s="446"/>
      <c r="F53" s="320"/>
      <c r="G53" s="446">
        <v>3094</v>
      </c>
      <c r="H53" s="446">
        <v>600011100</v>
      </c>
      <c r="I53" s="320"/>
      <c r="J53" s="464">
        <v>11</v>
      </c>
      <c r="K53" s="452"/>
      <c r="L53" s="471">
        <f>L52</f>
        <v>20919.778273809523</v>
      </c>
      <c r="M53" s="446" t="s">
        <v>806</v>
      </c>
      <c r="N53" s="464" t="s">
        <v>427</v>
      </c>
      <c r="O53" s="444"/>
      <c r="P53" s="444"/>
      <c r="Q53" s="444"/>
      <c r="S53" s="321">
        <v>5700</v>
      </c>
      <c r="T53" s="443" t="s">
        <v>313</v>
      </c>
      <c r="U53" s="445">
        <v>12856.674999999999</v>
      </c>
      <c r="V53" s="445">
        <v>5650</v>
      </c>
      <c r="X53" s="444"/>
      <c r="Y53" s="445"/>
      <c r="Z53" s="445"/>
    </row>
    <row r="54" spans="1:26" ht="22.5" customHeight="1" x14ac:dyDescent="0.25">
      <c r="B54" s="446">
        <v>5410</v>
      </c>
      <c r="C54" s="450" t="s">
        <v>1077</v>
      </c>
      <c r="D54" s="471">
        <f>U51</f>
        <v>0</v>
      </c>
      <c r="E54" s="471">
        <f>V51</f>
        <v>0</v>
      </c>
      <c r="F54" s="320"/>
      <c r="G54" s="446">
        <v>3094</v>
      </c>
      <c r="H54" s="446">
        <v>541000100</v>
      </c>
      <c r="I54" s="320"/>
      <c r="J54" s="464">
        <v>11</v>
      </c>
      <c r="K54" s="442">
        <f>VLOOKUP(B54,'Utfördelat tom maj'!$A$3:$G$28,7,FALSE)</f>
        <v>0</v>
      </c>
      <c r="L54" s="440">
        <f>(D54+E54-K54)/7</f>
        <v>0</v>
      </c>
      <c r="M54" s="446" t="s">
        <v>805</v>
      </c>
      <c r="N54" s="464" t="s">
        <v>427</v>
      </c>
      <c r="O54" s="444"/>
      <c r="P54" s="444"/>
      <c r="Q54" s="444"/>
      <c r="S54" s="319">
        <v>5730</v>
      </c>
      <c r="T54" s="443" t="str">
        <f>VLOOKUP(S54,[1]Orgenheter!$A$3:$C$165,2,FALSE)</f>
        <v>Inst för MA och MA statistik</v>
      </c>
      <c r="U54" s="445">
        <v>3304095.2389999968</v>
      </c>
      <c r="V54" s="445">
        <v>1301143.3333333333</v>
      </c>
      <c r="X54" s="444"/>
      <c r="Y54" s="445"/>
      <c r="Z54" s="445"/>
    </row>
    <row r="55" spans="1:26" ht="22.5" customHeight="1" x14ac:dyDescent="0.25">
      <c r="B55" s="446"/>
      <c r="C55" s="450"/>
      <c r="D55" s="446"/>
      <c r="E55" s="446"/>
      <c r="F55" s="320"/>
      <c r="G55" s="446">
        <v>3094</v>
      </c>
      <c r="H55" s="446">
        <v>600011100</v>
      </c>
      <c r="I55" s="320"/>
      <c r="J55" s="464">
        <v>11</v>
      </c>
      <c r="K55" s="452"/>
      <c r="L55" s="471">
        <f>L54</f>
        <v>0</v>
      </c>
      <c r="M55" s="446" t="s">
        <v>806</v>
      </c>
      <c r="N55" s="464" t="s">
        <v>427</v>
      </c>
      <c r="O55" s="444"/>
      <c r="P55" s="444"/>
      <c r="Q55" s="444"/>
      <c r="S55" s="319">
        <v>5740</v>
      </c>
      <c r="T55" s="443" t="str">
        <f>VLOOKUP(S55,[1]Orgenheter!$A$3:$C$165,2,FALSE)</f>
        <v>NMD</v>
      </c>
      <c r="U55" s="445">
        <v>11130347.491448689</v>
      </c>
      <c r="V55" s="445">
        <v>3552539.957575758</v>
      </c>
      <c r="X55" s="437"/>
      <c r="Y55" s="445"/>
      <c r="Z55" s="445"/>
    </row>
    <row r="56" spans="1:26" ht="22.5" customHeight="1" x14ac:dyDescent="0.25">
      <c r="B56" s="446">
        <v>5500</v>
      </c>
      <c r="C56" s="450" t="s">
        <v>165</v>
      </c>
      <c r="D56" s="471">
        <f>U52</f>
        <v>167136.77499999997</v>
      </c>
      <c r="E56" s="471">
        <f>V52</f>
        <v>73450</v>
      </c>
      <c r="F56" s="446"/>
      <c r="G56" s="446">
        <v>3094</v>
      </c>
      <c r="H56" s="446">
        <v>550001100</v>
      </c>
      <c r="I56" s="446"/>
      <c r="J56" s="446">
        <v>11</v>
      </c>
      <c r="K56" s="442">
        <f>VLOOKUP(B56,'Utfördelat tom maj'!$A$3:$G$28,7,FALSE)</f>
        <v>115666.71874999997</v>
      </c>
      <c r="L56" s="440">
        <f>(D56+E56-K56)/7</f>
        <v>17845.72232142857</v>
      </c>
      <c r="M56" s="446" t="s">
        <v>805</v>
      </c>
      <c r="N56" s="446" t="s">
        <v>427</v>
      </c>
      <c r="O56" s="444"/>
      <c r="P56" s="444"/>
      <c r="Q56" s="444"/>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17845.72232142857</v>
      </c>
      <c r="M57" s="446" t="s">
        <v>806</v>
      </c>
      <c r="N57" s="446" t="s">
        <v>427</v>
      </c>
      <c r="O57" s="472"/>
      <c r="P57" s="472"/>
      <c r="Q57" s="472"/>
      <c r="X57" s="437"/>
      <c r="Y57" s="445"/>
      <c r="Z57" s="445"/>
    </row>
    <row r="58" spans="1:26" ht="22.5" customHeight="1" x14ac:dyDescent="0.25">
      <c r="B58" s="446">
        <v>5700</v>
      </c>
      <c r="C58" s="450" t="s">
        <v>313</v>
      </c>
      <c r="D58" s="471">
        <f>U53</f>
        <v>12856.674999999999</v>
      </c>
      <c r="E58" s="471">
        <f>V53</f>
        <v>5650</v>
      </c>
      <c r="G58" s="446">
        <v>3094</v>
      </c>
      <c r="H58" s="446">
        <v>570001100</v>
      </c>
      <c r="J58" s="446">
        <v>11</v>
      </c>
      <c r="K58" s="442">
        <f>VLOOKUP(B58,'Utfördelat tom maj'!$A$3:$G$28,7,FALSE)</f>
        <v>3855.557291666667</v>
      </c>
      <c r="L58" s="440">
        <f>(D58+E58-K58)/7</f>
        <v>2093.01681547619</v>
      </c>
      <c r="M58" s="446" t="s">
        <v>805</v>
      </c>
      <c r="N58" s="446" t="s">
        <v>427</v>
      </c>
      <c r="O58" s="444"/>
      <c r="P58" s="444"/>
      <c r="Q58" s="444"/>
      <c r="X58" s="437"/>
      <c r="Y58" s="445"/>
      <c r="Z58" s="445"/>
    </row>
    <row r="59" spans="1:26" ht="22.5" customHeight="1" x14ac:dyDescent="0.25">
      <c r="G59" s="446">
        <v>3094</v>
      </c>
      <c r="H59" s="446">
        <v>600011100</v>
      </c>
      <c r="I59" s="446"/>
      <c r="J59" s="446">
        <v>11</v>
      </c>
      <c r="L59" s="471">
        <f>L58</f>
        <v>2093.01681547619</v>
      </c>
      <c r="M59" s="446" t="s">
        <v>806</v>
      </c>
      <c r="N59" s="446" t="s">
        <v>427</v>
      </c>
      <c r="O59" s="472"/>
      <c r="P59" s="472"/>
      <c r="Q59" s="472"/>
      <c r="X59" s="437"/>
      <c r="Y59" s="445"/>
      <c r="Z59" s="445"/>
    </row>
    <row r="60" spans="1:26" ht="22.5" customHeight="1" x14ac:dyDescent="0.25">
      <c r="A60" s="441"/>
      <c r="B60" s="441">
        <v>5730</v>
      </c>
      <c r="C60" s="439" t="s">
        <v>166</v>
      </c>
      <c r="D60" s="468">
        <f>U54</f>
        <v>3304095.2389999968</v>
      </c>
      <c r="E60" s="468">
        <f>V54</f>
        <v>1301143.3333333333</v>
      </c>
      <c r="F60" s="441"/>
      <c r="G60" s="441">
        <v>3094</v>
      </c>
      <c r="H60" s="441">
        <v>573000111</v>
      </c>
      <c r="I60" s="441"/>
      <c r="J60" s="441">
        <v>11</v>
      </c>
      <c r="K60" s="442">
        <f>VLOOKUP(B60,'Utfördelat tom maj'!$A$3:$G$28,7,FALSE)</f>
        <v>1854500.6540972206</v>
      </c>
      <c r="L60" s="440">
        <f>(D60+E60-K60)/7</f>
        <v>392962.55974801566</v>
      </c>
      <c r="M60" s="441" t="s">
        <v>805</v>
      </c>
      <c r="N60" s="441" t="s">
        <v>427</v>
      </c>
      <c r="O60" s="444"/>
      <c r="P60" s="444"/>
      <c r="Q60" s="444"/>
      <c r="X60" s="437"/>
      <c r="Y60" s="445"/>
      <c r="Z60" s="445"/>
    </row>
    <row r="61" spans="1:26" ht="22.5" customHeight="1" x14ac:dyDescent="0.25">
      <c r="A61" s="441"/>
      <c r="B61" s="441"/>
      <c r="C61" s="439"/>
      <c r="F61" s="441"/>
      <c r="G61" s="441">
        <v>3094</v>
      </c>
      <c r="H61" s="441">
        <v>600011100</v>
      </c>
      <c r="I61" s="441"/>
      <c r="J61" s="441">
        <v>11</v>
      </c>
      <c r="K61" s="442"/>
      <c r="L61" s="468">
        <f>L60</f>
        <v>392962.55974801566</v>
      </c>
      <c r="M61" s="441" t="s">
        <v>806</v>
      </c>
      <c r="N61" s="441" t="s">
        <v>427</v>
      </c>
      <c r="O61" s="444"/>
      <c r="P61" s="444"/>
      <c r="Q61" s="444"/>
      <c r="X61" s="437"/>
      <c r="Z61" s="445"/>
    </row>
    <row r="62" spans="1:26" ht="22.5" customHeight="1" x14ac:dyDescent="0.25">
      <c r="B62" s="441">
        <v>5740</v>
      </c>
      <c r="C62" s="439" t="s">
        <v>461</v>
      </c>
      <c r="D62" s="468">
        <f>U55</f>
        <v>11130347.491448689</v>
      </c>
      <c r="E62" s="468">
        <f>V55</f>
        <v>3552539.957575758</v>
      </c>
      <c r="F62" s="441"/>
      <c r="G62" s="441">
        <v>3094</v>
      </c>
      <c r="H62" s="446">
        <v>574002011</v>
      </c>
      <c r="I62" s="441"/>
      <c r="J62" s="441">
        <v>11</v>
      </c>
      <c r="K62" s="442">
        <f>VLOOKUP(B62,'Utfördelat tom maj'!$A$3:$G$28,7,FALSE)</f>
        <v>6443447.8821732635</v>
      </c>
      <c r="L62" s="440">
        <f>(D62+E62-K62)/7</f>
        <v>1177062.7952644548</v>
      </c>
      <c r="M62" s="441" t="s">
        <v>805</v>
      </c>
      <c r="N62" s="441" t="s">
        <v>427</v>
      </c>
      <c r="O62" s="472"/>
      <c r="P62" s="472"/>
      <c r="Q62" s="472"/>
      <c r="X62" s="437"/>
      <c r="Z62" s="445"/>
    </row>
    <row r="63" spans="1:26" ht="22.5" customHeight="1" x14ac:dyDescent="0.25">
      <c r="B63" s="441"/>
      <c r="C63" s="438"/>
      <c r="D63" s="441"/>
      <c r="E63" s="441"/>
      <c r="F63" s="441"/>
      <c r="G63" s="441">
        <v>3094</v>
      </c>
      <c r="H63" s="441">
        <v>600011100</v>
      </c>
      <c r="I63" s="441"/>
      <c r="J63" s="441">
        <v>11</v>
      </c>
      <c r="K63" s="442"/>
      <c r="L63" s="468">
        <f>L62</f>
        <v>1177062.7952644548</v>
      </c>
      <c r="M63" s="441" t="s">
        <v>806</v>
      </c>
      <c r="N63" s="441" t="s">
        <v>427</v>
      </c>
      <c r="O63" s="444"/>
      <c r="P63" s="444"/>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105801641.16890414</v>
      </c>
      <c r="E66" s="442">
        <f>SUM(E6:E36,E42:E62)</f>
        <v>24825988.833333336</v>
      </c>
      <c r="L66" s="442"/>
      <c r="X66" s="437"/>
      <c r="Z66" s="445"/>
    </row>
    <row r="67" spans="3:26" x14ac:dyDescent="0.25">
      <c r="D67" s="473" t="s">
        <v>154</v>
      </c>
      <c r="E67" s="455">
        <f>SUM(D66:E66)</f>
        <v>130627630.00223747</v>
      </c>
      <c r="I67" s="542" t="s">
        <v>469</v>
      </c>
      <c r="J67" s="543"/>
      <c r="K67" s="543"/>
      <c r="L67" s="543"/>
      <c r="M67" s="543"/>
      <c r="N67" s="544"/>
      <c r="Z67" s="445"/>
    </row>
    <row r="68" spans="3:26" x14ac:dyDescent="0.25">
      <c r="D68" s="317" t="s">
        <v>2409</v>
      </c>
      <c r="E68" s="442">
        <f>E67/12</f>
        <v>10885635.833519788</v>
      </c>
      <c r="I68" s="477"/>
      <c r="J68" s="473"/>
      <c r="K68" s="473"/>
      <c r="L68" s="473"/>
      <c r="M68" s="473"/>
      <c r="N68" s="478"/>
    </row>
    <row r="69" spans="3:26" x14ac:dyDescent="0.25">
      <c r="I69" s="479" t="s">
        <v>562</v>
      </c>
      <c r="J69" s="480"/>
      <c r="K69" s="480"/>
      <c r="L69" s="480"/>
      <c r="M69" s="480"/>
      <c r="N69" s="517"/>
    </row>
    <row r="70" spans="3:26" x14ac:dyDescent="0.25">
      <c r="C70" s="443"/>
      <c r="D70" s="444"/>
      <c r="E70" s="444"/>
    </row>
    <row r="71" spans="3:26" x14ac:dyDescent="0.25">
      <c r="I71" s="545" t="s">
        <v>422</v>
      </c>
      <c r="J71" s="543"/>
      <c r="K71" s="543"/>
      <c r="L71" s="543"/>
      <c r="M71" s="543"/>
      <c r="N71" s="544"/>
    </row>
    <row r="72" spans="3:26" x14ac:dyDescent="0.25">
      <c r="D72" s="442"/>
      <c r="E72" s="442"/>
      <c r="I72" s="477"/>
      <c r="J72" s="473"/>
      <c r="K72" s="473"/>
      <c r="L72" s="473"/>
      <c r="M72" s="473"/>
      <c r="N72" s="478"/>
    </row>
    <row r="73" spans="3:26" x14ac:dyDescent="0.25">
      <c r="I73" s="479" t="s">
        <v>1695</v>
      </c>
      <c r="J73" s="480"/>
      <c r="K73" s="480"/>
      <c r="L73" s="480"/>
      <c r="M73" s="480"/>
      <c r="N73" s="517"/>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topLeftCell="A45" workbookViewId="0">
      <selection activeCell="L6" sqref="L6:L63"/>
    </sheetView>
  </sheetViews>
  <sheetFormatPr defaultColWidth="9.140625" defaultRowHeight="15" x14ac:dyDescent="0.25"/>
  <cols>
    <col min="1" max="2" width="11.5703125" style="317" customWidth="1"/>
    <col min="3" max="3" width="34.5703125" style="317" customWidth="1"/>
    <col min="4" max="4" width="17" style="317" customWidth="1"/>
    <col min="5" max="5" width="16.85546875" style="317" customWidth="1"/>
    <col min="6" max="6" width="4.42578125" style="317" customWidth="1"/>
    <col min="7" max="7" width="9.140625" style="317"/>
    <col min="8" max="8" width="13.42578125" style="317" customWidth="1"/>
    <col min="9" max="9" width="3.42578125" style="317" customWidth="1"/>
    <col min="10" max="10" width="6.5703125" style="317" customWidth="1"/>
    <col min="11" max="11" width="13.85546875" style="317" customWidth="1"/>
    <col min="12" max="12" width="16.140625" style="317" customWidth="1"/>
    <col min="13" max="13" width="5" style="317" customWidth="1"/>
    <col min="14" max="14" width="32.42578125" style="317" customWidth="1"/>
    <col min="15" max="15" width="12.5703125" style="317" customWidth="1"/>
    <col min="16" max="17" width="13.85546875" style="317" customWidth="1"/>
    <col min="18" max="18" width="15.140625" style="317" customWidth="1"/>
    <col min="19" max="19" width="8" style="317" customWidth="1"/>
    <col min="20" max="20" width="30.85546875" style="317" customWidth="1"/>
    <col min="21" max="21" width="13.85546875" style="317" customWidth="1"/>
    <col min="22" max="22" width="12.42578125" style="317" customWidth="1"/>
    <col min="23" max="23" width="9.140625" style="317"/>
    <col min="24" max="24" width="10.42578125" style="317" customWidth="1"/>
    <col min="25" max="25" width="14.140625" style="317" customWidth="1"/>
    <col min="26" max="26" width="15.140625" style="317" customWidth="1"/>
    <col min="27" max="16384" width="9.140625" style="317"/>
  </cols>
  <sheetData>
    <row r="1" spans="1:26" ht="28.5" customHeight="1" x14ac:dyDescent="0.25">
      <c r="C1" s="425" t="s">
        <v>321</v>
      </c>
      <c r="L1" s="426" t="s">
        <v>420</v>
      </c>
      <c r="M1" s="426"/>
      <c r="N1" s="517"/>
      <c r="O1" s="319"/>
      <c r="P1" s="319"/>
      <c r="Q1" s="319"/>
    </row>
    <row r="2" spans="1:26" ht="27.75" customHeight="1" x14ac:dyDescent="0.3">
      <c r="C2" s="541" t="s">
        <v>2407</v>
      </c>
      <c r="D2" s="429"/>
      <c r="L2" s="426" t="s">
        <v>421</v>
      </c>
      <c r="M2" s="426"/>
      <c r="N2" s="517"/>
      <c r="O2" s="319"/>
      <c r="P2" s="319"/>
      <c r="Q2" s="319"/>
    </row>
    <row r="3" spans="1:26" ht="27.75" customHeight="1" x14ac:dyDescent="0.25">
      <c r="A3" s="319"/>
      <c r="B3" s="319"/>
      <c r="O3" s="590"/>
      <c r="P3" s="591"/>
      <c r="Q3" s="591"/>
      <c r="R3" s="591"/>
      <c r="S3" s="591"/>
      <c r="T3" s="591"/>
    </row>
    <row r="4" spans="1:26" ht="51.75" customHeight="1" x14ac:dyDescent="0.25">
      <c r="A4" s="430" t="s">
        <v>71</v>
      </c>
      <c r="B4" s="430" t="s">
        <v>804</v>
      </c>
      <c r="C4" s="430" t="s">
        <v>35</v>
      </c>
      <c r="D4" s="431" t="s">
        <v>2370</v>
      </c>
      <c r="E4" s="431" t="s">
        <v>2371</v>
      </c>
      <c r="G4" s="432" t="s">
        <v>423</v>
      </c>
      <c r="H4" s="432" t="s">
        <v>424</v>
      </c>
      <c r="I4" s="432"/>
      <c r="J4" s="432" t="s">
        <v>425</v>
      </c>
      <c r="K4" s="433" t="s">
        <v>1076</v>
      </c>
      <c r="L4" s="433" t="s">
        <v>2408</v>
      </c>
      <c r="M4" s="432" t="s">
        <v>428</v>
      </c>
      <c r="N4" s="432" t="s">
        <v>426</v>
      </c>
      <c r="O4" s="434"/>
      <c r="P4" s="435"/>
      <c r="Q4" s="435"/>
      <c r="T4" s="436" t="s">
        <v>462</v>
      </c>
    </row>
    <row r="5" spans="1:26" ht="22.5" customHeight="1" x14ac:dyDescent="0.25">
      <c r="O5" s="319"/>
      <c r="P5" s="319"/>
      <c r="Q5" s="319"/>
      <c r="T5" s="317">
        <v>2021</v>
      </c>
      <c r="U5" s="317" t="s">
        <v>375</v>
      </c>
      <c r="V5" s="317" t="s">
        <v>149</v>
      </c>
      <c r="X5" s="437"/>
    </row>
    <row r="6" spans="1:26" ht="22.5" customHeight="1" x14ac:dyDescent="0.25">
      <c r="A6" s="438" t="s">
        <v>410</v>
      </c>
      <c r="B6" s="438">
        <v>1620</v>
      </c>
      <c r="C6" s="439" t="s">
        <v>176</v>
      </c>
      <c r="D6" s="440">
        <f>U6</f>
        <v>13786192.810127489</v>
      </c>
      <c r="E6" s="440">
        <f>V6</f>
        <v>2143175.5</v>
      </c>
      <c r="F6" s="441"/>
      <c r="G6" s="441">
        <v>3094</v>
      </c>
      <c r="H6" s="441">
        <v>162000100</v>
      </c>
      <c r="I6" s="441"/>
      <c r="J6" s="441">
        <v>11</v>
      </c>
      <c r="K6" s="442"/>
      <c r="L6" s="440">
        <f>(D6+E6-K6)/12</f>
        <v>1327447.3591772907</v>
      </c>
      <c r="M6" s="441" t="s">
        <v>805</v>
      </c>
      <c r="N6" s="441" t="s">
        <v>427</v>
      </c>
      <c r="O6" s="436"/>
      <c r="P6" s="549"/>
      <c r="Q6" s="462"/>
      <c r="S6" s="436">
        <v>1620</v>
      </c>
      <c r="T6" s="443" t="str">
        <f>VLOOKUP(S6,[1]Orgenheter!$A$3:$C$165,2,FALSE)</f>
        <v>Inst för språkstudier</v>
      </c>
      <c r="U6" s="445">
        <v>13786192.810127489</v>
      </c>
      <c r="V6" s="445">
        <v>2143175.5</v>
      </c>
      <c r="X6" s="445"/>
      <c r="Y6" s="445"/>
      <c r="Z6" s="445"/>
    </row>
    <row r="7" spans="1:26" ht="22.5" customHeight="1" x14ac:dyDescent="0.25">
      <c r="A7" s="441"/>
      <c r="B7" s="441"/>
      <c r="C7" s="438"/>
      <c r="D7" s="441"/>
      <c r="E7" s="441"/>
      <c r="F7" s="441"/>
      <c r="G7" s="441">
        <v>3094</v>
      </c>
      <c r="H7" s="441">
        <v>600011100</v>
      </c>
      <c r="I7" s="441"/>
      <c r="J7" s="441">
        <v>11</v>
      </c>
      <c r="K7" s="442"/>
      <c r="L7" s="440">
        <f>L6</f>
        <v>1327447.3591772907</v>
      </c>
      <c r="M7" s="441" t="s">
        <v>806</v>
      </c>
      <c r="N7" s="441" t="s">
        <v>427</v>
      </c>
      <c r="O7" s="319"/>
      <c r="P7" s="549"/>
      <c r="Q7" s="462"/>
      <c r="S7" s="319">
        <v>1630</v>
      </c>
      <c r="T7" s="443" t="str">
        <f>VLOOKUP(S7,[1]Orgenheter!$A$3:$C$165,2,FALSE)</f>
        <v>Inst för ide- o samhällsstudier</v>
      </c>
      <c r="U7" s="445">
        <v>9030896.04664791</v>
      </c>
      <c r="V7" s="445">
        <v>1134930</v>
      </c>
      <c r="X7" s="445"/>
      <c r="Y7" s="445"/>
      <c r="Z7" s="445"/>
    </row>
    <row r="8" spans="1:26" ht="22.5" customHeight="1" x14ac:dyDescent="0.25">
      <c r="A8" s="441"/>
      <c r="B8" s="441">
        <v>1630</v>
      </c>
      <c r="C8" s="439" t="s">
        <v>172</v>
      </c>
      <c r="D8" s="440">
        <f>U7</f>
        <v>9030896.04664791</v>
      </c>
      <c r="E8" s="440">
        <f>V7</f>
        <v>1134930</v>
      </c>
      <c r="F8" s="441"/>
      <c r="G8" s="441">
        <v>3094</v>
      </c>
      <c r="H8" s="446">
        <v>163000100</v>
      </c>
      <c r="I8" s="441"/>
      <c r="J8" s="441">
        <v>11</v>
      </c>
      <c r="K8" s="442"/>
      <c r="L8" s="440">
        <f>(D8+E8-K8)/12</f>
        <v>847152.1705539925</v>
      </c>
      <c r="M8" s="441" t="s">
        <v>805</v>
      </c>
      <c r="N8" s="441" t="s">
        <v>427</v>
      </c>
      <c r="O8" s="319"/>
      <c r="P8" s="549"/>
      <c r="Q8" s="462"/>
      <c r="S8" s="319">
        <v>1640</v>
      </c>
      <c r="T8" s="443" t="str">
        <f>VLOOKUP(S8,[1]Orgenheter!$A$3:$C$165,2,FALSE)</f>
        <v>Inst för kultur- o medievetenskap</v>
      </c>
      <c r="U8" s="445">
        <v>2445584.6588937496</v>
      </c>
      <c r="V8" s="445">
        <v>345320</v>
      </c>
      <c r="X8" s="445"/>
      <c r="Y8" s="445"/>
      <c r="Z8" s="445"/>
    </row>
    <row r="9" spans="1:26" ht="22.5" customHeight="1" x14ac:dyDescent="0.25">
      <c r="A9" s="441"/>
      <c r="B9" s="441"/>
      <c r="C9" s="438"/>
      <c r="D9" s="441"/>
      <c r="E9" s="441"/>
      <c r="F9" s="441"/>
      <c r="G9" s="441">
        <v>3094</v>
      </c>
      <c r="H9" s="441">
        <v>600011100</v>
      </c>
      <c r="I9" s="441"/>
      <c r="J9" s="441">
        <v>11</v>
      </c>
      <c r="K9" s="442"/>
      <c r="L9" s="440">
        <f>L8</f>
        <v>847152.1705539925</v>
      </c>
      <c r="M9" s="441" t="s">
        <v>806</v>
      </c>
      <c r="N9" s="441" t="s">
        <v>427</v>
      </c>
      <c r="O9" s="321"/>
      <c r="P9" s="549"/>
      <c r="Q9" s="462"/>
      <c r="S9" s="447">
        <v>1650</v>
      </c>
      <c r="T9" s="448" t="str">
        <f>VLOOKUP(S9,[1]Orgenheter!$A$3:$C$165,2,FALSE)</f>
        <v xml:space="preserve">Estetiska ämnen               </v>
      </c>
      <c r="U9" s="449">
        <v>16042740.474727493</v>
      </c>
      <c r="V9" s="449">
        <v>8363470.5</v>
      </c>
      <c r="X9" s="445"/>
      <c r="Y9" s="445"/>
      <c r="Z9" s="445"/>
    </row>
    <row r="10" spans="1:26" ht="22.5" customHeight="1" x14ac:dyDescent="0.25">
      <c r="A10" s="441"/>
      <c r="B10" s="441">
        <v>1640</v>
      </c>
      <c r="C10" s="450" t="s">
        <v>173</v>
      </c>
      <c r="D10" s="440">
        <f>U8</f>
        <v>2445584.6588937496</v>
      </c>
      <c r="E10" s="440">
        <f>V8</f>
        <v>345320</v>
      </c>
      <c r="F10" s="441"/>
      <c r="G10" s="441">
        <v>3094</v>
      </c>
      <c r="H10" s="441">
        <v>164016100</v>
      </c>
      <c r="I10" s="441"/>
      <c r="J10" s="441">
        <v>11</v>
      </c>
      <c r="K10" s="442"/>
      <c r="L10" s="440">
        <f>(D10+E10-K10)/12</f>
        <v>232575.38824114579</v>
      </c>
      <c r="M10" s="441" t="s">
        <v>805</v>
      </c>
      <c r="N10" s="441" t="s">
        <v>427</v>
      </c>
      <c r="O10" s="444"/>
      <c r="P10" s="550"/>
      <c r="Q10" s="462"/>
      <c r="T10" s="425" t="s">
        <v>466</v>
      </c>
      <c r="U10" s="451">
        <v>-993965.92500000005</v>
      </c>
      <c r="V10" s="451">
        <v>-1425675</v>
      </c>
      <c r="X10" s="437"/>
      <c r="Y10" s="452"/>
      <c r="Z10" s="452"/>
    </row>
    <row r="11" spans="1:26" ht="22.5" customHeight="1" x14ac:dyDescent="0.25">
      <c r="A11" s="441"/>
      <c r="B11" s="441"/>
      <c r="C11" s="438"/>
      <c r="D11" s="441"/>
      <c r="E11" s="441"/>
      <c r="F11" s="441"/>
      <c r="G11" s="441">
        <v>3094</v>
      </c>
      <c r="H11" s="441">
        <v>600011100</v>
      </c>
      <c r="I11" s="441"/>
      <c r="J11" s="441">
        <v>11</v>
      </c>
      <c r="K11" s="442"/>
      <c r="L11" s="440">
        <f>L10</f>
        <v>232575.38824114579</v>
      </c>
      <c r="M11" s="441" t="s">
        <v>806</v>
      </c>
      <c r="N11" s="441" t="s">
        <v>427</v>
      </c>
      <c r="O11" s="444"/>
      <c r="P11" s="550"/>
      <c r="Q11" s="462"/>
      <c r="U11" s="445"/>
      <c r="V11" s="445"/>
      <c r="X11" s="437"/>
      <c r="Y11" s="445"/>
      <c r="Z11" s="445"/>
    </row>
    <row r="12" spans="1:26" ht="22.5" customHeight="1" x14ac:dyDescent="0.25">
      <c r="A12" s="441"/>
      <c r="B12" s="446">
        <v>1650</v>
      </c>
      <c r="C12" s="450" t="s">
        <v>11</v>
      </c>
      <c r="D12" s="453">
        <f>U9+U10</f>
        <v>15048774.549727492</v>
      </c>
      <c r="E12" s="453">
        <f>V9+V10</f>
        <v>6937795.5</v>
      </c>
      <c r="F12" s="446"/>
      <c r="G12" s="446">
        <v>3094</v>
      </c>
      <c r="H12" s="446">
        <v>165000001</v>
      </c>
      <c r="I12" s="446"/>
      <c r="J12" s="446">
        <v>11</v>
      </c>
      <c r="K12" s="442"/>
      <c r="L12" s="440">
        <f>(D12+E12-K12)/12</f>
        <v>1832214.1708106243</v>
      </c>
      <c r="M12" s="446" t="s">
        <v>805</v>
      </c>
      <c r="N12" s="446" t="s">
        <v>427</v>
      </c>
      <c r="O12" s="444"/>
      <c r="P12" s="550"/>
      <c r="Q12" s="462"/>
      <c r="R12" s="425"/>
      <c r="X12" s="437"/>
      <c r="Y12" s="445"/>
      <c r="Z12" s="445"/>
    </row>
    <row r="13" spans="1:26" ht="22.5" customHeight="1" x14ac:dyDescent="0.25">
      <c r="A13" s="441"/>
      <c r="B13" s="446"/>
      <c r="C13" s="450"/>
      <c r="D13" s="446"/>
      <c r="E13" s="446"/>
      <c r="F13" s="446"/>
      <c r="G13" s="446">
        <v>3094</v>
      </c>
      <c r="H13" s="446">
        <v>600011100</v>
      </c>
      <c r="I13" s="446"/>
      <c r="J13" s="446">
        <v>11</v>
      </c>
      <c r="K13" s="442"/>
      <c r="L13" s="453">
        <f>L12</f>
        <v>1832214.1708106243</v>
      </c>
      <c r="M13" s="446" t="s">
        <v>806</v>
      </c>
      <c r="N13" s="446" t="s">
        <v>427</v>
      </c>
      <c r="O13" s="444"/>
      <c r="P13" s="550"/>
      <c r="Q13" s="462"/>
      <c r="X13" s="437"/>
    </row>
    <row r="14" spans="1:26" ht="22.5" customHeight="1" x14ac:dyDescent="0.25">
      <c r="A14" s="454"/>
      <c r="B14" s="454"/>
      <c r="C14" s="454"/>
      <c r="D14" s="454"/>
      <c r="E14" s="454"/>
      <c r="F14" s="454"/>
      <c r="G14" s="454"/>
      <c r="H14" s="454"/>
      <c r="I14" s="454"/>
      <c r="J14" s="454"/>
      <c r="K14" s="455"/>
      <c r="L14" s="456"/>
      <c r="M14" s="454"/>
      <c r="N14" s="454"/>
      <c r="O14" s="444"/>
      <c r="P14" s="550"/>
      <c r="Q14" s="462"/>
      <c r="X14" s="437"/>
    </row>
    <row r="15" spans="1:26" ht="22.5" customHeight="1" x14ac:dyDescent="0.25">
      <c r="A15" s="438"/>
      <c r="K15" s="442"/>
      <c r="O15" s="444"/>
      <c r="P15" s="550"/>
      <c r="Q15" s="462"/>
      <c r="T15" s="317">
        <v>2021</v>
      </c>
      <c r="U15" s="317" t="s">
        <v>375</v>
      </c>
      <c r="V15" s="317" t="s">
        <v>149</v>
      </c>
      <c r="X15" s="437"/>
    </row>
    <row r="16" spans="1:26" ht="22.5" customHeight="1" x14ac:dyDescent="0.25">
      <c r="A16" s="441" t="s">
        <v>411</v>
      </c>
      <c r="B16" s="441">
        <v>2180</v>
      </c>
      <c r="C16" s="439" t="s">
        <v>192</v>
      </c>
      <c r="D16" s="440">
        <f>U16</f>
        <v>18592430.129660416</v>
      </c>
      <c r="E16" s="457">
        <f>V16</f>
        <v>3605812.5</v>
      </c>
      <c r="F16" s="441"/>
      <c r="G16" s="441">
        <v>3094</v>
      </c>
      <c r="H16" s="446">
        <v>218000101</v>
      </c>
      <c r="I16" s="441"/>
      <c r="J16" s="441">
        <v>11</v>
      </c>
      <c r="K16" s="442"/>
      <c r="L16" s="440">
        <f>(D16-K16)/12</f>
        <v>1549369.1774717013</v>
      </c>
      <c r="M16" s="441" t="s">
        <v>805</v>
      </c>
      <c r="N16" s="441" t="s">
        <v>464</v>
      </c>
      <c r="O16" s="319"/>
      <c r="P16" s="550"/>
      <c r="Q16" s="551"/>
      <c r="S16" s="319">
        <v>2180</v>
      </c>
      <c r="T16" s="443" t="str">
        <f>VLOOKUP(S16,[1]Orgenheter!$A$3:$C$165,2,FALSE)</f>
        <v xml:space="preserve">Pedagogik                     </v>
      </c>
      <c r="U16" s="445">
        <v>18592430.129660416</v>
      </c>
      <c r="V16" s="445">
        <v>3605812.5</v>
      </c>
      <c r="X16" s="445"/>
      <c r="Y16" s="445"/>
      <c r="Z16" s="445"/>
    </row>
    <row r="17" spans="1:26" ht="22.5" customHeight="1" x14ac:dyDescent="0.25">
      <c r="B17" s="441"/>
      <c r="C17" s="450"/>
      <c r="D17" s="440"/>
      <c r="E17" s="457"/>
      <c r="F17" s="441"/>
      <c r="G17" s="441">
        <v>3094</v>
      </c>
      <c r="H17" s="441">
        <v>600011100</v>
      </c>
      <c r="I17" s="441"/>
      <c r="J17" s="441">
        <v>11</v>
      </c>
      <c r="K17" s="442"/>
      <c r="L17" s="440">
        <f>L16</f>
        <v>1549369.1774717013</v>
      </c>
      <c r="M17" s="441" t="s">
        <v>806</v>
      </c>
      <c r="N17" s="441" t="s">
        <v>464</v>
      </c>
      <c r="O17" s="319"/>
      <c r="P17" s="550"/>
      <c r="Q17" s="551"/>
      <c r="S17" s="319">
        <v>2193</v>
      </c>
      <c r="T17" s="443" t="str">
        <f>VLOOKUP(S17,[1]Orgenheter!$A$3:$C$165,2,FALSE)</f>
        <v xml:space="preserve">TUV </v>
      </c>
      <c r="U17" s="445">
        <v>21434049.110404171</v>
      </c>
      <c r="V17" s="445">
        <v>3019245.8333333335</v>
      </c>
      <c r="X17" s="445"/>
      <c r="Y17" s="445"/>
      <c r="Z17" s="445"/>
    </row>
    <row r="18" spans="1:26" ht="22.5" customHeight="1" x14ac:dyDescent="0.25">
      <c r="B18" s="441">
        <v>2193</v>
      </c>
      <c r="C18" s="439" t="s">
        <v>441</v>
      </c>
      <c r="D18" s="440">
        <f>U17</f>
        <v>21434049.110404171</v>
      </c>
      <c r="E18" s="457">
        <f>V17</f>
        <v>3019245.8333333335</v>
      </c>
      <c r="F18" s="441"/>
      <c r="G18" s="441">
        <v>3094</v>
      </c>
      <c r="H18" s="441">
        <v>219300001</v>
      </c>
      <c r="I18" s="441"/>
      <c r="J18" s="441">
        <v>11</v>
      </c>
      <c r="K18" s="442"/>
      <c r="L18" s="440">
        <f>(D18-K18)/12</f>
        <v>1786170.7592003476</v>
      </c>
      <c r="M18" s="441" t="s">
        <v>805</v>
      </c>
      <c r="N18" s="441" t="s">
        <v>464</v>
      </c>
      <c r="O18" s="319"/>
      <c r="P18" s="550"/>
      <c r="Q18" s="551"/>
      <c r="S18" s="319">
        <v>2200</v>
      </c>
      <c r="T18" s="443" t="str">
        <f>VLOOKUP(S18,[1]Orgenheter!$A$3:$C$165,2,FALSE)</f>
        <v xml:space="preserve">Inst för psykologi            </v>
      </c>
      <c r="U18" s="445">
        <v>2140980.9897062504</v>
      </c>
      <c r="V18" s="445">
        <v>278060</v>
      </c>
      <c r="X18" s="445"/>
      <c r="Y18" s="445"/>
      <c r="Z18" s="445"/>
    </row>
    <row r="19" spans="1:26" ht="22.5" customHeight="1" x14ac:dyDescent="0.25">
      <c r="B19" s="441"/>
      <c r="C19" s="438"/>
      <c r="D19" s="441"/>
      <c r="E19" s="459"/>
      <c r="F19" s="441"/>
      <c r="G19" s="441">
        <v>3094</v>
      </c>
      <c r="H19" s="441">
        <v>600011100</v>
      </c>
      <c r="I19" s="441"/>
      <c r="J19" s="441">
        <v>11</v>
      </c>
      <c r="K19" s="442"/>
      <c r="L19" s="440">
        <f>L18</f>
        <v>1786170.7592003476</v>
      </c>
      <c r="M19" s="441" t="s">
        <v>806</v>
      </c>
      <c r="N19" s="441" t="s">
        <v>464</v>
      </c>
      <c r="O19" s="321"/>
      <c r="P19" s="550"/>
      <c r="Q19" s="551"/>
      <c r="S19" s="321">
        <v>2220</v>
      </c>
      <c r="T19" s="443" t="str">
        <f>VLOOKUP(S19,[1]Orgenheter!$A$3:$C$165,2,FALSE)</f>
        <v xml:space="preserve">Sociologi                     </v>
      </c>
      <c r="U19" s="445">
        <v>165501.405</v>
      </c>
      <c r="V19" s="445">
        <v>30000</v>
      </c>
      <c r="X19" s="445"/>
      <c r="Y19" s="445"/>
      <c r="Z19" s="445"/>
    </row>
    <row r="20" spans="1:26" ht="22.5" customHeight="1" x14ac:dyDescent="0.25">
      <c r="A20" s="441"/>
      <c r="B20" s="441">
        <v>2200</v>
      </c>
      <c r="C20" s="439" t="s">
        <v>571</v>
      </c>
      <c r="D20" s="440">
        <f>U18</f>
        <v>2140980.9897062504</v>
      </c>
      <c r="E20" s="457">
        <f>V18</f>
        <v>278060</v>
      </c>
      <c r="F20" s="441"/>
      <c r="G20" s="441">
        <v>3094</v>
      </c>
      <c r="H20" s="441">
        <v>220000100</v>
      </c>
      <c r="I20" s="441"/>
      <c r="J20" s="441">
        <v>11</v>
      </c>
      <c r="K20" s="442"/>
      <c r="L20" s="440">
        <f>(D20-K20)/12</f>
        <v>178415.08247552087</v>
      </c>
      <c r="M20" s="441" t="s">
        <v>805</v>
      </c>
      <c r="N20" s="441" t="s">
        <v>464</v>
      </c>
      <c r="O20" s="319"/>
      <c r="P20" s="550"/>
      <c r="Q20" s="551"/>
      <c r="S20" s="319">
        <v>2271</v>
      </c>
      <c r="T20" s="443" t="s">
        <v>1356</v>
      </c>
      <c r="U20" s="445">
        <v>619724.45998500008</v>
      </c>
      <c r="V20" s="445">
        <v>106860</v>
      </c>
      <c r="X20" s="445"/>
      <c r="Y20" s="445"/>
      <c r="Z20" s="445"/>
    </row>
    <row r="21" spans="1:26" ht="22.5" customHeight="1" x14ac:dyDescent="0.25">
      <c r="A21" s="441"/>
      <c r="B21" s="441"/>
      <c r="C21" s="438"/>
      <c r="D21" s="441"/>
      <c r="E21" s="459"/>
      <c r="F21" s="441"/>
      <c r="G21" s="441">
        <v>3094</v>
      </c>
      <c r="H21" s="441">
        <v>600011100</v>
      </c>
      <c r="I21" s="441"/>
      <c r="J21" s="441">
        <v>11</v>
      </c>
      <c r="K21" s="442"/>
      <c r="L21" s="440">
        <f>L20</f>
        <v>178415.08247552087</v>
      </c>
      <c r="M21" s="441" t="s">
        <v>806</v>
      </c>
      <c r="N21" s="441" t="s">
        <v>464</v>
      </c>
      <c r="O21" s="460"/>
      <c r="P21" s="550"/>
      <c r="Q21" s="551"/>
      <c r="S21" s="460">
        <v>2272</v>
      </c>
      <c r="T21" s="443" t="str">
        <f>VLOOKUP(S21,[1]Orgenheter!$A$3:$C$165,2,FALSE)</f>
        <v xml:space="preserve">Statistik                     </v>
      </c>
      <c r="U21" s="445">
        <v>542438.35301249987</v>
      </c>
      <c r="V21" s="445">
        <v>63630</v>
      </c>
      <c r="X21" s="445"/>
      <c r="Y21" s="445"/>
      <c r="Z21" s="445"/>
    </row>
    <row r="22" spans="1:26" ht="22.5" customHeight="1" x14ac:dyDescent="0.25">
      <c r="A22" s="441"/>
      <c r="B22" s="441">
        <v>2220</v>
      </c>
      <c r="C22" s="439" t="s">
        <v>195</v>
      </c>
      <c r="D22" s="440">
        <f>U19</f>
        <v>165501.405</v>
      </c>
      <c r="E22" s="457">
        <f>V19</f>
        <v>30000</v>
      </c>
      <c r="F22" s="441"/>
      <c r="G22" s="441">
        <v>3094</v>
      </c>
      <c r="H22" s="441">
        <v>222000100</v>
      </c>
      <c r="I22" s="441"/>
      <c r="J22" s="441">
        <v>11</v>
      </c>
      <c r="K22" s="442"/>
      <c r="L22" s="440">
        <f>(D22-K22)/12</f>
        <v>13791.783750000001</v>
      </c>
      <c r="M22" s="441" t="s">
        <v>805</v>
      </c>
      <c r="N22" s="441" t="s">
        <v>464</v>
      </c>
      <c r="O22" s="321"/>
      <c r="P22" s="550"/>
      <c r="Q22" s="551"/>
      <c r="S22" s="321">
        <v>2300</v>
      </c>
      <c r="T22" s="443" t="str">
        <f>VLOOKUP(S22,[1]Orgenheter!$A$3:$C$165,2,FALSE)</f>
        <v xml:space="preserve">Juridiska institutionen       </v>
      </c>
      <c r="U22" s="445">
        <v>670652.60461249994</v>
      </c>
      <c r="V22" s="445">
        <v>78670</v>
      </c>
      <c r="X22" s="445"/>
      <c r="Y22" s="445"/>
      <c r="Z22" s="445"/>
    </row>
    <row r="23" spans="1:26" ht="22.5" customHeight="1" x14ac:dyDescent="0.25">
      <c r="A23" s="441"/>
      <c r="B23" s="441"/>
      <c r="C23" s="450"/>
      <c r="F23" s="441"/>
      <c r="G23" s="441">
        <v>3094</v>
      </c>
      <c r="H23" s="441">
        <v>600011100</v>
      </c>
      <c r="I23" s="441"/>
      <c r="J23" s="441">
        <v>11</v>
      </c>
      <c r="K23" s="442"/>
      <c r="L23" s="440">
        <f>L22</f>
        <v>13791.783750000001</v>
      </c>
      <c r="M23" s="441" t="s">
        <v>806</v>
      </c>
      <c r="N23" s="441" t="s">
        <v>464</v>
      </c>
      <c r="O23" s="319"/>
      <c r="P23" s="550"/>
      <c r="Q23" s="551"/>
      <c r="S23" s="319">
        <v>2340</v>
      </c>
      <c r="T23" s="443" t="str">
        <f>VLOOKUP(S23,[1]Orgenheter!$A$3:$C$165,2,FALSE)</f>
        <v xml:space="preserve">Statsvetenskap                </v>
      </c>
      <c r="U23" s="445">
        <v>2493138.5411624992</v>
      </c>
      <c r="V23" s="445">
        <v>384975</v>
      </c>
      <c r="X23" s="445"/>
      <c r="Y23" s="445"/>
      <c r="Z23" s="445"/>
    </row>
    <row r="24" spans="1:26" ht="22.5" customHeight="1" x14ac:dyDescent="0.25">
      <c r="B24" s="441">
        <v>2271</v>
      </c>
      <c r="C24" s="450" t="s">
        <v>1356</v>
      </c>
      <c r="D24" s="440">
        <f>U20</f>
        <v>619724.45998500008</v>
      </c>
      <c r="E24" s="457">
        <f>V20</f>
        <v>106860</v>
      </c>
      <c r="G24" s="446">
        <v>3094</v>
      </c>
      <c r="H24" s="446">
        <v>227100100</v>
      </c>
      <c r="J24" s="441">
        <v>11</v>
      </c>
      <c r="K24" s="442"/>
      <c r="L24" s="440">
        <f>(D24-K24)/12</f>
        <v>51643.704998750007</v>
      </c>
      <c r="M24" s="441" t="s">
        <v>805</v>
      </c>
      <c r="N24" s="441" t="s">
        <v>464</v>
      </c>
      <c r="O24" s="460"/>
      <c r="P24" s="550"/>
      <c r="Q24" s="551"/>
      <c r="S24" s="460">
        <v>2360</v>
      </c>
      <c r="T24" s="443" t="str">
        <f>VLOOKUP(S24,[1]Orgenheter!$A$3:$C$165,2,FALSE)</f>
        <v xml:space="preserve">Ekonomisk historia            </v>
      </c>
      <c r="U24" s="445">
        <v>274401.32949000003</v>
      </c>
      <c r="V24" s="445">
        <v>49740</v>
      </c>
      <c r="X24" s="445"/>
      <c r="Y24" s="445"/>
      <c r="Z24" s="445"/>
    </row>
    <row r="25" spans="1:26" ht="22.5" customHeight="1" x14ac:dyDescent="0.25">
      <c r="G25" s="446">
        <v>3094</v>
      </c>
      <c r="H25" s="446">
        <v>600011100</v>
      </c>
      <c r="J25" s="441">
        <v>11</v>
      </c>
      <c r="K25" s="442"/>
      <c r="L25" s="440">
        <f>L24</f>
        <v>51643.704998750007</v>
      </c>
      <c r="M25" s="441" t="s">
        <v>806</v>
      </c>
      <c r="N25" s="441" t="s">
        <v>464</v>
      </c>
      <c r="O25" s="460"/>
      <c r="P25" s="550"/>
      <c r="Q25" s="551"/>
      <c r="S25" s="460">
        <v>2500</v>
      </c>
      <c r="T25" s="443" t="str">
        <f>VLOOKUP(S25,[1]Orgenheter!$A$3:$C$165,2,FALSE)</f>
        <v>Geografi</v>
      </c>
      <c r="U25" s="445">
        <v>263412.74099999998</v>
      </c>
      <c r="V25" s="445">
        <v>56252.5</v>
      </c>
      <c r="X25" s="445"/>
      <c r="Y25" s="445"/>
      <c r="Z25" s="445"/>
    </row>
    <row r="26" spans="1:26" ht="22.5" customHeight="1" x14ac:dyDescent="0.25">
      <c r="A26" s="441"/>
      <c r="B26" s="441">
        <v>2272</v>
      </c>
      <c r="C26" s="439" t="s">
        <v>200</v>
      </c>
      <c r="D26" s="440">
        <f>U21</f>
        <v>542438.35301249987</v>
      </c>
      <c r="E26" s="457">
        <f>V21</f>
        <v>63630</v>
      </c>
      <c r="F26" s="441"/>
      <c r="G26" s="441">
        <v>3094</v>
      </c>
      <c r="H26" s="446">
        <v>227200100</v>
      </c>
      <c r="I26" s="441"/>
      <c r="J26" s="441">
        <v>11</v>
      </c>
      <c r="K26" s="442"/>
      <c r="L26" s="440">
        <f>(D26-K26)/12</f>
        <v>45203.196084374991</v>
      </c>
      <c r="M26" s="441" t="s">
        <v>805</v>
      </c>
      <c r="N26" s="441" t="s">
        <v>464</v>
      </c>
      <c r="O26" s="460"/>
      <c r="P26" s="550"/>
      <c r="Q26" s="551"/>
      <c r="S26" s="460">
        <v>2750</v>
      </c>
      <c r="T26" s="443" t="str">
        <f>VLOOKUP(S26,[1]Orgenheter!$A$3:$C$165,2,FALSE)</f>
        <v xml:space="preserve">Kostvetenskap                 </v>
      </c>
      <c r="U26" s="445">
        <v>2971781.7932500001</v>
      </c>
      <c r="V26" s="445">
        <v>1191342.5</v>
      </c>
      <c r="X26" s="445"/>
      <c r="Y26" s="445"/>
      <c r="Z26" s="445"/>
    </row>
    <row r="27" spans="1:26" ht="22.5" customHeight="1" x14ac:dyDescent="0.25">
      <c r="A27" s="441"/>
      <c r="G27" s="441">
        <v>3094</v>
      </c>
      <c r="H27" s="441">
        <v>600011100</v>
      </c>
      <c r="J27" s="441">
        <v>11</v>
      </c>
      <c r="K27" s="442"/>
      <c r="L27" s="440">
        <f>L26</f>
        <v>45203.196084374991</v>
      </c>
      <c r="M27" s="441" t="s">
        <v>806</v>
      </c>
      <c r="N27" s="441" t="s">
        <v>464</v>
      </c>
      <c r="O27" s="444"/>
      <c r="P27" s="550"/>
      <c r="Q27" s="551"/>
      <c r="U27" s="445"/>
      <c r="V27" s="445"/>
      <c r="X27" s="437"/>
      <c r="Y27" s="445"/>
      <c r="Z27" s="445"/>
    </row>
    <row r="28" spans="1:26" ht="22.5" customHeight="1" x14ac:dyDescent="0.25">
      <c r="B28" s="441">
        <v>2300</v>
      </c>
      <c r="C28" s="439" t="s">
        <v>899</v>
      </c>
      <c r="D28" s="440">
        <f>U22</f>
        <v>670652.60461249994</v>
      </c>
      <c r="E28" s="457">
        <f>V22</f>
        <v>78670</v>
      </c>
      <c r="F28" s="441"/>
      <c r="G28" s="441">
        <v>3094</v>
      </c>
      <c r="H28" s="446">
        <v>230000100</v>
      </c>
      <c r="I28" s="441"/>
      <c r="J28" s="441">
        <v>11</v>
      </c>
      <c r="K28" s="442"/>
      <c r="L28" s="440">
        <f>(D28-K28)/12</f>
        <v>55887.717051041662</v>
      </c>
      <c r="M28" s="441" t="s">
        <v>805</v>
      </c>
      <c r="N28" s="441" t="s">
        <v>464</v>
      </c>
      <c r="O28" s="444"/>
      <c r="P28" s="550"/>
      <c r="Q28" s="551"/>
      <c r="X28" s="437"/>
      <c r="Y28" s="445"/>
      <c r="Z28" s="445"/>
    </row>
    <row r="29" spans="1:26" ht="22.5" customHeight="1" x14ac:dyDescent="0.25">
      <c r="G29" s="441">
        <v>3094</v>
      </c>
      <c r="H29" s="441">
        <v>600011100</v>
      </c>
      <c r="J29" s="441">
        <v>11</v>
      </c>
      <c r="K29" s="442"/>
      <c r="L29" s="440">
        <f>L28</f>
        <v>55887.717051041662</v>
      </c>
      <c r="M29" s="441" t="s">
        <v>806</v>
      </c>
      <c r="N29" s="441" t="s">
        <v>464</v>
      </c>
      <c r="O29" s="444"/>
      <c r="P29" s="550"/>
      <c r="Q29" s="551"/>
      <c r="X29" s="437"/>
    </row>
    <row r="30" spans="1:26" ht="22.5" customHeight="1" x14ac:dyDescent="0.25">
      <c r="A30" s="441"/>
      <c r="B30" s="441">
        <v>2340</v>
      </c>
      <c r="C30" s="439" t="s">
        <v>198</v>
      </c>
      <c r="D30" s="453">
        <f>U23</f>
        <v>2493138.5411624992</v>
      </c>
      <c r="E30" s="461">
        <f>V23</f>
        <v>384975</v>
      </c>
      <c r="F30" s="441"/>
      <c r="G30" s="441">
        <v>3094</v>
      </c>
      <c r="H30" s="441">
        <v>234000100</v>
      </c>
      <c r="I30" s="441"/>
      <c r="J30" s="441">
        <v>11</v>
      </c>
      <c r="K30" s="442"/>
      <c r="L30" s="440">
        <f>(D30-K30)/12</f>
        <v>207761.54509687494</v>
      </c>
      <c r="M30" s="441" t="s">
        <v>805</v>
      </c>
      <c r="N30" s="441" t="s">
        <v>464</v>
      </c>
      <c r="O30" s="444"/>
      <c r="P30" s="550"/>
      <c r="Q30" s="551"/>
      <c r="X30" s="437"/>
    </row>
    <row r="31" spans="1:26" ht="22.5" customHeight="1" x14ac:dyDescent="0.25">
      <c r="A31" s="441"/>
      <c r="B31" s="441"/>
      <c r="C31" s="438"/>
      <c r="D31" s="441"/>
      <c r="E31" s="459"/>
      <c r="F31" s="441"/>
      <c r="G31" s="441">
        <v>3094</v>
      </c>
      <c r="H31" s="441">
        <v>600011100</v>
      </c>
      <c r="I31" s="441"/>
      <c r="J31" s="441">
        <v>11</v>
      </c>
      <c r="K31" s="442"/>
      <c r="L31" s="440">
        <f>L30</f>
        <v>207761.54509687494</v>
      </c>
      <c r="M31" s="441" t="s">
        <v>806</v>
      </c>
      <c r="N31" s="441" t="s">
        <v>464</v>
      </c>
      <c r="O31" s="444"/>
      <c r="P31" s="550"/>
      <c r="Q31" s="551"/>
      <c r="X31" s="437"/>
    </row>
    <row r="32" spans="1:26" ht="22.5" customHeight="1" x14ac:dyDescent="0.25">
      <c r="A32" s="441"/>
      <c r="B32" s="441">
        <v>2360</v>
      </c>
      <c r="C32" s="439" t="s">
        <v>572</v>
      </c>
      <c r="D32" s="440">
        <f>U24</f>
        <v>274401.32949000003</v>
      </c>
      <c r="E32" s="457">
        <f>V24</f>
        <v>49740</v>
      </c>
      <c r="F32" s="441"/>
      <c r="G32" s="446">
        <v>3094</v>
      </c>
      <c r="H32" s="441">
        <v>236000100</v>
      </c>
      <c r="I32" s="441"/>
      <c r="J32" s="441">
        <v>11</v>
      </c>
      <c r="K32" s="442"/>
      <c r="L32" s="440">
        <f>(D32-K32)/12</f>
        <v>22866.777457500004</v>
      </c>
      <c r="M32" s="441" t="s">
        <v>805</v>
      </c>
      <c r="N32" s="441" t="s">
        <v>464</v>
      </c>
      <c r="O32" s="444"/>
      <c r="P32" s="550"/>
      <c r="Q32" s="551"/>
      <c r="S32" s="462"/>
      <c r="T32" s="462"/>
      <c r="U32" s="462"/>
      <c r="X32" s="437"/>
    </row>
    <row r="33" spans="1:26" ht="22.5" customHeight="1" x14ac:dyDescent="0.25">
      <c r="A33" s="441"/>
      <c r="G33" s="446">
        <v>3094</v>
      </c>
      <c r="H33" s="441">
        <v>600011100</v>
      </c>
      <c r="J33" s="441">
        <v>11</v>
      </c>
      <c r="K33" s="442"/>
      <c r="L33" s="440">
        <f>L32</f>
        <v>22866.777457500004</v>
      </c>
      <c r="M33" s="441" t="s">
        <v>806</v>
      </c>
      <c r="N33" s="441" t="s">
        <v>464</v>
      </c>
      <c r="O33" s="444"/>
      <c r="P33" s="550"/>
      <c r="Q33" s="551"/>
      <c r="X33" s="437"/>
    </row>
    <row r="34" spans="1:26" ht="22.5" customHeight="1" x14ac:dyDescent="0.25">
      <c r="A34" s="441"/>
      <c r="B34" s="441">
        <v>2500</v>
      </c>
      <c r="C34" s="439" t="s">
        <v>2018</v>
      </c>
      <c r="D34" s="440">
        <f>U25</f>
        <v>263412.74099999998</v>
      </c>
      <c r="E34" s="457">
        <f>V25</f>
        <v>56252.5</v>
      </c>
      <c r="F34" s="441"/>
      <c r="G34" s="441">
        <v>3094</v>
      </c>
      <c r="H34" s="441">
        <v>250000010</v>
      </c>
      <c r="I34" s="441"/>
      <c r="J34" s="441">
        <v>11</v>
      </c>
      <c r="K34" s="442"/>
      <c r="L34" s="440">
        <f>(D34-K34)/12</f>
        <v>21951.061749999997</v>
      </c>
      <c r="M34" s="441" t="s">
        <v>805</v>
      </c>
      <c r="N34" s="441" t="s">
        <v>464</v>
      </c>
      <c r="O34" s="444"/>
      <c r="P34" s="550"/>
      <c r="Q34" s="551"/>
      <c r="X34" s="437"/>
    </row>
    <row r="35" spans="1:26" ht="22.5" customHeight="1" x14ac:dyDescent="0.25">
      <c r="A35" s="441"/>
      <c r="G35" s="441">
        <v>3094</v>
      </c>
      <c r="H35" s="441">
        <v>600011100</v>
      </c>
      <c r="J35" s="441">
        <v>11</v>
      </c>
      <c r="K35" s="442"/>
      <c r="L35" s="440">
        <f>L34</f>
        <v>21951.061749999997</v>
      </c>
      <c r="M35" s="441" t="s">
        <v>806</v>
      </c>
      <c r="N35" s="441" t="s">
        <v>464</v>
      </c>
      <c r="O35" s="444"/>
      <c r="P35" s="550"/>
      <c r="Q35" s="551"/>
      <c r="X35" s="437"/>
    </row>
    <row r="36" spans="1:26" ht="22.5" customHeight="1" x14ac:dyDescent="0.25">
      <c r="A36" s="441"/>
      <c r="B36" s="441">
        <v>2650</v>
      </c>
      <c r="C36" s="439" t="s">
        <v>2147</v>
      </c>
      <c r="D36" s="440">
        <f>U26</f>
        <v>2971781.7932500001</v>
      </c>
      <c r="E36" s="457">
        <f>V26</f>
        <v>1191342.5</v>
      </c>
      <c r="F36" s="441"/>
      <c r="G36" s="441">
        <v>3094</v>
      </c>
      <c r="H36" s="441">
        <v>275000100</v>
      </c>
      <c r="I36" s="441"/>
      <c r="J36" s="441">
        <v>11</v>
      </c>
      <c r="K36" s="442"/>
      <c r="L36" s="440">
        <f>(D36-K36)/12</f>
        <v>247648.48277083333</v>
      </c>
      <c r="M36" s="441" t="s">
        <v>805</v>
      </c>
      <c r="N36" s="441" t="s">
        <v>464</v>
      </c>
      <c r="O36" s="444"/>
      <c r="P36" s="550"/>
      <c r="Q36" s="551"/>
      <c r="X36" s="437"/>
    </row>
    <row r="37" spans="1:26" ht="22.5" customHeight="1" x14ac:dyDescent="0.25">
      <c r="A37" s="441"/>
      <c r="B37" s="441"/>
      <c r="C37" s="438"/>
      <c r="D37" s="441"/>
      <c r="E37" s="459"/>
      <c r="F37" s="441"/>
      <c r="G37" s="441">
        <v>3094</v>
      </c>
      <c r="H37" s="441">
        <v>600011100</v>
      </c>
      <c r="I37" s="441"/>
      <c r="J37" s="441">
        <v>11</v>
      </c>
      <c r="K37" s="442"/>
      <c r="L37" s="440">
        <f>L36</f>
        <v>247648.48277083333</v>
      </c>
      <c r="M37" s="441" t="s">
        <v>806</v>
      </c>
      <c r="N37" s="441" t="s">
        <v>464</v>
      </c>
      <c r="O37" s="444"/>
      <c r="P37" s="550"/>
      <c r="Q37" s="551"/>
      <c r="X37" s="437"/>
    </row>
    <row r="38" spans="1:26" ht="22.5" customHeight="1" x14ac:dyDescent="0.25">
      <c r="A38" s="438"/>
      <c r="B38" s="438">
        <v>2000</v>
      </c>
      <c r="C38" s="450" t="s">
        <v>463</v>
      </c>
      <c r="D38" s="438"/>
      <c r="E38" s="463">
        <f>SUM(E16:E37)</f>
        <v>8864588.333333334</v>
      </c>
      <c r="F38" s="438"/>
      <c r="G38" s="438">
        <v>3094</v>
      </c>
      <c r="H38" s="438">
        <v>200000001</v>
      </c>
      <c r="I38" s="438"/>
      <c r="J38" s="441">
        <v>11</v>
      </c>
      <c r="K38" s="442"/>
      <c r="L38" s="440">
        <f>(E38-K38)/12</f>
        <v>738715.6944444445</v>
      </c>
      <c r="M38" s="441" t="s">
        <v>805</v>
      </c>
      <c r="N38" s="438" t="s">
        <v>404</v>
      </c>
      <c r="O38" s="444"/>
      <c r="P38" s="550"/>
      <c r="Q38" s="551"/>
      <c r="X38" s="437"/>
    </row>
    <row r="39" spans="1:26" ht="22.5" customHeight="1" x14ac:dyDescent="0.25">
      <c r="G39" s="464">
        <v>3094</v>
      </c>
      <c r="H39" s="441">
        <v>600011100</v>
      </c>
      <c r="J39" s="441">
        <v>11</v>
      </c>
      <c r="K39" s="442"/>
      <c r="L39" s="440">
        <f>L38</f>
        <v>738715.6944444445</v>
      </c>
      <c r="M39" s="441" t="s">
        <v>806</v>
      </c>
      <c r="N39" s="438" t="s">
        <v>404</v>
      </c>
      <c r="O39" s="444"/>
      <c r="P39" s="550"/>
      <c r="Q39" s="462"/>
      <c r="X39" s="437"/>
    </row>
    <row r="40" spans="1:26" ht="22.5" customHeight="1" x14ac:dyDescent="0.25">
      <c r="A40" s="454"/>
      <c r="B40" s="454"/>
      <c r="C40" s="465"/>
      <c r="D40" s="454"/>
      <c r="E40" s="466"/>
      <c r="F40" s="454"/>
      <c r="G40" s="454"/>
      <c r="H40" s="454"/>
      <c r="I40" s="454"/>
      <c r="J40" s="454"/>
      <c r="K40" s="455"/>
      <c r="L40" s="467"/>
      <c r="M40" s="454"/>
      <c r="N40" s="454"/>
      <c r="O40" s="444"/>
      <c r="P40" s="550"/>
      <c r="Q40" s="462"/>
      <c r="X40" s="437"/>
    </row>
    <row r="41" spans="1:26" ht="22.5" customHeight="1" x14ac:dyDescent="0.25">
      <c r="A41" s="438"/>
      <c r="K41" s="442"/>
      <c r="O41" s="444"/>
      <c r="P41" s="550"/>
      <c r="Q41" s="462"/>
      <c r="T41" s="317">
        <v>2021</v>
      </c>
      <c r="U41" s="317" t="s">
        <v>375</v>
      </c>
      <c r="V41" s="317" t="s">
        <v>149</v>
      </c>
      <c r="X41" s="437"/>
      <c r="Y41" s="445"/>
      <c r="Z41" s="445"/>
    </row>
    <row r="42" spans="1:26" ht="22.5" customHeight="1" x14ac:dyDescent="0.25">
      <c r="A42" s="438" t="s">
        <v>413</v>
      </c>
      <c r="B42" s="441">
        <v>3306</v>
      </c>
      <c r="C42" s="439" t="s">
        <v>242</v>
      </c>
      <c r="D42" s="468">
        <f>U42</f>
        <v>841688.42062500003</v>
      </c>
      <c r="E42" s="468">
        <f>V42</f>
        <v>415012.5</v>
      </c>
      <c r="F42" s="438"/>
      <c r="G42" s="464">
        <v>3094</v>
      </c>
      <c r="H42" s="464">
        <v>330600100</v>
      </c>
      <c r="I42" s="464"/>
      <c r="J42" s="464">
        <v>11</v>
      </c>
      <c r="K42" s="442"/>
      <c r="L42" s="440">
        <f>(D42+E42-K42)/12</f>
        <v>104725.07671875</v>
      </c>
      <c r="M42" s="441" t="s">
        <v>805</v>
      </c>
      <c r="N42" s="438" t="s">
        <v>427</v>
      </c>
      <c r="O42" s="444"/>
      <c r="P42" s="550"/>
      <c r="Q42" s="462"/>
      <c r="S42" s="436">
        <v>3306</v>
      </c>
      <c r="T42" s="443" t="str">
        <f>VLOOKUP(S42,[1]Orgenheter!$A$3:$C$165,2,FALSE)</f>
        <v xml:space="preserve">Idrottsmedicin                </v>
      </c>
      <c r="U42" s="445">
        <v>841688.42062500003</v>
      </c>
      <c r="V42" s="445">
        <v>415012.5</v>
      </c>
      <c r="X42" s="445"/>
      <c r="Y42" s="445"/>
      <c r="Z42" s="445"/>
    </row>
    <row r="43" spans="1:26" ht="22.5" customHeight="1" x14ac:dyDescent="0.25">
      <c r="B43" s="441"/>
      <c r="C43" s="439"/>
      <c r="G43" s="464">
        <v>3094</v>
      </c>
      <c r="H43" s="441">
        <v>600011100</v>
      </c>
      <c r="J43" s="464">
        <v>11</v>
      </c>
      <c r="K43" s="442"/>
      <c r="L43" s="468">
        <f>L42</f>
        <v>104725.07671875</v>
      </c>
      <c r="M43" s="441" t="s">
        <v>806</v>
      </c>
      <c r="N43" s="438" t="s">
        <v>427</v>
      </c>
      <c r="O43" s="444"/>
      <c r="P43" s="550"/>
      <c r="Q43" s="462"/>
      <c r="S43" s="317">
        <v>3850</v>
      </c>
      <c r="T43" s="443" t="str">
        <f>VLOOKUP(S43,[1]Orgenheter!$A$3:$C$165,2,FALSE)</f>
        <v>Epidemiologi och global hälsa</v>
      </c>
      <c r="U43" s="445">
        <v>204958.16624999998</v>
      </c>
      <c r="V43" s="445">
        <v>101149.99999999999</v>
      </c>
      <c r="X43" s="445"/>
      <c r="Y43" s="445"/>
      <c r="Z43" s="445"/>
    </row>
    <row r="44" spans="1:26" ht="22.5" customHeight="1" x14ac:dyDescent="0.25">
      <c r="B44" s="441">
        <v>3850</v>
      </c>
      <c r="C44" s="443" t="str">
        <f>VLOOKUP(B44,[1]Orgenheter!$A$3:$C$165,2,FALSE)</f>
        <v>Epidemiologi och global hälsa</v>
      </c>
      <c r="D44" s="468">
        <f>U43</f>
        <v>204958.16624999998</v>
      </c>
      <c r="E44" s="468">
        <f>V43</f>
        <v>101149.99999999999</v>
      </c>
      <c r="G44" s="464">
        <v>3094</v>
      </c>
      <c r="H44" s="446">
        <v>385000002</v>
      </c>
      <c r="J44" s="464">
        <v>11</v>
      </c>
      <c r="K44" s="442"/>
      <c r="L44" s="440">
        <f>(D44+E44-K44)/12</f>
        <v>25509.013854166664</v>
      </c>
      <c r="M44" s="441" t="s">
        <v>805</v>
      </c>
      <c r="N44" s="438" t="s">
        <v>427</v>
      </c>
      <c r="O44" s="444"/>
      <c r="P44" s="550"/>
      <c r="Q44" s="462"/>
      <c r="T44" s="443"/>
      <c r="U44" s="445"/>
      <c r="V44" s="445"/>
      <c r="X44" s="437"/>
    </row>
    <row r="45" spans="1:26" ht="22.5" customHeight="1" x14ac:dyDescent="0.25">
      <c r="G45" s="464">
        <v>3094</v>
      </c>
      <c r="H45" s="441">
        <v>600011100</v>
      </c>
      <c r="J45" s="464">
        <v>11</v>
      </c>
      <c r="K45" s="442"/>
      <c r="L45" s="468">
        <f>L44</f>
        <v>25509.013854166664</v>
      </c>
      <c r="M45" s="441" t="s">
        <v>806</v>
      </c>
      <c r="N45" s="438" t="s">
        <v>427</v>
      </c>
      <c r="O45" s="444"/>
      <c r="P45" s="550"/>
      <c r="Q45" s="462"/>
      <c r="X45" s="437"/>
    </row>
    <row r="46" spans="1:26" ht="22.5" customHeight="1" x14ac:dyDescent="0.25">
      <c r="A46" s="454"/>
      <c r="B46" s="454"/>
      <c r="C46" s="469"/>
      <c r="D46" s="467"/>
      <c r="E46" s="467"/>
      <c r="F46" s="454"/>
      <c r="G46" s="470"/>
      <c r="H46" s="470"/>
      <c r="I46" s="470"/>
      <c r="J46" s="470"/>
      <c r="K46" s="455"/>
      <c r="L46" s="467"/>
      <c r="M46" s="454"/>
      <c r="N46" s="454"/>
      <c r="O46" s="444"/>
      <c r="P46" s="550"/>
      <c r="Q46" s="462"/>
      <c r="X46" s="437"/>
      <c r="Y46" s="445"/>
      <c r="Z46" s="445"/>
    </row>
    <row r="47" spans="1:26" ht="22.5" customHeight="1" x14ac:dyDescent="0.25">
      <c r="K47" s="442"/>
      <c r="O47" s="444"/>
      <c r="P47" s="550"/>
      <c r="Q47" s="462"/>
      <c r="S47" s="444"/>
      <c r="T47" s="317">
        <v>2021</v>
      </c>
      <c r="U47" s="317" t="s">
        <v>375</v>
      </c>
      <c r="V47" s="317" t="s">
        <v>149</v>
      </c>
      <c r="X47" s="437"/>
    </row>
    <row r="48" spans="1:26" ht="22.5" customHeight="1" x14ac:dyDescent="0.25">
      <c r="A48" s="441" t="s">
        <v>465</v>
      </c>
      <c r="B48" s="441">
        <v>5100</v>
      </c>
      <c r="C48" s="439" t="s">
        <v>164</v>
      </c>
      <c r="D48" s="471">
        <f>U48</f>
        <v>584978.71249999991</v>
      </c>
      <c r="E48" s="471">
        <f>V48</f>
        <v>257075</v>
      </c>
      <c r="G48" s="464">
        <v>3094</v>
      </c>
      <c r="H48" s="446">
        <v>510010100</v>
      </c>
      <c r="J48" s="464">
        <v>11</v>
      </c>
      <c r="L48" s="440">
        <f>(D48+E48-K48)/12</f>
        <v>70171.142708333326</v>
      </c>
      <c r="M48" s="464" t="s">
        <v>805</v>
      </c>
      <c r="N48" s="438" t="s">
        <v>427</v>
      </c>
      <c r="P48" s="550"/>
      <c r="Q48" s="462"/>
      <c r="S48" s="317">
        <v>5100</v>
      </c>
      <c r="T48" s="443" t="str">
        <f>VLOOKUP(S48,[1]Orgenheter!$A$3:$C$165,2,FALSE)</f>
        <v>EMG</v>
      </c>
      <c r="U48" s="445">
        <v>584978.71249999991</v>
      </c>
      <c r="V48" s="445">
        <v>257075</v>
      </c>
      <c r="X48" s="444"/>
      <c r="Y48" s="445"/>
      <c r="Z48" s="445"/>
    </row>
    <row r="49" spans="1:26" ht="22.5" customHeight="1" x14ac:dyDescent="0.25">
      <c r="G49" s="464">
        <v>3094</v>
      </c>
      <c r="H49" s="446">
        <v>600011100</v>
      </c>
      <c r="J49" s="464">
        <v>11</v>
      </c>
      <c r="L49" s="468">
        <f>L48</f>
        <v>70171.142708333326</v>
      </c>
      <c r="M49" s="464" t="s">
        <v>806</v>
      </c>
      <c r="N49" s="438" t="s">
        <v>427</v>
      </c>
      <c r="P49" s="550"/>
      <c r="Q49" s="462"/>
      <c r="S49" s="317">
        <v>5160</v>
      </c>
      <c r="T49" s="443" t="str">
        <f>VLOOKUP(S49,[1]Orgenheter!$A$3:$C$165,2,FALSE)</f>
        <v xml:space="preserve">Inst för Fysiologisk botanik  </v>
      </c>
      <c r="U49" s="445">
        <v>102853.4</v>
      </c>
      <c r="V49" s="445">
        <v>45200</v>
      </c>
      <c r="X49" s="444"/>
      <c r="Y49" s="445"/>
      <c r="Z49" s="445"/>
    </row>
    <row r="50" spans="1:26" ht="22.5" customHeight="1" x14ac:dyDescent="0.25">
      <c r="B50" s="441">
        <v>5160</v>
      </c>
      <c r="C50" s="439" t="str">
        <f>VLOOKUP(B50,[1]Orgenheter!$A$3:$C$165,2,FALSE)</f>
        <v xml:space="preserve">Inst för Fysiologisk botanik  </v>
      </c>
      <c r="D50" s="471">
        <f>U49</f>
        <v>102853.4</v>
      </c>
      <c r="E50" s="471">
        <f>V49</f>
        <v>45200</v>
      </c>
      <c r="G50" s="446">
        <v>3094</v>
      </c>
      <c r="H50" s="446">
        <v>516001100</v>
      </c>
      <c r="J50" s="464">
        <v>11</v>
      </c>
      <c r="L50" s="440">
        <f>(D50+E50-K50)/12</f>
        <v>12337.783333333333</v>
      </c>
      <c r="M50" s="464" t="s">
        <v>805</v>
      </c>
      <c r="N50" s="438" t="s">
        <v>427</v>
      </c>
      <c r="O50" s="319"/>
      <c r="P50" s="550"/>
      <c r="Q50" s="462"/>
      <c r="S50" s="317">
        <v>5400</v>
      </c>
      <c r="T50" s="443" t="str">
        <f>VLOOKUP(S50,[1]Orgenheter!$A$3:$C$165,2,FALSE)</f>
        <v xml:space="preserve">Inst för Fysik                </v>
      </c>
      <c r="U50" s="445">
        <v>192580.495</v>
      </c>
      <c r="V50" s="445">
        <v>87010</v>
      </c>
      <c r="X50" s="444"/>
      <c r="Y50" s="445"/>
      <c r="Z50" s="445"/>
    </row>
    <row r="51" spans="1:26" ht="22.5" customHeight="1" x14ac:dyDescent="0.25">
      <c r="G51" s="446">
        <v>3094</v>
      </c>
      <c r="H51" s="446">
        <v>600011100</v>
      </c>
      <c r="I51" s="320"/>
      <c r="J51" s="464">
        <v>11</v>
      </c>
      <c r="L51" s="468">
        <f>L50</f>
        <v>12337.783333333333</v>
      </c>
      <c r="M51" s="464" t="s">
        <v>806</v>
      </c>
      <c r="N51" s="438" t="s">
        <v>427</v>
      </c>
      <c r="O51" s="319"/>
      <c r="P51" s="550"/>
      <c r="Q51" s="462"/>
      <c r="S51" s="317">
        <v>5410</v>
      </c>
      <c r="T51" s="443" t="s">
        <v>1077</v>
      </c>
      <c r="U51" s="445">
        <v>0</v>
      </c>
      <c r="V51" s="445">
        <v>0</v>
      </c>
      <c r="X51" s="444"/>
      <c r="Y51" s="445"/>
      <c r="Z51" s="445"/>
    </row>
    <row r="52" spans="1:26" ht="22.5" customHeight="1" x14ac:dyDescent="0.25">
      <c r="B52" s="446">
        <v>5400</v>
      </c>
      <c r="C52" s="450" t="s">
        <v>898</v>
      </c>
      <c r="D52" s="471">
        <f>U50</f>
        <v>192580.495</v>
      </c>
      <c r="E52" s="471">
        <f>V50</f>
        <v>87010</v>
      </c>
      <c r="F52" s="320"/>
      <c r="G52" s="446">
        <v>3094</v>
      </c>
      <c r="H52" s="446">
        <v>540000100</v>
      </c>
      <c r="I52" s="320"/>
      <c r="J52" s="464">
        <v>11</v>
      </c>
      <c r="K52" s="452"/>
      <c r="L52" s="440">
        <f>(D52+E52-K52)/12</f>
        <v>23299.207916666666</v>
      </c>
      <c r="M52" s="446" t="s">
        <v>805</v>
      </c>
      <c r="N52" s="464" t="s">
        <v>427</v>
      </c>
      <c r="O52" s="319"/>
      <c r="P52" s="550"/>
      <c r="Q52" s="462"/>
      <c r="S52" s="319">
        <v>5500</v>
      </c>
      <c r="T52" s="443" t="str">
        <f>VLOOKUP(S52,[1]Orgenheter!$A$3:$C$165,2,FALSE)</f>
        <v xml:space="preserve">Kemiska institutionen         </v>
      </c>
      <c r="U52" s="445">
        <v>192850.12499999994</v>
      </c>
      <c r="V52" s="445">
        <v>84750</v>
      </c>
      <c r="X52" s="444"/>
      <c r="Y52" s="445"/>
      <c r="Z52" s="445"/>
    </row>
    <row r="53" spans="1:26" ht="22.5" customHeight="1" x14ac:dyDescent="0.25">
      <c r="B53" s="446"/>
      <c r="C53" s="450"/>
      <c r="D53" s="446"/>
      <c r="E53" s="446"/>
      <c r="F53" s="320"/>
      <c r="G53" s="446">
        <v>3094</v>
      </c>
      <c r="H53" s="446">
        <v>600011100</v>
      </c>
      <c r="I53" s="320"/>
      <c r="J53" s="464">
        <v>11</v>
      </c>
      <c r="K53" s="452"/>
      <c r="L53" s="471">
        <f>L52</f>
        <v>23299.207916666666</v>
      </c>
      <c r="M53" s="446" t="s">
        <v>806</v>
      </c>
      <c r="N53" s="464" t="s">
        <v>427</v>
      </c>
      <c r="O53" s="444"/>
      <c r="P53" s="550"/>
      <c r="Q53" s="462"/>
      <c r="S53" s="321">
        <v>5700</v>
      </c>
      <c r="T53" s="443" t="s">
        <v>313</v>
      </c>
      <c r="U53" s="445">
        <v>6428.3374999999996</v>
      </c>
      <c r="V53" s="445">
        <v>2825</v>
      </c>
      <c r="X53" s="444"/>
      <c r="Y53" s="445"/>
      <c r="Z53" s="445"/>
    </row>
    <row r="54" spans="1:26" ht="22.5" customHeight="1" x14ac:dyDescent="0.25">
      <c r="B54" s="446">
        <v>5410</v>
      </c>
      <c r="C54" s="450" t="s">
        <v>1077</v>
      </c>
      <c r="D54" s="471">
        <f>U51</f>
        <v>0</v>
      </c>
      <c r="E54" s="471">
        <f>V51</f>
        <v>0</v>
      </c>
      <c r="F54" s="320"/>
      <c r="G54" s="446">
        <v>3094</v>
      </c>
      <c r="H54" s="446">
        <v>541000100</v>
      </c>
      <c r="I54" s="320"/>
      <c r="J54" s="464">
        <v>11</v>
      </c>
      <c r="K54" s="452"/>
      <c r="L54" s="440">
        <f>(D54+E54-K54)/12</f>
        <v>0</v>
      </c>
      <c r="M54" s="446" t="s">
        <v>805</v>
      </c>
      <c r="N54" s="464" t="s">
        <v>427</v>
      </c>
      <c r="O54" s="444"/>
      <c r="P54" s="550"/>
      <c r="Q54" s="462"/>
      <c r="S54" s="319">
        <v>5730</v>
      </c>
      <c r="T54" s="443" t="str">
        <f>VLOOKUP(S54,[1]Orgenheter!$A$3:$C$165,2,FALSE)</f>
        <v>Inst för MA och MA statistik</v>
      </c>
      <c r="U54" s="445">
        <v>3204448.2364999969</v>
      </c>
      <c r="V54" s="445">
        <v>1246353.3333333333</v>
      </c>
      <c r="X54" s="444"/>
      <c r="Y54" s="445"/>
      <c r="Z54" s="445"/>
    </row>
    <row r="55" spans="1:26" ht="22.5" customHeight="1" x14ac:dyDescent="0.25">
      <c r="B55" s="446"/>
      <c r="C55" s="450"/>
      <c r="D55" s="446"/>
      <c r="E55" s="446"/>
      <c r="F55" s="320"/>
      <c r="G55" s="446">
        <v>3094</v>
      </c>
      <c r="H55" s="446">
        <v>600011100</v>
      </c>
      <c r="I55" s="320"/>
      <c r="J55" s="464">
        <v>11</v>
      </c>
      <c r="K55" s="452"/>
      <c r="L55" s="471">
        <f>L54</f>
        <v>0</v>
      </c>
      <c r="M55" s="446" t="s">
        <v>806</v>
      </c>
      <c r="N55" s="464" t="s">
        <v>427</v>
      </c>
      <c r="O55" s="444"/>
      <c r="P55" s="550"/>
      <c r="Q55" s="462"/>
      <c r="S55" s="319">
        <v>5740</v>
      </c>
      <c r="T55" s="443" t="str">
        <f>VLOOKUP(S55,[1]Orgenheter!$A$3:$C$165,2,FALSE)</f>
        <v>NMD</v>
      </c>
      <c r="U55" s="445">
        <v>11644001.083882499</v>
      </c>
      <c r="V55" s="445">
        <v>3820273.8333333335</v>
      </c>
      <c r="X55" s="437"/>
      <c r="Y55" s="445"/>
      <c r="Z55" s="445"/>
    </row>
    <row r="56" spans="1:26" ht="22.5" customHeight="1" x14ac:dyDescent="0.25">
      <c r="B56" s="446">
        <v>5500</v>
      </c>
      <c r="C56" s="450" t="s">
        <v>165</v>
      </c>
      <c r="D56" s="471">
        <f>U52</f>
        <v>192850.12499999994</v>
      </c>
      <c r="E56" s="471">
        <f>V52</f>
        <v>84750</v>
      </c>
      <c r="F56" s="446"/>
      <c r="G56" s="446">
        <v>3094</v>
      </c>
      <c r="H56" s="446">
        <v>550001100</v>
      </c>
      <c r="I56" s="446"/>
      <c r="J56" s="446">
        <v>11</v>
      </c>
      <c r="K56" s="452"/>
      <c r="L56" s="440">
        <f>(D56+E56-K56)/12</f>
        <v>23133.343749999996</v>
      </c>
      <c r="M56" s="446" t="s">
        <v>805</v>
      </c>
      <c r="N56" s="446" t="s">
        <v>427</v>
      </c>
      <c r="O56" s="444"/>
      <c r="P56" s="550"/>
      <c r="Q56" s="462"/>
      <c r="U56" s="445"/>
      <c r="V56" s="445"/>
      <c r="X56" s="437"/>
      <c r="Y56" s="445"/>
      <c r="Z56" s="445"/>
    </row>
    <row r="57" spans="1:26" ht="22.5" customHeight="1" x14ac:dyDescent="0.25">
      <c r="A57" s="441"/>
      <c r="B57" s="446"/>
      <c r="C57" s="450"/>
      <c r="D57" s="446"/>
      <c r="E57" s="446"/>
      <c r="F57" s="446"/>
      <c r="G57" s="446">
        <v>3094</v>
      </c>
      <c r="H57" s="446">
        <v>600011100</v>
      </c>
      <c r="I57" s="446"/>
      <c r="J57" s="446">
        <v>11</v>
      </c>
      <c r="K57" s="452"/>
      <c r="L57" s="471">
        <f>L56</f>
        <v>23133.343749999996</v>
      </c>
      <c r="M57" s="446" t="s">
        <v>806</v>
      </c>
      <c r="N57" s="446" t="s">
        <v>427</v>
      </c>
      <c r="O57" s="472"/>
      <c r="P57" s="547"/>
      <c r="Q57" s="472"/>
      <c r="X57" s="437"/>
      <c r="Y57" s="445"/>
      <c r="Z57" s="445"/>
    </row>
    <row r="58" spans="1:26" ht="22.5" customHeight="1" x14ac:dyDescent="0.25">
      <c r="B58" s="446">
        <v>5700</v>
      </c>
      <c r="C58" s="450" t="s">
        <v>313</v>
      </c>
      <c r="D58" s="471">
        <f>U53</f>
        <v>6428.3374999999996</v>
      </c>
      <c r="E58" s="471">
        <f>V53</f>
        <v>2825</v>
      </c>
      <c r="G58" s="446">
        <v>3094</v>
      </c>
      <c r="H58" s="446">
        <v>570001100</v>
      </c>
      <c r="J58" s="446">
        <v>11</v>
      </c>
      <c r="L58" s="440">
        <f>(D58+E58-K58)/12</f>
        <v>771.1114583333333</v>
      </c>
      <c r="M58" s="446" t="s">
        <v>805</v>
      </c>
      <c r="N58" s="446" t="s">
        <v>427</v>
      </c>
      <c r="O58" s="444"/>
      <c r="P58" s="437"/>
      <c r="Q58" s="444"/>
      <c r="X58" s="437"/>
      <c r="Y58" s="445"/>
      <c r="Z58" s="445"/>
    </row>
    <row r="59" spans="1:26" ht="22.5" customHeight="1" x14ac:dyDescent="0.25">
      <c r="G59" s="446">
        <v>3094</v>
      </c>
      <c r="H59" s="446">
        <v>600011100</v>
      </c>
      <c r="I59" s="446"/>
      <c r="J59" s="446">
        <v>11</v>
      </c>
      <c r="L59" s="471">
        <f>L58</f>
        <v>771.1114583333333</v>
      </c>
      <c r="M59" s="446" t="s">
        <v>806</v>
      </c>
      <c r="N59" s="446" t="s">
        <v>427</v>
      </c>
      <c r="O59" s="472"/>
      <c r="P59" s="547"/>
      <c r="Q59" s="472"/>
      <c r="X59" s="437"/>
      <c r="Y59" s="445"/>
      <c r="Z59" s="445"/>
    </row>
    <row r="60" spans="1:26" ht="22.5" customHeight="1" x14ac:dyDescent="0.25">
      <c r="A60" s="441"/>
      <c r="B60" s="441">
        <v>5730</v>
      </c>
      <c r="C60" s="439" t="s">
        <v>166</v>
      </c>
      <c r="D60" s="468">
        <f>U54</f>
        <v>3204448.2364999969</v>
      </c>
      <c r="E60" s="468">
        <f>V54</f>
        <v>1246353.3333333333</v>
      </c>
      <c r="F60" s="441"/>
      <c r="G60" s="441">
        <v>3094</v>
      </c>
      <c r="H60" s="441">
        <v>573000111</v>
      </c>
      <c r="I60" s="441"/>
      <c r="J60" s="441">
        <v>11</v>
      </c>
      <c r="K60" s="442"/>
      <c r="L60" s="440">
        <f>(D60+E60-K60)/12</f>
        <v>370900.13081944414</v>
      </c>
      <c r="M60" s="441" t="s">
        <v>805</v>
      </c>
      <c r="N60" s="441" t="s">
        <v>427</v>
      </c>
      <c r="O60" s="444"/>
      <c r="P60" s="437"/>
      <c r="Q60" s="444"/>
      <c r="X60" s="437"/>
      <c r="Y60" s="445"/>
      <c r="Z60" s="445"/>
    </row>
    <row r="61" spans="1:26" ht="22.5" customHeight="1" x14ac:dyDescent="0.25">
      <c r="A61" s="441"/>
      <c r="B61" s="441"/>
      <c r="C61" s="439"/>
      <c r="F61" s="441"/>
      <c r="G61" s="441">
        <v>3094</v>
      </c>
      <c r="H61" s="441">
        <v>600011100</v>
      </c>
      <c r="I61" s="441"/>
      <c r="J61" s="441">
        <v>11</v>
      </c>
      <c r="K61" s="442"/>
      <c r="L61" s="468">
        <f>L60</f>
        <v>370900.13081944414</v>
      </c>
      <c r="M61" s="441" t="s">
        <v>806</v>
      </c>
      <c r="N61" s="441" t="s">
        <v>427</v>
      </c>
      <c r="O61" s="444"/>
      <c r="P61" s="437"/>
      <c r="Q61" s="444"/>
      <c r="X61" s="437"/>
      <c r="Z61" s="445"/>
    </row>
    <row r="62" spans="1:26" ht="22.5" customHeight="1" x14ac:dyDescent="0.25">
      <c r="B62" s="441">
        <v>5740</v>
      </c>
      <c r="C62" s="439" t="s">
        <v>461</v>
      </c>
      <c r="D62" s="468">
        <f>U55</f>
        <v>11644001.083882499</v>
      </c>
      <c r="E62" s="468">
        <f>V55</f>
        <v>3820273.8333333335</v>
      </c>
      <c r="F62" s="441"/>
      <c r="G62" s="441">
        <v>3094</v>
      </c>
      <c r="H62" s="446">
        <v>574002011</v>
      </c>
      <c r="I62" s="441"/>
      <c r="J62" s="441">
        <v>11</v>
      </c>
      <c r="K62" s="442"/>
      <c r="L62" s="440">
        <f>(D62+E62-K62)/12</f>
        <v>1288689.5764346528</v>
      </c>
      <c r="M62" s="441" t="s">
        <v>805</v>
      </c>
      <c r="N62" s="441" t="s">
        <v>427</v>
      </c>
      <c r="O62" s="472"/>
      <c r="P62" s="547"/>
      <c r="Q62" s="472"/>
      <c r="X62" s="437"/>
      <c r="Z62" s="445"/>
    </row>
    <row r="63" spans="1:26" ht="22.5" customHeight="1" x14ac:dyDescent="0.25">
      <c r="B63" s="441"/>
      <c r="C63" s="438"/>
      <c r="D63" s="441"/>
      <c r="E63" s="441"/>
      <c r="F63" s="441"/>
      <c r="G63" s="441">
        <v>3094</v>
      </c>
      <c r="H63" s="441">
        <v>600011100</v>
      </c>
      <c r="I63" s="441"/>
      <c r="J63" s="441">
        <v>11</v>
      </c>
      <c r="K63" s="442"/>
      <c r="L63" s="468">
        <f>L62</f>
        <v>1288689.5764346528</v>
      </c>
      <c r="M63" s="441" t="s">
        <v>806</v>
      </c>
      <c r="N63" s="441" t="s">
        <v>427</v>
      </c>
      <c r="O63" s="444"/>
      <c r="P63" s="437"/>
      <c r="Q63" s="444"/>
      <c r="X63" s="437"/>
      <c r="Z63" s="445"/>
    </row>
    <row r="64" spans="1:26" ht="25.5" customHeight="1" x14ac:dyDescent="0.25">
      <c r="A64" s="454"/>
      <c r="B64" s="454"/>
      <c r="C64" s="454"/>
      <c r="D64" s="454"/>
      <c r="E64" s="454"/>
      <c r="F64" s="454"/>
      <c r="G64" s="454"/>
      <c r="H64" s="454"/>
      <c r="I64" s="454"/>
      <c r="J64" s="454"/>
      <c r="K64" s="473"/>
      <c r="L64" s="456"/>
      <c r="M64" s="454"/>
      <c r="N64" s="454"/>
      <c r="O64" s="319"/>
      <c r="P64" s="319"/>
      <c r="Q64" s="319"/>
      <c r="X64" s="437"/>
      <c r="Z64" s="445"/>
    </row>
    <row r="65" spans="3:26" ht="15" customHeight="1" x14ac:dyDescent="0.25">
      <c r="O65" s="319"/>
      <c r="P65" s="319"/>
      <c r="Q65" s="319"/>
      <c r="X65" s="437"/>
      <c r="Z65" s="445"/>
    </row>
    <row r="66" spans="3:26" ht="15" customHeight="1" x14ac:dyDescent="0.25">
      <c r="D66" s="442">
        <f>SUM(D6:D63)</f>
        <v>107454746.4999375</v>
      </c>
      <c r="E66" s="442">
        <f>SUM(E6:E36,E42:E62)</f>
        <v>25485458.999999996</v>
      </c>
      <c r="L66" s="442"/>
      <c r="X66" s="437"/>
      <c r="Z66" s="445"/>
    </row>
    <row r="67" spans="3:26" x14ac:dyDescent="0.25">
      <c r="D67" s="473" t="s">
        <v>154</v>
      </c>
      <c r="E67" s="455">
        <f>SUM(D66:E66)</f>
        <v>132940205.4999375</v>
      </c>
      <c r="I67" s="542" t="s">
        <v>469</v>
      </c>
      <c r="J67" s="543"/>
      <c r="K67" s="543"/>
      <c r="L67" s="543"/>
      <c r="M67" s="543"/>
      <c r="N67" s="544"/>
      <c r="Z67" s="445"/>
    </row>
    <row r="68" spans="3:26" x14ac:dyDescent="0.25">
      <c r="D68" s="317" t="s">
        <v>2409</v>
      </c>
      <c r="E68" s="442">
        <f>E67/12</f>
        <v>11078350.458328126</v>
      </c>
      <c r="I68" s="477"/>
      <c r="J68" s="473"/>
      <c r="K68" s="473"/>
      <c r="L68" s="473"/>
      <c r="M68" s="473"/>
      <c r="N68" s="478"/>
    </row>
    <row r="69" spans="3:26" x14ac:dyDescent="0.25">
      <c r="I69" s="479" t="s">
        <v>562</v>
      </c>
      <c r="J69" s="480"/>
      <c r="K69" s="480"/>
      <c r="L69" s="480"/>
      <c r="M69" s="480"/>
      <c r="N69" s="517"/>
    </row>
    <row r="70" spans="3:26" x14ac:dyDescent="0.25">
      <c r="C70" s="443"/>
      <c r="D70" s="444"/>
      <c r="E70" s="444"/>
    </row>
    <row r="71" spans="3:26" x14ac:dyDescent="0.25">
      <c r="I71" s="545" t="s">
        <v>422</v>
      </c>
      <c r="J71" s="543"/>
      <c r="K71" s="543"/>
      <c r="L71" s="543"/>
      <c r="M71" s="543"/>
      <c r="N71" s="544"/>
    </row>
    <row r="72" spans="3:26" x14ac:dyDescent="0.25">
      <c r="I72" s="477"/>
      <c r="J72" s="473"/>
      <c r="K72" s="473"/>
      <c r="L72" s="473"/>
      <c r="M72" s="473"/>
      <c r="N72" s="478"/>
    </row>
    <row r="73" spans="3:26" x14ac:dyDescent="0.25">
      <c r="I73" s="479" t="s">
        <v>1695</v>
      </c>
      <c r="J73" s="480"/>
      <c r="K73" s="480"/>
      <c r="L73" s="480"/>
      <c r="M73" s="480"/>
      <c r="N73" s="517"/>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2021&amp;RBOKFÖRINGSORDER
</oddHeader>
    <oddFooter>&amp;L&amp;F&amp;C&amp;A&amp;R&amp;P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25</vt:i4>
      </vt:variant>
      <vt:variant>
        <vt:lpstr>Namngivna områden</vt:lpstr>
      </vt:variant>
      <vt:variant>
        <vt:i4>26</vt:i4>
      </vt:variant>
    </vt:vector>
  </HeadingPairs>
  <TitlesOfParts>
    <vt:vector size="51" baseType="lpstr">
      <vt:lpstr>underlag medverkande 2 föreg</vt:lpstr>
      <vt:lpstr>INFO RTV 2021</vt:lpstr>
      <vt:lpstr>Start</vt:lpstr>
      <vt:lpstr>Totalt per inst</vt:lpstr>
      <vt:lpstr>Bokforder Juni-- </vt:lpstr>
      <vt:lpstr>Bokforder Mars--</vt:lpstr>
      <vt:lpstr>Bokforder Sept--</vt:lpstr>
      <vt:lpstr>Bokforder Juni--</vt:lpstr>
      <vt:lpstr>Bokforder Mars-</vt:lpstr>
      <vt:lpstr>Bokforder Januari --</vt:lpstr>
      <vt:lpstr>Utfördelat tom aug</vt:lpstr>
      <vt:lpstr>Utfördelat tom maj</vt:lpstr>
      <vt:lpstr>Medv</vt:lpstr>
      <vt:lpstr>Kursansv till medv</vt:lpstr>
      <vt:lpstr>Inst per termin</vt:lpstr>
      <vt:lpstr>kurser alla</vt:lpstr>
      <vt:lpstr>Prislapp</vt:lpstr>
      <vt:lpstr>kurspris</vt:lpstr>
      <vt:lpstr>Orgenheter</vt:lpstr>
      <vt:lpstr>Program</vt:lpstr>
      <vt:lpstr>Ansvar kurs</vt:lpstr>
      <vt:lpstr>Totalt pivot</vt:lpstr>
      <vt:lpstr>Pivot Kursmedv % (2)</vt:lpstr>
      <vt:lpstr>Pivot Kursmedv %</vt:lpstr>
      <vt:lpstr>underlag medverkande 2</vt:lpstr>
      <vt:lpstr>'Ansvar kurs'!Utskriftsområde</vt:lpstr>
      <vt:lpstr>'Bokforder Januari --'!Utskriftsområde</vt:lpstr>
      <vt:lpstr>'Bokforder Juni--'!Utskriftsområde</vt:lpstr>
      <vt:lpstr>'Bokforder Juni-- '!Utskriftsområde</vt:lpstr>
      <vt:lpstr>'Bokforder Mars-'!Utskriftsområde</vt:lpstr>
      <vt:lpstr>'Bokforder Mars--'!Utskriftsområde</vt:lpstr>
      <vt:lpstr>'Bokforder Sept--'!Utskriftsområde</vt:lpstr>
      <vt:lpstr>'kurser alla'!Utskriftsområde</vt:lpstr>
      <vt:lpstr>kurspris!Utskriftsområde</vt:lpstr>
      <vt:lpstr>Medv!Utskriftsområde</vt:lpstr>
      <vt:lpstr>Start!Utskriftsområde</vt:lpstr>
      <vt:lpstr>'Totalt per inst'!Utskriftsområde</vt:lpstr>
      <vt:lpstr>'underlag medverkande 2'!Utskriftsområde</vt:lpstr>
      <vt:lpstr>'underlag medverkande 2 föreg'!Utskriftsområde</vt:lpstr>
      <vt:lpstr>'Ansvar kurs'!Utskriftsrubriker</vt:lpstr>
      <vt:lpstr>'Bokforder Januari --'!Utskriftsrubriker</vt:lpstr>
      <vt:lpstr>'Bokforder Juni--'!Utskriftsrubriker</vt:lpstr>
      <vt:lpstr>'Bokforder Juni-- '!Utskriftsrubriker</vt:lpstr>
      <vt:lpstr>'Bokforder Mars-'!Utskriftsrubriker</vt:lpstr>
      <vt:lpstr>'Bokforder Mars--'!Utskriftsrubriker</vt:lpstr>
      <vt:lpstr>'Bokforder Sept--'!Utskriftsrubriker</vt:lpstr>
      <vt:lpstr>'Kursansv till medv'!Utskriftsrubriker</vt:lpstr>
      <vt:lpstr>kurspris!Utskriftsrubriker</vt:lpstr>
      <vt:lpstr>Medv!Utskriftsrubriker</vt:lpstr>
      <vt:lpstr>'Pivot Kursmedv % (2)'!Utskriftsrubriker</vt:lpstr>
      <vt:lpstr>'Totalt pivot'!Utskriftsrubriker</vt:lpstr>
    </vt:vector>
  </TitlesOfParts>
  <Company>USE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Ulla Sehlberg</dc:creator>
  <cp:lastModifiedBy>Eva Alenius</cp:lastModifiedBy>
  <cp:lastPrinted>2021-02-22T08:47:13Z</cp:lastPrinted>
  <dcterms:created xsi:type="dcterms:W3CDTF">2005-02-02T07:57:19Z</dcterms:created>
  <dcterms:modified xsi:type="dcterms:W3CDTF">2021-10-01T05:41:52Z</dcterms:modified>
</cp:coreProperties>
</file>